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16.xml" ContentType="application/vnd.openxmlformats-officedocument.drawingml.chart+xml"/>
  <Override PartName="/xl/charts/style1.xml" ContentType="application/vnd.ms-office.chartstyle+xml"/>
  <Override PartName="/xl/charts/colors1.xml" ContentType="application/vnd.ms-office.chartcolorstyle+xml"/>
  <Override PartName="/xl/charts/chart17.xml" ContentType="application/vnd.openxmlformats-officedocument.drawingml.chart+xml"/>
  <Override PartName="/xl/charts/style2.xml" ContentType="application/vnd.ms-office.chartstyle+xml"/>
  <Override PartName="/xl/charts/colors2.xml" ContentType="application/vnd.ms-office.chartcolorstyle+xml"/>
  <Override PartName="/xl/charts/chart18.xml" ContentType="application/vnd.openxmlformats-officedocument.drawingml.chart+xml"/>
  <Override PartName="/xl/charts/style3.xml" ContentType="application/vnd.ms-office.chartstyle+xml"/>
  <Override PartName="/xl/charts/colors3.xml" ContentType="application/vnd.ms-office.chartcolorstyle+xml"/>
  <Override PartName="/xl/charts/chart19.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2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3.xml" ContentType="application/vnd.openxmlformats-officedocument.drawing+xml"/>
  <Override PartName="/xl/ctrlProps/ctrlProp27.xml" ContentType="application/vnd.ms-excel.controlproperties+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4.xml" ContentType="application/vnd.openxmlformats-officedocument.drawing+xml"/>
  <Override PartName="/xl/tables/table1.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5.xml" ContentType="application/vnd.openxmlformats-officedocument.drawing+xml"/>
  <Override PartName="/xl/tables/table2.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showInkAnnotation="0" codeName="ThisWorkbook"/>
  <mc:AlternateContent xmlns:mc="http://schemas.openxmlformats.org/markup-compatibility/2006">
    <mc:Choice Requires="x15">
      <x15ac:absPath xmlns:x15ac="http://schemas.microsoft.com/office/spreadsheetml/2010/11/ac" url="C:\Users\forch\GitHub\Solar-Project-200w\hardware\"/>
    </mc:Choice>
  </mc:AlternateContent>
  <xr:revisionPtr revIDLastSave="0" documentId="13_ncr:1_{72FC4E41-670B-4BEB-997F-8287A933A99E}" xr6:coauthVersionLast="47" xr6:coauthVersionMax="47" xr10:uidLastSave="{00000000-0000-0000-0000-000000000000}"/>
  <workbookProtection workbookAlgorithmName="SHA-512" workbookHashValue="a2IsT3PbVMqsS8fYix55BBFUjj7hD8S/h5x1+aYwBoqFkTIjGASe0bCQh1syv2dYTh4PP6FwvAbkP9K8seVcxg==" workbookSaltValue="v5v63kDgDJ+TgBu2A/m4Sw==" workbookSpinCount="100000" lockStructure="1"/>
  <bookViews>
    <workbookView xWindow="7980" yWindow="3075" windowWidth="9270" windowHeight="9705" tabRatio="565" xr2:uid="{00000000-000D-0000-FFFF-FFFF00000000}"/>
  </bookViews>
  <sheets>
    <sheet name="Design Converter" sheetId="1" r:id="rId1"/>
    <sheet name="Extended Calculations" sheetId="33" state="hidden" r:id="rId2"/>
    <sheet name="Licenses" sheetId="24" r:id="rId3"/>
    <sheet name="BOM &amp; Schematic" sheetId="16" state="hidden" r:id="rId4"/>
    <sheet name="EVMs" sheetId="14" state="hidden" r:id="rId5"/>
    <sheet name="MOSFET LOSS" sheetId="28" state="hidden" r:id="rId6"/>
    <sheet name="Efficiency Plot Details" sheetId="29" state="hidden" r:id="rId7"/>
    <sheet name="DeviceParameter" sheetId="26" state="hidden" r:id="rId8"/>
    <sheet name="Variable Management" sheetId="2" state="hidden" r:id="rId9"/>
    <sheet name="Inductor Current" sheetId="27" state="hidden" r:id="rId10"/>
    <sheet name="Timings" sheetId="30" state="hidden" r:id="rId11"/>
    <sheet name="CFG Setting" sheetId="23" state="hidden" r:id="rId12"/>
    <sheet name="Schematic Management" sheetId="22" state="hidden" r:id="rId13"/>
    <sheet name="Stability Calculations" sheetId="31" state="hidden" r:id="rId14"/>
    <sheet name="IL Stability Calculations" sheetId="32" state="hidden" r:id="rId15"/>
    <sheet name="Efficiency Plot Management" sheetId="19" state="hidden" r:id="rId16"/>
    <sheet name="Efficiency vs VIN Calculations" sheetId="20" state="hidden" r:id="rId17"/>
    <sheet name="Efficiency vs Load Calculations" sheetId="21" state="hidden" r:id="rId18"/>
    <sheet name="Standard Value Calculator" sheetId="8" state="hidden" r:id="rId19"/>
    <sheet name="Snubber" sheetId="11" state="hidden" r:id="rId20"/>
    <sheet name="Parallel Output Caps" sheetId="6" state="hidden" r:id="rId21"/>
  </sheets>
  <definedNames>
    <definedName name="_2Phase_Mode">'Variable Management'!$B$48</definedName>
    <definedName name="_Don1">'Variable Management'!$B$52</definedName>
    <definedName name="_Don2">'Variable Management'!$B$75</definedName>
    <definedName name="Acs">'Variable Management'!$B$339</definedName>
    <definedName name="Adc" localSheetId="14">'IL Stability Calculations'!$U$3</definedName>
    <definedName name="Adc" localSheetId="13">'Stability Calculations'!$R$3</definedName>
    <definedName name="Adc_IL">'IL Stability Calculations'!$U$3</definedName>
    <definedName name="AEA">'Variable Management'!$B$337</definedName>
    <definedName name="Afb">'Variable Management'!$B$338</definedName>
    <definedName name="AIL" localSheetId="14">'IL Stability Calculations'!$E$6</definedName>
    <definedName name="AIL" localSheetId="13">'Stability Calculations'!$U$3</definedName>
    <definedName name="Am">'Variable Management'!$B$342</definedName>
    <definedName name="Am_boost">'Variable Management'!$B$341</definedName>
    <definedName name="Am_buck">'Variable Management'!$B$340</definedName>
    <definedName name="Am_IL">'IL Stability Calculations'!$H$4</definedName>
    <definedName name="BodePlot">'Efficiency Plot Management'!$B$10</definedName>
    <definedName name="BodePlot_ILim">'Efficiency Plot Management'!$B$12</definedName>
    <definedName name="BODEPLOT_TYPE">'Variable Management'!$L$11</definedName>
    <definedName name="Boost_CS_Threshold">'Variable Management'!$B$120</definedName>
    <definedName name="Boost_CS_Threshold_max">'Variable Management'!$B$121</definedName>
    <definedName name="Boost_CS_Threshold_min">'Variable Management'!$B$119</definedName>
    <definedName name="Buck_CS_threshold">'Variable Management'!$B$116</definedName>
    <definedName name="Buck_CS_threshold_max">'Variable Management'!$B$117</definedName>
    <definedName name="Buck_CS_threshold_min">'Variable Management'!$B$115</definedName>
    <definedName name="C_CS">DeviceParameter!$N$9</definedName>
    <definedName name="C_CS_ideal">DeviceParameter!$N$10</definedName>
    <definedName name="C_ILimit_HF">'Variable Management'!$B$272</definedName>
    <definedName name="C_ILimit_HF_STD">'Variable Management'!$B$273</definedName>
    <definedName name="C_limitcomp">'Variable Management'!$B$270</definedName>
    <definedName name="C_limitcomp_STD">'Variable Management'!$B$271</definedName>
    <definedName name="Cb">'Variable Management'!$B$241</definedName>
    <definedName name="Cbw">'Variable Management'!$B$333</definedName>
    <definedName name="Cbw_IL">'Variable Management'!$B$264</definedName>
    <definedName name="Cby">'Variable Management'!$B$240</definedName>
    <definedName name="Cc1ea">'Variable Management'!$B$367</definedName>
    <definedName name="Cc1ea_u">'Variable Management'!$B$372</definedName>
    <definedName name="Cc1IL">'Variable Management'!$B$276</definedName>
    <definedName name="Cc2ea">'Variable Management'!$B$368</definedName>
    <definedName name="Cc2ea_u">'Variable Management'!$B$373</definedName>
    <definedName name="Cc2IL">'Variable Management'!$B$277</definedName>
    <definedName name="CcIL">'Variable Management'!$B$278</definedName>
    <definedName name="CDC_enabled">'CFG Setting'!$B$159</definedName>
    <definedName name="CDC_Threshold">DeviceParameter!$B$16</definedName>
    <definedName name="Cdither">'Variable Management'!$B$240</definedName>
    <definedName name="CFG">'Variable Management'!$O$10</definedName>
    <definedName name="Cin">'Variable Management'!$B$197</definedName>
    <definedName name="CinEsrMax">'Variable Management'!$B$200</definedName>
    <definedName name="Cinmin">'Variable Management'!$B$195</definedName>
    <definedName name="CISET">'Variable Management'!$B$258</definedName>
    <definedName name="Co2_">'Variable Management'!$B$267</definedName>
    <definedName name="Co2_u">'Variable Management'!$F$267</definedName>
    <definedName name="Const_DT">'Variable Management'!$B$410</definedName>
    <definedName name="Constant_Current_Loop_Setpoint">'Variable Management'!$B$249</definedName>
    <definedName name="Cout">'Variable Management'!$B$177</definedName>
    <definedName name="CoutEsr">'Variable Management'!$B$181</definedName>
    <definedName name="CoutEsrMax">'Variable Management'!$B$178</definedName>
    <definedName name="Coutmin">'Variable Management'!$B$175</definedName>
    <definedName name="CSAmp_gain">'Variable Management'!$B$282</definedName>
    <definedName name="Csb">'Variable Management'!$B$238</definedName>
    <definedName name="Csby">'Variable Management'!$B$239</definedName>
    <definedName name="Cslope">'Variable Management'!$B$285</definedName>
    <definedName name="Css">'Variable Management'!$B$213</definedName>
    <definedName name="Css_u">'Variable Management'!$B$214</definedName>
    <definedName name="D_max_buck_enterBB">'Variable Management'!$B$42</definedName>
    <definedName name="D_max_exitBB_to_buck">'Variable Management'!$B$41</definedName>
    <definedName name="D_min_boost_exitBB_to_buck">'Variable Management'!$B$40</definedName>
    <definedName name="DC_CC">'Design Converter'!$E$91</definedName>
    <definedName name="DC_CHF">'Design Converter'!$E$92</definedName>
    <definedName name="DC_RC">'Design Converter'!$E$90</definedName>
    <definedName name="Deadtime">'Variable Management'!$B$412</definedName>
    <definedName name="Device">'Variable Management'!$B$29</definedName>
    <definedName name="dI1_">Timings!$Y$6</definedName>
    <definedName name="dI2_">Timings!$Y$7</definedName>
    <definedName name="dI3_">Timings!$Y$8</definedName>
    <definedName name="Doff1">'Variable Management'!$B$53</definedName>
    <definedName name="Doff2">'Variable Management'!$B$76</definedName>
    <definedName name="Don_Vinmax">'Variable Management'!$B$57</definedName>
    <definedName name="Don_Vinmax_2">'Variable Management'!$B$80</definedName>
    <definedName name="Don_Vinmin">'Variable Management'!$B$55</definedName>
    <definedName name="Don_Vinmin_2">'Variable Management'!$B$78</definedName>
    <definedName name="Don_Vinnom">'Variable Management'!$B$56</definedName>
    <definedName name="Don_Vinnom_2">'Variable Management'!$B$79</definedName>
    <definedName name="EA_Pole1" localSheetId="13">'Stability Calculations'!$C$5</definedName>
    <definedName name="EA_Pole2" localSheetId="13">'Stability Calculations'!$C$7</definedName>
    <definedName name="EA_Zero1" localSheetId="13">'Stability Calculations'!$C$4</definedName>
    <definedName name="eff">Timings!$B$9</definedName>
    <definedName name="EFF_IOUT">'Efficiency Plot Management'!$B$5</definedName>
    <definedName name="EFF_VIN">'Efficiency Plot Management'!$B$7</definedName>
    <definedName name="Efficiency">'Variable Management'!$B$16</definedName>
    <definedName name="f_bwilim">'Variable Management'!$B$269</definedName>
    <definedName name="f_p">'Variable Management'!$B$268</definedName>
    <definedName name="Fcross">'Variable Management'!$B$365</definedName>
    <definedName name="Fdither">'Variable Management'!$B$238</definedName>
    <definedName name="Fesr">'Variable Management'!$B$357</definedName>
    <definedName name="Fload_boost">'Variable Management'!$B$352</definedName>
    <definedName name="Fload_buck">'Variable Management'!$B$351</definedName>
    <definedName name="Fload_u">'Variable Management'!$B$351</definedName>
    <definedName name="Fp_dominant">'Variable Management'!$B$353</definedName>
    <definedName name="Fp1_u">'Variable Management'!$B$355</definedName>
    <definedName name="Fp2_u">'Variable Management'!$B$356</definedName>
    <definedName name="Frhp">'Variable Management'!$B$358</definedName>
    <definedName name="Frhp_Vinmin">'Variable Management'!$B$359</definedName>
    <definedName name="Fsw">'Variable Management'!$B$22</definedName>
    <definedName name="Fz1_u">'Variable Management'!$B$378</definedName>
    <definedName name="GBW">'Variable Management'!$B$332</definedName>
    <definedName name="GBW_IL">'Variable Management'!$B$263</definedName>
    <definedName name="Gfs_Q1">'Variable Management'!$B$423</definedName>
    <definedName name="Gfs_Q2">'Variable Management'!$D$423</definedName>
    <definedName name="Gfs_Q3">'Variable Management'!$B$440</definedName>
    <definedName name="Gfs_Q4">'Variable Management'!$D$440</definedName>
    <definedName name="gm">'Variable Management'!$B$284</definedName>
    <definedName name="gm_CDC">DeviceParameter!$B$14</definedName>
    <definedName name="gm_IL">DeviceParameter!$B$13</definedName>
    <definedName name="gm_IL_DAC">DeviceParameter!$B$12</definedName>
    <definedName name="gm_monitor">DeviceParameter!$B$11</definedName>
    <definedName name="gm_slopecomp">'Variable Management'!$B$286</definedName>
    <definedName name="I_0">Timings!$Y$11</definedName>
    <definedName name="I_1">Timings!$Y$12</definedName>
    <definedName name="I_2">Timings!$Y$13</definedName>
    <definedName name="I_PP">Timings!$Y$14</definedName>
    <definedName name="i_rms">Timings!$Y$16</definedName>
    <definedName name="iavg">Timings!$Y$5</definedName>
    <definedName name="Icoutrms">'Variable Management'!$B$168</definedName>
    <definedName name="Ifb">'Variable Management'!$B$27</definedName>
    <definedName name="Iin">Timings!$B$8</definedName>
    <definedName name="Iin_Vinmax">'Variable Management'!$B$20</definedName>
    <definedName name="Iin_Vinmin">'Variable Management'!$B$18</definedName>
    <definedName name="Iin_Vinnom">'Variable Management'!$B$19</definedName>
    <definedName name="IL_peak_OCP">'Variable Management'!$B$145</definedName>
    <definedName name="IL_Pole1" localSheetId="14">'IL Stability Calculations'!$E$5</definedName>
    <definedName name="IL_Pole1">'Stability Calculations'!$U$5</definedName>
    <definedName name="IL_Pole2" localSheetId="14">'IL Stability Calculations'!$E$7</definedName>
    <definedName name="IL_Pole2">'Stability Calculations'!$U$6</definedName>
    <definedName name="IL_Zero1" localSheetId="14">'IL Stability Calculations'!$E$4</definedName>
    <definedName name="IL_Zero1">'Stability Calculations'!$U$4</definedName>
    <definedName name="ILIM_Threshold">DeviceParameter!$B$18</definedName>
    <definedName name="Ilimit_Margin">'Variable Management'!$B$106</definedName>
    <definedName name="ILpeak_OCP_Vinmax">'Variable Management'!$B$142</definedName>
    <definedName name="ILpeak_OCP_Vinmin">'Variable Management'!$B$140</definedName>
    <definedName name="ILpeak_OCP_Vinnom">'Variable Management'!$B$141</definedName>
    <definedName name="IMON_Threshold">DeviceParameter!$B$17</definedName>
    <definedName name="IMONLIM_select">'Variable Management'!$B$247</definedName>
    <definedName name="Internal_FB_enabled">'CFG Setting'!$B$162</definedName>
    <definedName name="Iout">'Variable Management'!$B$13</definedName>
    <definedName name="Iout_OCP_Vinmax">'Variable Management'!$B$137</definedName>
    <definedName name="Iout_OCP_Vinmin">'Variable Management'!$B$135</definedName>
    <definedName name="Iout_OCP_Vinnom">'Variable Management'!$B$136</definedName>
    <definedName name="Iout_threshold">'Variable Management'!$B$250</definedName>
    <definedName name="Ipeak_inductor_buckboost">'Variable Management'!$B$114</definedName>
    <definedName name="Ipeak_inductor_max">'Variable Management'!$B$112</definedName>
    <definedName name="Ipeak_inductor_max_margin">'Variable Management'!$B$113</definedName>
    <definedName name="Ipeak_inductor_Vinmax">'Variable Management'!$B$113</definedName>
    <definedName name="Ipeak_inductor_Vinmin">'Variable Management'!$B$111</definedName>
    <definedName name="Ipeak_inductor_Vinnom">'Variable Management'!$B$112</definedName>
    <definedName name="Iq">'Variable Management'!$B$414</definedName>
    <definedName name="Ireverse">'Variable Management'!$B$452</definedName>
    <definedName name="Iripple_Vinmax">'Variable Management'!$B$86</definedName>
    <definedName name="Iripple_Vinmin">'Variable Management'!$B$84</definedName>
    <definedName name="Iripple_Vinnom">'Variable Management'!$B$85</definedName>
    <definedName name="Isc_const">'Variable Management'!$B$287</definedName>
    <definedName name="Islope_fixed">'Variable Management'!$B$151</definedName>
    <definedName name="Iss">'Variable Management'!$B$212</definedName>
    <definedName name="Iuvlo_hys">'Variable Management'!$B$231</definedName>
    <definedName name="Iuvlo1">'Variable Management'!$B$229</definedName>
    <definedName name="Iuvlo2">'Variable Management'!$B$230</definedName>
    <definedName name="k">'Variable Management'!$B$324</definedName>
    <definedName name="K_1">'Variable Management'!$B$328</definedName>
    <definedName name="k_boost">'Variable Management'!$B$321</definedName>
    <definedName name="k_buck">'Variable Management'!$B$319</definedName>
    <definedName name="K_SL">'Variable Management'!$B$296</definedName>
    <definedName name="KD">'Variable Management'!$B$329</definedName>
    <definedName name="KM">'Variable Management'!$B$327</definedName>
    <definedName name="L">Timings!$B$10</definedName>
    <definedName name="Labsmax">'Variable Management'!$O$63</definedName>
    <definedName name="Labsmin">'Variable Management'!$L$63</definedName>
    <definedName name="Lf">'Variable Management'!$B$72</definedName>
    <definedName name="Lmax">'Variable Management'!$B$70</definedName>
    <definedName name="Lmin">'Variable Management'!$B$69</definedName>
    <definedName name="Lopt">'Variable Management'!$B$68</definedName>
    <definedName name="Lopt_Limit">'Variable Management'!$B$71</definedName>
    <definedName name="Ltc">'Variable Management'!$B$398</definedName>
    <definedName name="mc">'Variable Management'!$B$323</definedName>
    <definedName name="mc_boost">'Variable Management'!$B$320</definedName>
    <definedName name="mc_buck">'Variable Management'!$B$318</definedName>
    <definedName name="Mode">'Variable Management'!$B$30</definedName>
    <definedName name="Pi">'Variable Management'!$B$281</definedName>
    <definedName name="PICTURE">INDIRECT('Efficiency Plot Management'!$A$2)</definedName>
    <definedName name="Picture_Bode">INDIRECT('Efficiency Plot Management'!$A$9)</definedName>
    <definedName name="PICTURE2" localSheetId="12">INDIRECT('Schematic Management'!$A$2)</definedName>
    <definedName name="PICTURE2">INDIRECT('Schematic Management'!$A$2)</definedName>
    <definedName name="Pin">'Variable Management'!$B$17</definedName>
    <definedName name="PLOT_TYPE">'Variable Management'!$L$10</definedName>
    <definedName name="Pout">'Variable Management'!$B$15</definedName>
    <definedName name="_xlnm.Print_Area" localSheetId="3">'BOM &amp; Schematic'!$A$1:$J$81</definedName>
    <definedName name="_xlnm.Print_Area" localSheetId="0">'Design Converter'!$A$1:$Q$126</definedName>
    <definedName name="PS_IL_Pole1">'IL Stability Calculations'!$O$4</definedName>
    <definedName name="PS_IL_Pole2">'IL Stability Calculations'!$R$3</definedName>
    <definedName name="PS_IL_RHPZ">'IL Stability Calculations'!$O$5</definedName>
    <definedName name="PS_IL_Zero1">'IL Stability Calculations'!$O$3</definedName>
    <definedName name="PS_Pole1" localSheetId="14">'IL Stability Calculations'!$O$4</definedName>
    <definedName name="PS_Pole1" localSheetId="13">'Stability Calculations'!$L$4</definedName>
    <definedName name="PS_Pole2" localSheetId="14">'IL Stability Calculations'!$R$3</definedName>
    <definedName name="PS_Pole2" localSheetId="13">'Stability Calculations'!$O$3</definedName>
    <definedName name="PS_RHPZ" localSheetId="14">'IL Stability Calculations'!$O$5</definedName>
    <definedName name="PS_RHPZ" localSheetId="13">'Stability Calculations'!$L$5</definedName>
    <definedName name="PS_Zero1" localSheetId="14">'IL Stability Calculations'!$O$3</definedName>
    <definedName name="PS_Zero1" localSheetId="13">'Stability Calculations'!$L$3</definedName>
    <definedName name="pterm1" localSheetId="14">'IL Stability Calculations'!$R$4</definedName>
    <definedName name="pterm1" localSheetId="13">'Stability Calculations'!$O$4</definedName>
    <definedName name="pterm1_IL">'IL Stability Calculations'!$R$4</definedName>
    <definedName name="pterm2" localSheetId="14">'IL Stability Calculations'!$R$5</definedName>
    <definedName name="pterm2" localSheetId="13">'Stability Calculations'!$O$5</definedName>
    <definedName name="pterm2_IL">'IL Stability Calculations'!$R$5</definedName>
    <definedName name="Q">'Variable Management'!$B$325</definedName>
    <definedName name="Qg_Q1">'Variable Management'!$B$419</definedName>
    <definedName name="Qg_Q2">'Variable Management'!$D$419</definedName>
    <definedName name="Qg_Q3">'Variable Management'!$B$436</definedName>
    <definedName name="Qg_Q4">'Variable Management'!$D$436</definedName>
    <definedName name="Qgd_Q1">'Variable Management'!$B$420</definedName>
    <definedName name="Qgd_Q2">'Variable Management'!$D$420</definedName>
    <definedName name="Qgd_Q3">'Variable Management'!$B$437</definedName>
    <definedName name="Qgd_Q4">'Variable Management'!$D$437</definedName>
    <definedName name="Qgs_Q1">'Variable Management'!$B$421</definedName>
    <definedName name="Qgs_Q2">'Variable Management'!$D$421</definedName>
    <definedName name="Qgs_Q3">'Variable Management'!$B$438</definedName>
    <definedName name="Qgs_Q4">'Variable Management'!$D$438</definedName>
    <definedName name="Qrr_Q1">'Variable Management'!$B$428</definedName>
    <definedName name="Qrr_Q2">'Variable Management'!$D$428</definedName>
    <definedName name="Qrr_Q3">'Variable Management'!$B$445</definedName>
    <definedName name="Qrr_Q4">'Variable Management'!$D$445</definedName>
    <definedName name="QrrSky_Q2">'Variable Management'!$B$451</definedName>
    <definedName name="QrrSky_Q3">'Variable Management'!$D$451</definedName>
    <definedName name="R_CS">DeviceParameter!$N$8</definedName>
    <definedName name="radconv" localSheetId="14">'IL Stability Calculations'!$U$6</definedName>
    <definedName name="radconv" localSheetId="13">'Stability Calculations'!$R$6</definedName>
    <definedName name="radconv_IL">'IL Stability Calculations'!$U$6</definedName>
    <definedName name="Rcea1">'Variable Management'!$B$366</definedName>
    <definedName name="Rcea1_u">'Variable Management'!$B$371</definedName>
    <definedName name="RcIL">'Variable Management'!$B$275</definedName>
    <definedName name="RCinEsr">'Variable Management'!$B$202</definedName>
    <definedName name="RCoutEsr">'Variable Management'!$B$181</definedName>
    <definedName name="Rdcr">'Variable Management'!$B$73</definedName>
    <definedName name="Rdson1">'Variable Management'!$B$417</definedName>
    <definedName name="Rdson2">'Variable Management'!$D$417</definedName>
    <definedName name="Rdson3">'Variable Management'!$B$434</definedName>
    <definedName name="Rdson4">'Variable Management'!$D$434</definedName>
    <definedName name="RdsonBotTc">'Variable Management'!$B$435</definedName>
    <definedName name="RdsonDRB">'Variable Management'!$B$407</definedName>
    <definedName name="RdsonDRB2">'Variable Management'!$B$408</definedName>
    <definedName name="RdsonDRT">'Variable Management'!$B$404</definedName>
    <definedName name="RdsonDRT2">'Variable Management'!$B$405</definedName>
    <definedName name="RdsonTopTc">'Variable Management'!$B$418</definedName>
    <definedName name="Rfadj">'Variable Management'!$B$26</definedName>
    <definedName name="Rfb1_">'Variable Management'!$B$381</definedName>
    <definedName name="Rfb2_">'Variable Management'!$B$382</definedName>
    <definedName name="Rfb2_u">'Variable Management'!$B$383</definedName>
    <definedName name="Rfets">'Variable Management'!$B$387</definedName>
    <definedName name="Rgate1">'Variable Management'!$B$422</definedName>
    <definedName name="Rgate2">'Variable Management'!$D$422</definedName>
    <definedName name="Rgate3">'Variable Management'!$B$439</definedName>
    <definedName name="Rgate4">'Variable Management'!$D$439</definedName>
    <definedName name="Ri">'Variable Management'!$B$283</definedName>
    <definedName name="RiLim">'Variable Management'!$B$256</definedName>
    <definedName name="RISET">'Variable Management'!$B$259</definedName>
    <definedName name="Ro">'Variable Management'!$B$348</definedName>
    <definedName name="RoEA">'Variable Management'!$B$334</definedName>
    <definedName name="RoEA_IL">'Variable Management'!$B$265</definedName>
    <definedName name="Rout">'Variable Management'!$B$14</definedName>
    <definedName name="Rpg">'Variable Management'!$B$233</definedName>
    <definedName name="Rs">'Variable Management'!$B$130</definedName>
    <definedName name="Rs_ideal">'Variable Management'!$B$129</definedName>
    <definedName name="Rsb">'Variable Management'!$B$234</definedName>
    <definedName name="Rshunt">'Variable Management'!$B$251</definedName>
    <definedName name="Rshunt_std">'Standard Value Calculator'!$R$21</definedName>
    <definedName name="Rslope">'Variable Management'!$B$152</definedName>
    <definedName name="Rsns_Selected">'Variable Management'!$B$252</definedName>
    <definedName name="RUV1_STD">'Variable Management'!$E$220</definedName>
    <definedName name="RUV2_STD">'Variable Management'!$E$221</definedName>
    <definedName name="Ruvlo1">'Variable Management'!$B$220</definedName>
    <definedName name="Ruvlo2">'Variable Management'!$B$221</definedName>
    <definedName name="Scale_DT">'Variable Management'!$B$409</definedName>
    <definedName name="SCH_NO_RCS">'Schematic Management'!$B$5</definedName>
    <definedName name="SCH_RCS_LIM">'Schematic Management'!$F$5</definedName>
    <definedName name="SCH_RCS_LIM_NEG">'Schematic Management'!$H$5</definedName>
    <definedName name="SCH_RCS_MON">'Schematic Management'!$D$5</definedName>
    <definedName name="SCH772_NO_RCS">'Schematic Management'!$B$22</definedName>
    <definedName name="SCH772_NO_RCS_NO_CDC">'Schematic Management'!$B$11</definedName>
    <definedName name="SCH772_RCS_LIM">'Schematic Management'!$D$22</definedName>
    <definedName name="SCH772_RCS_LIM_DAC">'Schematic Management'!$F$22</definedName>
    <definedName name="SCH772_RCS_LIM_DAC_NO_CDC">'Schematic Management'!$F$11</definedName>
    <definedName name="SCH772_RCS_LIM_DACplus">'Schematic Management'!$H$22</definedName>
    <definedName name="SCH772_RCS_LIM_DACplus_NO_CDC">'Schematic Management'!$H$11</definedName>
    <definedName name="SCH772_RCS_LIM_NO_CDC">'Schematic Management'!$D$11</definedName>
    <definedName name="Se">'Variable Management'!$B$291</definedName>
    <definedName name="Se_ext">'Variable Management'!$B$299</definedName>
    <definedName name="Se_fixed">'Variable Management'!$B$289</definedName>
    <definedName name="Se_proportional">'Variable Management'!$B$290</definedName>
    <definedName name="Sf">'Variable Management'!$B$301</definedName>
    <definedName name="Sn">'Variable Management'!$B$300</definedName>
    <definedName name="t1_Ph_II">Timings!$W$15</definedName>
    <definedName name="t2_Ph_I">Timings!$W$16</definedName>
    <definedName name="t3_Ph_III">Timings!$W$17</definedName>
    <definedName name="Ta">'Variable Management'!$B$396</definedName>
    <definedName name="Tf_boost">'Variable Management'!$D$459</definedName>
    <definedName name="Tf_buck">'Variable Management'!$B$459</definedName>
    <definedName name="ThetaCa">'Variable Management'!$B$399</definedName>
    <definedName name="ThetaJA_Q1">'Variable Management'!$B$430</definedName>
    <definedName name="ThetaJA_Q2">'Variable Management'!$D$430</definedName>
    <definedName name="ThetaJA_Q3">'Variable Management'!$B$447</definedName>
    <definedName name="ThetaJA_Q4">'Variable Management'!$D$447</definedName>
    <definedName name="ThetaJaCtrl">'Variable Management'!$B$455</definedName>
    <definedName name="TL">'Variable Management'!$B$102</definedName>
    <definedName name="Toff_min_buck">'Variable Management'!$B$32</definedName>
    <definedName name="Toff_Vinmax">'Variable Management'!$B$307</definedName>
    <definedName name="Ton_Vinmin">'Variable Management'!$B$309</definedName>
    <definedName name="Tr_boost">'Variable Management'!$D$458</definedName>
    <definedName name="Tr_buck">'Variable Management'!$B$458</definedName>
    <definedName name="Trr_Q1">'Variable Management'!$B$429</definedName>
    <definedName name="Trr_Q2">'Variable Management'!$D$429</definedName>
    <definedName name="Trr_Q3">'Variable Management'!$B$446</definedName>
    <definedName name="Trr_Q4">'Variable Management'!$D$446</definedName>
    <definedName name="Ts">'Variable Management'!$B$23</definedName>
    <definedName name="Tss">'Variable Management'!$B$211</definedName>
    <definedName name="useI2C">'Variable Management'!$L$33</definedName>
    <definedName name="V_ILIM">'Variable Management'!$B$255</definedName>
    <definedName name="V_Ilimit">DeviceParameter!$B$20</definedName>
    <definedName name="V_sc_fixed">'Variable Management'!$B$293</definedName>
    <definedName name="V_sc_proportional">'Variable Management'!$B$294</definedName>
    <definedName name="V_sc_total">'Variable Management'!$B$295</definedName>
    <definedName name="Vdd">'Variable Management'!$B$402</definedName>
    <definedName name="VfdSky_Q2">'Variable Management'!$B$450</definedName>
    <definedName name="VfdSky_Q3">'Variable Management'!$D$450</definedName>
    <definedName name="Vin">'Variable Management'!$B$8</definedName>
    <definedName name="VIN_BB_to_boost">'Variable Management'!$B$44</definedName>
    <definedName name="VIN_BB_to_buck">'Variable Management'!$B$47</definedName>
    <definedName name="VIN_boost_to_BB">'Variable Management'!$B$45</definedName>
    <definedName name="VIN_edgebuckboost">'Variable Management'!$B$10</definedName>
    <definedName name="VIN_max">'Variable Management'!$B$9</definedName>
    <definedName name="VIN_min">'Variable Management'!$B$7</definedName>
    <definedName name="VIN_nom">'Variable Management'!$B$8</definedName>
    <definedName name="Vinripple1">'Variable Management'!$B$191</definedName>
    <definedName name="Vinripple2">'Variable Management'!$B$206</definedName>
    <definedName name="VINuvlo_off">'Variable Management'!$B$219</definedName>
    <definedName name="VINuvlo_on">'Variable Management'!$B$218</definedName>
    <definedName name="Vout">'Variable Management'!$B$12</definedName>
    <definedName name="Vref">'Variable Management'!$B$24</definedName>
    <definedName name="Vripple1">'Variable Management'!$B$82</definedName>
    <definedName name="Vripple2">'Variable Management'!$B$182</definedName>
    <definedName name="Vsd_Q1">'Variable Management'!$B$427</definedName>
    <definedName name="Vsd_Q2">'Variable Management'!$D$427</definedName>
    <definedName name="Vsd_Q3">'Variable Management'!$B$444</definedName>
    <definedName name="Vsd_Q4">'Variable Management'!$D$444</definedName>
    <definedName name="Vsp_Q1">'Variable Management'!$B$425</definedName>
    <definedName name="Vsp_Q2">'Variable Management'!$D$425</definedName>
    <definedName name="Vsp_Q3">'Variable Management'!$B$442</definedName>
    <definedName name="Vsp_Q4">'Variable Management'!$D$442</definedName>
    <definedName name="Vth_Q1">'Variable Management'!$B$424</definedName>
    <definedName name="Vth_Q2">'Variable Management'!$D$424</definedName>
    <definedName name="Vth_Q3">'Variable Management'!$B$441</definedName>
    <definedName name="Vth_Q4">'Variable Management'!$D$441</definedName>
    <definedName name="Vuvlo_hys">'Variable Management'!$B$228</definedName>
    <definedName name="Vuvlo_off">'Variable Management'!$B$227</definedName>
    <definedName name="Vuvlo_on">'Variable Management'!$B$226</definedName>
    <definedName name="With_CDC">'Variable Management'!$B$246</definedName>
    <definedName name="With_RCS">'Variable Management'!$B$245</definedName>
  </definedNames>
  <calcPr calcId="191029"/>
</workbook>
</file>

<file path=xl/calcChain.xml><?xml version="1.0" encoding="utf-8"?>
<calcChain xmlns="http://schemas.openxmlformats.org/spreadsheetml/2006/main">
  <c r="C29" i="2" l="1"/>
  <c r="B29" i="2" s="1"/>
  <c r="H45" i="1" l="1"/>
  <c r="H107" i="23"/>
  <c r="H99" i="23"/>
  <c r="H97" i="23"/>
  <c r="H104" i="23"/>
  <c r="H96" i="23"/>
  <c r="H102" i="23"/>
  <c r="H93" i="23"/>
  <c r="H92" i="23"/>
  <c r="H106" i="23"/>
  <c r="H98" i="23"/>
  <c r="H95" i="23"/>
  <c r="H94" i="23"/>
  <c r="H100" i="23"/>
  <c r="H105" i="23"/>
  <c r="H103" i="23"/>
  <c r="H101" i="23"/>
  <c r="J3" i="1"/>
  <c r="A1" i="1"/>
  <c r="B14" i="26"/>
  <c r="F91" i="23"/>
  <c r="D23" i="33" l="1"/>
  <c r="D22" i="33"/>
  <c r="D21" i="33"/>
  <c r="D20" i="33"/>
  <c r="B13" i="26" l="1"/>
  <c r="B8" i="26"/>
  <c r="B12" i="26"/>
  <c r="B11" i="26"/>
  <c r="B7" i="26"/>
  <c r="B9" i="26"/>
  <c r="F146" i="23" l="1"/>
  <c r="J4" i="1" l="1"/>
  <c r="N89" i="1" l="1"/>
  <c r="BM687" i="32" l="1"/>
  <c r="K3" i="32"/>
  <c r="AW687" i="31"/>
  <c r="AI618" i="31"/>
  <c r="I3" i="31"/>
  <c r="B277" i="2" l="1"/>
  <c r="B276" i="2"/>
  <c r="B275" i="2"/>
  <c r="E37" i="1" l="1"/>
  <c r="B9" i="30" l="1"/>
  <c r="Q59" i="30"/>
  <c r="L59" i="30"/>
  <c r="Q58" i="30"/>
  <c r="L58" i="30"/>
  <c r="Q57" i="30"/>
  <c r="L57" i="30"/>
  <c r="L56" i="30"/>
  <c r="L43" i="30"/>
  <c r="Q42" i="30"/>
  <c r="L42" i="30"/>
  <c r="Q41" i="30"/>
  <c r="L41" i="30"/>
  <c r="Q40" i="30"/>
  <c r="L40" i="30"/>
  <c r="L35" i="30"/>
  <c r="Q34" i="30"/>
  <c r="L34" i="30"/>
  <c r="Q33" i="30"/>
  <c r="L33" i="30"/>
  <c r="Q32" i="30"/>
  <c r="L32" i="30"/>
  <c r="L6" i="30"/>
  <c r="J6" i="30"/>
  <c r="J5" i="30"/>
  <c r="I5" i="30"/>
  <c r="I4" i="30"/>
  <c r="L5" i="30" s="1"/>
  <c r="I3" i="30"/>
  <c r="L4" i="30" s="1"/>
  <c r="I2" i="30"/>
  <c r="L3" i="30" s="1"/>
  <c r="I1" i="30"/>
  <c r="L1" i="30" s="1"/>
  <c r="N1" i="30" s="1"/>
  <c r="J7" i="30" l="1"/>
  <c r="D111" i="23"/>
  <c r="D110" i="23"/>
  <c r="E26" i="1" l="1"/>
  <c r="E61" i="1" l="1"/>
  <c r="B381" i="2" l="1"/>
  <c r="E89" i="1" l="1"/>
  <c r="B246" i="2" l="1"/>
  <c r="B252" i="2" l="1"/>
  <c r="B15" i="32" s="1"/>
  <c r="B249" i="2"/>
  <c r="B247" i="2"/>
  <c r="N52" i="1" s="1"/>
  <c r="O55" i="1" l="1"/>
  <c r="A9" i="19"/>
  <c r="P58" i="1"/>
  <c r="P57" i="1"/>
  <c r="N57" i="1"/>
  <c r="N54" i="1"/>
  <c r="N58" i="1"/>
  <c r="N53" i="1"/>
  <c r="P54" i="1"/>
  <c r="J146" i="23" l="1"/>
  <c r="W81" i="27" l="1"/>
  <c r="R81" i="27"/>
  <c r="AB81" i="27"/>
  <c r="B3" i="27"/>
  <c r="B2" i="27"/>
  <c r="B1" i="27"/>
  <c r="K55" i="1" l="1"/>
  <c r="K57" i="1"/>
  <c r="M48" i="23" l="1"/>
  <c r="L48" i="23"/>
  <c r="R48" i="23" s="1"/>
  <c r="M47" i="23"/>
  <c r="L47" i="23"/>
  <c r="M46" i="23"/>
  <c r="L46" i="23"/>
  <c r="M45" i="23"/>
  <c r="L45" i="23"/>
  <c r="M44" i="23"/>
  <c r="L44" i="23"/>
  <c r="M43" i="23"/>
  <c r="L43" i="23"/>
  <c r="M42" i="23"/>
  <c r="L42" i="23"/>
  <c r="M41" i="23"/>
  <c r="L41" i="23"/>
  <c r="M40" i="23"/>
  <c r="L40" i="23"/>
  <c r="R40" i="23" s="1"/>
  <c r="M39" i="23"/>
  <c r="L39" i="23"/>
  <c r="M38" i="23"/>
  <c r="L38" i="23"/>
  <c r="M37" i="23"/>
  <c r="L37" i="23"/>
  <c r="M36" i="23"/>
  <c r="L36" i="23"/>
  <c r="M35" i="23"/>
  <c r="L35" i="23"/>
  <c r="M34" i="23"/>
  <c r="L34" i="23"/>
  <c r="M33" i="23"/>
  <c r="L33" i="23"/>
  <c r="C51" i="23"/>
  <c r="D51" i="23"/>
  <c r="C52" i="23"/>
  <c r="D52" i="23"/>
  <c r="D56" i="23"/>
  <c r="D57" i="23" s="1"/>
  <c r="H56" i="23"/>
  <c r="C57" i="23"/>
  <c r="G57" i="23" s="1"/>
  <c r="L33" i="2" s="1"/>
  <c r="Q46" i="1" s="1"/>
  <c r="E57" i="23"/>
  <c r="F57" i="23"/>
  <c r="R42" i="23" l="1"/>
  <c r="P49" i="1"/>
  <c r="P48" i="1"/>
  <c r="N48" i="1"/>
  <c r="Q48" i="1"/>
  <c r="N49" i="1"/>
  <c r="Q49" i="1"/>
  <c r="H57" i="23"/>
  <c r="R33" i="23"/>
  <c r="R45" i="23"/>
  <c r="R34" i="23"/>
  <c r="R44" i="23"/>
  <c r="R35" i="23"/>
  <c r="R43" i="23"/>
  <c r="R47" i="23"/>
  <c r="R37" i="23"/>
  <c r="R41" i="23"/>
  <c r="R36" i="23"/>
  <c r="R38" i="23"/>
  <c r="R46" i="23"/>
  <c r="R39" i="23"/>
  <c r="B106" i="2"/>
  <c r="I121" i="23" l="1"/>
  <c r="B245" i="2" l="1"/>
  <c r="A2" i="22" s="1"/>
  <c r="F28" i="23"/>
  <c r="P160" i="2" l="1"/>
  <c r="P168" i="2" s="1"/>
  <c r="P159" i="2"/>
  <c r="P167" i="2" s="1"/>
  <c r="P158" i="2"/>
  <c r="P166" i="2" s="1"/>
  <c r="P157" i="2"/>
  <c r="P165" i="2" s="1"/>
  <c r="P156" i="2"/>
  <c r="P164" i="2" s="1"/>
  <c r="P155" i="2"/>
  <c r="P163" i="2" s="1"/>
  <c r="P154" i="2"/>
  <c r="P162" i="2" s="1"/>
  <c r="P153" i="2"/>
  <c r="P161" i="2" s="1"/>
  <c r="B262" i="2" l="1"/>
  <c r="E6" i="32" l="1"/>
  <c r="O57" i="1"/>
  <c r="N46" i="1"/>
  <c r="O46" i="1"/>
  <c r="F86" i="23"/>
  <c r="F116" i="23"/>
  <c r="B409" i="2" s="1"/>
  <c r="L412" i="2" s="1"/>
  <c r="L413" i="2" s="1"/>
  <c r="N412" i="2" s="1"/>
  <c r="N413" i="2" s="1"/>
  <c r="H145" i="23"/>
  <c r="H27" i="23"/>
  <c r="H85" i="23"/>
  <c r="N47" i="1" s="1"/>
  <c r="H115" i="23"/>
  <c r="O137" i="23"/>
  <c r="N137" i="23"/>
  <c r="M137" i="23"/>
  <c r="L137" i="23"/>
  <c r="O136" i="23"/>
  <c r="N136" i="23"/>
  <c r="M136" i="23"/>
  <c r="L136" i="23"/>
  <c r="O135" i="23"/>
  <c r="N135" i="23"/>
  <c r="M135" i="23"/>
  <c r="L135" i="23"/>
  <c r="O134" i="23"/>
  <c r="N134" i="23"/>
  <c r="M134" i="23"/>
  <c r="L134" i="23"/>
  <c r="O133" i="23"/>
  <c r="N133" i="23"/>
  <c r="M133" i="23"/>
  <c r="L133" i="23"/>
  <c r="O132" i="23"/>
  <c r="N132" i="23"/>
  <c r="M132" i="23"/>
  <c r="L132" i="23"/>
  <c r="O131" i="23"/>
  <c r="N131" i="23"/>
  <c r="M131" i="23"/>
  <c r="L131" i="23"/>
  <c r="O130" i="23"/>
  <c r="N130" i="23"/>
  <c r="M130" i="23"/>
  <c r="L130" i="23"/>
  <c r="O129" i="23"/>
  <c r="N129" i="23"/>
  <c r="M129" i="23"/>
  <c r="L129" i="23"/>
  <c r="O128" i="23"/>
  <c r="N128" i="23"/>
  <c r="M128" i="23"/>
  <c r="L128" i="23"/>
  <c r="O127" i="23"/>
  <c r="N127" i="23"/>
  <c r="M127" i="23"/>
  <c r="L127" i="23"/>
  <c r="O126" i="23"/>
  <c r="N126" i="23"/>
  <c r="M126" i="23"/>
  <c r="L126" i="23"/>
  <c r="O125" i="23"/>
  <c r="N125" i="23"/>
  <c r="M125" i="23"/>
  <c r="L125" i="23"/>
  <c r="O124" i="23"/>
  <c r="N124" i="23"/>
  <c r="M124" i="23"/>
  <c r="L124" i="23"/>
  <c r="O123" i="23"/>
  <c r="N123" i="23"/>
  <c r="M123" i="23"/>
  <c r="L123" i="23"/>
  <c r="O122" i="23"/>
  <c r="N122" i="23"/>
  <c r="M122" i="23"/>
  <c r="L122" i="23"/>
  <c r="O107" i="23"/>
  <c r="N107" i="23"/>
  <c r="M107" i="23"/>
  <c r="L107" i="23"/>
  <c r="O106" i="23"/>
  <c r="N106" i="23"/>
  <c r="M106" i="23"/>
  <c r="L106" i="23"/>
  <c r="O105" i="23"/>
  <c r="N105" i="23"/>
  <c r="M105" i="23"/>
  <c r="L105" i="23"/>
  <c r="O104" i="23"/>
  <c r="N104" i="23"/>
  <c r="M104" i="23"/>
  <c r="L104" i="23"/>
  <c r="O103" i="23"/>
  <c r="N103" i="23"/>
  <c r="M103" i="23"/>
  <c r="L103" i="23"/>
  <c r="O102" i="23"/>
  <c r="N102" i="23"/>
  <c r="M102" i="23"/>
  <c r="L102" i="23"/>
  <c r="O101" i="23"/>
  <c r="N101" i="23"/>
  <c r="M101" i="23"/>
  <c r="L101" i="23"/>
  <c r="O100" i="23"/>
  <c r="N100" i="23"/>
  <c r="M100" i="23"/>
  <c r="L100" i="23"/>
  <c r="O99" i="23"/>
  <c r="N99" i="23"/>
  <c r="M99" i="23"/>
  <c r="L99" i="23"/>
  <c r="O98" i="23"/>
  <c r="N98" i="23"/>
  <c r="M98" i="23"/>
  <c r="L98" i="23"/>
  <c r="O97" i="23"/>
  <c r="N97" i="23"/>
  <c r="M97" i="23"/>
  <c r="L97" i="23"/>
  <c r="O96" i="23"/>
  <c r="N96" i="23"/>
  <c r="M96" i="23"/>
  <c r="L96" i="23"/>
  <c r="O95" i="23"/>
  <c r="N95" i="23"/>
  <c r="M95" i="23"/>
  <c r="L95" i="23"/>
  <c r="O94" i="23"/>
  <c r="N94" i="23"/>
  <c r="M94" i="23"/>
  <c r="L94" i="23"/>
  <c r="O93" i="23"/>
  <c r="N93" i="23"/>
  <c r="M93" i="23"/>
  <c r="L93" i="23"/>
  <c r="O92" i="23"/>
  <c r="N92" i="23"/>
  <c r="M92" i="23"/>
  <c r="L92" i="23"/>
  <c r="E146" i="23"/>
  <c r="D146" i="23"/>
  <c r="C146" i="23"/>
  <c r="E141" i="23"/>
  <c r="D141" i="23"/>
  <c r="C141" i="23"/>
  <c r="E140" i="23"/>
  <c r="D140" i="23"/>
  <c r="C140" i="23"/>
  <c r="J137" i="23"/>
  <c r="I137" i="23"/>
  <c r="H137" i="23"/>
  <c r="G137" i="23"/>
  <c r="P137" i="23" s="1"/>
  <c r="J136" i="23"/>
  <c r="I136" i="23"/>
  <c r="H136" i="23"/>
  <c r="G136" i="23"/>
  <c r="P136" i="23" s="1"/>
  <c r="J135" i="23"/>
  <c r="I135" i="23"/>
  <c r="H135" i="23"/>
  <c r="G135" i="23"/>
  <c r="P135" i="23" s="1"/>
  <c r="J134" i="23"/>
  <c r="I134" i="23"/>
  <c r="H134" i="23"/>
  <c r="G134" i="23"/>
  <c r="P134" i="23" s="1"/>
  <c r="J133" i="23"/>
  <c r="I133" i="23"/>
  <c r="H133" i="23"/>
  <c r="G133" i="23"/>
  <c r="P133" i="23" s="1"/>
  <c r="J132" i="23"/>
  <c r="I132" i="23"/>
  <c r="H132" i="23"/>
  <c r="G132" i="23"/>
  <c r="P132" i="23" s="1"/>
  <c r="J131" i="23"/>
  <c r="I131" i="23"/>
  <c r="H131" i="23"/>
  <c r="G131" i="23"/>
  <c r="P131" i="23" s="1"/>
  <c r="J130" i="23"/>
  <c r="I130" i="23"/>
  <c r="H130" i="23"/>
  <c r="G130" i="23"/>
  <c r="P130" i="23" s="1"/>
  <c r="J129" i="23"/>
  <c r="I129" i="23"/>
  <c r="H129" i="23"/>
  <c r="G129" i="23"/>
  <c r="P129" i="23" s="1"/>
  <c r="J128" i="23"/>
  <c r="I128" i="23"/>
  <c r="H128" i="23"/>
  <c r="G128" i="23"/>
  <c r="P128" i="23" s="1"/>
  <c r="J127" i="23"/>
  <c r="I127" i="23"/>
  <c r="H127" i="23"/>
  <c r="G127" i="23"/>
  <c r="P127" i="23" s="1"/>
  <c r="J126" i="23"/>
  <c r="I126" i="23"/>
  <c r="H126" i="23"/>
  <c r="G126" i="23"/>
  <c r="P126" i="23" s="1"/>
  <c r="J125" i="23"/>
  <c r="I125" i="23"/>
  <c r="H125" i="23"/>
  <c r="G125" i="23"/>
  <c r="P125" i="23" s="1"/>
  <c r="J124" i="23"/>
  <c r="I124" i="23"/>
  <c r="H124" i="23"/>
  <c r="G124" i="23"/>
  <c r="P124" i="23" s="1"/>
  <c r="J123" i="23"/>
  <c r="I123" i="23"/>
  <c r="H123" i="23"/>
  <c r="G123" i="23"/>
  <c r="P123" i="23" s="1"/>
  <c r="J122" i="23"/>
  <c r="I122" i="23"/>
  <c r="H122" i="23"/>
  <c r="G122" i="23"/>
  <c r="P122" i="23" s="1"/>
  <c r="J121" i="23"/>
  <c r="H121" i="23"/>
  <c r="E116" i="23"/>
  <c r="B410" i="2" s="1"/>
  <c r="D116" i="23"/>
  <c r="C116" i="23"/>
  <c r="F111" i="23"/>
  <c r="E111" i="23"/>
  <c r="C111" i="23"/>
  <c r="F110" i="23"/>
  <c r="E110" i="23"/>
  <c r="C110" i="23"/>
  <c r="J107" i="23"/>
  <c r="I107" i="23"/>
  <c r="G107" i="23"/>
  <c r="P107" i="23" s="1"/>
  <c r="J106" i="23"/>
  <c r="I106" i="23"/>
  <c r="G106" i="23"/>
  <c r="P106" i="23" s="1"/>
  <c r="J105" i="23"/>
  <c r="I105" i="23"/>
  <c r="G105" i="23"/>
  <c r="P105" i="23" s="1"/>
  <c r="J104" i="23"/>
  <c r="I104" i="23"/>
  <c r="G104" i="23"/>
  <c r="P104" i="23" s="1"/>
  <c r="J103" i="23"/>
  <c r="I103" i="23"/>
  <c r="G103" i="23"/>
  <c r="P103" i="23" s="1"/>
  <c r="J102" i="23"/>
  <c r="I102" i="23"/>
  <c r="G102" i="23"/>
  <c r="P102" i="23" s="1"/>
  <c r="J101" i="23"/>
  <c r="I101" i="23"/>
  <c r="G101" i="23"/>
  <c r="P101" i="23" s="1"/>
  <c r="J100" i="23"/>
  <c r="I100" i="23"/>
  <c r="G100" i="23"/>
  <c r="P100" i="23" s="1"/>
  <c r="J99" i="23"/>
  <c r="I99" i="23"/>
  <c r="G99" i="23"/>
  <c r="P99" i="23" s="1"/>
  <c r="J98" i="23"/>
  <c r="I98" i="23"/>
  <c r="G98" i="23"/>
  <c r="P98" i="23" s="1"/>
  <c r="J97" i="23"/>
  <c r="I97" i="23"/>
  <c r="G97" i="23"/>
  <c r="P97" i="23" s="1"/>
  <c r="J96" i="23"/>
  <c r="I96" i="23"/>
  <c r="G96" i="23"/>
  <c r="P96" i="23" s="1"/>
  <c r="J95" i="23"/>
  <c r="I95" i="23"/>
  <c r="G95" i="23"/>
  <c r="P95" i="23" s="1"/>
  <c r="J94" i="23"/>
  <c r="I94" i="23"/>
  <c r="G94" i="23"/>
  <c r="P94" i="23" s="1"/>
  <c r="J93" i="23"/>
  <c r="I93" i="23"/>
  <c r="G93" i="23"/>
  <c r="P93" i="23" s="1"/>
  <c r="J92" i="23"/>
  <c r="I92" i="23"/>
  <c r="G92" i="23"/>
  <c r="P92" i="23" s="1"/>
  <c r="J91" i="23"/>
  <c r="I91" i="23"/>
  <c r="H91" i="23"/>
  <c r="G91" i="23"/>
  <c r="F81" i="23"/>
  <c r="F80" i="23"/>
  <c r="E81" i="23"/>
  <c r="E80" i="23"/>
  <c r="D81" i="23"/>
  <c r="D80" i="23"/>
  <c r="C81" i="23"/>
  <c r="C80" i="23"/>
  <c r="O77" i="23"/>
  <c r="N77" i="23"/>
  <c r="M77" i="23"/>
  <c r="L77" i="23"/>
  <c r="O76" i="23"/>
  <c r="N76" i="23"/>
  <c r="M76" i="23"/>
  <c r="L76" i="23"/>
  <c r="O75" i="23"/>
  <c r="N75" i="23"/>
  <c r="M75" i="23"/>
  <c r="L75" i="23"/>
  <c r="O74" i="23"/>
  <c r="N74" i="23"/>
  <c r="M74" i="23"/>
  <c r="L74" i="23"/>
  <c r="O73" i="23"/>
  <c r="N73" i="23"/>
  <c r="M73" i="23"/>
  <c r="L73" i="23"/>
  <c r="O72" i="23"/>
  <c r="N72" i="23"/>
  <c r="M72" i="23"/>
  <c r="L72" i="23"/>
  <c r="O71" i="23"/>
  <c r="N71" i="23"/>
  <c r="M71" i="23"/>
  <c r="L71" i="23"/>
  <c r="O70" i="23"/>
  <c r="N70" i="23"/>
  <c r="M70" i="23"/>
  <c r="L70" i="23"/>
  <c r="O69" i="23"/>
  <c r="N69" i="23"/>
  <c r="M69" i="23"/>
  <c r="L69" i="23"/>
  <c r="O68" i="23"/>
  <c r="N68" i="23"/>
  <c r="M68" i="23"/>
  <c r="L68" i="23"/>
  <c r="O67" i="23"/>
  <c r="N67" i="23"/>
  <c r="M67" i="23"/>
  <c r="L67" i="23"/>
  <c r="O66" i="23"/>
  <c r="N66" i="23"/>
  <c r="M66" i="23"/>
  <c r="L66" i="23"/>
  <c r="O65" i="23"/>
  <c r="N65" i="23"/>
  <c r="M65" i="23"/>
  <c r="L65" i="23"/>
  <c r="O64" i="23"/>
  <c r="N64" i="23"/>
  <c r="M64" i="23"/>
  <c r="L64" i="23"/>
  <c r="O63" i="23"/>
  <c r="N63" i="23"/>
  <c r="M63" i="23"/>
  <c r="L63" i="23"/>
  <c r="O62" i="23"/>
  <c r="N62" i="23"/>
  <c r="M62" i="23"/>
  <c r="L62" i="23"/>
  <c r="E86" i="23"/>
  <c r="D86" i="23"/>
  <c r="C86" i="23"/>
  <c r="I77" i="23"/>
  <c r="J77" i="23"/>
  <c r="H77" i="23"/>
  <c r="G77" i="23"/>
  <c r="P77" i="23" s="1"/>
  <c r="I76" i="23"/>
  <c r="J76" i="23"/>
  <c r="H76" i="23"/>
  <c r="G76" i="23"/>
  <c r="P76" i="23" s="1"/>
  <c r="I75" i="23"/>
  <c r="J75" i="23"/>
  <c r="H75" i="23"/>
  <c r="G75" i="23"/>
  <c r="P75" i="23" s="1"/>
  <c r="I74" i="23"/>
  <c r="J74" i="23"/>
  <c r="H74" i="23"/>
  <c r="G74" i="23"/>
  <c r="P74" i="23" s="1"/>
  <c r="I73" i="23"/>
  <c r="J73" i="23"/>
  <c r="H73" i="23"/>
  <c r="G73" i="23"/>
  <c r="P73" i="23" s="1"/>
  <c r="I72" i="23"/>
  <c r="J72" i="23"/>
  <c r="H72" i="23"/>
  <c r="G72" i="23"/>
  <c r="P72" i="23" s="1"/>
  <c r="I71" i="23"/>
  <c r="J71" i="23"/>
  <c r="H71" i="23"/>
  <c r="G71" i="23"/>
  <c r="P71" i="23" s="1"/>
  <c r="I70" i="23"/>
  <c r="J70" i="23"/>
  <c r="H70" i="23"/>
  <c r="G70" i="23"/>
  <c r="P70" i="23" s="1"/>
  <c r="I69" i="23"/>
  <c r="J69" i="23"/>
  <c r="H69" i="23"/>
  <c r="G69" i="23"/>
  <c r="P69" i="23" s="1"/>
  <c r="I68" i="23"/>
  <c r="J68" i="23"/>
  <c r="H68" i="23"/>
  <c r="G68" i="23"/>
  <c r="P68" i="23" s="1"/>
  <c r="I67" i="23"/>
  <c r="J67" i="23"/>
  <c r="H67" i="23"/>
  <c r="G67" i="23"/>
  <c r="P67" i="23" s="1"/>
  <c r="I66" i="23"/>
  <c r="J66" i="23"/>
  <c r="H66" i="23"/>
  <c r="G66" i="23"/>
  <c r="P66" i="23" s="1"/>
  <c r="I65" i="23"/>
  <c r="J65" i="23"/>
  <c r="H65" i="23"/>
  <c r="G65" i="23"/>
  <c r="P65" i="23" s="1"/>
  <c r="I64" i="23"/>
  <c r="J64" i="23"/>
  <c r="H64" i="23"/>
  <c r="G64" i="23"/>
  <c r="P64" i="23" s="1"/>
  <c r="I63" i="23"/>
  <c r="J63" i="23"/>
  <c r="H63" i="23"/>
  <c r="G63" i="23"/>
  <c r="P63" i="23" s="1"/>
  <c r="I62" i="23"/>
  <c r="J62" i="23"/>
  <c r="H62" i="23"/>
  <c r="G62" i="23"/>
  <c r="P62" i="23" s="1"/>
  <c r="I61" i="23"/>
  <c r="J61" i="23"/>
  <c r="H61" i="23"/>
  <c r="G61" i="23"/>
  <c r="R123" i="23" l="1"/>
  <c r="R127" i="23"/>
  <c r="R133" i="23"/>
  <c r="R135" i="23"/>
  <c r="R137" i="23"/>
  <c r="R93" i="23"/>
  <c r="R95" i="23"/>
  <c r="R97" i="23"/>
  <c r="R99" i="23"/>
  <c r="R101" i="23"/>
  <c r="R103" i="23"/>
  <c r="R105" i="23"/>
  <c r="R107" i="23"/>
  <c r="R94" i="23"/>
  <c r="R96" i="23"/>
  <c r="R98" i="23"/>
  <c r="R100" i="23"/>
  <c r="R102" i="23"/>
  <c r="R104" i="23"/>
  <c r="AI625" i="32"/>
  <c r="AI626" i="32"/>
  <c r="AI622" i="32"/>
  <c r="AI617" i="32"/>
  <c r="AI624" i="32"/>
  <c r="AI629" i="32"/>
  <c r="AI628" i="32"/>
  <c r="AI627" i="32"/>
  <c r="AI623" i="32"/>
  <c r="B253" i="2"/>
  <c r="R129" i="23"/>
  <c r="B251" i="2"/>
  <c r="B254" i="2"/>
  <c r="R131" i="23"/>
  <c r="R125" i="23"/>
  <c r="R130" i="23"/>
  <c r="R132" i="23"/>
  <c r="G116" i="23"/>
  <c r="H116" i="23" s="1"/>
  <c r="O48" i="1" s="1"/>
  <c r="G86" i="23"/>
  <c r="H86" i="23" s="1"/>
  <c r="O47" i="1" s="1"/>
  <c r="G146" i="23"/>
  <c r="H146" i="23" s="1"/>
  <c r="O49" i="1" s="1"/>
  <c r="R106" i="23"/>
  <c r="R124" i="23"/>
  <c r="R126" i="23"/>
  <c r="R128" i="23"/>
  <c r="R134" i="23"/>
  <c r="R136" i="23"/>
  <c r="R122" i="23"/>
  <c r="R92" i="23"/>
  <c r="B256" i="2" l="1"/>
  <c r="B259" i="2"/>
  <c r="B4" i="32"/>
  <c r="AI607" i="32"/>
  <c r="AI580" i="32"/>
  <c r="AI575" i="32"/>
  <c r="AI603" i="32"/>
  <c r="AI555" i="32"/>
  <c r="AI558" i="32"/>
  <c r="AI542" i="32"/>
  <c r="AI545" i="32"/>
  <c r="AI610" i="32"/>
  <c r="AI518" i="32"/>
  <c r="AI501" i="32"/>
  <c r="AI536" i="32"/>
  <c r="AI502" i="32"/>
  <c r="AI504" i="32"/>
  <c r="AI482" i="32"/>
  <c r="AI506" i="32"/>
  <c r="AI483" i="32"/>
  <c r="AI439" i="32"/>
  <c r="AI492" i="32"/>
  <c r="AI489" i="32"/>
  <c r="AI438" i="32"/>
  <c r="AI400" i="32"/>
  <c r="AI405" i="32"/>
  <c r="AI417" i="32"/>
  <c r="AI472" i="32"/>
  <c r="AI398" i="32"/>
  <c r="AI414" i="32"/>
  <c r="AI376" i="32"/>
  <c r="AI349" i="32"/>
  <c r="AI377" i="32"/>
  <c r="AI389" i="32"/>
  <c r="AI362" i="32"/>
  <c r="AI373" i="32"/>
  <c r="AI364" i="32"/>
  <c r="AI295" i="32"/>
  <c r="AI434" i="32"/>
  <c r="AI304" i="32"/>
  <c r="AI299" i="32"/>
  <c r="AI276" i="32"/>
  <c r="AI267" i="32"/>
  <c r="AI260" i="32"/>
  <c r="AI282" i="32"/>
  <c r="AI283" i="32"/>
  <c r="AI223" i="32"/>
  <c r="AI222" i="32"/>
  <c r="AI196" i="32"/>
  <c r="AI231" i="32"/>
  <c r="AI264" i="32"/>
  <c r="AI192" i="32"/>
  <c r="AI208" i="32"/>
  <c r="AI185" i="32"/>
  <c r="AI150" i="32"/>
  <c r="AI188" i="32"/>
  <c r="AI183" i="32"/>
  <c r="AI233" i="32"/>
  <c r="AI167" i="32"/>
  <c r="AI166" i="32"/>
  <c r="AI101" i="32"/>
  <c r="AI14" i="32"/>
  <c r="AI92" i="32"/>
  <c r="AI56" i="32"/>
  <c r="AI22" i="32"/>
  <c r="AI90" i="32"/>
  <c r="AI115" i="32"/>
  <c r="AI152" i="32"/>
  <c r="AI61" i="32"/>
  <c r="AI104" i="32"/>
  <c r="AI20" i="32"/>
  <c r="AI17" i="32"/>
  <c r="AI148" i="32"/>
  <c r="AI21" i="32"/>
  <c r="AI107" i="32"/>
  <c r="AI207" i="32"/>
  <c r="AI32" i="32"/>
  <c r="AI26" i="32"/>
  <c r="AI606" i="32"/>
  <c r="AI609" i="32"/>
  <c r="AI579" i="32"/>
  <c r="AI572" i="32"/>
  <c r="AI596" i="32"/>
  <c r="AI552" i="32"/>
  <c r="AI553" i="32"/>
  <c r="AI540" i="32"/>
  <c r="AI543" i="32"/>
  <c r="AI544" i="32"/>
  <c r="AI514" i="32"/>
  <c r="AI495" i="32"/>
  <c r="AI508" i="32"/>
  <c r="AI497" i="32"/>
  <c r="AI484" i="32"/>
  <c r="AI480" i="32"/>
  <c r="AI498" i="32"/>
  <c r="AI461" i="32"/>
  <c r="AI546" i="32"/>
  <c r="AI471" i="32"/>
  <c r="AI464" i="32"/>
  <c r="AI435" i="32"/>
  <c r="AI395" i="32"/>
  <c r="AI396" i="32"/>
  <c r="AI412" i="32"/>
  <c r="AI433" i="32"/>
  <c r="AI391" i="32"/>
  <c r="AI404" i="32"/>
  <c r="AI425" i="32"/>
  <c r="AI348" i="32"/>
  <c r="AI366" i="32"/>
  <c r="AI381" i="32"/>
  <c r="AI343" i="32"/>
  <c r="AI361" i="32"/>
  <c r="AI332" i="32"/>
  <c r="AI294" i="32"/>
  <c r="AI359" i="32"/>
  <c r="AI302" i="32"/>
  <c r="AI298" i="32"/>
  <c r="AI275" i="32"/>
  <c r="AI261" i="32"/>
  <c r="AI259" i="32"/>
  <c r="AI273" i="32"/>
  <c r="AI272" i="32"/>
  <c r="AI221" i="32"/>
  <c r="AI214" i="32"/>
  <c r="AI597" i="32"/>
  <c r="AI600" i="32"/>
  <c r="AI612" i="32"/>
  <c r="AI570" i="32"/>
  <c r="AI563" i="32"/>
  <c r="AI582" i="32"/>
  <c r="AI549" i="32"/>
  <c r="AI524" i="32"/>
  <c r="AI529" i="32"/>
  <c r="AI541" i="32"/>
  <c r="AI476" i="32"/>
  <c r="AI537" i="32"/>
  <c r="AI566" i="32"/>
  <c r="AI459" i="32"/>
  <c r="AI451" i="32"/>
  <c r="AI468" i="32"/>
  <c r="AI466" i="32"/>
  <c r="AI486" i="32"/>
  <c r="AI444" i="32"/>
  <c r="AI448" i="32"/>
  <c r="AI426" i="32"/>
  <c r="AI423" i="32"/>
  <c r="AI441" i="32"/>
  <c r="AI432" i="32"/>
  <c r="AI408" i="32"/>
  <c r="AI379" i="32"/>
  <c r="AI393" i="32"/>
  <c r="AI369" i="32"/>
  <c r="AI360" i="32"/>
  <c r="AI352" i="32"/>
  <c r="AI418" i="32"/>
  <c r="AI329" i="32"/>
  <c r="AI324" i="32"/>
  <c r="AI323" i="32"/>
  <c r="AI320" i="32"/>
  <c r="AI330" i="32"/>
  <c r="AI358" i="32"/>
  <c r="AI256" i="32"/>
  <c r="AI244" i="32"/>
  <c r="AI292" i="32"/>
  <c r="AI354" i="32"/>
  <c r="AI351" i="32"/>
  <c r="AI306" i="32"/>
  <c r="AI250" i="32"/>
  <c r="AI263" i="32"/>
  <c r="AI262" i="32"/>
  <c r="AI248" i="32"/>
  <c r="AI232" i="32"/>
  <c r="AI235" i="32"/>
  <c r="AI234" i="32"/>
  <c r="AI168" i="32"/>
  <c r="AI243" i="32"/>
  <c r="AI227" i="32"/>
  <c r="AI169" i="32"/>
  <c r="AI187" i="32"/>
  <c r="AI135" i="32"/>
  <c r="AI136" i="32"/>
  <c r="AI46" i="32"/>
  <c r="AI114" i="32"/>
  <c r="AI80" i="32"/>
  <c r="AI36" i="32"/>
  <c r="AI133" i="32"/>
  <c r="AI189" i="32"/>
  <c r="AI73" i="32"/>
  <c r="AI116" i="32"/>
  <c r="AI39" i="32"/>
  <c r="AI109" i="32"/>
  <c r="AI94" i="32"/>
  <c r="AI24" i="32"/>
  <c r="AI100" i="32"/>
  <c r="AI66" i="32"/>
  <c r="AI77" i="32"/>
  <c r="AI75" i="32"/>
  <c r="AI160" i="32"/>
  <c r="AI598" i="32"/>
  <c r="AI584" i="32"/>
  <c r="AI581" i="32"/>
  <c r="AI591" i="32"/>
  <c r="AI548" i="32"/>
  <c r="AI530" i="32"/>
  <c r="AI527" i="32"/>
  <c r="AI588" i="32"/>
  <c r="AI491" i="32"/>
  <c r="AI493" i="32"/>
  <c r="AI470" i="32"/>
  <c r="AI442" i="32"/>
  <c r="AI440" i="32"/>
  <c r="AI430" i="32"/>
  <c r="AI413" i="32"/>
  <c r="AI397" i="32"/>
  <c r="AI402" i="32"/>
  <c r="AI392" i="32"/>
  <c r="AI346" i="32"/>
  <c r="AI344" i="32"/>
  <c r="AI334" i="32"/>
  <c r="AI374" i="32"/>
  <c r="AI303" i="32"/>
  <c r="AI296" i="32"/>
  <c r="AI281" i="32"/>
  <c r="AI297" i="32"/>
  <c r="AI289" i="32"/>
  <c r="AI245" i="32"/>
  <c r="AI318" i="32"/>
  <c r="AI254" i="32"/>
  <c r="AI274" i="32"/>
  <c r="AI180" i="32"/>
  <c r="AI217" i="32"/>
  <c r="AI151" i="32"/>
  <c r="AI156" i="32"/>
  <c r="AI154" i="32"/>
  <c r="AI171" i="32"/>
  <c r="AI139" i="32"/>
  <c r="AI42" i="32"/>
  <c r="AI96" i="32"/>
  <c r="AI38" i="32"/>
  <c r="AI126" i="32"/>
  <c r="AI123" i="32"/>
  <c r="AI142" i="32"/>
  <c r="AI119" i="32"/>
  <c r="AI51" i="32"/>
  <c r="AI65" i="32"/>
  <c r="AI76" i="32"/>
  <c r="AI218" i="32"/>
  <c r="AI130" i="32"/>
  <c r="AI110" i="32"/>
  <c r="AI613" i="32"/>
  <c r="AI577" i="32"/>
  <c r="AI589" i="32"/>
  <c r="AI571" i="32"/>
  <c r="AI551" i="32"/>
  <c r="AI535" i="32"/>
  <c r="AI509" i="32"/>
  <c r="AI513" i="32"/>
  <c r="AI469" i="32"/>
  <c r="AI485" i="32"/>
  <c r="AI562" i="32"/>
  <c r="AI516" i="32"/>
  <c r="AI436" i="32"/>
  <c r="AI428" i="32"/>
  <c r="AI411" i="32"/>
  <c r="AI383" i="32"/>
  <c r="AI387" i="32"/>
  <c r="AI388" i="32"/>
  <c r="AI487" i="32"/>
  <c r="AI342" i="32"/>
  <c r="AI311" i="32"/>
  <c r="AI328" i="32"/>
  <c r="AI301" i="32"/>
  <c r="AI322" i="32"/>
  <c r="AI278" i="32"/>
  <c r="AI290" i="32"/>
  <c r="AI270" i="32"/>
  <c r="AI242" i="32"/>
  <c r="AI287" i="32"/>
  <c r="AI251" i="32"/>
  <c r="AI255" i="32"/>
  <c r="AI164" i="32"/>
  <c r="AI204" i="32"/>
  <c r="AI144" i="32"/>
  <c r="AI309" i="32"/>
  <c r="AI145" i="32"/>
  <c r="AI161" i="32"/>
  <c r="AI137" i="32"/>
  <c r="AI30" i="32"/>
  <c r="AI86" i="32"/>
  <c r="AI37" i="32"/>
  <c r="AI121" i="32"/>
  <c r="AI87" i="32"/>
  <c r="AI124" i="32"/>
  <c r="AI117" i="32"/>
  <c r="AI45" i="32"/>
  <c r="AI27" i="32"/>
  <c r="AI63" i="32"/>
  <c r="AI93" i="32"/>
  <c r="AI102" i="32"/>
  <c r="AI174" i="32"/>
  <c r="AI611" i="32"/>
  <c r="AI573" i="32"/>
  <c r="AI574" i="32"/>
  <c r="AI594" i="32"/>
  <c r="AI538" i="32"/>
  <c r="AI521" i="32"/>
  <c r="AI554" i="32"/>
  <c r="AI499" i="32"/>
  <c r="AI565" i="32"/>
  <c r="AI477" i="32"/>
  <c r="AI520" i="32"/>
  <c r="AI496" i="32"/>
  <c r="AI494" i="32"/>
  <c r="AI421" i="32"/>
  <c r="AI390" i="32"/>
  <c r="AI375" i="32"/>
  <c r="AI384" i="32"/>
  <c r="AI380" i="32"/>
  <c r="AI454" i="32"/>
  <c r="AI378" i="32"/>
  <c r="AI291" i="32"/>
  <c r="AI325" i="32"/>
  <c r="AI288" i="32"/>
  <c r="AI350" i="32"/>
  <c r="AI269" i="32"/>
  <c r="AI280" i="32"/>
  <c r="AI249" i="32"/>
  <c r="AI224" i="32"/>
  <c r="AI240" i="32"/>
  <c r="AI237" i="32"/>
  <c r="AI239" i="32"/>
  <c r="AI228" i="32"/>
  <c r="AI191" i="32"/>
  <c r="AI138" i="32"/>
  <c r="AI211" i="32"/>
  <c r="AI132" i="32"/>
  <c r="AI158" i="32"/>
  <c r="AI128" i="32"/>
  <c r="AI18" i="32"/>
  <c r="AI85" i="32"/>
  <c r="AI33" i="32"/>
  <c r="AI95" i="32"/>
  <c r="AI84" i="32"/>
  <c r="AI106" i="32"/>
  <c r="AI105" i="32"/>
  <c r="AI78" i="32"/>
  <c r="AI99" i="32"/>
  <c r="AI49" i="32"/>
  <c r="AI89" i="32"/>
  <c r="AI72" i="32"/>
  <c r="AI54" i="32"/>
  <c r="AI608" i="32"/>
  <c r="AI578" i="32"/>
  <c r="AI569" i="32"/>
  <c r="AI559" i="32"/>
  <c r="AI539" i="32"/>
  <c r="AI519" i="32"/>
  <c r="AI547" i="32"/>
  <c r="AI510" i="32"/>
  <c r="AI447" i="32"/>
  <c r="AI488" i="32"/>
  <c r="AI475" i="32"/>
  <c r="AI449" i="32"/>
  <c r="AI401" i="32"/>
  <c r="AI437" i="32"/>
  <c r="AI416" i="32"/>
  <c r="AI431" i="32"/>
  <c r="AI385" i="32"/>
  <c r="AI382" i="32"/>
  <c r="AI372" i="32"/>
  <c r="AI337" i="32"/>
  <c r="AI310" i="32"/>
  <c r="AI333" i="32"/>
  <c r="AI340" i="32"/>
  <c r="AI353" i="32"/>
  <c r="AI409" i="32"/>
  <c r="AI326" i="32"/>
  <c r="AI277" i="32"/>
  <c r="AI215" i="32"/>
  <c r="AI225" i="32"/>
  <c r="AI229" i="32"/>
  <c r="AI212" i="32"/>
  <c r="AI176" i="32"/>
  <c r="AI203" i="32"/>
  <c r="AI199" i="32"/>
  <c r="AI206" i="32"/>
  <c r="AI134" i="32"/>
  <c r="AI103" i="32"/>
  <c r="AI210" i="32"/>
  <c r="AI70" i="32"/>
  <c r="AI23" i="32"/>
  <c r="AI35" i="32"/>
  <c r="AI71" i="32"/>
  <c r="AI62" i="32"/>
  <c r="AI149" i="32"/>
  <c r="AI88" i="32"/>
  <c r="AI197" i="32"/>
  <c r="AI91" i="32"/>
  <c r="AI53" i="32"/>
  <c r="AI40" i="32"/>
  <c r="AI605" i="32"/>
  <c r="AI601" i="32"/>
  <c r="AI576" i="32"/>
  <c r="AI561" i="32"/>
  <c r="AI590" i="32"/>
  <c r="AI599" i="32"/>
  <c r="AI534" i="32"/>
  <c r="AI505" i="32"/>
  <c r="AI532" i="32"/>
  <c r="AI467" i="32"/>
  <c r="AI525" i="32"/>
  <c r="AI481" i="32"/>
  <c r="AI474" i="32"/>
  <c r="AI503" i="32"/>
  <c r="AI462" i="32"/>
  <c r="AI429" i="32"/>
  <c r="AI415" i="32"/>
  <c r="AI427" i="32"/>
  <c r="AI368" i="32"/>
  <c r="AI363" i="32"/>
  <c r="AI371" i="32"/>
  <c r="AI336" i="32"/>
  <c r="AI300" i="32"/>
  <c r="AI321" i="32"/>
  <c r="AI285" i="32"/>
  <c r="AI317" i="32"/>
  <c r="AI370" i="32"/>
  <c r="AI284" i="32"/>
  <c r="AI246" i="32"/>
  <c r="AI308" i="32"/>
  <c r="AI327" i="32"/>
  <c r="AI220" i="32"/>
  <c r="AI190" i="32"/>
  <c r="AI172" i="32"/>
  <c r="AI201" i="32"/>
  <c r="AI179" i="32"/>
  <c r="AI198" i="32"/>
  <c r="AI131" i="32"/>
  <c r="AI64" i="32"/>
  <c r="AI182" i="32"/>
  <c r="AI69" i="32"/>
  <c r="AI170" i="32"/>
  <c r="AI34" i="32"/>
  <c r="AI68" i="32"/>
  <c r="AI58" i="32"/>
  <c r="AI143" i="32"/>
  <c r="AI55" i="32"/>
  <c r="AI127" i="32"/>
  <c r="AI79" i="32"/>
  <c r="AI41" i="32"/>
  <c r="AI31" i="32"/>
  <c r="AI592" i="32"/>
  <c r="AI556" i="32"/>
  <c r="AI533" i="32"/>
  <c r="AI526" i="32"/>
  <c r="AI445" i="32"/>
  <c r="AI453" i="32"/>
  <c r="AI455" i="32"/>
  <c r="AI345" i="32"/>
  <c r="AI293" i="32"/>
  <c r="AI258" i="32"/>
  <c r="AI257" i="32"/>
  <c r="AI219" i="32"/>
  <c r="AI181" i="32"/>
  <c r="AI173" i="32"/>
  <c r="AI50" i="32"/>
  <c r="AI25" i="32"/>
  <c r="AI147" i="32"/>
  <c r="AI19" i="32"/>
  <c r="AI81" i="32"/>
  <c r="AI13" i="32"/>
  <c r="AI593" i="32"/>
  <c r="AI567" i="32"/>
  <c r="AI528" i="32"/>
  <c r="AI465" i="32"/>
  <c r="AI479" i="32"/>
  <c r="AI420" i="32"/>
  <c r="AI403" i="32"/>
  <c r="AI347" i="32"/>
  <c r="AI355" i="32"/>
  <c r="AI268" i="32"/>
  <c r="AI316" i="32"/>
  <c r="AI216" i="32"/>
  <c r="AI165" i="32"/>
  <c r="AI209" i="32"/>
  <c r="AI47" i="32"/>
  <c r="AI159" i="32"/>
  <c r="AI98" i="32"/>
  <c r="AI29" i="32"/>
  <c r="AI60" i="32"/>
  <c r="AI595" i="32"/>
  <c r="AI564" i="32"/>
  <c r="AI490" i="32"/>
  <c r="AI460" i="32"/>
  <c r="AI446" i="32"/>
  <c r="AI424" i="32"/>
  <c r="AI386" i="32"/>
  <c r="AI338" i="32"/>
  <c r="AI315" i="32"/>
  <c r="AI279" i="32"/>
  <c r="AI236" i="32"/>
  <c r="AI200" i="32"/>
  <c r="AI125" i="32"/>
  <c r="AI175" i="32"/>
  <c r="AI112" i="32"/>
  <c r="AI57" i="32"/>
  <c r="AI48" i="32"/>
  <c r="AI122" i="32"/>
  <c r="AI44" i="32"/>
  <c r="AI568" i="32"/>
  <c r="AI523" i="32"/>
  <c r="AI478" i="32"/>
  <c r="AI517" i="32"/>
  <c r="AI450" i="32"/>
  <c r="AI410" i="32"/>
  <c r="AI365" i="32"/>
  <c r="AI394" i="32"/>
  <c r="AI307" i="32"/>
  <c r="AI335" i="32"/>
  <c r="AI230" i="32"/>
  <c r="AI184" i="32"/>
  <c r="AI194" i="32"/>
  <c r="AI146" i="32"/>
  <c r="AI111" i="32"/>
  <c r="AI155" i="32"/>
  <c r="AI252" i="32"/>
  <c r="AI113" i="32"/>
  <c r="AI28" i="32"/>
  <c r="AI602" i="32"/>
  <c r="AI586" i="32"/>
  <c r="AI560" i="32"/>
  <c r="AI550" i="32"/>
  <c r="AI473" i="32"/>
  <c r="AI458" i="32"/>
  <c r="AI500" i="32"/>
  <c r="AI357" i="32"/>
  <c r="AI312" i="32"/>
  <c r="AI341" i="32"/>
  <c r="AI314" i="32"/>
  <c r="AI286" i="32"/>
  <c r="AI213" i="32"/>
  <c r="AI163" i="32"/>
  <c r="AI118" i="32"/>
  <c r="AI83" i="32"/>
  <c r="AI129" i="32"/>
  <c r="AI97" i="32"/>
  <c r="AI108" i="32"/>
  <c r="AI195" i="32"/>
  <c r="AI604" i="32"/>
  <c r="AI512" i="32"/>
  <c r="AI463" i="32"/>
  <c r="AI313" i="32"/>
  <c r="AI265" i="32"/>
  <c r="AI186" i="32"/>
  <c r="AI178" i="32"/>
  <c r="AI585" i="32"/>
  <c r="AI507" i="32"/>
  <c r="AI407" i="32"/>
  <c r="AI339" i="32"/>
  <c r="AI226" i="32"/>
  <c r="AI157" i="32"/>
  <c r="AI52" i="32"/>
  <c r="AI583" i="32"/>
  <c r="AI452" i="32"/>
  <c r="AI406" i="32"/>
  <c r="AI266" i="32"/>
  <c r="AI238" i="32"/>
  <c r="AI120" i="32"/>
  <c r="AI82" i="32"/>
  <c r="AI587" i="32"/>
  <c r="AI457" i="32"/>
  <c r="AI422" i="32"/>
  <c r="AI253" i="32"/>
  <c r="AI140" i="32"/>
  <c r="AI67" i="32"/>
  <c r="AI205" i="32"/>
  <c r="AI531" i="32"/>
  <c r="AI456" i="32"/>
  <c r="AI356" i="32"/>
  <c r="AI331" i="32"/>
  <c r="AI153" i="32"/>
  <c r="AI43" i="32"/>
  <c r="AI59" i="32"/>
  <c r="AI367" i="32"/>
  <c r="AI247" i="32"/>
  <c r="AI557" i="32"/>
  <c r="AI305" i="32"/>
  <c r="AI141" i="32"/>
  <c r="AI511" i="32"/>
  <c r="AI319" i="32"/>
  <c r="AI74" i="32"/>
  <c r="AI522" i="32"/>
  <c r="AI271" i="32"/>
  <c r="AI15" i="32"/>
  <c r="AI515" i="32"/>
  <c r="AI241" i="32"/>
  <c r="AI16" i="32"/>
  <c r="AI443" i="32"/>
  <c r="AI162" i="32"/>
  <c r="AI193" i="32"/>
  <c r="AI419" i="32"/>
  <c r="AI399" i="32"/>
  <c r="AI202" i="32"/>
  <c r="AI177" i="32"/>
  <c r="B255" i="2"/>
  <c r="B219" i="2"/>
  <c r="B439" i="2" l="1"/>
  <c r="D439" i="2"/>
  <c r="B211" i="2" l="1"/>
  <c r="E28" i="23" l="1"/>
  <c r="D28" i="23"/>
  <c r="C28" i="23"/>
  <c r="G28" i="23" l="1"/>
  <c r="H28" i="23" s="1"/>
  <c r="O10" i="2" l="1"/>
  <c r="B286" i="2" l="1"/>
  <c r="B151" i="2"/>
  <c r="B289" i="2"/>
  <c r="J19" i="23" l="1"/>
  <c r="I19" i="23"/>
  <c r="H19" i="23"/>
  <c r="G19" i="23"/>
  <c r="P19" i="23" s="1"/>
  <c r="J18" i="23"/>
  <c r="I18" i="23"/>
  <c r="H18" i="23"/>
  <c r="G18" i="23"/>
  <c r="P18" i="23" s="1"/>
  <c r="J17" i="23"/>
  <c r="I17" i="23"/>
  <c r="H17" i="23"/>
  <c r="G17" i="23"/>
  <c r="P17" i="23" s="1"/>
  <c r="J16" i="23"/>
  <c r="I16" i="23"/>
  <c r="H16" i="23"/>
  <c r="G16" i="23"/>
  <c r="P16" i="23" s="1"/>
  <c r="J15" i="23"/>
  <c r="I15" i="23"/>
  <c r="H15" i="23"/>
  <c r="G15" i="23"/>
  <c r="P15" i="23" s="1"/>
  <c r="J14" i="23"/>
  <c r="I14" i="23"/>
  <c r="H14" i="23"/>
  <c r="G14" i="23"/>
  <c r="P14" i="23" s="1"/>
  <c r="J13" i="23"/>
  <c r="I13" i="23"/>
  <c r="H13" i="23"/>
  <c r="G13" i="23"/>
  <c r="P13" i="23" s="1"/>
  <c r="J12" i="23"/>
  <c r="I12" i="23"/>
  <c r="H12" i="23"/>
  <c r="G12" i="23"/>
  <c r="P12" i="23" s="1"/>
  <c r="J11" i="23"/>
  <c r="I11" i="23"/>
  <c r="H11" i="23"/>
  <c r="G11" i="23"/>
  <c r="P11" i="23" s="1"/>
  <c r="J10" i="23"/>
  <c r="I10" i="23"/>
  <c r="H10" i="23"/>
  <c r="G10" i="23"/>
  <c r="P10" i="23" s="1"/>
  <c r="J9" i="23"/>
  <c r="I9" i="23"/>
  <c r="H9" i="23"/>
  <c r="G9" i="23"/>
  <c r="P9" i="23" s="1"/>
  <c r="J8" i="23"/>
  <c r="I8" i="23"/>
  <c r="H8" i="23"/>
  <c r="G8" i="23"/>
  <c r="P8" i="23" s="1"/>
  <c r="J7" i="23"/>
  <c r="I7" i="23"/>
  <c r="H7" i="23"/>
  <c r="G7" i="23"/>
  <c r="P7" i="23" s="1"/>
  <c r="J6" i="23"/>
  <c r="I6" i="23"/>
  <c r="H6" i="23"/>
  <c r="G6" i="23"/>
  <c r="P6" i="23" s="1"/>
  <c r="J5" i="23"/>
  <c r="I5" i="23"/>
  <c r="H5" i="23"/>
  <c r="G5" i="23"/>
  <c r="P5" i="23" s="1"/>
  <c r="J4" i="23"/>
  <c r="I4" i="23"/>
  <c r="H4" i="23"/>
  <c r="J3" i="23"/>
  <c r="I3" i="23"/>
  <c r="H3" i="23"/>
  <c r="G3" i="23"/>
  <c r="G4" i="23"/>
  <c r="P4" i="23" s="1"/>
  <c r="J2" i="8"/>
  <c r="L11" i="23" l="1"/>
  <c r="M18" i="23"/>
  <c r="N18" i="23"/>
  <c r="O14" i="23"/>
  <c r="M4" i="23"/>
  <c r="M6" i="23"/>
  <c r="N11" i="23"/>
  <c r="M13" i="23"/>
  <c r="L8" i="23"/>
  <c r="M15" i="23"/>
  <c r="L17" i="23"/>
  <c r="L4" i="23"/>
  <c r="L6" i="23"/>
  <c r="O9" i="23"/>
  <c r="M11" i="23"/>
  <c r="L13" i="23"/>
  <c r="L15" i="23"/>
  <c r="O16" i="23"/>
  <c r="O18" i="23"/>
  <c r="N4" i="23"/>
  <c r="N6" i="23"/>
  <c r="M8" i="23"/>
  <c r="L10" i="23"/>
  <c r="O11" i="23"/>
  <c r="N13" i="23"/>
  <c r="N15" i="23"/>
  <c r="M17" i="23"/>
  <c r="L19" i="23"/>
  <c r="O4" i="23"/>
  <c r="O6" i="23"/>
  <c r="N8" i="23"/>
  <c r="M10" i="23"/>
  <c r="O13" i="23"/>
  <c r="O15" i="23"/>
  <c r="N17" i="23"/>
  <c r="M19" i="23"/>
  <c r="L5" i="23"/>
  <c r="L7" i="23"/>
  <c r="O8" i="23"/>
  <c r="N10" i="23"/>
  <c r="L12" i="23"/>
  <c r="L14" i="23"/>
  <c r="O17" i="23"/>
  <c r="N19" i="23"/>
  <c r="M5" i="23"/>
  <c r="M7" i="23"/>
  <c r="L9" i="23"/>
  <c r="O10" i="23"/>
  <c r="M12" i="23"/>
  <c r="M14" i="23"/>
  <c r="L16" i="23"/>
  <c r="L18" i="23"/>
  <c r="O19" i="23"/>
  <c r="N5" i="23"/>
  <c r="N7" i="23"/>
  <c r="M9" i="23"/>
  <c r="N12" i="23"/>
  <c r="N14" i="23"/>
  <c r="M16" i="23"/>
  <c r="O5" i="23"/>
  <c r="O7" i="23"/>
  <c r="N9" i="23"/>
  <c r="O12" i="23"/>
  <c r="N16" i="23"/>
  <c r="B281" i="2"/>
  <c r="U6" i="32" l="1"/>
  <c r="R6" i="31"/>
  <c r="E5" i="32"/>
  <c r="E4" i="32"/>
  <c r="R5" i="23"/>
  <c r="B264" i="2"/>
  <c r="E7" i="32" s="1"/>
  <c r="R74" i="23"/>
  <c r="R66" i="23"/>
  <c r="R75" i="23"/>
  <c r="R10" i="23"/>
  <c r="R69" i="23"/>
  <c r="R67" i="23"/>
  <c r="R68" i="23"/>
  <c r="R62" i="23"/>
  <c r="R70" i="23"/>
  <c r="R65" i="23"/>
  <c r="R63" i="23"/>
  <c r="R71" i="23"/>
  <c r="R14" i="23"/>
  <c r="R73" i="23"/>
  <c r="R64" i="23"/>
  <c r="R72" i="23"/>
  <c r="R77" i="23"/>
  <c r="R76" i="23"/>
  <c r="R11" i="23"/>
  <c r="R13" i="23"/>
  <c r="R15" i="23"/>
  <c r="R8" i="23"/>
  <c r="R9" i="23"/>
  <c r="R12" i="23"/>
  <c r="R16" i="23"/>
  <c r="R17" i="23"/>
  <c r="R7" i="23"/>
  <c r="R6" i="23"/>
  <c r="R18" i="23"/>
  <c r="R19" i="23"/>
  <c r="R4" i="23"/>
  <c r="D625" i="32" l="1"/>
  <c r="AM611" i="32"/>
  <c r="AM544" i="32"/>
  <c r="AM561" i="32"/>
  <c r="AM607" i="32"/>
  <c r="AM601" i="32"/>
  <c r="AM534" i="32"/>
  <c r="AM507" i="32"/>
  <c r="AM452" i="32"/>
  <c r="AM363" i="32"/>
  <c r="AM326" i="32"/>
  <c r="AM269" i="32"/>
  <c r="AM199" i="32"/>
  <c r="AM477" i="32"/>
  <c r="AM438" i="32"/>
  <c r="AM390" i="32"/>
  <c r="AM296" i="32"/>
  <c r="AM274" i="32"/>
  <c r="AM156" i="32"/>
  <c r="AM515" i="32"/>
  <c r="AM454" i="32"/>
  <c r="AM403" i="32"/>
  <c r="AM293" i="32"/>
  <c r="AM249" i="32"/>
  <c r="AM554" i="32"/>
  <c r="AM497" i="32"/>
  <c r="AM398" i="32"/>
  <c r="AM355" i="32"/>
  <c r="AM297" i="32"/>
  <c r="AM227" i="32"/>
  <c r="AM149" i="32"/>
  <c r="AM127" i="32"/>
  <c r="AM596" i="32"/>
  <c r="AM528" i="32"/>
  <c r="AM408" i="32"/>
  <c r="AM412" i="32"/>
  <c r="AM366" i="32"/>
  <c r="AM244" i="32"/>
  <c r="AM193" i="32"/>
  <c r="AM152" i="32"/>
  <c r="AM137" i="32"/>
  <c r="AM512" i="32"/>
  <c r="AM552" i="32"/>
  <c r="AM424" i="32"/>
  <c r="AM341" i="32"/>
  <c r="AM278" i="32"/>
  <c r="AM532" i="32"/>
  <c r="AM479" i="32"/>
  <c r="AM431" i="32"/>
  <c r="AM303" i="32"/>
  <c r="AM214" i="32"/>
  <c r="AM155" i="32"/>
  <c r="AM74" i="32"/>
  <c r="AM182" i="32"/>
  <c r="AM288" i="32"/>
  <c r="AM35" i="32"/>
  <c r="AM70" i="32"/>
  <c r="AM223" i="32"/>
  <c r="AM284" i="32"/>
  <c r="AM17" i="32"/>
  <c r="AM46" i="32"/>
  <c r="AM457" i="32"/>
  <c r="AM211" i="32"/>
  <c r="AM142" i="32"/>
  <c r="AM90" i="32"/>
  <c r="AM568" i="32"/>
  <c r="AM191" i="32"/>
  <c r="AM89" i="32"/>
  <c r="AM118" i="32"/>
  <c r="AM24" i="32"/>
  <c r="AM236" i="32"/>
  <c r="AM213" i="32"/>
  <c r="AM166" i="32"/>
  <c r="AM501" i="32"/>
  <c r="AM154" i="32"/>
  <c r="AM104" i="32"/>
  <c r="AM115" i="32"/>
  <c r="AM589" i="32"/>
  <c r="AM613" i="32"/>
  <c r="AM537" i="32"/>
  <c r="AM588" i="32"/>
  <c r="AM593" i="32"/>
  <c r="AM567" i="32"/>
  <c r="AM482" i="32"/>
  <c r="AM381" i="32"/>
  <c r="AM359" i="32"/>
  <c r="AM329" i="32"/>
  <c r="AM209" i="32"/>
  <c r="AM161" i="32"/>
  <c r="AM535" i="32"/>
  <c r="AM417" i="32"/>
  <c r="AM453" i="32"/>
  <c r="AM309" i="32"/>
  <c r="AM216" i="32"/>
  <c r="AM131" i="32"/>
  <c r="AM542" i="32"/>
  <c r="AM435" i="32"/>
  <c r="AM386" i="32"/>
  <c r="AM590" i="32"/>
  <c r="AM603" i="32"/>
  <c r="AM584" i="32"/>
  <c r="AM553" i="32"/>
  <c r="AM585" i="32"/>
  <c r="AM558" i="32"/>
  <c r="AM444" i="32"/>
  <c r="AM429" i="32"/>
  <c r="AM372" i="32"/>
  <c r="AM385" i="32"/>
  <c r="AM243" i="32"/>
  <c r="AM606" i="32"/>
  <c r="AM480" i="32"/>
  <c r="AM377" i="32"/>
  <c r="AM358" i="32"/>
  <c r="AM324" i="32"/>
  <c r="AM207" i="32"/>
  <c r="AM187" i="32"/>
  <c r="AM517" i="32"/>
  <c r="AM436" i="32"/>
  <c r="AM353" i="32"/>
  <c r="AM595" i="32"/>
  <c r="AM582" i="32"/>
  <c r="AM608" i="32"/>
  <c r="AM580" i="32"/>
  <c r="AM575" i="32"/>
  <c r="AM546" i="32"/>
  <c r="AM499" i="32"/>
  <c r="AM415" i="32"/>
  <c r="AM357" i="32"/>
  <c r="AM270" i="32"/>
  <c r="AM328" i="32"/>
  <c r="AM559" i="32"/>
  <c r="AM442" i="32"/>
  <c r="AM414" i="32"/>
  <c r="AM371" i="32"/>
  <c r="AM310" i="32"/>
  <c r="AM238" i="32"/>
  <c r="AM612" i="32"/>
  <c r="AM548" i="32"/>
  <c r="AM416" i="32"/>
  <c r="AM421" i="32"/>
  <c r="AM308" i="32"/>
  <c r="AM251" i="32"/>
  <c r="AM564" i="32"/>
  <c r="AM496" i="32"/>
  <c r="AM382" i="32"/>
  <c r="AM443" i="32"/>
  <c r="AM263" i="32"/>
  <c r="AM141" i="32"/>
  <c r="AM151" i="32"/>
  <c r="AM122" i="32"/>
  <c r="AM556" i="32"/>
  <c r="AM503" i="32"/>
  <c r="AM393" i="32"/>
  <c r="AM315" i="32"/>
  <c r="AM335" i="32"/>
  <c r="AM240" i="32"/>
  <c r="AM133" i="32"/>
  <c r="AM103" i="32"/>
  <c r="AM557" i="32"/>
  <c r="AM466" i="32"/>
  <c r="AM551" i="32"/>
  <c r="AM368" i="32"/>
  <c r="AM280" i="32"/>
  <c r="AM232" i="32"/>
  <c r="AM478" i="32"/>
  <c r="AM460" i="32"/>
  <c r="AM347" i="32"/>
  <c r="AM302" i="32"/>
  <c r="AM266" i="32"/>
  <c r="AM41" i="32"/>
  <c r="G635" i="32"/>
  <c r="AM458" i="32"/>
  <c r="AM134" i="32"/>
  <c r="AM99" i="32"/>
  <c r="AM92" i="32"/>
  <c r="AM455" i="32"/>
  <c r="AM128" i="32"/>
  <c r="AM97" i="32"/>
  <c r="AM19" i="32"/>
  <c r="AM273" i="32"/>
  <c r="AM87" i="32"/>
  <c r="AM285" i="32"/>
  <c r="AM396" i="32"/>
  <c r="AM356" i="32"/>
  <c r="AM126" i="32"/>
  <c r="AM100" i="32"/>
  <c r="AM120" i="32"/>
  <c r="AM320" i="32"/>
  <c r="AM135" i="32"/>
  <c r="AM53" i="32"/>
  <c r="AM15" i="32"/>
  <c r="AM316" i="32"/>
  <c r="AM59" i="32"/>
  <c r="AM47" i="32"/>
  <c r="AM562" i="32"/>
  <c r="AM587" i="32"/>
  <c r="AM602" i="32"/>
  <c r="AM541" i="32"/>
  <c r="AM579" i="32"/>
  <c r="AM539" i="32"/>
  <c r="AM475" i="32"/>
  <c r="AM427" i="32"/>
  <c r="AM301" i="32"/>
  <c r="AM262" i="32"/>
  <c r="AM198" i="32"/>
  <c r="AM576" i="32"/>
  <c r="AM489" i="32"/>
  <c r="AM407" i="32"/>
  <c r="AM361" i="32"/>
  <c r="AM260" i="32"/>
  <c r="AM261" i="32"/>
  <c r="AM592" i="32"/>
  <c r="AM476" i="32"/>
  <c r="AM375" i="32"/>
  <c r="AM423" i="32"/>
  <c r="AM323" i="32"/>
  <c r="AM206" i="32"/>
  <c r="AM510" i="32"/>
  <c r="AM550" i="32"/>
  <c r="AM344" i="32"/>
  <c r="AM298" i="32"/>
  <c r="AM311" i="32"/>
  <c r="AM179" i="32"/>
  <c r="AM28" i="32"/>
  <c r="AM30" i="32"/>
  <c r="AM498" i="32"/>
  <c r="AM449" i="32"/>
  <c r="AM465" i="32"/>
  <c r="AM333" i="32"/>
  <c r="AM332" i="32"/>
  <c r="AM177" i="32"/>
  <c r="AM62" i="32"/>
  <c r="AM45" i="32"/>
  <c r="AM569" i="32"/>
  <c r="AM486" i="32"/>
  <c r="AM440" i="32"/>
  <c r="AM313" i="32"/>
  <c r="AM305" i="32"/>
  <c r="AM570" i="32"/>
  <c r="AM483" i="32"/>
  <c r="AM383" i="32"/>
  <c r="AM362" i="32"/>
  <c r="AM334" i="32"/>
  <c r="AM233" i="32"/>
  <c r="AM83" i="32"/>
  <c r="AM38" i="32"/>
  <c r="AM373" i="32"/>
  <c r="AM167" i="32"/>
  <c r="AM94" i="32"/>
  <c r="AM25" i="32"/>
  <c r="AM384" i="32"/>
  <c r="AM164" i="32"/>
  <c r="AM79" i="32"/>
  <c r="AM597" i="32"/>
  <c r="AM275" i="32"/>
  <c r="AM181" i="32"/>
  <c r="AM241" i="32"/>
  <c r="AM158" i="32"/>
  <c r="AM337" i="32"/>
  <c r="AM84" i="32"/>
  <c r="AM205" i="32"/>
  <c r="AM229" i="32"/>
  <c r="AM346" i="32"/>
  <c r="AM125" i="32"/>
  <c r="AM96" i="32"/>
  <c r="AM20" i="32"/>
  <c r="AM228" i="32"/>
  <c r="AM73" i="32"/>
  <c r="AM37" i="32"/>
  <c r="AM573" i="32"/>
  <c r="AM578" i="32"/>
  <c r="AM581" i="32"/>
  <c r="AM524" i="32"/>
  <c r="AM586" i="32"/>
  <c r="AM523" i="32"/>
  <c r="AM526" i="32"/>
  <c r="AM422" i="32"/>
  <c r="AM349" i="32"/>
  <c r="AM283" i="32"/>
  <c r="AM215" i="32"/>
  <c r="AM529" i="32"/>
  <c r="AM474" i="32"/>
  <c r="AM404" i="32"/>
  <c r="AM295" i="32"/>
  <c r="AM254" i="32"/>
  <c r="AM196" i="32"/>
  <c r="AM566" i="32"/>
  <c r="AM506" i="32"/>
  <c r="AM406" i="32"/>
  <c r="AM367" i="32"/>
  <c r="AM300" i="32"/>
  <c r="AM610" i="32"/>
  <c r="AM533" i="32"/>
  <c r="AM410" i="32"/>
  <c r="AM413" i="32"/>
  <c r="AM299" i="32"/>
  <c r="AM248" i="32"/>
  <c r="AM202" i="32"/>
  <c r="AM153" i="32"/>
  <c r="AM27" i="32"/>
  <c r="AM540" i="32"/>
  <c r="AM462" i="32"/>
  <c r="AM378" i="32"/>
  <c r="AM397" i="32"/>
  <c r="AM255" i="32"/>
  <c r="AM231" i="32"/>
  <c r="AM150" i="32"/>
  <c r="AM138" i="32"/>
  <c r="AM531" i="32"/>
  <c r="AM500" i="32"/>
  <c r="AM456" i="32"/>
  <c r="AM307" i="32"/>
  <c r="AM312" i="32"/>
  <c r="AM565" i="32"/>
  <c r="AM445" i="32"/>
  <c r="AM437" i="32"/>
  <c r="AM411" i="32"/>
  <c r="AM287" i="32"/>
  <c r="AM57" i="32"/>
  <c r="AM18" i="32"/>
  <c r="BA625" i="32"/>
  <c r="AM321" i="32"/>
  <c r="AM218" i="32"/>
  <c r="AM40" i="32"/>
  <c r="AM56" i="32"/>
  <c r="AM306" i="32"/>
  <c r="AM208" i="32"/>
  <c r="AM197" i="32"/>
  <c r="AM519" i="32"/>
  <c r="AM234" i="32"/>
  <c r="AM32" i="32"/>
  <c r="AM136" i="32"/>
  <c r="AM188" i="32"/>
  <c r="AM237" i="32"/>
  <c r="AM106" i="32"/>
  <c r="AM121" i="32"/>
  <c r="AM172" i="32"/>
  <c r="AM265" i="32"/>
  <c r="AM71" i="32"/>
  <c r="AM91" i="32"/>
  <c r="AM13" i="32"/>
  <c r="AM221" i="32"/>
  <c r="AM190" i="32"/>
  <c r="AM69" i="32"/>
  <c r="AM545" i="32"/>
  <c r="AM560" i="32"/>
  <c r="AM609" i="32"/>
  <c r="AM538" i="32"/>
  <c r="AM604" i="32"/>
  <c r="AM481" i="32"/>
  <c r="AM448" i="32"/>
  <c r="AM401" i="32"/>
  <c r="AM304" i="32"/>
  <c r="AM277" i="32"/>
  <c r="AM160" i="32"/>
  <c r="AM521" i="32"/>
  <c r="AM432" i="32"/>
  <c r="AM418" i="32"/>
  <c r="AM342" i="32"/>
  <c r="AM271" i="32"/>
  <c r="AM203" i="32"/>
  <c r="AM555" i="32"/>
  <c r="AM472" i="32"/>
  <c r="AM399" i="32"/>
  <c r="AM348" i="32"/>
  <c r="AM246" i="32"/>
  <c r="AM605" i="32"/>
  <c r="AM473" i="32"/>
  <c r="AM370" i="32"/>
  <c r="AM395" i="32"/>
  <c r="AM292" i="32"/>
  <c r="AM200" i="32"/>
  <c r="AM184" i="32"/>
  <c r="AM75" i="32"/>
  <c r="AM86" i="32"/>
  <c r="AM504" i="32"/>
  <c r="AM471" i="32"/>
  <c r="AM400" i="32"/>
  <c r="AM379" i="32"/>
  <c r="AM294" i="32"/>
  <c r="AM159" i="32"/>
  <c r="AM21" i="32"/>
  <c r="AM14" i="32"/>
  <c r="AM491" i="32"/>
  <c r="AM434" i="32"/>
  <c r="AM426" i="32"/>
  <c r="AM319" i="32"/>
  <c r="AM286" i="32"/>
  <c r="AM549" i="32"/>
  <c r="AM522" i="32"/>
  <c r="AM433" i="32"/>
  <c r="AM365" i="32"/>
  <c r="AM217" i="32"/>
  <c r="AM58" i="32"/>
  <c r="AM31" i="32"/>
  <c r="AM380" i="32"/>
  <c r="AM268" i="32"/>
  <c r="AM129" i="32"/>
  <c r="AM63" i="32"/>
  <c r="AM402" i="32"/>
  <c r="AM250" i="32"/>
  <c r="AM123" i="32"/>
  <c r="AM49" i="32"/>
  <c r="AM571" i="32"/>
  <c r="AM212" i="32"/>
  <c r="AM98" i="32"/>
  <c r="AM43" i="32"/>
  <c r="AM80" i="32"/>
  <c r="AM220" i="32"/>
  <c r="AM264" i="32"/>
  <c r="AM114" i="32"/>
  <c r="AM76" i="32"/>
  <c r="AM226" i="32"/>
  <c r="AM78" i="32"/>
  <c r="AM93" i="32"/>
  <c r="AM547" i="32"/>
  <c r="AM173" i="32"/>
  <c r="AM66" i="32"/>
  <c r="AM282" i="32"/>
  <c r="AM591" i="32"/>
  <c r="AM345" i="32"/>
  <c r="AM258" i="32"/>
  <c r="AM257" i="32"/>
  <c r="AM514" i="32"/>
  <c r="AM247" i="32"/>
  <c r="AM82" i="32"/>
  <c r="AM464" i="32"/>
  <c r="AM290" i="32"/>
  <c r="AM72" i="32"/>
  <c r="AM450" i="32"/>
  <c r="AM336" i="32"/>
  <c r="AM484" i="32"/>
  <c r="AM428" i="32"/>
  <c r="AM95" i="32"/>
  <c r="AM52" i="32"/>
  <c r="AM495" i="32"/>
  <c r="AM54" i="32"/>
  <c r="AM165" i="32"/>
  <c r="AM369" i="32"/>
  <c r="AM26" i="32"/>
  <c r="AM88" i="32"/>
  <c r="AM338" i="32"/>
  <c r="AM50" i="32"/>
  <c r="AM508" i="32"/>
  <c r="AM543" i="32"/>
  <c r="AM594" i="32"/>
  <c r="AM132" i="32"/>
  <c r="AM430" i="32"/>
  <c r="AM530" i="32"/>
  <c r="AM513" i="32"/>
  <c r="AM245" i="32"/>
  <c r="AM600" i="32"/>
  <c r="AM490" i="32"/>
  <c r="AM239" i="32"/>
  <c r="AM81" i="32"/>
  <c r="AM441" i="32"/>
  <c r="AM219" i="32"/>
  <c r="AM425" i="32"/>
  <c r="AM171" i="32"/>
  <c r="AM23" i="32"/>
  <c r="AM22" i="32"/>
  <c r="AM145" i="32"/>
  <c r="AM350" i="32"/>
  <c r="AM34" i="32"/>
  <c r="AM139" i="32"/>
  <c r="AM509" i="32"/>
  <c r="AM112" i="32"/>
  <c r="AM110" i="32"/>
  <c r="AM598" i="32"/>
  <c r="AM577" i="32"/>
  <c r="AM409" i="32"/>
  <c r="AM583" i="32"/>
  <c r="AM330" i="32"/>
  <c r="AM194" i="32"/>
  <c r="AM599" i="32"/>
  <c r="AM351" i="32"/>
  <c r="AM222" i="32"/>
  <c r="AM574" i="32"/>
  <c r="AM376" i="32"/>
  <c r="AM253" i="32"/>
  <c r="AM420" i="32"/>
  <c r="AM61" i="32"/>
  <c r="AM520" i="32"/>
  <c r="AM64" i="32"/>
  <c r="AM29" i="32"/>
  <c r="AM327" i="32"/>
  <c r="AM174" i="32"/>
  <c r="AM116" i="32"/>
  <c r="AM451" i="32"/>
  <c r="AM143" i="32"/>
  <c r="AM113" i="32"/>
  <c r="AM536" i="32"/>
  <c r="AM447" i="32"/>
  <c r="AM340" i="32"/>
  <c r="AM502" i="32"/>
  <c r="AM331" i="32"/>
  <c r="AM192" i="32"/>
  <c r="AM527" i="32"/>
  <c r="AM354" i="32"/>
  <c r="AM180" i="32"/>
  <c r="AM563" i="32"/>
  <c r="AM364" i="32"/>
  <c r="AM525" i="32"/>
  <c r="AM388" i="32"/>
  <c r="AM102" i="32"/>
  <c r="AM276" i="32"/>
  <c r="AM44" i="32"/>
  <c r="AM117" i="32"/>
  <c r="AM178" i="32"/>
  <c r="AM101" i="32"/>
  <c r="AM162" i="32"/>
  <c r="AM201" i="32"/>
  <c r="AM235" i="32"/>
  <c r="AM42" i="32"/>
  <c r="AM461" i="32"/>
  <c r="AM289" i="32"/>
  <c r="AM339" i="32"/>
  <c r="AM468" i="32"/>
  <c r="AM146" i="32"/>
  <c r="AM419" i="32"/>
  <c r="AM494" i="32"/>
  <c r="AM204" i="32"/>
  <c r="AM48" i="32"/>
  <c r="AM487" i="32"/>
  <c r="AM183" i="32"/>
  <c r="AM85" i="32"/>
  <c r="AM459" i="32"/>
  <c r="AM318" i="32"/>
  <c r="AM242" i="32"/>
  <c r="AM470" i="32"/>
  <c r="AM176" i="32"/>
  <c r="AM352" i="32"/>
  <c r="AM439" i="32"/>
  <c r="AM163" i="32"/>
  <c r="AM16" i="32"/>
  <c r="AM387" i="32"/>
  <c r="AM186" i="32"/>
  <c r="AM195" i="32"/>
  <c r="AM317" i="32"/>
  <c r="AM272" i="32"/>
  <c r="AM405" i="32"/>
  <c r="AM492" i="32"/>
  <c r="AM124" i="32"/>
  <c r="AM259" i="32"/>
  <c r="AM169" i="32"/>
  <c r="AM119" i="32"/>
  <c r="AM281" i="32"/>
  <c r="AM210" i="32"/>
  <c r="AM107" i="32"/>
  <c r="AM322" i="32"/>
  <c r="AM108" i="32"/>
  <c r="AM225" i="32"/>
  <c r="AM256" i="32"/>
  <c r="AM224" i="32"/>
  <c r="AM391" i="32"/>
  <c r="AM77" i="32"/>
  <c r="AM230" i="32"/>
  <c r="AM147" i="32"/>
  <c r="AM60" i="32"/>
  <c r="AM446" i="32"/>
  <c r="AM170" i="32"/>
  <c r="AM148" i="32"/>
  <c r="AM518" i="32"/>
  <c r="AM505" i="32"/>
  <c r="AM67" i="32"/>
  <c r="AM168" i="32"/>
  <c r="AM185" i="32"/>
  <c r="AM343" i="32"/>
  <c r="AM493" i="32"/>
  <c r="AM36" i="32"/>
  <c r="AM360" i="32"/>
  <c r="AM469" i="32"/>
  <c r="AM140" i="32"/>
  <c r="AM325" i="32"/>
  <c r="AM488" i="32"/>
  <c r="AM485" i="32"/>
  <c r="AM109" i="32"/>
  <c r="AM105" i="32"/>
  <c r="AM157" i="32"/>
  <c r="AM55" i="32"/>
  <c r="AM374" i="32"/>
  <c r="AM68" i="32"/>
  <c r="AM279" i="32"/>
  <c r="AM511" i="32"/>
  <c r="AM33" i="32"/>
  <c r="AM314" i="32"/>
  <c r="AM392" i="32"/>
  <c r="AM467" i="32"/>
  <c r="AM65" i="32"/>
  <c r="AM394" i="32"/>
  <c r="AM144" i="32"/>
  <c r="AM51" i="32"/>
  <c r="AM111" i="32"/>
  <c r="AM291" i="32"/>
  <c r="AM572" i="32"/>
  <c r="AM389" i="32"/>
  <c r="AM175" i="32"/>
  <c r="AM252" i="32"/>
  <c r="AM516" i="32"/>
  <c r="AM267" i="32"/>
  <c r="AM463" i="32"/>
  <c r="AM130" i="32"/>
  <c r="AM39" i="32"/>
  <c r="AM189" i="32"/>
  <c r="AJ588" i="32"/>
  <c r="AJ525" i="32"/>
  <c r="AJ461" i="32"/>
  <c r="AJ348" i="32"/>
  <c r="AJ327" i="32"/>
  <c r="AJ230" i="32"/>
  <c r="AJ223" i="32"/>
  <c r="AJ126" i="32"/>
  <c r="AJ76" i="32"/>
  <c r="AJ608" i="32"/>
  <c r="AJ579" i="32"/>
  <c r="AJ488" i="32"/>
  <c r="AJ407" i="32"/>
  <c r="AJ292" i="32"/>
  <c r="AJ334" i="32"/>
  <c r="AJ162" i="32"/>
  <c r="AJ117" i="32"/>
  <c r="AJ75" i="32"/>
  <c r="AJ28" i="32"/>
  <c r="AJ576" i="32"/>
  <c r="AJ514" i="32"/>
  <c r="AJ464" i="32"/>
  <c r="AJ471" i="32"/>
  <c r="AJ310" i="32"/>
  <c r="AJ309" i="32"/>
  <c r="AJ191" i="32"/>
  <c r="AJ111" i="32"/>
  <c r="AJ135" i="32"/>
  <c r="AJ27" i="32"/>
  <c r="AJ596" i="32"/>
  <c r="AJ508" i="32"/>
  <c r="AJ491" i="32"/>
  <c r="AJ393" i="32"/>
  <c r="AJ371" i="32"/>
  <c r="AJ293" i="32"/>
  <c r="AJ151" i="32"/>
  <c r="AJ69" i="32"/>
  <c r="AJ139" i="32"/>
  <c r="AJ599" i="32"/>
  <c r="AJ556" i="32"/>
  <c r="AJ496" i="32"/>
  <c r="AJ547" i="32"/>
  <c r="AJ418" i="32"/>
  <c r="AJ302" i="32"/>
  <c r="AJ249" i="32"/>
  <c r="AJ156" i="32"/>
  <c r="AJ25" i="32"/>
  <c r="AJ17" i="32"/>
  <c r="AJ601" i="32"/>
  <c r="AJ420" i="32"/>
  <c r="AJ352" i="32"/>
  <c r="AJ59" i="32"/>
  <c r="AJ565" i="32"/>
  <c r="AJ501" i="32"/>
  <c r="AJ438" i="32"/>
  <c r="AJ346" i="32"/>
  <c r="AJ326" i="32"/>
  <c r="AJ215" i="32"/>
  <c r="AJ211" i="32"/>
  <c r="AJ121" i="32"/>
  <c r="AJ63" i="32"/>
  <c r="AJ572" i="32"/>
  <c r="AJ499" i="32"/>
  <c r="AJ456" i="32"/>
  <c r="AJ431" i="32"/>
  <c r="AJ419" i="32"/>
  <c r="AJ262" i="32"/>
  <c r="AJ181" i="32"/>
  <c r="AJ92" i="32"/>
  <c r="AJ127" i="32"/>
  <c r="AJ16" i="32"/>
  <c r="AJ529" i="32"/>
  <c r="AJ441" i="32"/>
  <c r="AJ442" i="32"/>
  <c r="AJ358" i="32"/>
  <c r="AJ317" i="32"/>
  <c r="AJ298" i="32"/>
  <c r="AJ143" i="32"/>
  <c r="AJ132" i="32"/>
  <c r="AJ604" i="32"/>
  <c r="AJ580" i="32"/>
  <c r="AJ483" i="32"/>
  <c r="AJ433" i="32"/>
  <c r="AJ324" i="32"/>
  <c r="AJ279" i="32"/>
  <c r="AJ213" i="32"/>
  <c r="AJ149" i="32"/>
  <c r="AJ89" i="32"/>
  <c r="AJ120" i="32"/>
  <c r="AJ559" i="32"/>
  <c r="AJ451" i="32"/>
  <c r="AJ459" i="32"/>
  <c r="AJ454" i="32"/>
  <c r="AJ350" i="32"/>
  <c r="AJ226" i="32"/>
  <c r="AJ177" i="32"/>
  <c r="AJ35" i="32"/>
  <c r="AJ18" i="32"/>
  <c r="AJ520" i="32"/>
  <c r="AJ259" i="32"/>
  <c r="AJ93" i="32"/>
  <c r="AJ408" i="32"/>
  <c r="AJ124" i="32"/>
  <c r="AJ560" i="32"/>
  <c r="AJ367" i="32"/>
  <c r="AJ32" i="32"/>
  <c r="AJ400" i="32"/>
  <c r="AJ15" i="32"/>
  <c r="AJ492" i="32"/>
  <c r="AJ165" i="32"/>
  <c r="AJ597" i="32"/>
  <c r="AJ540" i="32"/>
  <c r="AJ377" i="32"/>
  <c r="AJ233" i="32"/>
  <c r="AJ66" i="32"/>
  <c r="AJ546" i="32"/>
  <c r="AJ507" i="32"/>
  <c r="AJ389" i="32"/>
  <c r="AJ354" i="32"/>
  <c r="AJ338" i="32"/>
  <c r="AJ201" i="32"/>
  <c r="AJ166" i="32"/>
  <c r="AJ105" i="32"/>
  <c r="AJ53" i="32"/>
  <c r="AJ550" i="32"/>
  <c r="AJ485" i="32"/>
  <c r="AJ504" i="32"/>
  <c r="AJ401" i="32"/>
  <c r="AJ319" i="32"/>
  <c r="AJ283" i="32"/>
  <c r="AJ199" i="32"/>
  <c r="AJ95" i="32"/>
  <c r="AJ58" i="32"/>
  <c r="AJ568" i="32"/>
  <c r="AJ482" i="32"/>
  <c r="AJ455" i="32"/>
  <c r="AJ427" i="32"/>
  <c r="AJ375" i="32"/>
  <c r="AJ254" i="32"/>
  <c r="AJ176" i="32"/>
  <c r="AJ86" i="32"/>
  <c r="AJ125" i="32"/>
  <c r="AJ582" i="32"/>
  <c r="AJ516" i="32"/>
  <c r="AJ445" i="32"/>
  <c r="AJ376" i="32"/>
  <c r="AJ321" i="32"/>
  <c r="AJ264" i="32"/>
  <c r="AJ203" i="32"/>
  <c r="AJ38" i="32"/>
  <c r="AJ581" i="32"/>
  <c r="AJ373" i="32"/>
  <c r="AJ242" i="32"/>
  <c r="AJ81" i="32"/>
  <c r="AJ545" i="32"/>
  <c r="AJ481" i="32"/>
  <c r="AJ406" i="32"/>
  <c r="AJ290" i="32"/>
  <c r="AJ329" i="32"/>
  <c r="AJ299" i="32"/>
  <c r="AJ115" i="32"/>
  <c r="AJ72" i="32"/>
  <c r="AJ101" i="32"/>
  <c r="AJ564" i="32"/>
  <c r="AJ517" i="32"/>
  <c r="AJ411" i="32"/>
  <c r="AJ363" i="32"/>
  <c r="AJ281" i="32"/>
  <c r="AJ256" i="32"/>
  <c r="AJ207" i="32"/>
  <c r="AJ87" i="32"/>
  <c r="AJ50" i="32"/>
  <c r="AJ587" i="32"/>
  <c r="AJ524" i="32"/>
  <c r="AJ475" i="32"/>
  <c r="AJ380" i="32"/>
  <c r="AJ330" i="32"/>
  <c r="AJ274" i="32"/>
  <c r="AJ219" i="32"/>
  <c r="AJ43" i="32"/>
  <c r="AJ94" i="32"/>
  <c r="AJ584" i="32"/>
  <c r="AJ474" i="32"/>
  <c r="AJ434" i="32"/>
  <c r="AJ368" i="32"/>
  <c r="AJ342" i="32"/>
  <c r="AJ222" i="32"/>
  <c r="AJ123" i="32"/>
  <c r="AJ180" i="32"/>
  <c r="AJ532" i="32"/>
  <c r="AJ355" i="32"/>
  <c r="AJ160" i="32"/>
  <c r="AJ575" i="32"/>
  <c r="AJ513" i="32"/>
  <c r="AJ462" i="32"/>
  <c r="AJ436" i="32"/>
  <c r="AJ300" i="32"/>
  <c r="AJ265" i="32"/>
  <c r="AJ185" i="32"/>
  <c r="AJ96" i="32"/>
  <c r="AJ131" i="32"/>
  <c r="AJ24" i="32"/>
  <c r="AJ534" i="32"/>
  <c r="AJ443" i="32"/>
  <c r="AJ372" i="32"/>
  <c r="AJ359" i="32"/>
  <c r="AJ322" i="32"/>
  <c r="AJ217" i="32"/>
  <c r="AJ147" i="32"/>
  <c r="AJ146" i="32"/>
  <c r="AJ52" i="32"/>
  <c r="AJ591" i="32"/>
  <c r="AJ480" i="32"/>
  <c r="AJ439" i="32"/>
  <c r="AJ435" i="32"/>
  <c r="AJ344" i="32"/>
  <c r="AJ236" i="32"/>
  <c r="AJ141" i="32"/>
  <c r="AJ221" i="32"/>
  <c r="AJ154" i="32"/>
  <c r="AJ567" i="32"/>
  <c r="AJ460" i="32"/>
  <c r="AJ463" i="32"/>
  <c r="AJ353" i="32"/>
  <c r="AJ351" i="32"/>
  <c r="AJ231" i="32"/>
  <c r="AJ179" i="32"/>
  <c r="AJ57" i="32"/>
  <c r="AJ21" i="32"/>
  <c r="AJ583" i="32"/>
  <c r="AJ536" i="32"/>
  <c r="AJ509" i="32"/>
  <c r="AJ404" i="32"/>
  <c r="AJ303" i="32"/>
  <c r="AJ356" i="32"/>
  <c r="AJ168" i="32"/>
  <c r="AJ83" i="32"/>
  <c r="AJ108" i="32"/>
  <c r="AJ51" i="32"/>
  <c r="AJ357" i="32"/>
  <c r="AJ138" i="32"/>
  <c r="AJ544" i="32"/>
  <c r="AJ240" i="32"/>
  <c r="AJ20" i="32"/>
  <c r="AJ428" i="32"/>
  <c r="AJ34" i="32"/>
  <c r="AJ489" i="32"/>
  <c r="AJ192" i="32"/>
  <c r="AJ551" i="32"/>
  <c r="AJ269" i="32"/>
  <c r="AJ91" i="32"/>
  <c r="AJ318" i="32"/>
  <c r="AJ594" i="32"/>
  <c r="AJ490" i="32"/>
  <c r="AJ339" i="32"/>
  <c r="AJ150" i="32"/>
  <c r="AJ136" i="32"/>
  <c r="AJ539" i="32"/>
  <c r="AJ432" i="32"/>
  <c r="AJ291" i="32"/>
  <c r="AJ157" i="32"/>
  <c r="AJ47" i="32"/>
  <c r="AJ477" i="32"/>
  <c r="AJ360" i="32"/>
  <c r="AJ237" i="32"/>
  <c r="AJ90" i="32"/>
  <c r="AJ585" i="32"/>
  <c r="AJ396" i="32"/>
  <c r="AJ276" i="32"/>
  <c r="AJ383" i="32"/>
  <c r="AJ555" i="32"/>
  <c r="AJ450" i="32"/>
  <c r="AJ296" i="32"/>
  <c r="AJ152" i="32"/>
  <c r="AJ42" i="32"/>
  <c r="AJ538" i="32"/>
  <c r="AJ402" i="32"/>
  <c r="AJ295" i="32"/>
  <c r="AJ107" i="32"/>
  <c r="AJ198" i="32"/>
  <c r="AJ502" i="32"/>
  <c r="AJ421" i="32"/>
  <c r="AJ248" i="32"/>
  <c r="AJ84" i="32"/>
  <c r="AJ526" i="32"/>
  <c r="AJ424" i="32"/>
  <c r="AJ268" i="32"/>
  <c r="AJ605" i="32"/>
  <c r="AJ202" i="32"/>
  <c r="AJ566" i="32"/>
  <c r="AJ413" i="32"/>
  <c r="AJ294" i="32"/>
  <c r="AJ210" i="32"/>
  <c r="AJ54" i="32"/>
  <c r="AJ503" i="32"/>
  <c r="AJ388" i="32"/>
  <c r="AJ277" i="32"/>
  <c r="AJ56" i="32"/>
  <c r="AJ606" i="32"/>
  <c r="AJ497" i="32"/>
  <c r="AJ336" i="32"/>
  <c r="AJ224" i="32"/>
  <c r="AJ97" i="32"/>
  <c r="AJ554" i="32"/>
  <c r="AJ391" i="32"/>
  <c r="AJ273" i="32"/>
  <c r="AJ145" i="32"/>
  <c r="AJ184" i="32"/>
  <c r="AJ574" i="32"/>
  <c r="AJ476" i="32"/>
  <c r="AJ448" i="32"/>
  <c r="AJ275" i="32"/>
  <c r="AJ208" i="32"/>
  <c r="AJ37" i="32"/>
  <c r="AJ171" i="32"/>
  <c r="AJ486" i="32"/>
  <c r="AJ78" i="32"/>
  <c r="AJ349" i="32"/>
  <c r="AJ100" i="32"/>
  <c r="AJ323" i="32"/>
  <c r="AJ578" i="32"/>
  <c r="AJ316" i="32"/>
  <c r="AJ523" i="32"/>
  <c r="AJ178" i="32"/>
  <c r="AJ430" i="32"/>
  <c r="AJ188" i="32"/>
  <c r="AJ592" i="32"/>
  <c r="AJ253" i="32"/>
  <c r="AJ271" i="32"/>
  <c r="AJ521" i="32"/>
  <c r="AJ385" i="32"/>
  <c r="AJ68" i="32"/>
  <c r="AJ510" i="32"/>
  <c r="AJ112" i="32"/>
  <c r="AJ458" i="32"/>
  <c r="AJ590" i="32"/>
  <c r="AJ227" i="32"/>
  <c r="AJ549" i="32"/>
  <c r="AJ378" i="32"/>
  <c r="AJ369" i="32"/>
  <c r="AJ159" i="32"/>
  <c r="AJ62" i="32"/>
  <c r="AJ487" i="32"/>
  <c r="AJ394" i="32"/>
  <c r="AJ241" i="32"/>
  <c r="AJ22" i="32"/>
  <c r="AJ612" i="32"/>
  <c r="AJ466" i="32"/>
  <c r="AJ332" i="32"/>
  <c r="AJ245" i="32"/>
  <c r="AJ44" i="32"/>
  <c r="AJ467" i="32"/>
  <c r="AJ414" i="32"/>
  <c r="AJ251" i="32"/>
  <c r="AJ85" i="32"/>
  <c r="AJ82" i="32"/>
  <c r="AJ603" i="32"/>
  <c r="AJ522" i="32"/>
  <c r="AJ365" i="32"/>
  <c r="AJ267" i="32"/>
  <c r="AJ232" i="32"/>
  <c r="AJ140" i="32"/>
  <c r="AJ39" i="32"/>
  <c r="AJ415" i="32"/>
  <c r="AJ113" i="32"/>
  <c r="AJ297" i="32"/>
  <c r="AJ167" i="32"/>
  <c r="AJ345" i="32"/>
  <c r="AJ553" i="32"/>
  <c r="AJ212" i="32"/>
  <c r="AJ468" i="32"/>
  <c r="AJ80" i="32"/>
  <c r="AJ412" i="32"/>
  <c r="AJ197" i="32"/>
  <c r="AJ500" i="32"/>
  <c r="AJ284" i="32"/>
  <c r="AJ99" i="32"/>
  <c r="AJ306" i="32"/>
  <c r="AJ170" i="32"/>
  <c r="AJ512" i="32"/>
  <c r="AJ493" i="32"/>
  <c r="AJ246" i="32"/>
  <c r="AJ600" i="32"/>
  <c r="AJ287" i="32"/>
  <c r="AJ60" i="32"/>
  <c r="AJ405" i="32"/>
  <c r="AJ193" i="32"/>
  <c r="AJ440" i="32"/>
  <c r="AJ266" i="32"/>
  <c r="AJ137" i="32"/>
  <c r="AJ495" i="32"/>
  <c r="AJ270" i="32"/>
  <c r="AJ98" i="32"/>
  <c r="AJ340" i="32"/>
  <c r="AJ250" i="32"/>
  <c r="AJ204" i="32"/>
  <c r="AJ403" i="32"/>
  <c r="AJ370" i="32"/>
  <c r="AJ429" i="32"/>
  <c r="AJ288" i="32"/>
  <c r="AJ446" i="32"/>
  <c r="AJ174" i="32"/>
  <c r="AJ506" i="32"/>
  <c r="AJ392" i="32"/>
  <c r="AJ286" i="32"/>
  <c r="AJ67" i="32"/>
  <c r="AJ607" i="32"/>
  <c r="AJ505" i="32"/>
  <c r="AJ337" i="32"/>
  <c r="AJ229" i="32"/>
  <c r="AJ104" i="32"/>
  <c r="AJ573" i="32"/>
  <c r="AJ469" i="32"/>
  <c r="AJ314" i="32"/>
  <c r="AJ183" i="32"/>
  <c r="AJ49" i="32"/>
  <c r="AJ498" i="32"/>
  <c r="AJ381" i="32"/>
  <c r="AJ252" i="32"/>
  <c r="AJ74" i="32"/>
  <c r="AJ103" i="32"/>
  <c r="AJ569" i="32"/>
  <c r="AJ479" i="32"/>
  <c r="AJ347" i="32"/>
  <c r="AJ260" i="32"/>
  <c r="AJ194" i="32"/>
  <c r="AJ73" i="32"/>
  <c r="AJ40" i="32"/>
  <c r="AJ305" i="32"/>
  <c r="AJ48" i="32"/>
  <c r="AJ331" i="32"/>
  <c r="AJ595" i="32"/>
  <c r="AJ225" i="32"/>
  <c r="AJ531" i="32"/>
  <c r="AJ169" i="32"/>
  <c r="AJ386" i="32"/>
  <c r="AJ71" i="32"/>
  <c r="AJ425" i="32"/>
  <c r="AJ36" i="32"/>
  <c r="AJ515" i="32"/>
  <c r="AJ234" i="32"/>
  <c r="AJ589" i="32"/>
  <c r="AJ64" i="32"/>
  <c r="BA624" i="32"/>
  <c r="AJ255" i="32"/>
  <c r="AJ409" i="32"/>
  <c r="AJ23" i="32"/>
  <c r="AJ478" i="32"/>
  <c r="AJ257" i="32"/>
  <c r="AJ562" i="32"/>
  <c r="AJ278" i="32"/>
  <c r="AJ26" i="32"/>
  <c r="AJ343" i="32"/>
  <c r="AJ106" i="32"/>
  <c r="AJ426" i="32"/>
  <c r="AJ116" i="32"/>
  <c r="AJ65" i="32"/>
  <c r="AJ609" i="32"/>
  <c r="AJ558" i="32"/>
  <c r="AJ533" i="32"/>
  <c r="AJ102" i="32"/>
  <c r="AJ164" i="32"/>
  <c r="AJ163" i="32"/>
  <c r="D624" i="32"/>
  <c r="AJ30" i="32"/>
  <c r="AJ209" i="32"/>
  <c r="AJ142" i="32"/>
  <c r="AJ320" i="32"/>
  <c r="AJ541" i="32"/>
  <c r="AJ528" i="32"/>
  <c r="AJ593" i="32"/>
  <c r="AJ128" i="32"/>
  <c r="AJ155" i="32"/>
  <c r="AJ239" i="32"/>
  <c r="AJ613" i="32"/>
  <c r="AJ444" i="32"/>
  <c r="AJ552" i="32"/>
  <c r="AJ200" i="32"/>
  <c r="AJ220" i="32"/>
  <c r="AJ172" i="32"/>
  <c r="AJ602" i="32"/>
  <c r="AJ417" i="32"/>
  <c r="AJ214" i="32"/>
  <c r="AJ187" i="32"/>
  <c r="AJ196" i="32"/>
  <c r="AJ238" i="32"/>
  <c r="AJ114" i="32"/>
  <c r="AJ41" i="32"/>
  <c r="AJ561" i="32"/>
  <c r="AJ29" i="32"/>
  <c r="AJ33" i="32"/>
  <c r="AJ518" i="32"/>
  <c r="AJ366" i="32"/>
  <c r="AJ484" i="32"/>
  <c r="AJ527" i="32"/>
  <c r="AJ610" i="32"/>
  <c r="AJ189" i="32"/>
  <c r="AJ570" i="32"/>
  <c r="AJ416" i="32"/>
  <c r="AJ244" i="32"/>
  <c r="AJ55" i="32"/>
  <c r="AJ362" i="32"/>
  <c r="AJ133" i="32"/>
  <c r="AJ175" i="32"/>
  <c r="AJ31" i="32"/>
  <c r="AJ511" i="32"/>
  <c r="AJ45" i="32"/>
  <c r="AJ161" i="32"/>
  <c r="AJ153" i="32"/>
  <c r="AJ382" i="32"/>
  <c r="AJ333" i="32"/>
  <c r="AJ457" i="32"/>
  <c r="AJ206" i="32"/>
  <c r="AJ312" i="32"/>
  <c r="AJ611" i="32"/>
  <c r="AJ447" i="32"/>
  <c r="AJ395" i="32"/>
  <c r="AJ410" i="32"/>
  <c r="AJ399" i="32"/>
  <c r="AJ289" i="32"/>
  <c r="AJ437" i="32"/>
  <c r="AJ470" i="32"/>
  <c r="AJ205" i="32"/>
  <c r="AJ519" i="32"/>
  <c r="AJ379" i="32"/>
  <c r="AJ261" i="32"/>
  <c r="AJ70" i="32"/>
  <c r="AJ129" i="32"/>
  <c r="AJ144" i="32"/>
  <c r="AJ280" i="32"/>
  <c r="AJ61" i="32"/>
  <c r="AJ315" i="32"/>
  <c r="AJ465" i="32"/>
  <c r="AJ453" i="32"/>
  <c r="AJ308" i="32"/>
  <c r="AJ361" i="32"/>
  <c r="G634" i="32"/>
  <c r="AJ282" i="32"/>
  <c r="AJ543" i="32"/>
  <c r="AJ118" i="32"/>
  <c r="AJ384" i="32"/>
  <c r="AJ243" i="32"/>
  <c r="AJ304" i="32"/>
  <c r="AJ374" i="32"/>
  <c r="AJ263" i="32"/>
  <c r="AJ88" i="32"/>
  <c r="AJ190" i="32"/>
  <c r="AJ364" i="32"/>
  <c r="AJ449" i="32"/>
  <c r="AJ537" i="32"/>
  <c r="AJ586" i="32"/>
  <c r="AJ216" i="32"/>
  <c r="AJ577" i="32"/>
  <c r="AJ387" i="32"/>
  <c r="AJ247" i="32"/>
  <c r="AJ122" i="32"/>
  <c r="AJ130" i="32"/>
  <c r="AJ77" i="32"/>
  <c r="AJ14" i="32"/>
  <c r="AJ598" i="32"/>
  <c r="AJ535" i="32"/>
  <c r="AJ557" i="32"/>
  <c r="AJ19" i="32"/>
  <c r="AJ13" i="32"/>
  <c r="AJ272" i="32"/>
  <c r="AJ452" i="32"/>
  <c r="AJ548" i="32"/>
  <c r="AJ182" i="32"/>
  <c r="AJ563" i="32"/>
  <c r="AJ423" i="32"/>
  <c r="AJ307" i="32"/>
  <c r="AJ186" i="32"/>
  <c r="AJ397" i="32"/>
  <c r="AJ218" i="32"/>
  <c r="AJ398" i="32"/>
  <c r="AJ109" i="32"/>
  <c r="AJ325" i="32"/>
  <c r="AJ571" i="32"/>
  <c r="AJ494" i="32"/>
  <c r="AJ301" i="32"/>
  <c r="AJ422" i="32"/>
  <c r="AJ542" i="32"/>
  <c r="AJ119" i="32"/>
  <c r="AJ328" i="32"/>
  <c r="AJ473" i="32"/>
  <c r="AJ148" i="32"/>
  <c r="AJ530" i="32"/>
  <c r="AJ313" i="32"/>
  <c r="AJ285" i="32"/>
  <c r="AJ258" i="32"/>
  <c r="AJ134" i="32"/>
  <c r="AJ341" i="32"/>
  <c r="AJ472" i="32"/>
  <c r="AJ335" i="32"/>
  <c r="AJ235" i="32"/>
  <c r="AJ79" i="32"/>
  <c r="AJ390" i="32"/>
  <c r="AJ311" i="32"/>
  <c r="AJ173" i="32"/>
  <c r="AJ158" i="32"/>
  <c r="AJ110" i="32"/>
  <c r="AJ46" i="32"/>
  <c r="AJ195" i="32"/>
  <c r="AJ228" i="32"/>
  <c r="D629" i="32"/>
  <c r="D627" i="32"/>
  <c r="AP624" i="32"/>
  <c r="AP625" i="32"/>
  <c r="AP603" i="32"/>
  <c r="AP607" i="32"/>
  <c r="AP592" i="32"/>
  <c r="AP591" i="32"/>
  <c r="AP560" i="32"/>
  <c r="AP574" i="32"/>
  <c r="AP555" i="32"/>
  <c r="AP548" i="32"/>
  <c r="AP537" i="32"/>
  <c r="AP516" i="32"/>
  <c r="AP472" i="32"/>
  <c r="AP529" i="32"/>
  <c r="AP499" i="32"/>
  <c r="AP530" i="32"/>
  <c r="AP455" i="32"/>
  <c r="AP474" i="32"/>
  <c r="AP460" i="32"/>
  <c r="AP480" i="32"/>
  <c r="AP428" i="32"/>
  <c r="AP477" i="32"/>
  <c r="AP443" i="32"/>
  <c r="AP446" i="32"/>
  <c r="AP384" i="32"/>
  <c r="AP420" i="32"/>
  <c r="AP396" i="32"/>
  <c r="AP421" i="32"/>
  <c r="AP447" i="32"/>
  <c r="AP377" i="32"/>
  <c r="AP374" i="32"/>
  <c r="AP387" i="32"/>
  <c r="AP375" i="32"/>
  <c r="AP363" i="32"/>
  <c r="AP342" i="32"/>
  <c r="AP322" i="32"/>
  <c r="AP317" i="32"/>
  <c r="AP312" i="32"/>
  <c r="AP328" i="32"/>
  <c r="AP251" i="32"/>
  <c r="AP255" i="32"/>
  <c r="AP266" i="32"/>
  <c r="AP284" i="32"/>
  <c r="AP293" i="32"/>
  <c r="AP291" i="32"/>
  <c r="AP218" i="32"/>
  <c r="AP229" i="32"/>
  <c r="AP265" i="32"/>
  <c r="AP247" i="32"/>
  <c r="AP231" i="32"/>
  <c r="AP212" i="32"/>
  <c r="AP183" i="32"/>
  <c r="AP159" i="32"/>
  <c r="AP146" i="32"/>
  <c r="AP180" i="32"/>
  <c r="AP139" i="32"/>
  <c r="AP155" i="32"/>
  <c r="AP192" i="32"/>
  <c r="AP133" i="32"/>
  <c r="AP144" i="32"/>
  <c r="AP141" i="32"/>
  <c r="AP44" i="32"/>
  <c r="AP142" i="32"/>
  <c r="AP94" i="32"/>
  <c r="AP20" i="32"/>
  <c r="AP77" i="32"/>
  <c r="AP188" i="32"/>
  <c r="AP236" i="32"/>
  <c r="AP101" i="32"/>
  <c r="AP47" i="32"/>
  <c r="AP111" i="32"/>
  <c r="AP71" i="32"/>
  <c r="AP43" i="32"/>
  <c r="AP27" i="32"/>
  <c r="AP50" i="32"/>
  <c r="AP48" i="32"/>
  <c r="AP51" i="32"/>
  <c r="AP598" i="32"/>
  <c r="AP605" i="32"/>
  <c r="AP588" i="32"/>
  <c r="AP576" i="32"/>
  <c r="AP559" i="32"/>
  <c r="AP569" i="32"/>
  <c r="AP558" i="32"/>
  <c r="AP533" i="32"/>
  <c r="AP510" i="32"/>
  <c r="AP512" i="32"/>
  <c r="AP470" i="32"/>
  <c r="AP527" i="32"/>
  <c r="AP492" i="32"/>
  <c r="AP526" i="32"/>
  <c r="AP437" i="32"/>
  <c r="AP490" i="32"/>
  <c r="AP459" i="32"/>
  <c r="AP478" i="32"/>
  <c r="AP467" i="32"/>
  <c r="AP453" i="32"/>
  <c r="AP442" i="32"/>
  <c r="AP441" i="32"/>
  <c r="AP415" i="32"/>
  <c r="AP409" i="32"/>
  <c r="AP390" i="32"/>
  <c r="AP419" i="32"/>
  <c r="AP416" i="32"/>
  <c r="AP372" i="32"/>
  <c r="AP362" i="32"/>
  <c r="AP367" i="32"/>
  <c r="AP369" i="32"/>
  <c r="AP360" i="32"/>
  <c r="AP339" i="32"/>
  <c r="AP316" i="32"/>
  <c r="AP311" i="32"/>
  <c r="AP310" i="32"/>
  <c r="AP324" i="32"/>
  <c r="AP353" i="32"/>
  <c r="AP243" i="32"/>
  <c r="AP252" i="32"/>
  <c r="AP281" i="32"/>
  <c r="AP267" i="32"/>
  <c r="AP282" i="32"/>
  <c r="AP217" i="32"/>
  <c r="AP228" i="32"/>
  <c r="AP262" i="32"/>
  <c r="AP242" i="32"/>
  <c r="AP221" i="32"/>
  <c r="AP202" i="32"/>
  <c r="AP182" i="32"/>
  <c r="AP211" i="32"/>
  <c r="AP143" i="32"/>
  <c r="AP175" i="32"/>
  <c r="AP135" i="32"/>
  <c r="AP294" i="32"/>
  <c r="AP190" i="32"/>
  <c r="AP246" i="32"/>
  <c r="AP136" i="32"/>
  <c r="AP132" i="32"/>
  <c r="AP31" i="32"/>
  <c r="AP125" i="32"/>
  <c r="AP76" i="32"/>
  <c r="AP147" i="32"/>
  <c r="AP70" i="32"/>
  <c r="AP163" i="32"/>
  <c r="AP149" i="32"/>
  <c r="AP100" i="32"/>
  <c r="AP38" i="32"/>
  <c r="AP140" i="32"/>
  <c r="AP68" i="32"/>
  <c r="AP35" i="32"/>
  <c r="AP19" i="32"/>
  <c r="AP24" i="32"/>
  <c r="AP17" i="32"/>
  <c r="AP58" i="32"/>
  <c r="AP602" i="32"/>
  <c r="AP594" i="32"/>
  <c r="AP590" i="32"/>
  <c r="AP573" i="32"/>
  <c r="AP561" i="32"/>
  <c r="AP557" i="32"/>
  <c r="AP545" i="32"/>
  <c r="AP571" i="32"/>
  <c r="AP464" i="32"/>
  <c r="AP506" i="32"/>
  <c r="AP531" i="32"/>
  <c r="AP495" i="32"/>
  <c r="AP463" i="32"/>
  <c r="AP514" i="32"/>
  <c r="AP461" i="32"/>
  <c r="AP444" i="32"/>
  <c r="AP406" i="32"/>
  <c r="AP484" i="32"/>
  <c r="AP400" i="32"/>
  <c r="AP397" i="32"/>
  <c r="AP405" i="32"/>
  <c r="AP380" i="32"/>
  <c r="AP357" i="32"/>
  <c r="AP349" i="32"/>
  <c r="AP344" i="32"/>
  <c r="AP346" i="32"/>
  <c r="AP345" i="32"/>
  <c r="AP343" i="32"/>
  <c r="AP330" i="32"/>
  <c r="AP321" i="32"/>
  <c r="AP285" i="32"/>
  <c r="AP261" i="32"/>
  <c r="AP238" i="32"/>
  <c r="AP234" i="32"/>
  <c r="AP235" i="32"/>
  <c r="AP313" i="32"/>
  <c r="AP216" i="32"/>
  <c r="AP178" i="32"/>
  <c r="AP161" i="32"/>
  <c r="AP184" i="32"/>
  <c r="AP124" i="32"/>
  <c r="AP205" i="32"/>
  <c r="AP137" i="32"/>
  <c r="AP122" i="32"/>
  <c r="AP82" i="32"/>
  <c r="AP152" i="32"/>
  <c r="AP61" i="32"/>
  <c r="AP110" i="32"/>
  <c r="AP36" i="32"/>
  <c r="AP128" i="32"/>
  <c r="AP81" i="32"/>
  <c r="AP121" i="32"/>
  <c r="AP66" i="32"/>
  <c r="AP53" i="32"/>
  <c r="AP69" i="32"/>
  <c r="AP62" i="32"/>
  <c r="AP595" i="32"/>
  <c r="AP567" i="32"/>
  <c r="AP578" i="32"/>
  <c r="AP582" i="32"/>
  <c r="AP539" i="32"/>
  <c r="AP546" i="32"/>
  <c r="AP542" i="32"/>
  <c r="AP534" i="32"/>
  <c r="AP482" i="32"/>
  <c r="AP462" i="32"/>
  <c r="AP491" i="32"/>
  <c r="AP498" i="32"/>
  <c r="AP431" i="32"/>
  <c r="AP432" i="32"/>
  <c r="AP399" i="32"/>
  <c r="AP403" i="32"/>
  <c r="AP371" i="32"/>
  <c r="AP413" i="32"/>
  <c r="AP347" i="32"/>
  <c r="AP365" i="32"/>
  <c r="AP410" i="32"/>
  <c r="AP308" i="32"/>
  <c r="AP329" i="32"/>
  <c r="AP292" i="32"/>
  <c r="AP260" i="32"/>
  <c r="AP334" i="32"/>
  <c r="AP288" i="32"/>
  <c r="AP253" i="32"/>
  <c r="AP219" i="32"/>
  <c r="AP320" i="32"/>
  <c r="AP340" i="32"/>
  <c r="AP240" i="32"/>
  <c r="AP201" i="32"/>
  <c r="AP186" i="32"/>
  <c r="AP174" i="32"/>
  <c r="AP268" i="32"/>
  <c r="AP176" i="32"/>
  <c r="AP185" i="32"/>
  <c r="AP104" i="32"/>
  <c r="AP156" i="32"/>
  <c r="AP63" i="32"/>
  <c r="AP86" i="32"/>
  <c r="AP103" i="32"/>
  <c r="AP114" i="32"/>
  <c r="AP553" i="32"/>
  <c r="AP15" i="32"/>
  <c r="AP150" i="32"/>
  <c r="AP84" i="32"/>
  <c r="AP160" i="32"/>
  <c r="AP589" i="32"/>
  <c r="AP596" i="32"/>
  <c r="AP575" i="32"/>
  <c r="AP580" i="32"/>
  <c r="AP536" i="32"/>
  <c r="AP509" i="32"/>
  <c r="AP520" i="32"/>
  <c r="AP507" i="32"/>
  <c r="AP476" i="32"/>
  <c r="AP435" i="32"/>
  <c r="AP485" i="32"/>
  <c r="AP473" i="32"/>
  <c r="AP433" i="32"/>
  <c r="AP429" i="32"/>
  <c r="AP398" i="32"/>
  <c r="AP424" i="32"/>
  <c r="AP426" i="32"/>
  <c r="AP411" i="32"/>
  <c r="AP407" i="32"/>
  <c r="AP355" i="32"/>
  <c r="AP379" i="32"/>
  <c r="AP299" i="32"/>
  <c r="AP323" i="32"/>
  <c r="AP519" i="32"/>
  <c r="AP257" i="32"/>
  <c r="AP333" i="32"/>
  <c r="AP278" i="32"/>
  <c r="AP325" i="32"/>
  <c r="AP331" i="32"/>
  <c r="AP296" i="32"/>
  <c r="AP224" i="32"/>
  <c r="AP226" i="32"/>
  <c r="AP179" i="32"/>
  <c r="AP158" i="32"/>
  <c r="AP171" i="32"/>
  <c r="AP209" i="32"/>
  <c r="AP172" i="32"/>
  <c r="AP181" i="32"/>
  <c r="AP102" i="32"/>
  <c r="AP153" i="32"/>
  <c r="AP42" i="32"/>
  <c r="AP79" i="32"/>
  <c r="AP93" i="32"/>
  <c r="AP112" i="32"/>
  <c r="AP301" i="32"/>
  <c r="AP57" i="32"/>
  <c r="AP98" i="32"/>
  <c r="AP23" i="32"/>
  <c r="AP106" i="32"/>
  <c r="AP610" i="32"/>
  <c r="AP611" i="32"/>
  <c r="AP600" i="32"/>
  <c r="AP547" i="32"/>
  <c r="AP550" i="32"/>
  <c r="AP528" i="32"/>
  <c r="AP543" i="32"/>
  <c r="AP469" i="32"/>
  <c r="AP566" i="32"/>
  <c r="AP538" i="32"/>
  <c r="AP488" i="32"/>
  <c r="AP436" i="32"/>
  <c r="AP439" i="32"/>
  <c r="AP503" i="32"/>
  <c r="AP456" i="32"/>
  <c r="AP392" i="32"/>
  <c r="AP412" i="32"/>
  <c r="AP395" i="32"/>
  <c r="AP381" i="32"/>
  <c r="AP430" i="32"/>
  <c r="AP383" i="32"/>
  <c r="AP306" i="32"/>
  <c r="AP326" i="32"/>
  <c r="AP287" i="32"/>
  <c r="AP307" i="32"/>
  <c r="AP277" i="32"/>
  <c r="AP248" i="32"/>
  <c r="AP269" i="32"/>
  <c r="AP276" i="32"/>
  <c r="AP244" i="32"/>
  <c r="AP256" i="32"/>
  <c r="AP241" i="32"/>
  <c r="AP191" i="32"/>
  <c r="AP170" i="32"/>
  <c r="AP207" i="32"/>
  <c r="AP164" i="32"/>
  <c r="AP230" i="32"/>
  <c r="AP138" i="32"/>
  <c r="AP116" i="32"/>
  <c r="AP73" i="32"/>
  <c r="AP108" i="32"/>
  <c r="AP30" i="32"/>
  <c r="AP54" i="32"/>
  <c r="AP65" i="32"/>
  <c r="AP83" i="32"/>
  <c r="AP88" i="32"/>
  <c r="AP56" i="32"/>
  <c r="AP96" i="32"/>
  <c r="AP45" i="32"/>
  <c r="AP597" i="32"/>
  <c r="AP585" i="32"/>
  <c r="AP568" i="32"/>
  <c r="AP523" i="32"/>
  <c r="AP487" i="32"/>
  <c r="AP486" i="32"/>
  <c r="AP479" i="32"/>
  <c r="AP483" i="32"/>
  <c r="AP451" i="32"/>
  <c r="AP393" i="32"/>
  <c r="AP378" i="32"/>
  <c r="AP402" i="32"/>
  <c r="AP354" i="32"/>
  <c r="AP391" i="32"/>
  <c r="AP300" i="32"/>
  <c r="AP271" i="32"/>
  <c r="AP245" i="32"/>
  <c r="AP315" i="32"/>
  <c r="AP220" i="32"/>
  <c r="AP222" i="32"/>
  <c r="AP203" i="32"/>
  <c r="AP206" i="32"/>
  <c r="AP187" i="32"/>
  <c r="AP204" i="32"/>
  <c r="AP75" i="32"/>
  <c r="AP97" i="32"/>
  <c r="AP49" i="32"/>
  <c r="AP91" i="32"/>
  <c r="AP37" i="32"/>
  <c r="AP28" i="32"/>
  <c r="AP577" i="32"/>
  <c r="AP606" i="32"/>
  <c r="AP584" i="32"/>
  <c r="AP552" i="32"/>
  <c r="AP522" i="32"/>
  <c r="AP468" i="32"/>
  <c r="AP466" i="32"/>
  <c r="AP475" i="32"/>
  <c r="AP457" i="32"/>
  <c r="AP445" i="32"/>
  <c r="AP388" i="32"/>
  <c r="AP423" i="32"/>
  <c r="AP376" i="32"/>
  <c r="AP348" i="32"/>
  <c r="AP318" i="32"/>
  <c r="AP337" i="32"/>
  <c r="AP338" i="32"/>
  <c r="AP314" i="32"/>
  <c r="AP303" i="32"/>
  <c r="AP351" i="32"/>
  <c r="AP233" i="32"/>
  <c r="AP177" i="32"/>
  <c r="AP198" i="32"/>
  <c r="AP237" i="32"/>
  <c r="AP194" i="32"/>
  <c r="AP29" i="32"/>
  <c r="AP40" i="32"/>
  <c r="AP46" i="32"/>
  <c r="AP90" i="32"/>
  <c r="AP18" i="32"/>
  <c r="AP145" i="32"/>
  <c r="AP78" i="32"/>
  <c r="AP604" i="32"/>
  <c r="AP579" i="32"/>
  <c r="AP583" i="32"/>
  <c r="AP532" i="32"/>
  <c r="AP465" i="32"/>
  <c r="AP541" i="32"/>
  <c r="AP496" i="32"/>
  <c r="AP434" i="32"/>
  <c r="AP427" i="32"/>
  <c r="AP440" i="32"/>
  <c r="AP401" i="32"/>
  <c r="AP364" i="32"/>
  <c r="AP368" i="32"/>
  <c r="AP450" i="32"/>
  <c r="AP332" i="32"/>
  <c r="AP305" i="32"/>
  <c r="AP302" i="32"/>
  <c r="AP273" i="32"/>
  <c r="AP290" i="32"/>
  <c r="AP250" i="32"/>
  <c r="AP173" i="32"/>
  <c r="AP193" i="32"/>
  <c r="AP208" i="32"/>
  <c r="AP165" i="32"/>
  <c r="AP21" i="32"/>
  <c r="AP39" i="32"/>
  <c r="AP131" i="32"/>
  <c r="AP74" i="32"/>
  <c r="AP14" i="32"/>
  <c r="AP95" i="32"/>
  <c r="AP60" i="32"/>
  <c r="AP599" i="32"/>
  <c r="AP564" i="32"/>
  <c r="AP572" i="32"/>
  <c r="AP549" i="32"/>
  <c r="AP540" i="32"/>
  <c r="AP497" i="32"/>
  <c r="AP471" i="32"/>
  <c r="AP448" i="32"/>
  <c r="AP517" i="32"/>
  <c r="AP425" i="32"/>
  <c r="AP385" i="32"/>
  <c r="AP359" i="32"/>
  <c r="AP356" i="32"/>
  <c r="AP327" i="32"/>
  <c r="AP297" i="32"/>
  <c r="AP274" i="32"/>
  <c r="AP275" i="32"/>
  <c r="AP270" i="32"/>
  <c r="AP279" i="32"/>
  <c r="AP249" i="32"/>
  <c r="AP169" i="32"/>
  <c r="AP167" i="32"/>
  <c r="AP197" i="32"/>
  <c r="AP123" i="32"/>
  <c r="AP16" i="32"/>
  <c r="AP134" i="32"/>
  <c r="AP92" i="32"/>
  <c r="AP67" i="32"/>
  <c r="AP59" i="32"/>
  <c r="AP87" i="32"/>
  <c r="AP613" i="32"/>
  <c r="AP593" i="32"/>
  <c r="AP586" i="32"/>
  <c r="AP570" i="32"/>
  <c r="AP535" i="32"/>
  <c r="AP504" i="32"/>
  <c r="AP494" i="32"/>
  <c r="AP458" i="32"/>
  <c r="AP438" i="32"/>
  <c r="AP502" i="32"/>
  <c r="AP422" i="32"/>
  <c r="AP505" i="32"/>
  <c r="AP358" i="32"/>
  <c r="AP352" i="32"/>
  <c r="AP298" i="32"/>
  <c r="AP518" i="32"/>
  <c r="AP263" i="32"/>
  <c r="AP272" i="32"/>
  <c r="AP227" i="32"/>
  <c r="AP232" i="32"/>
  <c r="AP225" i="32"/>
  <c r="AP200" i="32"/>
  <c r="AP166" i="32"/>
  <c r="AP196" i="32"/>
  <c r="AP109" i="32"/>
  <c r="AP119" i="32"/>
  <c r="AP127" i="32"/>
  <c r="AP80" i="32"/>
  <c r="AP34" i="32"/>
  <c r="AP32" i="32"/>
  <c r="AP85" i="32"/>
  <c r="AP612" i="32"/>
  <c r="AP551" i="32"/>
  <c r="AP544" i="32"/>
  <c r="AP493" i="32"/>
  <c r="AP382" i="32"/>
  <c r="AP319" i="32"/>
  <c r="AP366" i="32"/>
  <c r="AP239" i="32"/>
  <c r="AP148" i="32"/>
  <c r="AP105" i="32"/>
  <c r="AP55" i="32"/>
  <c r="AP25" i="32"/>
  <c r="AP601" i="32"/>
  <c r="AP563" i="32"/>
  <c r="AP481" i="32"/>
  <c r="AP501" i="32"/>
  <c r="AP408" i="32"/>
  <c r="AP336" i="32"/>
  <c r="AP286" i="32"/>
  <c r="AP350" i="32"/>
  <c r="AP157" i="32"/>
  <c r="AP89" i="32"/>
  <c r="AP120" i="32"/>
  <c r="AP72" i="32"/>
  <c r="AP581" i="32"/>
  <c r="AP525" i="32"/>
  <c r="AP515" i="32"/>
  <c r="AP414" i="32"/>
  <c r="AP389" i="32"/>
  <c r="AP335" i="32"/>
  <c r="AP258" i="32"/>
  <c r="AP223" i="32"/>
  <c r="AP129" i="32"/>
  <c r="AP117" i="32"/>
  <c r="AP118" i="32"/>
  <c r="AP33" i="32"/>
  <c r="AP13" i="32"/>
  <c r="AP587" i="32"/>
  <c r="AP524" i="32"/>
  <c r="AP454" i="32"/>
  <c r="AP404" i="32"/>
  <c r="AP373" i="32"/>
  <c r="AP309" i="32"/>
  <c r="AP304" i="32"/>
  <c r="AP199" i="32"/>
  <c r="AP115" i="32"/>
  <c r="AP107" i="32"/>
  <c r="AP154" i="32"/>
  <c r="AP26" i="32"/>
  <c r="AP565" i="32"/>
  <c r="AP511" i="32"/>
  <c r="AP521" i="32"/>
  <c r="AP394" i="32"/>
  <c r="AP370" i="32"/>
  <c r="AP417" i="32"/>
  <c r="AP264" i="32"/>
  <c r="AP215" i="32"/>
  <c r="AP168" i="32"/>
  <c r="AP99" i="32"/>
  <c r="AP126" i="32"/>
  <c r="AP556" i="32"/>
  <c r="AP361" i="32"/>
  <c r="AP195" i="32"/>
  <c r="AP64" i="32"/>
  <c r="AP449" i="32"/>
  <c r="AP489" i="32"/>
  <c r="AP341" i="32"/>
  <c r="AP210" i="32"/>
  <c r="AP130" i="32"/>
  <c r="AP113" i="32"/>
  <c r="AP513" i="32"/>
  <c r="AP289" i="32"/>
  <c r="AP189" i="32"/>
  <c r="AP52" i="32"/>
  <c r="AP609" i="32"/>
  <c r="AP508" i="32"/>
  <c r="AP283" i="32"/>
  <c r="AP214" i="32"/>
  <c r="AP22" i="32"/>
  <c r="AP562" i="32"/>
  <c r="AP452" i="32"/>
  <c r="AP280" i="32"/>
  <c r="AP162" i="32"/>
  <c r="AP41" i="32"/>
  <c r="AP608" i="32"/>
  <c r="AP259" i="32"/>
  <c r="AP151" i="32"/>
  <c r="AP500" i="32"/>
  <c r="AP554" i="32"/>
  <c r="AP418" i="32"/>
  <c r="AP295" i="32"/>
  <c r="AP213" i="32"/>
  <c r="AP386" i="32"/>
  <c r="AP254" i="32"/>
  <c r="B335" i="2"/>
  <c r="B336" i="2" s="1"/>
  <c r="AL228" i="32" l="1"/>
  <c r="AK228" i="32"/>
  <c r="AL79" i="32"/>
  <c r="AK79" i="32"/>
  <c r="AK313" i="32"/>
  <c r="AL313" i="32"/>
  <c r="AK301" i="32"/>
  <c r="AL301" i="32"/>
  <c r="AL186" i="32"/>
  <c r="AK186" i="32"/>
  <c r="AL13" i="32"/>
  <c r="AK13" i="32"/>
  <c r="AK122" i="32"/>
  <c r="AL122" i="32"/>
  <c r="AL364" i="32"/>
  <c r="AK364" i="32"/>
  <c r="AK118" i="32"/>
  <c r="AL118" i="32"/>
  <c r="AL315" i="32"/>
  <c r="AK315" i="32"/>
  <c r="AK519" i="32"/>
  <c r="AL519" i="32"/>
  <c r="AK447" i="32"/>
  <c r="AL447" i="32"/>
  <c r="AK161" i="32"/>
  <c r="AL161" i="32"/>
  <c r="AK244" i="32"/>
  <c r="AL244" i="32"/>
  <c r="AL518" i="32"/>
  <c r="AK518" i="32"/>
  <c r="AK187" i="32"/>
  <c r="AL187" i="32"/>
  <c r="AK444" i="32"/>
  <c r="AL444" i="32"/>
  <c r="AL320" i="32"/>
  <c r="AK320" i="32"/>
  <c r="AK533" i="32"/>
  <c r="AL533" i="32"/>
  <c r="AL26" i="32"/>
  <c r="AK26" i="32"/>
  <c r="AL386" i="32"/>
  <c r="AK386" i="32"/>
  <c r="AL40" i="32"/>
  <c r="AK40" i="32"/>
  <c r="AL74" i="32"/>
  <c r="AK74" i="32"/>
  <c r="AK573" i="32"/>
  <c r="AL573" i="32"/>
  <c r="AK392" i="32"/>
  <c r="AL392" i="32"/>
  <c r="AL204" i="32"/>
  <c r="AK204" i="32"/>
  <c r="AL440" i="32"/>
  <c r="AK440" i="32"/>
  <c r="AL512" i="32"/>
  <c r="AK512" i="32"/>
  <c r="AL80" i="32"/>
  <c r="AK80" i="32"/>
  <c r="AK415" i="32"/>
  <c r="AL415" i="32"/>
  <c r="AL82" i="32"/>
  <c r="AK82" i="32"/>
  <c r="AK466" i="32"/>
  <c r="AL466" i="32"/>
  <c r="AK369" i="32"/>
  <c r="AL369" i="32"/>
  <c r="AL68" i="32"/>
  <c r="AK68" i="32"/>
  <c r="AL178" i="32"/>
  <c r="AK178" i="32"/>
  <c r="AK486" i="32"/>
  <c r="AL486" i="32"/>
  <c r="AL184" i="32"/>
  <c r="AK184" i="32"/>
  <c r="AL497" i="32"/>
  <c r="AK497" i="32"/>
  <c r="AL294" i="32"/>
  <c r="AK294" i="32"/>
  <c r="AL84" i="32"/>
  <c r="AK84" i="32"/>
  <c r="AL538" i="32"/>
  <c r="AK538" i="32"/>
  <c r="AK396" i="32"/>
  <c r="AL396" i="32"/>
  <c r="AK291" i="32"/>
  <c r="AL291" i="32"/>
  <c r="AL318" i="32"/>
  <c r="AK318" i="32"/>
  <c r="AK20" i="32"/>
  <c r="AL20" i="32"/>
  <c r="AK168" i="32"/>
  <c r="AL168" i="32"/>
  <c r="AK57" i="32"/>
  <c r="AL57" i="32"/>
  <c r="AL154" i="32"/>
  <c r="AK154" i="32"/>
  <c r="AK591" i="32"/>
  <c r="AL591" i="32"/>
  <c r="AK443" i="32"/>
  <c r="AL443" i="32"/>
  <c r="AK436" i="32"/>
  <c r="AL436" i="32"/>
  <c r="AL123" i="32"/>
  <c r="AK123" i="32"/>
  <c r="AK43" i="32"/>
  <c r="AL43" i="32"/>
  <c r="AL50" i="32"/>
  <c r="AK50" i="32"/>
  <c r="AL564" i="32"/>
  <c r="AK564" i="32"/>
  <c r="AL481" i="32"/>
  <c r="AK481" i="32"/>
  <c r="AK264" i="32"/>
  <c r="AL264" i="32"/>
  <c r="AK176" i="32"/>
  <c r="AL176" i="32"/>
  <c r="AL95" i="32"/>
  <c r="AK95" i="32"/>
  <c r="AK53" i="32"/>
  <c r="AL53" i="32"/>
  <c r="AL546" i="32"/>
  <c r="AK546" i="32"/>
  <c r="AK15" i="32"/>
  <c r="AL15" i="32"/>
  <c r="AK259" i="32"/>
  <c r="AL259" i="32"/>
  <c r="AL459" i="32"/>
  <c r="AK459" i="32"/>
  <c r="AL324" i="32"/>
  <c r="AK324" i="32"/>
  <c r="AL317" i="32"/>
  <c r="AK317" i="32"/>
  <c r="AL181" i="32"/>
  <c r="AK181" i="32"/>
  <c r="AL121" i="32"/>
  <c r="AK121" i="32"/>
  <c r="AK59" i="32"/>
  <c r="AL59" i="32"/>
  <c r="AK302" i="32"/>
  <c r="AL302" i="32"/>
  <c r="AL151" i="32"/>
  <c r="AK151" i="32"/>
  <c r="AK135" i="32"/>
  <c r="AL135" i="32"/>
  <c r="AL576" i="32"/>
  <c r="AK576" i="32"/>
  <c r="AK488" i="32"/>
  <c r="AL488" i="32"/>
  <c r="AL348" i="32"/>
  <c r="AK348" i="32"/>
  <c r="AN267" i="32"/>
  <c r="AO267" i="32"/>
  <c r="AN51" i="32"/>
  <c r="AO51" i="32"/>
  <c r="AO511" i="32"/>
  <c r="AN511" i="32"/>
  <c r="AN485" i="32"/>
  <c r="AO485" i="32"/>
  <c r="AN343" i="32"/>
  <c r="AO343" i="32"/>
  <c r="AN446" i="32"/>
  <c r="AO446" i="32"/>
  <c r="AN225" i="32"/>
  <c r="AO225" i="32"/>
  <c r="AN259" i="32"/>
  <c r="AO259" i="32"/>
  <c r="AN387" i="32"/>
  <c r="AO387" i="32"/>
  <c r="AO318" i="32"/>
  <c r="AN318" i="32"/>
  <c r="AO419" i="32"/>
  <c r="AN419" i="32"/>
  <c r="AO201" i="32"/>
  <c r="AN201" i="32"/>
  <c r="AN388" i="32"/>
  <c r="AO388" i="32"/>
  <c r="AO331" i="32"/>
  <c r="AN331" i="32"/>
  <c r="AO116" i="32"/>
  <c r="AN116" i="32"/>
  <c r="AO253" i="32"/>
  <c r="AN253" i="32"/>
  <c r="AN583" i="32"/>
  <c r="AO583" i="32"/>
  <c r="AO34" i="32"/>
  <c r="AN34" i="32"/>
  <c r="AO441" i="32"/>
  <c r="AN441" i="32"/>
  <c r="AO430" i="32"/>
  <c r="AN430" i="32"/>
  <c r="AN26" i="32"/>
  <c r="AO26" i="32"/>
  <c r="AO484" i="32"/>
  <c r="AN484" i="32"/>
  <c r="AN514" i="32"/>
  <c r="AO514" i="32"/>
  <c r="AN547" i="32"/>
  <c r="AO547" i="32"/>
  <c r="AO80" i="32"/>
  <c r="AN80" i="32"/>
  <c r="AO402" i="32"/>
  <c r="AN402" i="32"/>
  <c r="AO365" i="32"/>
  <c r="AN365" i="32"/>
  <c r="AO491" i="32"/>
  <c r="AN491" i="32"/>
  <c r="AO504" i="32"/>
  <c r="AN504" i="32"/>
  <c r="AN473" i="32"/>
  <c r="AO473" i="32"/>
  <c r="AO271" i="32"/>
  <c r="AN271" i="32"/>
  <c r="AN401" i="32"/>
  <c r="AO401" i="32"/>
  <c r="AN69" i="32"/>
  <c r="AO69" i="32"/>
  <c r="AN121" i="32"/>
  <c r="AO121" i="32"/>
  <c r="AO197" i="32"/>
  <c r="AN197" i="32"/>
  <c r="AO18" i="32"/>
  <c r="AN18" i="32"/>
  <c r="AO307" i="32"/>
  <c r="AN307" i="32"/>
  <c r="AO397" i="32"/>
  <c r="AN397" i="32"/>
  <c r="AO299" i="32"/>
  <c r="AN299" i="32"/>
  <c r="AN506" i="32"/>
  <c r="AO506" i="32"/>
  <c r="AN215" i="32"/>
  <c r="AO215" i="32"/>
  <c r="AO581" i="32"/>
  <c r="AN581" i="32"/>
  <c r="AO125" i="32"/>
  <c r="AN125" i="32"/>
  <c r="AO181" i="32"/>
  <c r="AN181" i="32"/>
  <c r="AO167" i="32"/>
  <c r="AN167" i="32"/>
  <c r="AN483" i="32"/>
  <c r="AO483" i="32"/>
  <c r="AO62" i="32"/>
  <c r="AN62" i="32"/>
  <c r="AN28" i="32"/>
  <c r="AO28" i="32"/>
  <c r="AO323" i="32"/>
  <c r="AN323" i="32"/>
  <c r="AN407" i="32"/>
  <c r="AO407" i="32"/>
  <c r="AN539" i="32"/>
  <c r="AO539" i="32"/>
  <c r="AN316" i="32"/>
  <c r="AO316" i="32"/>
  <c r="AN356" i="32"/>
  <c r="AO356" i="32"/>
  <c r="AN455" i="32"/>
  <c r="AO455" i="32"/>
  <c r="AN302" i="32"/>
  <c r="AO302" i="32"/>
  <c r="AO466" i="32"/>
  <c r="AN466" i="32"/>
  <c r="AN503" i="32"/>
  <c r="AO503" i="32"/>
  <c r="AN496" i="32"/>
  <c r="AO496" i="32"/>
  <c r="AN238" i="32"/>
  <c r="AO238" i="32"/>
  <c r="AN357" i="32"/>
  <c r="AO357" i="32"/>
  <c r="AN595" i="32"/>
  <c r="AO595" i="32"/>
  <c r="AO377" i="32"/>
  <c r="AN377" i="32"/>
  <c r="AN558" i="32"/>
  <c r="AO558" i="32"/>
  <c r="AO542" i="32"/>
  <c r="AN542" i="32"/>
  <c r="AN209" i="32"/>
  <c r="AO209" i="32"/>
  <c r="AN537" i="32"/>
  <c r="AO537" i="32"/>
  <c r="AO213" i="32"/>
  <c r="AN213" i="32"/>
  <c r="AO142" i="32"/>
  <c r="AN142" i="32"/>
  <c r="AO35" i="32"/>
  <c r="AN35" i="32"/>
  <c r="AN479" i="32"/>
  <c r="AO479" i="32"/>
  <c r="AO152" i="32"/>
  <c r="AN152" i="32"/>
  <c r="AN127" i="32"/>
  <c r="AO127" i="32"/>
  <c r="AN249" i="32"/>
  <c r="AO249" i="32"/>
  <c r="AN390" i="32"/>
  <c r="AO390" i="32"/>
  <c r="AO507" i="32"/>
  <c r="AN507" i="32"/>
  <c r="AK195" i="32"/>
  <c r="AL195" i="32"/>
  <c r="AK235" i="32"/>
  <c r="AL235" i="32"/>
  <c r="AK530" i="32"/>
  <c r="AL530" i="32"/>
  <c r="AK494" i="32"/>
  <c r="AL494" i="32"/>
  <c r="AK307" i="32"/>
  <c r="AL307" i="32"/>
  <c r="AL19" i="32"/>
  <c r="AK19" i="32"/>
  <c r="AL247" i="32"/>
  <c r="AK247" i="32"/>
  <c r="AK190" i="32"/>
  <c r="AL190" i="32"/>
  <c r="AK543" i="32"/>
  <c r="AL543" i="32"/>
  <c r="AL61" i="32"/>
  <c r="AK61" i="32"/>
  <c r="AL205" i="32"/>
  <c r="AK205" i="32"/>
  <c r="AK611" i="32"/>
  <c r="AL611" i="32"/>
  <c r="AL45" i="32"/>
  <c r="AK45" i="32"/>
  <c r="AL416" i="32"/>
  <c r="AK416" i="32"/>
  <c r="AK33" i="32"/>
  <c r="AL33" i="32"/>
  <c r="AL214" i="32"/>
  <c r="AK214" i="32"/>
  <c r="AL613" i="32"/>
  <c r="AK613" i="32"/>
  <c r="AK142" i="32"/>
  <c r="AL142" i="32"/>
  <c r="AL558" i="32"/>
  <c r="AK558" i="32"/>
  <c r="AL278" i="32"/>
  <c r="AK278" i="32"/>
  <c r="AL64" i="32"/>
  <c r="AK64" i="32"/>
  <c r="AL169" i="32"/>
  <c r="AK169" i="32"/>
  <c r="AK73" i="32"/>
  <c r="AL73" i="32"/>
  <c r="AL252" i="32"/>
  <c r="AK252" i="32"/>
  <c r="AK104" i="32"/>
  <c r="AL104" i="32"/>
  <c r="AL506" i="32"/>
  <c r="AK506" i="32"/>
  <c r="AK250" i="32"/>
  <c r="AL250" i="32"/>
  <c r="AK193" i="32"/>
  <c r="AL193" i="32"/>
  <c r="AL170" i="32"/>
  <c r="AK170" i="32"/>
  <c r="AL468" i="32"/>
  <c r="AK468" i="32"/>
  <c r="AK39" i="32"/>
  <c r="AL39" i="32"/>
  <c r="AL85" i="32"/>
  <c r="AK85" i="32"/>
  <c r="AK612" i="32"/>
  <c r="AL612" i="32"/>
  <c r="AL378" i="32"/>
  <c r="AK378" i="32"/>
  <c r="AK385" i="32"/>
  <c r="AL385" i="32"/>
  <c r="AL523" i="32"/>
  <c r="AK523" i="32"/>
  <c r="AK171" i="32"/>
  <c r="AL171" i="32"/>
  <c r="AK145" i="32"/>
  <c r="AL145" i="32"/>
  <c r="AL606" i="32"/>
  <c r="AK606" i="32"/>
  <c r="AL413" i="32"/>
  <c r="AK413" i="32"/>
  <c r="AL248" i="32"/>
  <c r="AK248" i="32"/>
  <c r="AK42" i="32"/>
  <c r="AL42" i="32"/>
  <c r="AK585" i="32"/>
  <c r="AL585" i="32"/>
  <c r="AK432" i="32"/>
  <c r="AL432" i="32"/>
  <c r="AL91" i="32"/>
  <c r="AK91" i="32"/>
  <c r="AL240" i="32"/>
  <c r="AK240" i="32"/>
  <c r="AK356" i="32"/>
  <c r="AL356" i="32"/>
  <c r="AL179" i="32"/>
  <c r="AK179" i="32"/>
  <c r="AK221" i="32"/>
  <c r="AL221" i="32"/>
  <c r="AK52" i="32"/>
  <c r="AL52" i="32"/>
  <c r="AL534" i="32"/>
  <c r="AK534" i="32"/>
  <c r="AL462" i="32"/>
  <c r="AK462" i="32"/>
  <c r="AL222" i="32"/>
  <c r="AK222" i="32"/>
  <c r="AL219" i="32"/>
  <c r="AK219" i="32"/>
  <c r="AL87" i="32"/>
  <c r="AK87" i="32"/>
  <c r="AK101" i="32"/>
  <c r="AL101" i="32"/>
  <c r="AL545" i="32"/>
  <c r="AK545" i="32"/>
  <c r="AK321" i="32"/>
  <c r="AL321" i="32"/>
  <c r="AL254" i="32"/>
  <c r="AK254" i="32"/>
  <c r="AK199" i="32"/>
  <c r="AL199" i="32"/>
  <c r="AK105" i="32"/>
  <c r="AL105" i="32"/>
  <c r="AK66" i="32"/>
  <c r="AL66" i="32"/>
  <c r="AK400" i="32"/>
  <c r="AL400" i="32"/>
  <c r="AL520" i="32"/>
  <c r="AK520" i="32"/>
  <c r="AK451" i="32"/>
  <c r="AL451" i="32"/>
  <c r="AL433" i="32"/>
  <c r="AK433" i="32"/>
  <c r="AL358" i="32"/>
  <c r="AK358" i="32"/>
  <c r="AL262" i="32"/>
  <c r="AK262" i="32"/>
  <c r="AL211" i="32"/>
  <c r="AK211" i="32"/>
  <c r="AL352" i="32"/>
  <c r="AK352" i="32"/>
  <c r="AL418" i="32"/>
  <c r="AK418" i="32"/>
  <c r="AL293" i="32"/>
  <c r="AK293" i="32"/>
  <c r="AL111" i="32"/>
  <c r="AK111" i="32"/>
  <c r="AL28" i="32"/>
  <c r="AK28" i="32"/>
  <c r="AL579" i="32"/>
  <c r="AK579" i="32"/>
  <c r="AL461" i="32"/>
  <c r="AK461" i="32"/>
  <c r="AO516" i="32"/>
  <c r="AN516" i="32"/>
  <c r="AO144" i="32"/>
  <c r="AN144" i="32"/>
  <c r="AO279" i="32"/>
  <c r="AN279" i="32"/>
  <c r="AO488" i="32"/>
  <c r="AN488" i="32"/>
  <c r="AN185" i="32"/>
  <c r="AO185" i="32"/>
  <c r="AO60" i="32"/>
  <c r="AN60" i="32"/>
  <c r="AO108" i="32"/>
  <c r="AN108" i="32"/>
  <c r="AO124" i="32"/>
  <c r="AN124" i="32"/>
  <c r="AO16" i="32"/>
  <c r="AN16" i="32"/>
  <c r="AN459" i="32"/>
  <c r="AO459" i="32"/>
  <c r="AO146" i="32"/>
  <c r="AN146" i="32"/>
  <c r="AO162" i="32"/>
  <c r="AN162" i="32"/>
  <c r="AN525" i="32"/>
  <c r="AO525" i="32"/>
  <c r="AO502" i="32"/>
  <c r="AN502" i="32"/>
  <c r="AO174" i="32"/>
  <c r="AN174" i="32"/>
  <c r="AO376" i="32"/>
  <c r="AN376" i="32"/>
  <c r="AN409" i="32"/>
  <c r="AO409" i="32"/>
  <c r="AO350" i="32"/>
  <c r="AN350" i="32"/>
  <c r="AO81" i="32"/>
  <c r="AN81" i="32"/>
  <c r="AO132" i="32"/>
  <c r="AN132" i="32"/>
  <c r="AN369" i="32"/>
  <c r="AO369" i="32"/>
  <c r="AO336" i="32"/>
  <c r="AN336" i="32"/>
  <c r="AO257" i="32"/>
  <c r="AN257" i="32"/>
  <c r="AN93" i="32"/>
  <c r="AO93" i="32"/>
  <c r="AO43" i="32"/>
  <c r="AN43" i="32"/>
  <c r="AO63" i="32"/>
  <c r="AN63" i="32"/>
  <c r="AO433" i="32"/>
  <c r="AN433" i="32"/>
  <c r="AN14" i="32"/>
  <c r="AO14" i="32"/>
  <c r="AO86" i="32"/>
  <c r="AN86" i="32"/>
  <c r="AO605" i="32"/>
  <c r="AN605" i="32"/>
  <c r="AO342" i="32"/>
  <c r="AN342" i="32"/>
  <c r="AO448" i="32"/>
  <c r="AN448" i="32"/>
  <c r="AN190" i="32"/>
  <c r="AO190" i="32"/>
  <c r="AO106" i="32"/>
  <c r="AN106" i="32"/>
  <c r="AO208" i="32"/>
  <c r="AN208" i="32"/>
  <c r="AN57" i="32"/>
  <c r="AO57" i="32"/>
  <c r="AO456" i="32"/>
  <c r="AN456" i="32"/>
  <c r="AO378" i="32"/>
  <c r="AN378" i="32"/>
  <c r="AN413" i="32"/>
  <c r="AO413" i="32"/>
  <c r="AO566" i="32"/>
  <c r="AN566" i="32"/>
  <c r="AO283" i="32"/>
  <c r="AN283" i="32"/>
  <c r="AO578" i="32"/>
  <c r="AN578" i="32"/>
  <c r="AO346" i="32"/>
  <c r="AN346" i="32"/>
  <c r="AO275" i="32"/>
  <c r="AN275" i="32"/>
  <c r="AO373" i="32"/>
  <c r="AN373" i="32"/>
  <c r="AN570" i="32"/>
  <c r="AO570" i="32"/>
  <c r="AO177" i="32"/>
  <c r="AN177" i="32"/>
  <c r="AO179" i="32"/>
  <c r="AN179" i="32"/>
  <c r="AO423" i="32"/>
  <c r="AN423" i="32"/>
  <c r="AN489" i="32"/>
  <c r="AO489" i="32"/>
  <c r="AO579" i="32"/>
  <c r="AN579" i="32"/>
  <c r="AN15" i="32"/>
  <c r="AO15" i="32"/>
  <c r="AO396" i="32"/>
  <c r="AN396" i="32"/>
  <c r="AN92" i="32"/>
  <c r="AO92" i="32"/>
  <c r="AO347" i="32"/>
  <c r="AN347" i="32"/>
  <c r="AO557" i="32"/>
  <c r="AN557" i="32"/>
  <c r="AO556" i="32"/>
  <c r="AN556" i="32"/>
  <c r="AO564" i="32"/>
  <c r="AN564" i="32"/>
  <c r="AO310" i="32"/>
  <c r="AN310" i="32"/>
  <c r="AO415" i="32"/>
  <c r="AN415" i="32"/>
  <c r="AO353" i="32"/>
  <c r="AN353" i="32"/>
  <c r="AN480" i="32"/>
  <c r="AO480" i="32"/>
  <c r="AO585" i="32"/>
  <c r="AN585" i="32"/>
  <c r="AO131" i="32"/>
  <c r="AN131" i="32"/>
  <c r="AO329" i="32"/>
  <c r="AN329" i="32"/>
  <c r="AN613" i="32"/>
  <c r="AO613" i="32"/>
  <c r="AN236" i="32"/>
  <c r="AO236" i="32"/>
  <c r="AO211" i="32"/>
  <c r="AN211" i="32"/>
  <c r="AO288" i="32"/>
  <c r="AN288" i="32"/>
  <c r="AN532" i="32"/>
  <c r="AO532" i="32"/>
  <c r="AN193" i="32"/>
  <c r="AO193" i="32"/>
  <c r="AN149" i="32"/>
  <c r="AO149" i="32"/>
  <c r="AN293" i="32"/>
  <c r="AO293" i="32"/>
  <c r="AO438" i="32"/>
  <c r="AN438" i="32"/>
  <c r="AN534" i="32"/>
  <c r="AO534" i="32"/>
  <c r="AK46" i="32"/>
  <c r="AL46" i="32"/>
  <c r="AK335" i="32"/>
  <c r="AL335" i="32"/>
  <c r="AL148" i="32"/>
  <c r="AK148" i="32"/>
  <c r="AK571" i="32"/>
  <c r="AL571" i="32"/>
  <c r="AL423" i="32"/>
  <c r="AK423" i="32"/>
  <c r="AK557" i="32"/>
  <c r="AL557" i="32"/>
  <c r="AK387" i="32"/>
  <c r="AL387" i="32"/>
  <c r="AL88" i="32"/>
  <c r="AK88" i="32"/>
  <c r="AL282" i="32"/>
  <c r="AK282" i="32"/>
  <c r="AL280" i="32"/>
  <c r="AK280" i="32"/>
  <c r="AL470" i="32"/>
  <c r="AK470" i="32"/>
  <c r="AK312" i="32"/>
  <c r="AL312" i="32"/>
  <c r="AK511" i="32"/>
  <c r="AL511" i="32"/>
  <c r="AK570" i="32"/>
  <c r="AL570" i="32"/>
  <c r="AL29" i="32"/>
  <c r="AK29" i="32"/>
  <c r="AL417" i="32"/>
  <c r="AK417" i="32"/>
  <c r="AL239" i="32"/>
  <c r="AK239" i="32"/>
  <c r="AK209" i="32"/>
  <c r="AL209" i="32"/>
  <c r="AL609" i="32"/>
  <c r="AK609" i="32"/>
  <c r="AL562" i="32"/>
  <c r="AK562" i="32"/>
  <c r="AK589" i="32"/>
  <c r="AL589" i="32"/>
  <c r="AK531" i="32"/>
  <c r="AL531" i="32"/>
  <c r="AL194" i="32"/>
  <c r="AK194" i="32"/>
  <c r="AL381" i="32"/>
  <c r="AK381" i="32"/>
  <c r="AK229" i="32"/>
  <c r="AL229" i="32"/>
  <c r="AL174" i="32"/>
  <c r="AK174" i="32"/>
  <c r="AK340" i="32"/>
  <c r="AL340" i="32"/>
  <c r="AL405" i="32"/>
  <c r="AK405" i="32"/>
  <c r="AL306" i="32"/>
  <c r="AK306" i="32"/>
  <c r="AL212" i="32"/>
  <c r="AK212" i="32"/>
  <c r="AL140" i="32"/>
  <c r="AK140" i="32"/>
  <c r="AL251" i="32"/>
  <c r="AK251" i="32"/>
  <c r="AL22" i="32"/>
  <c r="AK22" i="32"/>
  <c r="AK549" i="32"/>
  <c r="AL549" i="32"/>
  <c r="AK521" i="32"/>
  <c r="AL521" i="32"/>
  <c r="AK316" i="32"/>
  <c r="AL316" i="32"/>
  <c r="AK37" i="32"/>
  <c r="AL37" i="32"/>
  <c r="AL273" i="32"/>
  <c r="AK273" i="32"/>
  <c r="AK56" i="32"/>
  <c r="AL56" i="32"/>
  <c r="AK566" i="32"/>
  <c r="AL566" i="32"/>
  <c r="AL421" i="32"/>
  <c r="AK421" i="32"/>
  <c r="AL152" i="32"/>
  <c r="AK152" i="32"/>
  <c r="AL90" i="32"/>
  <c r="AK90" i="32"/>
  <c r="AL539" i="32"/>
  <c r="AK539" i="32"/>
  <c r="AL269" i="32"/>
  <c r="AK269" i="32"/>
  <c r="AK544" i="32"/>
  <c r="AL544" i="32"/>
  <c r="AK303" i="32"/>
  <c r="AL303" i="32"/>
  <c r="AL231" i="32"/>
  <c r="AK231" i="32"/>
  <c r="AL141" i="32"/>
  <c r="AK141" i="32"/>
  <c r="AL146" i="32"/>
  <c r="AK146" i="32"/>
  <c r="AL24" i="32"/>
  <c r="AK24" i="32"/>
  <c r="AK513" i="32"/>
  <c r="AL513" i="32"/>
  <c r="AL342" i="32"/>
  <c r="AK342" i="32"/>
  <c r="AK274" i="32"/>
  <c r="AL274" i="32"/>
  <c r="AL207" i="32"/>
  <c r="AK207" i="32"/>
  <c r="AL72" i="32"/>
  <c r="AK72" i="32"/>
  <c r="AL81" i="32"/>
  <c r="AK81" i="32"/>
  <c r="AK376" i="32"/>
  <c r="AL376" i="32"/>
  <c r="AL375" i="32"/>
  <c r="AK375" i="32"/>
  <c r="AK283" i="32"/>
  <c r="AL283" i="32"/>
  <c r="AK166" i="32"/>
  <c r="AL166" i="32"/>
  <c r="AL233" i="32"/>
  <c r="AK233" i="32"/>
  <c r="AL32" i="32"/>
  <c r="AK32" i="32"/>
  <c r="AK18" i="32"/>
  <c r="AL18" i="32"/>
  <c r="AK559" i="32"/>
  <c r="AL559" i="32"/>
  <c r="AL483" i="32"/>
  <c r="AK483" i="32"/>
  <c r="AL442" i="32"/>
  <c r="AK442" i="32"/>
  <c r="AK419" i="32"/>
  <c r="AL419" i="32"/>
  <c r="AL215" i="32"/>
  <c r="AK215" i="32"/>
  <c r="AL420" i="32"/>
  <c r="AK420" i="32"/>
  <c r="AK547" i="32"/>
  <c r="AL547" i="32"/>
  <c r="AK371" i="32"/>
  <c r="AL371" i="32"/>
  <c r="AK191" i="32"/>
  <c r="AL191" i="32"/>
  <c r="AL75" i="32"/>
  <c r="AK75" i="32"/>
  <c r="AL608" i="32"/>
  <c r="AK608" i="32"/>
  <c r="AL525" i="32"/>
  <c r="AK525" i="32"/>
  <c r="AO252" i="32"/>
  <c r="AN252" i="32"/>
  <c r="AN394" i="32"/>
  <c r="AO394" i="32"/>
  <c r="AN68" i="32"/>
  <c r="AO68" i="32"/>
  <c r="AN325" i="32"/>
  <c r="AO325" i="32"/>
  <c r="AO168" i="32"/>
  <c r="AN168" i="32"/>
  <c r="AO147" i="32"/>
  <c r="AN147" i="32"/>
  <c r="AO322" i="32"/>
  <c r="AN322" i="32"/>
  <c r="AO492" i="32"/>
  <c r="AN492" i="32"/>
  <c r="AN163" i="32"/>
  <c r="AO163" i="32"/>
  <c r="AO85" i="32"/>
  <c r="AN85" i="32"/>
  <c r="AO468" i="32"/>
  <c r="AN468" i="32"/>
  <c r="AO101" i="32"/>
  <c r="AN101" i="32"/>
  <c r="AO364" i="32"/>
  <c r="AN364" i="32"/>
  <c r="AO340" i="32"/>
  <c r="AN340" i="32"/>
  <c r="AN327" i="32"/>
  <c r="AO327" i="32"/>
  <c r="AO574" i="32"/>
  <c r="AN574" i="32"/>
  <c r="AO577" i="32"/>
  <c r="AN577" i="32"/>
  <c r="AO145" i="32"/>
  <c r="AN145" i="32"/>
  <c r="AN239" i="32"/>
  <c r="AO239" i="32"/>
  <c r="AO594" i="32"/>
  <c r="AN594" i="32"/>
  <c r="AO165" i="32"/>
  <c r="AN165" i="32"/>
  <c r="AO450" i="32"/>
  <c r="AN450" i="32"/>
  <c r="AN258" i="32"/>
  <c r="AO258" i="32"/>
  <c r="AO78" i="32"/>
  <c r="AN78" i="32"/>
  <c r="AO98" i="32"/>
  <c r="AN98" i="32"/>
  <c r="AN129" i="32"/>
  <c r="AO129" i="32"/>
  <c r="AN522" i="32"/>
  <c r="AO522" i="32"/>
  <c r="AO21" i="32"/>
  <c r="AN21" i="32"/>
  <c r="AN75" i="32"/>
  <c r="AO75" i="32"/>
  <c r="AO246" i="32"/>
  <c r="AN246" i="32"/>
  <c r="AO418" i="32"/>
  <c r="AN418" i="32"/>
  <c r="AO481" i="32"/>
  <c r="AN481" i="32"/>
  <c r="AN221" i="32"/>
  <c r="AO221" i="32"/>
  <c r="AN237" i="32"/>
  <c r="AO237" i="32"/>
  <c r="AN306" i="32"/>
  <c r="AO306" i="32"/>
  <c r="AO287" i="32"/>
  <c r="AN287" i="32"/>
  <c r="AN500" i="32"/>
  <c r="AO500" i="32"/>
  <c r="AN462" i="32"/>
  <c r="AO462" i="32"/>
  <c r="AO410" i="32"/>
  <c r="AN410" i="32"/>
  <c r="AO196" i="32"/>
  <c r="AN196" i="32"/>
  <c r="AO349" i="32"/>
  <c r="AN349" i="32"/>
  <c r="AO573" i="32"/>
  <c r="AN573" i="32"/>
  <c r="AO229" i="32"/>
  <c r="AN229" i="32"/>
  <c r="AO597" i="32"/>
  <c r="AN597" i="32"/>
  <c r="AO38" i="32"/>
  <c r="AN38" i="32"/>
  <c r="AO305" i="32"/>
  <c r="AN305" i="32"/>
  <c r="AN332" i="32"/>
  <c r="AO332" i="32"/>
  <c r="AO311" i="32"/>
  <c r="AN311" i="32"/>
  <c r="AO375" i="32"/>
  <c r="AN375" i="32"/>
  <c r="AN576" i="32"/>
  <c r="AO576" i="32"/>
  <c r="AO541" i="32"/>
  <c r="AN541" i="32"/>
  <c r="AO53" i="32"/>
  <c r="AN53" i="32"/>
  <c r="AN285" i="32"/>
  <c r="AO285" i="32"/>
  <c r="AO99" i="32"/>
  <c r="AN99" i="32"/>
  <c r="AO460" i="32"/>
  <c r="AN460" i="32"/>
  <c r="AN103" i="32"/>
  <c r="AO103" i="32"/>
  <c r="AN122" i="32"/>
  <c r="AO122" i="32"/>
  <c r="AO251" i="32"/>
  <c r="AN251" i="32"/>
  <c r="AO371" i="32"/>
  <c r="AN371" i="32"/>
  <c r="AO499" i="32"/>
  <c r="AN499" i="32"/>
  <c r="AO436" i="32"/>
  <c r="AN436" i="32"/>
  <c r="AO606" i="32"/>
  <c r="AN606" i="32"/>
  <c r="AO553" i="32"/>
  <c r="AN553" i="32"/>
  <c r="AO216" i="32"/>
  <c r="AN216" i="32"/>
  <c r="AN359" i="32"/>
  <c r="AO359" i="32"/>
  <c r="AN589" i="32"/>
  <c r="AO589" i="32"/>
  <c r="AO24" i="32"/>
  <c r="AN24" i="32"/>
  <c r="AN457" i="32"/>
  <c r="AO457" i="32"/>
  <c r="AO182" i="32"/>
  <c r="AN182" i="32"/>
  <c r="AO278" i="32"/>
  <c r="AN278" i="32"/>
  <c r="AN244" i="32"/>
  <c r="AO244" i="32"/>
  <c r="AN227" i="32"/>
  <c r="AO227" i="32"/>
  <c r="AO403" i="32"/>
  <c r="AN403" i="32"/>
  <c r="AO477" i="32"/>
  <c r="AN477" i="32"/>
  <c r="AO601" i="32"/>
  <c r="AN601" i="32"/>
  <c r="AL110" i="32"/>
  <c r="AK110" i="32"/>
  <c r="AK472" i="32"/>
  <c r="AL472" i="32"/>
  <c r="AK473" i="32"/>
  <c r="AL473" i="32"/>
  <c r="AK325" i="32"/>
  <c r="AL325" i="32"/>
  <c r="AK563" i="32"/>
  <c r="AL563" i="32"/>
  <c r="AL535" i="32"/>
  <c r="AK535" i="32"/>
  <c r="AK577" i="32"/>
  <c r="AL577" i="32"/>
  <c r="AL263" i="32"/>
  <c r="AK263" i="32"/>
  <c r="AK144" i="32"/>
  <c r="AL144" i="32"/>
  <c r="AL437" i="32"/>
  <c r="AK437" i="32"/>
  <c r="AL206" i="32"/>
  <c r="AK206" i="32"/>
  <c r="AK31" i="32"/>
  <c r="AL31" i="32"/>
  <c r="AL189" i="32"/>
  <c r="AK189" i="32"/>
  <c r="AK561" i="32"/>
  <c r="AL561" i="32"/>
  <c r="AK602" i="32"/>
  <c r="AL602" i="32"/>
  <c r="AK155" i="32"/>
  <c r="AL155" i="32"/>
  <c r="AL30" i="32"/>
  <c r="AK30" i="32"/>
  <c r="AK65" i="32"/>
  <c r="AL65" i="32"/>
  <c r="AL257" i="32"/>
  <c r="AK257" i="32"/>
  <c r="AL234" i="32"/>
  <c r="AK234" i="32"/>
  <c r="AK225" i="32"/>
  <c r="AL225" i="32"/>
  <c r="AK260" i="32"/>
  <c r="AL260" i="32"/>
  <c r="AL498" i="32"/>
  <c r="AK498" i="32"/>
  <c r="AK337" i="32"/>
  <c r="AL337" i="32"/>
  <c r="AL446" i="32"/>
  <c r="AK446" i="32"/>
  <c r="AK98" i="32"/>
  <c r="AL98" i="32"/>
  <c r="AL60" i="32"/>
  <c r="AK60" i="32"/>
  <c r="AL99" i="32"/>
  <c r="AK99" i="32"/>
  <c r="AK553" i="32"/>
  <c r="AL553" i="32"/>
  <c r="AK232" i="32"/>
  <c r="AL232" i="32"/>
  <c r="AL414" i="32"/>
  <c r="AK414" i="32"/>
  <c r="AK241" i="32"/>
  <c r="AL241" i="32"/>
  <c r="AK227" i="32"/>
  <c r="AL227" i="32"/>
  <c r="AK271" i="32"/>
  <c r="AL271" i="32"/>
  <c r="AK578" i="32"/>
  <c r="AL578" i="32"/>
  <c r="AK208" i="32"/>
  <c r="AL208" i="32"/>
  <c r="AK391" i="32"/>
  <c r="AL391" i="32"/>
  <c r="AK277" i="32"/>
  <c r="AL277" i="32"/>
  <c r="AL202" i="32"/>
  <c r="AK202" i="32"/>
  <c r="AL502" i="32"/>
  <c r="AK502" i="32"/>
  <c r="AK296" i="32"/>
  <c r="AL296" i="32"/>
  <c r="AK237" i="32"/>
  <c r="AL237" i="32"/>
  <c r="AK136" i="32"/>
  <c r="AL136" i="32"/>
  <c r="AL551" i="32"/>
  <c r="AK551" i="32"/>
  <c r="AK138" i="32"/>
  <c r="AL138" i="32"/>
  <c r="AK404" i="32"/>
  <c r="AL404" i="32"/>
  <c r="AL351" i="32"/>
  <c r="AK351" i="32"/>
  <c r="AL236" i="32"/>
  <c r="AK236" i="32"/>
  <c r="AK147" i="32"/>
  <c r="AL147" i="32"/>
  <c r="AK131" i="32"/>
  <c r="AL131" i="32"/>
  <c r="AL575" i="32"/>
  <c r="AK575" i="32"/>
  <c r="AL368" i="32"/>
  <c r="AK368" i="32"/>
  <c r="AK330" i="32"/>
  <c r="AL330" i="32"/>
  <c r="AL256" i="32"/>
  <c r="AK256" i="32"/>
  <c r="AL115" i="32"/>
  <c r="AK115" i="32"/>
  <c r="AL242" i="32"/>
  <c r="AK242" i="32"/>
  <c r="AK445" i="32"/>
  <c r="AL445" i="32"/>
  <c r="AL427" i="32"/>
  <c r="AK427" i="32"/>
  <c r="AK319" i="32"/>
  <c r="AL319" i="32"/>
  <c r="AK201" i="32"/>
  <c r="AL201" i="32"/>
  <c r="AL377" i="32"/>
  <c r="AK377" i="32"/>
  <c r="AK367" i="32"/>
  <c r="AL367" i="32"/>
  <c r="AL35" i="32"/>
  <c r="AK35" i="32"/>
  <c r="AK120" i="32"/>
  <c r="AL120" i="32"/>
  <c r="AL580" i="32"/>
  <c r="AK580" i="32"/>
  <c r="AL441" i="32"/>
  <c r="AK441" i="32"/>
  <c r="AL431" i="32"/>
  <c r="AK431" i="32"/>
  <c r="AL326" i="32"/>
  <c r="AK326" i="32"/>
  <c r="AK601" i="32"/>
  <c r="AL601" i="32"/>
  <c r="AL496" i="32"/>
  <c r="AK496" i="32"/>
  <c r="AK393" i="32"/>
  <c r="AL393" i="32"/>
  <c r="AK309" i="32"/>
  <c r="AL309" i="32"/>
  <c r="AK117" i="32"/>
  <c r="AL117" i="32"/>
  <c r="AK76" i="32"/>
  <c r="AL76" i="32"/>
  <c r="AK588" i="32"/>
  <c r="AL588" i="32"/>
  <c r="AO175" i="32"/>
  <c r="AN175" i="32"/>
  <c r="AO65" i="32"/>
  <c r="AN65" i="32"/>
  <c r="AO374" i="32"/>
  <c r="AN374" i="32"/>
  <c r="AO140" i="32"/>
  <c r="AN140" i="32"/>
  <c r="AO67" i="32"/>
  <c r="AN67" i="32"/>
  <c r="AO230" i="32"/>
  <c r="AN230" i="32"/>
  <c r="AO107" i="32"/>
  <c r="AN107" i="32"/>
  <c r="AO405" i="32"/>
  <c r="AN405" i="32"/>
  <c r="AO439" i="32"/>
  <c r="AN439" i="32"/>
  <c r="AN183" i="32"/>
  <c r="AO183" i="32"/>
  <c r="AN339" i="32"/>
  <c r="AO339" i="32"/>
  <c r="AO178" i="32"/>
  <c r="AN178" i="32"/>
  <c r="AO563" i="32"/>
  <c r="AN563" i="32"/>
  <c r="AN447" i="32"/>
  <c r="AO447" i="32"/>
  <c r="AO29" i="32"/>
  <c r="AN29" i="32"/>
  <c r="AN222" i="32"/>
  <c r="AO222" i="32"/>
  <c r="AN598" i="32"/>
  <c r="AO598" i="32"/>
  <c r="AO22" i="32"/>
  <c r="AN22" i="32"/>
  <c r="AO490" i="32"/>
  <c r="AN490" i="32"/>
  <c r="AO543" i="32"/>
  <c r="AN543" i="32"/>
  <c r="AO54" i="32"/>
  <c r="AN54" i="32"/>
  <c r="AO72" i="32"/>
  <c r="AN72" i="32"/>
  <c r="AN345" i="32"/>
  <c r="AO345" i="32"/>
  <c r="AO226" i="32"/>
  <c r="AN226" i="32"/>
  <c r="AN212" i="32"/>
  <c r="AO212" i="32"/>
  <c r="AN268" i="32"/>
  <c r="AO268" i="32"/>
  <c r="AO549" i="32"/>
  <c r="AN549" i="32"/>
  <c r="AN159" i="32"/>
  <c r="AO159" i="32"/>
  <c r="AN184" i="32"/>
  <c r="AO184" i="32"/>
  <c r="AN348" i="32"/>
  <c r="AO348" i="32"/>
  <c r="AN432" i="32"/>
  <c r="AO432" i="32"/>
  <c r="AO604" i="32"/>
  <c r="AN604" i="32"/>
  <c r="AN13" i="32"/>
  <c r="AO13" i="32"/>
  <c r="AN188" i="32"/>
  <c r="AO188" i="32"/>
  <c r="AO56" i="32"/>
  <c r="AN56" i="32"/>
  <c r="AN411" i="32"/>
  <c r="AO411" i="32"/>
  <c r="AN531" i="32"/>
  <c r="AO531" i="32"/>
  <c r="AO540" i="32"/>
  <c r="AN540" i="32"/>
  <c r="AO533" i="32"/>
  <c r="AN533" i="32"/>
  <c r="AO254" i="32"/>
  <c r="AN254" i="32"/>
  <c r="AO422" i="32"/>
  <c r="AN422" i="32"/>
  <c r="AO37" i="32"/>
  <c r="AN37" i="32"/>
  <c r="AN205" i="32"/>
  <c r="AO205" i="32"/>
  <c r="AO79" i="32"/>
  <c r="AN79" i="32"/>
  <c r="AO83" i="32"/>
  <c r="AN83" i="32"/>
  <c r="AO313" i="32"/>
  <c r="AN313" i="32"/>
  <c r="AO333" i="32"/>
  <c r="AN333" i="32"/>
  <c r="AN298" i="32"/>
  <c r="AO298" i="32"/>
  <c r="AO476" i="32"/>
  <c r="AN476" i="32"/>
  <c r="AO198" i="32"/>
  <c r="AN198" i="32"/>
  <c r="AO602" i="32"/>
  <c r="AN602" i="32"/>
  <c r="AO135" i="32"/>
  <c r="AN135" i="32"/>
  <c r="AO87" i="32"/>
  <c r="AN87" i="32"/>
  <c r="AN134" i="32"/>
  <c r="AO134" i="32"/>
  <c r="AN478" i="32"/>
  <c r="AO478" i="32"/>
  <c r="AO133" i="32"/>
  <c r="AN133" i="32"/>
  <c r="AN151" i="32"/>
  <c r="AO151" i="32"/>
  <c r="AO308" i="32"/>
  <c r="AN308" i="32"/>
  <c r="AN414" i="32"/>
  <c r="AO414" i="32"/>
  <c r="AO546" i="32"/>
  <c r="AN546" i="32"/>
  <c r="AO517" i="32"/>
  <c r="AN517" i="32"/>
  <c r="AO243" i="32"/>
  <c r="AN243" i="32"/>
  <c r="AO584" i="32"/>
  <c r="AN584" i="32"/>
  <c r="AO309" i="32"/>
  <c r="AN309" i="32"/>
  <c r="AO381" i="32"/>
  <c r="AN381" i="32"/>
  <c r="AO115" i="32"/>
  <c r="AN115" i="32"/>
  <c r="AO118" i="32"/>
  <c r="AN118" i="32"/>
  <c r="AN46" i="32"/>
  <c r="AO46" i="32"/>
  <c r="AO74" i="32"/>
  <c r="AN74" i="32"/>
  <c r="AO341" i="32"/>
  <c r="AN341" i="32"/>
  <c r="AN366" i="32"/>
  <c r="AO366" i="32"/>
  <c r="AN297" i="32"/>
  <c r="AO297" i="32"/>
  <c r="AN454" i="32"/>
  <c r="AO454" i="32"/>
  <c r="AO199" i="32"/>
  <c r="AN199" i="32"/>
  <c r="AN607" i="32"/>
  <c r="AO607" i="32"/>
  <c r="AK158" i="32"/>
  <c r="AL158" i="32"/>
  <c r="AL341" i="32"/>
  <c r="AK341" i="32"/>
  <c r="AL328" i="32"/>
  <c r="AK328" i="32"/>
  <c r="AL109" i="32"/>
  <c r="AK109" i="32"/>
  <c r="AK182" i="32"/>
  <c r="AL182" i="32"/>
  <c r="AK598" i="32"/>
  <c r="AL598" i="32"/>
  <c r="AL216" i="32"/>
  <c r="AK216" i="32"/>
  <c r="AK374" i="32"/>
  <c r="AL374" i="32"/>
  <c r="AL361" i="32"/>
  <c r="AK361" i="32"/>
  <c r="AL129" i="32"/>
  <c r="AK129" i="32"/>
  <c r="AK289" i="32"/>
  <c r="AL289" i="32"/>
  <c r="AL457" i="32"/>
  <c r="AK457" i="32"/>
  <c r="AK175" i="32"/>
  <c r="AL175" i="32"/>
  <c r="AL610" i="32"/>
  <c r="AK610" i="32"/>
  <c r="AL41" i="32"/>
  <c r="AK41" i="32"/>
  <c r="AK172" i="32"/>
  <c r="AL172" i="32"/>
  <c r="AK128" i="32"/>
  <c r="AL128" i="32"/>
  <c r="AJ624" i="32"/>
  <c r="AM624" i="32"/>
  <c r="AK116" i="32"/>
  <c r="AL116" i="32"/>
  <c r="AL478" i="32"/>
  <c r="AK478" i="32"/>
  <c r="AL515" i="32"/>
  <c r="AK515" i="32"/>
  <c r="AK595" i="32"/>
  <c r="AL595" i="32"/>
  <c r="AL347" i="32"/>
  <c r="AK347" i="32"/>
  <c r="AL49" i="32"/>
  <c r="AK49" i="32"/>
  <c r="AL505" i="32"/>
  <c r="AK505" i="32"/>
  <c r="AL288" i="32"/>
  <c r="AK288" i="32"/>
  <c r="AK270" i="32"/>
  <c r="AL270" i="32"/>
  <c r="AL287" i="32"/>
  <c r="AK287" i="32"/>
  <c r="AK284" i="32"/>
  <c r="AL284" i="32"/>
  <c r="AL345" i="32"/>
  <c r="AK345" i="32"/>
  <c r="AL267" i="32"/>
  <c r="AK267" i="32"/>
  <c r="AK467" i="32"/>
  <c r="AL467" i="32"/>
  <c r="AL394" i="32"/>
  <c r="AK394" i="32"/>
  <c r="AL590" i="32"/>
  <c r="AK590" i="32"/>
  <c r="AL253" i="32"/>
  <c r="AK253" i="32"/>
  <c r="AK323" i="32"/>
  <c r="AL323" i="32"/>
  <c r="AK275" i="32"/>
  <c r="AL275" i="32"/>
  <c r="AL554" i="32"/>
  <c r="AK554" i="32"/>
  <c r="AK388" i="32"/>
  <c r="AL388" i="32"/>
  <c r="AK605" i="32"/>
  <c r="AL605" i="32"/>
  <c r="AK198" i="32"/>
  <c r="AL198" i="32"/>
  <c r="AK450" i="32"/>
  <c r="AL450" i="32"/>
  <c r="AK360" i="32"/>
  <c r="AL360" i="32"/>
  <c r="AK150" i="32"/>
  <c r="AL150" i="32"/>
  <c r="AK192" i="32"/>
  <c r="AL192" i="32"/>
  <c r="AL357" i="32"/>
  <c r="AK357" i="32"/>
  <c r="AL509" i="32"/>
  <c r="AK509" i="32"/>
  <c r="AK353" i="32"/>
  <c r="AL353" i="32"/>
  <c r="AK344" i="32"/>
  <c r="AL344" i="32"/>
  <c r="AL217" i="32"/>
  <c r="AK217" i="32"/>
  <c r="AK96" i="32"/>
  <c r="AL96" i="32"/>
  <c r="AK160" i="32"/>
  <c r="AL160" i="32"/>
  <c r="AL434" i="32"/>
  <c r="AK434" i="32"/>
  <c r="AL380" i="32"/>
  <c r="AK380" i="32"/>
  <c r="AL281" i="32"/>
  <c r="AK281" i="32"/>
  <c r="AL299" i="32"/>
  <c r="AK299" i="32"/>
  <c r="AL373" i="32"/>
  <c r="AK373" i="32"/>
  <c r="AK516" i="32"/>
  <c r="AL516" i="32"/>
  <c r="AL455" i="32"/>
  <c r="AK455" i="32"/>
  <c r="AL401" i="32"/>
  <c r="AK401" i="32"/>
  <c r="AK338" i="32"/>
  <c r="AL338" i="32"/>
  <c r="AK540" i="32"/>
  <c r="AL540" i="32"/>
  <c r="AL560" i="32"/>
  <c r="AK560" i="32"/>
  <c r="AK177" i="32"/>
  <c r="AL177" i="32"/>
  <c r="AK89" i="32"/>
  <c r="AL89" i="32"/>
  <c r="AL604" i="32"/>
  <c r="AK604" i="32"/>
  <c r="AL529" i="32"/>
  <c r="AK529" i="32"/>
  <c r="AL456" i="32"/>
  <c r="AK456" i="32"/>
  <c r="AL346" i="32"/>
  <c r="AK346" i="32"/>
  <c r="AL17" i="32"/>
  <c r="AK17" i="32"/>
  <c r="AL556" i="32"/>
  <c r="AK556" i="32"/>
  <c r="AK491" i="32"/>
  <c r="AL491" i="32"/>
  <c r="AK310" i="32"/>
  <c r="AL310" i="32"/>
  <c r="AL162" i="32"/>
  <c r="AK162" i="32"/>
  <c r="AL126" i="32"/>
  <c r="AK126" i="32"/>
  <c r="AO189" i="32"/>
  <c r="AN189" i="32"/>
  <c r="AO389" i="32"/>
  <c r="AN389" i="32"/>
  <c r="AO467" i="32"/>
  <c r="AN467" i="32"/>
  <c r="AO55" i="32"/>
  <c r="AN55" i="32"/>
  <c r="AN469" i="32"/>
  <c r="AO469" i="32"/>
  <c r="AN505" i="32"/>
  <c r="AO505" i="32"/>
  <c r="AN77" i="32"/>
  <c r="AO77" i="32"/>
  <c r="AO210" i="32"/>
  <c r="AN210" i="32"/>
  <c r="AO272" i="32"/>
  <c r="AN272" i="32"/>
  <c r="AO352" i="32"/>
  <c r="AN352" i="32"/>
  <c r="AN487" i="32"/>
  <c r="AO487" i="32"/>
  <c r="AN289" i="32"/>
  <c r="AO289" i="32"/>
  <c r="AN117" i="32"/>
  <c r="AO117" i="32"/>
  <c r="AO180" i="32"/>
  <c r="AN180" i="32"/>
  <c r="AO536" i="32"/>
  <c r="AN536" i="32"/>
  <c r="AN64" i="32"/>
  <c r="AO64" i="32"/>
  <c r="AO351" i="32"/>
  <c r="AN351" i="32"/>
  <c r="AO110" i="32"/>
  <c r="AN110" i="32"/>
  <c r="AN23" i="32"/>
  <c r="AO23" i="32"/>
  <c r="AO600" i="32"/>
  <c r="AN600" i="32"/>
  <c r="AN508" i="32"/>
  <c r="AO508" i="32"/>
  <c r="AN495" i="32"/>
  <c r="AO495" i="32"/>
  <c r="AO290" i="32"/>
  <c r="AN290" i="32"/>
  <c r="AN591" i="32"/>
  <c r="AO591" i="32"/>
  <c r="AO76" i="32"/>
  <c r="AN76" i="32"/>
  <c r="AO571" i="32"/>
  <c r="AN571" i="32"/>
  <c r="AN380" i="32"/>
  <c r="AO380" i="32"/>
  <c r="AN286" i="32"/>
  <c r="AO286" i="32"/>
  <c r="AO294" i="32"/>
  <c r="AN294" i="32"/>
  <c r="AN200" i="32"/>
  <c r="AO200" i="32"/>
  <c r="AN399" i="32"/>
  <c r="AO399" i="32"/>
  <c r="AN521" i="32"/>
  <c r="AO521" i="32"/>
  <c r="AN538" i="32"/>
  <c r="AO538" i="32"/>
  <c r="AO91" i="32"/>
  <c r="AN91" i="32"/>
  <c r="AO136" i="32"/>
  <c r="AN136" i="32"/>
  <c r="AO40" i="32"/>
  <c r="AN40" i="32"/>
  <c r="AO437" i="32"/>
  <c r="AN437" i="32"/>
  <c r="AN138" i="32"/>
  <c r="AO138" i="32"/>
  <c r="AO27" i="32"/>
  <c r="AN27" i="32"/>
  <c r="AO610" i="32"/>
  <c r="AN610" i="32"/>
  <c r="AO295" i="32"/>
  <c r="AN295" i="32"/>
  <c r="AN526" i="32"/>
  <c r="AO526" i="32"/>
  <c r="AO73" i="32"/>
  <c r="AN73" i="32"/>
  <c r="AN84" i="32"/>
  <c r="AO84" i="32"/>
  <c r="AO164" i="32"/>
  <c r="AN164" i="32"/>
  <c r="AN233" i="32"/>
  <c r="AO233" i="32"/>
  <c r="AO440" i="32"/>
  <c r="AN440" i="32"/>
  <c r="AO465" i="32"/>
  <c r="AN465" i="32"/>
  <c r="AO344" i="32"/>
  <c r="AN344" i="32"/>
  <c r="AO592" i="32"/>
  <c r="AN592" i="32"/>
  <c r="AO262" i="32"/>
  <c r="AN262" i="32"/>
  <c r="AO587" i="32"/>
  <c r="AN587" i="32"/>
  <c r="AO320" i="32"/>
  <c r="AN320" i="32"/>
  <c r="AN273" i="32"/>
  <c r="AO273" i="32"/>
  <c r="AO458" i="32"/>
  <c r="AN458" i="32"/>
  <c r="AO232" i="32"/>
  <c r="AN232" i="32"/>
  <c r="AO240" i="32"/>
  <c r="AN240" i="32"/>
  <c r="AN141" i="32"/>
  <c r="AO141" i="32"/>
  <c r="AN421" i="32"/>
  <c r="AO421" i="32"/>
  <c r="AO442" i="32"/>
  <c r="AN442" i="32"/>
  <c r="AO575" i="32"/>
  <c r="AN575" i="32"/>
  <c r="AO187" i="32"/>
  <c r="AN187" i="32"/>
  <c r="AN385" i="32"/>
  <c r="AO385" i="32"/>
  <c r="AO603" i="32"/>
  <c r="AN603" i="32"/>
  <c r="AO453" i="32"/>
  <c r="AN453" i="32"/>
  <c r="AO482" i="32"/>
  <c r="AN482" i="32"/>
  <c r="AN104" i="32"/>
  <c r="AO104" i="32"/>
  <c r="AO89" i="32"/>
  <c r="AN89" i="32"/>
  <c r="AN17" i="32"/>
  <c r="AO17" i="32"/>
  <c r="AO155" i="32"/>
  <c r="AN155" i="32"/>
  <c r="AN424" i="32"/>
  <c r="AO424" i="32"/>
  <c r="AN412" i="32"/>
  <c r="AO412" i="32"/>
  <c r="AN355" i="32"/>
  <c r="AO355" i="32"/>
  <c r="AO515" i="32"/>
  <c r="AN515" i="32"/>
  <c r="AN269" i="32"/>
  <c r="AO269" i="32"/>
  <c r="AO561" i="32"/>
  <c r="AN561" i="32"/>
  <c r="AK173" i="32"/>
  <c r="AL173" i="32"/>
  <c r="AK134" i="32"/>
  <c r="AL134" i="32"/>
  <c r="AL119" i="32"/>
  <c r="AK119" i="32"/>
  <c r="AK398" i="32"/>
  <c r="AL398" i="32"/>
  <c r="AL548" i="32"/>
  <c r="AK548" i="32"/>
  <c r="AK14" i="32"/>
  <c r="AL14" i="32"/>
  <c r="AL586" i="32"/>
  <c r="AK586" i="32"/>
  <c r="AK304" i="32"/>
  <c r="AL304" i="32"/>
  <c r="AL308" i="32"/>
  <c r="AK308" i="32"/>
  <c r="AK70" i="32"/>
  <c r="AL70" i="32"/>
  <c r="AK399" i="32"/>
  <c r="AL399" i="32"/>
  <c r="AL333" i="32"/>
  <c r="AK333" i="32"/>
  <c r="AK133" i="32"/>
  <c r="AL133" i="32"/>
  <c r="AL527" i="32"/>
  <c r="AK527" i="32"/>
  <c r="AK114" i="32"/>
  <c r="AL114" i="32"/>
  <c r="AK220" i="32"/>
  <c r="AL220" i="32"/>
  <c r="AK593" i="32"/>
  <c r="AL593" i="32"/>
  <c r="AL163" i="32"/>
  <c r="AK163" i="32"/>
  <c r="AL426" i="32"/>
  <c r="AK426" i="32"/>
  <c r="AK23" i="32"/>
  <c r="AL23" i="32"/>
  <c r="AK36" i="32"/>
  <c r="AL36" i="32"/>
  <c r="AK331" i="32"/>
  <c r="AL331" i="32"/>
  <c r="AK479" i="32"/>
  <c r="AL479" i="32"/>
  <c r="AL183" i="32"/>
  <c r="AK183" i="32"/>
  <c r="AL607" i="32"/>
  <c r="AK607" i="32"/>
  <c r="AL429" i="32"/>
  <c r="AK429" i="32"/>
  <c r="AL495" i="32"/>
  <c r="AK495" i="32"/>
  <c r="AL600" i="32"/>
  <c r="AK600" i="32"/>
  <c r="AL500" i="32"/>
  <c r="AK500" i="32"/>
  <c r="AK167" i="32"/>
  <c r="AL167" i="32"/>
  <c r="AL365" i="32"/>
  <c r="AK365" i="32"/>
  <c r="AL44" i="32"/>
  <c r="AK44" i="32"/>
  <c r="AL487" i="32"/>
  <c r="AK487" i="32"/>
  <c r="AK458" i="32"/>
  <c r="AL458" i="32"/>
  <c r="AL592" i="32"/>
  <c r="AK592" i="32"/>
  <c r="AL100" i="32"/>
  <c r="AK100" i="32"/>
  <c r="AL448" i="32"/>
  <c r="AK448" i="32"/>
  <c r="AL97" i="32"/>
  <c r="AK97" i="32"/>
  <c r="AL503" i="32"/>
  <c r="AK503" i="32"/>
  <c r="AK268" i="32"/>
  <c r="AL268" i="32"/>
  <c r="AK107" i="32"/>
  <c r="AL107" i="32"/>
  <c r="AK555" i="32"/>
  <c r="AL555" i="32"/>
  <c r="AL477" i="32"/>
  <c r="AK477" i="32"/>
  <c r="AL339" i="32"/>
  <c r="AK339" i="32"/>
  <c r="AK489" i="32"/>
  <c r="AL489" i="32"/>
  <c r="AL51" i="32"/>
  <c r="AK51" i="32"/>
  <c r="AK536" i="32"/>
  <c r="AL536" i="32"/>
  <c r="AL463" i="32"/>
  <c r="AK463" i="32"/>
  <c r="AL435" i="32"/>
  <c r="AK435" i="32"/>
  <c r="AK322" i="32"/>
  <c r="AL322" i="32"/>
  <c r="AL185" i="32"/>
  <c r="AK185" i="32"/>
  <c r="AL355" i="32"/>
  <c r="AK355" i="32"/>
  <c r="AL474" i="32"/>
  <c r="AK474" i="32"/>
  <c r="AL475" i="32"/>
  <c r="AK475" i="32"/>
  <c r="AL363" i="32"/>
  <c r="AK363" i="32"/>
  <c r="AL329" i="32"/>
  <c r="AK329" i="32"/>
  <c r="AL581" i="32"/>
  <c r="AK581" i="32"/>
  <c r="AL582" i="32"/>
  <c r="AK582" i="32"/>
  <c r="AL482" i="32"/>
  <c r="AK482" i="32"/>
  <c r="AL504" i="32"/>
  <c r="AK504" i="32"/>
  <c r="AK354" i="32"/>
  <c r="AL354" i="32"/>
  <c r="AK597" i="32"/>
  <c r="AL597" i="32"/>
  <c r="AK124" i="32"/>
  <c r="AL124" i="32"/>
  <c r="AK226" i="32"/>
  <c r="AL226" i="32"/>
  <c r="AL149" i="32"/>
  <c r="AK149" i="32"/>
  <c r="AK132" i="32"/>
  <c r="AL132" i="32"/>
  <c r="AL16" i="32"/>
  <c r="AK16" i="32"/>
  <c r="AL499" i="32"/>
  <c r="AK499" i="32"/>
  <c r="AL438" i="32"/>
  <c r="AK438" i="32"/>
  <c r="AL25" i="32"/>
  <c r="AK25" i="32"/>
  <c r="AK599" i="32"/>
  <c r="AL599" i="32"/>
  <c r="AL508" i="32"/>
  <c r="AK508" i="32"/>
  <c r="AK471" i="32"/>
  <c r="AL471" i="32"/>
  <c r="AL334" i="32"/>
  <c r="AK334" i="32"/>
  <c r="AL223" i="32"/>
  <c r="AK223" i="32"/>
  <c r="AO39" i="32"/>
  <c r="AN39" i="32"/>
  <c r="AN572" i="32"/>
  <c r="AO572" i="32"/>
  <c r="AN392" i="32"/>
  <c r="AO392" i="32"/>
  <c r="AO157" i="32"/>
  <c r="AN157" i="32"/>
  <c r="AN360" i="32"/>
  <c r="AO360" i="32"/>
  <c r="AN518" i="32"/>
  <c r="AO518" i="32"/>
  <c r="AO391" i="32"/>
  <c r="AN391" i="32"/>
  <c r="AO281" i="32"/>
  <c r="AN281" i="32"/>
  <c r="AO317" i="32"/>
  <c r="AN317" i="32"/>
  <c r="AO176" i="32"/>
  <c r="AN176" i="32"/>
  <c r="AO48" i="32"/>
  <c r="AN48" i="32"/>
  <c r="AO461" i="32"/>
  <c r="AN461" i="32"/>
  <c r="AO44" i="32"/>
  <c r="AN44" i="32"/>
  <c r="AO354" i="32"/>
  <c r="AN354" i="32"/>
  <c r="AO113" i="32"/>
  <c r="AN113" i="32"/>
  <c r="AN520" i="32"/>
  <c r="AO520" i="32"/>
  <c r="AO599" i="32"/>
  <c r="AN599" i="32"/>
  <c r="AN112" i="32"/>
  <c r="AO112" i="32"/>
  <c r="AO171" i="32"/>
  <c r="AN171" i="32"/>
  <c r="AN245" i="32"/>
  <c r="AO245" i="32"/>
  <c r="AO50" i="32"/>
  <c r="AN50" i="32"/>
  <c r="AN52" i="32"/>
  <c r="AO52" i="32"/>
  <c r="AN464" i="32"/>
  <c r="AO464" i="32"/>
  <c r="AO282" i="32"/>
  <c r="AN282" i="32"/>
  <c r="AN114" i="32"/>
  <c r="AO114" i="32"/>
  <c r="AO49" i="32"/>
  <c r="AN49" i="32"/>
  <c r="AN31" i="32"/>
  <c r="AO31" i="32"/>
  <c r="AN319" i="32"/>
  <c r="AO319" i="32"/>
  <c r="AN379" i="32"/>
  <c r="AO379" i="32"/>
  <c r="AN292" i="32"/>
  <c r="AO292" i="32"/>
  <c r="AO472" i="32"/>
  <c r="AN472" i="32"/>
  <c r="AO160" i="32"/>
  <c r="AN160" i="32"/>
  <c r="AN609" i="32"/>
  <c r="AO609" i="32"/>
  <c r="AO71" i="32"/>
  <c r="AN71" i="32"/>
  <c r="AO32" i="32"/>
  <c r="AN32" i="32"/>
  <c r="AN218" i="32"/>
  <c r="AO218" i="32"/>
  <c r="AO445" i="32"/>
  <c r="AN445" i="32"/>
  <c r="AO150" i="32"/>
  <c r="AN150" i="32"/>
  <c r="AO153" i="32"/>
  <c r="AN153" i="32"/>
  <c r="AO300" i="32"/>
  <c r="AN300" i="32"/>
  <c r="AO404" i="32"/>
  <c r="AN404" i="32"/>
  <c r="AO523" i="32"/>
  <c r="AN523" i="32"/>
  <c r="AO228" i="32"/>
  <c r="AN228" i="32"/>
  <c r="AO337" i="32"/>
  <c r="AN337" i="32"/>
  <c r="AN384" i="32"/>
  <c r="AO384" i="32"/>
  <c r="AO334" i="32"/>
  <c r="AN334" i="32"/>
  <c r="AO486" i="32"/>
  <c r="AN486" i="32"/>
  <c r="AO449" i="32"/>
  <c r="AN449" i="32"/>
  <c r="AO550" i="32"/>
  <c r="AN550" i="32"/>
  <c r="AN261" i="32"/>
  <c r="AO261" i="32"/>
  <c r="AO301" i="32"/>
  <c r="AN301" i="32"/>
  <c r="AO562" i="32"/>
  <c r="AN562" i="32"/>
  <c r="AN120" i="32"/>
  <c r="AO120" i="32"/>
  <c r="AO19" i="32"/>
  <c r="AN19" i="32"/>
  <c r="AN280" i="32"/>
  <c r="AO280" i="32"/>
  <c r="AN335" i="32"/>
  <c r="AO335" i="32"/>
  <c r="AO263" i="32"/>
  <c r="AN263" i="32"/>
  <c r="AO416" i="32"/>
  <c r="AN416" i="32"/>
  <c r="AO559" i="32"/>
  <c r="AN559" i="32"/>
  <c r="AO580" i="32"/>
  <c r="AN580" i="32"/>
  <c r="AO207" i="32"/>
  <c r="AN207" i="32"/>
  <c r="AN372" i="32"/>
  <c r="AO372" i="32"/>
  <c r="AN590" i="32"/>
  <c r="AO590" i="32"/>
  <c r="AO417" i="32"/>
  <c r="AN417" i="32"/>
  <c r="AN567" i="32"/>
  <c r="AO567" i="32"/>
  <c r="AO154" i="32"/>
  <c r="AN154" i="32"/>
  <c r="AO191" i="32"/>
  <c r="AN191" i="32"/>
  <c r="AO284" i="32"/>
  <c r="AN284" i="32"/>
  <c r="AN214" i="32"/>
  <c r="AO214" i="32"/>
  <c r="AO552" i="32"/>
  <c r="AN552" i="32"/>
  <c r="AN408" i="32"/>
  <c r="AO408" i="32"/>
  <c r="AN398" i="32"/>
  <c r="AO398" i="32"/>
  <c r="AN156" i="32"/>
  <c r="AO156" i="32"/>
  <c r="AO326" i="32"/>
  <c r="AN326" i="32"/>
  <c r="AO544" i="32"/>
  <c r="AN544" i="32"/>
  <c r="AK311" i="32"/>
  <c r="AL311" i="32"/>
  <c r="AL258" i="32"/>
  <c r="AK258" i="32"/>
  <c r="AL542" i="32"/>
  <c r="AK542" i="32"/>
  <c r="AK218" i="32"/>
  <c r="AL218" i="32"/>
  <c r="AK452" i="32"/>
  <c r="AL452" i="32"/>
  <c r="AK77" i="32"/>
  <c r="AL77" i="32"/>
  <c r="AK537" i="32"/>
  <c r="AL537" i="32"/>
  <c r="AL243" i="32"/>
  <c r="AK243" i="32"/>
  <c r="AL453" i="32"/>
  <c r="AK453" i="32"/>
  <c r="AL261" i="32"/>
  <c r="AK261" i="32"/>
  <c r="AL410" i="32"/>
  <c r="AK410" i="32"/>
  <c r="AK382" i="32"/>
  <c r="AL382" i="32"/>
  <c r="AK362" i="32"/>
  <c r="AL362" i="32"/>
  <c r="AL484" i="32"/>
  <c r="AK484" i="32"/>
  <c r="AL238" i="32"/>
  <c r="AK238" i="32"/>
  <c r="AL200" i="32"/>
  <c r="AK200" i="32"/>
  <c r="AL528" i="32"/>
  <c r="AK528" i="32"/>
  <c r="AK164" i="32"/>
  <c r="AL164" i="32"/>
  <c r="AL106" i="32"/>
  <c r="AK106" i="32"/>
  <c r="AK409" i="32"/>
  <c r="AL409" i="32"/>
  <c r="AL425" i="32"/>
  <c r="AK425" i="32"/>
  <c r="AK48" i="32"/>
  <c r="AL48" i="32"/>
  <c r="AL569" i="32"/>
  <c r="AK569" i="32"/>
  <c r="AK314" i="32"/>
  <c r="AL314" i="32"/>
  <c r="AL67" i="32"/>
  <c r="AK67" i="32"/>
  <c r="AK370" i="32"/>
  <c r="AL370" i="32"/>
  <c r="AL137" i="32"/>
  <c r="AK137" i="32"/>
  <c r="AK246" i="32"/>
  <c r="AL246" i="32"/>
  <c r="AK197" i="32"/>
  <c r="AL197" i="32"/>
  <c r="AL297" i="32"/>
  <c r="AK297" i="32"/>
  <c r="AK522" i="32"/>
  <c r="AL522" i="32"/>
  <c r="AL245" i="32"/>
  <c r="AK245" i="32"/>
  <c r="AL62" i="32"/>
  <c r="AK62" i="32"/>
  <c r="AL112" i="32"/>
  <c r="AK112" i="32"/>
  <c r="AK188" i="32"/>
  <c r="AL188" i="32"/>
  <c r="AK349" i="32"/>
  <c r="AL349" i="32"/>
  <c r="AK476" i="32"/>
  <c r="AL476" i="32"/>
  <c r="AL224" i="32"/>
  <c r="AK224" i="32"/>
  <c r="AL54" i="32"/>
  <c r="AK54" i="32"/>
  <c r="AL424" i="32"/>
  <c r="AK424" i="32"/>
  <c r="AL295" i="32"/>
  <c r="AK295" i="32"/>
  <c r="AK383" i="32"/>
  <c r="AL383" i="32"/>
  <c r="AK47" i="32"/>
  <c r="AL47" i="32"/>
  <c r="AL490" i="32"/>
  <c r="AK490" i="32"/>
  <c r="AK34" i="32"/>
  <c r="AL34" i="32"/>
  <c r="AL108" i="32"/>
  <c r="AK108" i="32"/>
  <c r="AK583" i="32"/>
  <c r="AL583" i="32"/>
  <c r="AL460" i="32"/>
  <c r="AK460" i="32"/>
  <c r="AK439" i="32"/>
  <c r="AL439" i="32"/>
  <c r="AK359" i="32"/>
  <c r="AL359" i="32"/>
  <c r="AL265" i="32"/>
  <c r="AK265" i="32"/>
  <c r="AL532" i="32"/>
  <c r="AK532" i="32"/>
  <c r="AL584" i="32"/>
  <c r="AK584" i="32"/>
  <c r="AK524" i="32"/>
  <c r="AL524" i="32"/>
  <c r="AL411" i="32"/>
  <c r="AK411" i="32"/>
  <c r="AL290" i="32"/>
  <c r="AK290" i="32"/>
  <c r="AL38" i="32"/>
  <c r="AK38" i="32"/>
  <c r="AL125" i="32"/>
  <c r="AK125" i="32"/>
  <c r="AL568" i="32"/>
  <c r="AK568" i="32"/>
  <c r="AL485" i="32"/>
  <c r="AK485" i="32"/>
  <c r="AK389" i="32"/>
  <c r="AL389" i="32"/>
  <c r="AL165" i="32"/>
  <c r="AK165" i="32"/>
  <c r="AK408" i="32"/>
  <c r="AL408" i="32"/>
  <c r="AK350" i="32"/>
  <c r="AL350" i="32"/>
  <c r="AL213" i="32"/>
  <c r="AK213" i="32"/>
  <c r="AL143" i="32"/>
  <c r="AK143" i="32"/>
  <c r="AK127" i="32"/>
  <c r="AL127" i="32"/>
  <c r="AK572" i="32"/>
  <c r="AL572" i="32"/>
  <c r="AK501" i="32"/>
  <c r="AL501" i="32"/>
  <c r="AL156" i="32"/>
  <c r="AK156" i="32"/>
  <c r="AL139" i="32"/>
  <c r="AK139" i="32"/>
  <c r="AL596" i="32"/>
  <c r="AK596" i="32"/>
  <c r="AL464" i="32"/>
  <c r="AK464" i="32"/>
  <c r="AL292" i="32"/>
  <c r="AK292" i="32"/>
  <c r="AK230" i="32"/>
  <c r="AL230" i="32"/>
  <c r="AO130" i="32"/>
  <c r="AN130" i="32"/>
  <c r="AO291" i="32"/>
  <c r="AN291" i="32"/>
  <c r="AN314" i="32"/>
  <c r="AO314" i="32"/>
  <c r="AO105" i="32"/>
  <c r="AN105" i="32"/>
  <c r="AN36" i="32"/>
  <c r="AO36" i="32"/>
  <c r="AO148" i="32"/>
  <c r="AN148" i="32"/>
  <c r="AO224" i="32"/>
  <c r="AN224" i="32"/>
  <c r="AO119" i="32"/>
  <c r="AN119" i="32"/>
  <c r="AO195" i="32"/>
  <c r="AN195" i="32"/>
  <c r="AO470" i="32"/>
  <c r="AN470" i="32"/>
  <c r="AN204" i="32"/>
  <c r="AO204" i="32"/>
  <c r="AO42" i="32"/>
  <c r="AN42" i="32"/>
  <c r="AO276" i="32"/>
  <c r="AN276" i="32"/>
  <c r="AN527" i="32"/>
  <c r="AO527" i="32"/>
  <c r="AO143" i="32"/>
  <c r="AN143" i="32"/>
  <c r="AO61" i="32"/>
  <c r="AN61" i="32"/>
  <c r="AO194" i="32"/>
  <c r="AN194" i="32"/>
  <c r="AO509" i="32"/>
  <c r="AN509" i="32"/>
  <c r="AO425" i="32"/>
  <c r="AN425" i="32"/>
  <c r="AO513" i="32"/>
  <c r="AN513" i="32"/>
  <c r="AN338" i="32"/>
  <c r="AO338" i="32"/>
  <c r="AO95" i="32"/>
  <c r="AN95" i="32"/>
  <c r="AO82" i="32"/>
  <c r="AN82" i="32"/>
  <c r="AN66" i="32"/>
  <c r="AO66" i="32"/>
  <c r="AO264" i="32"/>
  <c r="AN264" i="32"/>
  <c r="AO123" i="32"/>
  <c r="AN123" i="32"/>
  <c r="AN58" i="32"/>
  <c r="AO58" i="32"/>
  <c r="AN426" i="32"/>
  <c r="AO426" i="32"/>
  <c r="AN400" i="32"/>
  <c r="AO400" i="32"/>
  <c r="AO395" i="32"/>
  <c r="AN395" i="32"/>
  <c r="AN555" i="32"/>
  <c r="AO555" i="32"/>
  <c r="AO277" i="32"/>
  <c r="AN277" i="32"/>
  <c r="AN560" i="32"/>
  <c r="AO560" i="32"/>
  <c r="AN265" i="32"/>
  <c r="AO265" i="32"/>
  <c r="AO234" i="32"/>
  <c r="AN234" i="32"/>
  <c r="AO321" i="32"/>
  <c r="AN321" i="32"/>
  <c r="AO565" i="32"/>
  <c r="AN565" i="32"/>
  <c r="AN231" i="32"/>
  <c r="AO231" i="32"/>
  <c r="AO202" i="32"/>
  <c r="AN202" i="32"/>
  <c r="AO367" i="32"/>
  <c r="AN367" i="32"/>
  <c r="AN474" i="32"/>
  <c r="AO474" i="32"/>
  <c r="AN586" i="32"/>
  <c r="AO586" i="32"/>
  <c r="AN20" i="32"/>
  <c r="AO20" i="32"/>
  <c r="AO158" i="32"/>
  <c r="AN158" i="32"/>
  <c r="AO25" i="32"/>
  <c r="AN25" i="32"/>
  <c r="AO362" i="32"/>
  <c r="AN362" i="32"/>
  <c r="AO569" i="32"/>
  <c r="AN569" i="32"/>
  <c r="AN498" i="32"/>
  <c r="AO498" i="32"/>
  <c r="AO510" i="32"/>
  <c r="AN510" i="32"/>
  <c r="AN260" i="32"/>
  <c r="AO260" i="32"/>
  <c r="AO427" i="32"/>
  <c r="AN427" i="32"/>
  <c r="AO47" i="32"/>
  <c r="AN47" i="32"/>
  <c r="AO100" i="32"/>
  <c r="AN100" i="32"/>
  <c r="AN97" i="32"/>
  <c r="AO97" i="32"/>
  <c r="AO41" i="32"/>
  <c r="AN41" i="32"/>
  <c r="AN368" i="32"/>
  <c r="AO368" i="32"/>
  <c r="AN315" i="32"/>
  <c r="AO315" i="32"/>
  <c r="AN443" i="32"/>
  <c r="AO443" i="32"/>
  <c r="AO548" i="32"/>
  <c r="AN548" i="32"/>
  <c r="AO328" i="32"/>
  <c r="AN328" i="32"/>
  <c r="AN608" i="32"/>
  <c r="AO608" i="32"/>
  <c r="AN324" i="32"/>
  <c r="AO324" i="32"/>
  <c r="AN429" i="32"/>
  <c r="AO429" i="32"/>
  <c r="AN386" i="32"/>
  <c r="AO386" i="32"/>
  <c r="AN535" i="32"/>
  <c r="AO535" i="32"/>
  <c r="AO593" i="32"/>
  <c r="AN593" i="32"/>
  <c r="AN501" i="32"/>
  <c r="AO501" i="32"/>
  <c r="AO568" i="32"/>
  <c r="AN568" i="32"/>
  <c r="AO223" i="32"/>
  <c r="AN223" i="32"/>
  <c r="AN303" i="32"/>
  <c r="AO303" i="32"/>
  <c r="AO512" i="32"/>
  <c r="AN512" i="32"/>
  <c r="AO528" i="32"/>
  <c r="AN528" i="32"/>
  <c r="AN497" i="32"/>
  <c r="AO497" i="32"/>
  <c r="AO274" i="32"/>
  <c r="AN274" i="32"/>
  <c r="AN363" i="32"/>
  <c r="AO363" i="32"/>
  <c r="AO611" i="32"/>
  <c r="AN611" i="32"/>
  <c r="AL390" i="32"/>
  <c r="AK390" i="32"/>
  <c r="AK285" i="32"/>
  <c r="AL285" i="32"/>
  <c r="AL422" i="32"/>
  <c r="AK422" i="32"/>
  <c r="AK397" i="32"/>
  <c r="AL397" i="32"/>
  <c r="AL272" i="32"/>
  <c r="AK272" i="32"/>
  <c r="AK130" i="32"/>
  <c r="AL130" i="32"/>
  <c r="AL449" i="32"/>
  <c r="AK449" i="32"/>
  <c r="AK384" i="32"/>
  <c r="AL384" i="32"/>
  <c r="AK465" i="32"/>
  <c r="AL465" i="32"/>
  <c r="AL379" i="32"/>
  <c r="AK379" i="32"/>
  <c r="AL395" i="32"/>
  <c r="AK395" i="32"/>
  <c r="AL153" i="32"/>
  <c r="AK153" i="32"/>
  <c r="AL55" i="32"/>
  <c r="AK55" i="32"/>
  <c r="AK366" i="32"/>
  <c r="AL366" i="32"/>
  <c r="AK196" i="32"/>
  <c r="AL196" i="32"/>
  <c r="AL552" i="32"/>
  <c r="AK552" i="32"/>
  <c r="AK541" i="32"/>
  <c r="AL541" i="32"/>
  <c r="AL102" i="32"/>
  <c r="AK102" i="32"/>
  <c r="AL343" i="32"/>
  <c r="AK343" i="32"/>
  <c r="AL255" i="32"/>
  <c r="AK255" i="32"/>
  <c r="AL71" i="32"/>
  <c r="AK71" i="32"/>
  <c r="AK305" i="32"/>
  <c r="AL305" i="32"/>
  <c r="AL103" i="32"/>
  <c r="AK103" i="32"/>
  <c r="AK469" i="32"/>
  <c r="AL469" i="32"/>
  <c r="AL286" i="32"/>
  <c r="AK286" i="32"/>
  <c r="AK403" i="32"/>
  <c r="AL403" i="32"/>
  <c r="AL266" i="32"/>
  <c r="AK266" i="32"/>
  <c r="AK493" i="32"/>
  <c r="AL493" i="32"/>
  <c r="AL412" i="32"/>
  <c r="AK412" i="32"/>
  <c r="AK113" i="32"/>
  <c r="AL113" i="32"/>
  <c r="AL603" i="32"/>
  <c r="AK603" i="32"/>
  <c r="AL332" i="32"/>
  <c r="AK332" i="32"/>
  <c r="AL159" i="32"/>
  <c r="AK159" i="32"/>
  <c r="AK510" i="32"/>
  <c r="AL510" i="32"/>
  <c r="AK430" i="32"/>
  <c r="AL430" i="32"/>
  <c r="AL78" i="32"/>
  <c r="AK78" i="32"/>
  <c r="AK574" i="32"/>
  <c r="AL574" i="32"/>
  <c r="AL336" i="32"/>
  <c r="AK336" i="32"/>
  <c r="AK210" i="32"/>
  <c r="AL210" i="32"/>
  <c r="AK526" i="32"/>
  <c r="AL526" i="32"/>
  <c r="AL402" i="32"/>
  <c r="AK402" i="32"/>
  <c r="AK276" i="32"/>
  <c r="AL276" i="32"/>
  <c r="AL157" i="32"/>
  <c r="AK157" i="32"/>
  <c r="AL594" i="32"/>
  <c r="AK594" i="32"/>
  <c r="AL428" i="32"/>
  <c r="AK428" i="32"/>
  <c r="AK83" i="32"/>
  <c r="AL83" i="32"/>
  <c r="AK21" i="32"/>
  <c r="AL21" i="32"/>
  <c r="AL567" i="32"/>
  <c r="AK567" i="32"/>
  <c r="AL480" i="32"/>
  <c r="AK480" i="32"/>
  <c r="AL372" i="32"/>
  <c r="AK372" i="32"/>
  <c r="AK300" i="32"/>
  <c r="AL300" i="32"/>
  <c r="AK180" i="32"/>
  <c r="AL180" i="32"/>
  <c r="AK94" i="32"/>
  <c r="AL94" i="32"/>
  <c r="AK587" i="32"/>
  <c r="AL587" i="32"/>
  <c r="AK517" i="32"/>
  <c r="AL517" i="32"/>
  <c r="AK406" i="32"/>
  <c r="AL406" i="32"/>
  <c r="AL203" i="32"/>
  <c r="AK203" i="32"/>
  <c r="AL86" i="32"/>
  <c r="AK86" i="32"/>
  <c r="AL58" i="32"/>
  <c r="AK58" i="32"/>
  <c r="AK550" i="32"/>
  <c r="AL550" i="32"/>
  <c r="AK507" i="32"/>
  <c r="AL507" i="32"/>
  <c r="AL492" i="32"/>
  <c r="AK492" i="32"/>
  <c r="AK93" i="32"/>
  <c r="AL93" i="32"/>
  <c r="AK454" i="32"/>
  <c r="AL454" i="32"/>
  <c r="AL279" i="32"/>
  <c r="AK279" i="32"/>
  <c r="AL298" i="32"/>
  <c r="AK298" i="32"/>
  <c r="AK92" i="32"/>
  <c r="AL92" i="32"/>
  <c r="AL63" i="32"/>
  <c r="AK63" i="32"/>
  <c r="AL565" i="32"/>
  <c r="AK565" i="32"/>
  <c r="AK249" i="32"/>
  <c r="AL249" i="32"/>
  <c r="AK69" i="32"/>
  <c r="AL69" i="32"/>
  <c r="AL27" i="32"/>
  <c r="AK27" i="32"/>
  <c r="AL514" i="32"/>
  <c r="AK514" i="32"/>
  <c r="AK407" i="32"/>
  <c r="AL407" i="32"/>
  <c r="AL327" i="32"/>
  <c r="AK327" i="32"/>
  <c r="AO463" i="32"/>
  <c r="AN463" i="32"/>
  <c r="AN111" i="32"/>
  <c r="AO111" i="32"/>
  <c r="AO33" i="32"/>
  <c r="AN33" i="32"/>
  <c r="AN109" i="32"/>
  <c r="AO109" i="32"/>
  <c r="AO493" i="32"/>
  <c r="AN493" i="32"/>
  <c r="AO170" i="32"/>
  <c r="AN170" i="32"/>
  <c r="AO256" i="32"/>
  <c r="AN256" i="32"/>
  <c r="AO169" i="32"/>
  <c r="AN169" i="32"/>
  <c r="AO186" i="32"/>
  <c r="AN186" i="32"/>
  <c r="AO242" i="32"/>
  <c r="AN242" i="32"/>
  <c r="AN494" i="32"/>
  <c r="AO494" i="32"/>
  <c r="AN235" i="32"/>
  <c r="AO235" i="32"/>
  <c r="AO102" i="32"/>
  <c r="AN102" i="32"/>
  <c r="AO192" i="32"/>
  <c r="AN192" i="32"/>
  <c r="AO451" i="32"/>
  <c r="AN451" i="32"/>
  <c r="AO420" i="32"/>
  <c r="AN420" i="32"/>
  <c r="AO330" i="32"/>
  <c r="AN330" i="32"/>
  <c r="AO139" i="32"/>
  <c r="AN139" i="32"/>
  <c r="AN219" i="32"/>
  <c r="AO219" i="32"/>
  <c r="AN530" i="32"/>
  <c r="AO530" i="32"/>
  <c r="AO88" i="32"/>
  <c r="AN88" i="32"/>
  <c r="AN428" i="32"/>
  <c r="AO428" i="32"/>
  <c r="AN247" i="32"/>
  <c r="AO247" i="32"/>
  <c r="AN173" i="32"/>
  <c r="AO173" i="32"/>
  <c r="AO220" i="32"/>
  <c r="AN220" i="32"/>
  <c r="AO250" i="32"/>
  <c r="AN250" i="32"/>
  <c r="AO217" i="32"/>
  <c r="AN217" i="32"/>
  <c r="AO434" i="32"/>
  <c r="AN434" i="32"/>
  <c r="AO471" i="32"/>
  <c r="AN471" i="32"/>
  <c r="AN370" i="32"/>
  <c r="AO370" i="32"/>
  <c r="AO203" i="32"/>
  <c r="AN203" i="32"/>
  <c r="AO304" i="32"/>
  <c r="AN304" i="32"/>
  <c r="AN545" i="32"/>
  <c r="AO545" i="32"/>
  <c r="AO172" i="32"/>
  <c r="AN172" i="32"/>
  <c r="AN519" i="32"/>
  <c r="AO519" i="32"/>
  <c r="AN312" i="32"/>
  <c r="AO312" i="32"/>
  <c r="AN255" i="32"/>
  <c r="AO255" i="32"/>
  <c r="AN248" i="32"/>
  <c r="AO248" i="32"/>
  <c r="AO406" i="32"/>
  <c r="AN406" i="32"/>
  <c r="AN529" i="32"/>
  <c r="AO529" i="32"/>
  <c r="AO524" i="32"/>
  <c r="AN524" i="32"/>
  <c r="AO96" i="32"/>
  <c r="AN96" i="32"/>
  <c r="AN241" i="32"/>
  <c r="AO241" i="32"/>
  <c r="AO94" i="32"/>
  <c r="AN94" i="32"/>
  <c r="AO383" i="32"/>
  <c r="AN383" i="32"/>
  <c r="AN45" i="32"/>
  <c r="AO45" i="32"/>
  <c r="AO30" i="32"/>
  <c r="AN30" i="32"/>
  <c r="AO206" i="32"/>
  <c r="AN206" i="32"/>
  <c r="AN361" i="32"/>
  <c r="AO361" i="32"/>
  <c r="AO475" i="32"/>
  <c r="AN475" i="32"/>
  <c r="AO59" i="32"/>
  <c r="AN59" i="32"/>
  <c r="AO126" i="32"/>
  <c r="AN126" i="32"/>
  <c r="AO128" i="32"/>
  <c r="AN128" i="32"/>
  <c r="AO266" i="32"/>
  <c r="AN266" i="32"/>
  <c r="AO551" i="32"/>
  <c r="AN551" i="32"/>
  <c r="AN393" i="32"/>
  <c r="AO393" i="32"/>
  <c r="AN382" i="32"/>
  <c r="AO382" i="32"/>
  <c r="AO612" i="32"/>
  <c r="AN612" i="32"/>
  <c r="AN270" i="32"/>
  <c r="AO270" i="32"/>
  <c r="AN582" i="32"/>
  <c r="AO582" i="32"/>
  <c r="AO358" i="32"/>
  <c r="AN358" i="32"/>
  <c r="AN444" i="32"/>
  <c r="AO444" i="32"/>
  <c r="AO435" i="32"/>
  <c r="AN435" i="32"/>
  <c r="AO161" i="32"/>
  <c r="AN161" i="32"/>
  <c r="AN588" i="32"/>
  <c r="AO588" i="32"/>
  <c r="AO166" i="32"/>
  <c r="AN166" i="32"/>
  <c r="AN90" i="32"/>
  <c r="AO90" i="32"/>
  <c r="AO70" i="32"/>
  <c r="AN70" i="32"/>
  <c r="AO431" i="32"/>
  <c r="AN431" i="32"/>
  <c r="AN137" i="32"/>
  <c r="AO137" i="32"/>
  <c r="AN596" i="32"/>
  <c r="AO596" i="32"/>
  <c r="AN554" i="32"/>
  <c r="AO554" i="32"/>
  <c r="AO296" i="32"/>
  <c r="AN296" i="32"/>
  <c r="AN452" i="32"/>
  <c r="AO452" i="32"/>
  <c r="AM625" i="32"/>
  <c r="AJ625" i="32"/>
  <c r="AR625" i="32"/>
  <c r="AQ625" i="32"/>
  <c r="AR624" i="32"/>
  <c r="AQ624" i="32"/>
  <c r="AR556" i="32"/>
  <c r="AQ556" i="32"/>
  <c r="AR601" i="32"/>
  <c r="AQ601" i="32"/>
  <c r="AR570" i="32"/>
  <c r="AQ570" i="32"/>
  <c r="AQ302" i="32"/>
  <c r="AR302" i="32"/>
  <c r="AR577" i="32"/>
  <c r="AQ577" i="32"/>
  <c r="AR287" i="32"/>
  <c r="AQ287" i="32"/>
  <c r="AR179" i="32"/>
  <c r="AQ179" i="32"/>
  <c r="AQ86" i="32"/>
  <c r="AR86" i="32"/>
  <c r="AR567" i="32"/>
  <c r="AQ567" i="32"/>
  <c r="AQ484" i="32"/>
  <c r="AR484" i="32"/>
  <c r="AQ175" i="32"/>
  <c r="AR175" i="32"/>
  <c r="AR442" i="32"/>
  <c r="AQ442" i="32"/>
  <c r="AR231" i="32"/>
  <c r="AQ231" i="32"/>
  <c r="AR474" i="32"/>
  <c r="AQ474" i="32"/>
  <c r="AR210" i="32"/>
  <c r="AQ210" i="32"/>
  <c r="AR33" i="32"/>
  <c r="AQ33" i="32"/>
  <c r="AR493" i="32"/>
  <c r="AQ493" i="32"/>
  <c r="AR16" i="32"/>
  <c r="AQ16" i="32"/>
  <c r="AR305" i="32"/>
  <c r="AQ305" i="32"/>
  <c r="AR337" i="32"/>
  <c r="AQ337" i="32"/>
  <c r="AQ486" i="32"/>
  <c r="AR486" i="32"/>
  <c r="AR456" i="32"/>
  <c r="AQ456" i="32"/>
  <c r="AQ226" i="32"/>
  <c r="AR226" i="32"/>
  <c r="AR63" i="32"/>
  <c r="AQ63" i="32"/>
  <c r="AR595" i="32"/>
  <c r="AQ595" i="32"/>
  <c r="AR344" i="32"/>
  <c r="AQ344" i="32"/>
  <c r="AQ38" i="32"/>
  <c r="AR38" i="32"/>
  <c r="AQ310" i="32"/>
  <c r="AR310" i="32"/>
  <c r="AR43" i="32"/>
  <c r="AQ43" i="32"/>
  <c r="AQ375" i="32"/>
  <c r="AR375" i="32"/>
  <c r="AQ295" i="32"/>
  <c r="AR295" i="32"/>
  <c r="AR511" i="32"/>
  <c r="AQ511" i="32"/>
  <c r="AR55" i="32"/>
  <c r="AQ55" i="32"/>
  <c r="AQ544" i="32"/>
  <c r="AR544" i="32"/>
  <c r="AQ119" i="32"/>
  <c r="AR119" i="32"/>
  <c r="AQ272" i="32"/>
  <c r="AR272" i="32"/>
  <c r="AR502" i="32"/>
  <c r="AQ502" i="32"/>
  <c r="AR593" i="32"/>
  <c r="AQ593" i="32"/>
  <c r="AQ123" i="32"/>
  <c r="AR123" i="32"/>
  <c r="AR274" i="32"/>
  <c r="AQ274" i="32"/>
  <c r="AQ448" i="32"/>
  <c r="AR448" i="32"/>
  <c r="AR60" i="32"/>
  <c r="AQ60" i="32"/>
  <c r="AR208" i="32"/>
  <c r="AQ208" i="32"/>
  <c r="AR332" i="32"/>
  <c r="AQ332" i="32"/>
  <c r="AQ496" i="32"/>
  <c r="AR496" i="32"/>
  <c r="AQ145" i="32"/>
  <c r="AR145" i="32"/>
  <c r="AR198" i="32"/>
  <c r="AQ198" i="32"/>
  <c r="AQ318" i="32"/>
  <c r="AR318" i="32"/>
  <c r="AR466" i="32"/>
  <c r="AQ466" i="32"/>
  <c r="AQ37" i="32"/>
  <c r="AR37" i="32"/>
  <c r="AR203" i="32"/>
  <c r="AQ203" i="32"/>
  <c r="AR354" i="32"/>
  <c r="AQ354" i="32"/>
  <c r="AQ487" i="32"/>
  <c r="AR487" i="32"/>
  <c r="AQ88" i="32"/>
  <c r="AR88" i="32"/>
  <c r="AR138" i="32"/>
  <c r="AQ138" i="32"/>
  <c r="AR244" i="32"/>
  <c r="AQ244" i="32"/>
  <c r="AR306" i="32"/>
  <c r="AQ306" i="32"/>
  <c r="AR503" i="32"/>
  <c r="AQ503" i="32"/>
  <c r="AR528" i="32"/>
  <c r="AQ528" i="32"/>
  <c r="AQ98" i="32"/>
  <c r="AR98" i="32"/>
  <c r="AQ102" i="32"/>
  <c r="AR102" i="32"/>
  <c r="AQ224" i="32"/>
  <c r="AR224" i="32"/>
  <c r="AQ323" i="32"/>
  <c r="AR323" i="32"/>
  <c r="AQ398" i="32"/>
  <c r="AR398" i="32"/>
  <c r="AR520" i="32"/>
  <c r="AQ520" i="32"/>
  <c r="AR84" i="32"/>
  <c r="AQ84" i="32"/>
  <c r="AQ156" i="32"/>
  <c r="AR156" i="32"/>
  <c r="AR240" i="32"/>
  <c r="AQ240" i="32"/>
  <c r="AR292" i="32"/>
  <c r="AQ292" i="32"/>
  <c r="AQ403" i="32"/>
  <c r="AR403" i="32"/>
  <c r="AQ534" i="32"/>
  <c r="AR534" i="32"/>
  <c r="AQ62" i="32"/>
  <c r="AR62" i="32"/>
  <c r="AR110" i="32"/>
  <c r="AQ110" i="32"/>
  <c r="AQ184" i="32"/>
  <c r="AR184" i="32"/>
  <c r="AR261" i="32"/>
  <c r="AQ261" i="32"/>
  <c r="AR349" i="32"/>
  <c r="AQ349" i="32"/>
  <c r="AQ444" i="32"/>
  <c r="AR444" i="32"/>
  <c r="AQ571" i="32"/>
  <c r="AR571" i="32"/>
  <c r="AQ58" i="32"/>
  <c r="AR58" i="32"/>
  <c r="AQ100" i="32"/>
  <c r="AR100" i="32"/>
  <c r="AQ132" i="32"/>
  <c r="AR132" i="32"/>
  <c r="AQ211" i="32"/>
  <c r="AR211" i="32"/>
  <c r="AR282" i="32"/>
  <c r="AQ282" i="32"/>
  <c r="AR311" i="32"/>
  <c r="AQ311" i="32"/>
  <c r="AR416" i="32"/>
  <c r="AQ416" i="32"/>
  <c r="AR467" i="32"/>
  <c r="AQ467" i="32"/>
  <c r="AR470" i="32"/>
  <c r="AQ470" i="32"/>
  <c r="AR588" i="32"/>
  <c r="AQ588" i="32"/>
  <c r="AR71" i="32"/>
  <c r="AQ71" i="32"/>
  <c r="AQ94" i="32"/>
  <c r="AR94" i="32"/>
  <c r="AR139" i="32"/>
  <c r="AQ139" i="32"/>
  <c r="AR265" i="32"/>
  <c r="AQ265" i="32"/>
  <c r="AQ251" i="32"/>
  <c r="AR251" i="32"/>
  <c r="AQ387" i="32"/>
  <c r="AR387" i="32"/>
  <c r="AR446" i="32"/>
  <c r="AQ446" i="32"/>
  <c r="AQ530" i="32"/>
  <c r="AR530" i="32"/>
  <c r="AR574" i="32"/>
  <c r="AQ574" i="32"/>
  <c r="AQ386" i="32"/>
  <c r="AR386" i="32"/>
  <c r="AR157" i="32"/>
  <c r="AQ157" i="32"/>
  <c r="AR80" i="32"/>
  <c r="AQ80" i="32"/>
  <c r="AQ270" i="32"/>
  <c r="AR270" i="32"/>
  <c r="AQ427" i="32"/>
  <c r="AR427" i="32"/>
  <c r="AR187" i="32"/>
  <c r="AQ187" i="32"/>
  <c r="AQ73" i="32"/>
  <c r="AR73" i="32"/>
  <c r="AQ42" i="32"/>
  <c r="AR42" i="32"/>
  <c r="AQ426" i="32"/>
  <c r="AR426" i="32"/>
  <c r="AR334" i="32"/>
  <c r="AQ334" i="32"/>
  <c r="AQ205" i="32"/>
  <c r="AR205" i="32"/>
  <c r="AQ506" i="32"/>
  <c r="AR506" i="32"/>
  <c r="AR228" i="32"/>
  <c r="AQ228" i="32"/>
  <c r="AR492" i="32"/>
  <c r="AQ492" i="32"/>
  <c r="AQ192" i="32"/>
  <c r="AR192" i="32"/>
  <c r="AQ420" i="32"/>
  <c r="AR420" i="32"/>
  <c r="AR508" i="32"/>
  <c r="AQ508" i="32"/>
  <c r="AQ414" i="32"/>
  <c r="AR414" i="32"/>
  <c r="AQ227" i="32"/>
  <c r="AR227" i="32"/>
  <c r="AR275" i="32"/>
  <c r="AQ275" i="32"/>
  <c r="AR434" i="32"/>
  <c r="AQ434" i="32"/>
  <c r="AQ28" i="32"/>
  <c r="AR28" i="32"/>
  <c r="AQ56" i="32"/>
  <c r="AR56" i="32"/>
  <c r="AR543" i="32"/>
  <c r="AQ543" i="32"/>
  <c r="AR507" i="32"/>
  <c r="AQ507" i="32"/>
  <c r="AQ371" i="32"/>
  <c r="AR371" i="32"/>
  <c r="AR238" i="32"/>
  <c r="AQ238" i="32"/>
  <c r="AR31" i="32"/>
  <c r="AQ31" i="32"/>
  <c r="AR453" i="32"/>
  <c r="AQ453" i="32"/>
  <c r="AQ20" i="32"/>
  <c r="AR20" i="32"/>
  <c r="AQ384" i="32"/>
  <c r="AR384" i="32"/>
  <c r="AQ609" i="32"/>
  <c r="AR609" i="32"/>
  <c r="AR118" i="32"/>
  <c r="AQ118" i="32"/>
  <c r="AR418" i="32"/>
  <c r="AQ418" i="32"/>
  <c r="AQ280" i="32"/>
  <c r="AR280" i="32"/>
  <c r="AQ52" i="32"/>
  <c r="AR52" i="32"/>
  <c r="AR489" i="32"/>
  <c r="AQ489" i="32"/>
  <c r="AR168" i="32"/>
  <c r="AQ168" i="32"/>
  <c r="AQ565" i="32"/>
  <c r="AR565" i="32"/>
  <c r="AQ373" i="32"/>
  <c r="AR373" i="32"/>
  <c r="AQ117" i="32"/>
  <c r="AR117" i="32"/>
  <c r="AQ525" i="32"/>
  <c r="AR525" i="32"/>
  <c r="AR336" i="32"/>
  <c r="AQ336" i="32"/>
  <c r="AQ105" i="32"/>
  <c r="AR105" i="32"/>
  <c r="AR551" i="32"/>
  <c r="AQ551" i="32"/>
  <c r="AR109" i="32"/>
  <c r="AQ109" i="32"/>
  <c r="AR263" i="32"/>
  <c r="AQ263" i="32"/>
  <c r="AR438" i="32"/>
  <c r="AQ438" i="32"/>
  <c r="AQ613" i="32"/>
  <c r="AR613" i="32"/>
  <c r="AR197" i="32"/>
  <c r="AQ197" i="32"/>
  <c r="AQ297" i="32"/>
  <c r="AR297" i="32"/>
  <c r="AR471" i="32"/>
  <c r="AQ471" i="32"/>
  <c r="AR95" i="32"/>
  <c r="AQ95" i="32"/>
  <c r="AR193" i="32"/>
  <c r="AQ193" i="32"/>
  <c r="AQ450" i="32"/>
  <c r="AR450" i="32"/>
  <c r="AR541" i="32"/>
  <c r="AQ541" i="32"/>
  <c r="AR18" i="32"/>
  <c r="AQ18" i="32"/>
  <c r="AR177" i="32"/>
  <c r="AQ177" i="32"/>
  <c r="AR348" i="32"/>
  <c r="AQ348" i="32"/>
  <c r="AQ468" i="32"/>
  <c r="AR468" i="32"/>
  <c r="AR91" i="32"/>
  <c r="AQ91" i="32"/>
  <c r="AR222" i="32"/>
  <c r="AQ222" i="32"/>
  <c r="AQ402" i="32"/>
  <c r="AR402" i="32"/>
  <c r="AR523" i="32"/>
  <c r="AQ523" i="32"/>
  <c r="AQ83" i="32"/>
  <c r="AR83" i="32"/>
  <c r="AQ230" i="32"/>
  <c r="AR230" i="32"/>
  <c r="AQ276" i="32"/>
  <c r="AR276" i="32"/>
  <c r="AQ383" i="32"/>
  <c r="AR383" i="32"/>
  <c r="AR439" i="32"/>
  <c r="AQ439" i="32"/>
  <c r="AQ550" i="32"/>
  <c r="AR550" i="32"/>
  <c r="AR57" i="32"/>
  <c r="AQ57" i="32"/>
  <c r="AR181" i="32"/>
  <c r="AQ181" i="32"/>
  <c r="AQ296" i="32"/>
  <c r="AR296" i="32"/>
  <c r="AQ299" i="32"/>
  <c r="AR299" i="32"/>
  <c r="AR429" i="32"/>
  <c r="AQ429" i="32"/>
  <c r="AQ509" i="32"/>
  <c r="AR509" i="32"/>
  <c r="AQ150" i="32"/>
  <c r="AR150" i="32"/>
  <c r="AR104" i="32"/>
  <c r="AQ104" i="32"/>
  <c r="AR340" i="32"/>
  <c r="AQ340" i="32"/>
  <c r="AR329" i="32"/>
  <c r="AQ329" i="32"/>
  <c r="AR399" i="32"/>
  <c r="AQ399" i="32"/>
  <c r="AR542" i="32"/>
  <c r="AQ542" i="32"/>
  <c r="AR69" i="32"/>
  <c r="AQ69" i="32"/>
  <c r="AQ61" i="32"/>
  <c r="AR61" i="32"/>
  <c r="AR161" i="32"/>
  <c r="AQ161" i="32"/>
  <c r="AQ285" i="32"/>
  <c r="AR285" i="32"/>
  <c r="AQ357" i="32"/>
  <c r="AR357" i="32"/>
  <c r="AQ461" i="32"/>
  <c r="AR461" i="32"/>
  <c r="AR545" i="32"/>
  <c r="AQ545" i="32"/>
  <c r="AR17" i="32"/>
  <c r="AQ17" i="32"/>
  <c r="AQ149" i="32"/>
  <c r="AR149" i="32"/>
  <c r="AQ136" i="32"/>
  <c r="AR136" i="32"/>
  <c r="AR182" i="32"/>
  <c r="AQ182" i="32"/>
  <c r="AR267" i="32"/>
  <c r="AQ267" i="32"/>
  <c r="AQ316" i="32"/>
  <c r="AR316" i="32"/>
  <c r="AR419" i="32"/>
  <c r="AQ419" i="32"/>
  <c r="AQ478" i="32"/>
  <c r="AR478" i="32"/>
  <c r="AR512" i="32"/>
  <c r="AQ512" i="32"/>
  <c r="AQ605" i="32"/>
  <c r="AR605" i="32"/>
  <c r="AQ111" i="32"/>
  <c r="AR111" i="32"/>
  <c r="AR142" i="32"/>
  <c r="AQ142" i="32"/>
  <c r="AQ180" i="32"/>
  <c r="AR180" i="32"/>
  <c r="AQ229" i="32"/>
  <c r="AR229" i="32"/>
  <c r="AR328" i="32"/>
  <c r="AQ328" i="32"/>
  <c r="AR374" i="32"/>
  <c r="AQ374" i="32"/>
  <c r="AR443" i="32"/>
  <c r="AQ443" i="32"/>
  <c r="AR499" i="32"/>
  <c r="AQ499" i="32"/>
  <c r="AQ560" i="32"/>
  <c r="AR560" i="32"/>
  <c r="AQ394" i="32"/>
  <c r="AR394" i="32"/>
  <c r="AR134" i="32"/>
  <c r="AQ134" i="32"/>
  <c r="AR604" i="32"/>
  <c r="AQ604" i="32"/>
  <c r="AQ241" i="32"/>
  <c r="AR241" i="32"/>
  <c r="AR257" i="32"/>
  <c r="AQ257" i="32"/>
  <c r="AQ128" i="32"/>
  <c r="AR128" i="32"/>
  <c r="AQ594" i="32"/>
  <c r="AR594" i="32"/>
  <c r="AR559" i="32"/>
  <c r="AQ559" i="32"/>
  <c r="AQ548" i="32"/>
  <c r="AR548" i="32"/>
  <c r="AQ126" i="32"/>
  <c r="AR126" i="32"/>
  <c r="AQ127" i="32"/>
  <c r="AR127" i="32"/>
  <c r="AR517" i="32"/>
  <c r="AQ517" i="32"/>
  <c r="AR475" i="32"/>
  <c r="AQ475" i="32"/>
  <c r="AQ116" i="32"/>
  <c r="AR116" i="32"/>
  <c r="AR519" i="32"/>
  <c r="AQ519" i="32"/>
  <c r="AQ482" i="32"/>
  <c r="AR482" i="32"/>
  <c r="AQ406" i="32"/>
  <c r="AR406" i="32"/>
  <c r="AR372" i="32"/>
  <c r="AQ372" i="32"/>
  <c r="AR255" i="32"/>
  <c r="AQ255" i="32"/>
  <c r="AQ162" i="32"/>
  <c r="AR162" i="32"/>
  <c r="AR309" i="32"/>
  <c r="AQ309" i="32"/>
  <c r="AR452" i="32"/>
  <c r="AQ452" i="32"/>
  <c r="AQ215" i="32"/>
  <c r="AR215" i="32"/>
  <c r="AQ408" i="32"/>
  <c r="AR408" i="32"/>
  <c r="AQ196" i="32"/>
  <c r="AR196" i="32"/>
  <c r="AQ327" i="32"/>
  <c r="AR327" i="32"/>
  <c r="AQ173" i="32"/>
  <c r="AR173" i="32"/>
  <c r="AQ368" i="32"/>
  <c r="AR368" i="32"/>
  <c r="AQ465" i="32"/>
  <c r="AR465" i="32"/>
  <c r="AR90" i="32"/>
  <c r="AQ90" i="32"/>
  <c r="AQ233" i="32"/>
  <c r="AR233" i="32"/>
  <c r="AQ376" i="32"/>
  <c r="AR376" i="32"/>
  <c r="AR522" i="32"/>
  <c r="AQ522" i="32"/>
  <c r="AQ49" i="32"/>
  <c r="AR49" i="32"/>
  <c r="AQ220" i="32"/>
  <c r="AR220" i="32"/>
  <c r="AQ378" i="32"/>
  <c r="AR378" i="32"/>
  <c r="AR568" i="32"/>
  <c r="AQ568" i="32"/>
  <c r="AQ65" i="32"/>
  <c r="AR65" i="32"/>
  <c r="AR164" i="32"/>
  <c r="AQ164" i="32"/>
  <c r="AQ269" i="32"/>
  <c r="AR269" i="32"/>
  <c r="AQ430" i="32"/>
  <c r="AR430" i="32"/>
  <c r="AR436" i="32"/>
  <c r="AQ436" i="32"/>
  <c r="AQ547" i="32"/>
  <c r="AR547" i="32"/>
  <c r="AR301" i="32"/>
  <c r="AQ301" i="32"/>
  <c r="AR172" i="32"/>
  <c r="AQ172" i="32"/>
  <c r="AQ331" i="32"/>
  <c r="AR331" i="32"/>
  <c r="AQ379" i="32"/>
  <c r="AR379" i="32"/>
  <c r="AQ433" i="32"/>
  <c r="AR433" i="32"/>
  <c r="AR536" i="32"/>
  <c r="AQ536" i="32"/>
  <c r="AQ15" i="32"/>
  <c r="AR15" i="32"/>
  <c r="AQ185" i="32"/>
  <c r="AR185" i="32"/>
  <c r="AQ320" i="32"/>
  <c r="AR320" i="32"/>
  <c r="AQ308" i="32"/>
  <c r="AR308" i="32"/>
  <c r="AQ432" i="32"/>
  <c r="AR432" i="32"/>
  <c r="AQ546" i="32"/>
  <c r="AR546" i="32"/>
  <c r="AQ53" i="32"/>
  <c r="AR53" i="32"/>
  <c r="AQ152" i="32"/>
  <c r="AR152" i="32"/>
  <c r="AQ178" i="32"/>
  <c r="AR178" i="32"/>
  <c r="AR321" i="32"/>
  <c r="AQ321" i="32"/>
  <c r="AQ380" i="32"/>
  <c r="AR380" i="32"/>
  <c r="AQ514" i="32"/>
  <c r="AR514" i="32"/>
  <c r="AR557" i="32"/>
  <c r="AQ557" i="32"/>
  <c r="AR24" i="32"/>
  <c r="AQ24" i="32"/>
  <c r="AR163" i="32"/>
  <c r="AQ163" i="32"/>
  <c r="AQ246" i="32"/>
  <c r="AR246" i="32"/>
  <c r="AQ202" i="32"/>
  <c r="AR202" i="32"/>
  <c r="AR281" i="32"/>
  <c r="AQ281" i="32"/>
  <c r="AR339" i="32"/>
  <c r="AQ339" i="32"/>
  <c r="AQ390" i="32"/>
  <c r="AR390" i="32"/>
  <c r="AR459" i="32"/>
  <c r="AQ459" i="32"/>
  <c r="AR510" i="32"/>
  <c r="AQ510" i="32"/>
  <c r="AR598" i="32"/>
  <c r="AQ598" i="32"/>
  <c r="AR47" i="32"/>
  <c r="AQ47" i="32"/>
  <c r="AQ44" i="32"/>
  <c r="AR44" i="32"/>
  <c r="AQ146" i="32"/>
  <c r="AR146" i="32"/>
  <c r="AR218" i="32"/>
  <c r="AQ218" i="32"/>
  <c r="AQ312" i="32"/>
  <c r="AR312" i="32"/>
  <c r="AR377" i="32"/>
  <c r="AQ377" i="32"/>
  <c r="AQ477" i="32"/>
  <c r="AR477" i="32"/>
  <c r="AQ529" i="32"/>
  <c r="AR529" i="32"/>
  <c r="AR591" i="32"/>
  <c r="AQ591" i="32"/>
  <c r="AR283" i="32"/>
  <c r="AQ283" i="32"/>
  <c r="AR13" i="32"/>
  <c r="AQ13" i="32"/>
  <c r="AQ232" i="32"/>
  <c r="AR232" i="32"/>
  <c r="AR564" i="32"/>
  <c r="AQ564" i="32"/>
  <c r="AR194" i="32"/>
  <c r="AQ194" i="32"/>
  <c r="AR300" i="32"/>
  <c r="AQ300" i="32"/>
  <c r="AR469" i="32"/>
  <c r="AQ469" i="32"/>
  <c r="AQ476" i="32"/>
  <c r="AR476" i="32"/>
  <c r="AR413" i="32"/>
  <c r="AQ413" i="32"/>
  <c r="AQ234" i="32"/>
  <c r="AR234" i="32"/>
  <c r="AR125" i="32"/>
  <c r="AQ125" i="32"/>
  <c r="AQ362" i="32"/>
  <c r="AR362" i="32"/>
  <c r="AR77" i="32"/>
  <c r="AQ77" i="32"/>
  <c r="AR266" i="32"/>
  <c r="AQ266" i="32"/>
  <c r="AQ41" i="32"/>
  <c r="AR41" i="32"/>
  <c r="AQ304" i="32"/>
  <c r="AR304" i="32"/>
  <c r="AQ350" i="32"/>
  <c r="AR350" i="32"/>
  <c r="AQ422" i="32"/>
  <c r="AR422" i="32"/>
  <c r="AQ599" i="32"/>
  <c r="AR599" i="32"/>
  <c r="AQ78" i="32"/>
  <c r="AR78" i="32"/>
  <c r="AQ391" i="32"/>
  <c r="AR391" i="32"/>
  <c r="AQ326" i="32"/>
  <c r="AR326" i="32"/>
  <c r="AR153" i="32"/>
  <c r="AQ153" i="32"/>
  <c r="AQ160" i="32"/>
  <c r="AR160" i="32"/>
  <c r="AQ260" i="32"/>
  <c r="AR260" i="32"/>
  <c r="AQ36" i="32"/>
  <c r="AR36" i="32"/>
  <c r="AR464" i="32"/>
  <c r="AQ464" i="32"/>
  <c r="AQ217" i="32"/>
  <c r="AR217" i="32"/>
  <c r="AQ527" i="32"/>
  <c r="AR527" i="32"/>
  <c r="AQ247" i="32"/>
  <c r="AR247" i="32"/>
  <c r="AR455" i="32"/>
  <c r="AQ455" i="32"/>
  <c r="AR341" i="32"/>
  <c r="AQ341" i="32"/>
  <c r="AR286" i="32"/>
  <c r="AQ286" i="32"/>
  <c r="AQ554" i="32"/>
  <c r="AR554" i="32"/>
  <c r="AR449" i="32"/>
  <c r="AQ449" i="32"/>
  <c r="AQ404" i="32"/>
  <c r="AR404" i="32"/>
  <c r="AR581" i="32"/>
  <c r="AQ581" i="32"/>
  <c r="AQ148" i="32"/>
  <c r="AR148" i="32"/>
  <c r="AQ518" i="32"/>
  <c r="AR518" i="32"/>
  <c r="AR87" i="32"/>
  <c r="AQ87" i="32"/>
  <c r="AR14" i="32"/>
  <c r="AQ14" i="32"/>
  <c r="AQ500" i="32"/>
  <c r="AR500" i="32"/>
  <c r="AQ562" i="32"/>
  <c r="AR562" i="32"/>
  <c r="AQ289" i="32"/>
  <c r="AR289" i="32"/>
  <c r="AR64" i="32"/>
  <c r="AQ64" i="32"/>
  <c r="AQ264" i="32"/>
  <c r="AR264" i="32"/>
  <c r="AR154" i="32"/>
  <c r="AQ154" i="32"/>
  <c r="AQ454" i="32"/>
  <c r="AR454" i="32"/>
  <c r="AQ223" i="32"/>
  <c r="AR223" i="32"/>
  <c r="AR72" i="32"/>
  <c r="AQ72" i="32"/>
  <c r="AR501" i="32"/>
  <c r="AQ501" i="32"/>
  <c r="AR239" i="32"/>
  <c r="AQ239" i="32"/>
  <c r="AR85" i="32"/>
  <c r="AQ85" i="32"/>
  <c r="AQ166" i="32"/>
  <c r="AR166" i="32"/>
  <c r="AQ298" i="32"/>
  <c r="AR298" i="32"/>
  <c r="AQ494" i="32"/>
  <c r="AR494" i="32"/>
  <c r="AR59" i="32"/>
  <c r="AQ59" i="32"/>
  <c r="AQ169" i="32"/>
  <c r="AR169" i="32"/>
  <c r="AR356" i="32"/>
  <c r="AQ356" i="32"/>
  <c r="AQ540" i="32"/>
  <c r="AR540" i="32"/>
  <c r="AQ74" i="32"/>
  <c r="AR74" i="32"/>
  <c r="AR250" i="32"/>
  <c r="AQ250" i="32"/>
  <c r="AQ364" i="32"/>
  <c r="AR364" i="32"/>
  <c r="AQ532" i="32"/>
  <c r="AR532" i="32"/>
  <c r="AQ46" i="32"/>
  <c r="AR46" i="32"/>
  <c r="AR351" i="32"/>
  <c r="AQ351" i="32"/>
  <c r="AQ423" i="32"/>
  <c r="AR423" i="32"/>
  <c r="AR552" i="32"/>
  <c r="AQ552" i="32"/>
  <c r="AR97" i="32"/>
  <c r="AQ97" i="32"/>
  <c r="AQ315" i="32"/>
  <c r="AR315" i="32"/>
  <c r="AQ393" i="32"/>
  <c r="AR393" i="32"/>
  <c r="AR585" i="32"/>
  <c r="AQ585" i="32"/>
  <c r="AR54" i="32"/>
  <c r="AQ54" i="32"/>
  <c r="AQ207" i="32"/>
  <c r="AR207" i="32"/>
  <c r="AQ248" i="32"/>
  <c r="AR248" i="32"/>
  <c r="AR381" i="32"/>
  <c r="AQ381" i="32"/>
  <c r="AQ488" i="32"/>
  <c r="AR488" i="32"/>
  <c r="AQ600" i="32"/>
  <c r="AR600" i="32"/>
  <c r="AR112" i="32"/>
  <c r="AQ112" i="32"/>
  <c r="AR209" i="32"/>
  <c r="AQ209" i="32"/>
  <c r="AQ325" i="32"/>
  <c r="AR325" i="32"/>
  <c r="AR355" i="32"/>
  <c r="AQ355" i="32"/>
  <c r="AQ473" i="32"/>
  <c r="AR473" i="32"/>
  <c r="AQ580" i="32"/>
  <c r="AR580" i="32"/>
  <c r="AR553" i="32"/>
  <c r="AQ553" i="32"/>
  <c r="AQ176" i="32"/>
  <c r="AR176" i="32"/>
  <c r="AQ219" i="32"/>
  <c r="AR219" i="32"/>
  <c r="AQ410" i="32"/>
  <c r="AR410" i="32"/>
  <c r="AQ431" i="32"/>
  <c r="AR431" i="32"/>
  <c r="AR539" i="32"/>
  <c r="AQ539" i="32"/>
  <c r="AQ66" i="32"/>
  <c r="AR66" i="32"/>
  <c r="AQ82" i="32"/>
  <c r="AR82" i="32"/>
  <c r="AQ216" i="32"/>
  <c r="AR216" i="32"/>
  <c r="AQ330" i="32"/>
  <c r="AR330" i="32"/>
  <c r="AQ405" i="32"/>
  <c r="AR405" i="32"/>
  <c r="AR463" i="32"/>
  <c r="AQ463" i="32"/>
  <c r="AR561" i="32"/>
  <c r="AQ561" i="32"/>
  <c r="AR19" i="32"/>
  <c r="AQ19" i="32"/>
  <c r="AQ70" i="32"/>
  <c r="AR70" i="32"/>
  <c r="AR190" i="32"/>
  <c r="AQ190" i="32"/>
  <c r="AQ221" i="32"/>
  <c r="AR221" i="32"/>
  <c r="AQ252" i="32"/>
  <c r="AR252" i="32"/>
  <c r="AR360" i="32"/>
  <c r="AQ360" i="32"/>
  <c r="AR409" i="32"/>
  <c r="AQ409" i="32"/>
  <c r="AR490" i="32"/>
  <c r="AQ490" i="32"/>
  <c r="AR533" i="32"/>
  <c r="AQ533" i="32"/>
  <c r="AR51" i="32"/>
  <c r="AQ51" i="32"/>
  <c r="AR101" i="32"/>
  <c r="AQ101" i="32"/>
  <c r="AQ141" i="32"/>
  <c r="AR141" i="32"/>
  <c r="AR159" i="32"/>
  <c r="AQ159" i="32"/>
  <c r="AQ291" i="32"/>
  <c r="AR291" i="32"/>
  <c r="AR317" i="32"/>
  <c r="AQ317" i="32"/>
  <c r="AQ447" i="32"/>
  <c r="AR447" i="32"/>
  <c r="AQ428" i="32"/>
  <c r="AR428" i="32"/>
  <c r="AQ472" i="32"/>
  <c r="AR472" i="32"/>
  <c r="AR592" i="32"/>
  <c r="AQ592" i="32"/>
  <c r="AR608" i="32"/>
  <c r="AQ608" i="32"/>
  <c r="AR199" i="32"/>
  <c r="AQ199" i="32"/>
  <c r="AQ382" i="32"/>
  <c r="AR382" i="32"/>
  <c r="AQ425" i="32"/>
  <c r="AR425" i="32"/>
  <c r="AQ338" i="32"/>
  <c r="AR338" i="32"/>
  <c r="AQ96" i="32"/>
  <c r="AR96" i="32"/>
  <c r="AR106" i="32"/>
  <c r="AQ106" i="32"/>
  <c r="AR589" i="32"/>
  <c r="AQ589" i="32"/>
  <c r="AQ462" i="32"/>
  <c r="AR462" i="32"/>
  <c r="AQ346" i="32"/>
  <c r="AR346" i="32"/>
  <c r="AQ140" i="32"/>
  <c r="AR140" i="32"/>
  <c r="AQ324" i="32"/>
  <c r="AR324" i="32"/>
  <c r="AR27" i="32"/>
  <c r="AQ27" i="32"/>
  <c r="AQ363" i="32"/>
  <c r="AR363" i="32"/>
  <c r="AQ213" i="32"/>
  <c r="AR213" i="32"/>
  <c r="AQ521" i="32"/>
  <c r="AR521" i="32"/>
  <c r="AR25" i="32"/>
  <c r="AQ25" i="32"/>
  <c r="AQ586" i="32"/>
  <c r="AR586" i="32"/>
  <c r="AQ165" i="32"/>
  <c r="AR165" i="32"/>
  <c r="AR237" i="32"/>
  <c r="AQ237" i="32"/>
  <c r="AR206" i="32"/>
  <c r="AQ206" i="32"/>
  <c r="AQ256" i="32"/>
  <c r="AR256" i="32"/>
  <c r="AR23" i="32"/>
  <c r="AQ23" i="32"/>
  <c r="AR424" i="32"/>
  <c r="AQ424" i="32"/>
  <c r="AQ201" i="32"/>
  <c r="AR201" i="32"/>
  <c r="AR124" i="32"/>
  <c r="AQ124" i="32"/>
  <c r="AQ602" i="32"/>
  <c r="AR602" i="32"/>
  <c r="AR143" i="32"/>
  <c r="AQ143" i="32"/>
  <c r="AR576" i="32"/>
  <c r="AQ576" i="32"/>
  <c r="AR155" i="32"/>
  <c r="AQ155" i="32"/>
  <c r="AQ555" i="32"/>
  <c r="AR555" i="32"/>
  <c r="AQ99" i="32"/>
  <c r="AR99" i="32"/>
  <c r="AR515" i="32"/>
  <c r="AQ515" i="32"/>
  <c r="AQ189" i="32"/>
  <c r="AR189" i="32"/>
  <c r="AR26" i="32"/>
  <c r="AQ26" i="32"/>
  <c r="AQ129" i="32"/>
  <c r="AR129" i="32"/>
  <c r="AR612" i="32"/>
  <c r="AQ612" i="32"/>
  <c r="AQ458" i="32"/>
  <c r="AR458" i="32"/>
  <c r="AQ167" i="32"/>
  <c r="AR167" i="32"/>
  <c r="AR497" i="32"/>
  <c r="AQ497" i="32"/>
  <c r="AQ151" i="32"/>
  <c r="AR151" i="32"/>
  <c r="AR22" i="32"/>
  <c r="AQ22" i="32"/>
  <c r="AQ513" i="32"/>
  <c r="AR513" i="32"/>
  <c r="AR195" i="32"/>
  <c r="AQ195" i="32"/>
  <c r="AQ417" i="32"/>
  <c r="AR417" i="32"/>
  <c r="AR107" i="32"/>
  <c r="AQ107" i="32"/>
  <c r="AQ524" i="32"/>
  <c r="AR524" i="32"/>
  <c r="AR258" i="32"/>
  <c r="AQ258" i="32"/>
  <c r="AR120" i="32"/>
  <c r="AQ120" i="32"/>
  <c r="AR481" i="32"/>
  <c r="AQ481" i="32"/>
  <c r="AR366" i="32"/>
  <c r="AQ366" i="32"/>
  <c r="AQ32" i="32"/>
  <c r="AR32" i="32"/>
  <c r="AR200" i="32"/>
  <c r="AQ200" i="32"/>
  <c r="AQ352" i="32"/>
  <c r="AR352" i="32"/>
  <c r="AR504" i="32"/>
  <c r="AQ504" i="32"/>
  <c r="AR67" i="32"/>
  <c r="AQ67" i="32"/>
  <c r="AR249" i="32"/>
  <c r="AQ249" i="32"/>
  <c r="AQ359" i="32"/>
  <c r="AR359" i="32"/>
  <c r="AR549" i="32"/>
  <c r="AQ549" i="32"/>
  <c r="AQ131" i="32"/>
  <c r="AR131" i="32"/>
  <c r="AQ290" i="32"/>
  <c r="AR290" i="32"/>
  <c r="AR401" i="32"/>
  <c r="AQ401" i="32"/>
  <c r="AR583" i="32"/>
  <c r="AQ583" i="32"/>
  <c r="AR40" i="32"/>
  <c r="AQ40" i="32"/>
  <c r="AQ303" i="32"/>
  <c r="AR303" i="32"/>
  <c r="AR388" i="32"/>
  <c r="AQ388" i="32"/>
  <c r="AR584" i="32"/>
  <c r="AQ584" i="32"/>
  <c r="AR75" i="32"/>
  <c r="AQ75" i="32"/>
  <c r="AR245" i="32"/>
  <c r="AQ245" i="32"/>
  <c r="AR451" i="32"/>
  <c r="AQ451" i="32"/>
  <c r="AQ597" i="32"/>
  <c r="AR597" i="32"/>
  <c r="AQ30" i="32"/>
  <c r="AR30" i="32"/>
  <c r="AR170" i="32"/>
  <c r="AQ170" i="32"/>
  <c r="AQ277" i="32"/>
  <c r="AR277" i="32"/>
  <c r="AR395" i="32"/>
  <c r="AQ395" i="32"/>
  <c r="AR538" i="32"/>
  <c r="AQ538" i="32"/>
  <c r="AQ611" i="32"/>
  <c r="AR611" i="32"/>
  <c r="AR93" i="32"/>
  <c r="AQ93" i="32"/>
  <c r="AR171" i="32"/>
  <c r="AQ171" i="32"/>
  <c r="AR278" i="32"/>
  <c r="AQ278" i="32"/>
  <c r="AQ407" i="32"/>
  <c r="AR407" i="32"/>
  <c r="AQ485" i="32"/>
  <c r="AR485" i="32"/>
  <c r="AR575" i="32"/>
  <c r="AQ575" i="32"/>
  <c r="AR114" i="32"/>
  <c r="AQ114" i="32"/>
  <c r="AQ268" i="32"/>
  <c r="AR268" i="32"/>
  <c r="AQ253" i="32"/>
  <c r="AR253" i="32"/>
  <c r="AR365" i="32"/>
  <c r="AQ365" i="32"/>
  <c r="AR498" i="32"/>
  <c r="AQ498" i="32"/>
  <c r="AR582" i="32"/>
  <c r="AQ582" i="32"/>
  <c r="AQ121" i="32"/>
  <c r="AR121" i="32"/>
  <c r="AQ122" i="32"/>
  <c r="AR122" i="32"/>
  <c r="AQ313" i="32"/>
  <c r="AR313" i="32"/>
  <c r="AQ343" i="32"/>
  <c r="AR343" i="32"/>
  <c r="AR397" i="32"/>
  <c r="AQ397" i="32"/>
  <c r="AR495" i="32"/>
  <c r="AQ495" i="32"/>
  <c r="AR573" i="32"/>
  <c r="AQ573" i="32"/>
  <c r="AR35" i="32"/>
  <c r="AQ35" i="32"/>
  <c r="AR147" i="32"/>
  <c r="AQ147" i="32"/>
  <c r="AQ294" i="32"/>
  <c r="AR294" i="32"/>
  <c r="AR242" i="32"/>
  <c r="AQ242" i="32"/>
  <c r="AQ243" i="32"/>
  <c r="AR243" i="32"/>
  <c r="AR369" i="32"/>
  <c r="AQ369" i="32"/>
  <c r="AQ415" i="32"/>
  <c r="AR415" i="32"/>
  <c r="AR437" i="32"/>
  <c r="AQ437" i="32"/>
  <c r="AQ558" i="32"/>
  <c r="AR558" i="32"/>
  <c r="AQ48" i="32"/>
  <c r="AR48" i="32"/>
  <c r="AQ236" i="32"/>
  <c r="AR236" i="32"/>
  <c r="AQ144" i="32"/>
  <c r="AR144" i="32"/>
  <c r="AR183" i="32"/>
  <c r="AQ183" i="32"/>
  <c r="AQ293" i="32"/>
  <c r="AR293" i="32"/>
  <c r="AR322" i="32"/>
  <c r="AQ322" i="32"/>
  <c r="AQ421" i="32"/>
  <c r="AR421" i="32"/>
  <c r="AQ480" i="32"/>
  <c r="AR480" i="32"/>
  <c r="AR516" i="32"/>
  <c r="AQ516" i="32"/>
  <c r="AQ607" i="32"/>
  <c r="AR607" i="32"/>
  <c r="AR130" i="32"/>
  <c r="AQ130" i="32"/>
  <c r="AR389" i="32"/>
  <c r="AQ389" i="32"/>
  <c r="AR505" i="32"/>
  <c r="AQ505" i="32"/>
  <c r="AQ21" i="32"/>
  <c r="AR21" i="32"/>
  <c r="AQ457" i="32"/>
  <c r="AR457" i="32"/>
  <c r="AR479" i="32"/>
  <c r="AQ479" i="32"/>
  <c r="AQ392" i="32"/>
  <c r="AR392" i="32"/>
  <c r="AQ186" i="32"/>
  <c r="AR186" i="32"/>
  <c r="AQ254" i="32"/>
  <c r="AR254" i="32"/>
  <c r="AQ259" i="32"/>
  <c r="AR259" i="32"/>
  <c r="AQ214" i="32"/>
  <c r="AR214" i="32"/>
  <c r="AR113" i="32"/>
  <c r="AQ113" i="32"/>
  <c r="AQ361" i="32"/>
  <c r="AR361" i="32"/>
  <c r="AR370" i="32"/>
  <c r="AQ370" i="32"/>
  <c r="AQ115" i="32"/>
  <c r="AR115" i="32"/>
  <c r="AQ587" i="32"/>
  <c r="AR587" i="32"/>
  <c r="AQ335" i="32"/>
  <c r="AR335" i="32"/>
  <c r="AQ89" i="32"/>
  <c r="AR89" i="32"/>
  <c r="AQ563" i="32"/>
  <c r="AR563" i="32"/>
  <c r="AR319" i="32"/>
  <c r="AQ319" i="32"/>
  <c r="AQ34" i="32"/>
  <c r="AR34" i="32"/>
  <c r="AQ225" i="32"/>
  <c r="AR225" i="32"/>
  <c r="AQ358" i="32"/>
  <c r="AR358" i="32"/>
  <c r="AQ535" i="32"/>
  <c r="AR535" i="32"/>
  <c r="AQ92" i="32"/>
  <c r="AR92" i="32"/>
  <c r="AQ279" i="32"/>
  <c r="AR279" i="32"/>
  <c r="AQ385" i="32"/>
  <c r="AR385" i="32"/>
  <c r="AQ572" i="32"/>
  <c r="AR572" i="32"/>
  <c r="AR39" i="32"/>
  <c r="AQ39" i="32"/>
  <c r="AR273" i="32"/>
  <c r="AQ273" i="32"/>
  <c r="AQ440" i="32"/>
  <c r="AR440" i="32"/>
  <c r="AQ579" i="32"/>
  <c r="AR579" i="32"/>
  <c r="AQ29" i="32"/>
  <c r="AR29" i="32"/>
  <c r="AR314" i="32"/>
  <c r="AQ314" i="32"/>
  <c r="AR445" i="32"/>
  <c r="AQ445" i="32"/>
  <c r="AQ606" i="32"/>
  <c r="AR606" i="32"/>
  <c r="AQ204" i="32"/>
  <c r="AR204" i="32"/>
  <c r="AQ271" i="32"/>
  <c r="AR271" i="32"/>
  <c r="AR483" i="32"/>
  <c r="AQ483" i="32"/>
  <c r="AR45" i="32"/>
  <c r="AQ45" i="32"/>
  <c r="AQ108" i="32"/>
  <c r="AR108" i="32"/>
  <c r="AR191" i="32"/>
  <c r="AQ191" i="32"/>
  <c r="AR307" i="32"/>
  <c r="AQ307" i="32"/>
  <c r="AR412" i="32"/>
  <c r="AQ412" i="32"/>
  <c r="AR566" i="32"/>
  <c r="AQ566" i="32"/>
  <c r="AQ610" i="32"/>
  <c r="AR610" i="32"/>
  <c r="AR79" i="32"/>
  <c r="AQ79" i="32"/>
  <c r="AQ158" i="32"/>
  <c r="AR158" i="32"/>
  <c r="AQ333" i="32"/>
  <c r="AR333" i="32"/>
  <c r="AR411" i="32"/>
  <c r="AQ411" i="32"/>
  <c r="AR435" i="32"/>
  <c r="AQ435" i="32"/>
  <c r="AR596" i="32"/>
  <c r="AQ596" i="32"/>
  <c r="AQ103" i="32"/>
  <c r="AR103" i="32"/>
  <c r="AR174" i="32"/>
  <c r="AQ174" i="32"/>
  <c r="AR288" i="32"/>
  <c r="AQ288" i="32"/>
  <c r="AQ347" i="32"/>
  <c r="AR347" i="32"/>
  <c r="AQ491" i="32"/>
  <c r="AR491" i="32"/>
  <c r="AQ578" i="32"/>
  <c r="AR578" i="32"/>
  <c r="AR81" i="32"/>
  <c r="AQ81" i="32"/>
  <c r="AQ137" i="32"/>
  <c r="AR137" i="32"/>
  <c r="AR235" i="32"/>
  <c r="AQ235" i="32"/>
  <c r="AQ345" i="32"/>
  <c r="AR345" i="32"/>
  <c r="AR400" i="32"/>
  <c r="AQ400" i="32"/>
  <c r="AQ531" i="32"/>
  <c r="AR531" i="32"/>
  <c r="AQ590" i="32"/>
  <c r="AR590" i="32"/>
  <c r="AR68" i="32"/>
  <c r="AQ68" i="32"/>
  <c r="AR76" i="32"/>
  <c r="AQ76" i="32"/>
  <c r="AQ135" i="32"/>
  <c r="AR135" i="32"/>
  <c r="AR262" i="32"/>
  <c r="AQ262" i="32"/>
  <c r="AQ353" i="32"/>
  <c r="AR353" i="32"/>
  <c r="AR367" i="32"/>
  <c r="AQ367" i="32"/>
  <c r="AQ441" i="32"/>
  <c r="AR441" i="32"/>
  <c r="AQ526" i="32"/>
  <c r="AR526" i="32"/>
  <c r="AQ569" i="32"/>
  <c r="AR569" i="32"/>
  <c r="AQ50" i="32"/>
  <c r="AR50" i="32"/>
  <c r="AR188" i="32"/>
  <c r="AQ188" i="32"/>
  <c r="AQ133" i="32"/>
  <c r="AR133" i="32"/>
  <c r="AQ212" i="32"/>
  <c r="AR212" i="32"/>
  <c r="AQ284" i="32"/>
  <c r="AR284" i="32"/>
  <c r="AQ342" i="32"/>
  <c r="AR342" i="32"/>
  <c r="AQ396" i="32"/>
  <c r="AR396" i="32"/>
  <c r="AQ460" i="32"/>
  <c r="AR460" i="32"/>
  <c r="AR537" i="32"/>
  <c r="AQ537" i="32"/>
  <c r="AQ603" i="32"/>
  <c r="AR603" i="32"/>
  <c r="B402" i="2"/>
  <c r="AL625" i="32" l="1"/>
  <c r="AK625" i="32"/>
  <c r="AO624" i="32"/>
  <c r="AN624" i="32"/>
  <c r="AN625" i="32"/>
  <c r="AO625" i="32"/>
  <c r="AL624" i="32"/>
  <c r="AK624" i="32"/>
  <c r="B68" i="21"/>
  <c r="B69" i="21" s="1"/>
  <c r="B60" i="21"/>
  <c r="B55" i="21"/>
  <c r="B35" i="21"/>
  <c r="B30" i="21"/>
  <c r="B28" i="21"/>
  <c r="B27" i="21"/>
  <c r="B21" i="21"/>
  <c r="B15" i="21"/>
  <c r="B60" i="20"/>
  <c r="B55" i="20"/>
  <c r="B35" i="20"/>
  <c r="B30" i="20"/>
  <c r="B28" i="20"/>
  <c r="B27" i="20"/>
  <c r="B21" i="20"/>
  <c r="B15" i="20"/>
  <c r="A2" i="19"/>
  <c r="D451" i="2" l="1"/>
  <c r="D450" i="2"/>
  <c r="D447" i="2"/>
  <c r="D445" i="2"/>
  <c r="D444" i="2"/>
  <c r="D441" i="2"/>
  <c r="D440" i="2"/>
  <c r="D438" i="2"/>
  <c r="D437" i="2"/>
  <c r="D436" i="2"/>
  <c r="D434" i="2"/>
  <c r="D430" i="2"/>
  <c r="D428" i="2"/>
  <c r="B54" i="21" s="1"/>
  <c r="D427" i="2"/>
  <c r="B53" i="21" s="1"/>
  <c r="D424" i="2"/>
  <c r="D423" i="2"/>
  <c r="D422" i="2"/>
  <c r="B52" i="21" s="1"/>
  <c r="D421" i="2"/>
  <c r="D420" i="2"/>
  <c r="D419" i="2"/>
  <c r="B51" i="21" s="1"/>
  <c r="D417" i="2"/>
  <c r="B49" i="21" l="1"/>
  <c r="B56" i="20"/>
  <c r="B56" i="21"/>
  <c r="B52" i="20"/>
  <c r="B54" i="20"/>
  <c r="B51" i="20"/>
  <c r="B53" i="20"/>
  <c r="B49" i="20"/>
  <c r="K183" i="2"/>
  <c r="B440" i="2"/>
  <c r="B441" i="2"/>
  <c r="B437" i="2"/>
  <c r="B438" i="2"/>
  <c r="B428" i="2"/>
  <c r="B489" i="2"/>
  <c r="A55" i="16"/>
  <c r="A477" i="2" l="1"/>
  <c r="B485" i="2"/>
  <c r="A56" i="16"/>
  <c r="A484" i="2"/>
  <c r="B498" i="2" l="1"/>
  <c r="A498" i="2"/>
  <c r="B333" i="2"/>
  <c r="B130" i="2"/>
  <c r="B29" i="32" s="1"/>
  <c r="B133" i="2" l="1"/>
  <c r="B132" i="2"/>
  <c r="C65" i="16"/>
  <c r="B283" i="2"/>
  <c r="B497" i="2"/>
  <c r="A497" i="2"/>
  <c r="B496" i="2"/>
  <c r="A496" i="2"/>
  <c r="L339" i="2" l="1"/>
  <c r="B345" i="2"/>
  <c r="B337" i="2" l="1"/>
  <c r="V627" i="32" l="1"/>
  <c r="V623" i="32"/>
  <c r="V622" i="32"/>
  <c r="V617" i="32"/>
  <c r="V624" i="32"/>
  <c r="V626" i="32"/>
  <c r="V629" i="32"/>
  <c r="V628" i="32"/>
  <c r="V625" i="32"/>
  <c r="V606" i="32"/>
  <c r="V598" i="32"/>
  <c r="V590" i="32"/>
  <c r="V582" i="32"/>
  <c r="V574" i="32"/>
  <c r="V566" i="32"/>
  <c r="V558" i="32"/>
  <c r="V550" i="32"/>
  <c r="V542" i="32"/>
  <c r="V534" i="32"/>
  <c r="V526" i="32"/>
  <c r="V518" i="32"/>
  <c r="V510" i="32"/>
  <c r="V502" i="32"/>
  <c r="V494" i="32"/>
  <c r="V486" i="32"/>
  <c r="V478" i="32"/>
  <c r="V470" i="32"/>
  <c r="V462" i="32"/>
  <c r="V454" i="32"/>
  <c r="V446" i="32"/>
  <c r="V438" i="32"/>
  <c r="V430" i="32"/>
  <c r="V422" i="32"/>
  <c r="V414" i="32"/>
  <c r="V406" i="32"/>
  <c r="V398" i="32"/>
  <c r="V390" i="32"/>
  <c r="V382" i="32"/>
  <c r="V374" i="32"/>
  <c r="V366" i="32"/>
  <c r="V358" i="32"/>
  <c r="V350" i="32"/>
  <c r="V342" i="32"/>
  <c r="V334" i="32"/>
  <c r="V326" i="32"/>
  <c r="V318" i="32"/>
  <c r="V310" i="32"/>
  <c r="V302" i="32"/>
  <c r="V294" i="32"/>
  <c r="V286" i="32"/>
  <c r="V278" i="32"/>
  <c r="V270" i="32"/>
  <c r="V262" i="32"/>
  <c r="V254" i="32"/>
  <c r="V246" i="32"/>
  <c r="V238" i="32"/>
  <c r="V230" i="32"/>
  <c r="V222" i="32"/>
  <c r="V214" i="32"/>
  <c r="V206" i="32"/>
  <c r="V198" i="32"/>
  <c r="V190" i="32"/>
  <c r="V182" i="32"/>
  <c r="V174" i="32"/>
  <c r="V166" i="32"/>
  <c r="V158" i="32"/>
  <c r="V150" i="32"/>
  <c r="V142" i="32"/>
  <c r="V134" i="32"/>
  <c r="V126" i="32"/>
  <c r="V118" i="32"/>
  <c r="V110" i="32"/>
  <c r="V102" i="32"/>
  <c r="V94" i="32"/>
  <c r="V86" i="32"/>
  <c r="V78" i="32"/>
  <c r="V70" i="32"/>
  <c r="V62" i="32"/>
  <c r="V54" i="32"/>
  <c r="V46" i="32"/>
  <c r="V38" i="32"/>
  <c r="V30" i="32"/>
  <c r="V22" i="32"/>
  <c r="V14" i="32"/>
  <c r="V27" i="32"/>
  <c r="V520" i="32"/>
  <c r="V408" i="32"/>
  <c r="V344" i="32"/>
  <c r="V288" i="32"/>
  <c r="V232" i="32"/>
  <c r="V184" i="32"/>
  <c r="V136" i="32"/>
  <c r="V88" i="32"/>
  <c r="V32" i="32"/>
  <c r="V599" i="32"/>
  <c r="V543" i="32"/>
  <c r="V503" i="32"/>
  <c r="V455" i="32"/>
  <c r="V399" i="32"/>
  <c r="V359" i="32"/>
  <c r="V303" i="32"/>
  <c r="V255" i="32"/>
  <c r="V215" i="32"/>
  <c r="V151" i="32"/>
  <c r="V103" i="32"/>
  <c r="V39" i="32"/>
  <c r="V613" i="32"/>
  <c r="V605" i="32"/>
  <c r="V597" i="32"/>
  <c r="V589" i="32"/>
  <c r="V581" i="32"/>
  <c r="V573" i="32"/>
  <c r="V565" i="32"/>
  <c r="V557" i="32"/>
  <c r="V549" i="32"/>
  <c r="V541" i="32"/>
  <c r="V533" i="32"/>
  <c r="V525" i="32"/>
  <c r="V517" i="32"/>
  <c r="V509" i="32"/>
  <c r="V501" i="32"/>
  <c r="V493" i="32"/>
  <c r="V485" i="32"/>
  <c r="V477" i="32"/>
  <c r="V469" i="32"/>
  <c r="V461" i="32"/>
  <c r="V453" i="32"/>
  <c r="V445" i="32"/>
  <c r="V437" i="32"/>
  <c r="V429" i="32"/>
  <c r="V421" i="32"/>
  <c r="V413" i="32"/>
  <c r="V405" i="32"/>
  <c r="V397" i="32"/>
  <c r="V389" i="32"/>
  <c r="V381" i="32"/>
  <c r="V373" i="32"/>
  <c r="V365" i="32"/>
  <c r="V357" i="32"/>
  <c r="V349" i="32"/>
  <c r="V341" i="32"/>
  <c r="V333" i="32"/>
  <c r="V325" i="32"/>
  <c r="V317" i="32"/>
  <c r="V309" i="32"/>
  <c r="V301" i="32"/>
  <c r="V293" i="32"/>
  <c r="V285" i="32"/>
  <c r="V277" i="32"/>
  <c r="V269" i="32"/>
  <c r="V261" i="32"/>
  <c r="V253" i="32"/>
  <c r="V245" i="32"/>
  <c r="V237" i="32"/>
  <c r="V229" i="32"/>
  <c r="V221" i="32"/>
  <c r="V213" i="32"/>
  <c r="V205" i="32"/>
  <c r="V197" i="32"/>
  <c r="V189" i="32"/>
  <c r="V181" i="32"/>
  <c r="V173" i="32"/>
  <c r="V165" i="32"/>
  <c r="V157" i="32"/>
  <c r="V149" i="32"/>
  <c r="V141" i="32"/>
  <c r="V133" i="32"/>
  <c r="V125" i="32"/>
  <c r="V117" i="32"/>
  <c r="V109" i="32"/>
  <c r="V101" i="32"/>
  <c r="V93" i="32"/>
  <c r="V85" i="32"/>
  <c r="V77" i="32"/>
  <c r="V69" i="32"/>
  <c r="V61" i="32"/>
  <c r="V53" i="32"/>
  <c r="V45" i="32"/>
  <c r="V37" i="32"/>
  <c r="V29" i="32"/>
  <c r="V21" i="32"/>
  <c r="V13" i="32"/>
  <c r="V188" i="32"/>
  <c r="V164" i="32"/>
  <c r="V156" i="32"/>
  <c r="V140" i="32"/>
  <c r="V132" i="32"/>
  <c r="V116" i="32"/>
  <c r="V108" i="32"/>
  <c r="V100" i="32"/>
  <c r="V84" i="32"/>
  <c r="V76" i="32"/>
  <c r="V60" i="32"/>
  <c r="V52" i="32"/>
  <c r="V36" i="32"/>
  <c r="V28" i="32"/>
  <c r="V43" i="32"/>
  <c r="V19" i="32"/>
  <c r="V528" i="32"/>
  <c r="V456" i="32"/>
  <c r="V432" i="32"/>
  <c r="V416" i="32"/>
  <c r="V384" i="32"/>
  <c r="V360" i="32"/>
  <c r="V328" i="32"/>
  <c r="V296" i="32"/>
  <c r="V264" i="32"/>
  <c r="V224" i="32"/>
  <c r="V200" i="32"/>
  <c r="V160" i="32"/>
  <c r="V120" i="32"/>
  <c r="V96" i="32"/>
  <c r="V48" i="32"/>
  <c r="V16" i="32"/>
  <c r="V575" i="32"/>
  <c r="V551" i="32"/>
  <c r="V535" i="32"/>
  <c r="V495" i="32"/>
  <c r="V463" i="32"/>
  <c r="V431" i="32"/>
  <c r="V391" i="32"/>
  <c r="V351" i="32"/>
  <c r="V311" i="32"/>
  <c r="V287" i="32"/>
  <c r="V239" i="32"/>
  <c r="V199" i="32"/>
  <c r="V175" i="32"/>
  <c r="V143" i="32"/>
  <c r="V95" i="32"/>
  <c r="V71" i="32"/>
  <c r="V31" i="32"/>
  <c r="V612" i="32"/>
  <c r="V604" i="32"/>
  <c r="V596" i="32"/>
  <c r="V588" i="32"/>
  <c r="V580" i="32"/>
  <c r="V572" i="32"/>
  <c r="V564" i="32"/>
  <c r="V556" i="32"/>
  <c r="V548" i="32"/>
  <c r="V540" i="32"/>
  <c r="V532" i="32"/>
  <c r="V524" i="32"/>
  <c r="V516" i="32"/>
  <c r="V508" i="32"/>
  <c r="V500" i="32"/>
  <c r="V492" i="32"/>
  <c r="V484" i="32"/>
  <c r="V476" i="32"/>
  <c r="V468" i="32"/>
  <c r="V460" i="32"/>
  <c r="V452" i="32"/>
  <c r="V444" i="32"/>
  <c r="V436" i="32"/>
  <c r="V428" i="32"/>
  <c r="V420" i="32"/>
  <c r="V412" i="32"/>
  <c r="V404" i="32"/>
  <c r="V396" i="32"/>
  <c r="V388" i="32"/>
  <c r="V380" i="32"/>
  <c r="V372" i="32"/>
  <c r="V364" i="32"/>
  <c r="V356" i="32"/>
  <c r="V348" i="32"/>
  <c r="V340" i="32"/>
  <c r="V332" i="32"/>
  <c r="V324" i="32"/>
  <c r="V316" i="32"/>
  <c r="V308" i="32"/>
  <c r="V300" i="32"/>
  <c r="V292" i="32"/>
  <c r="V284" i="32"/>
  <c r="V276" i="32"/>
  <c r="V268" i="32"/>
  <c r="V260" i="32"/>
  <c r="V252" i="32"/>
  <c r="V244" i="32"/>
  <c r="V236" i="32"/>
  <c r="V228" i="32"/>
  <c r="V220" i="32"/>
  <c r="V212" i="32"/>
  <c r="V204" i="32"/>
  <c r="V196" i="32"/>
  <c r="V180" i="32"/>
  <c r="V172" i="32"/>
  <c r="V148" i="32"/>
  <c r="V124" i="32"/>
  <c r="V92" i="32"/>
  <c r="V68" i="32"/>
  <c r="V44" i="32"/>
  <c r="V20" i="32"/>
  <c r="V536" i="32"/>
  <c r="V352" i="32"/>
  <c r="V256" i="32"/>
  <c r="V152" i="32"/>
  <c r="V56" i="32"/>
  <c r="V583" i="32"/>
  <c r="V487" i="32"/>
  <c r="V415" i="32"/>
  <c r="V343" i="32"/>
  <c r="V279" i="32"/>
  <c r="V207" i="32"/>
  <c r="V127" i="32"/>
  <c r="V47" i="32"/>
  <c r="V611" i="32"/>
  <c r="V603" i="32"/>
  <c r="V595" i="32"/>
  <c r="V587" i="32"/>
  <c r="V579" i="32"/>
  <c r="V571" i="32"/>
  <c r="V563" i="32"/>
  <c r="V555" i="32"/>
  <c r="V547" i="32"/>
  <c r="V539" i="32"/>
  <c r="V531" i="32"/>
  <c r="V523" i="32"/>
  <c r="V515" i="32"/>
  <c r="V507" i="32"/>
  <c r="V499" i="32"/>
  <c r="V491" i="32"/>
  <c r="V483" i="32"/>
  <c r="V475" i="32"/>
  <c r="V467" i="32"/>
  <c r="V459" i="32"/>
  <c r="V451" i="32"/>
  <c r="V443" i="32"/>
  <c r="V435" i="32"/>
  <c r="V427" i="32"/>
  <c r="V419" i="32"/>
  <c r="V411" i="32"/>
  <c r="V403" i="32"/>
  <c r="V395" i="32"/>
  <c r="V387" i="32"/>
  <c r="V379" i="32"/>
  <c r="V371" i="32"/>
  <c r="V363" i="32"/>
  <c r="V355" i="32"/>
  <c r="V347" i="32"/>
  <c r="V339" i="32"/>
  <c r="V331" i="32"/>
  <c r="V323" i="32"/>
  <c r="V315" i="32"/>
  <c r="V307" i="32"/>
  <c r="V299" i="32"/>
  <c r="V291" i="32"/>
  <c r="V283" i="32"/>
  <c r="V275" i="32"/>
  <c r="V267" i="32"/>
  <c r="V259" i="32"/>
  <c r="V251" i="32"/>
  <c r="V243" i="32"/>
  <c r="V235" i="32"/>
  <c r="V227" i="32"/>
  <c r="V219" i="32"/>
  <c r="V211" i="32"/>
  <c r="V203" i="32"/>
  <c r="V195" i="32"/>
  <c r="V187" i="32"/>
  <c r="V179" i="32"/>
  <c r="V171" i="32"/>
  <c r="V163" i="32"/>
  <c r="V155" i="32"/>
  <c r="V147" i="32"/>
  <c r="V139" i="32"/>
  <c r="V131" i="32"/>
  <c r="V123" i="32"/>
  <c r="V115" i="32"/>
  <c r="V107" i="32"/>
  <c r="V99" i="32"/>
  <c r="V91" i="32"/>
  <c r="V83" i="32"/>
  <c r="V75" i="32"/>
  <c r="V67" i="32"/>
  <c r="V59" i="32"/>
  <c r="V51" i="32"/>
  <c r="V35" i="32"/>
  <c r="V504" i="32"/>
  <c r="V376" i="32"/>
  <c r="V304" i="32"/>
  <c r="V240" i="32"/>
  <c r="V192" i="32"/>
  <c r="V128" i="32"/>
  <c r="V72" i="32"/>
  <c r="V607" i="32"/>
  <c r="V511" i="32"/>
  <c r="V439" i="32"/>
  <c r="V375" i="32"/>
  <c r="V319" i="32"/>
  <c r="V247" i="32"/>
  <c r="V183" i="32"/>
  <c r="V119" i="32"/>
  <c r="V79" i="32"/>
  <c r="V15" i="32"/>
  <c r="V610" i="32"/>
  <c r="V602" i="32"/>
  <c r="V594" i="32"/>
  <c r="V586" i="32"/>
  <c r="V578" i="32"/>
  <c r="V570" i="32"/>
  <c r="V562" i="32"/>
  <c r="V554" i="32"/>
  <c r="V546" i="32"/>
  <c r="V538" i="32"/>
  <c r="V530" i="32"/>
  <c r="V522" i="32"/>
  <c r="V514" i="32"/>
  <c r="V506" i="32"/>
  <c r="V498" i="32"/>
  <c r="V490" i="32"/>
  <c r="V482" i="32"/>
  <c r="V474" i="32"/>
  <c r="V466" i="32"/>
  <c r="V458" i="32"/>
  <c r="V450" i="32"/>
  <c r="V442" i="32"/>
  <c r="V434" i="32"/>
  <c r="V426" i="32"/>
  <c r="V418" i="32"/>
  <c r="V410" i="32"/>
  <c r="V402" i="32"/>
  <c r="V394" i="32"/>
  <c r="V386" i="32"/>
  <c r="V378" i="32"/>
  <c r="V370" i="32"/>
  <c r="V362" i="32"/>
  <c r="V354" i="32"/>
  <c r="V346" i="32"/>
  <c r="V338" i="32"/>
  <c r="V330" i="32"/>
  <c r="V322" i="32"/>
  <c r="V314" i="32"/>
  <c r="V306" i="32"/>
  <c r="V298" i="32"/>
  <c r="V290" i="32"/>
  <c r="V282" i="32"/>
  <c r="V274" i="32"/>
  <c r="V266" i="32"/>
  <c r="V258" i="32"/>
  <c r="V250" i="32"/>
  <c r="V242" i="32"/>
  <c r="V234" i="32"/>
  <c r="V226" i="32"/>
  <c r="V218" i="32"/>
  <c r="V210" i="32"/>
  <c r="V202" i="32"/>
  <c r="V194" i="32"/>
  <c r="V186" i="32"/>
  <c r="V178" i="32"/>
  <c r="V170" i="32"/>
  <c r="V162" i="32"/>
  <c r="V154" i="32"/>
  <c r="V146" i="32"/>
  <c r="V138" i="32"/>
  <c r="V130" i="32"/>
  <c r="V122" i="32"/>
  <c r="V114" i="32"/>
  <c r="V106" i="32"/>
  <c r="V98" i="32"/>
  <c r="V90" i="32"/>
  <c r="V82" i="32"/>
  <c r="V74" i="32"/>
  <c r="V66" i="32"/>
  <c r="V58" i="32"/>
  <c r="V50" i="32"/>
  <c r="V42" i="32"/>
  <c r="V34" i="32"/>
  <c r="V26" i="32"/>
  <c r="V18" i="32"/>
  <c r="V552" i="32"/>
  <c r="V392" i="32"/>
  <c r="V320" i="32"/>
  <c r="V272" i="32"/>
  <c r="V216" i="32"/>
  <c r="V168" i="32"/>
  <c r="V112" i="32"/>
  <c r="V64" i="32"/>
  <c r="V24" i="32"/>
  <c r="V591" i="32"/>
  <c r="V559" i="32"/>
  <c r="V519" i="32"/>
  <c r="V471" i="32"/>
  <c r="V423" i="32"/>
  <c r="V367" i="32"/>
  <c r="V327" i="32"/>
  <c r="V263" i="32"/>
  <c r="V223" i="32"/>
  <c r="V159" i="32"/>
  <c r="V111" i="32"/>
  <c r="V55" i="32"/>
  <c r="V609" i="32"/>
  <c r="V601" i="32"/>
  <c r="V593" i="32"/>
  <c r="V585" i="32"/>
  <c r="V577" i="32"/>
  <c r="V569" i="32"/>
  <c r="V561" i="32"/>
  <c r="V553" i="32"/>
  <c r="V545" i="32"/>
  <c r="V537" i="32"/>
  <c r="V529" i="32"/>
  <c r="V521" i="32"/>
  <c r="V513" i="32"/>
  <c r="V505" i="32"/>
  <c r="V497" i="32"/>
  <c r="V489" i="32"/>
  <c r="V481" i="32"/>
  <c r="V473" i="32"/>
  <c r="V465" i="32"/>
  <c r="V457" i="32"/>
  <c r="V449" i="32"/>
  <c r="V441" i="32"/>
  <c r="V433" i="32"/>
  <c r="V425" i="32"/>
  <c r="V417" i="32"/>
  <c r="V409" i="32"/>
  <c r="V401" i="32"/>
  <c r="V393" i="32"/>
  <c r="V385" i="32"/>
  <c r="V377" i="32"/>
  <c r="V369" i="32"/>
  <c r="V361" i="32"/>
  <c r="V353" i="32"/>
  <c r="V345" i="32"/>
  <c r="V337" i="32"/>
  <c r="V329" i="32"/>
  <c r="V321" i="32"/>
  <c r="V313" i="32"/>
  <c r="V305" i="32"/>
  <c r="V297" i="32"/>
  <c r="V289" i="32"/>
  <c r="V281" i="32"/>
  <c r="V273" i="32"/>
  <c r="V265" i="32"/>
  <c r="V257" i="32"/>
  <c r="V249" i="32"/>
  <c r="V241" i="32"/>
  <c r="V233" i="32"/>
  <c r="V225" i="32"/>
  <c r="V217" i="32"/>
  <c r="V209" i="32"/>
  <c r="V201" i="32"/>
  <c r="V193" i="32"/>
  <c r="V185" i="32"/>
  <c r="V177" i="32"/>
  <c r="V169" i="32"/>
  <c r="V161" i="32"/>
  <c r="V153" i="32"/>
  <c r="V145" i="32"/>
  <c r="V137" i="32"/>
  <c r="V129" i="32"/>
  <c r="V121" i="32"/>
  <c r="V113" i="32"/>
  <c r="V105" i="32"/>
  <c r="V97" i="32"/>
  <c r="V89" i="32"/>
  <c r="V81" i="32"/>
  <c r="V73" i="32"/>
  <c r="V65" i="32"/>
  <c r="V57" i="32"/>
  <c r="V49" i="32"/>
  <c r="V41" i="32"/>
  <c r="V33" i="32"/>
  <c r="V25" i="32"/>
  <c r="V17" i="32"/>
  <c r="V608" i="32"/>
  <c r="V600" i="32"/>
  <c r="V592" i="32"/>
  <c r="V584" i="32"/>
  <c r="V576" i="32"/>
  <c r="V568" i="32"/>
  <c r="V560" i="32"/>
  <c r="V544" i="32"/>
  <c r="V512" i="32"/>
  <c r="V496" i="32"/>
  <c r="V488" i="32"/>
  <c r="V480" i="32"/>
  <c r="V472" i="32"/>
  <c r="V464" i="32"/>
  <c r="V448" i="32"/>
  <c r="V440" i="32"/>
  <c r="V424" i="32"/>
  <c r="V400" i="32"/>
  <c r="V368" i="32"/>
  <c r="V336" i="32"/>
  <c r="V312" i="32"/>
  <c r="V280" i="32"/>
  <c r="V248" i="32"/>
  <c r="V208" i="32"/>
  <c r="V176" i="32"/>
  <c r="V144" i="32"/>
  <c r="V104" i="32"/>
  <c r="V80" i="32"/>
  <c r="V40" i="32"/>
  <c r="V567" i="32"/>
  <c r="V527" i="32"/>
  <c r="V479" i="32"/>
  <c r="V447" i="32"/>
  <c r="V407" i="32"/>
  <c r="V383" i="32"/>
  <c r="V335" i="32"/>
  <c r="V295" i="32"/>
  <c r="V271" i="32"/>
  <c r="V231" i="32"/>
  <c r="V191" i="32"/>
  <c r="V167" i="32"/>
  <c r="V135" i="32"/>
  <c r="V87" i="32"/>
  <c r="V63" i="32"/>
  <c r="V23" i="32"/>
  <c r="S629" i="31"/>
  <c r="S626" i="31"/>
  <c r="S622" i="31"/>
  <c r="S611" i="31"/>
  <c r="S607" i="31"/>
  <c r="S603" i="31"/>
  <c r="S599" i="31"/>
  <c r="S595" i="31"/>
  <c r="S591" i="31"/>
  <c r="S587" i="31"/>
  <c r="S583" i="31"/>
  <c r="S579" i="31"/>
  <c r="S575" i="31"/>
  <c r="S571" i="31"/>
  <c r="S567" i="31"/>
  <c r="S563" i="31"/>
  <c r="S559" i="31"/>
  <c r="S555" i="31"/>
  <c r="S551" i="31"/>
  <c r="S547" i="31"/>
  <c r="S543" i="31"/>
  <c r="S539" i="31"/>
  <c r="S535" i="31"/>
  <c r="S531" i="31"/>
  <c r="S527" i="31"/>
  <c r="S523" i="31"/>
  <c r="S519" i="31"/>
  <c r="S515" i="31"/>
  <c r="S511" i="31"/>
  <c r="S507" i="31"/>
  <c r="S503" i="31"/>
  <c r="S499" i="31"/>
  <c r="S495" i="31"/>
  <c r="S491" i="31"/>
  <c r="S487" i="31"/>
  <c r="S483" i="31"/>
  <c r="S479" i="31"/>
  <c r="S475" i="31"/>
  <c r="S471" i="31"/>
  <c r="S467" i="31"/>
  <c r="S463" i="31"/>
  <c r="S459" i="31"/>
  <c r="S455" i="31"/>
  <c r="S451" i="31"/>
  <c r="S447" i="31"/>
  <c r="S443" i="31"/>
  <c r="S439" i="31"/>
  <c r="S435" i="31"/>
  <c r="S431" i="31"/>
  <c r="S427" i="31"/>
  <c r="S423" i="31"/>
  <c r="S419" i="31"/>
  <c r="S415" i="31"/>
  <c r="S411" i="31"/>
  <c r="S407" i="31"/>
  <c r="S403" i="31"/>
  <c r="S399" i="31"/>
  <c r="S395" i="31"/>
  <c r="S391" i="31"/>
  <c r="S387" i="31"/>
  <c r="S383" i="31"/>
  <c r="S379" i="31"/>
  <c r="S375" i="31"/>
  <c r="S371" i="31"/>
  <c r="S367" i="31"/>
  <c r="S363" i="31"/>
  <c r="S359" i="31"/>
  <c r="S355" i="31"/>
  <c r="S351" i="31"/>
  <c r="S347" i="31"/>
  <c r="S343" i="31"/>
  <c r="S339" i="31"/>
  <c r="S335" i="31"/>
  <c r="S331" i="31"/>
  <c r="S327" i="31"/>
  <c r="S323" i="31"/>
  <c r="S319" i="31"/>
  <c r="S315" i="31"/>
  <c r="S311" i="31"/>
  <c r="S307" i="31"/>
  <c r="S303" i="31"/>
  <c r="S299" i="31"/>
  <c r="S295" i="31"/>
  <c r="S291" i="31"/>
  <c r="S287" i="31"/>
  <c r="S283" i="31"/>
  <c r="S279" i="31"/>
  <c r="S275" i="31"/>
  <c r="S271" i="31"/>
  <c r="S267" i="31"/>
  <c r="S263" i="31"/>
  <c r="S259" i="31"/>
  <c r="S255" i="31"/>
  <c r="S251" i="31"/>
  <c r="S247" i="31"/>
  <c r="S243" i="31"/>
  <c r="S239" i="31"/>
  <c r="S235" i="31"/>
  <c r="S231" i="31"/>
  <c r="S227" i="31"/>
  <c r="S223" i="31"/>
  <c r="S219" i="31"/>
  <c r="S215" i="31"/>
  <c r="S211" i="31"/>
  <c r="S207" i="31"/>
  <c r="S203" i="31"/>
  <c r="S199" i="31"/>
  <c r="S195" i="31"/>
  <c r="S191" i="31"/>
  <c r="S187" i="31"/>
  <c r="S183" i="31"/>
  <c r="S179" i="31"/>
  <c r="S175" i="31"/>
  <c r="S171" i="31"/>
  <c r="S167" i="31"/>
  <c r="S163" i="31"/>
  <c r="S159" i="31"/>
  <c r="S155" i="31"/>
  <c r="S151" i="31"/>
  <c r="S147" i="31"/>
  <c r="S143" i="31"/>
  <c r="S139" i="31"/>
  <c r="S135" i="31"/>
  <c r="S131" i="31"/>
  <c r="S127" i="31"/>
  <c r="S123" i="31"/>
  <c r="S119" i="31"/>
  <c r="S115" i="31"/>
  <c r="S111" i="31"/>
  <c r="S107" i="31"/>
  <c r="S103" i="31"/>
  <c r="S99" i="31"/>
  <c r="S71" i="31"/>
  <c r="S67" i="31"/>
  <c r="S63" i="31"/>
  <c r="S59" i="31"/>
  <c r="S55" i="31"/>
  <c r="S51" i="31"/>
  <c r="S47" i="31"/>
  <c r="S43" i="31"/>
  <c r="S39" i="31"/>
  <c r="S35" i="31"/>
  <c r="S31" i="31"/>
  <c r="S27" i="31"/>
  <c r="S23" i="31"/>
  <c r="S19" i="31"/>
  <c r="S16" i="31"/>
  <c r="S278" i="31"/>
  <c r="S246" i="31"/>
  <c r="S242" i="31"/>
  <c r="S234" i="31"/>
  <c r="S230" i="31"/>
  <c r="S222" i="31"/>
  <c r="S218" i="31"/>
  <c r="S210" i="31"/>
  <c r="S206" i="31"/>
  <c r="S202" i="31"/>
  <c r="S194" i="31"/>
  <c r="S190" i="31"/>
  <c r="S182" i="31"/>
  <c r="S178" i="31"/>
  <c r="S170" i="31"/>
  <c r="S166" i="31"/>
  <c r="S625" i="31"/>
  <c r="S617" i="31"/>
  <c r="S610" i="31"/>
  <c r="S606" i="31"/>
  <c r="S602" i="31"/>
  <c r="S598" i="31"/>
  <c r="S594" i="31"/>
  <c r="S590" i="31"/>
  <c r="S586" i="31"/>
  <c r="S582" i="31"/>
  <c r="S578" i="31"/>
  <c r="S574" i="31"/>
  <c r="S570" i="31"/>
  <c r="S566" i="31"/>
  <c r="S562" i="31"/>
  <c r="S558" i="31"/>
  <c r="S554" i="31"/>
  <c r="S550" i="31"/>
  <c r="S546" i="31"/>
  <c r="S542" i="31"/>
  <c r="S538" i="31"/>
  <c r="S534" i="31"/>
  <c r="S530" i="31"/>
  <c r="S526" i="31"/>
  <c r="S522" i="31"/>
  <c r="S518" i="31"/>
  <c r="S514" i="31"/>
  <c r="S510" i="31"/>
  <c r="S506" i="31"/>
  <c r="S502" i="31"/>
  <c r="S498" i="31"/>
  <c r="S494" i="31"/>
  <c r="S490" i="31"/>
  <c r="S486" i="31"/>
  <c r="S482" i="31"/>
  <c r="S478" i="31"/>
  <c r="S474" i="31"/>
  <c r="S470" i="31"/>
  <c r="S466" i="31"/>
  <c r="S462" i="31"/>
  <c r="S458" i="31"/>
  <c r="S454" i="31"/>
  <c r="S450" i="31"/>
  <c r="S446" i="31"/>
  <c r="S442" i="31"/>
  <c r="S438" i="31"/>
  <c r="S434" i="31"/>
  <c r="S430" i="31"/>
  <c r="S426" i="31"/>
  <c r="S422" i="31"/>
  <c r="S418" i="31"/>
  <c r="S414" i="31"/>
  <c r="S410" i="31"/>
  <c r="S406" i="31"/>
  <c r="S402" i="31"/>
  <c r="S398" i="31"/>
  <c r="S394" i="31"/>
  <c r="S390" i="31"/>
  <c r="S386" i="31"/>
  <c r="S382" i="31"/>
  <c r="S378" i="31"/>
  <c r="S374" i="31"/>
  <c r="S370" i="31"/>
  <c r="S366" i="31"/>
  <c r="S362" i="31"/>
  <c r="S358" i="31"/>
  <c r="S354" i="31"/>
  <c r="S350" i="31"/>
  <c r="S346" i="31"/>
  <c r="S342" i="31"/>
  <c r="S338" i="31"/>
  <c r="S334" i="31"/>
  <c r="S330" i="31"/>
  <c r="S326" i="31"/>
  <c r="S322" i="31"/>
  <c r="S318" i="31"/>
  <c r="S314" i="31"/>
  <c r="S310" i="31"/>
  <c r="S306" i="31"/>
  <c r="S302" i="31"/>
  <c r="S298" i="31"/>
  <c r="S294" i="31"/>
  <c r="S290" i="31"/>
  <c r="S286" i="31"/>
  <c r="S282" i="31"/>
  <c r="S274" i="31"/>
  <c r="S270" i="31"/>
  <c r="S266" i="31"/>
  <c r="S262" i="31"/>
  <c r="S258" i="31"/>
  <c r="S254" i="31"/>
  <c r="S250" i="31"/>
  <c r="S238" i="31"/>
  <c r="S226" i="31"/>
  <c r="S214" i="31"/>
  <c r="S198" i="31"/>
  <c r="S186" i="31"/>
  <c r="S174" i="31"/>
  <c r="S628" i="31"/>
  <c r="S70" i="31"/>
  <c r="S66" i="31"/>
  <c r="S62" i="31"/>
  <c r="S58" i="31"/>
  <c r="S54" i="31"/>
  <c r="S50" i="31"/>
  <c r="S46" i="31"/>
  <c r="S42" i="31"/>
  <c r="S38" i="31"/>
  <c r="S34" i="31"/>
  <c r="S30" i="31"/>
  <c r="S26" i="31"/>
  <c r="S22" i="31"/>
  <c r="S18" i="31"/>
  <c r="S15" i="31"/>
  <c r="S169" i="31"/>
  <c r="S145" i="31"/>
  <c r="S137" i="31"/>
  <c r="S129" i="31"/>
  <c r="S121" i="31"/>
  <c r="S117" i="31"/>
  <c r="S109" i="31"/>
  <c r="S101" i="31"/>
  <c r="S93" i="31"/>
  <c r="S89" i="31"/>
  <c r="S81" i="31"/>
  <c r="S73" i="31"/>
  <c r="S624" i="31"/>
  <c r="S613" i="31"/>
  <c r="S609" i="31"/>
  <c r="S605" i="31"/>
  <c r="S601" i="31"/>
  <c r="S597" i="31"/>
  <c r="S593" i="31"/>
  <c r="S589" i="31"/>
  <c r="S585" i="31"/>
  <c r="S581" i="31"/>
  <c r="S577" i="31"/>
  <c r="S573" i="31"/>
  <c r="S569" i="31"/>
  <c r="S565" i="31"/>
  <c r="S561" i="31"/>
  <c r="S557" i="31"/>
  <c r="S553" i="31"/>
  <c r="S549" i="31"/>
  <c r="S545" i="31"/>
  <c r="S541" i="31"/>
  <c r="S537" i="31"/>
  <c r="S533" i="31"/>
  <c r="S529" i="31"/>
  <c r="S525" i="31"/>
  <c r="S521" i="31"/>
  <c r="S517" i="31"/>
  <c r="S513" i="31"/>
  <c r="S509" i="31"/>
  <c r="S505" i="31"/>
  <c r="S501" i="31"/>
  <c r="S497" i="31"/>
  <c r="S493" i="31"/>
  <c r="S489" i="31"/>
  <c r="S485" i="31"/>
  <c r="S481" i="31"/>
  <c r="S477" i="31"/>
  <c r="S473" i="31"/>
  <c r="S469" i="31"/>
  <c r="S465" i="31"/>
  <c r="S461" i="31"/>
  <c r="S457" i="31"/>
  <c r="S453" i="31"/>
  <c r="S449" i="31"/>
  <c r="S445" i="31"/>
  <c r="S441" i="31"/>
  <c r="S437" i="31"/>
  <c r="S433" i="31"/>
  <c r="S429" i="31"/>
  <c r="S425" i="31"/>
  <c r="S421" i="31"/>
  <c r="S417" i="31"/>
  <c r="S413" i="31"/>
  <c r="S409" i="31"/>
  <c r="S405" i="31"/>
  <c r="S401" i="31"/>
  <c r="S397" i="31"/>
  <c r="S393" i="31"/>
  <c r="S389" i="31"/>
  <c r="S385" i="31"/>
  <c r="S381" i="31"/>
  <c r="S377" i="31"/>
  <c r="S373" i="31"/>
  <c r="S369" i="31"/>
  <c r="S365" i="31"/>
  <c r="S361" i="31"/>
  <c r="S357" i="31"/>
  <c r="S353" i="31"/>
  <c r="S349" i="31"/>
  <c r="S345" i="31"/>
  <c r="S341" i="31"/>
  <c r="S337" i="31"/>
  <c r="S333" i="31"/>
  <c r="S329" i="31"/>
  <c r="S325" i="31"/>
  <c r="S321" i="31"/>
  <c r="S317" i="31"/>
  <c r="S313" i="31"/>
  <c r="S309" i="31"/>
  <c r="S305" i="31"/>
  <c r="S301" i="31"/>
  <c r="S297" i="31"/>
  <c r="S293" i="31"/>
  <c r="S289" i="31"/>
  <c r="S285" i="31"/>
  <c r="S281" i="31"/>
  <c r="S277" i="31"/>
  <c r="S273" i="31"/>
  <c r="S269" i="31"/>
  <c r="S265" i="31"/>
  <c r="S261" i="31"/>
  <c r="S257" i="31"/>
  <c r="S253" i="31"/>
  <c r="S249" i="31"/>
  <c r="S245" i="31"/>
  <c r="S241" i="31"/>
  <c r="S237" i="31"/>
  <c r="S233" i="31"/>
  <c r="S229" i="31"/>
  <c r="S225" i="31"/>
  <c r="S221" i="31"/>
  <c r="S217" i="31"/>
  <c r="S213" i="31"/>
  <c r="S209" i="31"/>
  <c r="S205" i="31"/>
  <c r="S201" i="31"/>
  <c r="S197" i="31"/>
  <c r="S193" i="31"/>
  <c r="S189" i="31"/>
  <c r="S185" i="31"/>
  <c r="S181" i="31"/>
  <c r="S177" i="31"/>
  <c r="S173" i="31"/>
  <c r="S165" i="31"/>
  <c r="S161" i="31"/>
  <c r="S157" i="31"/>
  <c r="S153" i="31"/>
  <c r="S149" i="31"/>
  <c r="S141" i="31"/>
  <c r="S133" i="31"/>
  <c r="S125" i="31"/>
  <c r="S113" i="31"/>
  <c r="S105" i="31"/>
  <c r="S97" i="31"/>
  <c r="S85" i="31"/>
  <c r="S77" i="31"/>
  <c r="S627" i="31"/>
  <c r="S69" i="31"/>
  <c r="S65" i="31"/>
  <c r="S61" i="31"/>
  <c r="S57" i="31"/>
  <c r="S53" i="31"/>
  <c r="S49" i="31"/>
  <c r="S45" i="31"/>
  <c r="S41" i="31"/>
  <c r="S37" i="31"/>
  <c r="S33" i="31"/>
  <c r="S29" i="31"/>
  <c r="S25" i="31"/>
  <c r="S21" i="31"/>
  <c r="S14" i="31"/>
  <c r="C6" i="31"/>
  <c r="S152" i="31"/>
  <c r="S142" i="31"/>
  <c r="S120" i="31"/>
  <c r="S110" i="31"/>
  <c r="S91" i="31"/>
  <c r="S83" i="31"/>
  <c r="S75" i="31"/>
  <c r="S48" i="31"/>
  <c r="S28" i="31"/>
  <c r="S88" i="31"/>
  <c r="S40" i="31"/>
  <c r="S188" i="31"/>
  <c r="S148" i="31"/>
  <c r="S106" i="31"/>
  <c r="S20" i="31"/>
  <c r="S440" i="31"/>
  <c r="S344" i="31"/>
  <c r="S264" i="31"/>
  <c r="S232" i="31"/>
  <c r="S168" i="31"/>
  <c r="S114" i="31"/>
  <c r="S86" i="31"/>
  <c r="S612" i="31"/>
  <c r="S516" i="31"/>
  <c r="S436" i="31"/>
  <c r="S356" i="31"/>
  <c r="S276" i="31"/>
  <c r="S212" i="31"/>
  <c r="S154" i="31"/>
  <c r="S36" i="31"/>
  <c r="S623" i="31"/>
  <c r="S608" i="31"/>
  <c r="S592" i="31"/>
  <c r="S576" i="31"/>
  <c r="S560" i="31"/>
  <c r="S544" i="31"/>
  <c r="S528" i="31"/>
  <c r="S512" i="31"/>
  <c r="S496" i="31"/>
  <c r="S480" i="31"/>
  <c r="S464" i="31"/>
  <c r="S448" i="31"/>
  <c r="S432" i="31"/>
  <c r="S416" i="31"/>
  <c r="S400" i="31"/>
  <c r="S384" i="31"/>
  <c r="S368" i="31"/>
  <c r="S352" i="31"/>
  <c r="S336" i="31"/>
  <c r="S320" i="31"/>
  <c r="S304" i="31"/>
  <c r="S288" i="31"/>
  <c r="S272" i="31"/>
  <c r="S256" i="31"/>
  <c r="S240" i="31"/>
  <c r="S224" i="31"/>
  <c r="S208" i="31"/>
  <c r="S192" i="31"/>
  <c r="S176" i="31"/>
  <c r="S162" i="31"/>
  <c r="S140" i="31"/>
  <c r="S130" i="31"/>
  <c r="S108" i="31"/>
  <c r="S98" i="31"/>
  <c r="S90" i="31"/>
  <c r="S82" i="31"/>
  <c r="S74" i="31"/>
  <c r="S60" i="31"/>
  <c r="S80" i="31"/>
  <c r="S116" i="31"/>
  <c r="S52" i="31"/>
  <c r="S600" i="31"/>
  <c r="S392" i="31"/>
  <c r="S328" i="31"/>
  <c r="S248" i="31"/>
  <c r="S184" i="31"/>
  <c r="S94" i="31"/>
  <c r="S564" i="31"/>
  <c r="S532" i="31"/>
  <c r="S452" i="31"/>
  <c r="S420" i="31"/>
  <c r="S324" i="31"/>
  <c r="S260" i="31"/>
  <c r="S196" i="31"/>
  <c r="S132" i="31"/>
  <c r="S17" i="31"/>
  <c r="S160" i="31"/>
  <c r="S150" i="31"/>
  <c r="S128" i="31"/>
  <c r="S118" i="31"/>
  <c r="S96" i="31"/>
  <c r="S72" i="31"/>
  <c r="S568" i="31"/>
  <c r="S280" i="31"/>
  <c r="S156" i="31"/>
  <c r="S78" i="31"/>
  <c r="S13" i="31"/>
  <c r="S548" i="31"/>
  <c r="S340" i="31"/>
  <c r="S228" i="31"/>
  <c r="S122" i="31"/>
  <c r="S604" i="31"/>
  <c r="S588" i="31"/>
  <c r="S572" i="31"/>
  <c r="S556" i="31"/>
  <c r="S540" i="31"/>
  <c r="S524" i="31"/>
  <c r="S508" i="31"/>
  <c r="S492" i="31"/>
  <c r="S476" i="31"/>
  <c r="S460" i="31"/>
  <c r="S444" i="31"/>
  <c r="S428" i="31"/>
  <c r="S412" i="31"/>
  <c r="S396" i="31"/>
  <c r="S380" i="31"/>
  <c r="S364" i="31"/>
  <c r="S348" i="31"/>
  <c r="S332" i="31"/>
  <c r="S316" i="31"/>
  <c r="S300" i="31"/>
  <c r="S284" i="31"/>
  <c r="S268" i="31"/>
  <c r="S252" i="31"/>
  <c r="S236" i="31"/>
  <c r="S220" i="31"/>
  <c r="S204" i="31"/>
  <c r="S172" i="31"/>
  <c r="S138" i="31"/>
  <c r="S584" i="31"/>
  <c r="S520" i="31"/>
  <c r="S488" i="31"/>
  <c r="S456" i="31"/>
  <c r="S408" i="31"/>
  <c r="S360" i="31"/>
  <c r="S296" i="31"/>
  <c r="S200" i="31"/>
  <c r="S146" i="31"/>
  <c r="S44" i="31"/>
  <c r="S580" i="31"/>
  <c r="S484" i="31"/>
  <c r="S404" i="31"/>
  <c r="S308" i="31"/>
  <c r="S180" i="31"/>
  <c r="S68" i="31"/>
  <c r="S158" i="31"/>
  <c r="S136" i="31"/>
  <c r="S126" i="31"/>
  <c r="S104" i="31"/>
  <c r="S95" i="31"/>
  <c r="S87" i="31"/>
  <c r="S79" i="31"/>
  <c r="S64" i="31"/>
  <c r="S32" i="31"/>
  <c r="S552" i="31"/>
  <c r="S536" i="31"/>
  <c r="S504" i="31"/>
  <c r="S472" i="31"/>
  <c r="S424" i="31"/>
  <c r="S376" i="31"/>
  <c r="S312" i="31"/>
  <c r="S216" i="31"/>
  <c r="S124" i="31"/>
  <c r="S596" i="31"/>
  <c r="S468" i="31"/>
  <c r="S388" i="31"/>
  <c r="S292" i="31"/>
  <c r="S164" i="31"/>
  <c r="S100" i="31"/>
  <c r="S144" i="31"/>
  <c r="S134" i="31"/>
  <c r="S112" i="31"/>
  <c r="S102" i="31"/>
  <c r="S92" i="31"/>
  <c r="S84" i="31"/>
  <c r="S76" i="31"/>
  <c r="S56" i="31"/>
  <c r="S24" i="31"/>
  <c r="S500" i="31"/>
  <c r="S372" i="31"/>
  <c r="S244" i="31"/>
  <c r="B479" i="2"/>
  <c r="A479" i="2"/>
  <c r="B177" i="2"/>
  <c r="B8" i="2"/>
  <c r="B9" i="2"/>
  <c r="AA30" i="30" l="1"/>
  <c r="AG25" i="30"/>
  <c r="B3" i="32"/>
  <c r="B5" i="30"/>
  <c r="I80" i="27"/>
  <c r="I4" i="27"/>
  <c r="I54" i="27"/>
  <c r="Y81" i="27" s="1"/>
  <c r="N96" i="1"/>
  <c r="N61" i="1"/>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0"/>
  <c r="B24" i="21"/>
  <c r="B11" i="20"/>
  <c r="B486" i="2"/>
  <c r="A500" i="2"/>
  <c r="B344" i="2"/>
  <c r="B339" i="2"/>
  <c r="B525" i="2"/>
  <c r="B500" i="2"/>
  <c r="B522" i="2"/>
  <c r="H3" i="32" l="1"/>
  <c r="F3" i="31"/>
  <c r="Z81" i="27"/>
  <c r="AE81" i="27"/>
  <c r="U81" i="27"/>
  <c r="AD81" i="27"/>
  <c r="T81" i="27"/>
  <c r="B515" i="2"/>
  <c r="CD17" i="21"/>
  <c r="B16" i="21"/>
  <c r="CD16" i="21"/>
  <c r="CD15" i="21"/>
  <c r="CD14" i="21"/>
  <c r="CD13" i="21"/>
  <c r="CD12" i="21"/>
  <c r="CD11" i="21"/>
  <c r="CD9" i="21"/>
  <c r="CD17" i="20"/>
  <c r="CD16" i="20"/>
  <c r="B16" i="20"/>
  <c r="CD14" i="20"/>
  <c r="CD12" i="20"/>
  <c r="CD9" i="20"/>
  <c r="CD15" i="20"/>
  <c r="CD13" i="20"/>
  <c r="CD11" i="20"/>
  <c r="Q21" i="8"/>
  <c r="A515" i="2"/>
  <c r="Q6" i="8"/>
  <c r="CN17" i="21" l="1"/>
  <c r="CL17" i="21"/>
  <c r="CJ17" i="21"/>
  <c r="CH17" i="21"/>
  <c r="CF17" i="21"/>
  <c r="CM17" i="21"/>
  <c r="CK17" i="21"/>
  <c r="CI17" i="21"/>
  <c r="CG17" i="21"/>
  <c r="CE17" i="21"/>
  <c r="CM9" i="21"/>
  <c r="CK9" i="21"/>
  <c r="CI9" i="21"/>
  <c r="CG9" i="21"/>
  <c r="CE9" i="21"/>
  <c r="CN9" i="21"/>
  <c r="CL9" i="21"/>
  <c r="CJ9" i="21"/>
  <c r="CH9" i="21"/>
  <c r="CF9" i="21"/>
  <c r="CM11" i="21"/>
  <c r="CK11" i="21"/>
  <c r="CI11" i="21"/>
  <c r="CG11" i="21"/>
  <c r="CE11" i="21"/>
  <c r="CN11" i="21"/>
  <c r="CL11" i="21"/>
  <c r="CJ11" i="21"/>
  <c r="CH11" i="21"/>
  <c r="CF11" i="21"/>
  <c r="CM12" i="21"/>
  <c r="CK12" i="21"/>
  <c r="CI12" i="21"/>
  <c r="CG12" i="21"/>
  <c r="CE12" i="21"/>
  <c r="CN12" i="21"/>
  <c r="CL12" i="21"/>
  <c r="CJ12" i="21"/>
  <c r="CH12" i="21"/>
  <c r="CF12" i="21"/>
  <c r="CM13" i="21"/>
  <c r="CK13" i="21"/>
  <c r="CI13" i="21"/>
  <c r="CG13" i="21"/>
  <c r="CE13" i="21"/>
  <c r="CN13" i="21"/>
  <c r="CL13" i="21"/>
  <c r="CJ13" i="21"/>
  <c r="CH13" i="21"/>
  <c r="CF13" i="21"/>
  <c r="CM14" i="21"/>
  <c r="CK14" i="21"/>
  <c r="CI14" i="21"/>
  <c r="CG14" i="21"/>
  <c r="CE14" i="21"/>
  <c r="CN14" i="21"/>
  <c r="CL14" i="21"/>
  <c r="CJ14" i="21"/>
  <c r="CH14" i="21"/>
  <c r="CF14" i="21"/>
  <c r="CM15" i="21"/>
  <c r="CK15" i="21"/>
  <c r="CI15" i="21"/>
  <c r="CG15" i="21"/>
  <c r="CE15" i="21"/>
  <c r="CN15" i="21"/>
  <c r="CL15" i="21"/>
  <c r="CJ15" i="21"/>
  <c r="CH15" i="21"/>
  <c r="CF15" i="21"/>
  <c r="CM16" i="21"/>
  <c r="CK16" i="21"/>
  <c r="CI16" i="21"/>
  <c r="CG16" i="21"/>
  <c r="CE16" i="21"/>
  <c r="CN16" i="21"/>
  <c r="CL16" i="21"/>
  <c r="CJ16" i="21"/>
  <c r="CH16" i="21"/>
  <c r="CF16" i="21"/>
  <c r="CM9" i="20"/>
  <c r="CK9" i="20"/>
  <c r="CI9" i="20"/>
  <c r="CG9" i="20"/>
  <c r="CE9" i="20"/>
  <c r="CN9" i="20"/>
  <c r="CL9" i="20"/>
  <c r="CJ9" i="20"/>
  <c r="CH9" i="20"/>
  <c r="CF9" i="20"/>
  <c r="CN12" i="20"/>
  <c r="CL12" i="20"/>
  <c r="CJ12" i="20"/>
  <c r="CH12" i="20"/>
  <c r="CF12" i="20"/>
  <c r="CM12" i="20"/>
  <c r="CK12" i="20"/>
  <c r="CI12" i="20"/>
  <c r="CG12" i="20"/>
  <c r="CE12" i="20"/>
  <c r="CN14" i="20"/>
  <c r="CL14" i="20"/>
  <c r="CJ14" i="20"/>
  <c r="CH14" i="20"/>
  <c r="CF14" i="20"/>
  <c r="CM14" i="20"/>
  <c r="CK14" i="20"/>
  <c r="CI14" i="20"/>
  <c r="CG14" i="20"/>
  <c r="CE14" i="20"/>
  <c r="CM11" i="20"/>
  <c r="CK11" i="20"/>
  <c r="CI11" i="20"/>
  <c r="CG11" i="20"/>
  <c r="CE11" i="20"/>
  <c r="CN11" i="20"/>
  <c r="CL11" i="20"/>
  <c r="CJ11" i="20"/>
  <c r="CH11" i="20"/>
  <c r="CF11" i="20"/>
  <c r="CM13" i="20"/>
  <c r="CK13" i="20"/>
  <c r="CI13" i="20"/>
  <c r="CG13" i="20"/>
  <c r="CE13" i="20"/>
  <c r="CN13" i="20"/>
  <c r="CL13" i="20"/>
  <c r="CJ13" i="20"/>
  <c r="CH13" i="20"/>
  <c r="CF13" i="20"/>
  <c r="CM15" i="20"/>
  <c r="CK15" i="20"/>
  <c r="CI15" i="20"/>
  <c r="CG15" i="20"/>
  <c r="CE15" i="20"/>
  <c r="CN15" i="20"/>
  <c r="CL15" i="20"/>
  <c r="CJ15" i="20"/>
  <c r="CH15" i="20"/>
  <c r="CF15" i="20"/>
  <c r="CN16" i="20"/>
  <c r="CL16" i="20"/>
  <c r="CJ16" i="20"/>
  <c r="CH16" i="20"/>
  <c r="CF16" i="20"/>
  <c r="CM16" i="20"/>
  <c r="CK16" i="20"/>
  <c r="CI16" i="20"/>
  <c r="CG16" i="20"/>
  <c r="CE16" i="20"/>
  <c r="CN17" i="20"/>
  <c r="CL17" i="20"/>
  <c r="CJ17" i="20"/>
  <c r="CH17" i="20"/>
  <c r="CF17" i="20"/>
  <c r="CM17" i="20"/>
  <c r="CI17" i="20"/>
  <c r="CE17" i="20"/>
  <c r="CK17" i="20"/>
  <c r="CG17" i="20"/>
  <c r="B22" i="2"/>
  <c r="N414" i="2" s="1"/>
  <c r="B412" i="2" l="1"/>
  <c r="K613" i="32"/>
  <c r="K605" i="32"/>
  <c r="K597" i="32"/>
  <c r="K589" i="32"/>
  <c r="K581" i="32"/>
  <c r="K573" i="32"/>
  <c r="K565" i="32"/>
  <c r="K557" i="32"/>
  <c r="K549" i="32"/>
  <c r="K541" i="32"/>
  <c r="K533" i="32"/>
  <c r="K525" i="32"/>
  <c r="K517" i="32"/>
  <c r="K509" i="32"/>
  <c r="K501" i="32"/>
  <c r="K493" i="32"/>
  <c r="K485" i="32"/>
  <c r="K477" i="32"/>
  <c r="K469" i="32"/>
  <c r="K461" i="32"/>
  <c r="K453" i="32"/>
  <c r="K445" i="32"/>
  <c r="K437" i="32"/>
  <c r="K429" i="32"/>
  <c r="K421" i="32"/>
  <c r="K413" i="32"/>
  <c r="K405" i="32"/>
  <c r="K397" i="32"/>
  <c r="K389" i="32"/>
  <c r="K381" i="32"/>
  <c r="K373" i="32"/>
  <c r="K365" i="32"/>
  <c r="K357" i="32"/>
  <c r="K349" i="32"/>
  <c r="K341" i="32"/>
  <c r="K333" i="32"/>
  <c r="K325" i="32"/>
  <c r="K317" i="32"/>
  <c r="K309" i="32"/>
  <c r="K301" i="32"/>
  <c r="K293" i="32"/>
  <c r="K285" i="32"/>
  <c r="K277" i="32"/>
  <c r="K269" i="32"/>
  <c r="K261" i="32"/>
  <c r="K253" i="32"/>
  <c r="K245" i="32"/>
  <c r="K237" i="32"/>
  <c r="K229" i="32"/>
  <c r="K221" i="32"/>
  <c r="K213" i="32"/>
  <c r="K205" i="32"/>
  <c r="K197" i="32"/>
  <c r="K189" i="32"/>
  <c r="K181" i="32"/>
  <c r="K173" i="32"/>
  <c r="K165" i="32"/>
  <c r="K157" i="32"/>
  <c r="K149" i="32"/>
  <c r="K141" i="32"/>
  <c r="K133" i="32"/>
  <c r="K125" i="32"/>
  <c r="K117" i="32"/>
  <c r="K109" i="32"/>
  <c r="K101" i="32"/>
  <c r="K93" i="32"/>
  <c r="K85" i="32"/>
  <c r="K77" i="32"/>
  <c r="K612" i="32"/>
  <c r="K604" i="32"/>
  <c r="K596" i="32"/>
  <c r="K588" i="32"/>
  <c r="K580" i="32"/>
  <c r="K572" i="32"/>
  <c r="K564" i="32"/>
  <c r="K556" i="32"/>
  <c r="K548" i="32"/>
  <c r="K540" i="32"/>
  <c r="K532" i="32"/>
  <c r="K524" i="32"/>
  <c r="K516" i="32"/>
  <c r="K508" i="32"/>
  <c r="K500" i="32"/>
  <c r="K492" i="32"/>
  <c r="K484" i="32"/>
  <c r="K476" i="32"/>
  <c r="K468" i="32"/>
  <c r="K460" i="32"/>
  <c r="K452" i="32"/>
  <c r="K444" i="32"/>
  <c r="K436" i="32"/>
  <c r="K428" i="32"/>
  <c r="K420" i="32"/>
  <c r="K412" i="32"/>
  <c r="K404" i="32"/>
  <c r="K396" i="32"/>
  <c r="K388" i="32"/>
  <c r="K380" i="32"/>
  <c r="K372" i="32"/>
  <c r="K364" i="32"/>
  <c r="K356" i="32"/>
  <c r="K348" i="32"/>
  <c r="K340" i="32"/>
  <c r="K332" i="32"/>
  <c r="K324" i="32"/>
  <c r="K316" i="32"/>
  <c r="K308" i="32"/>
  <c r="K300" i="32"/>
  <c r="K292" i="32"/>
  <c r="K284" i="32"/>
  <c r="K276" i="32"/>
  <c r="K268" i="32"/>
  <c r="K260" i="32"/>
  <c r="K252" i="32"/>
  <c r="K244" i="32"/>
  <c r="K236" i="32"/>
  <c r="K228" i="32"/>
  <c r="K220" i="32"/>
  <c r="K212" i="32"/>
  <c r="K204" i="32"/>
  <c r="K196" i="32"/>
  <c r="K188" i="32"/>
  <c r="K180" i="32"/>
  <c r="K172" i="32"/>
  <c r="K164" i="32"/>
  <c r="K156" i="32"/>
  <c r="K148" i="32"/>
  <c r="K140" i="32"/>
  <c r="K132" i="32"/>
  <c r="K124" i="32"/>
  <c r="K116" i="32"/>
  <c r="K108" i="32"/>
  <c r="K100" i="32"/>
  <c r="K92" i="32"/>
  <c r="K84" i="32"/>
  <c r="K611" i="32"/>
  <c r="K603" i="32"/>
  <c r="K595" i="32"/>
  <c r="K587" i="32"/>
  <c r="K579" i="32"/>
  <c r="K571" i="32"/>
  <c r="K563" i="32"/>
  <c r="K555" i="32"/>
  <c r="K547" i="32"/>
  <c r="K539" i="32"/>
  <c r="K531" i="32"/>
  <c r="K523" i="32"/>
  <c r="K515" i="32"/>
  <c r="K507" i="32"/>
  <c r="K499" i="32"/>
  <c r="K491" i="32"/>
  <c r="K483" i="32"/>
  <c r="K475" i="32"/>
  <c r="K467" i="32"/>
  <c r="K459" i="32"/>
  <c r="K451" i="32"/>
  <c r="K443" i="32"/>
  <c r="K435" i="32"/>
  <c r="K427" i="32"/>
  <c r="K419" i="32"/>
  <c r="K411" i="32"/>
  <c r="K403" i="32"/>
  <c r="K395" i="32"/>
  <c r="K387" i="32"/>
  <c r="K379" i="32"/>
  <c r="K371" i="32"/>
  <c r="K363" i="32"/>
  <c r="K355" i="32"/>
  <c r="K347" i="32"/>
  <c r="K339" i="32"/>
  <c r="K331" i="32"/>
  <c r="K323" i="32"/>
  <c r="K315" i="32"/>
  <c r="K307" i="32"/>
  <c r="K299" i="32"/>
  <c r="K291" i="32"/>
  <c r="K283" i="32"/>
  <c r="K275" i="32"/>
  <c r="K267" i="32"/>
  <c r="K259" i="32"/>
  <c r="K251" i="32"/>
  <c r="K243" i="32"/>
  <c r="K235" i="32"/>
  <c r="K227" i="32"/>
  <c r="K219" i="32"/>
  <c r="K211" i="32"/>
  <c r="K203" i="32"/>
  <c r="K195" i="32"/>
  <c r="K187" i="32"/>
  <c r="K179" i="32"/>
  <c r="K171" i="32"/>
  <c r="K163" i="32"/>
  <c r="K155" i="32"/>
  <c r="K147" i="32"/>
  <c r="K139" i="32"/>
  <c r="K131" i="32"/>
  <c r="K123" i="32"/>
  <c r="K115" i="32"/>
  <c r="K107" i="32"/>
  <c r="K99" i="32"/>
  <c r="K91" i="32"/>
  <c r="K83" i="32"/>
  <c r="K75" i="32"/>
  <c r="K67" i="32"/>
  <c r="K59" i="32"/>
  <c r="K51" i="32"/>
  <c r="K43" i="32"/>
  <c r="K35" i="32"/>
  <c r="K27" i="32"/>
  <c r="K19" i="32"/>
  <c r="K130" i="32"/>
  <c r="K114" i="32"/>
  <c r="K98" i="32"/>
  <c r="K90" i="32"/>
  <c r="K74" i="32"/>
  <c r="K66" i="32"/>
  <c r="K50" i="32"/>
  <c r="K42" i="32"/>
  <c r="K26" i="32"/>
  <c r="K610" i="32"/>
  <c r="K602" i="32"/>
  <c r="K594" i="32"/>
  <c r="K586" i="32"/>
  <c r="K578" i="32"/>
  <c r="K570" i="32"/>
  <c r="K562" i="32"/>
  <c r="K554" i="32"/>
  <c r="K546" i="32"/>
  <c r="K538" i="32"/>
  <c r="K530" i="32"/>
  <c r="K522" i="32"/>
  <c r="K514" i="32"/>
  <c r="K506" i="32"/>
  <c r="K498" i="32"/>
  <c r="K490" i="32"/>
  <c r="K482" i="32"/>
  <c r="K474" i="32"/>
  <c r="K466" i="32"/>
  <c r="K458" i="32"/>
  <c r="K450" i="32"/>
  <c r="K442" i="32"/>
  <c r="K434" i="32"/>
  <c r="K426" i="32"/>
  <c r="K418" i="32"/>
  <c r="K410" i="32"/>
  <c r="K402" i="32"/>
  <c r="K394" i="32"/>
  <c r="K386" i="32"/>
  <c r="K378" i="32"/>
  <c r="K370" i="32"/>
  <c r="K362" i="32"/>
  <c r="K354" i="32"/>
  <c r="K346" i="32"/>
  <c r="K338" i="32"/>
  <c r="K330" i="32"/>
  <c r="K322" i="32"/>
  <c r="K314" i="32"/>
  <c r="K306" i="32"/>
  <c r="K298" i="32"/>
  <c r="K290" i="32"/>
  <c r="K282" i="32"/>
  <c r="K274" i="32"/>
  <c r="K266" i="32"/>
  <c r="K258" i="32"/>
  <c r="K250" i="32"/>
  <c r="K242" i="32"/>
  <c r="K234" i="32"/>
  <c r="K226" i="32"/>
  <c r="K218" i="32"/>
  <c r="K210" i="32"/>
  <c r="K202" i="32"/>
  <c r="K194" i="32"/>
  <c r="K186" i="32"/>
  <c r="K178" i="32"/>
  <c r="K170" i="32"/>
  <c r="K162" i="32"/>
  <c r="K154" i="32"/>
  <c r="K146" i="32"/>
  <c r="K138" i="32"/>
  <c r="K122" i="32"/>
  <c r="K106" i="32"/>
  <c r="K82" i="32"/>
  <c r="K58" i="32"/>
  <c r="K34" i="32"/>
  <c r="K609" i="32"/>
  <c r="K601" i="32"/>
  <c r="K593" i="32"/>
  <c r="K585" i="32"/>
  <c r="K577" i="32"/>
  <c r="K569" i="32"/>
  <c r="K561" i="32"/>
  <c r="K553" i="32"/>
  <c r="K545" i="32"/>
  <c r="K537" i="32"/>
  <c r="K529" i="32"/>
  <c r="K521" i="32"/>
  <c r="K513" i="32"/>
  <c r="K505" i="32"/>
  <c r="K497" i="32"/>
  <c r="K489" i="32"/>
  <c r="K481" i="32"/>
  <c r="K473" i="32"/>
  <c r="K465" i="32"/>
  <c r="K457" i="32"/>
  <c r="K449" i="32"/>
  <c r="K441" i="32"/>
  <c r="K433" i="32"/>
  <c r="K425" i="32"/>
  <c r="K417" i="32"/>
  <c r="K409" i="32"/>
  <c r="K401" i="32"/>
  <c r="K393" i="32"/>
  <c r="K385" i="32"/>
  <c r="K377" i="32"/>
  <c r="K369" i="32"/>
  <c r="K361" i="32"/>
  <c r="K353" i="32"/>
  <c r="K345" i="32"/>
  <c r="K337" i="32"/>
  <c r="K329" i="32"/>
  <c r="K321" i="32"/>
  <c r="K313" i="32"/>
  <c r="K305" i="32"/>
  <c r="K297" i="32"/>
  <c r="K289" i="32"/>
  <c r="K281" i="32"/>
  <c r="K273" i="32"/>
  <c r="K265" i="32"/>
  <c r="K257" i="32"/>
  <c r="K249" i="32"/>
  <c r="K241" i="32"/>
  <c r="K233" i="32"/>
  <c r="K225" i="32"/>
  <c r="K217" i="32"/>
  <c r="K209" i="32"/>
  <c r="K201" i="32"/>
  <c r="K193" i="32"/>
  <c r="K185" i="32"/>
  <c r="K177" i="32"/>
  <c r="K169" i="32"/>
  <c r="K161" i="32"/>
  <c r="K153" i="32"/>
  <c r="K145" i="32"/>
  <c r="K137" i="32"/>
  <c r="K129" i="32"/>
  <c r="K121" i="32"/>
  <c r="K113" i="32"/>
  <c r="K105" i="32"/>
  <c r="K97" i="32"/>
  <c r="K89" i="32"/>
  <c r="K81" i="32"/>
  <c r="K607" i="32"/>
  <c r="K599" i="32"/>
  <c r="K591" i="32"/>
  <c r="K583" i="32"/>
  <c r="K575" i="32"/>
  <c r="K567" i="32"/>
  <c r="K559" i="32"/>
  <c r="K551" i="32"/>
  <c r="K543" i="32"/>
  <c r="K535" i="32"/>
  <c r="K527" i="32"/>
  <c r="K519" i="32"/>
  <c r="K511" i="32"/>
  <c r="K503" i="32"/>
  <c r="K495" i="32"/>
  <c r="K487" i="32"/>
  <c r="K479" i="32"/>
  <c r="K471" i="32"/>
  <c r="K463" i="32"/>
  <c r="K455" i="32"/>
  <c r="K447" i="32"/>
  <c r="K439" i="32"/>
  <c r="K431" i="32"/>
  <c r="K423" i="32"/>
  <c r="K415" i="32"/>
  <c r="K407" i="32"/>
  <c r="K399" i="32"/>
  <c r="K391" i="32"/>
  <c r="K383" i="32"/>
  <c r="K375" i="32"/>
  <c r="K367" i="32"/>
  <c r="K359" i="32"/>
  <c r="K351" i="32"/>
  <c r="K343" i="32"/>
  <c r="K335" i="32"/>
  <c r="K327" i="32"/>
  <c r="K319" i="32"/>
  <c r="K311" i="32"/>
  <c r="K303" i="32"/>
  <c r="K295" i="32"/>
  <c r="K287" i="32"/>
  <c r="K279" i="32"/>
  <c r="K271" i="32"/>
  <c r="K263" i="32"/>
  <c r="K255" i="32"/>
  <c r="K247" i="32"/>
  <c r="K239" i="32"/>
  <c r="K231" i="32"/>
  <c r="K223" i="32"/>
  <c r="K215" i="32"/>
  <c r="K207" i="32"/>
  <c r="K199" i="32"/>
  <c r="K191" i="32"/>
  <c r="K183" i="32"/>
  <c r="K175" i="32"/>
  <c r="K167" i="32"/>
  <c r="K159" i="32"/>
  <c r="K151" i="32"/>
  <c r="K143" i="32"/>
  <c r="K135" i="32"/>
  <c r="K127" i="32"/>
  <c r="K119" i="32"/>
  <c r="K111" i="32"/>
  <c r="K103" i="32"/>
  <c r="K95" i="32"/>
  <c r="K87" i="32"/>
  <c r="K79" i="32"/>
  <c r="K71" i="32"/>
  <c r="K63" i="32"/>
  <c r="K55" i="32"/>
  <c r="K47" i="32"/>
  <c r="K39" i="32"/>
  <c r="K31" i="32"/>
  <c r="K23" i="32"/>
  <c r="K15" i="32"/>
  <c r="K606" i="32"/>
  <c r="K598" i="32"/>
  <c r="K590" i="32"/>
  <c r="K582" i="32"/>
  <c r="K566" i="32"/>
  <c r="K534" i="32"/>
  <c r="K502" i="32"/>
  <c r="K470" i="32"/>
  <c r="K438" i="32"/>
  <c r="K406" i="32"/>
  <c r="K374" i="32"/>
  <c r="K342" i="32"/>
  <c r="K310" i="32"/>
  <c r="K278" i="32"/>
  <c r="K246" i="32"/>
  <c r="K214" i="32"/>
  <c r="K182" i="32"/>
  <c r="K150" i="32"/>
  <c r="K118" i="32"/>
  <c r="K86" i="32"/>
  <c r="K68" i="32"/>
  <c r="K54" i="32"/>
  <c r="K41" i="32"/>
  <c r="K29" i="32"/>
  <c r="K17" i="32"/>
  <c r="K416" i="32"/>
  <c r="K288" i="32"/>
  <c r="K96" i="32"/>
  <c r="K21" i="32"/>
  <c r="K152" i="32"/>
  <c r="K608" i="32"/>
  <c r="K560" i="32"/>
  <c r="K528" i="32"/>
  <c r="K496" i="32"/>
  <c r="K464" i="32"/>
  <c r="K432" i="32"/>
  <c r="K400" i="32"/>
  <c r="K368" i="32"/>
  <c r="K336" i="32"/>
  <c r="K304" i="32"/>
  <c r="K272" i="32"/>
  <c r="K240" i="32"/>
  <c r="K208" i="32"/>
  <c r="K176" i="32"/>
  <c r="K144" i="32"/>
  <c r="K112" i="32"/>
  <c r="K80" i="32"/>
  <c r="K65" i="32"/>
  <c r="K53" i="32"/>
  <c r="K40" i="32"/>
  <c r="K28" i="32"/>
  <c r="K16" i="32"/>
  <c r="K448" i="32"/>
  <c r="K256" i="32"/>
  <c r="K72" i="32"/>
  <c r="K280" i="32"/>
  <c r="K69" i="32"/>
  <c r="K600" i="32"/>
  <c r="K558" i="32"/>
  <c r="K526" i="32"/>
  <c r="K494" i="32"/>
  <c r="K462" i="32"/>
  <c r="K430" i="32"/>
  <c r="K398" i="32"/>
  <c r="K366" i="32"/>
  <c r="K334" i="32"/>
  <c r="K302" i="32"/>
  <c r="K270" i="32"/>
  <c r="K238" i="32"/>
  <c r="K206" i="32"/>
  <c r="K174" i="32"/>
  <c r="K142" i="32"/>
  <c r="K110" i="32"/>
  <c r="K78" i="32"/>
  <c r="K64" i="32"/>
  <c r="K52" i="32"/>
  <c r="K38" i="32"/>
  <c r="K25" i="32"/>
  <c r="K14" i="32"/>
  <c r="K37" i="32"/>
  <c r="K24" i="32"/>
  <c r="K36" i="32"/>
  <c r="K544" i="32"/>
  <c r="K480" i="32"/>
  <c r="K384" i="32"/>
  <c r="K224" i="32"/>
  <c r="K128" i="32"/>
  <c r="K60" i="32"/>
  <c r="K248" i="32"/>
  <c r="K88" i="32"/>
  <c r="K18" i="32"/>
  <c r="K592" i="32"/>
  <c r="K552" i="32"/>
  <c r="K520" i="32"/>
  <c r="K488" i="32"/>
  <c r="K456" i="32"/>
  <c r="K424" i="32"/>
  <c r="K392" i="32"/>
  <c r="K360" i="32"/>
  <c r="K328" i="32"/>
  <c r="K296" i="32"/>
  <c r="K264" i="32"/>
  <c r="K232" i="32"/>
  <c r="K200" i="32"/>
  <c r="K168" i="32"/>
  <c r="K136" i="32"/>
  <c r="K104" i="32"/>
  <c r="K76" i="32"/>
  <c r="K62" i="32"/>
  <c r="K49" i="32"/>
  <c r="K13" i="32"/>
  <c r="K576" i="32"/>
  <c r="K352" i="32"/>
  <c r="K192" i="32"/>
  <c r="K46" i="32"/>
  <c r="K216" i="32"/>
  <c r="K56" i="32"/>
  <c r="K584" i="32"/>
  <c r="K550" i="32"/>
  <c r="K518" i="32"/>
  <c r="K486" i="32"/>
  <c r="K454" i="32"/>
  <c r="K422" i="32"/>
  <c r="K390" i="32"/>
  <c r="K358" i="32"/>
  <c r="K326" i="32"/>
  <c r="K294" i="32"/>
  <c r="K262" i="32"/>
  <c r="K230" i="32"/>
  <c r="K198" i="32"/>
  <c r="K166" i="32"/>
  <c r="K134" i="32"/>
  <c r="K102" i="32"/>
  <c r="K73" i="32"/>
  <c r="K61" i="32"/>
  <c r="K48" i="32"/>
  <c r="K22" i="32"/>
  <c r="K512" i="32"/>
  <c r="K320" i="32"/>
  <c r="K160" i="32"/>
  <c r="K33" i="32"/>
  <c r="K184" i="32"/>
  <c r="K30" i="32"/>
  <c r="K574" i="32"/>
  <c r="K542" i="32"/>
  <c r="K510" i="32"/>
  <c r="K478" i="32"/>
  <c r="K446" i="32"/>
  <c r="K414" i="32"/>
  <c r="K382" i="32"/>
  <c r="K350" i="32"/>
  <c r="K318" i="32"/>
  <c r="K286" i="32"/>
  <c r="K254" i="32"/>
  <c r="K222" i="32"/>
  <c r="K190" i="32"/>
  <c r="K158" i="32"/>
  <c r="K126" i="32"/>
  <c r="K94" i="32"/>
  <c r="K70" i="32"/>
  <c r="K57" i="32"/>
  <c r="K45" i="32"/>
  <c r="K32" i="32"/>
  <c r="K20" i="32"/>
  <c r="K568" i="32"/>
  <c r="K536" i="32"/>
  <c r="K504" i="32"/>
  <c r="K472" i="32"/>
  <c r="K440" i="32"/>
  <c r="K408" i="32"/>
  <c r="K376" i="32"/>
  <c r="K344" i="32"/>
  <c r="K312" i="32"/>
  <c r="K120" i="32"/>
  <c r="K44" i="32"/>
  <c r="R3" i="32"/>
  <c r="O3" i="31"/>
  <c r="K624" i="32"/>
  <c r="K625" i="32"/>
  <c r="B26" i="2"/>
  <c r="N6" i="26"/>
  <c r="N9" i="26" s="1"/>
  <c r="K3" i="8" s="1"/>
  <c r="Q23" i="8" s="1"/>
  <c r="O68" i="2"/>
  <c r="B272" i="2"/>
  <c r="O66" i="2"/>
  <c r="O65" i="2"/>
  <c r="B70" i="2" s="1"/>
  <c r="B296" i="2"/>
  <c r="B13" i="21"/>
  <c r="B78" i="21"/>
  <c r="B23" i="2"/>
  <c r="B13" i="20"/>
  <c r="B78" i="20"/>
  <c r="B465" i="2"/>
  <c r="B360" i="2"/>
  <c r="B293" i="2"/>
  <c r="D62" i="16"/>
  <c r="B33" i="21" l="1"/>
  <c r="B33" i="20"/>
  <c r="B626" i="31"/>
  <c r="O5" i="31"/>
  <c r="E636" i="31"/>
  <c r="R5" i="32"/>
  <c r="G636" i="32"/>
  <c r="D626" i="32"/>
  <c r="I3" i="8"/>
  <c r="Q36" i="8"/>
  <c r="I63" i="16"/>
  <c r="I62" i="16"/>
  <c r="AM626" i="32" l="1"/>
  <c r="AJ626" i="32"/>
  <c r="K626" i="32"/>
  <c r="AP626" i="32"/>
  <c r="D63" i="16"/>
  <c r="C68" i="16"/>
  <c r="D68" i="16" s="1"/>
  <c r="D70" i="16"/>
  <c r="D74" i="16"/>
  <c r="C61" i="16"/>
  <c r="D59" i="16"/>
  <c r="D56" i="16"/>
  <c r="D55" i="16"/>
  <c r="D58" i="16"/>
  <c r="D53" i="16"/>
  <c r="D49" i="16"/>
  <c r="B502" i="2"/>
  <c r="B218" i="2"/>
  <c r="B220" i="2" s="1"/>
  <c r="B221" i="2" s="1"/>
  <c r="B228" i="2"/>
  <c r="AR626" i="32" l="1"/>
  <c r="AQ626" i="32"/>
  <c r="AL626" i="32"/>
  <c r="AK626" i="32"/>
  <c r="AO626" i="32"/>
  <c r="AN626" i="32"/>
  <c r="F76" i="1"/>
  <c r="B181" i="2" l="1"/>
  <c r="B365" i="2"/>
  <c r="B369" i="2" s="1"/>
  <c r="B12" i="2"/>
  <c r="B13" i="2"/>
  <c r="B7" i="30" s="1"/>
  <c r="B72" i="2"/>
  <c r="B10" i="30" s="1"/>
  <c r="B191" i="2"/>
  <c r="B451" i="2"/>
  <c r="B422" i="2"/>
  <c r="B42" i="21" s="1"/>
  <c r="B477" i="2"/>
  <c r="B484" i="2"/>
  <c r="B73" i="2"/>
  <c r="B10" i="32" s="1"/>
  <c r="B7" i="2"/>
  <c r="B197" i="2"/>
  <c r="B417" i="2"/>
  <c r="B37" i="21" s="1"/>
  <c r="B434" i="2"/>
  <c r="Q9" i="8"/>
  <c r="B447" i="2"/>
  <c r="B450" i="2"/>
  <c r="B58" i="21" s="1"/>
  <c r="B444" i="2"/>
  <c r="B419" i="2"/>
  <c r="B436" i="2"/>
  <c r="B445" i="2"/>
  <c r="B427" i="2"/>
  <c r="B420" i="2"/>
  <c r="B421" i="2"/>
  <c r="B41" i="21" s="1"/>
  <c r="B424" i="2"/>
  <c r="B423" i="2"/>
  <c r="B43" i="21" s="1"/>
  <c r="B524" i="2"/>
  <c r="B430" i="2"/>
  <c r="B398" i="2"/>
  <c r="B202" i="2"/>
  <c r="B418" i="2"/>
  <c r="B435" i="2"/>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0" i="8"/>
  <c r="A62" i="8" s="1"/>
  <c r="A74" i="8" s="1"/>
  <c r="A86" i="8" s="1"/>
  <c r="A98" i="8" s="1"/>
  <c r="A110" i="8" s="1"/>
  <c r="A122" i="8" s="1"/>
  <c r="A134" i="8" s="1"/>
  <c r="A146" i="8" s="1"/>
  <c r="A158"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L3" i="8"/>
  <c r="B82" i="2"/>
  <c r="B173" i="2" s="1"/>
  <c r="A482" i="2"/>
  <c r="B482" i="2"/>
  <c r="A502" i="2"/>
  <c r="B523" i="2"/>
  <c r="AA25" i="30" l="1"/>
  <c r="AB25" i="30"/>
  <c r="AB26" i="30" s="1"/>
  <c r="E625" i="32"/>
  <c r="E624" i="32"/>
  <c r="E626" i="32"/>
  <c r="B2" i="32"/>
  <c r="B12" i="32"/>
  <c r="B30" i="32"/>
  <c r="B32" i="32" s="1"/>
  <c r="B11" i="32"/>
  <c r="B9" i="32"/>
  <c r="B8" i="32"/>
  <c r="B31" i="32"/>
  <c r="E611" i="32"/>
  <c r="E603" i="32"/>
  <c r="E595" i="32"/>
  <c r="E587" i="32"/>
  <c r="E579" i="32"/>
  <c r="E571" i="32"/>
  <c r="E563" i="32"/>
  <c r="E555" i="32"/>
  <c r="E547" i="32"/>
  <c r="E539" i="32"/>
  <c r="E531" i="32"/>
  <c r="E523" i="32"/>
  <c r="E515" i="32"/>
  <c r="E507" i="32"/>
  <c r="E499" i="32"/>
  <c r="E491" i="32"/>
  <c r="E483" i="32"/>
  <c r="E475" i="32"/>
  <c r="E467" i="32"/>
  <c r="E459" i="32"/>
  <c r="E451" i="32"/>
  <c r="E443" i="32"/>
  <c r="E435" i="32"/>
  <c r="E427" i="32"/>
  <c r="E419" i="32"/>
  <c r="E411" i="32"/>
  <c r="E403" i="32"/>
  <c r="E395" i="32"/>
  <c r="E387" i="32"/>
  <c r="E379" i="32"/>
  <c r="E371" i="32"/>
  <c r="E363" i="32"/>
  <c r="E355" i="32"/>
  <c r="E347" i="32"/>
  <c r="E339" i="32"/>
  <c r="E331" i="32"/>
  <c r="E323" i="32"/>
  <c r="E315" i="32"/>
  <c r="E307" i="32"/>
  <c r="E299" i="32"/>
  <c r="E291" i="32"/>
  <c r="E283" i="32"/>
  <c r="E275" i="32"/>
  <c r="E267" i="32"/>
  <c r="E259" i="32"/>
  <c r="E251" i="32"/>
  <c r="E243" i="32"/>
  <c r="E235" i="32"/>
  <c r="E227" i="32"/>
  <c r="E219" i="32"/>
  <c r="E211" i="32"/>
  <c r="E203" i="32"/>
  <c r="E195" i="32"/>
  <c r="E187" i="32"/>
  <c r="E179" i="32"/>
  <c r="E171" i="32"/>
  <c r="E610" i="32"/>
  <c r="E602" i="32"/>
  <c r="E594" i="32"/>
  <c r="E586" i="32"/>
  <c r="E578" i="32"/>
  <c r="E570" i="32"/>
  <c r="E562" i="32"/>
  <c r="E554" i="32"/>
  <c r="E546" i="32"/>
  <c r="E538" i="32"/>
  <c r="E530" i="32"/>
  <c r="E522" i="32"/>
  <c r="E514" i="32"/>
  <c r="E506" i="32"/>
  <c r="E498" i="32"/>
  <c r="E490" i="32"/>
  <c r="E482" i="32"/>
  <c r="E474" i="32"/>
  <c r="E466" i="32"/>
  <c r="E458" i="32"/>
  <c r="E450" i="32"/>
  <c r="E442" i="32"/>
  <c r="E434" i="32"/>
  <c r="E426" i="32"/>
  <c r="E418" i="32"/>
  <c r="E410" i="32"/>
  <c r="E402" i="32"/>
  <c r="E394" i="32"/>
  <c r="E386" i="32"/>
  <c r="E378" i="32"/>
  <c r="E370" i="32"/>
  <c r="E362" i="32"/>
  <c r="E354" i="32"/>
  <c r="E346" i="32"/>
  <c r="E338" i="32"/>
  <c r="E330" i="32"/>
  <c r="E322" i="32"/>
  <c r="E314" i="32"/>
  <c r="E306" i="32"/>
  <c r="E298" i="32"/>
  <c r="E290" i="32"/>
  <c r="E282" i="32"/>
  <c r="E274" i="32"/>
  <c r="E266" i="32"/>
  <c r="E258" i="32"/>
  <c r="E250" i="32"/>
  <c r="E242" i="32"/>
  <c r="E234" i="32"/>
  <c r="E226" i="32"/>
  <c r="E218" i="32"/>
  <c r="E210" i="32"/>
  <c r="E202" i="32"/>
  <c r="E194" i="32"/>
  <c r="E186" i="32"/>
  <c r="E178" i="32"/>
  <c r="E170" i="32"/>
  <c r="E609" i="32"/>
  <c r="E601" i="32"/>
  <c r="E593" i="32"/>
  <c r="E585" i="32"/>
  <c r="E577" i="32"/>
  <c r="E569" i="32"/>
  <c r="E561" i="32"/>
  <c r="E553" i="32"/>
  <c r="E545" i="32"/>
  <c r="E537" i="32"/>
  <c r="E529" i="32"/>
  <c r="E521" i="32"/>
  <c r="E513" i="32"/>
  <c r="E505" i="32"/>
  <c r="E497" i="32"/>
  <c r="E489" i="32"/>
  <c r="E481" i="32"/>
  <c r="E473" i="32"/>
  <c r="E465" i="32"/>
  <c r="E457" i="32"/>
  <c r="E449" i="32"/>
  <c r="E441" i="32"/>
  <c r="E433" i="32"/>
  <c r="E425" i="32"/>
  <c r="E417" i="32"/>
  <c r="E409" i="32"/>
  <c r="E401" i="32"/>
  <c r="E393" i="32"/>
  <c r="E385" i="32"/>
  <c r="E377" i="32"/>
  <c r="E369" i="32"/>
  <c r="E361" i="32"/>
  <c r="E353" i="32"/>
  <c r="E345" i="32"/>
  <c r="E337" i="32"/>
  <c r="E329" i="32"/>
  <c r="E321" i="32"/>
  <c r="E313" i="32"/>
  <c r="E305" i="32"/>
  <c r="E297" i="32"/>
  <c r="E289" i="32"/>
  <c r="E281" i="32"/>
  <c r="E273" i="32"/>
  <c r="E265" i="32"/>
  <c r="E257" i="32"/>
  <c r="E249" i="32"/>
  <c r="E241" i="32"/>
  <c r="E233" i="32"/>
  <c r="E225" i="32"/>
  <c r="E217" i="32"/>
  <c r="E209" i="32"/>
  <c r="E201" i="32"/>
  <c r="E193" i="32"/>
  <c r="E185" i="32"/>
  <c r="E177" i="32"/>
  <c r="E169" i="32"/>
  <c r="E608" i="32"/>
  <c r="E600" i="32"/>
  <c r="E592" i="32"/>
  <c r="E584" i="32"/>
  <c r="E576" i="32"/>
  <c r="E568" i="32"/>
  <c r="E560" i="32"/>
  <c r="E552" i="32"/>
  <c r="E544" i="32"/>
  <c r="E536" i="32"/>
  <c r="E528" i="32"/>
  <c r="E520" i="32"/>
  <c r="E512" i="32"/>
  <c r="E504" i="32"/>
  <c r="E496" i="32"/>
  <c r="E488" i="32"/>
  <c r="E480" i="32"/>
  <c r="E472" i="32"/>
  <c r="E464" i="32"/>
  <c r="E456" i="32"/>
  <c r="E448" i="32"/>
  <c r="E440" i="32"/>
  <c r="E432" i="32"/>
  <c r="E424" i="32"/>
  <c r="E416" i="32"/>
  <c r="E408" i="32"/>
  <c r="E400" i="32"/>
  <c r="E392" i="32"/>
  <c r="E384" i="32"/>
  <c r="E376" i="32"/>
  <c r="E368" i="32"/>
  <c r="E360" i="32"/>
  <c r="E352" i="32"/>
  <c r="E344" i="32"/>
  <c r="E336" i="32"/>
  <c r="E328" i="32"/>
  <c r="E320" i="32"/>
  <c r="E312" i="32"/>
  <c r="E304" i="32"/>
  <c r="E296" i="32"/>
  <c r="E288" i="32"/>
  <c r="E280" i="32"/>
  <c r="E272" i="32"/>
  <c r="E264" i="32"/>
  <c r="E256" i="32"/>
  <c r="E248" i="32"/>
  <c r="E240" i="32"/>
  <c r="E232" i="32"/>
  <c r="E224" i="32"/>
  <c r="E216" i="32"/>
  <c r="E208" i="32"/>
  <c r="E200" i="32"/>
  <c r="E192" i="32"/>
  <c r="E184" i="32"/>
  <c r="E176" i="32"/>
  <c r="E607" i="32"/>
  <c r="E599" i="32"/>
  <c r="E591" i="32"/>
  <c r="E583" i="32"/>
  <c r="E575" i="32"/>
  <c r="E567" i="32"/>
  <c r="E559" i="32"/>
  <c r="E551" i="32"/>
  <c r="E543" i="32"/>
  <c r="E535" i="32"/>
  <c r="E527" i="32"/>
  <c r="E519" i="32"/>
  <c r="E511" i="32"/>
  <c r="E503" i="32"/>
  <c r="E495" i="32"/>
  <c r="E487" i="32"/>
  <c r="E479" i="32"/>
  <c r="E471" i="32"/>
  <c r="E463" i="32"/>
  <c r="E455" i="32"/>
  <c r="E447" i="32"/>
  <c r="E439" i="32"/>
  <c r="E431" i="32"/>
  <c r="E423" i="32"/>
  <c r="E415" i="32"/>
  <c r="E407" i="32"/>
  <c r="E399" i="32"/>
  <c r="E391" i="32"/>
  <c r="E383" i="32"/>
  <c r="E375" i="32"/>
  <c r="E367" i="32"/>
  <c r="E359" i="32"/>
  <c r="E351" i="32"/>
  <c r="E343" i="32"/>
  <c r="E335" i="32"/>
  <c r="E327" i="32"/>
  <c r="E319" i="32"/>
  <c r="E311" i="32"/>
  <c r="E303" i="32"/>
  <c r="E295" i="32"/>
  <c r="E287" i="32"/>
  <c r="E279" i="32"/>
  <c r="E271" i="32"/>
  <c r="E263" i="32"/>
  <c r="E255" i="32"/>
  <c r="E247" i="32"/>
  <c r="E239" i="32"/>
  <c r="E231" i="32"/>
  <c r="E223" i="32"/>
  <c r="E215" i="32"/>
  <c r="E207" i="32"/>
  <c r="E199" i="32"/>
  <c r="E191" i="32"/>
  <c r="E183" i="32"/>
  <c r="E175" i="32"/>
  <c r="E167" i="32"/>
  <c r="E606" i="32"/>
  <c r="E598" i="32"/>
  <c r="E590" i="32"/>
  <c r="E582" i="32"/>
  <c r="E574" i="32"/>
  <c r="E566" i="32"/>
  <c r="E558" i="32"/>
  <c r="E550" i="32"/>
  <c r="E542" i="32"/>
  <c r="E534" i="32"/>
  <c r="E526" i="32"/>
  <c r="E518" i="32"/>
  <c r="E510" i="32"/>
  <c r="E502" i="32"/>
  <c r="E494" i="32"/>
  <c r="E486" i="32"/>
  <c r="E478" i="32"/>
  <c r="E470" i="32"/>
  <c r="E462" i="32"/>
  <c r="E454" i="32"/>
  <c r="E446" i="32"/>
  <c r="E438" i="32"/>
  <c r="E430" i="32"/>
  <c r="E422" i="32"/>
  <c r="E414" i="32"/>
  <c r="E406" i="32"/>
  <c r="E398" i="32"/>
  <c r="E390" i="32"/>
  <c r="E382" i="32"/>
  <c r="E374" i="32"/>
  <c r="E366" i="32"/>
  <c r="E358" i="32"/>
  <c r="E350" i="32"/>
  <c r="E342" i="32"/>
  <c r="E334" i="32"/>
  <c r="E326" i="32"/>
  <c r="E318" i="32"/>
  <c r="E310" i="32"/>
  <c r="E302" i="32"/>
  <c r="E294" i="32"/>
  <c r="E286" i="32"/>
  <c r="E278" i="32"/>
  <c r="E270" i="32"/>
  <c r="E262" i="32"/>
  <c r="E254" i="32"/>
  <c r="E246" i="32"/>
  <c r="E238" i="32"/>
  <c r="E230" i="32"/>
  <c r="E222" i="32"/>
  <c r="E214" i="32"/>
  <c r="E206" i="32"/>
  <c r="E198" i="32"/>
  <c r="E190" i="32"/>
  <c r="E182" i="32"/>
  <c r="E174" i="32"/>
  <c r="E166" i="32"/>
  <c r="E596" i="32"/>
  <c r="E564" i="32"/>
  <c r="E532" i="32"/>
  <c r="E500" i="32"/>
  <c r="E468" i="32"/>
  <c r="E436" i="32"/>
  <c r="E404" i="32"/>
  <c r="E372" i="32"/>
  <c r="E340" i="32"/>
  <c r="E308" i="32"/>
  <c r="E276" i="32"/>
  <c r="E244" i="32"/>
  <c r="E212" i="32"/>
  <c r="E180" i="32"/>
  <c r="E161" i="32"/>
  <c r="E153" i="32"/>
  <c r="E145" i="32"/>
  <c r="E137" i="32"/>
  <c r="E129" i="32"/>
  <c r="E121" i="32"/>
  <c r="E113" i="32"/>
  <c r="E105" i="32"/>
  <c r="E97" i="32"/>
  <c r="E89" i="32"/>
  <c r="E81" i="32"/>
  <c r="E73" i="32"/>
  <c r="E65" i="32"/>
  <c r="E57" i="32"/>
  <c r="E49" i="32"/>
  <c r="E41" i="32"/>
  <c r="E33" i="32"/>
  <c r="E25" i="32"/>
  <c r="E17" i="32"/>
  <c r="E501" i="32"/>
  <c r="E341" i="32"/>
  <c r="E213" i="32"/>
  <c r="E146" i="32"/>
  <c r="E130" i="32"/>
  <c r="E90" i="32"/>
  <c r="E50" i="32"/>
  <c r="E34" i="32"/>
  <c r="E589" i="32"/>
  <c r="E557" i="32"/>
  <c r="E525" i="32"/>
  <c r="E493" i="32"/>
  <c r="E461" i="32"/>
  <c r="E429" i="32"/>
  <c r="E397" i="32"/>
  <c r="E365" i="32"/>
  <c r="E333" i="32"/>
  <c r="E301" i="32"/>
  <c r="E269" i="32"/>
  <c r="E237" i="32"/>
  <c r="E205" i="32"/>
  <c r="E173" i="32"/>
  <c r="E160" i="32"/>
  <c r="E152" i="32"/>
  <c r="E144" i="32"/>
  <c r="E136" i="32"/>
  <c r="E128" i="32"/>
  <c r="E120" i="32"/>
  <c r="E112" i="32"/>
  <c r="E104" i="32"/>
  <c r="E96" i="32"/>
  <c r="E88" i="32"/>
  <c r="E80" i="32"/>
  <c r="E72" i="32"/>
  <c r="E64" i="32"/>
  <c r="E56" i="32"/>
  <c r="E48" i="32"/>
  <c r="E40" i="32"/>
  <c r="E32" i="32"/>
  <c r="E24" i="32"/>
  <c r="E16" i="32"/>
  <c r="E39" i="32"/>
  <c r="E23" i="32"/>
  <c r="E581" i="32"/>
  <c r="E549" i="32"/>
  <c r="E485" i="32"/>
  <c r="E421" i="32"/>
  <c r="E357" i="32"/>
  <c r="E261" i="32"/>
  <c r="E168" i="32"/>
  <c r="E142" i="32"/>
  <c r="E110" i="32"/>
  <c r="E86" i="32"/>
  <c r="E62" i="32"/>
  <c r="E46" i="32"/>
  <c r="E22" i="32"/>
  <c r="E284" i="32"/>
  <c r="E147" i="32"/>
  <c r="E107" i="32"/>
  <c r="E67" i="32"/>
  <c r="E35" i="32"/>
  <c r="E533" i="32"/>
  <c r="E373" i="32"/>
  <c r="E245" i="32"/>
  <c r="E154" i="32"/>
  <c r="E106" i="32"/>
  <c r="E66" i="32"/>
  <c r="E18" i="32"/>
  <c r="E588" i="32"/>
  <c r="E556" i="32"/>
  <c r="E524" i="32"/>
  <c r="E492" i="32"/>
  <c r="E460" i="32"/>
  <c r="E428" i="32"/>
  <c r="E396" i="32"/>
  <c r="E364" i="32"/>
  <c r="E332" i="32"/>
  <c r="E300" i="32"/>
  <c r="E268" i="32"/>
  <c r="E236" i="32"/>
  <c r="E204" i="32"/>
  <c r="E172" i="32"/>
  <c r="E159" i="32"/>
  <c r="E151" i="32"/>
  <c r="E143" i="32"/>
  <c r="E135" i="32"/>
  <c r="E127" i="32"/>
  <c r="E119" i="32"/>
  <c r="E111" i="32"/>
  <c r="E103" i="32"/>
  <c r="E95" i="32"/>
  <c r="E87" i="32"/>
  <c r="E79" i="32"/>
  <c r="E71" i="32"/>
  <c r="E63" i="32"/>
  <c r="E55" i="32"/>
  <c r="E47" i="32"/>
  <c r="E31" i="32"/>
  <c r="E15" i="32"/>
  <c r="E517" i="32"/>
  <c r="E325" i="32"/>
  <c r="E197" i="32"/>
  <c r="E150" i="32"/>
  <c r="E126" i="32"/>
  <c r="E102" i="32"/>
  <c r="E70" i="32"/>
  <c r="E38" i="32"/>
  <c r="E348" i="32"/>
  <c r="E139" i="32"/>
  <c r="E99" i="32"/>
  <c r="E59" i="32"/>
  <c r="E19" i="32"/>
  <c r="E469" i="32"/>
  <c r="E82" i="32"/>
  <c r="E613" i="32"/>
  <c r="E453" i="32"/>
  <c r="E389" i="32"/>
  <c r="E293" i="32"/>
  <c r="E229" i="32"/>
  <c r="E158" i="32"/>
  <c r="E134" i="32"/>
  <c r="E118" i="32"/>
  <c r="E94" i="32"/>
  <c r="E78" i="32"/>
  <c r="E54" i="32"/>
  <c r="E30" i="32"/>
  <c r="E14" i="32"/>
  <c r="E252" i="32"/>
  <c r="E155" i="32"/>
  <c r="E115" i="32"/>
  <c r="E75" i="32"/>
  <c r="E43" i="32"/>
  <c r="B13" i="32"/>
  <c r="E437" i="32"/>
  <c r="E309" i="32"/>
  <c r="E181" i="32"/>
  <c r="E138" i="32"/>
  <c r="E122" i="32"/>
  <c r="E74" i="32"/>
  <c r="E42" i="32"/>
  <c r="E26" i="32"/>
  <c r="E612" i="32"/>
  <c r="E580" i="32"/>
  <c r="E548" i="32"/>
  <c r="E516" i="32"/>
  <c r="E484" i="32"/>
  <c r="E452" i="32"/>
  <c r="E420" i="32"/>
  <c r="E388" i="32"/>
  <c r="E356" i="32"/>
  <c r="E324" i="32"/>
  <c r="E292" i="32"/>
  <c r="E260" i="32"/>
  <c r="E228" i="32"/>
  <c r="E196" i="32"/>
  <c r="E165" i="32"/>
  <c r="E157" i="32"/>
  <c r="E149" i="32"/>
  <c r="E141" i="32"/>
  <c r="E133" i="32"/>
  <c r="E125" i="32"/>
  <c r="E117" i="32"/>
  <c r="E109" i="32"/>
  <c r="E101" i="32"/>
  <c r="E93" i="32"/>
  <c r="E85" i="32"/>
  <c r="E77" i="32"/>
  <c r="E69" i="32"/>
  <c r="E61" i="32"/>
  <c r="E53" i="32"/>
  <c r="E45" i="32"/>
  <c r="E37" i="32"/>
  <c r="E29" i="32"/>
  <c r="E21" i="32"/>
  <c r="E13" i="32"/>
  <c r="E572" i="32"/>
  <c r="E380" i="32"/>
  <c r="E188" i="32"/>
  <c r="E131" i="32"/>
  <c r="E91" i="32"/>
  <c r="E51" i="32"/>
  <c r="E597" i="32"/>
  <c r="E98" i="32"/>
  <c r="E605" i="32"/>
  <c r="E573" i="32"/>
  <c r="E541" i="32"/>
  <c r="E509" i="32"/>
  <c r="E477" i="32"/>
  <c r="E445" i="32"/>
  <c r="E413" i="32"/>
  <c r="E381" i="32"/>
  <c r="E349" i="32"/>
  <c r="E317" i="32"/>
  <c r="E285" i="32"/>
  <c r="E253" i="32"/>
  <c r="E221" i="32"/>
  <c r="E189" i="32"/>
  <c r="E164" i="32"/>
  <c r="E156" i="32"/>
  <c r="E148" i="32"/>
  <c r="E140" i="32"/>
  <c r="E132" i="32"/>
  <c r="E124" i="32"/>
  <c r="E116" i="32"/>
  <c r="E108" i="32"/>
  <c r="E100" i="32"/>
  <c r="E92" i="32"/>
  <c r="E84" i="32"/>
  <c r="E76" i="32"/>
  <c r="E68" i="32"/>
  <c r="E60" i="32"/>
  <c r="E52" i="32"/>
  <c r="E44" i="32"/>
  <c r="E36" i="32"/>
  <c r="E28" i="32"/>
  <c r="E20" i="32"/>
  <c r="E604" i="32"/>
  <c r="E540" i="32"/>
  <c r="E508" i="32"/>
  <c r="E476" i="32"/>
  <c r="E444" i="32"/>
  <c r="E412" i="32"/>
  <c r="E316" i="32"/>
  <c r="E220" i="32"/>
  <c r="E163" i="32"/>
  <c r="E123" i="32"/>
  <c r="E83" i="32"/>
  <c r="E27" i="32"/>
  <c r="E565" i="32"/>
  <c r="E405" i="32"/>
  <c r="E277" i="32"/>
  <c r="E162" i="32"/>
  <c r="E114" i="32"/>
  <c r="E58" i="32"/>
  <c r="B6" i="30"/>
  <c r="B24" i="2"/>
  <c r="E8" i="33" s="1"/>
  <c r="BM6" i="21"/>
  <c r="BL6" i="21"/>
  <c r="I28" i="27"/>
  <c r="I11" i="27"/>
  <c r="K11" i="27" s="1"/>
  <c r="L11" i="27" s="1"/>
  <c r="N11" i="27" s="1"/>
  <c r="I24" i="27"/>
  <c r="K24" i="27" s="1"/>
  <c r="M24" i="27" s="1"/>
  <c r="I12" i="27"/>
  <c r="K12" i="27" s="1"/>
  <c r="M12" i="27" s="1"/>
  <c r="I10" i="27"/>
  <c r="I16" i="27"/>
  <c r="Q16" i="27" s="1"/>
  <c r="I13" i="27"/>
  <c r="Q13" i="27" s="1"/>
  <c r="I17" i="27"/>
  <c r="Q17" i="27" s="1"/>
  <c r="I8" i="27"/>
  <c r="Q8" i="27" s="1"/>
  <c r="I9" i="27"/>
  <c r="Q9" i="27" s="1"/>
  <c r="I23" i="27"/>
  <c r="Q23" i="27" s="1"/>
  <c r="I14" i="27"/>
  <c r="Q14" i="27" s="1"/>
  <c r="I18" i="27"/>
  <c r="Q18" i="27" s="1"/>
  <c r="I15" i="27"/>
  <c r="Q15" i="27" s="1"/>
  <c r="I21" i="27"/>
  <c r="K21" i="27" s="1"/>
  <c r="L21" i="27" s="1"/>
  <c r="N21" i="27" s="1"/>
  <c r="I7" i="27"/>
  <c r="Q7" i="27" s="1"/>
  <c r="I6" i="27"/>
  <c r="Q6" i="27" s="1"/>
  <c r="I5" i="27"/>
  <c r="Q5" i="27" s="1"/>
  <c r="I19" i="27"/>
  <c r="Q19" i="27" s="1"/>
  <c r="I20" i="27"/>
  <c r="Q20" i="27" s="1"/>
  <c r="I22" i="27"/>
  <c r="K22" i="27" s="1"/>
  <c r="M22" i="27" s="1"/>
  <c r="BD10" i="21"/>
  <c r="BD76" i="21"/>
  <c r="BD39" i="20"/>
  <c r="BD103" i="20"/>
  <c r="BD167" i="20"/>
  <c r="BD67" i="20"/>
  <c r="BD52" i="20"/>
  <c r="BD166" i="20"/>
  <c r="BD69" i="21"/>
  <c r="BD32" i="20"/>
  <c r="BD96" i="20"/>
  <c r="BD160" i="20"/>
  <c r="BD17" i="21"/>
  <c r="BD134" i="20"/>
  <c r="BD62" i="21"/>
  <c r="BD25" i="20"/>
  <c r="BD89" i="20"/>
  <c r="BD153" i="20"/>
  <c r="BD186" i="20"/>
  <c r="BD97" i="21"/>
  <c r="BD118" i="20"/>
  <c r="BD55" i="21"/>
  <c r="BD147" i="20"/>
  <c r="BD74" i="21"/>
  <c r="BD20" i="21"/>
  <c r="BD84" i="21"/>
  <c r="BD47" i="20"/>
  <c r="BD111" i="20"/>
  <c r="BD175" i="20"/>
  <c r="BD131" i="20"/>
  <c r="BD76" i="20"/>
  <c r="BD9" i="21"/>
  <c r="BD77" i="21"/>
  <c r="BD40" i="20"/>
  <c r="BD104" i="20"/>
  <c r="BD168" i="20"/>
  <c r="BD57" i="21"/>
  <c r="BD206" i="20"/>
  <c r="BD70" i="21"/>
  <c r="BD33" i="20"/>
  <c r="BD97" i="20"/>
  <c r="BD161" i="20"/>
  <c r="BD202" i="20"/>
  <c r="BD36" i="20"/>
  <c r="BD158" i="20"/>
  <c r="BD63" i="21"/>
  <c r="BD26" i="20"/>
  <c r="BD90" i="20"/>
  <c r="BD154" i="20"/>
  <c r="BD187" i="20"/>
  <c r="BD86" i="20"/>
  <c r="BD56" i="21"/>
  <c r="BD19" i="20"/>
  <c r="BD163" i="20"/>
  <c r="BD18" i="21"/>
  <c r="BD82" i="21"/>
  <c r="BD45" i="20"/>
  <c r="BD109" i="20"/>
  <c r="BD173" i="20"/>
  <c r="BD43" i="21"/>
  <c r="BD107" i="21"/>
  <c r="BD142" i="20"/>
  <c r="BD162" i="20"/>
  <c r="BD150" i="20"/>
  <c r="BD64" i="21"/>
  <c r="BD25" i="21"/>
  <c r="BD26" i="21"/>
  <c r="BD53" i="20"/>
  <c r="BD181" i="20"/>
  <c r="BD14" i="20"/>
  <c r="BD46" i="21"/>
  <c r="BD103" i="21"/>
  <c r="BD96" i="21"/>
  <c r="BD85" i="20"/>
  <c r="BD126" i="20"/>
  <c r="BD17" i="20"/>
  <c r="BD70" i="20"/>
  <c r="BD107" i="20"/>
  <c r="BD99" i="20"/>
  <c r="BD157" i="20"/>
  <c r="BD11" i="20"/>
  <c r="BD28" i="21"/>
  <c r="BD92" i="21"/>
  <c r="BD55" i="20"/>
  <c r="BD119" i="20"/>
  <c r="BD183" i="20"/>
  <c r="BD171" i="20"/>
  <c r="BD116" i="20"/>
  <c r="BD21" i="21"/>
  <c r="BD85" i="21"/>
  <c r="BD48" i="20"/>
  <c r="BD112" i="20"/>
  <c r="BD176" i="20"/>
  <c r="BD89" i="21"/>
  <c r="BD13" i="21"/>
  <c r="BD78" i="21"/>
  <c r="BD41" i="20"/>
  <c r="BD105" i="20"/>
  <c r="BD169" i="20"/>
  <c r="BD75" i="20"/>
  <c r="BD68" i="20"/>
  <c r="BD198" i="20"/>
  <c r="BD71" i="21"/>
  <c r="BD34" i="20"/>
  <c r="BD98" i="20"/>
  <c r="BD49" i="21"/>
  <c r="BD27" i="20"/>
  <c r="BD90" i="21"/>
  <c r="BD117" i="20"/>
  <c r="BD51" i="21"/>
  <c r="BD174" i="20"/>
  <c r="BD201" i="20"/>
  <c r="BD100" i="20"/>
  <c r="BD58" i="21"/>
  <c r="BD83" i="21"/>
  <c r="BD95" i="20"/>
  <c r="BD179" i="20"/>
  <c r="BD65" i="21"/>
  <c r="BD138" i="20"/>
  <c r="BD29" i="20"/>
  <c r="BD146" i="20"/>
  <c r="BD182" i="20"/>
  <c r="BD101" i="20"/>
  <c r="BD99" i="21"/>
  <c r="BD36" i="21"/>
  <c r="BD100" i="21"/>
  <c r="BD63" i="20"/>
  <c r="BD127" i="20"/>
  <c r="BD191" i="20"/>
  <c r="BD203" i="20"/>
  <c r="BD140" i="20"/>
  <c r="BD29" i="21"/>
  <c r="BD93" i="21"/>
  <c r="BD56" i="20"/>
  <c r="BD120" i="20"/>
  <c r="BD184" i="20"/>
  <c r="BD44" i="20"/>
  <c r="BD22" i="21"/>
  <c r="BD86" i="21"/>
  <c r="BD49" i="20"/>
  <c r="BD113" i="20"/>
  <c r="BD177" i="20"/>
  <c r="BD123" i="20"/>
  <c r="BD108" i="20"/>
  <c r="BD15" i="21"/>
  <c r="BD79" i="21"/>
  <c r="BD42" i="20"/>
  <c r="BD106" i="20"/>
  <c r="BD170" i="20"/>
  <c r="BD81" i="21"/>
  <c r="BD190" i="20"/>
  <c r="BD72" i="21"/>
  <c r="BD35" i="20"/>
  <c r="BD12" i="20"/>
  <c r="BD34" i="21"/>
  <c r="BD98" i="21"/>
  <c r="BD61" i="20"/>
  <c r="BD125" i="20"/>
  <c r="BD189" i="20"/>
  <c r="BD59" i="21"/>
  <c r="BD22" i="20"/>
  <c r="BD12" i="21"/>
  <c r="BD205" i="20"/>
  <c r="BD38" i="20"/>
  <c r="BD87" i="20"/>
  <c r="BD53" i="21"/>
  <c r="BD144" i="20"/>
  <c r="BD9" i="20"/>
  <c r="BD41" i="21"/>
  <c r="BD66" i="20"/>
  <c r="BD32" i="21"/>
  <c r="BD21" i="20"/>
  <c r="BD78" i="20"/>
  <c r="BD159" i="20"/>
  <c r="BD24" i="20"/>
  <c r="BD54" i="21"/>
  <c r="BD209" i="20"/>
  <c r="BD74" i="20"/>
  <c r="BD104" i="21"/>
  <c r="BD93" i="20"/>
  <c r="BD94" i="20"/>
  <c r="BD196" i="20"/>
  <c r="BD37" i="20"/>
  <c r="BD102" i="20"/>
  <c r="BD44" i="21"/>
  <c r="BD108" i="21"/>
  <c r="BD71" i="20"/>
  <c r="BD135" i="20"/>
  <c r="BD199" i="20"/>
  <c r="BD33" i="21"/>
  <c r="BD164" i="20"/>
  <c r="BD37" i="21"/>
  <c r="BD101" i="21"/>
  <c r="BD64" i="20"/>
  <c r="BD128" i="20"/>
  <c r="BD200" i="20"/>
  <c r="BD84" i="20"/>
  <c r="BD30" i="21"/>
  <c r="BD94" i="21"/>
  <c r="BD57" i="20"/>
  <c r="BD121" i="20"/>
  <c r="BD185" i="20"/>
  <c r="BD155" i="20"/>
  <c r="BD124" i="20"/>
  <c r="BD23" i="21"/>
  <c r="BD87" i="21"/>
  <c r="BD50" i="20"/>
  <c r="BD114" i="20"/>
  <c r="BD178" i="20"/>
  <c r="BD20" i="20"/>
  <c r="BD16" i="21"/>
  <c r="BD80" i="21"/>
  <c r="BD43" i="20"/>
  <c r="BD92" i="20"/>
  <c r="BD42" i="21"/>
  <c r="BD106" i="21"/>
  <c r="BD69" i="20"/>
  <c r="BD133" i="20"/>
  <c r="BD197" i="20"/>
  <c r="BD67" i="21"/>
  <c r="BD30" i="20"/>
  <c r="BD11" i="21"/>
  <c r="BD141" i="20"/>
  <c r="BD14" i="21"/>
  <c r="BD23" i="20"/>
  <c r="BD151" i="20"/>
  <c r="BD105" i="21"/>
  <c r="BD16" i="20"/>
  <c r="BD139" i="20"/>
  <c r="BD73" i="20"/>
  <c r="BD204" i="20"/>
  <c r="BD130" i="20"/>
  <c r="BD83" i="20"/>
  <c r="BD149" i="20"/>
  <c r="BD68" i="21"/>
  <c r="BD28" i="20"/>
  <c r="BD88" i="20"/>
  <c r="BD54" i="20"/>
  <c r="BD145" i="20"/>
  <c r="BD10" i="20"/>
  <c r="BD40" i="21"/>
  <c r="BD66" i="21"/>
  <c r="BD91" i="21"/>
  <c r="BD82" i="20"/>
  <c r="BD48" i="21"/>
  <c r="BD165" i="20"/>
  <c r="BD52" i="21"/>
  <c r="BD15" i="20"/>
  <c r="BD79" i="20"/>
  <c r="BD143" i="20"/>
  <c r="BD207" i="20"/>
  <c r="BD73" i="21"/>
  <c r="BD188" i="20"/>
  <c r="BD45" i="21"/>
  <c r="BD109" i="21"/>
  <c r="BD72" i="20"/>
  <c r="BD136" i="20"/>
  <c r="BD91" i="20"/>
  <c r="BD132" i="20"/>
  <c r="BD38" i="21"/>
  <c r="BD102" i="21"/>
  <c r="BD65" i="20"/>
  <c r="BD129" i="20"/>
  <c r="BD193" i="20"/>
  <c r="BD195" i="20"/>
  <c r="BD172" i="20"/>
  <c r="BD31" i="21"/>
  <c r="BD95" i="21"/>
  <c r="BD58" i="20"/>
  <c r="BD122" i="20"/>
  <c r="BD194" i="20"/>
  <c r="BD60" i="20"/>
  <c r="BD24" i="21"/>
  <c r="BD88" i="21"/>
  <c r="BD51" i="20"/>
  <c r="BD156" i="20"/>
  <c r="BD50" i="21"/>
  <c r="BD13" i="20"/>
  <c r="BD77" i="20"/>
  <c r="BD75" i="21"/>
  <c r="BD60" i="21"/>
  <c r="BD192" i="20"/>
  <c r="BD62" i="20"/>
  <c r="BD80" i="20"/>
  <c r="BD180" i="20"/>
  <c r="BD137" i="20"/>
  <c r="BD39" i="21"/>
  <c r="BD59" i="20"/>
  <c r="BD46" i="20"/>
  <c r="BD19" i="21"/>
  <c r="BD31" i="20"/>
  <c r="BD208" i="20"/>
  <c r="BD61" i="21"/>
  <c r="BD152" i="20"/>
  <c r="BD81" i="20"/>
  <c r="BD47" i="21"/>
  <c r="BD148" i="20"/>
  <c r="BD110" i="20"/>
  <c r="BD27" i="21"/>
  <c r="BD18" i="20"/>
  <c r="BD115" i="20"/>
  <c r="BD35" i="21"/>
  <c r="K101" i="27"/>
  <c r="K95" i="27"/>
  <c r="K84" i="27"/>
  <c r="Q21" i="27"/>
  <c r="K97" i="27"/>
  <c r="K92" i="27"/>
  <c r="K89" i="27"/>
  <c r="K100" i="27"/>
  <c r="K86" i="27"/>
  <c r="K98" i="27"/>
  <c r="K85" i="27"/>
  <c r="K102" i="27"/>
  <c r="K93" i="27"/>
  <c r="K88" i="27"/>
  <c r="K83" i="27"/>
  <c r="K91" i="27"/>
  <c r="K94" i="27"/>
  <c r="K96" i="27"/>
  <c r="K87" i="27"/>
  <c r="K82" i="27"/>
  <c r="K99" i="27"/>
  <c r="K90" i="27"/>
  <c r="Q4" i="27"/>
  <c r="B131" i="2"/>
  <c r="L67" i="2"/>
  <c r="L68" i="2" s="1"/>
  <c r="O73" i="2" s="1"/>
  <c r="O67" i="2"/>
  <c r="O64" i="2"/>
  <c r="B69" i="2" s="1"/>
  <c r="L66" i="2"/>
  <c r="L64" i="2"/>
  <c r="L65" i="2"/>
  <c r="B140" i="2"/>
  <c r="B142" i="2"/>
  <c r="Q15" i="8"/>
  <c r="R15" i="8" s="1"/>
  <c r="B147" i="2"/>
  <c r="BG9" i="21"/>
  <c r="H11" i="20"/>
  <c r="H19" i="20"/>
  <c r="H27" i="20"/>
  <c r="H35" i="20"/>
  <c r="H43" i="20"/>
  <c r="H51" i="20"/>
  <c r="H59" i="20"/>
  <c r="H67" i="20"/>
  <c r="H75" i="20"/>
  <c r="H83" i="20"/>
  <c r="H91" i="20"/>
  <c r="H99" i="20"/>
  <c r="H107" i="20"/>
  <c r="H115" i="20"/>
  <c r="H123" i="20"/>
  <c r="H131" i="20"/>
  <c r="H139" i="20"/>
  <c r="H147" i="20"/>
  <c r="H155" i="20"/>
  <c r="H163" i="20"/>
  <c r="H171" i="20"/>
  <c r="H179" i="20"/>
  <c r="H187" i="20"/>
  <c r="H195" i="20"/>
  <c r="H203" i="20"/>
  <c r="H148" i="20"/>
  <c r="H164" i="20"/>
  <c r="H172" i="20"/>
  <c r="H188" i="20"/>
  <c r="H196" i="20"/>
  <c r="H204" i="20"/>
  <c r="H18" i="20"/>
  <c r="H82" i="20"/>
  <c r="H122" i="20"/>
  <c r="H170" i="20"/>
  <c r="H12" i="20"/>
  <c r="H20" i="20"/>
  <c r="H28" i="20"/>
  <c r="H36" i="20"/>
  <c r="H44" i="20"/>
  <c r="H52" i="20"/>
  <c r="H60" i="20"/>
  <c r="H68" i="20"/>
  <c r="H76" i="20"/>
  <c r="H84" i="20"/>
  <c r="H92" i="20"/>
  <c r="H100" i="20"/>
  <c r="H108" i="20"/>
  <c r="H116" i="20"/>
  <c r="H124" i="20"/>
  <c r="H132" i="20"/>
  <c r="H140" i="20"/>
  <c r="H156" i="20"/>
  <c r="H180" i="20"/>
  <c r="H58" i="20"/>
  <c r="H138" i="20"/>
  <c r="H202" i="20"/>
  <c r="H13" i="20"/>
  <c r="H21" i="20"/>
  <c r="H29" i="20"/>
  <c r="H37" i="20"/>
  <c r="H45" i="20"/>
  <c r="H53" i="20"/>
  <c r="H61" i="20"/>
  <c r="H69" i="20"/>
  <c r="H77" i="20"/>
  <c r="H85" i="20"/>
  <c r="H93" i="20"/>
  <c r="H101" i="20"/>
  <c r="H109" i="20"/>
  <c r="H117" i="20"/>
  <c r="H125" i="20"/>
  <c r="H133" i="20"/>
  <c r="H141" i="20"/>
  <c r="H149" i="20"/>
  <c r="H157" i="20"/>
  <c r="H165" i="20"/>
  <c r="H173" i="20"/>
  <c r="H181" i="20"/>
  <c r="H189" i="20"/>
  <c r="H197" i="20"/>
  <c r="H205" i="20"/>
  <c r="H166" i="20"/>
  <c r="H182" i="20"/>
  <c r="H190" i="20"/>
  <c r="H198" i="20"/>
  <c r="H167" i="20"/>
  <c r="H183" i="20"/>
  <c r="H191" i="20"/>
  <c r="H208" i="20"/>
  <c r="H10" i="20"/>
  <c r="H74" i="20"/>
  <c r="H114" i="20"/>
  <c r="H162" i="20"/>
  <c r="H194" i="20"/>
  <c r="H14" i="20"/>
  <c r="H22" i="20"/>
  <c r="H30" i="20"/>
  <c r="H38" i="20"/>
  <c r="H46" i="20"/>
  <c r="H54" i="20"/>
  <c r="H62" i="20"/>
  <c r="H70" i="20"/>
  <c r="H78" i="20"/>
  <c r="H86" i="20"/>
  <c r="H94" i="20"/>
  <c r="H102" i="20"/>
  <c r="H110" i="20"/>
  <c r="H118" i="20"/>
  <c r="H126" i="20"/>
  <c r="H134" i="20"/>
  <c r="H142" i="20"/>
  <c r="H150" i="20"/>
  <c r="H158" i="20"/>
  <c r="H174" i="20"/>
  <c r="H206" i="20"/>
  <c r="H207" i="20"/>
  <c r="H200" i="20"/>
  <c r="H50" i="20"/>
  <c r="H15" i="20"/>
  <c r="H23" i="20"/>
  <c r="H31" i="20"/>
  <c r="H39" i="20"/>
  <c r="H47" i="20"/>
  <c r="H55" i="20"/>
  <c r="H63" i="20"/>
  <c r="H71" i="20"/>
  <c r="H79" i="20"/>
  <c r="H87" i="20"/>
  <c r="H95" i="20"/>
  <c r="H103" i="20"/>
  <c r="H111" i="20"/>
  <c r="H119" i="20"/>
  <c r="H127" i="20"/>
  <c r="H135" i="20"/>
  <c r="H143" i="20"/>
  <c r="H151" i="20"/>
  <c r="H159" i="20"/>
  <c r="H175" i="20"/>
  <c r="H199" i="20"/>
  <c r="H34" i="20"/>
  <c r="H90" i="20"/>
  <c r="H130" i="20"/>
  <c r="H178" i="20"/>
  <c r="H16" i="20"/>
  <c r="H24" i="20"/>
  <c r="H32" i="20"/>
  <c r="H40" i="20"/>
  <c r="H48" i="20"/>
  <c r="H56" i="20"/>
  <c r="H64" i="20"/>
  <c r="H72" i="20"/>
  <c r="H80" i="20"/>
  <c r="H88" i="20"/>
  <c r="H96" i="20"/>
  <c r="H104" i="20"/>
  <c r="H112" i="20"/>
  <c r="H120" i="20"/>
  <c r="H128" i="20"/>
  <c r="H136" i="20"/>
  <c r="H144" i="20"/>
  <c r="H152" i="20"/>
  <c r="H160" i="20"/>
  <c r="H168" i="20"/>
  <c r="H176" i="20"/>
  <c r="H184" i="20"/>
  <c r="H192" i="20"/>
  <c r="H42" i="20"/>
  <c r="H98" i="20"/>
  <c r="H146" i="20"/>
  <c r="H186" i="20"/>
  <c r="H9" i="20"/>
  <c r="H17" i="20"/>
  <c r="H25" i="20"/>
  <c r="H33" i="20"/>
  <c r="H41" i="20"/>
  <c r="H49" i="20"/>
  <c r="H57" i="20"/>
  <c r="H65" i="20"/>
  <c r="H73" i="20"/>
  <c r="H81" i="20"/>
  <c r="H89" i="20"/>
  <c r="H97" i="20"/>
  <c r="H105" i="20"/>
  <c r="H113" i="20"/>
  <c r="H121" i="20"/>
  <c r="H129" i="20"/>
  <c r="H137" i="20"/>
  <c r="H145" i="20"/>
  <c r="H153" i="20"/>
  <c r="H161" i="20"/>
  <c r="H169" i="20"/>
  <c r="H177" i="20"/>
  <c r="H185" i="20"/>
  <c r="H193" i="20"/>
  <c r="H201" i="20"/>
  <c r="H209" i="20"/>
  <c r="H26" i="20"/>
  <c r="H66" i="20"/>
  <c r="H106" i="20"/>
  <c r="H154" i="20"/>
  <c r="K15" i="21"/>
  <c r="L15" i="21" s="1"/>
  <c r="K23" i="21"/>
  <c r="BJ23" i="21" s="1"/>
  <c r="K31" i="21"/>
  <c r="BJ31" i="21" s="1"/>
  <c r="K39" i="21"/>
  <c r="L39" i="21" s="1"/>
  <c r="K47" i="21"/>
  <c r="L47" i="21" s="1"/>
  <c r="K55" i="21"/>
  <c r="BJ55" i="21" s="1"/>
  <c r="K63" i="21"/>
  <c r="BJ63" i="21" s="1"/>
  <c r="K71" i="21"/>
  <c r="BJ71" i="21" s="1"/>
  <c r="K79" i="21"/>
  <c r="L79" i="21" s="1"/>
  <c r="K87" i="21"/>
  <c r="BJ87" i="21" s="1"/>
  <c r="K95" i="21"/>
  <c r="L95" i="21" s="1"/>
  <c r="K103" i="21"/>
  <c r="L103" i="21" s="1"/>
  <c r="K16" i="21"/>
  <c r="BJ16" i="21" s="1"/>
  <c r="K24" i="21"/>
  <c r="L24" i="21" s="1"/>
  <c r="K32" i="21"/>
  <c r="BJ32" i="21" s="1"/>
  <c r="K48" i="21"/>
  <c r="BJ48" i="21" s="1"/>
  <c r="K64" i="21"/>
  <c r="BJ64" i="21" s="1"/>
  <c r="K96" i="21"/>
  <c r="BJ96" i="21" s="1"/>
  <c r="K17" i="21"/>
  <c r="BJ17" i="21" s="1"/>
  <c r="K25" i="21"/>
  <c r="L25" i="21" s="1"/>
  <c r="K33" i="21"/>
  <c r="BJ33" i="21" s="1"/>
  <c r="K41" i="21"/>
  <c r="BJ41" i="21" s="1"/>
  <c r="K49" i="21"/>
  <c r="BJ49" i="21" s="1"/>
  <c r="K57" i="21"/>
  <c r="BJ57" i="21" s="1"/>
  <c r="K65" i="21"/>
  <c r="L65" i="21" s="1"/>
  <c r="K73" i="21"/>
  <c r="BJ73" i="21" s="1"/>
  <c r="K81" i="21"/>
  <c r="L81" i="21" s="1"/>
  <c r="K89" i="21"/>
  <c r="L89" i="21" s="1"/>
  <c r="K97" i="21"/>
  <c r="BJ97" i="21" s="1"/>
  <c r="K105" i="21"/>
  <c r="BJ105" i="21" s="1"/>
  <c r="K10" i="21"/>
  <c r="BJ10" i="21" s="1"/>
  <c r="K26" i="21"/>
  <c r="BJ26" i="21" s="1"/>
  <c r="K34" i="21"/>
  <c r="BJ34" i="21" s="1"/>
  <c r="K42" i="21"/>
  <c r="BJ42" i="21" s="1"/>
  <c r="K58" i="21"/>
  <c r="BJ58" i="21" s="1"/>
  <c r="K66" i="21"/>
  <c r="L66" i="21" s="1"/>
  <c r="K74" i="21"/>
  <c r="BJ74" i="21" s="1"/>
  <c r="K90" i="21"/>
  <c r="BJ90" i="21" s="1"/>
  <c r="K98" i="21"/>
  <c r="BJ98" i="21" s="1"/>
  <c r="K29" i="21"/>
  <c r="BJ29" i="21" s="1"/>
  <c r="K38" i="21"/>
  <c r="BJ38" i="21" s="1"/>
  <c r="K94" i="21"/>
  <c r="BJ94" i="21" s="1"/>
  <c r="K88" i="21"/>
  <c r="BJ88" i="21" s="1"/>
  <c r="K18" i="21"/>
  <c r="L18" i="21" s="1"/>
  <c r="K50" i="21"/>
  <c r="BJ50" i="21" s="1"/>
  <c r="K82" i="21"/>
  <c r="BJ82" i="21" s="1"/>
  <c r="K106" i="21"/>
  <c r="BJ106" i="21" s="1"/>
  <c r="K53" i="21"/>
  <c r="BJ53" i="21" s="1"/>
  <c r="K69" i="21"/>
  <c r="BJ69" i="21" s="1"/>
  <c r="K93" i="21"/>
  <c r="BJ93" i="21" s="1"/>
  <c r="K101" i="21"/>
  <c r="BJ101" i="21" s="1"/>
  <c r="K14" i="21"/>
  <c r="L14" i="21" s="1"/>
  <c r="K30" i="21"/>
  <c r="BJ30" i="21" s="1"/>
  <c r="K46" i="21"/>
  <c r="L46" i="21" s="1"/>
  <c r="K62" i="21"/>
  <c r="L62" i="21" s="1"/>
  <c r="K70" i="21"/>
  <c r="BJ70" i="21" s="1"/>
  <c r="K102" i="21"/>
  <c r="BJ102" i="21" s="1"/>
  <c r="K40" i="21"/>
  <c r="BJ40" i="21" s="1"/>
  <c r="K72" i="21"/>
  <c r="BJ72" i="21" s="1"/>
  <c r="K11" i="21"/>
  <c r="L11" i="21" s="1"/>
  <c r="K19" i="21"/>
  <c r="BJ19" i="21" s="1"/>
  <c r="K27" i="21"/>
  <c r="BJ27" i="21" s="1"/>
  <c r="K35" i="21"/>
  <c r="BJ35" i="21" s="1"/>
  <c r="K43" i="21"/>
  <c r="L43" i="21" s="1"/>
  <c r="K51" i="21"/>
  <c r="L51" i="21" s="1"/>
  <c r="K59" i="21"/>
  <c r="BJ59" i="21" s="1"/>
  <c r="K67" i="21"/>
  <c r="BJ67" i="21" s="1"/>
  <c r="K75" i="21"/>
  <c r="L75" i="21" s="1"/>
  <c r="K83" i="21"/>
  <c r="BJ83" i="21" s="1"/>
  <c r="K91" i="21"/>
  <c r="L91" i="21" s="1"/>
  <c r="K99" i="21"/>
  <c r="BJ99" i="21" s="1"/>
  <c r="K107" i="21"/>
  <c r="BJ107" i="21" s="1"/>
  <c r="K37" i="21"/>
  <c r="BJ37" i="21" s="1"/>
  <c r="K61" i="21"/>
  <c r="BJ61" i="21" s="1"/>
  <c r="K85" i="21"/>
  <c r="BJ85" i="21" s="1"/>
  <c r="K86" i="21"/>
  <c r="L86" i="21" s="1"/>
  <c r="K104" i="21"/>
  <c r="BJ104" i="21" s="1"/>
  <c r="K12" i="21"/>
  <c r="L12" i="21" s="1"/>
  <c r="K20" i="21"/>
  <c r="BJ20" i="21" s="1"/>
  <c r="K28" i="21"/>
  <c r="BJ28" i="21" s="1"/>
  <c r="K36" i="21"/>
  <c r="L36" i="21" s="1"/>
  <c r="K44" i="21"/>
  <c r="BJ44" i="21" s="1"/>
  <c r="K52" i="21"/>
  <c r="BJ52" i="21" s="1"/>
  <c r="K60" i="21"/>
  <c r="L60" i="21" s="1"/>
  <c r="K68" i="21"/>
  <c r="L68" i="21" s="1"/>
  <c r="K76" i="21"/>
  <c r="BJ76" i="21" s="1"/>
  <c r="K84" i="21"/>
  <c r="BJ84" i="21" s="1"/>
  <c r="K92" i="21"/>
  <c r="BJ92" i="21" s="1"/>
  <c r="K100" i="21"/>
  <c r="BJ100" i="21" s="1"/>
  <c r="K108" i="21"/>
  <c r="BJ108" i="21" s="1"/>
  <c r="K13" i="21"/>
  <c r="BJ13" i="21" s="1"/>
  <c r="K21" i="21"/>
  <c r="L21" i="21" s="1"/>
  <c r="K45" i="21"/>
  <c r="BJ45" i="21" s="1"/>
  <c r="K77" i="21"/>
  <c r="L77" i="21" s="1"/>
  <c r="K109" i="21"/>
  <c r="L109" i="21" s="1"/>
  <c r="K22" i="21"/>
  <c r="L22" i="21" s="1"/>
  <c r="K54" i="21"/>
  <c r="L54" i="21" s="1"/>
  <c r="K78" i="21"/>
  <c r="BJ78" i="21" s="1"/>
  <c r="K56" i="21"/>
  <c r="BJ56" i="21" s="1"/>
  <c r="K80" i="21"/>
  <c r="L80" i="21" s="1"/>
  <c r="B19" i="21"/>
  <c r="BJ9" i="21"/>
  <c r="BE105" i="21"/>
  <c r="BE101" i="21"/>
  <c r="BE97" i="21"/>
  <c r="BE93" i="21"/>
  <c r="BE89" i="21"/>
  <c r="BE85" i="21"/>
  <c r="BE81" i="21"/>
  <c r="BE77" i="21"/>
  <c r="BE73" i="21"/>
  <c r="BE69" i="21"/>
  <c r="BE65" i="21"/>
  <c r="BE61" i="21"/>
  <c r="BE57" i="21"/>
  <c r="BE53" i="21"/>
  <c r="BE49" i="21"/>
  <c r="BE45" i="21"/>
  <c r="BE41" i="21"/>
  <c r="BE37" i="21"/>
  <c r="BE33" i="21"/>
  <c r="BE29" i="21"/>
  <c r="BE25" i="21"/>
  <c r="BE21" i="21"/>
  <c r="BE17" i="21"/>
  <c r="BE13" i="21"/>
  <c r="BE109" i="21"/>
  <c r="BE9" i="21"/>
  <c r="BE92" i="21"/>
  <c r="BE52" i="21"/>
  <c r="BE40" i="21"/>
  <c r="BE32" i="21"/>
  <c r="BE24" i="21"/>
  <c r="BE20" i="21"/>
  <c r="BE12" i="21"/>
  <c r="BE90" i="21"/>
  <c r="BE26" i="21"/>
  <c r="BE108" i="21"/>
  <c r="BE104" i="21"/>
  <c r="BE100" i="21"/>
  <c r="BE96" i="21"/>
  <c r="BE88" i="21"/>
  <c r="BE84" i="21"/>
  <c r="BE80" i="21"/>
  <c r="BE76" i="21"/>
  <c r="BE72" i="21"/>
  <c r="BE68" i="21"/>
  <c r="BE64" i="21"/>
  <c r="BE60" i="21"/>
  <c r="BE56" i="21"/>
  <c r="BE48" i="21"/>
  <c r="BE44" i="21"/>
  <c r="BE36" i="21"/>
  <c r="BE28" i="21"/>
  <c r="BE16" i="21"/>
  <c r="BE106" i="21"/>
  <c r="BE94" i="21"/>
  <c r="BE86" i="21"/>
  <c r="BE82" i="21"/>
  <c r="BE74" i="21"/>
  <c r="BE66" i="21"/>
  <c r="BE58" i="21"/>
  <c r="BE54" i="21"/>
  <c r="BE46" i="21"/>
  <c r="BE38" i="21"/>
  <c r="BE34" i="21"/>
  <c r="BE22" i="21"/>
  <c r="BE18" i="21"/>
  <c r="BE102" i="21"/>
  <c r="BE70" i="21"/>
  <c r="BE10" i="21"/>
  <c r="BE107" i="21"/>
  <c r="BE103" i="21"/>
  <c r="BE99" i="21"/>
  <c r="BE95" i="21"/>
  <c r="BE91" i="21"/>
  <c r="BE87" i="21"/>
  <c r="BE83" i="21"/>
  <c r="BE79" i="21"/>
  <c r="BE75" i="21"/>
  <c r="BE71" i="21"/>
  <c r="BE67" i="21"/>
  <c r="BE63" i="21"/>
  <c r="BE59" i="21"/>
  <c r="BE55" i="21"/>
  <c r="BE51" i="21"/>
  <c r="BE47" i="21"/>
  <c r="BE43" i="21"/>
  <c r="BE39" i="21"/>
  <c r="BE35" i="21"/>
  <c r="BE31" i="21"/>
  <c r="BE27" i="21"/>
  <c r="BE23" i="21"/>
  <c r="BE19" i="21"/>
  <c r="BE15" i="21"/>
  <c r="BE11" i="21"/>
  <c r="BE98" i="21"/>
  <c r="BE78" i="21"/>
  <c r="BE62" i="21"/>
  <c r="BE50" i="21"/>
  <c r="BE42" i="21"/>
  <c r="BE30" i="21"/>
  <c r="BE14" i="21"/>
  <c r="BE9" i="20"/>
  <c r="BE17" i="20"/>
  <c r="BE25" i="20"/>
  <c r="BE33" i="20"/>
  <c r="BE41" i="20"/>
  <c r="BE49" i="20"/>
  <c r="BE57" i="20"/>
  <c r="BE65" i="20"/>
  <c r="BE73" i="20"/>
  <c r="BE81" i="20"/>
  <c r="BE89" i="20"/>
  <c r="BE97" i="20"/>
  <c r="BE105" i="20"/>
  <c r="BE113" i="20"/>
  <c r="BE121" i="20"/>
  <c r="BE129" i="20"/>
  <c r="BE137" i="20"/>
  <c r="BE145" i="20"/>
  <c r="BE153" i="20"/>
  <c r="BE161" i="20"/>
  <c r="BE169" i="20"/>
  <c r="BE177" i="20"/>
  <c r="BE185" i="20"/>
  <c r="BE193" i="20"/>
  <c r="BE201" i="20"/>
  <c r="BE209" i="20"/>
  <c r="BE10" i="20"/>
  <c r="BE18" i="20"/>
  <c r="BE26" i="20"/>
  <c r="BE34" i="20"/>
  <c r="BE42" i="20"/>
  <c r="BE50" i="20"/>
  <c r="BE58" i="20"/>
  <c r="BE66" i="20"/>
  <c r="BE74" i="20"/>
  <c r="BE82" i="20"/>
  <c r="BE90" i="20"/>
  <c r="BE98" i="20"/>
  <c r="BE106" i="20"/>
  <c r="BE114" i="20"/>
  <c r="BE122" i="20"/>
  <c r="BE130" i="20"/>
  <c r="BE138" i="20"/>
  <c r="BE146" i="20"/>
  <c r="BE154" i="20"/>
  <c r="BE162" i="20"/>
  <c r="BE170" i="20"/>
  <c r="BE178" i="20"/>
  <c r="BE186" i="20"/>
  <c r="BE194" i="20"/>
  <c r="BE202" i="20"/>
  <c r="BE11" i="20"/>
  <c r="BE19" i="20"/>
  <c r="BE27" i="20"/>
  <c r="BE35" i="20"/>
  <c r="BE43" i="20"/>
  <c r="BE51" i="20"/>
  <c r="BE59" i="20"/>
  <c r="BE67" i="20"/>
  <c r="BE12" i="20"/>
  <c r="BE20" i="20"/>
  <c r="BE28" i="20"/>
  <c r="BE36" i="20"/>
  <c r="BE44" i="20"/>
  <c r="BE52" i="20"/>
  <c r="BE60" i="20"/>
  <c r="BE68" i="20"/>
  <c r="BE76" i="20"/>
  <c r="BE84" i="20"/>
  <c r="BE92" i="20"/>
  <c r="BE100" i="20"/>
  <c r="BE108" i="20"/>
  <c r="BE116" i="20"/>
  <c r="BE124" i="20"/>
  <c r="BE132" i="20"/>
  <c r="BE140" i="20"/>
  <c r="BE148" i="20"/>
  <c r="BE156" i="20"/>
  <c r="BE164" i="20"/>
  <c r="BE172" i="20"/>
  <c r="BE180" i="20"/>
  <c r="BE188" i="20"/>
  <c r="BE196" i="20"/>
  <c r="BE204" i="20"/>
  <c r="BE13" i="20"/>
  <c r="BE21" i="20"/>
  <c r="BE29" i="20"/>
  <c r="BE37" i="20"/>
  <c r="BE45" i="20"/>
  <c r="BE53" i="20"/>
  <c r="BE61" i="20"/>
  <c r="BE69" i="20"/>
  <c r="BE77" i="20"/>
  <c r="BE85" i="20"/>
  <c r="BE93" i="20"/>
  <c r="BE101" i="20"/>
  <c r="BE109" i="20"/>
  <c r="BE117" i="20"/>
  <c r="BE125" i="20"/>
  <c r="BE133" i="20"/>
  <c r="BE141" i="20"/>
  <c r="BE149" i="20"/>
  <c r="BE157" i="20"/>
  <c r="BE165" i="20"/>
  <c r="BE173" i="20"/>
  <c r="BE181" i="20"/>
  <c r="BE189" i="20"/>
  <c r="BE197" i="20"/>
  <c r="BE205" i="20"/>
  <c r="BE15" i="20"/>
  <c r="BE23" i="20"/>
  <c r="BE31" i="20"/>
  <c r="BE39" i="20"/>
  <c r="BE47" i="20"/>
  <c r="BE55" i="20"/>
  <c r="BE63" i="20"/>
  <c r="BE71" i="20"/>
  <c r="BE79" i="20"/>
  <c r="BE87" i="20"/>
  <c r="BE95" i="20"/>
  <c r="BE103" i="20"/>
  <c r="BE111" i="20"/>
  <c r="BE119" i="20"/>
  <c r="BE127" i="20"/>
  <c r="BE135" i="20"/>
  <c r="BE143" i="20"/>
  <c r="BE151" i="20"/>
  <c r="BE159" i="20"/>
  <c r="BE167" i="20"/>
  <c r="BE175" i="20"/>
  <c r="BE183" i="20"/>
  <c r="BE191" i="20"/>
  <c r="BE199" i="20"/>
  <c r="BE207" i="20"/>
  <c r="BE30" i="20"/>
  <c r="BE62" i="20"/>
  <c r="BE86" i="20"/>
  <c r="BE107" i="20"/>
  <c r="BE128" i="20"/>
  <c r="BE150" i="20"/>
  <c r="BE171" i="20"/>
  <c r="BE192" i="20"/>
  <c r="BE32" i="20"/>
  <c r="BE64" i="20"/>
  <c r="BE88" i="20"/>
  <c r="BE110" i="20"/>
  <c r="BE131" i="20"/>
  <c r="BE152" i="20"/>
  <c r="BE174" i="20"/>
  <c r="BE195" i="20"/>
  <c r="BE38" i="20"/>
  <c r="BE70" i="20"/>
  <c r="BE91" i="20"/>
  <c r="BE112" i="20"/>
  <c r="BE134" i="20"/>
  <c r="BE155" i="20"/>
  <c r="BE176" i="20"/>
  <c r="BE198" i="20"/>
  <c r="BE40" i="20"/>
  <c r="BE72" i="20"/>
  <c r="BE94" i="20"/>
  <c r="BE115" i="20"/>
  <c r="BE136" i="20"/>
  <c r="BE158" i="20"/>
  <c r="BE179" i="20"/>
  <c r="BE200" i="20"/>
  <c r="BE14" i="20"/>
  <c r="BE46" i="20"/>
  <c r="BE75" i="20"/>
  <c r="BE96" i="20"/>
  <c r="BE118" i="20"/>
  <c r="BE139" i="20"/>
  <c r="BE160" i="20"/>
  <c r="BE182" i="20"/>
  <c r="BE203" i="20"/>
  <c r="BE16" i="20"/>
  <c r="BE83" i="20"/>
  <c r="BE144" i="20"/>
  <c r="BE206" i="20"/>
  <c r="BE22" i="20"/>
  <c r="BE99" i="20"/>
  <c r="BE147" i="20"/>
  <c r="BE208" i="20"/>
  <c r="BE24" i="20"/>
  <c r="BE102" i="20"/>
  <c r="BE163" i="20"/>
  <c r="BE48" i="20"/>
  <c r="BE104" i="20"/>
  <c r="BE166" i="20"/>
  <c r="BE54" i="20"/>
  <c r="BE120" i="20"/>
  <c r="BE168" i="20"/>
  <c r="BE56" i="20"/>
  <c r="BE123" i="20"/>
  <c r="BE184" i="20"/>
  <c r="BE187" i="20"/>
  <c r="BE190" i="20"/>
  <c r="BE78" i="20"/>
  <c r="BE80" i="20"/>
  <c r="BE126" i="20"/>
  <c r="BE142" i="20"/>
  <c r="L9" i="21"/>
  <c r="B526" i="2"/>
  <c r="A46" i="16"/>
  <c r="B4" i="11"/>
  <c r="D4" i="11" s="1"/>
  <c r="B6" i="11" s="1"/>
  <c r="D6" i="11" s="1"/>
  <c r="B38" i="21"/>
  <c r="B38" i="20"/>
  <c r="B20" i="21"/>
  <c r="B20" i="20"/>
  <c r="B44" i="20"/>
  <c r="B44" i="21"/>
  <c r="B40" i="20"/>
  <c r="B40" i="21"/>
  <c r="B39" i="21"/>
  <c r="B77" i="21"/>
  <c r="BG108" i="21"/>
  <c r="BG104" i="21"/>
  <c r="BG100" i="21"/>
  <c r="BG96" i="21"/>
  <c r="BG92" i="21"/>
  <c r="BG88" i="21"/>
  <c r="BG84" i="21"/>
  <c r="BG80" i="21"/>
  <c r="BG79" i="21"/>
  <c r="BG73" i="21"/>
  <c r="BG59" i="21"/>
  <c r="BG52" i="21"/>
  <c r="BG45" i="21"/>
  <c r="BG37" i="21"/>
  <c r="BG28" i="21"/>
  <c r="BG69" i="21"/>
  <c r="BG64" i="21"/>
  <c r="BG60" i="21"/>
  <c r="BG51" i="21"/>
  <c r="BG42" i="21"/>
  <c r="BG35" i="21"/>
  <c r="BG27" i="21"/>
  <c r="BG20" i="21"/>
  <c r="BG16" i="21"/>
  <c r="BG14" i="21"/>
  <c r="BG12" i="21"/>
  <c r="BG173" i="20"/>
  <c r="BG156" i="20"/>
  <c r="BG141" i="20"/>
  <c r="BG124" i="20"/>
  <c r="BG207" i="20"/>
  <c r="BG197" i="20"/>
  <c r="BG179" i="20"/>
  <c r="BG163" i="20"/>
  <c r="BG147" i="20"/>
  <c r="BG131" i="20"/>
  <c r="BG116" i="20"/>
  <c r="BG194" i="20"/>
  <c r="BG180" i="20"/>
  <c r="BG161" i="20"/>
  <c r="BG144" i="20"/>
  <c r="BG128" i="20"/>
  <c r="BG114" i="20"/>
  <c r="BG202" i="20"/>
  <c r="BG109" i="21"/>
  <c r="BG105" i="21"/>
  <c r="BG101" i="21"/>
  <c r="BG97" i="21"/>
  <c r="BG93" i="21"/>
  <c r="BG89" i="21"/>
  <c r="BG85" i="21"/>
  <c r="BG81" i="21"/>
  <c r="BG72" i="21"/>
  <c r="BG74" i="21"/>
  <c r="BG68" i="21"/>
  <c r="BG54" i="21"/>
  <c r="BG47" i="21"/>
  <c r="BG39" i="21"/>
  <c r="BG29" i="21"/>
  <c r="BG23" i="21"/>
  <c r="BG65" i="21"/>
  <c r="BG61" i="21"/>
  <c r="BG53" i="21"/>
  <c r="BG44" i="21"/>
  <c r="BG36" i="21"/>
  <c r="BG30" i="21"/>
  <c r="BG21" i="21"/>
  <c r="BG17" i="21"/>
  <c r="BG181" i="20"/>
  <c r="BG168" i="20"/>
  <c r="BG152" i="20"/>
  <c r="BG135" i="20"/>
  <c r="BG120" i="20"/>
  <c r="BG205" i="20"/>
  <c r="BG193" i="20"/>
  <c r="BG175" i="20"/>
  <c r="BG159" i="20"/>
  <c r="BG145" i="20"/>
  <c r="BG129" i="20"/>
  <c r="BG112" i="20"/>
  <c r="BG189" i="20"/>
  <c r="BG176" i="20"/>
  <c r="BG157" i="20"/>
  <c r="BG142" i="20"/>
  <c r="BG125" i="20"/>
  <c r="BG209" i="20"/>
  <c r="BG185" i="20"/>
  <c r="BG106" i="21"/>
  <c r="BG102" i="21"/>
  <c r="BG98" i="21"/>
  <c r="BG94" i="21"/>
  <c r="BG90" i="21"/>
  <c r="BG86" i="21"/>
  <c r="BG82" i="21"/>
  <c r="BG75" i="21"/>
  <c r="BG76" i="21"/>
  <c r="BG70" i="21"/>
  <c r="BG56" i="21"/>
  <c r="BG48" i="21"/>
  <c r="BG41" i="21"/>
  <c r="BG33" i="21"/>
  <c r="BG25" i="21"/>
  <c r="BG66" i="21"/>
  <c r="BG62" i="21"/>
  <c r="BG55" i="21"/>
  <c r="BG46" i="21"/>
  <c r="BG38" i="21"/>
  <c r="BG31" i="21"/>
  <c r="BG22" i="21"/>
  <c r="BG19" i="21"/>
  <c r="BG15" i="21"/>
  <c r="BG13" i="21"/>
  <c r="BG11" i="21"/>
  <c r="BG184" i="20"/>
  <c r="BG164" i="20"/>
  <c r="BG148" i="20"/>
  <c r="BG133" i="20"/>
  <c r="BG115" i="20"/>
  <c r="BG203" i="20"/>
  <c r="BG190" i="20"/>
  <c r="BG171" i="20"/>
  <c r="BG155" i="20"/>
  <c r="BG139" i="20"/>
  <c r="BG123" i="20"/>
  <c r="BG208" i="20"/>
  <c r="BG187" i="20"/>
  <c r="BG172" i="20"/>
  <c r="BG153" i="20"/>
  <c r="BG136" i="20"/>
  <c r="BG122" i="20"/>
  <c r="BG206" i="20"/>
  <c r="BG196" i="20"/>
  <c r="BG107" i="21"/>
  <c r="BG103" i="21"/>
  <c r="BG99" i="21"/>
  <c r="BG95" i="21"/>
  <c r="BG91" i="21"/>
  <c r="BG87" i="21"/>
  <c r="BG83" i="21"/>
  <c r="BG77" i="21"/>
  <c r="BG78" i="21"/>
  <c r="BG71" i="21"/>
  <c r="BG57" i="21"/>
  <c r="BG50" i="21"/>
  <c r="BG43" i="21"/>
  <c r="BG34" i="21"/>
  <c r="BG26" i="21"/>
  <c r="BG67" i="21"/>
  <c r="BG63" i="21"/>
  <c r="BG58" i="21"/>
  <c r="BG49" i="21"/>
  <c r="BG40" i="21"/>
  <c r="BG32" i="21"/>
  <c r="BG24" i="21"/>
  <c r="BG18" i="21"/>
  <c r="BG10" i="21"/>
  <c r="BG177" i="20"/>
  <c r="BG160" i="20"/>
  <c r="BG143" i="20"/>
  <c r="BG127" i="20"/>
  <c r="BG111" i="20"/>
  <c r="BG201" i="20"/>
  <c r="BG183" i="20"/>
  <c r="BG167" i="20"/>
  <c r="BG151" i="20"/>
  <c r="BG137" i="20"/>
  <c r="BG119" i="20"/>
  <c r="BG198" i="20"/>
  <c r="BG169" i="20"/>
  <c r="BG165" i="20"/>
  <c r="BG149" i="20"/>
  <c r="BG134" i="20"/>
  <c r="BG204" i="20"/>
  <c r="BG186" i="20"/>
  <c r="BG170" i="20"/>
  <c r="BG154" i="20"/>
  <c r="BG138" i="20"/>
  <c r="BG121" i="20"/>
  <c r="BG199" i="20"/>
  <c r="BG191" i="20"/>
  <c r="BG174" i="20"/>
  <c r="BG158" i="20"/>
  <c r="BG140" i="20"/>
  <c r="BG126" i="20"/>
  <c r="BG110" i="20"/>
  <c r="BG188" i="20"/>
  <c r="BG118" i="20"/>
  <c r="BG200" i="20"/>
  <c r="BG178" i="20"/>
  <c r="BG162" i="20"/>
  <c r="BG146" i="20"/>
  <c r="BG130" i="20"/>
  <c r="BG113" i="20"/>
  <c r="BG192" i="20"/>
  <c r="BG182" i="20"/>
  <c r="BG166" i="20"/>
  <c r="BG150" i="20"/>
  <c r="BG132" i="20"/>
  <c r="BG117" i="20"/>
  <c r="BG195" i="20"/>
  <c r="B59" i="20"/>
  <c r="B59" i="21"/>
  <c r="B18" i="20"/>
  <c r="B18" i="21"/>
  <c r="B12" i="21"/>
  <c r="B25" i="20"/>
  <c r="B25" i="21"/>
  <c r="B50" i="21"/>
  <c r="B50" i="20"/>
  <c r="B23" i="20"/>
  <c r="B23" i="21"/>
  <c r="B47" i="20"/>
  <c r="B47" i="21"/>
  <c r="B46" i="20"/>
  <c r="B46" i="21"/>
  <c r="K21" i="20"/>
  <c r="K23" i="20"/>
  <c r="K22" i="20"/>
  <c r="B14" i="21"/>
  <c r="K189" i="20"/>
  <c r="K190" i="20"/>
  <c r="K191" i="20"/>
  <c r="K192" i="20"/>
  <c r="K194" i="20"/>
  <c r="K117" i="20"/>
  <c r="BJ117" i="20" s="1"/>
  <c r="K118" i="20"/>
  <c r="K119" i="20"/>
  <c r="K120" i="20"/>
  <c r="K121" i="20"/>
  <c r="K122" i="20"/>
  <c r="K123" i="20"/>
  <c r="BJ123" i="20" s="1"/>
  <c r="K124" i="20"/>
  <c r="K125" i="20"/>
  <c r="K126" i="20"/>
  <c r="K127" i="20"/>
  <c r="K128" i="20"/>
  <c r="K129" i="20"/>
  <c r="K130" i="20"/>
  <c r="K131" i="20"/>
  <c r="BJ131" i="20" s="1"/>
  <c r="K132" i="20"/>
  <c r="K133" i="20"/>
  <c r="K140" i="20"/>
  <c r="K141" i="20"/>
  <c r="K151" i="20"/>
  <c r="K152" i="20"/>
  <c r="K153" i="20"/>
  <c r="K154" i="20"/>
  <c r="K159" i="20"/>
  <c r="K160" i="20"/>
  <c r="K161" i="20"/>
  <c r="K162" i="20"/>
  <c r="K167" i="20"/>
  <c r="K168" i="20"/>
  <c r="K169" i="20"/>
  <c r="K170" i="20"/>
  <c r="K175" i="20"/>
  <c r="K176" i="20"/>
  <c r="K177" i="20"/>
  <c r="K178" i="20"/>
  <c r="K183" i="20"/>
  <c r="K184" i="20"/>
  <c r="K185" i="20"/>
  <c r="K186" i="20"/>
  <c r="K187" i="20"/>
  <c r="K188" i="20"/>
  <c r="K193" i="20"/>
  <c r="K195" i="20"/>
  <c r="K196" i="20"/>
  <c r="K197" i="20"/>
  <c r="K198" i="20"/>
  <c r="K199" i="20"/>
  <c r="K200" i="20"/>
  <c r="K201" i="20"/>
  <c r="BJ201" i="20" s="1"/>
  <c r="K202" i="20"/>
  <c r="K203" i="20"/>
  <c r="K204" i="20"/>
  <c r="K205" i="20"/>
  <c r="K206" i="20"/>
  <c r="K207" i="20"/>
  <c r="K208" i="20"/>
  <c r="K209" i="20"/>
  <c r="K110" i="20"/>
  <c r="K111" i="20"/>
  <c r="K112" i="20"/>
  <c r="K113" i="20"/>
  <c r="K114" i="20"/>
  <c r="K115" i="20"/>
  <c r="K116" i="20"/>
  <c r="K134" i="20"/>
  <c r="K135" i="20"/>
  <c r="BJ135" i="20" s="1"/>
  <c r="K136" i="20"/>
  <c r="K137" i="20"/>
  <c r="K138" i="20"/>
  <c r="BJ138" i="20" s="1"/>
  <c r="K139" i="20"/>
  <c r="K142" i="20"/>
  <c r="K143" i="20"/>
  <c r="K144" i="20"/>
  <c r="BJ144" i="20" s="1"/>
  <c r="K145" i="20"/>
  <c r="BJ145" i="20" s="1"/>
  <c r="K146" i="20"/>
  <c r="BJ146" i="20" s="1"/>
  <c r="K147" i="20"/>
  <c r="K148" i="20"/>
  <c r="K149" i="20"/>
  <c r="K150" i="20"/>
  <c r="K155" i="20"/>
  <c r="K156" i="20"/>
  <c r="K157" i="20"/>
  <c r="K158" i="20"/>
  <c r="K163" i="20"/>
  <c r="K164" i="20"/>
  <c r="K165" i="20"/>
  <c r="K166" i="20"/>
  <c r="K171" i="20"/>
  <c r="K172" i="20"/>
  <c r="K173" i="20"/>
  <c r="K174" i="20"/>
  <c r="K179" i="20"/>
  <c r="BJ179" i="20" s="1"/>
  <c r="K180" i="20"/>
  <c r="K181" i="20"/>
  <c r="K182" i="20"/>
  <c r="B22" i="20"/>
  <c r="B22" i="21"/>
  <c r="B43" i="20"/>
  <c r="B41" i="20"/>
  <c r="B77" i="20"/>
  <c r="B39" i="20"/>
  <c r="BG106" i="20"/>
  <c r="BG104" i="20"/>
  <c r="BG101" i="20"/>
  <c r="BG92" i="20"/>
  <c r="BG93" i="20"/>
  <c r="BG85" i="20"/>
  <c r="BG86" i="20"/>
  <c r="BG77" i="20"/>
  <c r="BG70" i="20"/>
  <c r="BG65" i="20"/>
  <c r="BG73" i="20"/>
  <c r="BG62" i="20"/>
  <c r="BG57" i="20"/>
  <c r="BG56" i="20"/>
  <c r="BG52" i="20"/>
  <c r="BG48" i="20"/>
  <c r="BG28" i="20"/>
  <c r="BG17" i="20"/>
  <c r="BG44" i="20"/>
  <c r="BG40" i="20"/>
  <c r="BG36" i="20"/>
  <c r="BG29" i="20"/>
  <c r="BG22" i="20"/>
  <c r="BG16" i="20"/>
  <c r="BG15" i="20"/>
  <c r="BG11" i="20"/>
  <c r="BG108" i="20"/>
  <c r="BG105" i="20"/>
  <c r="BG103" i="20"/>
  <c r="BG99" i="20"/>
  <c r="BG87" i="20"/>
  <c r="BG84" i="20"/>
  <c r="BG69" i="20"/>
  <c r="BG72" i="20"/>
  <c r="BG58" i="20"/>
  <c r="BG53" i="20"/>
  <c r="BG31" i="20"/>
  <c r="BG41" i="20"/>
  <c r="BG30" i="20"/>
  <c r="BG12" i="20"/>
  <c r="BG91" i="20"/>
  <c r="BG78" i="20"/>
  <c r="BG67" i="20"/>
  <c r="BG60" i="20"/>
  <c r="BG55" i="20"/>
  <c r="BG35" i="20"/>
  <c r="BG47" i="20"/>
  <c r="BG39" i="20"/>
  <c r="BG25" i="20"/>
  <c r="BG14" i="20"/>
  <c r="BG10" i="20"/>
  <c r="BG107" i="20"/>
  <c r="BG100" i="20"/>
  <c r="BG96" i="20"/>
  <c r="BG97" i="20"/>
  <c r="BG89" i="20"/>
  <c r="BG90" i="20"/>
  <c r="BG81" i="20"/>
  <c r="BG75" i="20"/>
  <c r="BG68" i="20"/>
  <c r="BG80" i="20"/>
  <c r="BG71" i="20"/>
  <c r="BG59" i="20"/>
  <c r="BG63" i="20"/>
  <c r="BG54" i="20"/>
  <c r="BG50" i="20"/>
  <c r="BG34" i="20"/>
  <c r="BG26" i="20"/>
  <c r="BG46" i="20"/>
  <c r="BG42" i="20"/>
  <c r="BG38" i="20"/>
  <c r="BG32" i="20"/>
  <c r="BG24" i="20"/>
  <c r="BG18" i="20"/>
  <c r="BG19" i="20"/>
  <c r="BG13" i="20"/>
  <c r="BG9" i="20"/>
  <c r="BG109" i="20"/>
  <c r="BG102" i="20"/>
  <c r="BG94" i="20"/>
  <c r="BG95" i="20"/>
  <c r="BG83" i="20"/>
  <c r="BG76" i="20"/>
  <c r="BG82" i="20"/>
  <c r="BG64" i="20"/>
  <c r="BG61" i="20"/>
  <c r="BG49" i="20"/>
  <c r="BG43" i="20"/>
  <c r="BG37" i="20"/>
  <c r="BG23" i="20"/>
  <c r="BG98" i="20"/>
  <c r="BG88" i="20"/>
  <c r="BG74" i="20"/>
  <c r="BG79" i="20"/>
  <c r="BG66" i="20"/>
  <c r="BG51" i="20"/>
  <c r="BG27" i="20"/>
  <c r="BG45" i="20"/>
  <c r="BG33" i="20"/>
  <c r="BG20" i="20"/>
  <c r="BG21" i="20"/>
  <c r="B19" i="20"/>
  <c r="B12" i="20"/>
  <c r="B37" i="20"/>
  <c r="B42" i="20"/>
  <c r="K26" i="20"/>
  <c r="K10" i="20"/>
  <c r="K12" i="20"/>
  <c r="K14" i="20"/>
  <c r="K16" i="20"/>
  <c r="BJ16" i="20" s="1"/>
  <c r="K18" i="20"/>
  <c r="K20" i="20"/>
  <c r="K25" i="20"/>
  <c r="K28" i="20"/>
  <c r="K30" i="20"/>
  <c r="K32" i="20"/>
  <c r="BJ32" i="20" s="1"/>
  <c r="K34" i="20"/>
  <c r="K36" i="20"/>
  <c r="K38" i="20"/>
  <c r="K40" i="20"/>
  <c r="K42" i="20"/>
  <c r="K44" i="20"/>
  <c r="BJ44" i="20" s="1"/>
  <c r="K46" i="20"/>
  <c r="BJ46" i="20" s="1"/>
  <c r="K48" i="20"/>
  <c r="K50" i="20"/>
  <c r="BJ50" i="20" s="1"/>
  <c r="K52" i="20"/>
  <c r="K54" i="20"/>
  <c r="K56" i="20"/>
  <c r="BJ56" i="20" s="1"/>
  <c r="K58" i="20"/>
  <c r="K60" i="20"/>
  <c r="K62" i="20"/>
  <c r="K64" i="20"/>
  <c r="K66" i="20"/>
  <c r="K68" i="20"/>
  <c r="BJ68" i="20" s="1"/>
  <c r="K70" i="20"/>
  <c r="K72" i="20"/>
  <c r="K74" i="20"/>
  <c r="K76" i="20"/>
  <c r="K78" i="20"/>
  <c r="K80" i="20"/>
  <c r="K82" i="20"/>
  <c r="BJ82" i="20" s="1"/>
  <c r="K84" i="20"/>
  <c r="K86" i="20"/>
  <c r="K88" i="20"/>
  <c r="K90" i="20"/>
  <c r="K92" i="20"/>
  <c r="K94" i="20"/>
  <c r="K96" i="20"/>
  <c r="K98" i="20"/>
  <c r="K100" i="20"/>
  <c r="K102" i="20"/>
  <c r="K104" i="20"/>
  <c r="K106" i="20"/>
  <c r="K108" i="20"/>
  <c r="K9" i="20"/>
  <c r="B14" i="20"/>
  <c r="K11" i="20"/>
  <c r="K13" i="20"/>
  <c r="K15" i="20"/>
  <c r="K17" i="20"/>
  <c r="K19" i="20"/>
  <c r="K24" i="20"/>
  <c r="K27" i="20"/>
  <c r="K29" i="20"/>
  <c r="K31" i="20"/>
  <c r="K33" i="20"/>
  <c r="K35" i="20"/>
  <c r="K37" i="20"/>
  <c r="K39" i="20"/>
  <c r="K41" i="20"/>
  <c r="K43" i="20"/>
  <c r="K45" i="20"/>
  <c r="K47" i="20"/>
  <c r="K49" i="20"/>
  <c r="K51" i="20"/>
  <c r="K53" i="20"/>
  <c r="K55" i="20"/>
  <c r="K57" i="20"/>
  <c r="K59" i="20"/>
  <c r="K61" i="20"/>
  <c r="K63" i="20"/>
  <c r="K65" i="20"/>
  <c r="K67" i="20"/>
  <c r="K69" i="20"/>
  <c r="K71" i="20"/>
  <c r="K73" i="20"/>
  <c r="K75" i="20"/>
  <c r="K77" i="20"/>
  <c r="K79" i="20"/>
  <c r="K81" i="20"/>
  <c r="BJ81" i="20" s="1"/>
  <c r="K83" i="20"/>
  <c r="K85" i="20"/>
  <c r="K87" i="20"/>
  <c r="K89" i="20"/>
  <c r="K91" i="20"/>
  <c r="K93" i="20"/>
  <c r="K95" i="20"/>
  <c r="K97" i="20"/>
  <c r="K99" i="20"/>
  <c r="K101" i="20"/>
  <c r="K103" i="20"/>
  <c r="K105" i="20"/>
  <c r="K107" i="20"/>
  <c r="BJ107" i="20" s="1"/>
  <c r="K109" i="20"/>
  <c r="B58" i="20"/>
  <c r="D188" i="2"/>
  <c r="D186" i="2"/>
  <c r="H186" i="2"/>
  <c r="D126" i="2"/>
  <c r="D125" i="2"/>
  <c r="D124" i="2"/>
  <c r="D425" i="2"/>
  <c r="B464" i="2"/>
  <c r="B425" i="2"/>
  <c r="C466" i="2"/>
  <c r="B490" i="2"/>
  <c r="K356" i="2"/>
  <c r="A478" i="2"/>
  <c r="B478" i="2"/>
  <c r="D135" i="2"/>
  <c r="B301" i="2"/>
  <c r="B300" i="2"/>
  <c r="B304" i="2" s="1"/>
  <c r="E377" i="2"/>
  <c r="D137" i="2"/>
  <c r="D140" i="2"/>
  <c r="D142" i="2"/>
  <c r="B75" i="2"/>
  <c r="H3" i="8"/>
  <c r="H159" i="8" s="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B15" i="2"/>
  <c r="B17" i="2" s="1"/>
  <c r="B14" i="2"/>
  <c r="B5" i="32" s="1"/>
  <c r="D168" i="2"/>
  <c r="E84" i="2"/>
  <c r="E85" i="2"/>
  <c r="D170" i="2"/>
  <c r="E86" i="2"/>
  <c r="M152" i="2"/>
  <c r="D108" i="2"/>
  <c r="D157" i="2"/>
  <c r="C55" i="2"/>
  <c r="C78" i="2"/>
  <c r="C96" i="2"/>
  <c r="D64" i="2"/>
  <c r="C98" i="2"/>
  <c r="D66" i="2"/>
  <c r="C56" i="2"/>
  <c r="D109" i="2"/>
  <c r="C80" i="2"/>
  <c r="C57" i="2"/>
  <c r="D159" i="2"/>
  <c r="M154" i="2"/>
  <c r="C79" i="2"/>
  <c r="M153" i="2"/>
  <c r="D65" i="2"/>
  <c r="C97" i="2"/>
  <c r="D110" i="2"/>
  <c r="B57" i="2"/>
  <c r="B55" i="2"/>
  <c r="B60" i="2" s="1"/>
  <c r="B56" i="2"/>
  <c r="B61" i="2" s="1"/>
  <c r="C52" i="2"/>
  <c r="B52" i="2"/>
  <c r="B53" i="2" s="1"/>
  <c r="B488" i="2"/>
  <c r="R21" i="8"/>
  <c r="Q4" i="8"/>
  <c r="R4" i="8" s="1"/>
  <c r="E13" i="1" s="1"/>
  <c r="R9" i="8"/>
  <c r="B400" i="2"/>
  <c r="D377" i="2"/>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R23" i="8" s="1"/>
  <c r="N10" i="26" s="1"/>
  <c r="E27" i="1"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B4" i="6"/>
  <c r="B12" i="6" s="1"/>
  <c r="B13" i="6" s="1"/>
  <c r="B101" i="2"/>
  <c r="B357" i="2"/>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K19" i="27" l="1"/>
  <c r="M19" i="27" s="1"/>
  <c r="B382" i="2"/>
  <c r="Q10" i="8" s="1"/>
  <c r="R10" i="8" s="1"/>
  <c r="B33" i="32"/>
  <c r="K16" i="27"/>
  <c r="M16" i="27" s="1"/>
  <c r="Q22" i="27"/>
  <c r="Q10" i="27"/>
  <c r="L66" i="20"/>
  <c r="K18" i="27"/>
  <c r="L18" i="27" s="1"/>
  <c r="N18" i="27" s="1"/>
  <c r="K15" i="27"/>
  <c r="L15" i="27" s="1"/>
  <c r="N15" i="27" s="1"/>
  <c r="B34" i="32"/>
  <c r="L3" i="31"/>
  <c r="O3" i="32"/>
  <c r="B338" i="2"/>
  <c r="C3" i="31" s="1"/>
  <c r="B25" i="2"/>
  <c r="B384" i="2"/>
  <c r="B213"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214" i="2" s="1"/>
  <c r="K13" i="27"/>
  <c r="L13" i="27" s="1"/>
  <c r="N13" i="27" s="1"/>
  <c r="K17" i="27"/>
  <c r="L17" i="27" s="1"/>
  <c r="N17" i="27" s="1"/>
  <c r="Q11" i="27"/>
  <c r="K14" i="27"/>
  <c r="L14" i="27" s="1"/>
  <c r="N14" i="27" s="1"/>
  <c r="Q24" i="27"/>
  <c r="K23" i="27"/>
  <c r="L23" i="27" s="1"/>
  <c r="N23" i="27" s="1"/>
  <c r="X81" i="27"/>
  <c r="S81" i="27"/>
  <c r="AC81" i="27"/>
  <c r="K20" i="27"/>
  <c r="M20" i="27" s="1"/>
  <c r="L12" i="27"/>
  <c r="N12" i="27" s="1"/>
  <c r="Q12" i="27"/>
  <c r="L24" i="27"/>
  <c r="N24" i="27" s="1"/>
  <c r="M21" i="27"/>
  <c r="L22" i="27"/>
  <c r="N22" i="27" s="1"/>
  <c r="M11" i="27"/>
  <c r="J87" i="27"/>
  <c r="J37" i="27"/>
  <c r="K37" i="27" s="1"/>
  <c r="J101" i="27"/>
  <c r="J95" i="27"/>
  <c r="J84" i="27"/>
  <c r="J49" i="27"/>
  <c r="K49" i="27" s="1"/>
  <c r="J34" i="27"/>
  <c r="K34" i="27" s="1"/>
  <c r="J17" i="27"/>
  <c r="J97" i="27"/>
  <c r="J92" i="27"/>
  <c r="J89" i="27"/>
  <c r="J48" i="27"/>
  <c r="K48" i="27" s="1"/>
  <c r="J33" i="27"/>
  <c r="K33" i="27" s="1"/>
  <c r="J19" i="27"/>
  <c r="J10" i="27"/>
  <c r="K10" i="27" s="1"/>
  <c r="J94" i="27"/>
  <c r="J21" i="27"/>
  <c r="J15" i="27"/>
  <c r="J5" i="27"/>
  <c r="K5" i="27" s="1"/>
  <c r="J85" i="27"/>
  <c r="J24" i="27"/>
  <c r="J14" i="27"/>
  <c r="J8" i="27"/>
  <c r="K8" i="27" s="1"/>
  <c r="J23" i="27"/>
  <c r="J98" i="27"/>
  <c r="J47" i="27"/>
  <c r="K47" i="27" s="1"/>
  <c r="J43" i="27"/>
  <c r="K43" i="27" s="1"/>
  <c r="J12" i="27"/>
  <c r="J102" i="27"/>
  <c r="J93" i="27"/>
  <c r="J42" i="27"/>
  <c r="K42" i="27" s="1"/>
  <c r="J20" i="27"/>
  <c r="J11" i="27"/>
  <c r="J7" i="27"/>
  <c r="K7" i="27" s="1"/>
  <c r="L7" i="27" s="1"/>
  <c r="N7" i="27" s="1"/>
  <c r="J16" i="27"/>
  <c r="J18" i="27"/>
  <c r="J88" i="27"/>
  <c r="J83" i="27"/>
  <c r="J39" i="27"/>
  <c r="K39" i="27" s="1"/>
  <c r="J100" i="27"/>
  <c r="J91" i="27"/>
  <c r="J38" i="27"/>
  <c r="K38" i="27" s="1"/>
  <c r="J90" i="27"/>
  <c r="J96" i="27"/>
  <c r="J86" i="27"/>
  <c r="J82" i="27"/>
  <c r="J22" i="27"/>
  <c r="J13" i="27"/>
  <c r="J9" i="27"/>
  <c r="K9" i="27" s="1"/>
  <c r="J6" i="27"/>
  <c r="K6" i="27" s="1"/>
  <c r="J99" i="27"/>
  <c r="J46" i="27"/>
  <c r="K46" i="27" s="1"/>
  <c r="J31" i="27"/>
  <c r="K31" i="27" s="1"/>
  <c r="J32" i="27"/>
  <c r="K32" i="27" s="1"/>
  <c r="J35" i="27"/>
  <c r="K35" i="27" s="1"/>
  <c r="J44" i="27"/>
  <c r="K44" i="27" s="1"/>
  <c r="J45" i="27"/>
  <c r="K45" i="27" s="1"/>
  <c r="J30" i="27"/>
  <c r="K30" i="27" s="1"/>
  <c r="J50" i="27"/>
  <c r="K50" i="27" s="1"/>
  <c r="J36" i="27"/>
  <c r="K36" i="27" s="1"/>
  <c r="J40" i="27"/>
  <c r="K40" i="27" s="1"/>
  <c r="J41" i="27"/>
  <c r="K41" i="27" s="1"/>
  <c r="J59" i="27"/>
  <c r="K59" i="27" s="1"/>
  <c r="J60" i="27"/>
  <c r="K60" i="27" s="1"/>
  <c r="J69" i="27"/>
  <c r="K69" i="27" s="1"/>
  <c r="J67" i="27"/>
  <c r="K67" i="27" s="1"/>
  <c r="J76" i="27"/>
  <c r="K76" i="27" s="1"/>
  <c r="J63" i="27"/>
  <c r="K63" i="27" s="1"/>
  <c r="J64" i="27"/>
  <c r="K64" i="27" s="1"/>
  <c r="J66" i="27"/>
  <c r="K66" i="27" s="1"/>
  <c r="J62" i="27"/>
  <c r="K62" i="27" s="1"/>
  <c r="J74" i="27"/>
  <c r="K74" i="27" s="1"/>
  <c r="J70" i="27"/>
  <c r="K70" i="27" s="1"/>
  <c r="J4" i="27"/>
  <c r="K4" i="27" s="1"/>
  <c r="M4" i="27" s="1"/>
  <c r="J57" i="27"/>
  <c r="K57" i="27" s="1"/>
  <c r="J58" i="27"/>
  <c r="K58" i="27" s="1"/>
  <c r="J72" i="27"/>
  <c r="K72" i="27" s="1"/>
  <c r="J73" i="27"/>
  <c r="K73" i="27" s="1"/>
  <c r="J71" i="27"/>
  <c r="K71" i="27" s="1"/>
  <c r="J61" i="27"/>
  <c r="K61" i="27" s="1"/>
  <c r="J68" i="27"/>
  <c r="K68" i="27" s="1"/>
  <c r="J65" i="27"/>
  <c r="K65" i="27" s="1"/>
  <c r="J56" i="27"/>
  <c r="K56" i="27" s="1"/>
  <c r="J75" i="27"/>
  <c r="K75" i="27" s="1"/>
  <c r="I96" i="27"/>
  <c r="I90" i="27"/>
  <c r="L90" i="27" s="1"/>
  <c r="I85" i="27"/>
  <c r="I60" i="27"/>
  <c r="Q60" i="27" s="1"/>
  <c r="I56" i="27"/>
  <c r="Q56" i="27" s="1"/>
  <c r="I45" i="27"/>
  <c r="Q45" i="27" s="1"/>
  <c r="I37" i="27"/>
  <c r="Q37" i="27" s="1"/>
  <c r="I102" i="27"/>
  <c r="M102" i="27" s="1"/>
  <c r="I95" i="27"/>
  <c r="M95" i="27" s="1"/>
  <c r="I89" i="27"/>
  <c r="I84" i="27"/>
  <c r="L84" i="27" s="1"/>
  <c r="I74" i="27"/>
  <c r="Q74" i="27" s="1"/>
  <c r="I70" i="27"/>
  <c r="Q70" i="27" s="1"/>
  <c r="I65" i="27"/>
  <c r="Q65" i="27" s="1"/>
  <c r="I44" i="27"/>
  <c r="Q44" i="27" s="1"/>
  <c r="I36" i="27"/>
  <c r="Q36" i="27" s="1"/>
  <c r="I101" i="27"/>
  <c r="L101" i="27" s="1"/>
  <c r="I94" i="27"/>
  <c r="I69" i="27"/>
  <c r="Q69" i="27" s="1"/>
  <c r="I59" i="27"/>
  <c r="Q59" i="27" s="1"/>
  <c r="I43" i="27"/>
  <c r="Q43" i="27" s="1"/>
  <c r="I35" i="27"/>
  <c r="Q35" i="27" s="1"/>
  <c r="I92" i="27"/>
  <c r="L92" i="27" s="1"/>
  <c r="I83" i="27"/>
  <c r="I48" i="27"/>
  <c r="Q48" i="27" s="1"/>
  <c r="I34" i="27"/>
  <c r="Q34" i="27" s="1"/>
  <c r="I71" i="27"/>
  <c r="Q71" i="27" s="1"/>
  <c r="I63" i="27"/>
  <c r="Q63" i="27" s="1"/>
  <c r="I46" i="27"/>
  <c r="Q46" i="27" s="1"/>
  <c r="I100" i="27"/>
  <c r="M100" i="27" s="1"/>
  <c r="I82" i="27"/>
  <c r="M82" i="27" s="1"/>
  <c r="I47" i="27"/>
  <c r="Q47" i="27" s="1"/>
  <c r="I33" i="27"/>
  <c r="Q33" i="27" s="1"/>
  <c r="I64" i="27"/>
  <c r="Q64" i="27" s="1"/>
  <c r="I91" i="27"/>
  <c r="M91" i="27" s="1"/>
  <c r="I76" i="27"/>
  <c r="Q76" i="27" s="1"/>
  <c r="I68" i="27"/>
  <c r="Q68" i="27" s="1"/>
  <c r="I62" i="27"/>
  <c r="Q62" i="27" s="1"/>
  <c r="I32" i="27"/>
  <c r="Q32" i="27" s="1"/>
  <c r="I72" i="27"/>
  <c r="Q72" i="27" s="1"/>
  <c r="I99" i="27"/>
  <c r="I88" i="27"/>
  <c r="I61" i="27"/>
  <c r="Q61" i="27" s="1"/>
  <c r="I42" i="27"/>
  <c r="Q42" i="27" s="1"/>
  <c r="I31" i="27"/>
  <c r="Q31" i="27" s="1"/>
  <c r="I41" i="27"/>
  <c r="Q41" i="27" s="1"/>
  <c r="I57" i="27"/>
  <c r="Q57" i="27" s="1"/>
  <c r="I98" i="27"/>
  <c r="L98" i="27" s="1"/>
  <c r="I87" i="27"/>
  <c r="I75" i="27"/>
  <c r="Q75" i="27" s="1"/>
  <c r="I67" i="27"/>
  <c r="Q67" i="27" s="1"/>
  <c r="I49" i="27"/>
  <c r="Q49" i="27" s="1"/>
  <c r="I97" i="27"/>
  <c r="I73" i="27"/>
  <c r="Q73" i="27" s="1"/>
  <c r="I58" i="27"/>
  <c r="Q58" i="27" s="1"/>
  <c r="I40" i="27"/>
  <c r="Q40" i="27" s="1"/>
  <c r="I30" i="27"/>
  <c r="Q30" i="27" s="1"/>
  <c r="I86" i="27"/>
  <c r="M86" i="27" s="1"/>
  <c r="I66" i="27"/>
  <c r="Q66" i="27" s="1"/>
  <c r="I50" i="27"/>
  <c r="Q50" i="27" s="1"/>
  <c r="I39" i="27"/>
  <c r="Q39" i="27" s="1"/>
  <c r="I93" i="27"/>
  <c r="L93" i="27" s="1"/>
  <c r="I38" i="27"/>
  <c r="Q38" i="27" s="1"/>
  <c r="L83" i="27"/>
  <c r="O74" i="2"/>
  <c r="B68" i="2" s="1"/>
  <c r="B62" i="2"/>
  <c r="B66" i="2" s="1"/>
  <c r="L10" i="21"/>
  <c r="L13" i="20"/>
  <c r="L20" i="21"/>
  <c r="L63" i="21"/>
  <c r="BJ109" i="21"/>
  <c r="L106" i="21"/>
  <c r="L99" i="21"/>
  <c r="L98" i="21"/>
  <c r="L84" i="21"/>
  <c r="L102" i="21"/>
  <c r="L126" i="20"/>
  <c r="L70" i="21"/>
  <c r="L69" i="20"/>
  <c r="L49" i="21"/>
  <c r="L35" i="21"/>
  <c r="BJ62" i="21"/>
  <c r="L57" i="21"/>
  <c r="L92" i="21"/>
  <c r="L107" i="21"/>
  <c r="BJ22" i="21"/>
  <c r="L48" i="21"/>
  <c r="L32" i="21"/>
  <c r="BJ65" i="21"/>
  <c r="BJ51" i="21"/>
  <c r="L69" i="21"/>
  <c r="L38" i="21"/>
  <c r="L34" i="21"/>
  <c r="L78" i="21"/>
  <c r="L64" i="21"/>
  <c r="BJ54" i="21"/>
  <c r="BJ15" i="21"/>
  <c r="BJ79" i="21"/>
  <c r="BJ36" i="21"/>
  <c r="L121" i="20"/>
  <c r="L93" i="21"/>
  <c r="L37" i="21"/>
  <c r="L100" i="21"/>
  <c r="L87" i="21"/>
  <c r="L27" i="20"/>
  <c r="L108" i="21"/>
  <c r="L61" i="21"/>
  <c r="L44" i="21"/>
  <c r="L160" i="20"/>
  <c r="L40" i="21"/>
  <c r="L59" i="21"/>
  <c r="L91" i="20"/>
  <c r="L96" i="21"/>
  <c r="L23" i="21"/>
  <c r="L73" i="21"/>
  <c r="L42" i="21"/>
  <c r="L94" i="21"/>
  <c r="L88" i="21"/>
  <c r="L13" i="21"/>
  <c r="L74" i="20"/>
  <c r="L72" i="21"/>
  <c r="L85" i="21"/>
  <c r="B148" i="2"/>
  <c r="E36" i="1" s="1"/>
  <c r="B149" i="2"/>
  <c r="L30" i="21"/>
  <c r="BJ47" i="21"/>
  <c r="L33" i="21"/>
  <c r="L45" i="21"/>
  <c r="L74" i="21"/>
  <c r="BJ68" i="21"/>
  <c r="L50" i="21"/>
  <c r="L83" i="21"/>
  <c r="L16" i="21"/>
  <c r="L97" i="21"/>
  <c r="BJ95" i="21"/>
  <c r="BJ81" i="21"/>
  <c r="L55" i="21"/>
  <c r="L104" i="21"/>
  <c r="L19" i="21"/>
  <c r="L28" i="21"/>
  <c r="L55" i="20"/>
  <c r="L29" i="21"/>
  <c r="L58" i="21"/>
  <c r="L67" i="21"/>
  <c r="L71" i="21"/>
  <c r="BJ43" i="21"/>
  <c r="L53" i="21"/>
  <c r="L101" i="21"/>
  <c r="L31" i="21"/>
  <c r="L52" i="21"/>
  <c r="L17" i="21"/>
  <c r="L26" i="21"/>
  <c r="L56" i="21"/>
  <c r="BJ46" i="21"/>
  <c r="BJ77" i="21"/>
  <c r="BJ12" i="21"/>
  <c r="L105" i="21"/>
  <c r="L82" i="21"/>
  <c r="L190" i="20"/>
  <c r="BJ24" i="21"/>
  <c r="L70" i="20"/>
  <c r="L76" i="21"/>
  <c r="BJ91" i="21"/>
  <c r="L90" i="21"/>
  <c r="L41" i="21"/>
  <c r="L27" i="21"/>
  <c r="BJ149" i="20"/>
  <c r="L149" i="20"/>
  <c r="BJ206" i="20"/>
  <c r="L206" i="20"/>
  <c r="BJ185" i="20"/>
  <c r="L185" i="20"/>
  <c r="BJ169" i="20"/>
  <c r="L169" i="20"/>
  <c r="L153" i="20"/>
  <c r="BJ153" i="20"/>
  <c r="BJ130" i="20"/>
  <c r="L130" i="20"/>
  <c r="BJ122" i="20"/>
  <c r="L122" i="20"/>
  <c r="L123" i="20"/>
  <c r="L32" i="20"/>
  <c r="L50" i="20"/>
  <c r="BJ101" i="20"/>
  <c r="L101" i="20"/>
  <c r="BJ85" i="20"/>
  <c r="L85" i="20"/>
  <c r="BJ53" i="20"/>
  <c r="L53" i="20"/>
  <c r="L37" i="20"/>
  <c r="BJ37" i="20"/>
  <c r="BJ17" i="20"/>
  <c r="L17" i="20"/>
  <c r="L104" i="20"/>
  <c r="BJ104" i="20"/>
  <c r="BJ88" i="20"/>
  <c r="L88" i="20"/>
  <c r="BJ72" i="20"/>
  <c r="L72" i="20"/>
  <c r="BJ40" i="20"/>
  <c r="L40" i="20"/>
  <c r="BJ20" i="20"/>
  <c r="L20" i="20"/>
  <c r="L180" i="20"/>
  <c r="BJ180" i="20"/>
  <c r="BJ164" i="20"/>
  <c r="L164" i="20"/>
  <c r="BJ148" i="20"/>
  <c r="L148" i="20"/>
  <c r="L113" i="20"/>
  <c r="BJ113" i="20"/>
  <c r="BJ205" i="20"/>
  <c r="L205" i="20"/>
  <c r="BJ197" i="20"/>
  <c r="L197" i="20"/>
  <c r="BJ184" i="20"/>
  <c r="L184" i="20"/>
  <c r="BJ168" i="20"/>
  <c r="L168" i="20"/>
  <c r="BJ152" i="20"/>
  <c r="L152" i="20"/>
  <c r="BJ129" i="20"/>
  <c r="L129" i="20"/>
  <c r="BJ190" i="20"/>
  <c r="L107" i="20"/>
  <c r="L82" i="20"/>
  <c r="BJ74" i="20"/>
  <c r="BJ103" i="20"/>
  <c r="L103" i="20"/>
  <c r="BJ87" i="20"/>
  <c r="L87" i="20"/>
  <c r="BJ71" i="20"/>
  <c r="L71" i="20"/>
  <c r="BJ39" i="20"/>
  <c r="L39" i="20"/>
  <c r="BJ19" i="20"/>
  <c r="L19" i="20"/>
  <c r="BJ106" i="20"/>
  <c r="L106" i="20"/>
  <c r="BJ90" i="20"/>
  <c r="L90" i="20"/>
  <c r="BJ58" i="20"/>
  <c r="L58" i="20"/>
  <c r="BJ25" i="20"/>
  <c r="L25" i="20"/>
  <c r="BJ181" i="20"/>
  <c r="L181" i="20"/>
  <c r="BJ139" i="20"/>
  <c r="L139" i="20"/>
  <c r="L198" i="20"/>
  <c r="BJ198" i="20"/>
  <c r="BJ191" i="20"/>
  <c r="L191" i="20"/>
  <c r="BJ67" i="20"/>
  <c r="L67" i="20"/>
  <c r="L163" i="20"/>
  <c r="BJ163" i="20"/>
  <c r="BJ147" i="20"/>
  <c r="L147" i="20"/>
  <c r="BJ137" i="20"/>
  <c r="L137" i="20"/>
  <c r="BJ112" i="20"/>
  <c r="L112" i="20"/>
  <c r="BJ204" i="20"/>
  <c r="L204" i="20"/>
  <c r="BJ196" i="20"/>
  <c r="L196" i="20"/>
  <c r="BJ183" i="20"/>
  <c r="L183" i="20"/>
  <c r="BJ167" i="20"/>
  <c r="L167" i="20"/>
  <c r="BJ151" i="20"/>
  <c r="L151" i="20"/>
  <c r="BJ128" i="20"/>
  <c r="L128" i="20"/>
  <c r="L120" i="20"/>
  <c r="BJ120" i="20"/>
  <c r="L189" i="20"/>
  <c r="BJ189" i="20"/>
  <c r="L179" i="20"/>
  <c r="L145" i="20"/>
  <c r="L56" i="20"/>
  <c r="L46" i="20"/>
  <c r="BJ42" i="20"/>
  <c r="L42" i="20"/>
  <c r="L165" i="20"/>
  <c r="BJ165" i="20"/>
  <c r="L114" i="20"/>
  <c r="BJ114" i="20"/>
  <c r="BJ99" i="20"/>
  <c r="L99" i="20"/>
  <c r="BJ83" i="20"/>
  <c r="L83" i="20"/>
  <c r="BJ51" i="20"/>
  <c r="L51" i="20"/>
  <c r="BJ35" i="20"/>
  <c r="L35" i="20"/>
  <c r="BJ15" i="20"/>
  <c r="L15" i="20"/>
  <c r="BJ102" i="20"/>
  <c r="L102" i="20"/>
  <c r="BJ86" i="20"/>
  <c r="L86" i="20"/>
  <c r="BJ54" i="20"/>
  <c r="L54" i="20"/>
  <c r="BJ38" i="20"/>
  <c r="L38" i="20"/>
  <c r="BJ18" i="20"/>
  <c r="L18" i="20"/>
  <c r="L97" i="20"/>
  <c r="BJ97" i="20"/>
  <c r="L65" i="20"/>
  <c r="BJ65" i="20"/>
  <c r="BJ49" i="20"/>
  <c r="L49" i="20"/>
  <c r="BJ33" i="20"/>
  <c r="L33" i="20"/>
  <c r="BJ100" i="20"/>
  <c r="L100" i="20"/>
  <c r="BJ84" i="20"/>
  <c r="L84" i="20"/>
  <c r="BJ52" i="20"/>
  <c r="L52" i="20"/>
  <c r="BJ36" i="20"/>
  <c r="L36" i="20"/>
  <c r="BJ174" i="20"/>
  <c r="L174" i="20"/>
  <c r="BJ158" i="20"/>
  <c r="L158" i="20"/>
  <c r="BJ136" i="20"/>
  <c r="L136" i="20"/>
  <c r="BJ111" i="20"/>
  <c r="L111" i="20"/>
  <c r="BJ203" i="20"/>
  <c r="L203" i="20"/>
  <c r="BJ195" i="20"/>
  <c r="L195" i="20"/>
  <c r="BJ178" i="20"/>
  <c r="L178" i="20"/>
  <c r="BJ162" i="20"/>
  <c r="L162" i="20"/>
  <c r="BJ141" i="20"/>
  <c r="L141" i="20"/>
  <c r="BJ127" i="20"/>
  <c r="L127" i="20"/>
  <c r="BJ119" i="20"/>
  <c r="L119" i="20"/>
  <c r="L146" i="20"/>
  <c r="L81" i="20"/>
  <c r="BJ95" i="20"/>
  <c r="L95" i="20"/>
  <c r="BJ79" i="20"/>
  <c r="L79" i="20"/>
  <c r="BJ63" i="20"/>
  <c r="L63" i="20"/>
  <c r="BJ47" i="20"/>
  <c r="L47" i="20"/>
  <c r="BJ31" i="20"/>
  <c r="L31" i="20"/>
  <c r="BJ11" i="20"/>
  <c r="L11" i="20"/>
  <c r="BJ98" i="20"/>
  <c r="L98" i="20"/>
  <c r="BJ66" i="20"/>
  <c r="BJ34" i="20"/>
  <c r="L34" i="20"/>
  <c r="BJ14" i="20"/>
  <c r="L14" i="20"/>
  <c r="BJ173" i="20"/>
  <c r="L173" i="20"/>
  <c r="L157" i="20"/>
  <c r="BJ157" i="20"/>
  <c r="BJ110" i="20"/>
  <c r="L110" i="20"/>
  <c r="BJ202" i="20"/>
  <c r="L202" i="20"/>
  <c r="BJ193" i="20"/>
  <c r="L193" i="20"/>
  <c r="BJ177" i="20"/>
  <c r="L177" i="20"/>
  <c r="BJ161" i="20"/>
  <c r="L161" i="20"/>
  <c r="BJ140" i="20"/>
  <c r="L140" i="20"/>
  <c r="BJ126" i="20"/>
  <c r="BJ118" i="20"/>
  <c r="L118" i="20"/>
  <c r="BJ22" i="20"/>
  <c r="L22" i="20"/>
  <c r="L117" i="20"/>
  <c r="BJ55" i="20"/>
  <c r="BJ109" i="20"/>
  <c r="L109" i="20"/>
  <c r="BJ93" i="20"/>
  <c r="L93" i="20"/>
  <c r="L77" i="20"/>
  <c r="BJ77" i="20"/>
  <c r="BJ61" i="20"/>
  <c r="L61" i="20"/>
  <c r="BJ45" i="20"/>
  <c r="L45" i="20"/>
  <c r="L29" i="20"/>
  <c r="BJ29" i="20"/>
  <c r="BJ96" i="20"/>
  <c r="BJ80" i="20"/>
  <c r="L80" i="20"/>
  <c r="BJ64" i="20"/>
  <c r="L64" i="20"/>
  <c r="BJ48" i="20"/>
  <c r="L48" i="20"/>
  <c r="BJ12" i="20"/>
  <c r="L12" i="20"/>
  <c r="BJ172" i="20"/>
  <c r="BJ156" i="20"/>
  <c r="L156" i="20"/>
  <c r="L144" i="20"/>
  <c r="L134" i="20"/>
  <c r="BJ134" i="20"/>
  <c r="BJ209" i="20"/>
  <c r="L209" i="20"/>
  <c r="L201" i="20"/>
  <c r="BJ188" i="20"/>
  <c r="L188" i="20"/>
  <c r="BJ176" i="20"/>
  <c r="L176" i="20"/>
  <c r="BJ160" i="20"/>
  <c r="BJ133" i="20"/>
  <c r="L133" i="20"/>
  <c r="L125" i="20"/>
  <c r="BJ125" i="20"/>
  <c r="BJ23" i="20"/>
  <c r="L23" i="20"/>
  <c r="L138" i="20"/>
  <c r="L96" i="20"/>
  <c r="L44" i="20"/>
  <c r="BJ121" i="20"/>
  <c r="BJ69" i="20"/>
  <c r="BJ91" i="20"/>
  <c r="BJ75" i="20"/>
  <c r="L75" i="20"/>
  <c r="BJ59" i="20"/>
  <c r="L59" i="20"/>
  <c r="BJ43" i="20"/>
  <c r="L43" i="20"/>
  <c r="BJ9" i="20"/>
  <c r="L9" i="20"/>
  <c r="BJ94" i="20"/>
  <c r="L94" i="20"/>
  <c r="BJ78" i="20"/>
  <c r="L78" i="20"/>
  <c r="BJ62" i="20"/>
  <c r="L62" i="20"/>
  <c r="BJ30" i="20"/>
  <c r="L30" i="20"/>
  <c r="BJ10" i="20"/>
  <c r="L10" i="20"/>
  <c r="L171" i="20"/>
  <c r="BJ171" i="20"/>
  <c r="L155" i="20"/>
  <c r="BJ155" i="20"/>
  <c r="BJ143" i="20"/>
  <c r="L143" i="20"/>
  <c r="L116" i="20"/>
  <c r="BJ116" i="20"/>
  <c r="BJ208" i="20"/>
  <c r="L208" i="20"/>
  <c r="BJ200" i="20"/>
  <c r="L200" i="20"/>
  <c r="BJ187" i="20"/>
  <c r="L187" i="20"/>
  <c r="BJ175" i="20"/>
  <c r="L175" i="20"/>
  <c r="L159" i="20"/>
  <c r="BJ159" i="20"/>
  <c r="BJ132" i="20"/>
  <c r="L132" i="20"/>
  <c r="BJ124" i="20"/>
  <c r="L124" i="20"/>
  <c r="L194" i="20"/>
  <c r="BJ194" i="20"/>
  <c r="BJ21" i="20"/>
  <c r="L21" i="20"/>
  <c r="L135" i="20"/>
  <c r="L16" i="20"/>
  <c r="L172" i="20"/>
  <c r="BJ13" i="20"/>
  <c r="BJ27" i="20"/>
  <c r="BJ70" i="20"/>
  <c r="L105" i="20"/>
  <c r="BJ105" i="20"/>
  <c r="BJ89" i="20"/>
  <c r="L89" i="20"/>
  <c r="BJ73" i="20"/>
  <c r="L73" i="20"/>
  <c r="BJ57" i="20"/>
  <c r="L57" i="20"/>
  <c r="BJ41" i="20"/>
  <c r="L41" i="20"/>
  <c r="BJ24" i="20"/>
  <c r="L24" i="20"/>
  <c r="BJ108" i="20"/>
  <c r="BJ92" i="20"/>
  <c r="L92" i="20"/>
  <c r="BJ76" i="20"/>
  <c r="L76" i="20"/>
  <c r="BJ60" i="20"/>
  <c r="L60" i="20"/>
  <c r="BJ28" i="20"/>
  <c r="L28" i="20"/>
  <c r="BJ26" i="20"/>
  <c r="L26" i="20"/>
  <c r="BJ182" i="20"/>
  <c r="L182" i="20"/>
  <c r="BJ166" i="20"/>
  <c r="L166" i="20"/>
  <c r="BJ150" i="20"/>
  <c r="L150" i="20"/>
  <c r="BJ142" i="20"/>
  <c r="L142" i="20"/>
  <c r="BJ115" i="20"/>
  <c r="L115" i="20"/>
  <c r="BJ207" i="20"/>
  <c r="L207" i="20"/>
  <c r="BJ199" i="20"/>
  <c r="L199" i="20"/>
  <c r="BJ186" i="20"/>
  <c r="L186" i="20"/>
  <c r="BJ170" i="20"/>
  <c r="L170" i="20"/>
  <c r="BJ154" i="20"/>
  <c r="L154" i="20"/>
  <c r="BJ192" i="20"/>
  <c r="L192" i="20"/>
  <c r="L131" i="20"/>
  <c r="L68" i="20"/>
  <c r="L108" i="20"/>
  <c r="BJ80" i="21"/>
  <c r="BJ21" i="21"/>
  <c r="BJ60" i="21"/>
  <c r="BJ86" i="21"/>
  <c r="BJ75" i="21"/>
  <c r="BJ11" i="21"/>
  <c r="BJ14" i="21"/>
  <c r="BJ18" i="21"/>
  <c r="BJ66" i="21"/>
  <c r="BJ89" i="21"/>
  <c r="BJ25" i="21"/>
  <c r="BJ103" i="21"/>
  <c r="BJ39" i="21"/>
  <c r="L71" i="2"/>
  <c r="L70" i="2"/>
  <c r="B73" i="21"/>
  <c r="B45" i="21"/>
  <c r="B72" i="21"/>
  <c r="C66" i="16"/>
  <c r="D66" i="16" s="1"/>
  <c r="B73" i="20"/>
  <c r="B45" i="20"/>
  <c r="B72" i="20"/>
  <c r="B458" i="2"/>
  <c r="B459" i="2"/>
  <c r="A480" i="2"/>
  <c r="B348" i="2"/>
  <c r="B352" i="2" s="1"/>
  <c r="B349" i="2"/>
  <c r="B480" i="2"/>
  <c r="B305" i="2"/>
  <c r="B20" i="2"/>
  <c r="C62" i="2" s="1"/>
  <c r="B18" i="2"/>
  <c r="B19" i="2"/>
  <c r="B8" i="30"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R36" i="8" s="1"/>
  <c r="B273" i="2" s="1"/>
  <c r="B520" i="2"/>
  <c r="C67" i="16"/>
  <c r="D67" i="16" s="1"/>
  <c r="B462" i="2"/>
  <c r="B463" i="2" s="1"/>
  <c r="B76" i="2"/>
  <c r="E72" i="1"/>
  <c r="L19" i="27" l="1"/>
  <c r="N19" i="27" s="1"/>
  <c r="M18" i="27"/>
  <c r="L10" i="27"/>
  <c r="N10" i="27" s="1"/>
  <c r="M10" i="27"/>
  <c r="L16" i="27"/>
  <c r="N16" i="27" s="1"/>
  <c r="M15" i="27"/>
  <c r="D623" i="32"/>
  <c r="G633" i="32"/>
  <c r="G77" i="31"/>
  <c r="G613" i="31"/>
  <c r="G47" i="31"/>
  <c r="G79" i="31"/>
  <c r="G15" i="31"/>
  <c r="G63" i="31"/>
  <c r="G17" i="31"/>
  <c r="G49" i="31"/>
  <c r="G55" i="31"/>
  <c r="G33" i="31"/>
  <c r="G65" i="31"/>
  <c r="G64" i="31"/>
  <c r="G18" i="31"/>
  <c r="G50" i="31"/>
  <c r="G80" i="31"/>
  <c r="G35" i="31"/>
  <c r="G67" i="31"/>
  <c r="G31" i="31"/>
  <c r="G24" i="31"/>
  <c r="G39" i="31"/>
  <c r="G40" i="31"/>
  <c r="G56" i="31"/>
  <c r="G25" i="31"/>
  <c r="G72" i="31"/>
  <c r="G41" i="31"/>
  <c r="G20" i="31"/>
  <c r="G52" i="31"/>
  <c r="E633" i="31"/>
  <c r="G601" i="31"/>
  <c r="G589" i="31"/>
  <c r="G592" i="31"/>
  <c r="G571" i="31"/>
  <c r="G583" i="31"/>
  <c r="G561" i="31"/>
  <c r="G558" i="31"/>
  <c r="G566" i="31"/>
  <c r="G540" i="31"/>
  <c r="G520" i="31"/>
  <c r="G502" i="31"/>
  <c r="G524" i="31"/>
  <c r="G522" i="31"/>
  <c r="G484" i="31"/>
  <c r="G513" i="31"/>
  <c r="G489" i="31"/>
  <c r="G461" i="31"/>
  <c r="G467" i="31"/>
  <c r="G457" i="31"/>
  <c r="G451" i="31"/>
  <c r="G440" i="31"/>
  <c r="G446" i="31"/>
  <c r="G420" i="31"/>
  <c r="G444" i="31"/>
  <c r="G408" i="31"/>
  <c r="G378" i="31"/>
  <c r="G383" i="31"/>
  <c r="G389" i="31"/>
  <c r="G401" i="31"/>
  <c r="G400" i="31"/>
  <c r="G380" i="31"/>
  <c r="G324" i="31"/>
  <c r="G323" i="31"/>
  <c r="G338" i="31"/>
  <c r="G364" i="31"/>
  <c r="G297" i="31"/>
  <c r="G320" i="31"/>
  <c r="G319" i="31"/>
  <c r="G261" i="31"/>
  <c r="G289" i="31"/>
  <c r="G251" i="31"/>
  <c r="G250" i="31"/>
  <c r="G249" i="31"/>
  <c r="G248" i="31"/>
  <c r="G271" i="31"/>
  <c r="G245" i="31"/>
  <c r="G218" i="31"/>
  <c r="G224" i="31"/>
  <c r="G229" i="31"/>
  <c r="G211" i="31"/>
  <c r="G146" i="31"/>
  <c r="G214" i="31"/>
  <c r="G222" i="31"/>
  <c r="G206" i="31"/>
  <c r="G208" i="31"/>
  <c r="G149" i="31"/>
  <c r="G164" i="31"/>
  <c r="G163" i="31"/>
  <c r="G94" i="31"/>
  <c r="G93" i="31"/>
  <c r="G92" i="31"/>
  <c r="G91" i="31"/>
  <c r="G90" i="31"/>
  <c r="G89" i="31"/>
  <c r="G112" i="31"/>
  <c r="G119" i="31"/>
  <c r="G57" i="31"/>
  <c r="G44" i="31"/>
  <c r="G76" i="31"/>
  <c r="G605" i="31"/>
  <c r="G610" i="31"/>
  <c r="G596" i="31"/>
  <c r="G581" i="31"/>
  <c r="G578" i="31"/>
  <c r="G565" i="31"/>
  <c r="G560" i="31"/>
  <c r="G554" i="31"/>
  <c r="G535" i="31"/>
  <c r="G539" i="31"/>
  <c r="G504" i="31"/>
  <c r="G537" i="31"/>
  <c r="G508" i="31"/>
  <c r="G486" i="31"/>
  <c r="G500" i="31"/>
  <c r="G490" i="31"/>
  <c r="G480" i="31"/>
  <c r="G514" i="31"/>
  <c r="G487" i="31"/>
  <c r="G443" i="31"/>
  <c r="G441" i="31"/>
  <c r="G447" i="31"/>
  <c r="G455" i="31"/>
  <c r="G404" i="31"/>
  <c r="G417" i="31"/>
  <c r="G423" i="31"/>
  <c r="G385" i="31"/>
  <c r="G406" i="31"/>
  <c r="G373" i="31"/>
  <c r="G370" i="31"/>
  <c r="G360" i="31"/>
  <c r="G358" i="31"/>
  <c r="G308" i="31"/>
  <c r="G307" i="31"/>
  <c r="G322" i="31"/>
  <c r="G345" i="31"/>
  <c r="G372" i="31"/>
  <c r="G304" i="31"/>
  <c r="G303" i="31"/>
  <c r="G310" i="31"/>
  <c r="G287" i="31"/>
  <c r="G294" i="31"/>
  <c r="G333" i="31"/>
  <c r="G326" i="31"/>
  <c r="G341" i="31"/>
  <c r="G279" i="31"/>
  <c r="G235" i="31"/>
  <c r="G247" i="31"/>
  <c r="G255" i="31"/>
  <c r="G213" i="31"/>
  <c r="G194" i="31"/>
  <c r="G193" i="31"/>
  <c r="G192" i="31"/>
  <c r="G191" i="31"/>
  <c r="G190" i="31"/>
  <c r="G197" i="31"/>
  <c r="G209" i="31"/>
  <c r="G148" i="31"/>
  <c r="G142" i="31"/>
  <c r="G141" i="31"/>
  <c r="G140" i="31"/>
  <c r="G139" i="31"/>
  <c r="G138" i="31"/>
  <c r="G137" i="31"/>
  <c r="G147" i="31"/>
  <c r="G96" i="31"/>
  <c r="G103" i="31"/>
  <c r="G74" i="31"/>
  <c r="G21" i="31"/>
  <c r="G53" i="31"/>
  <c r="B623" i="31"/>
  <c r="G598" i="31"/>
  <c r="G588" i="31"/>
  <c r="G573" i="31"/>
  <c r="G570" i="31"/>
  <c r="G557" i="31"/>
  <c r="G567" i="31"/>
  <c r="G546" i="31"/>
  <c r="G542" i="31"/>
  <c r="G531" i="31"/>
  <c r="G519" i="31"/>
  <c r="G528" i="31"/>
  <c r="G550" i="31"/>
  <c r="G478" i="31"/>
  <c r="G499" i="31"/>
  <c r="G482" i="31"/>
  <c r="G470" i="31"/>
  <c r="G479" i="31"/>
  <c r="G477" i="31"/>
  <c r="G435" i="31"/>
  <c r="G433" i="31"/>
  <c r="G439" i="31"/>
  <c r="G445" i="31"/>
  <c r="G419" i="31"/>
  <c r="G26" i="31"/>
  <c r="G19" i="31"/>
  <c r="G43" i="31"/>
  <c r="G36" i="31"/>
  <c r="G68" i="31"/>
  <c r="G612" i="31"/>
  <c r="G609" i="31"/>
  <c r="G587" i="31"/>
  <c r="G580" i="31"/>
  <c r="G577" i="31"/>
  <c r="G574" i="31"/>
  <c r="G556" i="31"/>
  <c r="G559" i="31"/>
  <c r="G534" i="31"/>
  <c r="G549" i="31"/>
  <c r="G511" i="31"/>
  <c r="G525" i="31"/>
  <c r="G529" i="31"/>
  <c r="G493" i="31"/>
  <c r="G491" i="31"/>
  <c r="G474" i="31"/>
  <c r="G462" i="31"/>
  <c r="G468" i="31"/>
  <c r="G466" i="31"/>
  <c r="G456" i="31"/>
  <c r="G425" i="31"/>
  <c r="G431" i="31"/>
  <c r="G437" i="31"/>
  <c r="G411" i="31"/>
  <c r="G432" i="31"/>
  <c r="G407" i="31"/>
  <c r="G392" i="31"/>
  <c r="G390" i="31"/>
  <c r="G402" i="31"/>
  <c r="G379" i="31"/>
  <c r="G367" i="31"/>
  <c r="G365" i="31"/>
  <c r="G292" i="31"/>
  <c r="G422" i="31"/>
  <c r="G306" i="31"/>
  <c r="G329" i="31"/>
  <c r="G350" i="31"/>
  <c r="G354" i="31"/>
  <c r="G317" i="31"/>
  <c r="G276" i="31"/>
  <c r="G283" i="31"/>
  <c r="G282" i="31"/>
  <c r="G281" i="31"/>
  <c r="G280" i="31"/>
  <c r="G270" i="31"/>
  <c r="G262" i="31"/>
  <c r="G219" i="31"/>
  <c r="G233" i="31"/>
  <c r="G223" i="31"/>
  <c r="G236" i="31"/>
  <c r="G178" i="31"/>
  <c r="G177" i="31"/>
  <c r="G176" i="31"/>
  <c r="G175" i="31"/>
  <c r="G174" i="31"/>
  <c r="G181" i="31"/>
  <c r="G196" i="31"/>
  <c r="G195" i="31"/>
  <c r="G126" i="31"/>
  <c r="G125" i="31"/>
  <c r="G124" i="31"/>
  <c r="G123" i="31"/>
  <c r="G122" i="31"/>
  <c r="G121" i="31"/>
  <c r="G144" i="31"/>
  <c r="G151" i="31"/>
  <c r="G87" i="31"/>
  <c r="G48" i="31"/>
  <c r="G23" i="31"/>
  <c r="G73" i="31"/>
  <c r="G34" i="31"/>
  <c r="G58" i="31"/>
  <c r="G61" i="31"/>
  <c r="G607" i="31"/>
  <c r="G603" i="31"/>
  <c r="G586" i="31"/>
  <c r="G568" i="31"/>
  <c r="G543" i="31"/>
  <c r="G512" i="31"/>
  <c r="G516" i="31"/>
  <c r="G476" i="31"/>
  <c r="G481" i="31"/>
  <c r="G459" i="31"/>
  <c r="G449" i="31"/>
  <c r="G438" i="31"/>
  <c r="G430" i="31"/>
  <c r="G394" i="31"/>
  <c r="G398" i="31"/>
  <c r="G355" i="31"/>
  <c r="G359" i="31"/>
  <c r="G316" i="31"/>
  <c r="G348" i="31"/>
  <c r="G337" i="31"/>
  <c r="G328" i="31"/>
  <c r="G285" i="31"/>
  <c r="G288" i="31"/>
  <c r="G266" i="31"/>
  <c r="G293" i="31"/>
  <c r="G278" i="31"/>
  <c r="G239" i="31"/>
  <c r="G216" i="31"/>
  <c r="G220" i="31"/>
  <c r="G185" i="31"/>
  <c r="G152" i="31"/>
  <c r="G166" i="31"/>
  <c r="G243" i="31"/>
  <c r="G179" i="31"/>
  <c r="G133" i="31"/>
  <c r="G100" i="31"/>
  <c r="G114" i="31"/>
  <c r="G81" i="31"/>
  <c r="G135" i="31"/>
  <c r="G523" i="31"/>
  <c r="G464" i="31"/>
  <c r="G409" i="31"/>
  <c r="G382" i="31"/>
  <c r="G351" i="31"/>
  <c r="G346" i="31"/>
  <c r="G312" i="31"/>
  <c r="G286" i="31"/>
  <c r="G272" i="31"/>
  <c r="G234" i="31"/>
  <c r="G231" i="31"/>
  <c r="G169" i="31"/>
  <c r="G158" i="31"/>
  <c r="G204" i="31"/>
  <c r="G117" i="31"/>
  <c r="G106" i="31"/>
  <c r="G145" i="31"/>
  <c r="G13" i="31"/>
  <c r="G509" i="31"/>
  <c r="G418" i="31"/>
  <c r="G344" i="31"/>
  <c r="G263" i="31"/>
  <c r="G198" i="31"/>
  <c r="G83" i="31"/>
  <c r="G54" i="31"/>
  <c r="G552" i="31"/>
  <c r="G497" i="31"/>
  <c r="G399" i="31"/>
  <c r="G356" i="31"/>
  <c r="G334" i="31"/>
  <c r="G157" i="31"/>
  <c r="G22" i="31"/>
  <c r="G16" i="31"/>
  <c r="G45" i="31"/>
  <c r="G611" i="31"/>
  <c r="G604" i="31"/>
  <c r="G594" i="31"/>
  <c r="G564" i="31"/>
  <c r="G551" i="31"/>
  <c r="G526" i="31"/>
  <c r="G483" i="31"/>
  <c r="G454" i="31"/>
  <c r="G458" i="31"/>
  <c r="G429" i="31"/>
  <c r="G386" i="31"/>
  <c r="G396" i="31"/>
  <c r="G300" i="31"/>
  <c r="G321" i="31"/>
  <c r="G277" i="31"/>
  <c r="G258" i="31"/>
  <c r="G244" i="31"/>
  <c r="G212" i="31"/>
  <c r="G199" i="31"/>
  <c r="G171" i="31"/>
  <c r="G84" i="31"/>
  <c r="G127" i="31"/>
  <c r="G78" i="31"/>
  <c r="G545" i="31"/>
  <c r="G505" i="31"/>
  <c r="G434" i="31"/>
  <c r="G415" i="31"/>
  <c r="G340" i="31"/>
  <c r="G311" i="31"/>
  <c r="G257" i="31"/>
  <c r="G217" i="31"/>
  <c r="G165" i="31"/>
  <c r="G116" i="31"/>
  <c r="G37" i="31"/>
  <c r="G569" i="31"/>
  <c r="G501" i="31"/>
  <c r="G503" i="31"/>
  <c r="G410" i="31"/>
  <c r="G363" i="31"/>
  <c r="G349" i="31"/>
  <c r="G274" i="31"/>
  <c r="G232" i="31"/>
  <c r="G201" i="31"/>
  <c r="G86" i="31"/>
  <c r="G143" i="31"/>
  <c r="G42" i="31"/>
  <c r="G66" i="31"/>
  <c r="G28" i="31"/>
  <c r="G606" i="31"/>
  <c r="G593" i="31"/>
  <c r="G585" i="31"/>
  <c r="G563" i="31"/>
  <c r="G541" i="31"/>
  <c r="G518" i="31"/>
  <c r="G515" i="31"/>
  <c r="G527" i="31"/>
  <c r="G496" i="31"/>
  <c r="G473" i="31"/>
  <c r="G450" i="31"/>
  <c r="G421" i="31"/>
  <c r="G426" i="31"/>
  <c r="G393" i="31"/>
  <c r="G414" i="31"/>
  <c r="G362" i="31"/>
  <c r="G428" i="31"/>
  <c r="G347" i="31"/>
  <c r="G330" i="31"/>
  <c r="G313" i="31"/>
  <c r="G296" i="31"/>
  <c r="G269" i="31"/>
  <c r="G275" i="31"/>
  <c r="G353" i="31"/>
  <c r="G264" i="31"/>
  <c r="G252" i="31"/>
  <c r="G226" i="31"/>
  <c r="G215" i="31"/>
  <c r="G202" i="31"/>
  <c r="G161" i="31"/>
  <c r="G183" i="31"/>
  <c r="G150" i="31"/>
  <c r="G188" i="31"/>
  <c r="G155" i="31"/>
  <c r="G109" i="31"/>
  <c r="G131" i="31"/>
  <c r="G98" i="31"/>
  <c r="G136" i="31"/>
  <c r="G111" i="31"/>
  <c r="G46" i="31"/>
  <c r="G62" i="31"/>
  <c r="G533" i="31"/>
  <c r="G377" i="31"/>
  <c r="G374" i="31"/>
  <c r="G339" i="31"/>
  <c r="G314" i="31"/>
  <c r="G343" i="31"/>
  <c r="G342" i="31"/>
  <c r="G301" i="31"/>
  <c r="G256" i="31"/>
  <c r="G253" i="31"/>
  <c r="G207" i="31"/>
  <c r="G186" i="31"/>
  <c r="G167" i="31"/>
  <c r="G205" i="31"/>
  <c r="G180" i="31"/>
  <c r="G101" i="31"/>
  <c r="G115" i="31"/>
  <c r="G82" i="31"/>
  <c r="G95" i="31"/>
  <c r="G30" i="31"/>
  <c r="G591" i="31"/>
  <c r="G391" i="31"/>
  <c r="G154" i="31"/>
  <c r="G600" i="31"/>
  <c r="G472" i="31"/>
  <c r="G295" i="31"/>
  <c r="G182" i="31"/>
  <c r="G32" i="31"/>
  <c r="G69" i="31"/>
  <c r="G602" i="31"/>
  <c r="G595" i="31"/>
  <c r="G576" i="31"/>
  <c r="G548" i="31"/>
  <c r="G510" i="31"/>
  <c r="G507" i="31"/>
  <c r="G521" i="31"/>
  <c r="G469" i="31"/>
  <c r="G465" i="31"/>
  <c r="G448" i="31"/>
  <c r="G413" i="31"/>
  <c r="G424" i="31"/>
  <c r="G397" i="31"/>
  <c r="G366" i="31"/>
  <c r="G305" i="31"/>
  <c r="G267" i="31"/>
  <c r="G210" i="31"/>
  <c r="G153" i="31"/>
  <c r="G134" i="31"/>
  <c r="G128" i="31"/>
  <c r="G590" i="31"/>
  <c r="G299" i="31"/>
  <c r="G38" i="31"/>
  <c r="G579" i="31"/>
  <c r="G336" i="31"/>
  <c r="G97" i="31"/>
  <c r="G27" i="31"/>
  <c r="G51" i="31"/>
  <c r="G75" i="31"/>
  <c r="G29" i="31"/>
  <c r="G599" i="31"/>
  <c r="G584" i="31"/>
  <c r="G575" i="31"/>
  <c r="G555" i="31"/>
  <c r="G532" i="31"/>
  <c r="G544" i="31"/>
  <c r="G494" i="31"/>
  <c r="G498" i="31"/>
  <c r="G453" i="31"/>
  <c r="G463" i="31"/>
  <c r="G488" i="31"/>
  <c r="G412" i="31"/>
  <c r="G416" i="31"/>
  <c r="G384" i="31"/>
  <c r="G381" i="31"/>
  <c r="G369" i="31"/>
  <c r="G395" i="31"/>
  <c r="G331" i="31"/>
  <c r="G298" i="31"/>
  <c r="G403" i="31"/>
  <c r="G335" i="31"/>
  <c r="G284" i="31"/>
  <c r="G259" i="31"/>
  <c r="G273" i="31"/>
  <c r="G240" i="31"/>
  <c r="G302" i="31"/>
  <c r="G242" i="31"/>
  <c r="G237" i="31"/>
  <c r="G170" i="31"/>
  <c r="G200" i="31"/>
  <c r="G159" i="31"/>
  <c r="G189" i="31"/>
  <c r="G172" i="31"/>
  <c r="G118" i="31"/>
  <c r="G85" i="31"/>
  <c r="G107" i="31"/>
  <c r="G129" i="31"/>
  <c r="G120" i="31"/>
  <c r="G14" i="31"/>
  <c r="G452" i="31"/>
  <c r="G368" i="31"/>
  <c r="G291" i="31"/>
  <c r="G246" i="31"/>
  <c r="G203" i="31"/>
  <c r="G88" i="31"/>
  <c r="G387" i="31"/>
  <c r="G241" i="31"/>
  <c r="G160" i="31"/>
  <c r="G108" i="31"/>
  <c r="G71" i="31"/>
  <c r="G597" i="31"/>
  <c r="G572" i="31"/>
  <c r="G562" i="31"/>
  <c r="G553" i="31"/>
  <c r="G538" i="31"/>
  <c r="G517" i="31"/>
  <c r="G485" i="31"/>
  <c r="G547" i="31"/>
  <c r="G460" i="31"/>
  <c r="G442" i="31"/>
  <c r="G495" i="31"/>
  <c r="G436" i="31"/>
  <c r="G427" i="31"/>
  <c r="G376" i="31"/>
  <c r="G405" i="31"/>
  <c r="G361" i="31"/>
  <c r="G357" i="31"/>
  <c r="G315" i="31"/>
  <c r="G290" i="31"/>
  <c r="G352" i="31"/>
  <c r="G327" i="31"/>
  <c r="G268" i="31"/>
  <c r="G318" i="31"/>
  <c r="G265" i="31"/>
  <c r="G309" i="31"/>
  <c r="G254" i="31"/>
  <c r="G225" i="31"/>
  <c r="G221" i="31"/>
  <c r="G162" i="31"/>
  <c r="G184" i="31"/>
  <c r="G230" i="31"/>
  <c r="G173" i="31"/>
  <c r="G156" i="31"/>
  <c r="G110" i="31"/>
  <c r="G132" i="31"/>
  <c r="G99" i="31"/>
  <c r="G113" i="31"/>
  <c r="G104" i="31"/>
  <c r="G70" i="31"/>
  <c r="G59" i="31"/>
  <c r="G60" i="31"/>
  <c r="G582" i="31"/>
  <c r="G530" i="31"/>
  <c r="G506" i="31"/>
  <c r="G475" i="31"/>
  <c r="G371" i="31"/>
  <c r="G388" i="31"/>
  <c r="G260" i="31"/>
  <c r="G238" i="31"/>
  <c r="G168" i="31"/>
  <c r="G102" i="31"/>
  <c r="G105" i="31"/>
  <c r="G608" i="31"/>
  <c r="G536" i="31"/>
  <c r="G492" i="31"/>
  <c r="G471" i="31"/>
  <c r="G375" i="31"/>
  <c r="G332" i="31"/>
  <c r="G325" i="31"/>
  <c r="G227" i="31"/>
  <c r="G228" i="31"/>
  <c r="G187" i="31"/>
  <c r="G130" i="31"/>
  <c r="G626" i="31"/>
  <c r="B521" i="2"/>
  <c r="M13" i="27"/>
  <c r="M17" i="27"/>
  <c r="L102" i="27"/>
  <c r="N102" i="27" s="1"/>
  <c r="AE102" i="27" s="1"/>
  <c r="B383" i="2"/>
  <c r="M23" i="27"/>
  <c r="M14" i="27"/>
  <c r="E63" i="1"/>
  <c r="C57" i="16" s="1"/>
  <c r="D57" i="16" s="1"/>
  <c r="L4" i="27"/>
  <c r="N4" i="27" s="1"/>
  <c r="M7" i="27"/>
  <c r="L20" i="27"/>
  <c r="N20" i="27" s="1"/>
  <c r="L6" i="27"/>
  <c r="N6" i="27" s="1"/>
  <c r="M6" i="27"/>
  <c r="M101" i="27"/>
  <c r="M8" i="27"/>
  <c r="L8" i="27"/>
  <c r="N8" i="27" s="1"/>
  <c r="N84" i="27"/>
  <c r="AE84" i="27" s="1"/>
  <c r="U84" i="27"/>
  <c r="O84" i="27"/>
  <c r="Z84" i="27" s="1"/>
  <c r="N90" i="27"/>
  <c r="AE90" i="27" s="1"/>
  <c r="U90" i="27"/>
  <c r="O90" i="27"/>
  <c r="Z90" i="27" s="1"/>
  <c r="N101" i="27"/>
  <c r="AE101" i="27" s="1"/>
  <c r="U101" i="27"/>
  <c r="O101" i="27"/>
  <c r="Z101" i="27" s="1"/>
  <c r="N93" i="27"/>
  <c r="AE93" i="27" s="1"/>
  <c r="U93" i="27"/>
  <c r="O93" i="27"/>
  <c r="Z93" i="27" s="1"/>
  <c r="Q97" i="27"/>
  <c r="R97" i="27"/>
  <c r="AB97" i="27"/>
  <c r="W97" i="27"/>
  <c r="M68" i="27"/>
  <c r="L68" i="27"/>
  <c r="M70" i="27"/>
  <c r="L70" i="27"/>
  <c r="L69" i="27"/>
  <c r="M69" i="27"/>
  <c r="M45" i="27"/>
  <c r="L45" i="27"/>
  <c r="L9" i="27"/>
  <c r="N9" i="27" s="1"/>
  <c r="M9" i="27"/>
  <c r="L97" i="27"/>
  <c r="M61" i="27"/>
  <c r="L61" i="27"/>
  <c r="L74" i="27"/>
  <c r="M74" i="27"/>
  <c r="M60" i="27"/>
  <c r="L60" i="27"/>
  <c r="L44" i="27"/>
  <c r="M44" i="27"/>
  <c r="L86" i="27"/>
  <c r="L34" i="27"/>
  <c r="M34" i="27"/>
  <c r="W86" i="27"/>
  <c r="R86" i="27"/>
  <c r="AB86" i="27"/>
  <c r="Q86" i="27"/>
  <c r="R88" i="27"/>
  <c r="AB88" i="27"/>
  <c r="Q88" i="27"/>
  <c r="W88" i="27"/>
  <c r="L88" i="27"/>
  <c r="Q94" i="27"/>
  <c r="W94" i="27"/>
  <c r="R94" i="27"/>
  <c r="AB94" i="27"/>
  <c r="L94" i="27"/>
  <c r="Q89" i="27"/>
  <c r="R89" i="27"/>
  <c r="AB89" i="27"/>
  <c r="W89" i="27"/>
  <c r="M89" i="27"/>
  <c r="Q90" i="27"/>
  <c r="W90" i="27"/>
  <c r="AB90" i="27"/>
  <c r="R90" i="27"/>
  <c r="L73" i="27"/>
  <c r="M73" i="27"/>
  <c r="L66" i="27"/>
  <c r="M66" i="27"/>
  <c r="L41" i="27"/>
  <c r="M41" i="27"/>
  <c r="M32" i="27"/>
  <c r="L32" i="27"/>
  <c r="L49" i="27"/>
  <c r="M49" i="27"/>
  <c r="M93" i="27"/>
  <c r="M71" i="27"/>
  <c r="L71" i="27"/>
  <c r="L35" i="27"/>
  <c r="M35" i="27"/>
  <c r="M97" i="27"/>
  <c r="Q87" i="27"/>
  <c r="R87" i="27"/>
  <c r="AB87" i="27"/>
  <c r="W87" i="27"/>
  <c r="W99" i="27"/>
  <c r="R99" i="27"/>
  <c r="AB99" i="27"/>
  <c r="Q99" i="27"/>
  <c r="L99" i="27"/>
  <c r="Q101" i="27"/>
  <c r="W101" i="27"/>
  <c r="AB101" i="27"/>
  <c r="R101" i="27"/>
  <c r="Q95" i="27"/>
  <c r="R95" i="27"/>
  <c r="AB95" i="27"/>
  <c r="W95" i="27"/>
  <c r="L95" i="27"/>
  <c r="Q96" i="27"/>
  <c r="R96" i="27"/>
  <c r="AB96" i="27"/>
  <c r="W96" i="27"/>
  <c r="M96" i="27"/>
  <c r="L96" i="27"/>
  <c r="L72" i="27"/>
  <c r="M72" i="27"/>
  <c r="L64" i="27"/>
  <c r="M64" i="27"/>
  <c r="L40" i="27"/>
  <c r="M40" i="27"/>
  <c r="M31" i="27"/>
  <c r="L31" i="27"/>
  <c r="M33" i="27"/>
  <c r="L33" i="27"/>
  <c r="M94" i="27"/>
  <c r="M88" i="27"/>
  <c r="N98" i="27"/>
  <c r="AE98" i="27" s="1"/>
  <c r="U98" i="27"/>
  <c r="O98" i="27"/>
  <c r="Z98" i="27" s="1"/>
  <c r="N92" i="27"/>
  <c r="AE92" i="27" s="1"/>
  <c r="U92" i="27"/>
  <c r="O92" i="27"/>
  <c r="Z92" i="27" s="1"/>
  <c r="N83" i="27"/>
  <c r="AE83" i="27" s="1"/>
  <c r="U83" i="27"/>
  <c r="O83" i="27"/>
  <c r="Z83" i="27" s="1"/>
  <c r="Q98" i="27"/>
  <c r="W98" i="27"/>
  <c r="R98" i="27"/>
  <c r="AB98" i="27"/>
  <c r="M98" i="27"/>
  <c r="Q83" i="27"/>
  <c r="W83" i="27"/>
  <c r="R83" i="27"/>
  <c r="AB83" i="27"/>
  <c r="M83" i="27"/>
  <c r="Q102" i="27"/>
  <c r="R102" i="27"/>
  <c r="W102" i="27"/>
  <c r="AB102" i="27"/>
  <c r="L75" i="27"/>
  <c r="M75" i="27"/>
  <c r="M58" i="27"/>
  <c r="L58" i="27"/>
  <c r="M63" i="27"/>
  <c r="L63" i="27"/>
  <c r="L36" i="27"/>
  <c r="M36" i="27"/>
  <c r="M46" i="27"/>
  <c r="L46" i="27"/>
  <c r="M48" i="27"/>
  <c r="L48" i="27"/>
  <c r="L87" i="27"/>
  <c r="M87" i="27"/>
  <c r="L67" i="27"/>
  <c r="W91" i="27"/>
  <c r="Q91" i="27"/>
  <c r="R91" i="27"/>
  <c r="AB91" i="27"/>
  <c r="W85" i="27"/>
  <c r="AB85" i="27"/>
  <c r="Q85" i="27"/>
  <c r="R85" i="27"/>
  <c r="L85" i="27"/>
  <c r="L59" i="27"/>
  <c r="M59" i="27"/>
  <c r="L42" i="27"/>
  <c r="M42" i="27"/>
  <c r="M85" i="27"/>
  <c r="Q82" i="27"/>
  <c r="R82" i="27"/>
  <c r="AB82" i="27"/>
  <c r="W82" i="27"/>
  <c r="L82" i="27"/>
  <c r="Q92" i="27"/>
  <c r="W92" i="27"/>
  <c r="R92" i="27"/>
  <c r="AB92" i="27"/>
  <c r="L56" i="27"/>
  <c r="M56" i="27"/>
  <c r="L57" i="27"/>
  <c r="M57" i="27"/>
  <c r="M76" i="27"/>
  <c r="L76" i="27"/>
  <c r="L50" i="27"/>
  <c r="M50" i="27"/>
  <c r="M43" i="27"/>
  <c r="L43" i="27"/>
  <c r="L5" i="27"/>
  <c r="N5" i="27" s="1"/>
  <c r="M5" i="27"/>
  <c r="L91" i="27"/>
  <c r="M90" i="27"/>
  <c r="M99" i="27"/>
  <c r="M92" i="27"/>
  <c r="Q84" i="27"/>
  <c r="W84" i="27"/>
  <c r="AB84" i="27"/>
  <c r="R84" i="27"/>
  <c r="M84" i="27"/>
  <c r="M62" i="27"/>
  <c r="L62" i="27"/>
  <c r="M39" i="27"/>
  <c r="L39" i="27"/>
  <c r="W93" i="27"/>
  <c r="R93" i="27"/>
  <c r="AB93" i="27"/>
  <c r="Q93" i="27"/>
  <c r="Q100" i="27"/>
  <c r="W100" i="27"/>
  <c r="AB100" i="27"/>
  <c r="R100" i="27"/>
  <c r="L100" i="27"/>
  <c r="M65" i="27"/>
  <c r="L65" i="27"/>
  <c r="M30" i="27"/>
  <c r="L30" i="27"/>
  <c r="L38" i="27"/>
  <c r="M38" i="27"/>
  <c r="M47" i="27"/>
  <c r="L47" i="27"/>
  <c r="M37" i="27"/>
  <c r="L37" i="27"/>
  <c r="M67" i="27"/>
  <c r="L89" i="27"/>
  <c r="C61" i="2"/>
  <c r="B65" i="2" s="1"/>
  <c r="B150" i="2"/>
  <c r="B80" i="2"/>
  <c r="B307" i="2" s="1"/>
  <c r="B351" i="2"/>
  <c r="B353" i="2" s="1"/>
  <c r="B511" i="2"/>
  <c r="C54" i="16"/>
  <c r="D54" i="16" s="1"/>
  <c r="B78" i="2"/>
  <c r="B359" i="2" s="1"/>
  <c r="E73" i="1" s="1"/>
  <c r="A511" i="2"/>
  <c r="B442" i="2"/>
  <c r="D442" i="2"/>
  <c r="B79" i="2"/>
  <c r="B85" i="2" s="1"/>
  <c r="B109" i="2" s="1"/>
  <c r="B125" i="2" s="1"/>
  <c r="G98" i="2"/>
  <c r="G96" i="2"/>
  <c r="B389" i="2"/>
  <c r="G97" i="2"/>
  <c r="C60" i="2"/>
  <c r="B64" i="2" s="1"/>
  <c r="B388" i="2"/>
  <c r="B390" i="2"/>
  <c r="B15" i="6"/>
  <c r="B3" i="6"/>
  <c r="B16" i="6"/>
  <c r="H387" i="2"/>
  <c r="B503" i="2" l="1"/>
  <c r="AJ623" i="32"/>
  <c r="K623" i="32"/>
  <c r="AP623" i="32"/>
  <c r="AM623" i="32"/>
  <c r="E623" i="32"/>
  <c r="H228" i="31"/>
  <c r="I228" i="31"/>
  <c r="H241" i="31"/>
  <c r="I241" i="31"/>
  <c r="I494" i="31"/>
  <c r="H494" i="31"/>
  <c r="H377" i="31"/>
  <c r="I377" i="31"/>
  <c r="I569" i="31"/>
  <c r="H569" i="31"/>
  <c r="I351" i="31"/>
  <c r="H351" i="31"/>
  <c r="H270" i="31"/>
  <c r="I270" i="31"/>
  <c r="I19" i="31"/>
  <c r="H19" i="31"/>
  <c r="H358" i="31"/>
  <c r="I358" i="31"/>
  <c r="H222" i="31"/>
  <c r="I222" i="31"/>
  <c r="I271" i="31"/>
  <c r="H271" i="31"/>
  <c r="I401" i="31"/>
  <c r="H401" i="31"/>
  <c r="I67" i="31"/>
  <c r="H67" i="31"/>
  <c r="I55" i="31"/>
  <c r="H55" i="31"/>
  <c r="I77" i="31"/>
  <c r="H77" i="31"/>
  <c r="I227" i="31"/>
  <c r="H227" i="31"/>
  <c r="I105" i="31"/>
  <c r="H105" i="31"/>
  <c r="I506" i="31"/>
  <c r="H506" i="31"/>
  <c r="I99" i="31"/>
  <c r="H99" i="31"/>
  <c r="H221" i="31"/>
  <c r="I221" i="31"/>
  <c r="I352" i="31"/>
  <c r="H352" i="31"/>
  <c r="I436" i="31"/>
  <c r="H436" i="31"/>
  <c r="H553" i="31"/>
  <c r="I553" i="31"/>
  <c r="H387" i="31"/>
  <c r="I387" i="31"/>
  <c r="I120" i="31"/>
  <c r="H120" i="31"/>
  <c r="I200" i="31"/>
  <c r="H200" i="31"/>
  <c r="H284" i="31"/>
  <c r="I284" i="31"/>
  <c r="I384" i="31"/>
  <c r="H384" i="31"/>
  <c r="H544" i="31"/>
  <c r="I544" i="31"/>
  <c r="I51" i="31"/>
  <c r="H51" i="31"/>
  <c r="I128" i="31"/>
  <c r="H128" i="31"/>
  <c r="I424" i="31"/>
  <c r="H424" i="31"/>
  <c r="I548" i="31"/>
  <c r="H548" i="31"/>
  <c r="I472" i="31"/>
  <c r="H472" i="31"/>
  <c r="I115" i="31"/>
  <c r="H115" i="31"/>
  <c r="I256" i="31"/>
  <c r="H256" i="31"/>
  <c r="I533" i="31"/>
  <c r="H533" i="31"/>
  <c r="I155" i="31"/>
  <c r="H155" i="31"/>
  <c r="H252" i="31"/>
  <c r="I252" i="31"/>
  <c r="H347" i="31"/>
  <c r="I347" i="31"/>
  <c r="H473" i="31"/>
  <c r="I473" i="31"/>
  <c r="H593" i="31"/>
  <c r="I593" i="31"/>
  <c r="I232" i="31"/>
  <c r="H232" i="31"/>
  <c r="H37" i="31"/>
  <c r="I37" i="31"/>
  <c r="H434" i="31"/>
  <c r="I434" i="31"/>
  <c r="H212" i="31"/>
  <c r="I212" i="31"/>
  <c r="I429" i="31"/>
  <c r="H429" i="31"/>
  <c r="I604" i="31"/>
  <c r="H604" i="31"/>
  <c r="I399" i="31"/>
  <c r="H399" i="31"/>
  <c r="I418" i="31"/>
  <c r="H418" i="31"/>
  <c r="H169" i="31"/>
  <c r="I169" i="31"/>
  <c r="H382" i="31"/>
  <c r="I382" i="31"/>
  <c r="I133" i="31"/>
  <c r="H133" i="31"/>
  <c r="I239" i="31"/>
  <c r="H239" i="31"/>
  <c r="I348" i="31"/>
  <c r="H348" i="31"/>
  <c r="H449" i="31"/>
  <c r="I449" i="31"/>
  <c r="I586" i="31"/>
  <c r="H586" i="31"/>
  <c r="I48" i="31"/>
  <c r="H48" i="31"/>
  <c r="H125" i="31"/>
  <c r="I125" i="31"/>
  <c r="H177" i="31"/>
  <c r="I177" i="31"/>
  <c r="H280" i="31"/>
  <c r="I280" i="31"/>
  <c r="I329" i="31"/>
  <c r="H329" i="31"/>
  <c r="I390" i="31"/>
  <c r="H390" i="31"/>
  <c r="I456" i="31"/>
  <c r="H456" i="31"/>
  <c r="I525" i="31"/>
  <c r="H525" i="31"/>
  <c r="H580" i="31"/>
  <c r="I580" i="31"/>
  <c r="I26" i="31"/>
  <c r="H26" i="31"/>
  <c r="I470" i="31"/>
  <c r="H470" i="31"/>
  <c r="H542" i="31"/>
  <c r="I542" i="31"/>
  <c r="G623" i="31"/>
  <c r="H138" i="31"/>
  <c r="I138" i="31"/>
  <c r="H190" i="31"/>
  <c r="I190" i="31"/>
  <c r="I235" i="31"/>
  <c r="H235" i="31"/>
  <c r="H303" i="31"/>
  <c r="I303" i="31"/>
  <c r="I360" i="31"/>
  <c r="H360" i="31"/>
  <c r="I455" i="31"/>
  <c r="H455" i="31"/>
  <c r="H500" i="31"/>
  <c r="I500" i="31"/>
  <c r="I560" i="31"/>
  <c r="H560" i="31"/>
  <c r="I44" i="31"/>
  <c r="H44" i="31"/>
  <c r="I93" i="31"/>
  <c r="H93" i="31"/>
  <c r="H214" i="31"/>
  <c r="I214" i="31"/>
  <c r="I248" i="31"/>
  <c r="H248" i="31"/>
  <c r="I297" i="31"/>
  <c r="H297" i="31"/>
  <c r="I389" i="31"/>
  <c r="H389" i="31"/>
  <c r="I451" i="31"/>
  <c r="H451" i="31"/>
  <c r="I524" i="31"/>
  <c r="H524" i="31"/>
  <c r="H571" i="31"/>
  <c r="I571" i="31"/>
  <c r="I72" i="31"/>
  <c r="H72" i="31"/>
  <c r="I35" i="31"/>
  <c r="H35" i="31"/>
  <c r="I49" i="31"/>
  <c r="H49" i="31"/>
  <c r="H475" i="31"/>
  <c r="I475" i="31"/>
  <c r="I14" i="31"/>
  <c r="H14" i="31"/>
  <c r="I510" i="31"/>
  <c r="H510" i="31"/>
  <c r="H226" i="31"/>
  <c r="I226" i="31"/>
  <c r="I201" i="31"/>
  <c r="H201" i="31"/>
  <c r="I344" i="31"/>
  <c r="H344" i="31"/>
  <c r="I23" i="31"/>
  <c r="H23" i="31"/>
  <c r="I425" i="31"/>
  <c r="H425" i="31"/>
  <c r="H598" i="31"/>
  <c r="I598" i="31"/>
  <c r="I76" i="31"/>
  <c r="H76" i="31"/>
  <c r="I583" i="31"/>
  <c r="H583" i="31"/>
  <c r="I325" i="31"/>
  <c r="H325" i="31"/>
  <c r="I102" i="31"/>
  <c r="H102" i="31"/>
  <c r="I530" i="31"/>
  <c r="H530" i="31"/>
  <c r="I132" i="31"/>
  <c r="H132" i="31"/>
  <c r="H225" i="31"/>
  <c r="I225" i="31"/>
  <c r="H290" i="31"/>
  <c r="I290" i="31"/>
  <c r="H495" i="31"/>
  <c r="I495" i="31"/>
  <c r="I562" i="31"/>
  <c r="H562" i="31"/>
  <c r="H88" i="31"/>
  <c r="I88" i="31"/>
  <c r="I129" i="31"/>
  <c r="H129" i="31"/>
  <c r="I170" i="31"/>
  <c r="H170" i="31"/>
  <c r="I335" i="31"/>
  <c r="H335" i="31"/>
  <c r="I416" i="31"/>
  <c r="H416" i="31"/>
  <c r="I532" i="31"/>
  <c r="H532" i="31"/>
  <c r="H27" i="31"/>
  <c r="I27" i="31"/>
  <c r="H134" i="31"/>
  <c r="I134" i="31"/>
  <c r="I413" i="31"/>
  <c r="H413" i="31"/>
  <c r="I576" i="31"/>
  <c r="H576" i="31"/>
  <c r="I600" i="31"/>
  <c r="H600" i="31"/>
  <c r="H101" i="31"/>
  <c r="I101" i="31"/>
  <c r="H301" i="31"/>
  <c r="I301" i="31"/>
  <c r="I62" i="31"/>
  <c r="H62" i="31"/>
  <c r="I188" i="31"/>
  <c r="H188" i="31"/>
  <c r="I264" i="31"/>
  <c r="H264" i="31"/>
  <c r="H428" i="31"/>
  <c r="I428" i="31"/>
  <c r="I496" i="31"/>
  <c r="H496" i="31"/>
  <c r="H606" i="31"/>
  <c r="I606" i="31"/>
  <c r="I274" i="31"/>
  <c r="H274" i="31"/>
  <c r="I116" i="31"/>
  <c r="H116" i="31"/>
  <c r="I505" i="31"/>
  <c r="H505" i="31"/>
  <c r="H244" i="31"/>
  <c r="I244" i="31"/>
  <c r="I458" i="31"/>
  <c r="H458" i="31"/>
  <c r="I611" i="31"/>
  <c r="H611" i="31"/>
  <c r="I497" i="31"/>
  <c r="H497" i="31"/>
  <c r="I509" i="31"/>
  <c r="H509" i="31"/>
  <c r="H231" i="31"/>
  <c r="I231" i="31"/>
  <c r="H409" i="31"/>
  <c r="I409" i="31"/>
  <c r="I179" i="31"/>
  <c r="H179" i="31"/>
  <c r="I278" i="31"/>
  <c r="H278" i="31"/>
  <c r="H316" i="31"/>
  <c r="I316" i="31"/>
  <c r="I459" i="31"/>
  <c r="H459" i="31"/>
  <c r="I603" i="31"/>
  <c r="H603" i="31"/>
  <c r="I87" i="31"/>
  <c r="H87" i="31"/>
  <c r="H126" i="31"/>
  <c r="I126" i="31"/>
  <c r="I178" i="31"/>
  <c r="H178" i="31"/>
  <c r="I281" i="31"/>
  <c r="H281" i="31"/>
  <c r="H306" i="31"/>
  <c r="I306" i="31"/>
  <c r="I392" i="31"/>
  <c r="H392" i="31"/>
  <c r="I466" i="31"/>
  <c r="H466" i="31"/>
  <c r="H511" i="31"/>
  <c r="I511" i="31"/>
  <c r="I587" i="31"/>
  <c r="H587" i="31"/>
  <c r="H419" i="31"/>
  <c r="I419" i="31"/>
  <c r="H482" i="31"/>
  <c r="I482" i="31"/>
  <c r="I546" i="31"/>
  <c r="H546" i="31"/>
  <c r="H53" i="31"/>
  <c r="I53" i="31"/>
  <c r="H139" i="31"/>
  <c r="I139" i="31"/>
  <c r="I191" i="31"/>
  <c r="H191" i="31"/>
  <c r="I279" i="31"/>
  <c r="H279" i="31"/>
  <c r="I304" i="31"/>
  <c r="H304" i="31"/>
  <c r="H370" i="31"/>
  <c r="I370" i="31"/>
  <c r="I447" i="31"/>
  <c r="H447" i="31"/>
  <c r="H486" i="31"/>
  <c r="I486" i="31"/>
  <c r="H565" i="31"/>
  <c r="I565" i="31"/>
  <c r="I57" i="31"/>
  <c r="H57" i="31"/>
  <c r="H94" i="31"/>
  <c r="I94" i="31"/>
  <c r="I146" i="31"/>
  <c r="H146" i="31"/>
  <c r="I249" i="31"/>
  <c r="H249" i="31"/>
  <c r="I364" i="31"/>
  <c r="H364" i="31"/>
  <c r="I383" i="31"/>
  <c r="H383" i="31"/>
  <c r="H457" i="31"/>
  <c r="I457" i="31"/>
  <c r="H502" i="31"/>
  <c r="I502" i="31"/>
  <c r="H592" i="31"/>
  <c r="I592" i="31"/>
  <c r="I25" i="31"/>
  <c r="H25" i="31"/>
  <c r="H80" i="31"/>
  <c r="I80" i="31"/>
  <c r="I17" i="31"/>
  <c r="H17" i="31"/>
  <c r="I113" i="31"/>
  <c r="H113" i="31"/>
  <c r="I159" i="31"/>
  <c r="H159" i="31"/>
  <c r="I397" i="31"/>
  <c r="H397" i="31"/>
  <c r="H109" i="31"/>
  <c r="I109" i="31"/>
  <c r="I415" i="31"/>
  <c r="H415" i="31"/>
  <c r="I158" i="31"/>
  <c r="H158" i="31"/>
  <c r="I568" i="31"/>
  <c r="H568" i="31"/>
  <c r="I402" i="31"/>
  <c r="H402" i="31"/>
  <c r="H197" i="31"/>
  <c r="I197" i="31"/>
  <c r="I554" i="31"/>
  <c r="H554" i="31"/>
  <c r="I320" i="31"/>
  <c r="H320" i="31"/>
  <c r="H332" i="31"/>
  <c r="I332" i="31"/>
  <c r="I168" i="31"/>
  <c r="H168" i="31"/>
  <c r="H582" i="31"/>
  <c r="I582" i="31"/>
  <c r="I110" i="31"/>
  <c r="H110" i="31"/>
  <c r="H254" i="31"/>
  <c r="I254" i="31"/>
  <c r="I315" i="31"/>
  <c r="H315" i="31"/>
  <c r="H442" i="31"/>
  <c r="I442" i="31"/>
  <c r="H572" i="31"/>
  <c r="I572" i="31"/>
  <c r="I203" i="31"/>
  <c r="H203" i="31"/>
  <c r="I107" i="31"/>
  <c r="H107" i="31"/>
  <c r="H237" i="31"/>
  <c r="I237" i="31"/>
  <c r="H403" i="31"/>
  <c r="I403" i="31"/>
  <c r="H412" i="31"/>
  <c r="I412" i="31"/>
  <c r="H555" i="31"/>
  <c r="I555" i="31"/>
  <c r="I97" i="31"/>
  <c r="H97" i="31"/>
  <c r="H153" i="31"/>
  <c r="I153" i="31"/>
  <c r="I448" i="31"/>
  <c r="H448" i="31"/>
  <c r="H595" i="31"/>
  <c r="I595" i="31"/>
  <c r="I154" i="31"/>
  <c r="H154" i="31"/>
  <c r="I180" i="31"/>
  <c r="H180" i="31"/>
  <c r="I342" i="31"/>
  <c r="H342" i="31"/>
  <c r="I46" i="31"/>
  <c r="H46" i="31"/>
  <c r="I150" i="31"/>
  <c r="H150" i="31"/>
  <c r="I353" i="31"/>
  <c r="H353" i="31"/>
  <c r="H362" i="31"/>
  <c r="I362" i="31"/>
  <c r="I527" i="31"/>
  <c r="H527" i="31"/>
  <c r="I28" i="31"/>
  <c r="H28" i="31"/>
  <c r="I349" i="31"/>
  <c r="H349" i="31"/>
  <c r="H165" i="31"/>
  <c r="I165" i="31"/>
  <c r="H545" i="31"/>
  <c r="I545" i="31"/>
  <c r="I258" i="31"/>
  <c r="H258" i="31"/>
  <c r="I454" i="31"/>
  <c r="H454" i="31"/>
  <c r="H45" i="31"/>
  <c r="I45" i="31"/>
  <c r="I552" i="31"/>
  <c r="H552" i="31"/>
  <c r="H13" i="31"/>
  <c r="I13" i="31"/>
  <c r="H234" i="31"/>
  <c r="I234" i="31"/>
  <c r="I464" i="31"/>
  <c r="H464" i="31"/>
  <c r="H243" i="31"/>
  <c r="I243" i="31"/>
  <c r="H293" i="31"/>
  <c r="I293" i="31"/>
  <c r="H359" i="31"/>
  <c r="I359" i="31"/>
  <c r="I481" i="31"/>
  <c r="H481" i="31"/>
  <c r="H607" i="31"/>
  <c r="I607" i="31"/>
  <c r="I151" i="31"/>
  <c r="H151" i="31"/>
  <c r="I195" i="31"/>
  <c r="H195" i="31"/>
  <c r="H236" i="31"/>
  <c r="I236" i="31"/>
  <c r="H282" i="31"/>
  <c r="I282" i="31"/>
  <c r="I422" i="31"/>
  <c r="H422" i="31"/>
  <c r="I407" i="31"/>
  <c r="H407" i="31"/>
  <c r="H468" i="31"/>
  <c r="I468" i="31"/>
  <c r="I549" i="31"/>
  <c r="H549" i="31"/>
  <c r="I609" i="31"/>
  <c r="H609" i="31"/>
  <c r="I445" i="31"/>
  <c r="H445" i="31"/>
  <c r="I499" i="31"/>
  <c r="H499" i="31"/>
  <c r="I567" i="31"/>
  <c r="H567" i="31"/>
  <c r="H21" i="31"/>
  <c r="I21" i="31"/>
  <c r="I140" i="31"/>
  <c r="H140" i="31"/>
  <c r="I192" i="31"/>
  <c r="H192" i="31"/>
  <c r="I341" i="31"/>
  <c r="H341" i="31"/>
  <c r="H372" i="31"/>
  <c r="I372" i="31"/>
  <c r="H373" i="31"/>
  <c r="I373" i="31"/>
  <c r="I441" i="31"/>
  <c r="H441" i="31"/>
  <c r="I508" i="31"/>
  <c r="H508" i="31"/>
  <c r="I578" i="31"/>
  <c r="H578" i="31"/>
  <c r="H119" i="31"/>
  <c r="I119" i="31"/>
  <c r="I163" i="31"/>
  <c r="H163" i="31"/>
  <c r="I211" i="31"/>
  <c r="H211" i="31"/>
  <c r="H250" i="31"/>
  <c r="I250" i="31"/>
  <c r="I338" i="31"/>
  <c r="H338" i="31"/>
  <c r="I378" i="31"/>
  <c r="H378" i="31"/>
  <c r="I467" i="31"/>
  <c r="H467" i="31"/>
  <c r="H520" i="31"/>
  <c r="I520" i="31"/>
  <c r="H589" i="31"/>
  <c r="I589" i="31"/>
  <c r="I56" i="31"/>
  <c r="H56" i="31"/>
  <c r="I50" i="31"/>
  <c r="H50" i="31"/>
  <c r="H63" i="31"/>
  <c r="I63" i="31"/>
  <c r="I162" i="31"/>
  <c r="H162" i="31"/>
  <c r="I381" i="31"/>
  <c r="H381" i="31"/>
  <c r="I295" i="31"/>
  <c r="H295" i="31"/>
  <c r="I330" i="31"/>
  <c r="H330" i="31"/>
  <c r="H386" i="31"/>
  <c r="I386" i="31"/>
  <c r="I100" i="31"/>
  <c r="H100" i="31"/>
  <c r="I176" i="31"/>
  <c r="H176" i="31"/>
  <c r="I529" i="31"/>
  <c r="H529" i="31"/>
  <c r="I137" i="31"/>
  <c r="H137" i="31"/>
  <c r="H490" i="31"/>
  <c r="I490" i="31"/>
  <c r="H522" i="31"/>
  <c r="I522" i="31"/>
  <c r="I375" i="31"/>
  <c r="H375" i="31"/>
  <c r="H238" i="31"/>
  <c r="I238" i="31"/>
  <c r="I60" i="31"/>
  <c r="H60" i="31"/>
  <c r="I156" i="31"/>
  <c r="H156" i="31"/>
  <c r="I309" i="31"/>
  <c r="H309" i="31"/>
  <c r="I357" i="31"/>
  <c r="H357" i="31"/>
  <c r="I460" i="31"/>
  <c r="H460" i="31"/>
  <c r="I597" i="31"/>
  <c r="H597" i="31"/>
  <c r="H246" i="31"/>
  <c r="I246" i="31"/>
  <c r="I85" i="31"/>
  <c r="H85" i="31"/>
  <c r="I242" i="31"/>
  <c r="H242" i="31"/>
  <c r="I298" i="31"/>
  <c r="H298" i="31"/>
  <c r="I488" i="31"/>
  <c r="H488" i="31"/>
  <c r="H575" i="31"/>
  <c r="I575" i="31"/>
  <c r="I336" i="31"/>
  <c r="H336" i="31"/>
  <c r="I210" i="31"/>
  <c r="H210" i="31"/>
  <c r="I465" i="31"/>
  <c r="H465" i="31"/>
  <c r="I602" i="31"/>
  <c r="H602" i="31"/>
  <c r="H391" i="31"/>
  <c r="I391" i="31"/>
  <c r="I205" i="31"/>
  <c r="H205" i="31"/>
  <c r="H343" i="31"/>
  <c r="I343" i="31"/>
  <c r="I111" i="31"/>
  <c r="H111" i="31"/>
  <c r="I183" i="31"/>
  <c r="H183" i="31"/>
  <c r="H275" i="31"/>
  <c r="I275" i="31"/>
  <c r="I414" i="31"/>
  <c r="H414" i="31"/>
  <c r="H515" i="31"/>
  <c r="I515" i="31"/>
  <c r="H66" i="31"/>
  <c r="I66" i="31"/>
  <c r="H363" i="31"/>
  <c r="I363" i="31"/>
  <c r="I217" i="31"/>
  <c r="H217" i="31"/>
  <c r="I78" i="31"/>
  <c r="H78" i="31"/>
  <c r="H277" i="31"/>
  <c r="I277" i="31"/>
  <c r="H483" i="31"/>
  <c r="I483" i="31"/>
  <c r="I16" i="31"/>
  <c r="H16" i="31"/>
  <c r="H54" i="31"/>
  <c r="I54" i="31"/>
  <c r="H145" i="31"/>
  <c r="I145" i="31"/>
  <c r="I272" i="31"/>
  <c r="H272" i="31"/>
  <c r="I523" i="31"/>
  <c r="H523" i="31"/>
  <c r="H166" i="31"/>
  <c r="I166" i="31"/>
  <c r="H266" i="31"/>
  <c r="I266" i="31"/>
  <c r="I355" i="31"/>
  <c r="H355" i="31"/>
  <c r="I476" i="31"/>
  <c r="H476" i="31"/>
  <c r="H61" i="31"/>
  <c r="I61" i="31"/>
  <c r="I144" i="31"/>
  <c r="H144" i="31"/>
  <c r="I196" i="31"/>
  <c r="H196" i="31"/>
  <c r="I223" i="31"/>
  <c r="H223" i="31"/>
  <c r="I283" i="31"/>
  <c r="H283" i="31"/>
  <c r="I292" i="31"/>
  <c r="H292" i="31"/>
  <c r="H432" i="31"/>
  <c r="I432" i="31"/>
  <c r="H462" i="31"/>
  <c r="I462" i="31"/>
  <c r="I534" i="31"/>
  <c r="H534" i="31"/>
  <c r="I612" i="31"/>
  <c r="H612" i="31"/>
  <c r="H439" i="31"/>
  <c r="I439" i="31"/>
  <c r="I478" i="31"/>
  <c r="H478" i="31"/>
  <c r="H557" i="31"/>
  <c r="I557" i="31"/>
  <c r="I74" i="31"/>
  <c r="H74" i="31"/>
  <c r="H141" i="31"/>
  <c r="I141" i="31"/>
  <c r="H193" i="31"/>
  <c r="I193" i="31"/>
  <c r="I326" i="31"/>
  <c r="H326" i="31"/>
  <c r="I345" i="31"/>
  <c r="H345" i="31"/>
  <c r="H406" i="31"/>
  <c r="I406" i="31"/>
  <c r="I443" i="31"/>
  <c r="H443" i="31"/>
  <c r="I537" i="31"/>
  <c r="H537" i="31"/>
  <c r="I581" i="31"/>
  <c r="H581" i="31"/>
  <c r="I112" i="31"/>
  <c r="H112" i="31"/>
  <c r="I164" i="31"/>
  <c r="H164" i="31"/>
  <c r="H229" i="31"/>
  <c r="I229" i="31"/>
  <c r="I251" i="31"/>
  <c r="H251" i="31"/>
  <c r="H323" i="31"/>
  <c r="I323" i="31"/>
  <c r="I408" i="31"/>
  <c r="H408" i="31"/>
  <c r="I461" i="31"/>
  <c r="H461" i="31"/>
  <c r="I540" i="31"/>
  <c r="H540" i="31"/>
  <c r="H601" i="31"/>
  <c r="I601" i="31"/>
  <c r="H40" i="31"/>
  <c r="I40" i="31"/>
  <c r="I18" i="31"/>
  <c r="H18" i="31"/>
  <c r="H15" i="31"/>
  <c r="I15" i="31"/>
  <c r="I327" i="31"/>
  <c r="H327" i="31"/>
  <c r="I259" i="31"/>
  <c r="H259" i="31"/>
  <c r="I82" i="31"/>
  <c r="H82" i="31"/>
  <c r="I450" i="31"/>
  <c r="H450" i="31"/>
  <c r="I594" i="31"/>
  <c r="H594" i="31"/>
  <c r="I216" i="31"/>
  <c r="H216" i="31"/>
  <c r="H124" i="31"/>
  <c r="I124" i="31"/>
  <c r="H577" i="31"/>
  <c r="I577" i="31"/>
  <c r="H531" i="31"/>
  <c r="I531" i="31"/>
  <c r="I404" i="31"/>
  <c r="H404" i="31"/>
  <c r="I41" i="31"/>
  <c r="H41" i="31"/>
  <c r="L4" i="31"/>
  <c r="D623" i="31" s="1"/>
  <c r="O4" i="32"/>
  <c r="I626" i="31"/>
  <c r="H626" i="31"/>
  <c r="I471" i="31"/>
  <c r="H471" i="31"/>
  <c r="H260" i="31"/>
  <c r="I260" i="31"/>
  <c r="H59" i="31"/>
  <c r="I59" i="31"/>
  <c r="I173" i="31"/>
  <c r="H173" i="31"/>
  <c r="I265" i="31"/>
  <c r="H265" i="31"/>
  <c r="H361" i="31"/>
  <c r="I361" i="31"/>
  <c r="H547" i="31"/>
  <c r="I547" i="31"/>
  <c r="H71" i="31"/>
  <c r="I71" i="31"/>
  <c r="H291" i="31"/>
  <c r="I291" i="31"/>
  <c r="H118" i="31"/>
  <c r="I118" i="31"/>
  <c r="I302" i="31"/>
  <c r="H302" i="31"/>
  <c r="I331" i="31"/>
  <c r="H331" i="31"/>
  <c r="H463" i="31"/>
  <c r="I463" i="31"/>
  <c r="I584" i="31"/>
  <c r="H584" i="31"/>
  <c r="I579" i="31"/>
  <c r="H579" i="31"/>
  <c r="I267" i="31"/>
  <c r="H267" i="31"/>
  <c r="H469" i="31"/>
  <c r="I469" i="31"/>
  <c r="H69" i="31"/>
  <c r="I69" i="31"/>
  <c r="I591" i="31"/>
  <c r="H591" i="31"/>
  <c r="I167" i="31"/>
  <c r="H167" i="31"/>
  <c r="I314" i="31"/>
  <c r="H314" i="31"/>
  <c r="H136" i="31"/>
  <c r="I136" i="31"/>
  <c r="H161" i="31"/>
  <c r="I161" i="31"/>
  <c r="I269" i="31"/>
  <c r="H269" i="31"/>
  <c r="H393" i="31"/>
  <c r="I393" i="31"/>
  <c r="I518" i="31"/>
  <c r="H518" i="31"/>
  <c r="I42" i="31"/>
  <c r="H42" i="31"/>
  <c r="H410" i="31"/>
  <c r="I410" i="31"/>
  <c r="H257" i="31"/>
  <c r="I257" i="31"/>
  <c r="I127" i="31"/>
  <c r="H127" i="31"/>
  <c r="I321" i="31"/>
  <c r="H321" i="31"/>
  <c r="I526" i="31"/>
  <c r="H526" i="31"/>
  <c r="I22" i="31"/>
  <c r="H22" i="31"/>
  <c r="H83" i="31"/>
  <c r="I83" i="31"/>
  <c r="H106" i="31"/>
  <c r="I106" i="31"/>
  <c r="I286" i="31"/>
  <c r="H286" i="31"/>
  <c r="H135" i="31"/>
  <c r="I135" i="31"/>
  <c r="I152" i="31"/>
  <c r="H152" i="31"/>
  <c r="H288" i="31"/>
  <c r="I288" i="31"/>
  <c r="H398" i="31"/>
  <c r="I398" i="31"/>
  <c r="H516" i="31"/>
  <c r="I516" i="31"/>
  <c r="H58" i="31"/>
  <c r="I58" i="31"/>
  <c r="I121" i="31"/>
  <c r="H121" i="31"/>
  <c r="I181" i="31"/>
  <c r="H181" i="31"/>
  <c r="H233" i="31"/>
  <c r="I233" i="31"/>
  <c r="H276" i="31"/>
  <c r="I276" i="31"/>
  <c r="I365" i="31"/>
  <c r="H365" i="31"/>
  <c r="I411" i="31"/>
  <c r="H411" i="31"/>
  <c r="I474" i="31"/>
  <c r="H474" i="31"/>
  <c r="I559" i="31"/>
  <c r="H559" i="31"/>
  <c r="H68" i="31"/>
  <c r="I68" i="31"/>
  <c r="H433" i="31"/>
  <c r="I433" i="31"/>
  <c r="I550" i="31"/>
  <c r="H550" i="31"/>
  <c r="I570" i="31"/>
  <c r="H570" i="31"/>
  <c r="I103" i="31"/>
  <c r="H103" i="31"/>
  <c r="I142" i="31"/>
  <c r="H142" i="31"/>
  <c r="I194" i="31"/>
  <c r="H194" i="31"/>
  <c r="I333" i="31"/>
  <c r="H333" i="31"/>
  <c r="I322" i="31"/>
  <c r="H322" i="31"/>
  <c r="H385" i="31"/>
  <c r="I385" i="31"/>
  <c r="H487" i="31"/>
  <c r="I487" i="31"/>
  <c r="I504" i="31"/>
  <c r="H504" i="31"/>
  <c r="H596" i="31"/>
  <c r="I596" i="31"/>
  <c r="I89" i="31"/>
  <c r="H89" i="31"/>
  <c r="H149" i="31"/>
  <c r="I149" i="31"/>
  <c r="I224" i="31"/>
  <c r="H224" i="31"/>
  <c r="H289" i="31"/>
  <c r="I289" i="31"/>
  <c r="H324" i="31"/>
  <c r="I324" i="31"/>
  <c r="I444" i="31"/>
  <c r="H444" i="31"/>
  <c r="H489" i="31"/>
  <c r="I489" i="31"/>
  <c r="I566" i="31"/>
  <c r="H566" i="31"/>
  <c r="I39" i="31"/>
  <c r="H39" i="31"/>
  <c r="I64" i="31"/>
  <c r="H64" i="31"/>
  <c r="I79" i="31"/>
  <c r="H79" i="31"/>
  <c r="I608" i="31"/>
  <c r="H608" i="31"/>
  <c r="I538" i="31"/>
  <c r="H538" i="31"/>
  <c r="I75" i="31"/>
  <c r="H75" i="31"/>
  <c r="H253" i="31"/>
  <c r="I253" i="31"/>
  <c r="H199" i="31"/>
  <c r="I199" i="31"/>
  <c r="I337" i="31"/>
  <c r="H337" i="31"/>
  <c r="H350" i="31"/>
  <c r="I350" i="31"/>
  <c r="H479" i="31"/>
  <c r="I479" i="31"/>
  <c r="H247" i="31"/>
  <c r="I247" i="31"/>
  <c r="H92" i="31"/>
  <c r="I92" i="31"/>
  <c r="H440" i="31"/>
  <c r="I440" i="31"/>
  <c r="H130" i="31"/>
  <c r="I130" i="31"/>
  <c r="H492" i="31"/>
  <c r="I492" i="31"/>
  <c r="I388" i="31"/>
  <c r="H388" i="31"/>
  <c r="H70" i="31"/>
  <c r="I70" i="31"/>
  <c r="I230" i="31"/>
  <c r="H230" i="31"/>
  <c r="I318" i="31"/>
  <c r="H318" i="31"/>
  <c r="I405" i="31"/>
  <c r="H405" i="31"/>
  <c r="H485" i="31"/>
  <c r="I485" i="31"/>
  <c r="I108" i="31"/>
  <c r="H108" i="31"/>
  <c r="I368" i="31"/>
  <c r="H368" i="31"/>
  <c r="I172" i="31"/>
  <c r="H172" i="31"/>
  <c r="I240" i="31"/>
  <c r="H240" i="31"/>
  <c r="I395" i="31"/>
  <c r="H395" i="31"/>
  <c r="I453" i="31"/>
  <c r="H453" i="31"/>
  <c r="H599" i="31"/>
  <c r="I599" i="31"/>
  <c r="I38" i="31"/>
  <c r="H38" i="31"/>
  <c r="I305" i="31"/>
  <c r="H305" i="31"/>
  <c r="I521" i="31"/>
  <c r="H521" i="31"/>
  <c r="I32" i="31"/>
  <c r="H32" i="31"/>
  <c r="I30" i="31"/>
  <c r="H30" i="31"/>
  <c r="I186" i="31"/>
  <c r="H186" i="31"/>
  <c r="H339" i="31"/>
  <c r="I339" i="31"/>
  <c r="I98" i="31"/>
  <c r="H98" i="31"/>
  <c r="I202" i="31"/>
  <c r="H202" i="31"/>
  <c r="I296" i="31"/>
  <c r="H296" i="31"/>
  <c r="H426" i="31"/>
  <c r="I426" i="31"/>
  <c r="I541" i="31"/>
  <c r="H541" i="31"/>
  <c r="I143" i="31"/>
  <c r="H143" i="31"/>
  <c r="I503" i="31"/>
  <c r="H503" i="31"/>
  <c r="I311" i="31"/>
  <c r="H311" i="31"/>
  <c r="H84" i="31"/>
  <c r="I84" i="31"/>
  <c r="H300" i="31"/>
  <c r="I300" i="31"/>
  <c r="I551" i="31"/>
  <c r="H551" i="31"/>
  <c r="H157" i="31"/>
  <c r="I157" i="31"/>
  <c r="I198" i="31"/>
  <c r="H198" i="31"/>
  <c r="H117" i="31"/>
  <c r="I117" i="31"/>
  <c r="H312" i="31"/>
  <c r="I312" i="31"/>
  <c r="I81" i="31"/>
  <c r="H81" i="31"/>
  <c r="H185" i="31"/>
  <c r="I185" i="31"/>
  <c r="H285" i="31"/>
  <c r="I285" i="31"/>
  <c r="H394" i="31"/>
  <c r="I394" i="31"/>
  <c r="I512" i="31"/>
  <c r="H512" i="31"/>
  <c r="H34" i="31"/>
  <c r="I34" i="31"/>
  <c r="I122" i="31"/>
  <c r="H122" i="31"/>
  <c r="H174" i="31"/>
  <c r="I174" i="31"/>
  <c r="I219" i="31"/>
  <c r="H219" i="31"/>
  <c r="H317" i="31"/>
  <c r="I317" i="31"/>
  <c r="H367" i="31"/>
  <c r="I367" i="31"/>
  <c r="I437" i="31"/>
  <c r="H437" i="31"/>
  <c r="H491" i="31"/>
  <c r="I491" i="31"/>
  <c r="I556" i="31"/>
  <c r="H556" i="31"/>
  <c r="I36" i="31"/>
  <c r="H36" i="31"/>
  <c r="I435" i="31"/>
  <c r="H435" i="31"/>
  <c r="I528" i="31"/>
  <c r="H528" i="31"/>
  <c r="I573" i="31"/>
  <c r="H573" i="31"/>
  <c r="I96" i="31"/>
  <c r="H96" i="31"/>
  <c r="I148" i="31"/>
  <c r="H148" i="31"/>
  <c r="I213" i="31"/>
  <c r="H213" i="31"/>
  <c r="H294" i="31"/>
  <c r="I294" i="31"/>
  <c r="H307" i="31"/>
  <c r="I307" i="31"/>
  <c r="H423" i="31"/>
  <c r="I423" i="31"/>
  <c r="I514" i="31"/>
  <c r="H514" i="31"/>
  <c r="H539" i="31"/>
  <c r="I539" i="31"/>
  <c r="H610" i="31"/>
  <c r="I610" i="31"/>
  <c r="H90" i="31"/>
  <c r="I90" i="31"/>
  <c r="I208" i="31"/>
  <c r="H208" i="31"/>
  <c r="I218" i="31"/>
  <c r="H218" i="31"/>
  <c r="H261" i="31"/>
  <c r="I261" i="31"/>
  <c r="I380" i="31"/>
  <c r="H380" i="31"/>
  <c r="I420" i="31"/>
  <c r="H420" i="31"/>
  <c r="I513" i="31"/>
  <c r="H513" i="31"/>
  <c r="I558" i="31"/>
  <c r="H558" i="31"/>
  <c r="I52" i="31"/>
  <c r="H52" i="31"/>
  <c r="H24" i="31"/>
  <c r="I24" i="31"/>
  <c r="I65" i="31"/>
  <c r="H65" i="31"/>
  <c r="H47" i="31"/>
  <c r="I47" i="31"/>
  <c r="H427" i="31"/>
  <c r="I427" i="31"/>
  <c r="I590" i="31"/>
  <c r="H590" i="31"/>
  <c r="I585" i="31"/>
  <c r="H585" i="31"/>
  <c r="H356" i="31"/>
  <c r="I356" i="31"/>
  <c r="I438" i="31"/>
  <c r="H438" i="31"/>
  <c r="I310" i="31"/>
  <c r="H310" i="31"/>
  <c r="I187" i="31"/>
  <c r="H187" i="31"/>
  <c r="H536" i="31"/>
  <c r="I536" i="31"/>
  <c r="I371" i="31"/>
  <c r="H371" i="31"/>
  <c r="H104" i="31"/>
  <c r="I104" i="31"/>
  <c r="I184" i="31"/>
  <c r="H184" i="31"/>
  <c r="H268" i="31"/>
  <c r="I268" i="31"/>
  <c r="I376" i="31"/>
  <c r="H376" i="31"/>
  <c r="I517" i="31"/>
  <c r="H517" i="31"/>
  <c r="I160" i="31"/>
  <c r="H160" i="31"/>
  <c r="I452" i="31"/>
  <c r="H452" i="31"/>
  <c r="H189" i="31"/>
  <c r="I189" i="31"/>
  <c r="I273" i="31"/>
  <c r="H273" i="31"/>
  <c r="I369" i="31"/>
  <c r="H369" i="31"/>
  <c r="I498" i="31"/>
  <c r="H498" i="31"/>
  <c r="H29" i="31"/>
  <c r="I29" i="31"/>
  <c r="H299" i="31"/>
  <c r="I299" i="31"/>
  <c r="H366" i="31"/>
  <c r="I366" i="31"/>
  <c r="I507" i="31"/>
  <c r="H507" i="31"/>
  <c r="I182" i="31"/>
  <c r="H182" i="31"/>
  <c r="H95" i="31"/>
  <c r="I95" i="31"/>
  <c r="H207" i="31"/>
  <c r="I207" i="31"/>
  <c r="I374" i="31"/>
  <c r="H374" i="31"/>
  <c r="I131" i="31"/>
  <c r="H131" i="31"/>
  <c r="I215" i="31"/>
  <c r="H215" i="31"/>
  <c r="I313" i="31"/>
  <c r="H313" i="31"/>
  <c r="H421" i="31"/>
  <c r="I421" i="31"/>
  <c r="I563" i="31"/>
  <c r="H563" i="31"/>
  <c r="I86" i="31"/>
  <c r="H86" i="31"/>
  <c r="I501" i="31"/>
  <c r="H501" i="31"/>
  <c r="H340" i="31"/>
  <c r="I340" i="31"/>
  <c r="I171" i="31"/>
  <c r="H171" i="31"/>
  <c r="I396" i="31"/>
  <c r="H396" i="31"/>
  <c r="H564" i="31"/>
  <c r="I564" i="31"/>
  <c r="I334" i="31"/>
  <c r="H334" i="31"/>
  <c r="I263" i="31"/>
  <c r="H263" i="31"/>
  <c r="H204" i="31"/>
  <c r="I204" i="31"/>
  <c r="I346" i="31"/>
  <c r="H346" i="31"/>
  <c r="I114" i="31"/>
  <c r="H114" i="31"/>
  <c r="H220" i="31"/>
  <c r="I220" i="31"/>
  <c r="I328" i="31"/>
  <c r="H328" i="31"/>
  <c r="I430" i="31"/>
  <c r="H430" i="31"/>
  <c r="H543" i="31"/>
  <c r="I543" i="31"/>
  <c r="I73" i="31"/>
  <c r="H73" i="31"/>
  <c r="I123" i="31"/>
  <c r="H123" i="31"/>
  <c r="H175" i="31"/>
  <c r="I175" i="31"/>
  <c r="I262" i="31"/>
  <c r="H262" i="31"/>
  <c r="H354" i="31"/>
  <c r="I354" i="31"/>
  <c r="H379" i="31"/>
  <c r="I379" i="31"/>
  <c r="H431" i="31"/>
  <c r="I431" i="31"/>
  <c r="I493" i="31"/>
  <c r="H493" i="31"/>
  <c r="I574" i="31"/>
  <c r="H574" i="31"/>
  <c r="I43" i="31"/>
  <c r="H43" i="31"/>
  <c r="I477" i="31"/>
  <c r="H477" i="31"/>
  <c r="H519" i="31"/>
  <c r="I519" i="31"/>
  <c r="I588" i="31"/>
  <c r="H588" i="31"/>
  <c r="I147" i="31"/>
  <c r="H147" i="31"/>
  <c r="H209" i="31"/>
  <c r="I209" i="31"/>
  <c r="H255" i="31"/>
  <c r="I255" i="31"/>
  <c r="I287" i="31"/>
  <c r="H287" i="31"/>
  <c r="H308" i="31"/>
  <c r="I308" i="31"/>
  <c r="I417" i="31"/>
  <c r="H417" i="31"/>
  <c r="H480" i="31"/>
  <c r="I480" i="31"/>
  <c r="I535" i="31"/>
  <c r="H535" i="31"/>
  <c r="H605" i="31"/>
  <c r="I605" i="31"/>
  <c r="I91" i="31"/>
  <c r="H91" i="31"/>
  <c r="I206" i="31"/>
  <c r="H206" i="31"/>
  <c r="I245" i="31"/>
  <c r="H245" i="31"/>
  <c r="I319" i="31"/>
  <c r="H319" i="31"/>
  <c r="H400" i="31"/>
  <c r="I400" i="31"/>
  <c r="I446" i="31"/>
  <c r="H446" i="31"/>
  <c r="I484" i="31"/>
  <c r="H484" i="31"/>
  <c r="H561" i="31"/>
  <c r="I561" i="31"/>
  <c r="I20" i="31"/>
  <c r="H20" i="31"/>
  <c r="H31" i="31"/>
  <c r="I31" i="31"/>
  <c r="I33" i="31"/>
  <c r="H33" i="31"/>
  <c r="I613" i="31"/>
  <c r="H613" i="31"/>
  <c r="O102" i="27"/>
  <c r="Z102" i="27" s="1"/>
  <c r="U102" i="27"/>
  <c r="E79" i="1"/>
  <c r="A503" i="2" s="1"/>
  <c r="B152" i="2"/>
  <c r="C52" i="16" s="1"/>
  <c r="N38" i="27"/>
  <c r="AC90" i="27" s="1"/>
  <c r="S90" i="27"/>
  <c r="O38" i="27"/>
  <c r="X90" i="27" s="1"/>
  <c r="S82" i="27"/>
  <c r="N30" i="27"/>
  <c r="AC82" i="27" s="1"/>
  <c r="O30" i="27"/>
  <c r="X82" i="27" s="1"/>
  <c r="T102" i="27"/>
  <c r="O76" i="27"/>
  <c r="Y102" i="27" s="1"/>
  <c r="N76" i="27"/>
  <c r="AD102" i="27" s="1"/>
  <c r="T84" i="27"/>
  <c r="O58" i="27"/>
  <c r="Y84" i="27" s="1"/>
  <c r="N58" i="27"/>
  <c r="AD84" i="27" s="1"/>
  <c r="N94" i="27"/>
  <c r="AE94" i="27" s="1"/>
  <c r="U94" i="27"/>
  <c r="O94" i="27"/>
  <c r="Z94" i="27" s="1"/>
  <c r="N91" i="27"/>
  <c r="AE91" i="27" s="1"/>
  <c r="U91" i="27"/>
  <c r="O91" i="27"/>
  <c r="Z91" i="27" s="1"/>
  <c r="N42" i="27"/>
  <c r="AC94" i="27" s="1"/>
  <c r="S94" i="27"/>
  <c r="O42" i="27"/>
  <c r="X94" i="27" s="1"/>
  <c r="N35" i="27"/>
  <c r="AC87" i="27" s="1"/>
  <c r="S87" i="27"/>
  <c r="O35" i="27"/>
  <c r="X87" i="27" s="1"/>
  <c r="T100" i="27"/>
  <c r="N74" i="27"/>
  <c r="AD100" i="27" s="1"/>
  <c r="O74" i="27"/>
  <c r="Y100" i="27" s="1"/>
  <c r="N87" i="27"/>
  <c r="AE87" i="27" s="1"/>
  <c r="U87" i="27"/>
  <c r="O87" i="27"/>
  <c r="Z87" i="27" s="1"/>
  <c r="N31" i="27"/>
  <c r="AC83" i="27" s="1"/>
  <c r="S83" i="27"/>
  <c r="O31" i="27"/>
  <c r="X83" i="27" s="1"/>
  <c r="N45" i="27"/>
  <c r="AC97" i="27" s="1"/>
  <c r="S97" i="27"/>
  <c r="O45" i="27"/>
  <c r="X97" i="27" s="1"/>
  <c r="N89" i="27"/>
  <c r="AE89" i="27" s="1"/>
  <c r="U89" i="27"/>
  <c r="O89" i="27"/>
  <c r="Z89" i="27" s="1"/>
  <c r="N48" i="27"/>
  <c r="AC100" i="27" s="1"/>
  <c r="S100" i="27"/>
  <c r="O48" i="27"/>
  <c r="X100" i="27" s="1"/>
  <c r="N37" i="27"/>
  <c r="AC89" i="27" s="1"/>
  <c r="S89" i="27"/>
  <c r="O37" i="27"/>
  <c r="X89" i="27" s="1"/>
  <c r="T91" i="27"/>
  <c r="N65" i="27"/>
  <c r="AD91" i="27" s="1"/>
  <c r="O65" i="27"/>
  <c r="Y91" i="27" s="1"/>
  <c r="N82" i="27"/>
  <c r="AE82" i="27" s="1"/>
  <c r="U82" i="27"/>
  <c r="O82" i="27"/>
  <c r="Z82" i="27" s="1"/>
  <c r="N46" i="27"/>
  <c r="AC98" i="27" s="1"/>
  <c r="S98" i="27"/>
  <c r="O46" i="27"/>
  <c r="X98" i="27" s="1"/>
  <c r="N40" i="27"/>
  <c r="AC92" i="27" s="1"/>
  <c r="S92" i="27"/>
  <c r="O40" i="27"/>
  <c r="X92" i="27" s="1"/>
  <c r="T97" i="27"/>
  <c r="O71" i="27"/>
  <c r="Y97" i="27" s="1"/>
  <c r="N71" i="27"/>
  <c r="AD97" i="27" s="1"/>
  <c r="N41" i="27"/>
  <c r="AC93" i="27" s="1"/>
  <c r="S93" i="27"/>
  <c r="O41" i="27"/>
  <c r="X93" i="27" s="1"/>
  <c r="N34" i="27"/>
  <c r="AC86" i="27" s="1"/>
  <c r="S86" i="27"/>
  <c r="O34" i="27"/>
  <c r="X86" i="27" s="1"/>
  <c r="T87" i="27"/>
  <c r="N61" i="27"/>
  <c r="AD87" i="27" s="1"/>
  <c r="O61" i="27"/>
  <c r="Y87" i="27" s="1"/>
  <c r="T95" i="27"/>
  <c r="N69" i="27"/>
  <c r="AD95" i="27" s="1"/>
  <c r="O69" i="27"/>
  <c r="Y95" i="27" s="1"/>
  <c r="T101" i="27"/>
  <c r="O75" i="27"/>
  <c r="Y101" i="27" s="1"/>
  <c r="N75" i="27"/>
  <c r="AD101" i="27" s="1"/>
  <c r="T96" i="27"/>
  <c r="N70" i="27"/>
  <c r="AD96" i="27" s="1"/>
  <c r="O70" i="27"/>
  <c r="Y96" i="27" s="1"/>
  <c r="T88" i="27"/>
  <c r="O62" i="27"/>
  <c r="Y88" i="27" s="1"/>
  <c r="N62" i="27"/>
  <c r="AD88" i="27" s="1"/>
  <c r="T85" i="27"/>
  <c r="O59" i="27"/>
  <c r="Y85" i="27" s="1"/>
  <c r="N59" i="27"/>
  <c r="AD85" i="27" s="1"/>
  <c r="N86" i="27"/>
  <c r="AE86" i="27" s="1"/>
  <c r="U86" i="27"/>
  <c r="O86" i="27"/>
  <c r="Z86" i="27" s="1"/>
  <c r="N47" i="27"/>
  <c r="AC99" i="27" s="1"/>
  <c r="S99" i="27"/>
  <c r="O47" i="27"/>
  <c r="X99" i="27" s="1"/>
  <c r="N100" i="27"/>
  <c r="AE100" i="27" s="1"/>
  <c r="U100" i="27"/>
  <c r="O100" i="27"/>
  <c r="Z100" i="27" s="1"/>
  <c r="N43" i="27"/>
  <c r="AC95" i="27" s="1"/>
  <c r="S95" i="27"/>
  <c r="O43" i="27"/>
  <c r="X95" i="27" s="1"/>
  <c r="N85" i="27"/>
  <c r="AE85" i="27" s="1"/>
  <c r="U85" i="27"/>
  <c r="O85" i="27"/>
  <c r="Z85" i="27" s="1"/>
  <c r="T90" i="27"/>
  <c r="O64" i="27"/>
  <c r="Y90" i="27" s="1"/>
  <c r="N64" i="27"/>
  <c r="AD90" i="27" s="1"/>
  <c r="T92" i="27"/>
  <c r="O66" i="27"/>
  <c r="Y92" i="27" s="1"/>
  <c r="N66" i="27"/>
  <c r="AD92" i="27" s="1"/>
  <c r="N97" i="27"/>
  <c r="AE97" i="27" s="1"/>
  <c r="U97" i="27"/>
  <c r="O97" i="27"/>
  <c r="Z97" i="27" s="1"/>
  <c r="N50" i="27"/>
  <c r="AC102" i="27" s="1"/>
  <c r="S102" i="27"/>
  <c r="O50" i="27"/>
  <c r="X102" i="27" s="1"/>
  <c r="U96" i="27"/>
  <c r="N96" i="27"/>
  <c r="AE96" i="27" s="1"/>
  <c r="O96" i="27"/>
  <c r="Z96" i="27" s="1"/>
  <c r="T83" i="27"/>
  <c r="N57" i="27"/>
  <c r="AD83" i="27" s="1"/>
  <c r="O57" i="27"/>
  <c r="Y83" i="27" s="1"/>
  <c r="N39" i="27"/>
  <c r="AC91" i="27" s="1"/>
  <c r="S91" i="27"/>
  <c r="O39" i="27"/>
  <c r="X91" i="27" s="1"/>
  <c r="T82" i="27"/>
  <c r="O56" i="27"/>
  <c r="Y82" i="27" s="1"/>
  <c r="N56" i="27"/>
  <c r="AD82" i="27" s="1"/>
  <c r="T93" i="27"/>
  <c r="O67" i="27"/>
  <c r="Y93" i="27" s="1"/>
  <c r="N67" i="27"/>
  <c r="AD93" i="27" s="1"/>
  <c r="N36" i="27"/>
  <c r="AC88" i="27" s="1"/>
  <c r="S88" i="27"/>
  <c r="O36" i="27"/>
  <c r="X88" i="27" s="1"/>
  <c r="N33" i="27"/>
  <c r="AC85" i="27" s="1"/>
  <c r="S85" i="27"/>
  <c r="O33" i="27"/>
  <c r="X85" i="27" s="1"/>
  <c r="N95" i="27"/>
  <c r="AE95" i="27" s="1"/>
  <c r="U95" i="27"/>
  <c r="O95" i="27"/>
  <c r="Z95" i="27" s="1"/>
  <c r="N88" i="27"/>
  <c r="AE88" i="27" s="1"/>
  <c r="U88" i="27"/>
  <c r="O88" i="27"/>
  <c r="Z88" i="27" s="1"/>
  <c r="N44" i="27"/>
  <c r="AC96" i="27" s="1"/>
  <c r="S96" i="27"/>
  <c r="O44" i="27"/>
  <c r="X96" i="27" s="1"/>
  <c r="T94" i="27"/>
  <c r="O68" i="27"/>
  <c r="Y94" i="27" s="1"/>
  <c r="N68" i="27"/>
  <c r="AD94" i="27" s="1"/>
  <c r="N32" i="27"/>
  <c r="AC84" i="27" s="1"/>
  <c r="S84" i="27"/>
  <c r="O32" i="27"/>
  <c r="X84" i="27" s="1"/>
  <c r="T89" i="27"/>
  <c r="O63" i="27"/>
  <c r="Y89" i="27" s="1"/>
  <c r="N63" i="27"/>
  <c r="AD89" i="27" s="1"/>
  <c r="T98" i="27"/>
  <c r="O72" i="27"/>
  <c r="Y98" i="27" s="1"/>
  <c r="N72" i="27"/>
  <c r="AD98" i="27" s="1"/>
  <c r="N99" i="27"/>
  <c r="AE99" i="27" s="1"/>
  <c r="U99" i="27"/>
  <c r="O99" i="27"/>
  <c r="Z99" i="27" s="1"/>
  <c r="N49" i="27"/>
  <c r="AC101" i="27" s="1"/>
  <c r="S101" i="27"/>
  <c r="O49" i="27"/>
  <c r="X101" i="27" s="1"/>
  <c r="T99" i="27"/>
  <c r="N73" i="27"/>
  <c r="AD99" i="27" s="1"/>
  <c r="O73" i="27"/>
  <c r="Y99" i="27" s="1"/>
  <c r="T86" i="27"/>
  <c r="O60" i="27"/>
  <c r="Y86" i="27" s="1"/>
  <c r="N60" i="27"/>
  <c r="AD86" i="27" s="1"/>
  <c r="B71" i="2"/>
  <c r="E16" i="1" s="1"/>
  <c r="G186" i="2"/>
  <c r="C86" i="2"/>
  <c r="B86" i="2"/>
  <c r="B137" i="2" s="1"/>
  <c r="B208" i="2"/>
  <c r="L351" i="2"/>
  <c r="B358" i="2"/>
  <c r="B341" i="2"/>
  <c r="B194" i="2"/>
  <c r="B193" i="2"/>
  <c r="B188" i="2"/>
  <c r="C84" i="2"/>
  <c r="B309" i="2"/>
  <c r="D459" i="2"/>
  <c r="D458" i="2"/>
  <c r="K366" i="2"/>
  <c r="B328" i="2"/>
  <c r="B327" i="2"/>
  <c r="C85" i="2"/>
  <c r="B84" i="2"/>
  <c r="B466" i="2"/>
  <c r="B467" i="2" s="1"/>
  <c r="AL623" i="32" l="1"/>
  <c r="AK623" i="32"/>
  <c r="AO623" i="32"/>
  <c r="AN623" i="32"/>
  <c r="AR623" i="32"/>
  <c r="AQ623" i="32"/>
  <c r="F623" i="31"/>
  <c r="E623" i="31"/>
  <c r="I623" i="31"/>
  <c r="H623" i="31"/>
  <c r="G632" i="32"/>
  <c r="D622" i="32"/>
  <c r="E74" i="1"/>
  <c r="E75" i="1" s="1"/>
  <c r="L5" i="31"/>
  <c r="O5" i="32"/>
  <c r="D78" i="31"/>
  <c r="D17" i="31"/>
  <c r="D18" i="31"/>
  <c r="D14" i="31"/>
  <c r="D50" i="31"/>
  <c r="D613" i="31"/>
  <c r="D74" i="31"/>
  <c r="D28" i="31"/>
  <c r="D60" i="31"/>
  <c r="D66" i="31"/>
  <c r="D44" i="31"/>
  <c r="D76" i="31"/>
  <c r="D58" i="31"/>
  <c r="D51" i="31"/>
  <c r="D20" i="31"/>
  <c r="D29" i="31"/>
  <c r="D61" i="31"/>
  <c r="D46" i="31"/>
  <c r="D604" i="31"/>
  <c r="D600" i="31"/>
  <c r="D598" i="31"/>
  <c r="D576" i="31"/>
  <c r="D586" i="31"/>
  <c r="D565" i="31"/>
  <c r="D552" i="31"/>
  <c r="D555" i="31"/>
  <c r="D67" i="31"/>
  <c r="D34" i="31"/>
  <c r="D52" i="31"/>
  <c r="D42" i="31"/>
  <c r="D27" i="31"/>
  <c r="D68" i="31"/>
  <c r="D43" i="31"/>
  <c r="D21" i="31"/>
  <c r="D45" i="31"/>
  <c r="D69" i="31"/>
  <c r="D38" i="31"/>
  <c r="D62" i="31"/>
  <c r="D606" i="31"/>
  <c r="D601" i="31"/>
  <c r="D594" i="31"/>
  <c r="D582" i="31"/>
  <c r="D568" i="31"/>
  <c r="D563" i="31"/>
  <c r="D549" i="31"/>
  <c r="D529" i="31"/>
  <c r="D534" i="31"/>
  <c r="D522" i="31"/>
  <c r="D520" i="31"/>
  <c r="D526" i="31"/>
  <c r="D481" i="31"/>
  <c r="D502" i="31"/>
  <c r="D490" i="31"/>
  <c r="D456" i="31"/>
  <c r="D532" i="31"/>
  <c r="D461" i="31"/>
  <c r="D438" i="31"/>
  <c r="D428" i="31"/>
  <c r="D449" i="31"/>
  <c r="D427" i="31"/>
  <c r="D399" i="31"/>
  <c r="D420" i="31"/>
  <c r="D402" i="31"/>
  <c r="D425" i="31"/>
  <c r="D426" i="31"/>
  <c r="D392" i="31"/>
  <c r="D357" i="31"/>
  <c r="D375" i="31"/>
  <c r="D362" i="31"/>
  <c r="D352" i="31"/>
  <c r="D295" i="31"/>
  <c r="D294" i="31"/>
  <c r="D340" i="31"/>
  <c r="D347" i="31"/>
  <c r="D349" i="31"/>
  <c r="D336" i="31"/>
  <c r="D271" i="31"/>
  <c r="D262" i="31"/>
  <c r="D337" i="31"/>
  <c r="D260" i="31"/>
  <c r="D259" i="31"/>
  <c r="D282" i="31"/>
  <c r="D281" i="31"/>
  <c r="D229" i="31"/>
  <c r="D242" i="31"/>
  <c r="D218" i="31"/>
  <c r="D223" i="31"/>
  <c r="D165" i="31"/>
  <c r="D172" i="31"/>
  <c r="D179" i="31"/>
  <c r="D178" i="31"/>
  <c r="D169" i="31"/>
  <c r="D168" i="31"/>
  <c r="D175" i="31"/>
  <c r="D198" i="31"/>
  <c r="D121" i="31"/>
  <c r="D136" i="31"/>
  <c r="D146" i="31"/>
  <c r="D87" i="31"/>
  <c r="D94" i="31"/>
  <c r="D93" i="31"/>
  <c r="D92" i="31"/>
  <c r="D91" i="31"/>
  <c r="D90" i="31"/>
  <c r="D31" i="31"/>
  <c r="D63" i="31"/>
  <c r="D26" i="31"/>
  <c r="D35" i="31"/>
  <c r="D75" i="31"/>
  <c r="D596" i="31"/>
  <c r="D593" i="31"/>
  <c r="D583" i="31"/>
  <c r="D581" i="31"/>
  <c r="D570" i="31"/>
  <c r="D571" i="31"/>
  <c r="D548" i="31"/>
  <c r="D553" i="31"/>
  <c r="D541" i="31"/>
  <c r="D506" i="31"/>
  <c r="D504" i="31"/>
  <c r="D510" i="31"/>
  <c r="D488" i="31"/>
  <c r="D486" i="31"/>
  <c r="D473" i="31"/>
  <c r="D498" i="31"/>
  <c r="D470" i="31"/>
  <c r="D460" i="31"/>
  <c r="D445" i="31"/>
  <c r="D435" i="31"/>
  <c r="D478" i="31"/>
  <c r="D416" i="31"/>
  <c r="D422" i="31"/>
  <c r="D453" i="31"/>
  <c r="D401" i="31"/>
  <c r="D388" i="31"/>
  <c r="D394" i="31"/>
  <c r="D376" i="31"/>
  <c r="D398" i="31"/>
  <c r="D363" i="31"/>
  <c r="D369" i="31"/>
  <c r="D343" i="31"/>
  <c r="D342" i="31"/>
  <c r="D333" i="31"/>
  <c r="D324" i="31"/>
  <c r="D331" i="31"/>
  <c r="D338" i="31"/>
  <c r="D304" i="31"/>
  <c r="D344" i="31"/>
  <c r="D246" i="31"/>
  <c r="D305" i="31"/>
  <c r="D244" i="31"/>
  <c r="D243" i="31"/>
  <c r="D296" i="31"/>
  <c r="D250" i="31"/>
  <c r="D213" i="31"/>
  <c r="D235" i="31"/>
  <c r="D232" i="31"/>
  <c r="D209" i="31"/>
  <c r="D149" i="31"/>
  <c r="D156" i="31"/>
  <c r="D163" i="31"/>
  <c r="D162" i="31"/>
  <c r="D153" i="31"/>
  <c r="D152" i="31"/>
  <c r="D159" i="31"/>
  <c r="D182" i="31"/>
  <c r="D105" i="31"/>
  <c r="D120" i="31"/>
  <c r="D135" i="31"/>
  <c r="D142" i="31"/>
  <c r="D141" i="31"/>
  <c r="D140" i="31"/>
  <c r="D139" i="31"/>
  <c r="D138" i="31"/>
  <c r="D15" i="31"/>
  <c r="D23" i="31"/>
  <c r="D55" i="31"/>
  <c r="D13" i="31"/>
  <c r="D37" i="31"/>
  <c r="D30" i="31"/>
  <c r="D54" i="31"/>
  <c r="D611" i="31"/>
  <c r="D603" i="31"/>
  <c r="D585" i="31"/>
  <c r="D590" i="31"/>
  <c r="D573" i="31"/>
  <c r="D567" i="31"/>
  <c r="D562" i="31"/>
  <c r="D547" i="31"/>
  <c r="D543" i="31"/>
  <c r="D533" i="31"/>
  <c r="D530" i="31"/>
  <c r="D539" i="31"/>
  <c r="D528" i="31"/>
  <c r="D509" i="31"/>
  <c r="D493" i="31"/>
  <c r="D465" i="31"/>
  <c r="D483" i="31"/>
  <c r="D462" i="31"/>
  <c r="D452" i="31"/>
  <c r="D437" i="31"/>
  <c r="D466" i="31"/>
  <c r="D459" i="31"/>
  <c r="D408" i="31"/>
  <c r="D414" i="31"/>
  <c r="D419" i="31"/>
  <c r="D400" i="31"/>
  <c r="D380" i="31"/>
  <c r="D386" i="31"/>
  <c r="D390" i="31"/>
  <c r="D383" i="31"/>
  <c r="D355" i="31"/>
  <c r="D361" i="31"/>
  <c r="D335" i="31"/>
  <c r="D334" i="31"/>
  <c r="D325" i="31"/>
  <c r="D316" i="31"/>
  <c r="D323" i="31"/>
  <c r="D330" i="31"/>
  <c r="D280" i="31"/>
  <c r="D329" i="31"/>
  <c r="D285" i="31"/>
  <c r="D291" i="31"/>
  <c r="D289" i="31"/>
  <c r="D345" i="31"/>
  <c r="D255" i="31"/>
  <c r="D245" i="31"/>
  <c r="D240" i="31"/>
  <c r="D227" i="31"/>
  <c r="D224" i="31"/>
  <c r="D205" i="31"/>
  <c r="D212" i="31"/>
  <c r="D148" i="31"/>
  <c r="D155" i="31"/>
  <c r="D154" i="31"/>
  <c r="D217" i="31"/>
  <c r="D225" i="31"/>
  <c r="D151" i="31"/>
  <c r="D174" i="31"/>
  <c r="D97" i="31"/>
  <c r="D112" i="31"/>
  <c r="D127" i="31"/>
  <c r="D134" i="31"/>
  <c r="D133" i="31"/>
  <c r="D132" i="31"/>
  <c r="D131" i="31"/>
  <c r="D130" i="31"/>
  <c r="D32" i="31"/>
  <c r="D64" i="31"/>
  <c r="D610" i="31"/>
  <c r="B622" i="31"/>
  <c r="D599" i="31"/>
  <c r="D589" i="31"/>
  <c r="D580" i="31"/>
  <c r="D566" i="31"/>
  <c r="D551" i="31"/>
  <c r="D538" i="31"/>
  <c r="D535" i="31"/>
  <c r="D540" i="31"/>
  <c r="D521" i="31"/>
  <c r="D531" i="31"/>
  <c r="D525" i="31"/>
  <c r="D501" i="31"/>
  <c r="D485" i="31"/>
  <c r="D457" i="31"/>
  <c r="D480" i="31"/>
  <c r="D454" i="31"/>
  <c r="D482" i="31"/>
  <c r="D508" i="31"/>
  <c r="D442" i="31"/>
  <c r="D450" i="31"/>
  <c r="D433" i="31"/>
  <c r="D406" i="31"/>
  <c r="D411" i="31"/>
  <c r="D397" i="31"/>
  <c r="D403" i="31"/>
  <c r="D378" i="31"/>
  <c r="D366" i="31"/>
  <c r="D372" i="31"/>
  <c r="D431" i="31"/>
  <c r="D353" i="31"/>
  <c r="D327" i="31"/>
  <c r="D326" i="31"/>
  <c r="D317" i="31"/>
  <c r="D308" i="31"/>
  <c r="D315" i="31"/>
  <c r="D322" i="31"/>
  <c r="D272" i="31"/>
  <c r="D312" i="31"/>
  <c r="D277" i="31"/>
  <c r="D286" i="31"/>
  <c r="D288" i="31"/>
  <c r="D328" i="31"/>
  <c r="D273" i="31"/>
  <c r="D230" i="31"/>
  <c r="D236" i="31"/>
  <c r="D219" i="31"/>
  <c r="D216" i="31"/>
  <c r="D197" i="31"/>
  <c r="D204" i="31"/>
  <c r="D211" i="31"/>
  <c r="D147" i="31"/>
  <c r="D201" i="31"/>
  <c r="D200" i="31"/>
  <c r="D207" i="31"/>
  <c r="D249" i="31"/>
  <c r="D166" i="31"/>
  <c r="D89" i="31"/>
  <c r="D104" i="31"/>
  <c r="D119" i="31"/>
  <c r="D126" i="31"/>
  <c r="D125" i="31"/>
  <c r="D124" i="31"/>
  <c r="D123" i="31"/>
  <c r="D122" i="31"/>
  <c r="D47" i="31"/>
  <c r="D79" i="31"/>
  <c r="D36" i="31"/>
  <c r="D82" i="31"/>
  <c r="D597" i="31"/>
  <c r="D591" i="31"/>
  <c r="D560" i="31"/>
  <c r="D558" i="31"/>
  <c r="D559" i="31"/>
  <c r="D512" i="31"/>
  <c r="D496" i="31"/>
  <c r="D475" i="31"/>
  <c r="D516" i="31"/>
  <c r="D430" i="31"/>
  <c r="D441" i="31"/>
  <c r="D429" i="31"/>
  <c r="D417" i="31"/>
  <c r="D404" i="31"/>
  <c r="D409" i="31"/>
  <c r="D354" i="31"/>
  <c r="D287" i="31"/>
  <c r="D332" i="31"/>
  <c r="D346" i="31"/>
  <c r="D263" i="31"/>
  <c r="D320" i="31"/>
  <c r="D251" i="31"/>
  <c r="D266" i="31"/>
  <c r="D238" i="31"/>
  <c r="D215" i="31"/>
  <c r="D164" i="31"/>
  <c r="D170" i="31"/>
  <c r="D160" i="31"/>
  <c r="D190" i="31"/>
  <c r="D128" i="31"/>
  <c r="D150" i="31"/>
  <c r="D85" i="31"/>
  <c r="D83" i="31"/>
  <c r="D40" i="31"/>
  <c r="D25" i="31"/>
  <c r="D41" i="31"/>
  <c r="D70" i="31"/>
  <c r="D602" i="31"/>
  <c r="D588" i="31"/>
  <c r="D545" i="31"/>
  <c r="D523" i="31"/>
  <c r="D519" i="31"/>
  <c r="D495" i="31"/>
  <c r="D500" i="31"/>
  <c r="D458" i="31"/>
  <c r="D448" i="31"/>
  <c r="D389" i="31"/>
  <c r="D447" i="31"/>
  <c r="D382" i="31"/>
  <c r="D318" i="31"/>
  <c r="D314" i="31"/>
  <c r="D297" i="31"/>
  <c r="D313" i="31"/>
  <c r="D222" i="31"/>
  <c r="D189" i="31"/>
  <c r="D203" i="31"/>
  <c r="D199" i="31"/>
  <c r="D158" i="31"/>
  <c r="D118" i="31"/>
  <c r="D116" i="31"/>
  <c r="D24" i="31"/>
  <c r="D387" i="31"/>
  <c r="D550" i="31"/>
  <c r="D446" i="31"/>
  <c r="D365" i="31"/>
  <c r="D267" i="31"/>
  <c r="D176" i="31"/>
  <c r="D99" i="31"/>
  <c r="D16" i="31"/>
  <c r="D19" i="31"/>
  <c r="D557" i="31"/>
  <c r="D476" i="31"/>
  <c r="D421" i="31"/>
  <c r="D364" i="31"/>
  <c r="D300" i="31"/>
  <c r="D284" i="31"/>
  <c r="D239" i="31"/>
  <c r="D193" i="31"/>
  <c r="D96" i="31"/>
  <c r="D114" i="31"/>
  <c r="D311" i="31"/>
  <c r="D489" i="31"/>
  <c r="D379" i="31"/>
  <c r="D303" i="31"/>
  <c r="D253" i="31"/>
  <c r="D180" i="31"/>
  <c r="D144" i="31"/>
  <c r="D22" i="31"/>
  <c r="D612" i="31"/>
  <c r="D587" i="31"/>
  <c r="D564" i="31"/>
  <c r="D544" i="31"/>
  <c r="D515" i="31"/>
  <c r="D511" i="31"/>
  <c r="D487" i="31"/>
  <c r="D472" i="31"/>
  <c r="D491" i="31"/>
  <c r="D444" i="31"/>
  <c r="D440" i="31"/>
  <c r="D413" i="31"/>
  <c r="D381" i="31"/>
  <c r="D393" i="31"/>
  <c r="D356" i="31"/>
  <c r="D368" i="31"/>
  <c r="D310" i="31"/>
  <c r="D292" i="31"/>
  <c r="D306" i="31"/>
  <c r="D278" i="31"/>
  <c r="D276" i="31"/>
  <c r="D290" i="31"/>
  <c r="D214" i="31"/>
  <c r="D234" i="31"/>
  <c r="D181" i="31"/>
  <c r="D195" i="31"/>
  <c r="D185" i="31"/>
  <c r="D191" i="31"/>
  <c r="D137" i="31"/>
  <c r="D88" i="31"/>
  <c r="D110" i="31"/>
  <c r="D108" i="31"/>
  <c r="D106" i="31"/>
  <c r="D71" i="31"/>
  <c r="D65" i="31"/>
  <c r="D546" i="31"/>
  <c r="D418" i="31"/>
  <c r="D367" i="31"/>
  <c r="D241" i="31"/>
  <c r="D103" i="31"/>
  <c r="D607" i="31"/>
  <c r="D451" i="31"/>
  <c r="D279" i="31"/>
  <c r="D95" i="31"/>
  <c r="D57" i="31"/>
  <c r="D605" i="31"/>
  <c r="D575" i="31"/>
  <c r="D556" i="31"/>
  <c r="D537" i="31"/>
  <c r="D507" i="31"/>
  <c r="D503" i="31"/>
  <c r="D479" i="31"/>
  <c r="D464" i="31"/>
  <c r="D469" i="31"/>
  <c r="D436" i="31"/>
  <c r="D432" i="31"/>
  <c r="D405" i="31"/>
  <c r="D373" i="31"/>
  <c r="D385" i="31"/>
  <c r="D377" i="31"/>
  <c r="D360" i="31"/>
  <c r="D302" i="31"/>
  <c r="D348" i="31"/>
  <c r="D298" i="31"/>
  <c r="D270" i="31"/>
  <c r="D268" i="31"/>
  <c r="D274" i="31"/>
  <c r="D237" i="31"/>
  <c r="D226" i="31"/>
  <c r="D173" i="31"/>
  <c r="D187" i="31"/>
  <c r="D177" i="31"/>
  <c r="D183" i="31"/>
  <c r="D129" i="31"/>
  <c r="D80" i="31"/>
  <c r="D102" i="31"/>
  <c r="D100" i="31"/>
  <c r="D98" i="31"/>
  <c r="D48" i="31"/>
  <c r="D49" i="31"/>
  <c r="D499" i="31"/>
  <c r="D184" i="31"/>
  <c r="D484" i="31"/>
  <c r="D231" i="31"/>
  <c r="D59" i="31"/>
  <c r="D595" i="31"/>
  <c r="D574" i="31"/>
  <c r="D577" i="31"/>
  <c r="D536" i="31"/>
  <c r="D514" i="31"/>
  <c r="D518" i="31"/>
  <c r="D494" i="31"/>
  <c r="D524" i="31"/>
  <c r="D468" i="31"/>
  <c r="D443" i="31"/>
  <c r="D424" i="31"/>
  <c r="D412" i="31"/>
  <c r="D396" i="31"/>
  <c r="D384" i="31"/>
  <c r="D371" i="31"/>
  <c r="D351" i="31"/>
  <c r="D341" i="31"/>
  <c r="D339" i="31"/>
  <c r="D321" i="31"/>
  <c r="D254" i="31"/>
  <c r="D252" i="31"/>
  <c r="D265" i="31"/>
  <c r="D221" i="31"/>
  <c r="D210" i="31"/>
  <c r="D157" i="31"/>
  <c r="D171" i="31"/>
  <c r="D161" i="31"/>
  <c r="D167" i="31"/>
  <c r="D113" i="31"/>
  <c r="D143" i="31"/>
  <c r="D86" i="31"/>
  <c r="D84" i="31"/>
  <c r="D72" i="31"/>
  <c r="D33" i="31"/>
  <c r="E632" i="31"/>
  <c r="D584" i="31"/>
  <c r="D561" i="31"/>
  <c r="D497" i="31"/>
  <c r="D463" i="31"/>
  <c r="D415" i="31"/>
  <c r="D374" i="31"/>
  <c r="D299" i="31"/>
  <c r="D275" i="31"/>
  <c r="D220" i="31"/>
  <c r="D194" i="31"/>
  <c r="D208" i="31"/>
  <c r="D109" i="31"/>
  <c r="D542" i="31"/>
  <c r="D407" i="31"/>
  <c r="D293" i="31"/>
  <c r="D247" i="31"/>
  <c r="D206" i="31"/>
  <c r="D73" i="31"/>
  <c r="D53" i="31"/>
  <c r="D77" i="31"/>
  <c r="D608" i="31"/>
  <c r="D592" i="31"/>
  <c r="D572" i="31"/>
  <c r="D569" i="31"/>
  <c r="D527" i="31"/>
  <c r="D513" i="31"/>
  <c r="D517" i="31"/>
  <c r="D477" i="31"/>
  <c r="D471" i="31"/>
  <c r="D474" i="31"/>
  <c r="D434" i="31"/>
  <c r="D423" i="31"/>
  <c r="D439" i="31"/>
  <c r="D395" i="31"/>
  <c r="D358" i="31"/>
  <c r="D391" i="31"/>
  <c r="D319" i="31"/>
  <c r="D309" i="31"/>
  <c r="D307" i="31"/>
  <c r="D264" i="31"/>
  <c r="D269" i="31"/>
  <c r="D283" i="31"/>
  <c r="D258" i="31"/>
  <c r="D228" i="31"/>
  <c r="D248" i="31"/>
  <c r="D196" i="31"/>
  <c r="D202" i="31"/>
  <c r="D192" i="31"/>
  <c r="D233" i="31"/>
  <c r="D81" i="31"/>
  <c r="D111" i="31"/>
  <c r="D117" i="31"/>
  <c r="D115" i="31"/>
  <c r="D56" i="31"/>
  <c r="D579" i="31"/>
  <c r="D505" i="31"/>
  <c r="D492" i="31"/>
  <c r="D467" i="31"/>
  <c r="D350" i="31"/>
  <c r="D301" i="31"/>
  <c r="D261" i="31"/>
  <c r="D257" i="31"/>
  <c r="D188" i="31"/>
  <c r="D145" i="31"/>
  <c r="D107" i="31"/>
  <c r="D39" i="31"/>
  <c r="D609" i="31"/>
  <c r="D578" i="31"/>
  <c r="D554" i="31"/>
  <c r="D455" i="31"/>
  <c r="D410" i="31"/>
  <c r="D370" i="31"/>
  <c r="D359" i="31"/>
  <c r="D256" i="31"/>
  <c r="D186" i="31"/>
  <c r="D101" i="31"/>
  <c r="D626" i="31"/>
  <c r="B153" i="2"/>
  <c r="K152" i="2" s="1"/>
  <c r="B154" i="2"/>
  <c r="K153" i="2" s="1"/>
  <c r="C69" i="16"/>
  <c r="D69" i="16" s="1"/>
  <c r="B155" i="2"/>
  <c r="L154" i="2" s="1"/>
  <c r="B299" i="2"/>
  <c r="B320" i="2" s="1"/>
  <c r="B321" i="2" s="1"/>
  <c r="B290" i="2"/>
  <c r="B291" i="2" s="1"/>
  <c r="B295" i="2" s="1"/>
  <c r="B108" i="2"/>
  <c r="B135" i="2"/>
  <c r="K140" i="2" s="1"/>
  <c r="M140" i="2" s="1"/>
  <c r="B182" i="2"/>
  <c r="B110" i="2"/>
  <c r="B126" i="2" s="1"/>
  <c r="B199" i="2"/>
  <c r="B170" i="2"/>
  <c r="B198" i="2"/>
  <c r="F98" i="2"/>
  <c r="E91" i="2"/>
  <c r="E22" i="1"/>
  <c r="B204" i="2"/>
  <c r="B205" i="2"/>
  <c r="F91" i="2"/>
  <c r="B311" i="2"/>
  <c r="B314" i="2" s="1"/>
  <c r="K142" i="2"/>
  <c r="M142" i="2" s="1"/>
  <c r="B91" i="2"/>
  <c r="F311" i="2"/>
  <c r="B98" i="2"/>
  <c r="E25" i="1" s="1"/>
  <c r="F312" i="2"/>
  <c r="B312" i="2"/>
  <c r="B178" i="2"/>
  <c r="B186" i="2"/>
  <c r="B168" i="2"/>
  <c r="B175" i="2"/>
  <c r="B176" i="2" s="1"/>
  <c r="C79" i="21"/>
  <c r="B79" i="21" s="1"/>
  <c r="B80" i="21" s="1"/>
  <c r="B70" i="21"/>
  <c r="B68" i="20"/>
  <c r="B69" i="20" s="1"/>
  <c r="E90" i="2"/>
  <c r="B70" i="20"/>
  <c r="C79" i="20"/>
  <c r="B79" i="20" s="1"/>
  <c r="B80" i="20" s="1"/>
  <c r="B195" i="2"/>
  <c r="B196" i="2" s="1"/>
  <c r="E53" i="1" s="1"/>
  <c r="B89" i="2"/>
  <c r="B90" i="2"/>
  <c r="F89" i="2"/>
  <c r="F90" i="2"/>
  <c r="E89" i="2"/>
  <c r="F186" i="2"/>
  <c r="H140" i="2"/>
  <c r="E20" i="1"/>
  <c r="K193" i="2"/>
  <c r="E21" i="1"/>
  <c r="B329" i="2"/>
  <c r="B96" i="2"/>
  <c r="E23" i="1" s="1"/>
  <c r="B97" i="2"/>
  <c r="E24" i="1" s="1"/>
  <c r="F96" i="2"/>
  <c r="F97" i="2"/>
  <c r="B94" i="2"/>
  <c r="H84" i="2"/>
  <c r="AJ622" i="32" l="1"/>
  <c r="K622" i="32"/>
  <c r="E622" i="32"/>
  <c r="AP622" i="32"/>
  <c r="AM622" i="32"/>
  <c r="F578" i="31"/>
  <c r="E578" i="31"/>
  <c r="E77" i="31"/>
  <c r="F77" i="31"/>
  <c r="F256" i="31"/>
  <c r="E256" i="31"/>
  <c r="E39" i="31"/>
  <c r="F39" i="31"/>
  <c r="F467" i="31"/>
  <c r="E467" i="31"/>
  <c r="E81" i="31"/>
  <c r="F81" i="31"/>
  <c r="F283" i="31"/>
  <c r="E283" i="31"/>
  <c r="F395" i="31"/>
  <c r="E395" i="31"/>
  <c r="F513" i="31"/>
  <c r="E513" i="31"/>
  <c r="F73" i="31"/>
  <c r="E73" i="31"/>
  <c r="F194" i="31"/>
  <c r="E194" i="31"/>
  <c r="F561" i="31"/>
  <c r="E561" i="31"/>
  <c r="F113" i="31"/>
  <c r="E113" i="31"/>
  <c r="F252" i="31"/>
  <c r="E252" i="31"/>
  <c r="F396" i="31"/>
  <c r="E396" i="31"/>
  <c r="F514" i="31"/>
  <c r="E514" i="31"/>
  <c r="F184" i="31"/>
  <c r="E184" i="31"/>
  <c r="F129" i="31"/>
  <c r="E129" i="31"/>
  <c r="F268" i="31"/>
  <c r="E268" i="31"/>
  <c r="F373" i="31"/>
  <c r="E373" i="31"/>
  <c r="F507" i="31"/>
  <c r="E507" i="31"/>
  <c r="E451" i="31"/>
  <c r="F451" i="31"/>
  <c r="E71" i="31"/>
  <c r="F71" i="31"/>
  <c r="F195" i="31"/>
  <c r="E195" i="31"/>
  <c r="E292" i="31"/>
  <c r="F292" i="31"/>
  <c r="F444" i="31"/>
  <c r="E444" i="31"/>
  <c r="F587" i="31"/>
  <c r="E587" i="31"/>
  <c r="F489" i="31"/>
  <c r="E489" i="31"/>
  <c r="F364" i="31"/>
  <c r="E364" i="31"/>
  <c r="F267" i="31"/>
  <c r="E267" i="31"/>
  <c r="F158" i="31"/>
  <c r="E158" i="31"/>
  <c r="E318" i="31"/>
  <c r="F318" i="31"/>
  <c r="F519" i="31"/>
  <c r="E519" i="31"/>
  <c r="E40" i="31"/>
  <c r="F40" i="31"/>
  <c r="E164" i="31"/>
  <c r="F164" i="31"/>
  <c r="F332" i="31"/>
  <c r="E332" i="31"/>
  <c r="F430" i="31"/>
  <c r="E430" i="31"/>
  <c r="E591" i="31"/>
  <c r="F591" i="31"/>
  <c r="F124" i="31"/>
  <c r="E124" i="31"/>
  <c r="F207" i="31"/>
  <c r="E207" i="31"/>
  <c r="F219" i="31"/>
  <c r="E219" i="31"/>
  <c r="F312" i="31"/>
  <c r="E312" i="31"/>
  <c r="F353" i="31"/>
  <c r="E353" i="31"/>
  <c r="F406" i="31"/>
  <c r="E406" i="31"/>
  <c r="F457" i="31"/>
  <c r="E457" i="31"/>
  <c r="E538" i="31"/>
  <c r="F538" i="31"/>
  <c r="E64" i="31"/>
  <c r="F64" i="31"/>
  <c r="E112" i="31"/>
  <c r="F112" i="31"/>
  <c r="E148" i="31"/>
  <c r="F148" i="31"/>
  <c r="F345" i="31"/>
  <c r="E345" i="31"/>
  <c r="F316" i="31"/>
  <c r="E316" i="31"/>
  <c r="F386" i="31"/>
  <c r="E386" i="31"/>
  <c r="E437" i="31"/>
  <c r="F437" i="31"/>
  <c r="F539" i="31"/>
  <c r="E539" i="31"/>
  <c r="F590" i="31"/>
  <c r="E590" i="31"/>
  <c r="F55" i="31"/>
  <c r="E55" i="31"/>
  <c r="F135" i="31"/>
  <c r="E135" i="31"/>
  <c r="F163" i="31"/>
  <c r="E163" i="31"/>
  <c r="F296" i="31"/>
  <c r="E296" i="31"/>
  <c r="F331" i="31"/>
  <c r="E331" i="31"/>
  <c r="F376" i="31"/>
  <c r="E376" i="31"/>
  <c r="F435" i="31"/>
  <c r="E435" i="31"/>
  <c r="F510" i="31"/>
  <c r="E510" i="31"/>
  <c r="F581" i="31"/>
  <c r="E581" i="31"/>
  <c r="F31" i="31"/>
  <c r="E31" i="31"/>
  <c r="E136" i="31"/>
  <c r="F136" i="31"/>
  <c r="E172" i="31"/>
  <c r="F172" i="31"/>
  <c r="F259" i="31"/>
  <c r="E259" i="31"/>
  <c r="F340" i="31"/>
  <c r="E340" i="31"/>
  <c r="F426" i="31"/>
  <c r="E426" i="31"/>
  <c r="F438" i="31"/>
  <c r="E438" i="31"/>
  <c r="F520" i="31"/>
  <c r="E520" i="31"/>
  <c r="E594" i="31"/>
  <c r="F594" i="31"/>
  <c r="E43" i="31"/>
  <c r="F43" i="31"/>
  <c r="F552" i="31"/>
  <c r="E552" i="31"/>
  <c r="E61" i="31"/>
  <c r="F61" i="31"/>
  <c r="F60" i="31"/>
  <c r="E60" i="31"/>
  <c r="F78" i="31"/>
  <c r="E78" i="31"/>
  <c r="F101" i="31"/>
  <c r="E101" i="31"/>
  <c r="F228" i="31"/>
  <c r="E228" i="31"/>
  <c r="F109" i="31"/>
  <c r="E109" i="31"/>
  <c r="E359" i="31"/>
  <c r="F359" i="31"/>
  <c r="E107" i="31"/>
  <c r="F107" i="31"/>
  <c r="F492" i="31"/>
  <c r="E492" i="31"/>
  <c r="F233" i="31"/>
  <c r="E233" i="31"/>
  <c r="F269" i="31"/>
  <c r="E269" i="31"/>
  <c r="F439" i="31"/>
  <c r="E439" i="31"/>
  <c r="F527" i="31"/>
  <c r="E527" i="31"/>
  <c r="F206" i="31"/>
  <c r="E206" i="31"/>
  <c r="F220" i="31"/>
  <c r="E220" i="31"/>
  <c r="E584" i="31"/>
  <c r="F584" i="31"/>
  <c r="E167" i="31"/>
  <c r="F167" i="31"/>
  <c r="F254" i="31"/>
  <c r="E254" i="31"/>
  <c r="F412" i="31"/>
  <c r="E412" i="31"/>
  <c r="F536" i="31"/>
  <c r="E536" i="31"/>
  <c r="F499" i="31"/>
  <c r="E499" i="31"/>
  <c r="F183" i="31"/>
  <c r="E183" i="31"/>
  <c r="F270" i="31"/>
  <c r="E270" i="31"/>
  <c r="F405" i="31"/>
  <c r="E405" i="31"/>
  <c r="E537" i="31"/>
  <c r="F537" i="31"/>
  <c r="E607" i="31"/>
  <c r="F607" i="31"/>
  <c r="E106" i="31"/>
  <c r="F106" i="31"/>
  <c r="E181" i="31"/>
  <c r="F181" i="31"/>
  <c r="F310" i="31"/>
  <c r="E310" i="31"/>
  <c r="E491" i="31"/>
  <c r="F491" i="31"/>
  <c r="F612" i="31"/>
  <c r="E612" i="31"/>
  <c r="E311" i="31"/>
  <c r="F311" i="31"/>
  <c r="F421" i="31"/>
  <c r="E421" i="31"/>
  <c r="F365" i="31"/>
  <c r="E365" i="31"/>
  <c r="F199" i="31"/>
  <c r="E199" i="31"/>
  <c r="F382" i="31"/>
  <c r="E382" i="31"/>
  <c r="F523" i="31"/>
  <c r="E523" i="31"/>
  <c r="F83" i="31"/>
  <c r="E83" i="31"/>
  <c r="E215" i="31"/>
  <c r="F215" i="31"/>
  <c r="E287" i="31"/>
  <c r="F287" i="31"/>
  <c r="E516" i="31"/>
  <c r="F516" i="31"/>
  <c r="F597" i="31"/>
  <c r="E597" i="31"/>
  <c r="E125" i="31"/>
  <c r="F125" i="31"/>
  <c r="E200" i="31"/>
  <c r="F200" i="31"/>
  <c r="E236" i="31"/>
  <c r="F236" i="31"/>
  <c r="F272" i="31"/>
  <c r="E272" i="31"/>
  <c r="F431" i="31"/>
  <c r="E431" i="31"/>
  <c r="E433" i="31"/>
  <c r="F433" i="31"/>
  <c r="E485" i="31"/>
  <c r="F485" i="31"/>
  <c r="F551" i="31"/>
  <c r="E551" i="31"/>
  <c r="E32" i="31"/>
  <c r="F32" i="31"/>
  <c r="E97" i="31"/>
  <c r="F97" i="31"/>
  <c r="E212" i="31"/>
  <c r="F212" i="31"/>
  <c r="E289" i="31"/>
  <c r="F289" i="31"/>
  <c r="E325" i="31"/>
  <c r="F325" i="31"/>
  <c r="F380" i="31"/>
  <c r="E380" i="31"/>
  <c r="E452" i="31"/>
  <c r="F452" i="31"/>
  <c r="E530" i="31"/>
  <c r="F530" i="31"/>
  <c r="F585" i="31"/>
  <c r="E585" i="31"/>
  <c r="E23" i="31"/>
  <c r="F23" i="31"/>
  <c r="F120" i="31"/>
  <c r="E120" i="31"/>
  <c r="F156" i="31"/>
  <c r="E156" i="31"/>
  <c r="F243" i="31"/>
  <c r="E243" i="31"/>
  <c r="E324" i="31"/>
  <c r="F324" i="31"/>
  <c r="E394" i="31"/>
  <c r="F394" i="31"/>
  <c r="F445" i="31"/>
  <c r="E445" i="31"/>
  <c r="E504" i="31"/>
  <c r="F504" i="31"/>
  <c r="E583" i="31"/>
  <c r="F583" i="31"/>
  <c r="F90" i="31"/>
  <c r="E90" i="31"/>
  <c r="F121" i="31"/>
  <c r="E121" i="31"/>
  <c r="F165" i="31"/>
  <c r="E165" i="31"/>
  <c r="F260" i="31"/>
  <c r="E260" i="31"/>
  <c r="E294" i="31"/>
  <c r="F294" i="31"/>
  <c r="F425" i="31"/>
  <c r="E425" i="31"/>
  <c r="F461" i="31"/>
  <c r="E461" i="31"/>
  <c r="E522" i="31"/>
  <c r="F522" i="31"/>
  <c r="E601" i="31"/>
  <c r="F601" i="31"/>
  <c r="F68" i="31"/>
  <c r="E68" i="31"/>
  <c r="F565" i="31"/>
  <c r="E565" i="31"/>
  <c r="F29" i="31"/>
  <c r="E29" i="31"/>
  <c r="F28" i="31"/>
  <c r="E28" i="31"/>
  <c r="F301" i="31"/>
  <c r="E301" i="31"/>
  <c r="E463" i="31"/>
  <c r="F463" i="31"/>
  <c r="F370" i="31"/>
  <c r="E370" i="31"/>
  <c r="E145" i="31"/>
  <c r="F145" i="31"/>
  <c r="F505" i="31"/>
  <c r="E505" i="31"/>
  <c r="F192" i="31"/>
  <c r="E192" i="31"/>
  <c r="F264" i="31"/>
  <c r="E264" i="31"/>
  <c r="E423" i="31"/>
  <c r="F423" i="31"/>
  <c r="E569" i="31"/>
  <c r="F569" i="31"/>
  <c r="F247" i="31"/>
  <c r="E247" i="31"/>
  <c r="F275" i="31"/>
  <c r="E275" i="31"/>
  <c r="F161" i="31"/>
  <c r="E161" i="31"/>
  <c r="E321" i="31"/>
  <c r="F321" i="31"/>
  <c r="E424" i="31"/>
  <c r="F424" i="31"/>
  <c r="F577" i="31"/>
  <c r="E577" i="31"/>
  <c r="F49" i="31"/>
  <c r="E49" i="31"/>
  <c r="F177" i="31"/>
  <c r="E177" i="31"/>
  <c r="F298" i="31"/>
  <c r="E298" i="31"/>
  <c r="F432" i="31"/>
  <c r="E432" i="31"/>
  <c r="E556" i="31"/>
  <c r="F556" i="31"/>
  <c r="E103" i="31"/>
  <c r="F103" i="31"/>
  <c r="E108" i="31"/>
  <c r="F108" i="31"/>
  <c r="F234" i="31"/>
  <c r="E234" i="31"/>
  <c r="F368" i="31"/>
  <c r="E368" i="31"/>
  <c r="E472" i="31"/>
  <c r="F472" i="31"/>
  <c r="F22" i="31"/>
  <c r="E22" i="31"/>
  <c r="F114" i="31"/>
  <c r="E114" i="31"/>
  <c r="E476" i="31"/>
  <c r="F476" i="31"/>
  <c r="F446" i="31"/>
  <c r="E446" i="31"/>
  <c r="F203" i="31"/>
  <c r="E203" i="31"/>
  <c r="F447" i="31"/>
  <c r="E447" i="31"/>
  <c r="F545" i="31"/>
  <c r="E545" i="31"/>
  <c r="F85" i="31"/>
  <c r="E85" i="31"/>
  <c r="F238" i="31"/>
  <c r="E238" i="31"/>
  <c r="E354" i="31"/>
  <c r="F354" i="31"/>
  <c r="F475" i="31"/>
  <c r="E475" i="31"/>
  <c r="F82" i="31"/>
  <c r="E82" i="31"/>
  <c r="F126" i="31"/>
  <c r="E126" i="31"/>
  <c r="F201" i="31"/>
  <c r="E201" i="31"/>
  <c r="F230" i="31"/>
  <c r="E230" i="31"/>
  <c r="F322" i="31"/>
  <c r="E322" i="31"/>
  <c r="F372" i="31"/>
  <c r="E372" i="31"/>
  <c r="F450" i="31"/>
  <c r="E450" i="31"/>
  <c r="F501" i="31"/>
  <c r="E501" i="31"/>
  <c r="E566" i="31"/>
  <c r="F566" i="31"/>
  <c r="F130" i="31"/>
  <c r="E130" i="31"/>
  <c r="F174" i="31"/>
  <c r="E174" i="31"/>
  <c r="F205" i="31"/>
  <c r="E205" i="31"/>
  <c r="F291" i="31"/>
  <c r="E291" i="31"/>
  <c r="E334" i="31"/>
  <c r="F334" i="31"/>
  <c r="F400" i="31"/>
  <c r="E400" i="31"/>
  <c r="F462" i="31"/>
  <c r="E462" i="31"/>
  <c r="F533" i="31"/>
  <c r="E533" i="31"/>
  <c r="F603" i="31"/>
  <c r="E603" i="31"/>
  <c r="F15" i="31"/>
  <c r="E15" i="31"/>
  <c r="F105" i="31"/>
  <c r="E105" i="31"/>
  <c r="F149" i="31"/>
  <c r="E149" i="31"/>
  <c r="F244" i="31"/>
  <c r="E244" i="31"/>
  <c r="F333" i="31"/>
  <c r="E333" i="31"/>
  <c r="E388" i="31"/>
  <c r="F388" i="31"/>
  <c r="F460" i="31"/>
  <c r="E460" i="31"/>
  <c r="E506" i="31"/>
  <c r="F506" i="31"/>
  <c r="F593" i="31"/>
  <c r="E593" i="31"/>
  <c r="F91" i="31"/>
  <c r="E91" i="31"/>
  <c r="E198" i="31"/>
  <c r="F198" i="31"/>
  <c r="E223" i="31"/>
  <c r="F223" i="31"/>
  <c r="F337" i="31"/>
  <c r="E337" i="31"/>
  <c r="F295" i="31"/>
  <c r="E295" i="31"/>
  <c r="E402" i="31"/>
  <c r="F402" i="31"/>
  <c r="E532" i="31"/>
  <c r="F532" i="31"/>
  <c r="E534" i="31"/>
  <c r="F534" i="31"/>
  <c r="F606" i="31"/>
  <c r="E606" i="31"/>
  <c r="F27" i="31"/>
  <c r="E27" i="31"/>
  <c r="E586" i="31"/>
  <c r="F586" i="31"/>
  <c r="E20" i="31"/>
  <c r="F20" i="31"/>
  <c r="F74" i="31"/>
  <c r="E74" i="31"/>
  <c r="E188" i="31"/>
  <c r="F188" i="31"/>
  <c r="F307" i="31"/>
  <c r="E307" i="31"/>
  <c r="F299" i="31"/>
  <c r="E299" i="31"/>
  <c r="E171" i="31"/>
  <c r="F171" i="31"/>
  <c r="F443" i="31"/>
  <c r="E443" i="31"/>
  <c r="F574" i="31"/>
  <c r="E574" i="31"/>
  <c r="F48" i="31"/>
  <c r="E48" i="31"/>
  <c r="F187" i="31"/>
  <c r="E187" i="31"/>
  <c r="F348" i="31"/>
  <c r="E348" i="31"/>
  <c r="F436" i="31"/>
  <c r="E436" i="31"/>
  <c r="E575" i="31"/>
  <c r="F575" i="31"/>
  <c r="E241" i="31"/>
  <c r="F241" i="31"/>
  <c r="E110" i="31"/>
  <c r="F110" i="31"/>
  <c r="E214" i="31"/>
  <c r="F214" i="31"/>
  <c r="E356" i="31"/>
  <c r="F356" i="31"/>
  <c r="E487" i="31"/>
  <c r="F487" i="31"/>
  <c r="E144" i="31"/>
  <c r="F144" i="31"/>
  <c r="E96" i="31"/>
  <c r="F96" i="31"/>
  <c r="F557" i="31"/>
  <c r="E557" i="31"/>
  <c r="F550" i="31"/>
  <c r="E550" i="31"/>
  <c r="F189" i="31"/>
  <c r="E189" i="31"/>
  <c r="F389" i="31"/>
  <c r="E389" i="31"/>
  <c r="F588" i="31"/>
  <c r="E588" i="31"/>
  <c r="F150" i="31"/>
  <c r="E150" i="31"/>
  <c r="F266" i="31"/>
  <c r="E266" i="31"/>
  <c r="E409" i="31"/>
  <c r="F409" i="31"/>
  <c r="F496" i="31"/>
  <c r="E496" i="31"/>
  <c r="F36" i="31"/>
  <c r="E36" i="31"/>
  <c r="F119" i="31"/>
  <c r="E119" i="31"/>
  <c r="F147" i="31"/>
  <c r="E147" i="31"/>
  <c r="F273" i="31"/>
  <c r="E273" i="31"/>
  <c r="F315" i="31"/>
  <c r="E315" i="31"/>
  <c r="F366" i="31"/>
  <c r="E366" i="31"/>
  <c r="F442" i="31"/>
  <c r="E442" i="31"/>
  <c r="F525" i="31"/>
  <c r="E525" i="31"/>
  <c r="F580" i="31"/>
  <c r="E580" i="31"/>
  <c r="F131" i="31"/>
  <c r="E131" i="31"/>
  <c r="F151" i="31"/>
  <c r="E151" i="31"/>
  <c r="F224" i="31"/>
  <c r="E224" i="31"/>
  <c r="F285" i="31"/>
  <c r="E285" i="31"/>
  <c r="F335" i="31"/>
  <c r="E335" i="31"/>
  <c r="F419" i="31"/>
  <c r="E419" i="31"/>
  <c r="F483" i="31"/>
  <c r="E483" i="31"/>
  <c r="F543" i="31"/>
  <c r="E543" i="31"/>
  <c r="E611" i="31"/>
  <c r="F611" i="31"/>
  <c r="F138" i="31"/>
  <c r="E138" i="31"/>
  <c r="F182" i="31"/>
  <c r="E182" i="31"/>
  <c r="E209" i="31"/>
  <c r="F209" i="31"/>
  <c r="F305" i="31"/>
  <c r="E305" i="31"/>
  <c r="E342" i="31"/>
  <c r="F342" i="31"/>
  <c r="E401" i="31"/>
  <c r="F401" i="31"/>
  <c r="F470" i="31"/>
  <c r="E470" i="31"/>
  <c r="F541" i="31"/>
  <c r="E541" i="31"/>
  <c r="E596" i="31"/>
  <c r="F596" i="31"/>
  <c r="F92" i="31"/>
  <c r="E92" i="31"/>
  <c r="F175" i="31"/>
  <c r="E175" i="31"/>
  <c r="F218" i="31"/>
  <c r="E218" i="31"/>
  <c r="F262" i="31"/>
  <c r="E262" i="31"/>
  <c r="F352" i="31"/>
  <c r="E352" i="31"/>
  <c r="F420" i="31"/>
  <c r="E420" i="31"/>
  <c r="E456" i="31"/>
  <c r="F456" i="31"/>
  <c r="F529" i="31"/>
  <c r="E529" i="31"/>
  <c r="F62" i="31"/>
  <c r="E62" i="31"/>
  <c r="E42" i="31"/>
  <c r="F42" i="31"/>
  <c r="E576" i="31"/>
  <c r="F576" i="31"/>
  <c r="E51" i="31"/>
  <c r="F51" i="31"/>
  <c r="F613" i="31"/>
  <c r="E613" i="31"/>
  <c r="F579" i="31"/>
  <c r="E579" i="31"/>
  <c r="F434" i="31"/>
  <c r="E434" i="31"/>
  <c r="F293" i="31"/>
  <c r="E293" i="31"/>
  <c r="F339" i="31"/>
  <c r="E339" i="31"/>
  <c r="E455" i="31"/>
  <c r="F455" i="31"/>
  <c r="E257" i="31"/>
  <c r="F257" i="31"/>
  <c r="E56" i="31"/>
  <c r="F56" i="31"/>
  <c r="E196" i="31"/>
  <c r="F196" i="31"/>
  <c r="F309" i="31"/>
  <c r="E309" i="31"/>
  <c r="F474" i="31"/>
  <c r="E474" i="31"/>
  <c r="E592" i="31"/>
  <c r="F592" i="31"/>
  <c r="E407" i="31"/>
  <c r="F407" i="31"/>
  <c r="F374" i="31"/>
  <c r="E374" i="31"/>
  <c r="F72" i="31"/>
  <c r="E72" i="31"/>
  <c r="F157" i="31"/>
  <c r="E157" i="31"/>
  <c r="E341" i="31"/>
  <c r="F341" i="31"/>
  <c r="E468" i="31"/>
  <c r="F468" i="31"/>
  <c r="E595" i="31"/>
  <c r="F595" i="31"/>
  <c r="F98" i="31"/>
  <c r="E98" i="31"/>
  <c r="F173" i="31"/>
  <c r="E173" i="31"/>
  <c r="E302" i="31"/>
  <c r="F302" i="31"/>
  <c r="F469" i="31"/>
  <c r="E469" i="31"/>
  <c r="E605" i="31"/>
  <c r="F605" i="31"/>
  <c r="F367" i="31"/>
  <c r="E367" i="31"/>
  <c r="E88" i="31"/>
  <c r="F88" i="31"/>
  <c r="E290" i="31"/>
  <c r="F290" i="31"/>
  <c r="E393" i="31"/>
  <c r="F393" i="31"/>
  <c r="F511" i="31"/>
  <c r="E511" i="31"/>
  <c r="E180" i="31"/>
  <c r="F180" i="31"/>
  <c r="F193" i="31"/>
  <c r="E193" i="31"/>
  <c r="E19" i="31"/>
  <c r="F19" i="31"/>
  <c r="F387" i="31"/>
  <c r="E387" i="31"/>
  <c r="F222" i="31"/>
  <c r="E222" i="31"/>
  <c r="F448" i="31"/>
  <c r="E448" i="31"/>
  <c r="E602" i="31"/>
  <c r="F602" i="31"/>
  <c r="E128" i="31"/>
  <c r="F128" i="31"/>
  <c r="F251" i="31"/>
  <c r="E251" i="31"/>
  <c r="E404" i="31"/>
  <c r="F404" i="31"/>
  <c r="F512" i="31"/>
  <c r="E512" i="31"/>
  <c r="F79" i="31"/>
  <c r="E79" i="31"/>
  <c r="E104" i="31"/>
  <c r="F104" i="31"/>
  <c r="F211" i="31"/>
  <c r="E211" i="31"/>
  <c r="F328" i="31"/>
  <c r="E328" i="31"/>
  <c r="F308" i="31"/>
  <c r="E308" i="31"/>
  <c r="F378" i="31"/>
  <c r="E378" i="31"/>
  <c r="F508" i="31"/>
  <c r="E508" i="31"/>
  <c r="F531" i="31"/>
  <c r="E531" i="31"/>
  <c r="F589" i="31"/>
  <c r="E589" i="31"/>
  <c r="F132" i="31"/>
  <c r="E132" i="31"/>
  <c r="F225" i="31"/>
  <c r="E225" i="31"/>
  <c r="F227" i="31"/>
  <c r="E227" i="31"/>
  <c r="F329" i="31"/>
  <c r="E329" i="31"/>
  <c r="F361" i="31"/>
  <c r="E361" i="31"/>
  <c r="F414" i="31"/>
  <c r="E414" i="31"/>
  <c r="E465" i="31"/>
  <c r="F465" i="31"/>
  <c r="F547" i="31"/>
  <c r="E547" i="31"/>
  <c r="F54" i="31"/>
  <c r="E54" i="31"/>
  <c r="F139" i="31"/>
  <c r="E139" i="31"/>
  <c r="F159" i="31"/>
  <c r="E159" i="31"/>
  <c r="F232" i="31"/>
  <c r="E232" i="31"/>
  <c r="E246" i="31"/>
  <c r="F246" i="31"/>
  <c r="F343" i="31"/>
  <c r="E343" i="31"/>
  <c r="F453" i="31"/>
  <c r="E453" i="31"/>
  <c r="F498" i="31"/>
  <c r="E498" i="31"/>
  <c r="F553" i="31"/>
  <c r="E553" i="31"/>
  <c r="F75" i="31"/>
  <c r="E75" i="31"/>
  <c r="F93" i="31"/>
  <c r="E93" i="31"/>
  <c r="F168" i="31"/>
  <c r="E168" i="31"/>
  <c r="F242" i="31"/>
  <c r="E242" i="31"/>
  <c r="E271" i="31"/>
  <c r="F271" i="31"/>
  <c r="F362" i="31"/>
  <c r="E362" i="31"/>
  <c r="F399" i="31"/>
  <c r="E399" i="31"/>
  <c r="F490" i="31"/>
  <c r="E490" i="31"/>
  <c r="F549" i="31"/>
  <c r="E549" i="31"/>
  <c r="F38" i="31"/>
  <c r="E38" i="31"/>
  <c r="F52" i="31"/>
  <c r="E52" i="31"/>
  <c r="F598" i="31"/>
  <c r="E598" i="31"/>
  <c r="F58" i="31"/>
  <c r="E58" i="31"/>
  <c r="F50" i="31"/>
  <c r="E50" i="31"/>
  <c r="F410" i="31"/>
  <c r="E410" i="31"/>
  <c r="F202" i="31"/>
  <c r="E202" i="31"/>
  <c r="F572" i="31"/>
  <c r="E572" i="31"/>
  <c r="F33" i="31"/>
  <c r="E33" i="31"/>
  <c r="F626" i="31"/>
  <c r="E626" i="31"/>
  <c r="F554" i="31"/>
  <c r="E554" i="31"/>
  <c r="F261" i="31"/>
  <c r="E261" i="31"/>
  <c r="F115" i="31"/>
  <c r="E115" i="31"/>
  <c r="F248" i="31"/>
  <c r="E248" i="31"/>
  <c r="E319" i="31"/>
  <c r="F319" i="31"/>
  <c r="F471" i="31"/>
  <c r="E471" i="31"/>
  <c r="F608" i="31"/>
  <c r="E608" i="31"/>
  <c r="F542" i="31"/>
  <c r="E542" i="31"/>
  <c r="E415" i="31"/>
  <c r="F415" i="31"/>
  <c r="E84" i="31"/>
  <c r="F84" i="31"/>
  <c r="E210" i="31"/>
  <c r="F210" i="31"/>
  <c r="E351" i="31"/>
  <c r="F351" i="31"/>
  <c r="F524" i="31"/>
  <c r="E524" i="31"/>
  <c r="F59" i="31"/>
  <c r="E59" i="31"/>
  <c r="F100" i="31"/>
  <c r="E100" i="31"/>
  <c r="F226" i="31"/>
  <c r="E226" i="31"/>
  <c r="F360" i="31"/>
  <c r="E360" i="31"/>
  <c r="E464" i="31"/>
  <c r="F464" i="31"/>
  <c r="F57" i="31"/>
  <c r="E57" i="31"/>
  <c r="F418" i="31"/>
  <c r="E418" i="31"/>
  <c r="E137" i="31"/>
  <c r="F137" i="31"/>
  <c r="E276" i="31"/>
  <c r="F276" i="31"/>
  <c r="E381" i="31"/>
  <c r="F381" i="31"/>
  <c r="E515" i="31"/>
  <c r="F515" i="31"/>
  <c r="E253" i="31"/>
  <c r="F253" i="31"/>
  <c r="F239" i="31"/>
  <c r="E239" i="31"/>
  <c r="F16" i="31"/>
  <c r="E16" i="31"/>
  <c r="F24" i="31"/>
  <c r="E24" i="31"/>
  <c r="F313" i="31"/>
  <c r="E313" i="31"/>
  <c r="F458" i="31"/>
  <c r="E458" i="31"/>
  <c r="E70" i="31"/>
  <c r="F70" i="31"/>
  <c r="F190" i="31"/>
  <c r="E190" i="31"/>
  <c r="F320" i="31"/>
  <c r="E320" i="31"/>
  <c r="E417" i="31"/>
  <c r="F417" i="31"/>
  <c r="F559" i="31"/>
  <c r="E559" i="31"/>
  <c r="F47" i="31"/>
  <c r="E47" i="31"/>
  <c r="E89" i="31"/>
  <c r="F89" i="31"/>
  <c r="F204" i="31"/>
  <c r="E204" i="31"/>
  <c r="E288" i="31"/>
  <c r="F288" i="31"/>
  <c r="E317" i="31"/>
  <c r="F317" i="31"/>
  <c r="E403" i="31"/>
  <c r="F403" i="31"/>
  <c r="E482" i="31"/>
  <c r="F482" i="31"/>
  <c r="E521" i="31"/>
  <c r="F521" i="31"/>
  <c r="E599" i="31"/>
  <c r="F599" i="31"/>
  <c r="E133" i="31"/>
  <c r="F133" i="31"/>
  <c r="E217" i="31"/>
  <c r="F217" i="31"/>
  <c r="F240" i="31"/>
  <c r="E240" i="31"/>
  <c r="E280" i="31"/>
  <c r="F280" i="31"/>
  <c r="F355" i="31"/>
  <c r="E355" i="31"/>
  <c r="E408" i="31"/>
  <c r="F408" i="31"/>
  <c r="E493" i="31"/>
  <c r="F493" i="31"/>
  <c r="E562" i="31"/>
  <c r="F562" i="31"/>
  <c r="E30" i="31"/>
  <c r="F30" i="31"/>
  <c r="E140" i="31"/>
  <c r="F140" i="31"/>
  <c r="F152" i="31"/>
  <c r="E152" i="31"/>
  <c r="E235" i="31"/>
  <c r="F235" i="31"/>
  <c r="E344" i="31"/>
  <c r="F344" i="31"/>
  <c r="E369" i="31"/>
  <c r="F369" i="31"/>
  <c r="E422" i="31"/>
  <c r="F422" i="31"/>
  <c r="E473" i="31"/>
  <c r="F473" i="31"/>
  <c r="E548" i="31"/>
  <c r="F548" i="31"/>
  <c r="F35" i="31"/>
  <c r="E35" i="31"/>
  <c r="F94" i="31"/>
  <c r="E94" i="31"/>
  <c r="F169" i="31"/>
  <c r="E169" i="31"/>
  <c r="E229" i="31"/>
  <c r="F229" i="31"/>
  <c r="F336" i="31"/>
  <c r="E336" i="31"/>
  <c r="E375" i="31"/>
  <c r="F375" i="31"/>
  <c r="E427" i="31"/>
  <c r="F427" i="31"/>
  <c r="F502" i="31"/>
  <c r="E502" i="31"/>
  <c r="E563" i="31"/>
  <c r="F563" i="31"/>
  <c r="F69" i="31"/>
  <c r="E69" i="31"/>
  <c r="F34" i="31"/>
  <c r="E34" i="31"/>
  <c r="F600" i="31"/>
  <c r="E600" i="31"/>
  <c r="F76" i="31"/>
  <c r="E76" i="31"/>
  <c r="F14" i="31"/>
  <c r="E14" i="31"/>
  <c r="G637" i="32"/>
  <c r="D628" i="32"/>
  <c r="F391" i="31"/>
  <c r="E391" i="31"/>
  <c r="F86" i="31"/>
  <c r="E86" i="31"/>
  <c r="E221" i="31"/>
  <c r="F221" i="31"/>
  <c r="E371" i="31"/>
  <c r="F371" i="31"/>
  <c r="E494" i="31"/>
  <c r="F494" i="31"/>
  <c r="F231" i="31"/>
  <c r="E231" i="31"/>
  <c r="F102" i="31"/>
  <c r="E102" i="31"/>
  <c r="E237" i="31"/>
  <c r="F237" i="31"/>
  <c r="F377" i="31"/>
  <c r="E377" i="31"/>
  <c r="F479" i="31"/>
  <c r="E479" i="31"/>
  <c r="E95" i="31"/>
  <c r="F95" i="31"/>
  <c r="E546" i="31"/>
  <c r="F546" i="31"/>
  <c r="E191" i="31"/>
  <c r="F191" i="31"/>
  <c r="E278" i="31"/>
  <c r="F278" i="31"/>
  <c r="E413" i="31"/>
  <c r="F413" i="31"/>
  <c r="E544" i="31"/>
  <c r="F544" i="31"/>
  <c r="F303" i="31"/>
  <c r="E303" i="31"/>
  <c r="F284" i="31"/>
  <c r="E284" i="31"/>
  <c r="F99" i="31"/>
  <c r="E99" i="31"/>
  <c r="F116" i="31"/>
  <c r="E116" i="31"/>
  <c r="F297" i="31"/>
  <c r="E297" i="31"/>
  <c r="F500" i="31"/>
  <c r="E500" i="31"/>
  <c r="F41" i="31"/>
  <c r="E41" i="31"/>
  <c r="F160" i="31"/>
  <c r="E160" i="31"/>
  <c r="E263" i="31"/>
  <c r="F263" i="31"/>
  <c r="F429" i="31"/>
  <c r="E429" i="31"/>
  <c r="F558" i="31"/>
  <c r="E558" i="31"/>
  <c r="F122" i="31"/>
  <c r="E122" i="31"/>
  <c r="F166" i="31"/>
  <c r="E166" i="31"/>
  <c r="F197" i="31"/>
  <c r="E197" i="31"/>
  <c r="E286" i="31"/>
  <c r="F286" i="31"/>
  <c r="E326" i="31"/>
  <c r="F326" i="31"/>
  <c r="F397" i="31"/>
  <c r="E397" i="31"/>
  <c r="F454" i="31"/>
  <c r="E454" i="31"/>
  <c r="F540" i="31"/>
  <c r="E540" i="31"/>
  <c r="J622" i="31"/>
  <c r="D622" i="31"/>
  <c r="G622" i="31"/>
  <c r="F134" i="31"/>
  <c r="E134" i="31"/>
  <c r="F154" i="31"/>
  <c r="E154" i="31"/>
  <c r="E245" i="31"/>
  <c r="F245" i="31"/>
  <c r="F330" i="31"/>
  <c r="E330" i="31"/>
  <c r="F383" i="31"/>
  <c r="E383" i="31"/>
  <c r="F459" i="31"/>
  <c r="E459" i="31"/>
  <c r="F509" i="31"/>
  <c r="E509" i="31"/>
  <c r="F567" i="31"/>
  <c r="E567" i="31"/>
  <c r="F37" i="31"/>
  <c r="E37" i="31"/>
  <c r="F141" i="31"/>
  <c r="E141" i="31"/>
  <c r="F153" i="31"/>
  <c r="E153" i="31"/>
  <c r="E213" i="31"/>
  <c r="F213" i="31"/>
  <c r="F304" i="31"/>
  <c r="E304" i="31"/>
  <c r="F363" i="31"/>
  <c r="E363" i="31"/>
  <c r="F416" i="31"/>
  <c r="E416" i="31"/>
  <c r="F486" i="31"/>
  <c r="E486" i="31"/>
  <c r="F571" i="31"/>
  <c r="E571" i="31"/>
  <c r="E26" i="31"/>
  <c r="F26" i="31"/>
  <c r="F87" i="31"/>
  <c r="E87" i="31"/>
  <c r="F178" i="31"/>
  <c r="E178" i="31"/>
  <c r="F281" i="31"/>
  <c r="E281" i="31"/>
  <c r="F349" i="31"/>
  <c r="E349" i="31"/>
  <c r="E357" i="31"/>
  <c r="F357" i="31"/>
  <c r="F449" i="31"/>
  <c r="E449" i="31"/>
  <c r="F481" i="31"/>
  <c r="E481" i="31"/>
  <c r="F568" i="31"/>
  <c r="E568" i="31"/>
  <c r="F45" i="31"/>
  <c r="E45" i="31"/>
  <c r="E67" i="31"/>
  <c r="F67" i="31"/>
  <c r="E604" i="31"/>
  <c r="F604" i="31"/>
  <c r="E44" i="31"/>
  <c r="F44" i="31"/>
  <c r="F18" i="31"/>
  <c r="E18" i="31"/>
  <c r="J78" i="31"/>
  <c r="J613" i="31"/>
  <c r="J13" i="31"/>
  <c r="J52" i="31"/>
  <c r="J68" i="31"/>
  <c r="J60" i="31"/>
  <c r="J20" i="31"/>
  <c r="J76" i="31"/>
  <c r="J38" i="31"/>
  <c r="J70" i="31"/>
  <c r="J610" i="31"/>
  <c r="J604" i="31"/>
  <c r="J601" i="31"/>
  <c r="J591" i="31"/>
  <c r="J575" i="31"/>
  <c r="J579" i="31"/>
  <c r="J572" i="31"/>
  <c r="J553" i="31"/>
  <c r="J539" i="31"/>
  <c r="J536" i="31"/>
  <c r="J525" i="31"/>
  <c r="J523" i="31"/>
  <c r="J513" i="31"/>
  <c r="J491" i="31"/>
  <c r="J548" i="31"/>
  <c r="J480" i="31"/>
  <c r="J530" i="31"/>
  <c r="J473" i="31"/>
  <c r="J475" i="31"/>
  <c r="J454" i="31"/>
  <c r="J447" i="31"/>
  <c r="J445" i="31"/>
  <c r="J435" i="31"/>
  <c r="J417" i="31"/>
  <c r="J423" i="31"/>
  <c r="J429" i="31"/>
  <c r="J391" i="31"/>
  <c r="J397" i="31"/>
  <c r="J388" i="31"/>
  <c r="J386" i="31"/>
  <c r="J359" i="31"/>
  <c r="J364" i="31"/>
  <c r="J362" i="31"/>
  <c r="J305" i="31"/>
  <c r="J328" i="31"/>
  <c r="J327" i="31"/>
  <c r="J326" i="31"/>
  <c r="J325" i="31"/>
  <c r="J316" i="31"/>
  <c r="J338" i="31"/>
  <c r="J280" i="31"/>
  <c r="J299" i="31"/>
  <c r="J270" i="31"/>
  <c r="J285" i="31"/>
  <c r="J347" i="31"/>
  <c r="J267" i="31"/>
  <c r="J283" i="31"/>
  <c r="J231" i="31"/>
  <c r="J229" i="31"/>
  <c r="J212" i="31"/>
  <c r="J219" i="31"/>
  <c r="J227" i="31"/>
  <c r="J150" i="31"/>
  <c r="J36" i="31"/>
  <c r="J16" i="31"/>
  <c r="J44" i="31"/>
  <c r="J28" i="31"/>
  <c r="J22" i="31"/>
  <c r="J54" i="31"/>
  <c r="J608" i="31"/>
  <c r="J602" i="31"/>
  <c r="J585" i="31"/>
  <c r="J578" i="31"/>
  <c r="J581" i="31"/>
  <c r="J559" i="31"/>
  <c r="J564" i="31"/>
  <c r="J550" i="31"/>
  <c r="J538" i="31"/>
  <c r="J544" i="31"/>
  <c r="J542" i="31"/>
  <c r="J522" i="31"/>
  <c r="J512" i="31"/>
  <c r="J500" i="31"/>
  <c r="J481" i="31"/>
  <c r="J479" i="31"/>
  <c r="J492" i="31"/>
  <c r="J474" i="31"/>
  <c r="J493" i="31"/>
  <c r="J432" i="31"/>
  <c r="J446" i="31"/>
  <c r="J436" i="31"/>
  <c r="J433" i="31"/>
  <c r="J425" i="31"/>
  <c r="J427" i="31"/>
  <c r="J405" i="31"/>
  <c r="J390" i="31"/>
  <c r="J419" i="31"/>
  <c r="J379" i="31"/>
  <c r="J352" i="31"/>
  <c r="J385" i="31"/>
  <c r="J371" i="31"/>
  <c r="J337" i="31"/>
  <c r="J369" i="31"/>
  <c r="J296" i="31"/>
  <c r="J295" i="31"/>
  <c r="J294" i="31"/>
  <c r="J353" i="31"/>
  <c r="J282" i="31"/>
  <c r="J281" i="31"/>
  <c r="J248" i="31"/>
  <c r="J271" i="31"/>
  <c r="J238" i="31"/>
  <c r="J253" i="31"/>
  <c r="J249" i="31"/>
  <c r="J260" i="31"/>
  <c r="J232" i="31"/>
  <c r="J230" i="31"/>
  <c r="J241" i="31"/>
  <c r="J210" i="31"/>
  <c r="J175" i="31"/>
  <c r="J182" i="31"/>
  <c r="J21" i="31"/>
  <c r="J77" i="31"/>
  <c r="J62" i="31"/>
  <c r="J599" i="31"/>
  <c r="J587" i="31"/>
  <c r="J590" i="31"/>
  <c r="J573" i="31"/>
  <c r="J558" i="31"/>
  <c r="J552" i="31"/>
  <c r="J537" i="31"/>
  <c r="J527" i="31"/>
  <c r="J507" i="31"/>
  <c r="J504" i="31"/>
  <c r="J482" i="31"/>
  <c r="J495" i="31"/>
  <c r="J466" i="31"/>
  <c r="J456" i="31"/>
  <c r="J448" i="31"/>
  <c r="J438" i="31"/>
  <c r="J443" i="31"/>
  <c r="J401" i="31"/>
  <c r="J422" i="31"/>
  <c r="J404" i="31"/>
  <c r="J381" i="31"/>
  <c r="J403" i="31"/>
  <c r="J367" i="31"/>
  <c r="J348" i="31"/>
  <c r="J329" i="31"/>
  <c r="J336" i="31"/>
  <c r="J311" i="31"/>
  <c r="J351" i="31"/>
  <c r="J324" i="31"/>
  <c r="J306" i="31"/>
  <c r="J346" i="31"/>
  <c r="J278" i="31"/>
  <c r="J269" i="31"/>
  <c r="J239" i="31"/>
  <c r="J292" i="31"/>
  <c r="J215" i="31"/>
  <c r="J236" i="31"/>
  <c r="J217" i="31"/>
  <c r="J198" i="31"/>
  <c r="J189" i="31"/>
  <c r="J196" i="31"/>
  <c r="J195" i="31"/>
  <c r="J194" i="31"/>
  <c r="J193" i="31"/>
  <c r="J200" i="31"/>
  <c r="J123" i="31"/>
  <c r="J122" i="31"/>
  <c r="J129" i="31"/>
  <c r="J144" i="31"/>
  <c r="J80" i="31"/>
  <c r="J87" i="31"/>
  <c r="J86" i="31"/>
  <c r="J85" i="31"/>
  <c r="J39" i="31"/>
  <c r="J71" i="31"/>
  <c r="J24" i="31"/>
  <c r="J56" i="31"/>
  <c r="J37" i="31"/>
  <c r="J53" i="31"/>
  <c r="J611" i="31"/>
  <c r="J586" i="31"/>
  <c r="J570" i="31"/>
  <c r="J562" i="31"/>
  <c r="J565" i="31"/>
  <c r="J549" i="31"/>
  <c r="J555" i="31"/>
  <c r="J509" i="31"/>
  <c r="J514" i="31"/>
  <c r="J499" i="31"/>
  <c r="J497" i="31"/>
  <c r="J494" i="31"/>
  <c r="J477" i="31"/>
  <c r="J463" i="31"/>
  <c r="J534" i="31"/>
  <c r="J460" i="31"/>
  <c r="J434" i="31"/>
  <c r="J424" i="31"/>
  <c r="J406" i="31"/>
  <c r="J375" i="31"/>
  <c r="J400" i="31"/>
  <c r="J394" i="31"/>
  <c r="J366" i="31"/>
  <c r="J363" i="31"/>
  <c r="J313" i="31"/>
  <c r="J312" i="31"/>
  <c r="J287" i="31"/>
  <c r="J333" i="31"/>
  <c r="J300" i="31"/>
  <c r="J273" i="31"/>
  <c r="J314" i="31"/>
  <c r="J254" i="31"/>
  <c r="J245" i="31"/>
  <c r="J284" i="31"/>
  <c r="J244" i="31"/>
  <c r="J222" i="31"/>
  <c r="J220" i="31"/>
  <c r="J191" i="31"/>
  <c r="J174" i="31"/>
  <c r="J173" i="31"/>
  <c r="J180" i="31"/>
  <c r="J179" i="31"/>
  <c r="J178" i="31"/>
  <c r="J84" i="31"/>
  <c r="J69" i="31"/>
  <c r="J605" i="31"/>
  <c r="J596" i="31"/>
  <c r="J593" i="31"/>
  <c r="J577" i="31"/>
  <c r="J569" i="31"/>
  <c r="J557" i="31"/>
  <c r="J540" i="31"/>
  <c r="J528" i="31"/>
  <c r="J501" i="31"/>
  <c r="J506" i="31"/>
  <c r="J483" i="31"/>
  <c r="J489" i="31"/>
  <c r="J486" i="31"/>
  <c r="J465" i="31"/>
  <c r="J455" i="31"/>
  <c r="J469" i="31"/>
  <c r="J437" i="31"/>
  <c r="J426" i="31"/>
  <c r="J416" i="31"/>
  <c r="J428" i="31"/>
  <c r="J398" i="31"/>
  <c r="J399" i="31"/>
  <c r="J378" i="31"/>
  <c r="J358" i="31"/>
  <c r="J355" i="31"/>
  <c r="J297" i="31"/>
  <c r="J304" i="31"/>
  <c r="J342" i="31"/>
  <c r="J317" i="31"/>
  <c r="J288" i="31"/>
  <c r="J265" i="31"/>
  <c r="J293" i="31"/>
  <c r="J246" i="31"/>
  <c r="J330" i="31"/>
  <c r="J240" i="31"/>
  <c r="J242" i="31"/>
  <c r="J214" i="31"/>
  <c r="J234" i="31"/>
  <c r="J183" i="31"/>
  <c r="J166" i="31"/>
  <c r="J29" i="31"/>
  <c r="J14" i="31"/>
  <c r="J612" i="31"/>
  <c r="J603" i="31"/>
  <c r="J592" i="31"/>
  <c r="J576" i="31"/>
  <c r="J568" i="31"/>
  <c r="J561" i="31"/>
  <c r="J532" i="31"/>
  <c r="J563" i="31"/>
  <c r="J524" i="31"/>
  <c r="J521" i="31"/>
  <c r="J518" i="31"/>
  <c r="J511" i="31"/>
  <c r="J478" i="31"/>
  <c r="J457" i="31"/>
  <c r="J476" i="31"/>
  <c r="J450" i="31"/>
  <c r="J453" i="31"/>
  <c r="J418" i="31"/>
  <c r="J408" i="31"/>
  <c r="J421" i="31"/>
  <c r="J382" i="31"/>
  <c r="J46" i="31"/>
  <c r="J600" i="31"/>
  <c r="J582" i="31"/>
  <c r="J545" i="31"/>
  <c r="J535" i="31"/>
  <c r="J520" i="31"/>
  <c r="J503" i="31"/>
  <c r="J464" i="31"/>
  <c r="J452" i="31"/>
  <c r="J409" i="31"/>
  <c r="J412" i="31"/>
  <c r="J395" i="31"/>
  <c r="J365" i="31"/>
  <c r="J345" i="31"/>
  <c r="J343" i="31"/>
  <c r="J341" i="31"/>
  <c r="J258" i="31"/>
  <c r="J290" i="31"/>
  <c r="J277" i="31"/>
  <c r="J275" i="31"/>
  <c r="J207" i="31"/>
  <c r="J233" i="31"/>
  <c r="J158" i="31"/>
  <c r="J208" i="31"/>
  <c r="J187" i="31"/>
  <c r="J162" i="31"/>
  <c r="J153" i="31"/>
  <c r="J139" i="31"/>
  <c r="J130" i="31"/>
  <c r="J121" i="31"/>
  <c r="J128" i="31"/>
  <c r="J127" i="31"/>
  <c r="J118" i="31"/>
  <c r="J109" i="31"/>
  <c r="J100" i="31"/>
  <c r="J41" i="31"/>
  <c r="J73" i="31"/>
  <c r="B628" i="31"/>
  <c r="J584" i="31"/>
  <c r="J567" i="31"/>
  <c r="J531" i="31"/>
  <c r="J516" i="31"/>
  <c r="J502" i="31"/>
  <c r="J467" i="31"/>
  <c r="J470" i="31"/>
  <c r="J444" i="31"/>
  <c r="J415" i="31"/>
  <c r="J374" i="31"/>
  <c r="J402" i="31"/>
  <c r="J372" i="31"/>
  <c r="J289" i="31"/>
  <c r="J319" i="31"/>
  <c r="J301" i="31"/>
  <c r="J291" i="31"/>
  <c r="J263" i="31"/>
  <c r="J315" i="31"/>
  <c r="J243" i="31"/>
  <c r="J221" i="31"/>
  <c r="J199" i="31"/>
  <c r="J205" i="31"/>
  <c r="J188" i="31"/>
  <c r="J163" i="31"/>
  <c r="J146" i="31"/>
  <c r="J211" i="31"/>
  <c r="J115" i="31"/>
  <c r="J106" i="31"/>
  <c r="J105" i="31"/>
  <c r="J112" i="31"/>
  <c r="J111" i="31"/>
  <c r="J102" i="31"/>
  <c r="J93" i="31"/>
  <c r="J23" i="31"/>
  <c r="J47" i="31"/>
  <c r="J40" i="31"/>
  <c r="J64" i="31"/>
  <c r="J33" i="31"/>
  <c r="J65" i="31"/>
  <c r="J45" i="31"/>
  <c r="J30" i="31"/>
  <c r="J609" i="31"/>
  <c r="J606" i="31"/>
  <c r="J588" i="31"/>
  <c r="J556" i="31"/>
  <c r="J508" i="31"/>
  <c r="J498" i="31"/>
  <c r="J459" i="31"/>
  <c r="J462" i="31"/>
  <c r="J510" i="31"/>
  <c r="J407" i="31"/>
  <c r="J411" i="31"/>
  <c r="J368" i="31"/>
  <c r="J356" i="31"/>
  <c r="J384" i="31"/>
  <c r="J303" i="31"/>
  <c r="J340" i="31"/>
  <c r="J257" i="31"/>
  <c r="J255" i="31"/>
  <c r="J276" i="31"/>
  <c r="J268" i="31"/>
  <c r="J213" i="31"/>
  <c r="J167" i="31"/>
  <c r="J197" i="31"/>
  <c r="J172" i="31"/>
  <c r="J155" i="31"/>
  <c r="J201" i="31"/>
  <c r="J192" i="31"/>
  <c r="J107" i="31"/>
  <c r="J98" i="31"/>
  <c r="J97" i="31"/>
  <c r="J104" i="31"/>
  <c r="J103" i="31"/>
  <c r="J94" i="31"/>
  <c r="J140" i="31"/>
  <c r="J42" i="31"/>
  <c r="J74" i="31"/>
  <c r="E637" i="31"/>
  <c r="J607" i="31"/>
  <c r="J566" i="31"/>
  <c r="J546" i="31"/>
  <c r="J515" i="31"/>
  <c r="J490" i="31"/>
  <c r="J451" i="31"/>
  <c r="J484" i="31"/>
  <c r="J468" i="31"/>
  <c r="J461" i="31"/>
  <c r="J389" i="31"/>
  <c r="J360" i="31"/>
  <c r="J393" i="31"/>
  <c r="J349" i="31"/>
  <c r="J334" i="31"/>
  <c r="J332" i="31"/>
  <c r="J272" i="31"/>
  <c r="J262" i="31"/>
  <c r="J259" i="31"/>
  <c r="J224" i="31"/>
  <c r="J251" i="31"/>
  <c r="J159" i="31"/>
  <c r="J181" i="31"/>
  <c r="J164" i="31"/>
  <c r="J147" i="31"/>
  <c r="J185" i="31"/>
  <c r="J184" i="31"/>
  <c r="J99" i="31"/>
  <c r="J90" i="31"/>
  <c r="J89" i="31"/>
  <c r="J96" i="31"/>
  <c r="J95" i="31"/>
  <c r="J141" i="31"/>
  <c r="J132" i="31"/>
  <c r="J63" i="31"/>
  <c r="J25" i="31"/>
  <c r="J57" i="31"/>
  <c r="J598" i="31"/>
  <c r="J589" i="31"/>
  <c r="J571" i="31"/>
  <c r="J529" i="31"/>
  <c r="J533" i="31"/>
  <c r="J526" i="31"/>
  <c r="J458" i="31"/>
  <c r="J440" i="31"/>
  <c r="J442" i="31"/>
  <c r="J414" i="31"/>
  <c r="J373" i="31"/>
  <c r="J392" i="31"/>
  <c r="J370" i="31"/>
  <c r="J344" i="31"/>
  <c r="J318" i="31"/>
  <c r="J308" i="31"/>
  <c r="J264" i="31"/>
  <c r="J339" i="31"/>
  <c r="J252" i="31"/>
  <c r="J216" i="31"/>
  <c r="J228" i="31"/>
  <c r="J151" i="31"/>
  <c r="J165" i="31"/>
  <c r="J156" i="31"/>
  <c r="J202" i="31"/>
  <c r="J177" i="31"/>
  <c r="J176" i="31"/>
  <c r="J91" i="31"/>
  <c r="J82" i="31"/>
  <c r="J81" i="31"/>
  <c r="J88" i="31"/>
  <c r="J142" i="31"/>
  <c r="J133" i="31"/>
  <c r="J124" i="31"/>
  <c r="J583" i="31"/>
  <c r="J517" i="31"/>
  <c r="J472" i="31"/>
  <c r="J413" i="31"/>
  <c r="J357" i="31"/>
  <c r="J302" i="31"/>
  <c r="J322" i="31"/>
  <c r="J237" i="31"/>
  <c r="J149" i="31"/>
  <c r="J169" i="31"/>
  <c r="J114" i="31"/>
  <c r="J135" i="31"/>
  <c r="J116" i="31"/>
  <c r="J18" i="31"/>
  <c r="J59" i="31"/>
  <c r="J75" i="31"/>
  <c r="J161" i="31"/>
  <c r="J66" i="31"/>
  <c r="J27" i="31"/>
  <c r="J485" i="31"/>
  <c r="J223" i="31"/>
  <c r="J101" i="31"/>
  <c r="J31" i="31"/>
  <c r="J574" i="31"/>
  <c r="J505" i="31"/>
  <c r="J471" i="31"/>
  <c r="J420" i="31"/>
  <c r="J354" i="31"/>
  <c r="J309" i="31"/>
  <c r="J307" i="31"/>
  <c r="J226" i="31"/>
  <c r="J204" i="31"/>
  <c r="J148" i="31"/>
  <c r="J119" i="31"/>
  <c r="J108" i="31"/>
  <c r="J15" i="31"/>
  <c r="J43" i="31"/>
  <c r="J19" i="31"/>
  <c r="J543" i="31"/>
  <c r="J310" i="31"/>
  <c r="J138" i="31"/>
  <c r="J79" i="31"/>
  <c r="J580" i="31"/>
  <c r="J541" i="31"/>
  <c r="J439" i="31"/>
  <c r="J383" i="31"/>
  <c r="J361" i="31"/>
  <c r="J274" i="31"/>
  <c r="J261" i="31"/>
  <c r="J218" i="31"/>
  <c r="J209" i="31"/>
  <c r="J145" i="31"/>
  <c r="J137" i="31"/>
  <c r="J134" i="31"/>
  <c r="J92" i="31"/>
  <c r="J49" i="31"/>
  <c r="J235" i="31"/>
  <c r="J154" i="31"/>
  <c r="J554" i="31"/>
  <c r="J519" i="31"/>
  <c r="J431" i="31"/>
  <c r="J396" i="31"/>
  <c r="J321" i="31"/>
  <c r="J266" i="31"/>
  <c r="J298" i="31"/>
  <c r="J225" i="31"/>
  <c r="J203" i="31"/>
  <c r="J168" i="31"/>
  <c r="J113" i="31"/>
  <c r="J126" i="31"/>
  <c r="J48" i="31"/>
  <c r="J72" i="31"/>
  <c r="J26" i="31"/>
  <c r="J83" i="31"/>
  <c r="J157" i="31"/>
  <c r="J560" i="31"/>
  <c r="J496" i="31"/>
  <c r="J430" i="31"/>
  <c r="J380" i="31"/>
  <c r="J320" i="31"/>
  <c r="J323" i="31"/>
  <c r="J286" i="31"/>
  <c r="J206" i="31"/>
  <c r="J171" i="31"/>
  <c r="J160" i="31"/>
  <c r="J152" i="31"/>
  <c r="J110" i="31"/>
  <c r="J50" i="31"/>
  <c r="J67" i="31"/>
  <c r="J547" i="31"/>
  <c r="J487" i="31"/>
  <c r="J377" i="31"/>
  <c r="J247" i="31"/>
  <c r="J120" i="31"/>
  <c r="J17" i="31"/>
  <c r="J449" i="31"/>
  <c r="J279" i="31"/>
  <c r="J55" i="31"/>
  <c r="J58" i="31"/>
  <c r="J61" i="31"/>
  <c r="J595" i="31"/>
  <c r="J551" i="31"/>
  <c r="J488" i="31"/>
  <c r="J410" i="31"/>
  <c r="J387" i="31"/>
  <c r="J350" i="31"/>
  <c r="J256" i="31"/>
  <c r="J250" i="31"/>
  <c r="J190" i="31"/>
  <c r="J186" i="31"/>
  <c r="J131" i="31"/>
  <c r="J136" i="31"/>
  <c r="J125" i="31"/>
  <c r="J32" i="31"/>
  <c r="J34" i="31"/>
  <c r="J35" i="31"/>
  <c r="J51" i="31"/>
  <c r="J594" i="31"/>
  <c r="J441" i="31"/>
  <c r="J335" i="31"/>
  <c r="J331" i="31"/>
  <c r="J170" i="31"/>
  <c r="J117" i="31"/>
  <c r="J597" i="31"/>
  <c r="J376" i="31"/>
  <c r="J143" i="31"/>
  <c r="J626" i="31"/>
  <c r="B366" i="2"/>
  <c r="B368" i="2" s="1"/>
  <c r="B92" i="1" s="1"/>
  <c r="J623" i="31"/>
  <c r="F117" i="31"/>
  <c r="E117" i="31"/>
  <c r="F477" i="31"/>
  <c r="E477" i="31"/>
  <c r="F186" i="31"/>
  <c r="E186" i="31"/>
  <c r="E609" i="31"/>
  <c r="F609" i="31"/>
  <c r="E350" i="31"/>
  <c r="F350" i="31"/>
  <c r="F111" i="31"/>
  <c r="E111" i="31"/>
  <c r="F258" i="31"/>
  <c r="E258" i="31"/>
  <c r="F358" i="31"/>
  <c r="E358" i="31"/>
  <c r="F517" i="31"/>
  <c r="E517" i="31"/>
  <c r="F53" i="31"/>
  <c r="E53" i="31"/>
  <c r="E208" i="31"/>
  <c r="F208" i="31"/>
  <c r="E497" i="31"/>
  <c r="F497" i="31"/>
  <c r="E143" i="31"/>
  <c r="F143" i="31"/>
  <c r="E265" i="31"/>
  <c r="F265" i="31"/>
  <c r="F384" i="31"/>
  <c r="E384" i="31"/>
  <c r="F518" i="31"/>
  <c r="E518" i="31"/>
  <c r="F484" i="31"/>
  <c r="E484" i="31"/>
  <c r="F80" i="31"/>
  <c r="E80" i="31"/>
  <c r="F274" i="31"/>
  <c r="E274" i="31"/>
  <c r="F385" i="31"/>
  <c r="E385" i="31"/>
  <c r="F503" i="31"/>
  <c r="E503" i="31"/>
  <c r="E279" i="31"/>
  <c r="F279" i="31"/>
  <c r="E65" i="31"/>
  <c r="F65" i="31"/>
  <c r="E185" i="31"/>
  <c r="F185" i="31"/>
  <c r="E306" i="31"/>
  <c r="F306" i="31"/>
  <c r="E440" i="31"/>
  <c r="F440" i="31"/>
  <c r="F564" i="31"/>
  <c r="E564" i="31"/>
  <c r="F379" i="31"/>
  <c r="E379" i="31"/>
  <c r="F300" i="31"/>
  <c r="E300" i="31"/>
  <c r="F176" i="31"/>
  <c r="E176" i="31"/>
  <c r="F118" i="31"/>
  <c r="E118" i="31"/>
  <c r="F314" i="31"/>
  <c r="E314" i="31"/>
  <c r="F495" i="31"/>
  <c r="E495" i="31"/>
  <c r="F25" i="31"/>
  <c r="E25" i="31"/>
  <c r="F170" i="31"/>
  <c r="E170" i="31"/>
  <c r="E346" i="31"/>
  <c r="F346" i="31"/>
  <c r="E441" i="31"/>
  <c r="F441" i="31"/>
  <c r="E560" i="31"/>
  <c r="F560" i="31"/>
  <c r="F123" i="31"/>
  <c r="E123" i="31"/>
  <c r="F249" i="31"/>
  <c r="E249" i="31"/>
  <c r="F216" i="31"/>
  <c r="E216" i="31"/>
  <c r="F277" i="31"/>
  <c r="E277" i="31"/>
  <c r="F327" i="31"/>
  <c r="E327" i="31"/>
  <c r="F411" i="31"/>
  <c r="E411" i="31"/>
  <c r="E480" i="31"/>
  <c r="F480" i="31"/>
  <c r="F535" i="31"/>
  <c r="E535" i="31"/>
  <c r="E610" i="31"/>
  <c r="F610" i="31"/>
  <c r="F127" i="31"/>
  <c r="E127" i="31"/>
  <c r="F155" i="31"/>
  <c r="E155" i="31"/>
  <c r="F255" i="31"/>
  <c r="E255" i="31"/>
  <c r="F323" i="31"/>
  <c r="E323" i="31"/>
  <c r="F390" i="31"/>
  <c r="E390" i="31"/>
  <c r="F466" i="31"/>
  <c r="E466" i="31"/>
  <c r="F528" i="31"/>
  <c r="E528" i="31"/>
  <c r="F573" i="31"/>
  <c r="E573" i="31"/>
  <c r="F13" i="31"/>
  <c r="E13" i="31"/>
  <c r="E142" i="31"/>
  <c r="F142" i="31"/>
  <c r="E162" i="31"/>
  <c r="F162" i="31"/>
  <c r="F250" i="31"/>
  <c r="E250" i="31"/>
  <c r="F338" i="31"/>
  <c r="E338" i="31"/>
  <c r="E398" i="31"/>
  <c r="F398" i="31"/>
  <c r="F478" i="31"/>
  <c r="E478" i="31"/>
  <c r="E488" i="31"/>
  <c r="F488" i="31"/>
  <c r="E570" i="31"/>
  <c r="F570" i="31"/>
  <c r="F63" i="31"/>
  <c r="E63" i="31"/>
  <c r="F146" i="31"/>
  <c r="E146" i="31"/>
  <c r="F179" i="31"/>
  <c r="E179" i="31"/>
  <c r="F282" i="31"/>
  <c r="E282" i="31"/>
  <c r="F347" i="31"/>
  <c r="E347" i="31"/>
  <c r="F392" i="31"/>
  <c r="E392" i="31"/>
  <c r="F428" i="31"/>
  <c r="E428" i="31"/>
  <c r="F526" i="31"/>
  <c r="E526" i="31"/>
  <c r="F582" i="31"/>
  <c r="E582" i="31"/>
  <c r="F21" i="31"/>
  <c r="E21" i="31"/>
  <c r="E555" i="31"/>
  <c r="F555" i="31"/>
  <c r="F46" i="31"/>
  <c r="E46" i="31"/>
  <c r="F66" i="31"/>
  <c r="E66" i="31"/>
  <c r="F17" i="31"/>
  <c r="E17" i="31"/>
  <c r="L153" i="2"/>
  <c r="L152" i="2"/>
  <c r="B157" i="2" s="1"/>
  <c r="B318" i="2"/>
  <c r="B319" i="2" s="1"/>
  <c r="B324" i="2" s="1"/>
  <c r="B303" i="2"/>
  <c r="B294" i="2"/>
  <c r="K154" i="2"/>
  <c r="B159" i="2" s="1"/>
  <c r="B124" i="2"/>
  <c r="B129" i="2" s="1"/>
  <c r="E31" i="1" s="1"/>
  <c r="B112" i="2"/>
  <c r="B200" i="2"/>
  <c r="B201" i="2" s="1"/>
  <c r="E55" i="1" s="1"/>
  <c r="B206" i="2"/>
  <c r="E57" i="1" s="1"/>
  <c r="D35" i="1"/>
  <c r="E365" i="2"/>
  <c r="H142" i="2"/>
  <c r="E40" i="1"/>
  <c r="B315" i="2"/>
  <c r="B92" i="2"/>
  <c r="E35" i="1" s="1"/>
  <c r="D92" i="2"/>
  <c r="E38" i="1"/>
  <c r="E44" i="1"/>
  <c r="B180" i="2"/>
  <c r="L181" i="2" s="1"/>
  <c r="L182" i="2"/>
  <c r="K181" i="2"/>
  <c r="K176" i="2"/>
  <c r="K175" i="2"/>
  <c r="E71" i="1"/>
  <c r="H175" i="2"/>
  <c r="E48" i="1"/>
  <c r="B323" i="2" l="1"/>
  <c r="AO622" i="32"/>
  <c r="AN622" i="32"/>
  <c r="AR622" i="32"/>
  <c r="AQ622" i="32"/>
  <c r="AM628" i="32"/>
  <c r="E628" i="32"/>
  <c r="AP628" i="32"/>
  <c r="AJ628" i="32"/>
  <c r="K628" i="32"/>
  <c r="AL622" i="32"/>
  <c r="AK622" i="32"/>
  <c r="L226" i="31"/>
  <c r="K226" i="31"/>
  <c r="L264" i="31"/>
  <c r="K264" i="31"/>
  <c r="K407" i="31"/>
  <c r="L407" i="31"/>
  <c r="K258" i="31"/>
  <c r="L258" i="31"/>
  <c r="L129" i="31"/>
  <c r="K129" i="31"/>
  <c r="L143" i="31"/>
  <c r="K143" i="31"/>
  <c r="K594" i="31"/>
  <c r="L594" i="31"/>
  <c r="L186" i="31"/>
  <c r="K186" i="31"/>
  <c r="L551" i="31"/>
  <c r="K551" i="31"/>
  <c r="L120" i="31"/>
  <c r="K120" i="31"/>
  <c r="L152" i="31"/>
  <c r="K152" i="31"/>
  <c r="L430" i="31"/>
  <c r="K430" i="31"/>
  <c r="K126" i="31"/>
  <c r="L126" i="31"/>
  <c r="K396" i="31"/>
  <c r="L396" i="31"/>
  <c r="K134" i="31"/>
  <c r="L134" i="31"/>
  <c r="K383" i="31"/>
  <c r="L383" i="31"/>
  <c r="L19" i="31"/>
  <c r="K19" i="31"/>
  <c r="K307" i="31"/>
  <c r="L307" i="31"/>
  <c r="L101" i="31"/>
  <c r="K101" i="31"/>
  <c r="K18" i="31"/>
  <c r="L18" i="31"/>
  <c r="L302" i="31"/>
  <c r="K302" i="31"/>
  <c r="L142" i="31"/>
  <c r="K142" i="31"/>
  <c r="K156" i="31"/>
  <c r="L156" i="31"/>
  <c r="K308" i="31"/>
  <c r="L308" i="31"/>
  <c r="L440" i="31"/>
  <c r="K440" i="31"/>
  <c r="L57" i="31"/>
  <c r="K57" i="31"/>
  <c r="K90" i="31"/>
  <c r="L90" i="31"/>
  <c r="L251" i="31"/>
  <c r="K251" i="31"/>
  <c r="L393" i="31"/>
  <c r="K393" i="31"/>
  <c r="K515" i="31"/>
  <c r="L515" i="31"/>
  <c r="L94" i="31"/>
  <c r="K94" i="31"/>
  <c r="K155" i="31"/>
  <c r="L155" i="31"/>
  <c r="K257" i="31"/>
  <c r="L257" i="31"/>
  <c r="L510" i="31"/>
  <c r="K510" i="31"/>
  <c r="K609" i="31"/>
  <c r="L609" i="31"/>
  <c r="K23" i="31"/>
  <c r="L23" i="31"/>
  <c r="L211" i="31"/>
  <c r="K211" i="31"/>
  <c r="K315" i="31"/>
  <c r="L315" i="31"/>
  <c r="K374" i="31"/>
  <c r="L374" i="31"/>
  <c r="K567" i="31"/>
  <c r="L567" i="31"/>
  <c r="K127" i="31"/>
  <c r="L127" i="31"/>
  <c r="L208" i="31"/>
  <c r="K208" i="31"/>
  <c r="L341" i="31"/>
  <c r="K341" i="31"/>
  <c r="L464" i="31"/>
  <c r="K464" i="31"/>
  <c r="K382" i="31"/>
  <c r="L382" i="31"/>
  <c r="L478" i="31"/>
  <c r="K478" i="31"/>
  <c r="L568" i="31"/>
  <c r="K568" i="31"/>
  <c r="L183" i="31"/>
  <c r="K183" i="31"/>
  <c r="L265" i="31"/>
  <c r="K265" i="31"/>
  <c r="L378" i="31"/>
  <c r="K378" i="31"/>
  <c r="L455" i="31"/>
  <c r="K455" i="31"/>
  <c r="K540" i="31"/>
  <c r="L540" i="31"/>
  <c r="K84" i="31"/>
  <c r="L84" i="31"/>
  <c r="L222" i="31"/>
  <c r="K222" i="31"/>
  <c r="K333" i="31"/>
  <c r="L333" i="31"/>
  <c r="L375" i="31"/>
  <c r="K375" i="31"/>
  <c r="L494" i="31"/>
  <c r="K494" i="31"/>
  <c r="K562" i="31"/>
  <c r="L562" i="31"/>
  <c r="L71" i="31"/>
  <c r="K71" i="31"/>
  <c r="K122" i="31"/>
  <c r="L122" i="31"/>
  <c r="K198" i="31"/>
  <c r="L198" i="31"/>
  <c r="L346" i="31"/>
  <c r="K346" i="31"/>
  <c r="K367" i="31"/>
  <c r="L367" i="31"/>
  <c r="L448" i="31"/>
  <c r="K448" i="31"/>
  <c r="L537" i="31"/>
  <c r="K537" i="31"/>
  <c r="L77" i="31"/>
  <c r="K77" i="31"/>
  <c r="K260" i="31"/>
  <c r="L260" i="31"/>
  <c r="K353" i="31"/>
  <c r="L353" i="31"/>
  <c r="K352" i="31"/>
  <c r="L352" i="31"/>
  <c r="K436" i="31"/>
  <c r="L436" i="31"/>
  <c r="L500" i="31"/>
  <c r="K500" i="31"/>
  <c r="K559" i="31"/>
  <c r="L559" i="31"/>
  <c r="L28" i="31"/>
  <c r="K28" i="31"/>
  <c r="L229" i="31"/>
  <c r="K229" i="31"/>
  <c r="L280" i="31"/>
  <c r="K280" i="31"/>
  <c r="L362" i="31"/>
  <c r="K362" i="31"/>
  <c r="L423" i="31"/>
  <c r="K423" i="31"/>
  <c r="K530" i="31"/>
  <c r="L530" i="31"/>
  <c r="K539" i="31"/>
  <c r="L539" i="31"/>
  <c r="L610" i="31"/>
  <c r="K610" i="31"/>
  <c r="L13" i="31"/>
  <c r="K13" i="31"/>
  <c r="K626" i="31"/>
  <c r="L626" i="31"/>
  <c r="L380" i="31"/>
  <c r="K380" i="31"/>
  <c r="L59" i="31"/>
  <c r="K59" i="31"/>
  <c r="L89" i="31"/>
  <c r="K89" i="31"/>
  <c r="L140" i="31"/>
  <c r="K140" i="31"/>
  <c r="L243" i="31"/>
  <c r="K243" i="31"/>
  <c r="L46" i="31"/>
  <c r="K46" i="31"/>
  <c r="L358" i="31"/>
  <c r="K358" i="31"/>
  <c r="L300" i="31"/>
  <c r="K300" i="31"/>
  <c r="L189" i="31"/>
  <c r="K189" i="31"/>
  <c r="L232" i="31"/>
  <c r="K232" i="31"/>
  <c r="L564" i="31"/>
  <c r="K564" i="31"/>
  <c r="L429" i="31"/>
  <c r="K429" i="31"/>
  <c r="K376" i="31"/>
  <c r="L376" i="31"/>
  <c r="K51" i="31"/>
  <c r="L51" i="31"/>
  <c r="K190" i="31"/>
  <c r="L190" i="31"/>
  <c r="K595" i="31"/>
  <c r="L595" i="31"/>
  <c r="L247" i="31"/>
  <c r="K247" i="31"/>
  <c r="K160" i="31"/>
  <c r="L160" i="31"/>
  <c r="L496" i="31"/>
  <c r="K496" i="31"/>
  <c r="L113" i="31"/>
  <c r="K113" i="31"/>
  <c r="K431" i="31"/>
  <c r="L431" i="31"/>
  <c r="L137" i="31"/>
  <c r="K137" i="31"/>
  <c r="K439" i="31"/>
  <c r="L439" i="31"/>
  <c r="L43" i="31"/>
  <c r="K43" i="31"/>
  <c r="L309" i="31"/>
  <c r="K309" i="31"/>
  <c r="L223" i="31"/>
  <c r="K223" i="31"/>
  <c r="K116" i="31"/>
  <c r="L116" i="31"/>
  <c r="L357" i="31"/>
  <c r="K357" i="31"/>
  <c r="L88" i="31"/>
  <c r="K88" i="31"/>
  <c r="K165" i="31"/>
  <c r="L165" i="31"/>
  <c r="L318" i="31"/>
  <c r="K318" i="31"/>
  <c r="K458" i="31"/>
  <c r="L458" i="31"/>
  <c r="K25" i="31"/>
  <c r="L25" i="31"/>
  <c r="K99" i="31"/>
  <c r="L99" i="31"/>
  <c r="L224" i="31"/>
  <c r="K224" i="31"/>
  <c r="L360" i="31"/>
  <c r="K360" i="31"/>
  <c r="L546" i="31"/>
  <c r="K546" i="31"/>
  <c r="L103" i="31"/>
  <c r="K103" i="31"/>
  <c r="L172" i="31"/>
  <c r="K172" i="31"/>
  <c r="L340" i="31"/>
  <c r="K340" i="31"/>
  <c r="K462" i="31"/>
  <c r="L462" i="31"/>
  <c r="L30" i="31"/>
  <c r="K30" i="31"/>
  <c r="L93" i="31"/>
  <c r="K93" i="31"/>
  <c r="K146" i="31"/>
  <c r="L146" i="31"/>
  <c r="L263" i="31"/>
  <c r="K263" i="31"/>
  <c r="L415" i="31"/>
  <c r="K415" i="31"/>
  <c r="L584" i="31"/>
  <c r="K584" i="31"/>
  <c r="L128" i="31"/>
  <c r="K128" i="31"/>
  <c r="L158" i="31"/>
  <c r="K158" i="31"/>
  <c r="L343" i="31"/>
  <c r="K343" i="31"/>
  <c r="K503" i="31"/>
  <c r="L503" i="31"/>
  <c r="L421" i="31"/>
  <c r="K421" i="31"/>
  <c r="L511" i="31"/>
  <c r="K511" i="31"/>
  <c r="K576" i="31"/>
  <c r="L576" i="31"/>
  <c r="L234" i="31"/>
  <c r="K234" i="31"/>
  <c r="K288" i="31"/>
  <c r="L288" i="31"/>
  <c r="K399" i="31"/>
  <c r="L399" i="31"/>
  <c r="L465" i="31"/>
  <c r="K465" i="31"/>
  <c r="L557" i="31"/>
  <c r="K557" i="31"/>
  <c r="K178" i="31"/>
  <c r="L178" i="31"/>
  <c r="L244" i="31"/>
  <c r="K244" i="31"/>
  <c r="L287" i="31"/>
  <c r="K287" i="31"/>
  <c r="K406" i="31"/>
  <c r="L406" i="31"/>
  <c r="L497" i="31"/>
  <c r="K497" i="31"/>
  <c r="L570" i="31"/>
  <c r="K570" i="31"/>
  <c r="L39" i="31"/>
  <c r="K39" i="31"/>
  <c r="L123" i="31"/>
  <c r="K123" i="31"/>
  <c r="K217" i="31"/>
  <c r="L217" i="31"/>
  <c r="L306" i="31"/>
  <c r="K306" i="31"/>
  <c r="K403" i="31"/>
  <c r="L403" i="31"/>
  <c r="L456" i="31"/>
  <c r="K456" i="31"/>
  <c r="L552" i="31"/>
  <c r="K552" i="31"/>
  <c r="L21" i="31"/>
  <c r="K21" i="31"/>
  <c r="L249" i="31"/>
  <c r="K249" i="31"/>
  <c r="L294" i="31"/>
  <c r="K294" i="31"/>
  <c r="L379" i="31"/>
  <c r="K379" i="31"/>
  <c r="L446" i="31"/>
  <c r="K446" i="31"/>
  <c r="L512" i="31"/>
  <c r="K512" i="31"/>
  <c r="L581" i="31"/>
  <c r="K581" i="31"/>
  <c r="L44" i="31"/>
  <c r="K44" i="31"/>
  <c r="K231" i="31"/>
  <c r="L231" i="31"/>
  <c r="L338" i="31"/>
  <c r="K338" i="31"/>
  <c r="L364" i="31"/>
  <c r="K364" i="31"/>
  <c r="K417" i="31"/>
  <c r="L417" i="31"/>
  <c r="K480" i="31"/>
  <c r="L480" i="31"/>
  <c r="K553" i="31"/>
  <c r="L553" i="31"/>
  <c r="L70" i="31"/>
  <c r="K70" i="31"/>
  <c r="L613" i="31"/>
  <c r="K613" i="31"/>
  <c r="I622" i="31"/>
  <c r="H622" i="31"/>
  <c r="K441" i="31"/>
  <c r="L441" i="31"/>
  <c r="L48" i="31"/>
  <c r="K48" i="31"/>
  <c r="K31" i="31"/>
  <c r="L31" i="31"/>
  <c r="K598" i="31"/>
  <c r="L598" i="31"/>
  <c r="L201" i="31"/>
  <c r="K201" i="31"/>
  <c r="L402" i="31"/>
  <c r="K402" i="31"/>
  <c r="L457" i="31"/>
  <c r="K457" i="31"/>
  <c r="K528" i="31"/>
  <c r="L528" i="31"/>
  <c r="L565" i="31"/>
  <c r="K565" i="31"/>
  <c r="K62" i="31"/>
  <c r="L62" i="31"/>
  <c r="L481" i="31"/>
  <c r="K481" i="31"/>
  <c r="K305" i="31"/>
  <c r="L305" i="31"/>
  <c r="L52" i="31"/>
  <c r="K52" i="31"/>
  <c r="K597" i="31"/>
  <c r="L597" i="31"/>
  <c r="L35" i="31"/>
  <c r="K35" i="31"/>
  <c r="L250" i="31"/>
  <c r="K250" i="31"/>
  <c r="K61" i="31"/>
  <c r="L61" i="31"/>
  <c r="K377" i="31"/>
  <c r="L377" i="31"/>
  <c r="K171" i="31"/>
  <c r="L171" i="31"/>
  <c r="K560" i="31"/>
  <c r="L560" i="31"/>
  <c r="K168" i="31"/>
  <c r="L168" i="31"/>
  <c r="L519" i="31"/>
  <c r="K519" i="31"/>
  <c r="L145" i="31"/>
  <c r="K145" i="31"/>
  <c r="K541" i="31"/>
  <c r="L541" i="31"/>
  <c r="K15" i="31"/>
  <c r="L15" i="31"/>
  <c r="L354" i="31"/>
  <c r="K354" i="31"/>
  <c r="L485" i="31"/>
  <c r="K485" i="31"/>
  <c r="L135" i="31"/>
  <c r="K135" i="31"/>
  <c r="L413" i="31"/>
  <c r="K413" i="31"/>
  <c r="L81" i="31"/>
  <c r="K81" i="31"/>
  <c r="K151" i="31"/>
  <c r="L151" i="31"/>
  <c r="K344" i="31"/>
  <c r="L344" i="31"/>
  <c r="K526" i="31"/>
  <c r="L526" i="31"/>
  <c r="L63" i="31"/>
  <c r="K63" i="31"/>
  <c r="L184" i="31"/>
  <c r="K184" i="31"/>
  <c r="K259" i="31"/>
  <c r="L259" i="31"/>
  <c r="K389" i="31"/>
  <c r="L389" i="31"/>
  <c r="L566" i="31"/>
  <c r="K566" i="31"/>
  <c r="K104" i="31"/>
  <c r="L104" i="31"/>
  <c r="L197" i="31"/>
  <c r="K197" i="31"/>
  <c r="L303" i="31"/>
  <c r="K303" i="31"/>
  <c r="K459" i="31"/>
  <c r="L459" i="31"/>
  <c r="L45" i="31"/>
  <c r="K45" i="31"/>
  <c r="L102" i="31"/>
  <c r="K102" i="31"/>
  <c r="L163" i="31"/>
  <c r="K163" i="31"/>
  <c r="K291" i="31"/>
  <c r="L291" i="31"/>
  <c r="K444" i="31"/>
  <c r="L444" i="31"/>
  <c r="G628" i="31"/>
  <c r="D628" i="31"/>
  <c r="J628" i="31"/>
  <c r="L121" i="31"/>
  <c r="K121" i="31"/>
  <c r="K233" i="31"/>
  <c r="L233" i="31"/>
  <c r="L345" i="31"/>
  <c r="K345" i="31"/>
  <c r="L520" i="31"/>
  <c r="K520" i="31"/>
  <c r="K408" i="31"/>
  <c r="L408" i="31"/>
  <c r="L518" i="31"/>
  <c r="K518" i="31"/>
  <c r="L592" i="31"/>
  <c r="K592" i="31"/>
  <c r="K214" i="31"/>
  <c r="L214" i="31"/>
  <c r="L317" i="31"/>
  <c r="K317" i="31"/>
  <c r="K398" i="31"/>
  <c r="L398" i="31"/>
  <c r="K486" i="31"/>
  <c r="L486" i="31"/>
  <c r="K569" i="31"/>
  <c r="L569" i="31"/>
  <c r="L179" i="31"/>
  <c r="K179" i="31"/>
  <c r="K284" i="31"/>
  <c r="L284" i="31"/>
  <c r="K312" i="31"/>
  <c r="L312" i="31"/>
  <c r="L424" i="31"/>
  <c r="K424" i="31"/>
  <c r="K499" i="31"/>
  <c r="L499" i="31"/>
  <c r="L586" i="31"/>
  <c r="K586" i="31"/>
  <c r="K85" i="31"/>
  <c r="L85" i="31"/>
  <c r="K200" i="31"/>
  <c r="L200" i="31"/>
  <c r="L236" i="31"/>
  <c r="K236" i="31"/>
  <c r="L324" i="31"/>
  <c r="K324" i="31"/>
  <c r="L381" i="31"/>
  <c r="K381" i="31"/>
  <c r="K466" i="31"/>
  <c r="L466" i="31"/>
  <c r="K558" i="31"/>
  <c r="L558" i="31"/>
  <c r="L182" i="31"/>
  <c r="K182" i="31"/>
  <c r="K253" i="31"/>
  <c r="L253" i="31"/>
  <c r="L295" i="31"/>
  <c r="K295" i="31"/>
  <c r="L419" i="31"/>
  <c r="K419" i="31"/>
  <c r="K432" i="31"/>
  <c r="L432" i="31"/>
  <c r="K522" i="31"/>
  <c r="L522" i="31"/>
  <c r="L578" i="31"/>
  <c r="K578" i="31"/>
  <c r="L16" i="31"/>
  <c r="K16" i="31"/>
  <c r="K283" i="31"/>
  <c r="L283" i="31"/>
  <c r="K316" i="31"/>
  <c r="L316" i="31"/>
  <c r="L359" i="31"/>
  <c r="K359" i="31"/>
  <c r="K435" i="31"/>
  <c r="L435" i="31"/>
  <c r="K548" i="31"/>
  <c r="L548" i="31"/>
  <c r="K572" i="31"/>
  <c r="L572" i="31"/>
  <c r="K38" i="31"/>
  <c r="L38" i="31"/>
  <c r="K78" i="31"/>
  <c r="L78" i="31"/>
  <c r="L131" i="31"/>
  <c r="K131" i="31"/>
  <c r="L543" i="31"/>
  <c r="K543" i="31"/>
  <c r="K442" i="31"/>
  <c r="L442" i="31"/>
  <c r="K255" i="31"/>
  <c r="L255" i="31"/>
  <c r="L452" i="31"/>
  <c r="K452" i="31"/>
  <c r="L278" i="31"/>
  <c r="K278" i="31"/>
  <c r="L34" i="31"/>
  <c r="K34" i="31"/>
  <c r="K58" i="31"/>
  <c r="L58" i="31"/>
  <c r="L206" i="31"/>
  <c r="K206" i="31"/>
  <c r="K157" i="31"/>
  <c r="L157" i="31"/>
  <c r="L203" i="31"/>
  <c r="K203" i="31"/>
  <c r="L554" i="31"/>
  <c r="K554" i="31"/>
  <c r="L209" i="31"/>
  <c r="K209" i="31"/>
  <c r="L580" i="31"/>
  <c r="K580" i="31"/>
  <c r="K108" i="31"/>
  <c r="L108" i="31"/>
  <c r="L420" i="31"/>
  <c r="K420" i="31"/>
  <c r="L27" i="31"/>
  <c r="K27" i="31"/>
  <c r="K114" i="31"/>
  <c r="L114" i="31"/>
  <c r="L472" i="31"/>
  <c r="K472" i="31"/>
  <c r="K82" i="31"/>
  <c r="L82" i="31"/>
  <c r="L228" i="31"/>
  <c r="K228" i="31"/>
  <c r="K370" i="31"/>
  <c r="L370" i="31"/>
  <c r="L533" i="31"/>
  <c r="K533" i="31"/>
  <c r="L132" i="31"/>
  <c r="K132" i="31"/>
  <c r="L185" i="31"/>
  <c r="K185" i="31"/>
  <c r="K262" i="31"/>
  <c r="L262" i="31"/>
  <c r="L461" i="31"/>
  <c r="K461" i="31"/>
  <c r="K607" i="31"/>
  <c r="L607" i="31"/>
  <c r="K97" i="31"/>
  <c r="L97" i="31"/>
  <c r="L167" i="31"/>
  <c r="K167" i="31"/>
  <c r="L384" i="31"/>
  <c r="K384" i="31"/>
  <c r="K498" i="31"/>
  <c r="L498" i="31"/>
  <c r="K65" i="31"/>
  <c r="L65" i="31"/>
  <c r="K111" i="31"/>
  <c r="L111" i="31"/>
  <c r="L188" i="31"/>
  <c r="K188" i="31"/>
  <c r="K301" i="31"/>
  <c r="L301" i="31"/>
  <c r="L470" i="31"/>
  <c r="K470" i="31"/>
  <c r="L73" i="31"/>
  <c r="K73" i="31"/>
  <c r="K130" i="31"/>
  <c r="L130" i="31"/>
  <c r="L207" i="31"/>
  <c r="K207" i="31"/>
  <c r="L365" i="31"/>
  <c r="K365" i="31"/>
  <c r="L535" i="31"/>
  <c r="K535" i="31"/>
  <c r="L418" i="31"/>
  <c r="K418" i="31"/>
  <c r="K521" i="31"/>
  <c r="L521" i="31"/>
  <c r="L603" i="31"/>
  <c r="K603" i="31"/>
  <c r="L242" i="31"/>
  <c r="K242" i="31"/>
  <c r="K342" i="31"/>
  <c r="L342" i="31"/>
  <c r="L428" i="31"/>
  <c r="K428" i="31"/>
  <c r="L489" i="31"/>
  <c r="K489" i="31"/>
  <c r="L577" i="31"/>
  <c r="K577" i="31"/>
  <c r="L180" i="31"/>
  <c r="K180" i="31"/>
  <c r="K245" i="31"/>
  <c r="L245" i="31"/>
  <c r="K313" i="31"/>
  <c r="L313" i="31"/>
  <c r="L434" i="31"/>
  <c r="K434" i="31"/>
  <c r="L514" i="31"/>
  <c r="K514" i="31"/>
  <c r="L611" i="31"/>
  <c r="K611" i="31"/>
  <c r="L86" i="31"/>
  <c r="K86" i="31"/>
  <c r="L193" i="31"/>
  <c r="K193" i="31"/>
  <c r="K215" i="31"/>
  <c r="L215" i="31"/>
  <c r="K351" i="31"/>
  <c r="L351" i="31"/>
  <c r="K404" i="31"/>
  <c r="L404" i="31"/>
  <c r="L495" i="31"/>
  <c r="K495" i="31"/>
  <c r="L573" i="31"/>
  <c r="K573" i="31"/>
  <c r="L175" i="31"/>
  <c r="K175" i="31"/>
  <c r="K238" i="31"/>
  <c r="L238" i="31"/>
  <c r="K296" i="31"/>
  <c r="L296" i="31"/>
  <c r="K390" i="31"/>
  <c r="L390" i="31"/>
  <c r="L493" i="31"/>
  <c r="K493" i="31"/>
  <c r="L542" i="31"/>
  <c r="K542" i="31"/>
  <c r="L585" i="31"/>
  <c r="K585" i="31"/>
  <c r="K36" i="31"/>
  <c r="L36" i="31"/>
  <c r="K267" i="31"/>
  <c r="L267" i="31"/>
  <c r="K325" i="31"/>
  <c r="L325" i="31"/>
  <c r="K386" i="31"/>
  <c r="L386" i="31"/>
  <c r="K445" i="31"/>
  <c r="L445" i="31"/>
  <c r="K491" i="31"/>
  <c r="L491" i="31"/>
  <c r="K579" i="31"/>
  <c r="L579" i="31"/>
  <c r="L76" i="31"/>
  <c r="K76" i="31"/>
  <c r="F622" i="31"/>
  <c r="E622" i="31"/>
  <c r="L110" i="31"/>
  <c r="K110" i="31"/>
  <c r="L361" i="31"/>
  <c r="K361" i="31"/>
  <c r="L202" i="31"/>
  <c r="K202" i="31"/>
  <c r="K490" i="31"/>
  <c r="L490" i="31"/>
  <c r="L115" i="31"/>
  <c r="K115" i="31"/>
  <c r="L187" i="31"/>
  <c r="K187" i="31"/>
  <c r="L293" i="31"/>
  <c r="K293" i="31"/>
  <c r="K220" i="31"/>
  <c r="L220" i="31"/>
  <c r="L24" i="31"/>
  <c r="K24" i="31"/>
  <c r="L438" i="31"/>
  <c r="K438" i="31"/>
  <c r="L433" i="31"/>
  <c r="K433" i="31"/>
  <c r="K299" i="31"/>
  <c r="L299" i="31"/>
  <c r="K536" i="31"/>
  <c r="L536" i="31"/>
  <c r="K117" i="31"/>
  <c r="L117" i="31"/>
  <c r="K256" i="31"/>
  <c r="L256" i="31"/>
  <c r="L487" i="31"/>
  <c r="K487" i="31"/>
  <c r="H6" i="32"/>
  <c r="F6" i="31"/>
  <c r="K170" i="31"/>
  <c r="L170" i="31"/>
  <c r="L32" i="31"/>
  <c r="K32" i="31"/>
  <c r="L350" i="31"/>
  <c r="K350" i="31"/>
  <c r="L55" i="31"/>
  <c r="K55" i="31"/>
  <c r="L547" i="31"/>
  <c r="K547" i="31"/>
  <c r="K286" i="31"/>
  <c r="L286" i="31"/>
  <c r="K83" i="31"/>
  <c r="L83" i="31"/>
  <c r="K225" i="31"/>
  <c r="L225" i="31"/>
  <c r="L154" i="31"/>
  <c r="K154" i="31"/>
  <c r="K218" i="31"/>
  <c r="L218" i="31"/>
  <c r="L79" i="31"/>
  <c r="K79" i="31"/>
  <c r="L119" i="31"/>
  <c r="K119" i="31"/>
  <c r="K471" i="31"/>
  <c r="L471" i="31"/>
  <c r="K66" i="31"/>
  <c r="L66" i="31"/>
  <c r="K169" i="31"/>
  <c r="L169" i="31"/>
  <c r="K517" i="31"/>
  <c r="L517" i="31"/>
  <c r="L91" i="31"/>
  <c r="K91" i="31"/>
  <c r="L216" i="31"/>
  <c r="K216" i="31"/>
  <c r="L392" i="31"/>
  <c r="K392" i="31"/>
  <c r="L529" i="31"/>
  <c r="K529" i="31"/>
  <c r="L141" i="31"/>
  <c r="K141" i="31"/>
  <c r="L147" i="31"/>
  <c r="K147" i="31"/>
  <c r="L272" i="31"/>
  <c r="K272" i="31"/>
  <c r="L468" i="31"/>
  <c r="K468" i="31"/>
  <c r="L98" i="31"/>
  <c r="K98" i="31"/>
  <c r="L213" i="31"/>
  <c r="K213" i="31"/>
  <c r="K356" i="31"/>
  <c r="L356" i="31"/>
  <c r="L508" i="31"/>
  <c r="K508" i="31"/>
  <c r="L33" i="31"/>
  <c r="K33" i="31"/>
  <c r="K112" i="31"/>
  <c r="L112" i="31"/>
  <c r="L205" i="31"/>
  <c r="K205" i="31"/>
  <c r="K319" i="31"/>
  <c r="L319" i="31"/>
  <c r="L467" i="31"/>
  <c r="K467" i="31"/>
  <c r="L41" i="31"/>
  <c r="K41" i="31"/>
  <c r="L139" i="31"/>
  <c r="K139" i="31"/>
  <c r="L275" i="31"/>
  <c r="K275" i="31"/>
  <c r="K395" i="31"/>
  <c r="L395" i="31"/>
  <c r="K545" i="31"/>
  <c r="L545" i="31"/>
  <c r="K453" i="31"/>
  <c r="L453" i="31"/>
  <c r="K524" i="31"/>
  <c r="L524" i="31"/>
  <c r="K612" i="31"/>
  <c r="L612" i="31"/>
  <c r="K240" i="31"/>
  <c r="L240" i="31"/>
  <c r="K304" i="31"/>
  <c r="L304" i="31"/>
  <c r="K416" i="31"/>
  <c r="L416" i="31"/>
  <c r="L483" i="31"/>
  <c r="K483" i="31"/>
  <c r="L593" i="31"/>
  <c r="K593" i="31"/>
  <c r="L173" i="31"/>
  <c r="K173" i="31"/>
  <c r="L254" i="31"/>
  <c r="K254" i="31"/>
  <c r="L363" i="31"/>
  <c r="K363" i="31"/>
  <c r="K460" i="31"/>
  <c r="L460" i="31"/>
  <c r="L509" i="31"/>
  <c r="K509" i="31"/>
  <c r="K53" i="31"/>
  <c r="L53" i="31"/>
  <c r="L87" i="31"/>
  <c r="K87" i="31"/>
  <c r="L194" i="31"/>
  <c r="K194" i="31"/>
  <c r="L292" i="31"/>
  <c r="K292" i="31"/>
  <c r="L311" i="31"/>
  <c r="K311" i="31"/>
  <c r="L422" i="31"/>
  <c r="K422" i="31"/>
  <c r="K482" i="31"/>
  <c r="L482" i="31"/>
  <c r="L590" i="31"/>
  <c r="K590" i="31"/>
  <c r="K210" i="31"/>
  <c r="L210" i="31"/>
  <c r="K271" i="31"/>
  <c r="L271" i="31"/>
  <c r="K369" i="31"/>
  <c r="L369" i="31"/>
  <c r="K405" i="31"/>
  <c r="L405" i="31"/>
  <c r="K474" i="31"/>
  <c r="L474" i="31"/>
  <c r="K544" i="31"/>
  <c r="L544" i="31"/>
  <c r="L602" i="31"/>
  <c r="K602" i="31"/>
  <c r="K150" i="31"/>
  <c r="L150" i="31"/>
  <c r="L347" i="31"/>
  <c r="K347" i="31"/>
  <c r="L326" i="31"/>
  <c r="K326" i="31"/>
  <c r="L388" i="31"/>
  <c r="K388" i="31"/>
  <c r="K447" i="31"/>
  <c r="L447" i="31"/>
  <c r="L513" i="31"/>
  <c r="K513" i="31"/>
  <c r="L575" i="31"/>
  <c r="K575" i="31"/>
  <c r="K20" i="31"/>
  <c r="L20" i="31"/>
  <c r="K488" i="31"/>
  <c r="L488" i="31"/>
  <c r="L321" i="31"/>
  <c r="K321" i="31"/>
  <c r="L322" i="31"/>
  <c r="K322" i="31"/>
  <c r="L159" i="31"/>
  <c r="K159" i="31"/>
  <c r="K606" i="31"/>
  <c r="L606" i="31"/>
  <c r="L531" i="31"/>
  <c r="K531" i="31"/>
  <c r="K561" i="31"/>
  <c r="L561" i="31"/>
  <c r="K469" i="31"/>
  <c r="L469" i="31"/>
  <c r="K400" i="31"/>
  <c r="L400" i="31"/>
  <c r="L348" i="31"/>
  <c r="K348" i="31"/>
  <c r="L282" i="31"/>
  <c r="K282" i="31"/>
  <c r="L22" i="31"/>
  <c r="K22" i="31"/>
  <c r="K473" i="31"/>
  <c r="L473" i="31"/>
  <c r="L331" i="31"/>
  <c r="K331" i="31"/>
  <c r="K125" i="31"/>
  <c r="L125" i="31"/>
  <c r="L387" i="31"/>
  <c r="K387" i="31"/>
  <c r="L279" i="31"/>
  <c r="K279" i="31"/>
  <c r="L67" i="31"/>
  <c r="K67" i="31"/>
  <c r="K323" i="31"/>
  <c r="L323" i="31"/>
  <c r="K26" i="31"/>
  <c r="L26" i="31"/>
  <c r="L298" i="31"/>
  <c r="K298" i="31"/>
  <c r="L235" i="31"/>
  <c r="K235" i="31"/>
  <c r="L261" i="31"/>
  <c r="K261" i="31"/>
  <c r="K138" i="31"/>
  <c r="L138" i="31"/>
  <c r="L148" i="31"/>
  <c r="K148" i="31"/>
  <c r="L505" i="31"/>
  <c r="K505" i="31"/>
  <c r="K161" i="31"/>
  <c r="L161" i="31"/>
  <c r="L149" i="31"/>
  <c r="K149" i="31"/>
  <c r="L583" i="31"/>
  <c r="K583" i="31"/>
  <c r="L176" i="31"/>
  <c r="K176" i="31"/>
  <c r="L252" i="31"/>
  <c r="K252" i="31"/>
  <c r="L373" i="31"/>
  <c r="K373" i="31"/>
  <c r="K571" i="31"/>
  <c r="L571" i="31"/>
  <c r="L95" i="31"/>
  <c r="K95" i="31"/>
  <c r="K164" i="31"/>
  <c r="L164" i="31"/>
  <c r="L332" i="31"/>
  <c r="K332" i="31"/>
  <c r="K484" i="31"/>
  <c r="L484" i="31"/>
  <c r="L74" i="31"/>
  <c r="K74" i="31"/>
  <c r="L107" i="31"/>
  <c r="K107" i="31"/>
  <c r="K268" i="31"/>
  <c r="L268" i="31"/>
  <c r="L368" i="31"/>
  <c r="K368" i="31"/>
  <c r="L556" i="31"/>
  <c r="K556" i="31"/>
  <c r="L64" i="31"/>
  <c r="K64" i="31"/>
  <c r="K105" i="31"/>
  <c r="L105" i="31"/>
  <c r="K199" i="31"/>
  <c r="L199" i="31"/>
  <c r="K289" i="31"/>
  <c r="L289" i="31"/>
  <c r="K502" i="31"/>
  <c r="L502" i="31"/>
  <c r="L100" i="31"/>
  <c r="K100" i="31"/>
  <c r="L153" i="31"/>
  <c r="K153" i="31"/>
  <c r="K277" i="31"/>
  <c r="L277" i="31"/>
  <c r="L412" i="31"/>
  <c r="K412" i="31"/>
  <c r="L582" i="31"/>
  <c r="K582" i="31"/>
  <c r="L450" i="31"/>
  <c r="K450" i="31"/>
  <c r="L563" i="31"/>
  <c r="K563" i="31"/>
  <c r="K14" i="31"/>
  <c r="L14" i="31"/>
  <c r="K330" i="31"/>
  <c r="L330" i="31"/>
  <c r="L297" i="31"/>
  <c r="K297" i="31"/>
  <c r="L426" i="31"/>
  <c r="K426" i="31"/>
  <c r="K506" i="31"/>
  <c r="L506" i="31"/>
  <c r="K596" i="31"/>
  <c r="L596" i="31"/>
  <c r="K174" i="31"/>
  <c r="L174" i="31"/>
  <c r="K314" i="31"/>
  <c r="L314" i="31"/>
  <c r="L366" i="31"/>
  <c r="K366" i="31"/>
  <c r="L534" i="31"/>
  <c r="K534" i="31"/>
  <c r="K555" i="31"/>
  <c r="L555" i="31"/>
  <c r="L37" i="31"/>
  <c r="K37" i="31"/>
  <c r="L80" i="31"/>
  <c r="K80" i="31"/>
  <c r="L195" i="31"/>
  <c r="K195" i="31"/>
  <c r="K239" i="31"/>
  <c r="L239" i="31"/>
  <c r="K336" i="31"/>
  <c r="L336" i="31"/>
  <c r="L401" i="31"/>
  <c r="K401" i="31"/>
  <c r="L504" i="31"/>
  <c r="K504" i="31"/>
  <c r="L587" i="31"/>
  <c r="K587" i="31"/>
  <c r="L241" i="31"/>
  <c r="K241" i="31"/>
  <c r="L248" i="31"/>
  <c r="K248" i="31"/>
  <c r="L337" i="31"/>
  <c r="K337" i="31"/>
  <c r="L427" i="31"/>
  <c r="K427" i="31"/>
  <c r="L492" i="31"/>
  <c r="K492" i="31"/>
  <c r="L538" i="31"/>
  <c r="K538" i="31"/>
  <c r="L608" i="31"/>
  <c r="K608" i="31"/>
  <c r="L227" i="31"/>
  <c r="K227" i="31"/>
  <c r="L285" i="31"/>
  <c r="K285" i="31"/>
  <c r="L327" i="31"/>
  <c r="K327" i="31"/>
  <c r="L397" i="31"/>
  <c r="K397" i="31"/>
  <c r="L454" i="31"/>
  <c r="K454" i="31"/>
  <c r="L523" i="31"/>
  <c r="K523" i="31"/>
  <c r="L591" i="31"/>
  <c r="K591" i="31"/>
  <c r="K60" i="31"/>
  <c r="L60" i="31"/>
  <c r="K622" i="31"/>
  <c r="L622" i="31"/>
  <c r="L17" i="31"/>
  <c r="K17" i="31"/>
  <c r="L92" i="31"/>
  <c r="K92" i="31"/>
  <c r="L133" i="31"/>
  <c r="K133" i="31"/>
  <c r="K349" i="31"/>
  <c r="L349" i="31"/>
  <c r="L47" i="31"/>
  <c r="K47" i="31"/>
  <c r="L118" i="31"/>
  <c r="K118" i="31"/>
  <c r="L166" i="31"/>
  <c r="K166" i="31"/>
  <c r="L69" i="31"/>
  <c r="K69" i="31"/>
  <c r="K477" i="31"/>
  <c r="L477" i="31"/>
  <c r="L527" i="31"/>
  <c r="K527" i="31"/>
  <c r="L385" i="31"/>
  <c r="K385" i="31"/>
  <c r="L212" i="31"/>
  <c r="K212" i="31"/>
  <c r="K604" i="31"/>
  <c r="L604" i="31"/>
  <c r="B325" i="2"/>
  <c r="F7" i="31"/>
  <c r="H7" i="32"/>
  <c r="K623" i="31"/>
  <c r="L623" i="31"/>
  <c r="K335" i="31"/>
  <c r="L335" i="31"/>
  <c r="L136" i="31"/>
  <c r="K136" i="31"/>
  <c r="L410" i="31"/>
  <c r="K410" i="31"/>
  <c r="L449" i="31"/>
  <c r="K449" i="31"/>
  <c r="L50" i="31"/>
  <c r="K50" i="31"/>
  <c r="L320" i="31"/>
  <c r="K320" i="31"/>
  <c r="K72" i="31"/>
  <c r="L72" i="31"/>
  <c r="L266" i="31"/>
  <c r="K266" i="31"/>
  <c r="K49" i="31"/>
  <c r="L49" i="31"/>
  <c r="L274" i="31"/>
  <c r="K274" i="31"/>
  <c r="L310" i="31"/>
  <c r="K310" i="31"/>
  <c r="L204" i="31"/>
  <c r="K204" i="31"/>
  <c r="L574" i="31"/>
  <c r="K574" i="31"/>
  <c r="L75" i="31"/>
  <c r="K75" i="31"/>
  <c r="K237" i="31"/>
  <c r="L237" i="31"/>
  <c r="L124" i="31"/>
  <c r="K124" i="31"/>
  <c r="L177" i="31"/>
  <c r="K177" i="31"/>
  <c r="L339" i="31"/>
  <c r="K339" i="31"/>
  <c r="L414" i="31"/>
  <c r="K414" i="31"/>
  <c r="L589" i="31"/>
  <c r="K589" i="31"/>
  <c r="L96" i="31"/>
  <c r="K96" i="31"/>
  <c r="L181" i="31"/>
  <c r="K181" i="31"/>
  <c r="K334" i="31"/>
  <c r="L334" i="31"/>
  <c r="K451" i="31"/>
  <c r="L451" i="31"/>
  <c r="K42" i="31"/>
  <c r="L42" i="31"/>
  <c r="L192" i="31"/>
  <c r="K192" i="31"/>
  <c r="L276" i="31"/>
  <c r="K276" i="31"/>
  <c r="K411" i="31"/>
  <c r="L411" i="31"/>
  <c r="L588" i="31"/>
  <c r="K588" i="31"/>
  <c r="L40" i="31"/>
  <c r="K40" i="31"/>
  <c r="L106" i="31"/>
  <c r="K106" i="31"/>
  <c r="L221" i="31"/>
  <c r="K221" i="31"/>
  <c r="K372" i="31"/>
  <c r="L372" i="31"/>
  <c r="K516" i="31"/>
  <c r="L516" i="31"/>
  <c r="L109" i="31"/>
  <c r="K109" i="31"/>
  <c r="L162" i="31"/>
  <c r="K162" i="31"/>
  <c r="L290" i="31"/>
  <c r="K290" i="31"/>
  <c r="L409" i="31"/>
  <c r="K409" i="31"/>
  <c r="L600" i="31"/>
  <c r="K600" i="31"/>
  <c r="L476" i="31"/>
  <c r="K476" i="31"/>
  <c r="K532" i="31"/>
  <c r="L532" i="31"/>
  <c r="L29" i="31"/>
  <c r="K29" i="31"/>
  <c r="L246" i="31"/>
  <c r="K246" i="31"/>
  <c r="K355" i="31"/>
  <c r="L355" i="31"/>
  <c r="L437" i="31"/>
  <c r="K437" i="31"/>
  <c r="L501" i="31"/>
  <c r="K501" i="31"/>
  <c r="L605" i="31"/>
  <c r="K605" i="31"/>
  <c r="L191" i="31"/>
  <c r="K191" i="31"/>
  <c r="K273" i="31"/>
  <c r="L273" i="31"/>
  <c r="K394" i="31"/>
  <c r="L394" i="31"/>
  <c r="L463" i="31"/>
  <c r="K463" i="31"/>
  <c r="L549" i="31"/>
  <c r="K549" i="31"/>
  <c r="L56" i="31"/>
  <c r="K56" i="31"/>
  <c r="K144" i="31"/>
  <c r="L144" i="31"/>
  <c r="K196" i="31"/>
  <c r="L196" i="31"/>
  <c r="L269" i="31"/>
  <c r="K269" i="31"/>
  <c r="L329" i="31"/>
  <c r="K329" i="31"/>
  <c r="L443" i="31"/>
  <c r="K443" i="31"/>
  <c r="L507" i="31"/>
  <c r="K507" i="31"/>
  <c r="L599" i="31"/>
  <c r="K599" i="31"/>
  <c r="L230" i="31"/>
  <c r="K230" i="31"/>
  <c r="K281" i="31"/>
  <c r="L281" i="31"/>
  <c r="L371" i="31"/>
  <c r="K371" i="31"/>
  <c r="K425" i="31"/>
  <c r="L425" i="31"/>
  <c r="L479" i="31"/>
  <c r="K479" i="31"/>
  <c r="L550" i="31"/>
  <c r="K550" i="31"/>
  <c r="L54" i="31"/>
  <c r="K54" i="31"/>
  <c r="K219" i="31"/>
  <c r="L219" i="31"/>
  <c r="K270" i="31"/>
  <c r="L270" i="31"/>
  <c r="L328" i="31"/>
  <c r="K328" i="31"/>
  <c r="K391" i="31"/>
  <c r="L391" i="31"/>
  <c r="K475" i="31"/>
  <c r="L475" i="31"/>
  <c r="K525" i="31"/>
  <c r="L525" i="31"/>
  <c r="L601" i="31"/>
  <c r="K601" i="31"/>
  <c r="L68" i="31"/>
  <c r="K68" i="31"/>
  <c r="K351" i="2"/>
  <c r="B340" i="2"/>
  <c r="B342" i="2" s="1"/>
  <c r="K203" i="2"/>
  <c r="E34" i="1"/>
  <c r="B113" i="2"/>
  <c r="B367" i="2"/>
  <c r="Q13" i="8"/>
  <c r="E46" i="1"/>
  <c r="AN628" i="32" l="1"/>
  <c r="AO628" i="32"/>
  <c r="AL628" i="32"/>
  <c r="AK628" i="32"/>
  <c r="AR628" i="32"/>
  <c r="AQ628" i="32"/>
  <c r="C626" i="31"/>
  <c r="C622" i="31"/>
  <c r="C611" i="31"/>
  <c r="C607" i="31"/>
  <c r="C603" i="31"/>
  <c r="C599" i="31"/>
  <c r="C595" i="31"/>
  <c r="C591" i="31"/>
  <c r="C587" i="31"/>
  <c r="C583" i="31"/>
  <c r="C579" i="31"/>
  <c r="C575" i="31"/>
  <c r="C571" i="31"/>
  <c r="C567" i="31"/>
  <c r="C563" i="31"/>
  <c r="C559" i="31"/>
  <c r="C555" i="31"/>
  <c r="C551" i="31"/>
  <c r="C547" i="31"/>
  <c r="C543" i="31"/>
  <c r="C539" i="31"/>
  <c r="C535" i="31"/>
  <c r="C531" i="31"/>
  <c r="C527" i="31"/>
  <c r="C523" i="31"/>
  <c r="C519" i="31"/>
  <c r="C515" i="31"/>
  <c r="C511" i="31"/>
  <c r="C507" i="31"/>
  <c r="C503" i="31"/>
  <c r="C499" i="31"/>
  <c r="C495" i="31"/>
  <c r="C491" i="31"/>
  <c r="C487" i="31"/>
  <c r="C483" i="31"/>
  <c r="C479" i="31"/>
  <c r="C475" i="31"/>
  <c r="C471" i="31"/>
  <c r="C467" i="31"/>
  <c r="C463" i="31"/>
  <c r="C459" i="31"/>
  <c r="C455" i="31"/>
  <c r="C451" i="31"/>
  <c r="C447" i="31"/>
  <c r="C443" i="31"/>
  <c r="C439" i="31"/>
  <c r="C435" i="31"/>
  <c r="C431" i="31"/>
  <c r="C427" i="31"/>
  <c r="C423" i="31"/>
  <c r="C419" i="31"/>
  <c r="C415" i="31"/>
  <c r="C411" i="31"/>
  <c r="C407" i="31"/>
  <c r="C403" i="31"/>
  <c r="C399" i="31"/>
  <c r="C395" i="31"/>
  <c r="C391" i="31"/>
  <c r="C387" i="31"/>
  <c r="C383" i="31"/>
  <c r="C379" i="31"/>
  <c r="C375" i="31"/>
  <c r="C371" i="31"/>
  <c r="C367" i="31"/>
  <c r="C363" i="31"/>
  <c r="C359" i="31"/>
  <c r="C355" i="31"/>
  <c r="C351" i="31"/>
  <c r="C347" i="31"/>
  <c r="C343" i="31"/>
  <c r="C339" i="31"/>
  <c r="C335" i="31"/>
  <c r="C331" i="31"/>
  <c r="C327" i="31"/>
  <c r="C323" i="31"/>
  <c r="C319" i="31"/>
  <c r="C315" i="31"/>
  <c r="C311" i="31"/>
  <c r="C307" i="31"/>
  <c r="C303" i="31"/>
  <c r="C299" i="31"/>
  <c r="C295" i="31"/>
  <c r="C291" i="31"/>
  <c r="C287" i="31"/>
  <c r="C283" i="31"/>
  <c r="C279" i="31"/>
  <c r="C275" i="31"/>
  <c r="C271" i="31"/>
  <c r="C267" i="31"/>
  <c r="C263" i="31"/>
  <c r="C259" i="31"/>
  <c r="C255" i="31"/>
  <c r="C251" i="31"/>
  <c r="C247" i="31"/>
  <c r="C243" i="31"/>
  <c r="C239" i="31"/>
  <c r="C235" i="31"/>
  <c r="C231" i="31"/>
  <c r="C227" i="31"/>
  <c r="C223" i="31"/>
  <c r="C219" i="31"/>
  <c r="C215" i="31"/>
  <c r="C211" i="31"/>
  <c r="C207" i="31"/>
  <c r="C203" i="31"/>
  <c r="C199" i="31"/>
  <c r="C195" i="31"/>
  <c r="C191" i="31"/>
  <c r="C187" i="31"/>
  <c r="C183" i="31"/>
  <c r="C179" i="31"/>
  <c r="C175" i="31"/>
  <c r="C171" i="31"/>
  <c r="C167" i="31"/>
  <c r="C163" i="31"/>
  <c r="C159" i="31"/>
  <c r="C155" i="31"/>
  <c r="C151" i="31"/>
  <c r="C147" i="31"/>
  <c r="C143" i="31"/>
  <c r="C139" i="31"/>
  <c r="C135" i="31"/>
  <c r="C131" i="31"/>
  <c r="C127" i="31"/>
  <c r="C123" i="31"/>
  <c r="C119" i="31"/>
  <c r="C115" i="31"/>
  <c r="C111" i="31"/>
  <c r="C107" i="31"/>
  <c r="C103" i="31"/>
  <c r="C99" i="31"/>
  <c r="C95" i="31"/>
  <c r="C91" i="31"/>
  <c r="C87" i="31"/>
  <c r="C83" i="31"/>
  <c r="C79" i="31"/>
  <c r="C75" i="31"/>
  <c r="C629" i="31"/>
  <c r="C625" i="31"/>
  <c r="C617" i="31"/>
  <c r="H4" i="32"/>
  <c r="C610" i="31"/>
  <c r="C606" i="31"/>
  <c r="C602" i="31"/>
  <c r="C598" i="31"/>
  <c r="C594" i="31"/>
  <c r="C590" i="31"/>
  <c r="C586" i="31"/>
  <c r="C582" i="31"/>
  <c r="C578" i="31"/>
  <c r="C574" i="31"/>
  <c r="C570" i="31"/>
  <c r="C566" i="31"/>
  <c r="C562" i="31"/>
  <c r="C558" i="31"/>
  <c r="C554" i="31"/>
  <c r="C550" i="31"/>
  <c r="C546" i="31"/>
  <c r="C542" i="31"/>
  <c r="C538" i="31"/>
  <c r="C534" i="31"/>
  <c r="C530" i="31"/>
  <c r="C526" i="31"/>
  <c r="C522" i="31"/>
  <c r="C518" i="31"/>
  <c r="C514" i="31"/>
  <c r="C510" i="31"/>
  <c r="C506" i="31"/>
  <c r="C502" i="31"/>
  <c r="C498" i="31"/>
  <c r="C494" i="31"/>
  <c r="C490" i="31"/>
  <c r="C486" i="31"/>
  <c r="C482" i="31"/>
  <c r="C478" i="31"/>
  <c r="C474" i="31"/>
  <c r="C470" i="31"/>
  <c r="C466" i="31"/>
  <c r="C462" i="31"/>
  <c r="C458" i="31"/>
  <c r="C454" i="31"/>
  <c r="C450" i="31"/>
  <c r="C446" i="31"/>
  <c r="C442" i="31"/>
  <c r="C438" i="31"/>
  <c r="C434" i="31"/>
  <c r="C430" i="31"/>
  <c r="C426" i="31"/>
  <c r="C422" i="31"/>
  <c r="C418" i="31"/>
  <c r="C414" i="31"/>
  <c r="C410" i="31"/>
  <c r="C406" i="31"/>
  <c r="C402" i="31"/>
  <c r="C398" i="31"/>
  <c r="C394" i="31"/>
  <c r="C390" i="31"/>
  <c r="C386" i="31"/>
  <c r="C382" i="31"/>
  <c r="C378" i="31"/>
  <c r="C374" i="31"/>
  <c r="C370" i="31"/>
  <c r="C366" i="31"/>
  <c r="C362" i="31"/>
  <c r="C358" i="31"/>
  <c r="C354" i="31"/>
  <c r="C350" i="31"/>
  <c r="C346" i="31"/>
  <c r="C342" i="31"/>
  <c r="C338" i="31"/>
  <c r="C334" i="31"/>
  <c r="C330" i="31"/>
  <c r="C326" i="31"/>
  <c r="C322" i="31"/>
  <c r="C318" i="31"/>
  <c r="C314" i="31"/>
  <c r="C310" i="31"/>
  <c r="C306" i="31"/>
  <c r="C302" i="31"/>
  <c r="C298" i="31"/>
  <c r="C294" i="31"/>
  <c r="C290" i="31"/>
  <c r="C286" i="31"/>
  <c r="C282" i="31"/>
  <c r="C278" i="31"/>
  <c r="C274" i="31"/>
  <c r="C270" i="31"/>
  <c r="C266" i="31"/>
  <c r="C262" i="31"/>
  <c r="C258" i="31"/>
  <c r="C254" i="31"/>
  <c r="C250" i="31"/>
  <c r="C246" i="31"/>
  <c r="C242" i="31"/>
  <c r="C238" i="31"/>
  <c r="C234" i="31"/>
  <c r="C230" i="31"/>
  <c r="C226" i="31"/>
  <c r="C222" i="31"/>
  <c r="C218" i="31"/>
  <c r="C214" i="31"/>
  <c r="C210" i="31"/>
  <c r="C206" i="31"/>
  <c r="C202" i="31"/>
  <c r="C198" i="31"/>
  <c r="C194" i="31"/>
  <c r="C190" i="31"/>
  <c r="C186" i="31"/>
  <c r="C182" i="31"/>
  <c r="C178" i="31"/>
  <c r="C174" i="31"/>
  <c r="C170" i="31"/>
  <c r="C166" i="31"/>
  <c r="C162" i="31"/>
  <c r="C158" i="31"/>
  <c r="C154" i="31"/>
  <c r="C150" i="31"/>
  <c r="C146" i="31"/>
  <c r="C142" i="31"/>
  <c r="C138" i="31"/>
  <c r="C134" i="31"/>
  <c r="C130" i="31"/>
  <c r="C126" i="31"/>
  <c r="C122" i="31"/>
  <c r="C118" i="31"/>
  <c r="C114" i="31"/>
  <c r="C110" i="31"/>
  <c r="C106" i="31"/>
  <c r="C102" i="31"/>
  <c r="C98" i="31"/>
  <c r="C94" i="31"/>
  <c r="C90" i="31"/>
  <c r="C86" i="31"/>
  <c r="C82" i="31"/>
  <c r="C78" i="31"/>
  <c r="C74" i="31"/>
  <c r="C70" i="31"/>
  <c r="C628" i="31"/>
  <c r="C624" i="31"/>
  <c r="U3" i="32"/>
  <c r="U7" i="32" s="1"/>
  <c r="C609" i="31"/>
  <c r="C605" i="31"/>
  <c r="C601" i="31"/>
  <c r="C597" i="31"/>
  <c r="C593" i="31"/>
  <c r="C589" i="31"/>
  <c r="C585" i="31"/>
  <c r="C581" i="31"/>
  <c r="C577" i="31"/>
  <c r="C573" i="31"/>
  <c r="C569" i="31"/>
  <c r="C565" i="31"/>
  <c r="C561" i="31"/>
  <c r="C557" i="31"/>
  <c r="C553" i="31"/>
  <c r="C549" i="31"/>
  <c r="C545" i="31"/>
  <c r="C541" i="31"/>
  <c r="C537" i="31"/>
  <c r="C533" i="31"/>
  <c r="C529" i="31"/>
  <c r="C525" i="31"/>
  <c r="C521" i="31"/>
  <c r="C517" i="31"/>
  <c r="C513" i="31"/>
  <c r="C509" i="31"/>
  <c r="C505" i="31"/>
  <c r="C501" i="31"/>
  <c r="C497" i="31"/>
  <c r="C493" i="31"/>
  <c r="C489" i="31"/>
  <c r="C485" i="31"/>
  <c r="C481" i="31"/>
  <c r="C477" i="31"/>
  <c r="C473" i="31"/>
  <c r="C469" i="31"/>
  <c r="C465" i="31"/>
  <c r="C461" i="31"/>
  <c r="C457" i="31"/>
  <c r="C453" i="31"/>
  <c r="C449" i="31"/>
  <c r="C445" i="31"/>
  <c r="C441" i="31"/>
  <c r="C437" i="31"/>
  <c r="C433" i="31"/>
  <c r="C429" i="31"/>
  <c r="C425" i="31"/>
  <c r="C421" i="31"/>
  <c r="C417" i="31"/>
  <c r="C413" i="31"/>
  <c r="C409" i="31"/>
  <c r="C405" i="31"/>
  <c r="C401" i="31"/>
  <c r="C397" i="31"/>
  <c r="C393" i="31"/>
  <c r="C389" i="31"/>
  <c r="C385" i="31"/>
  <c r="C381" i="31"/>
  <c r="C377" i="31"/>
  <c r="C373" i="31"/>
  <c r="C369" i="31"/>
  <c r="C365" i="31"/>
  <c r="C361" i="31"/>
  <c r="C357" i="31"/>
  <c r="C353" i="31"/>
  <c r="C349" i="31"/>
  <c r="C345" i="31"/>
  <c r="C341" i="31"/>
  <c r="C337" i="31"/>
  <c r="C333" i="31"/>
  <c r="C329" i="31"/>
  <c r="C325" i="31"/>
  <c r="C321" i="31"/>
  <c r="C317" i="31"/>
  <c r="C313" i="31"/>
  <c r="C309" i="31"/>
  <c r="C305" i="31"/>
  <c r="C301" i="31"/>
  <c r="C297" i="31"/>
  <c r="C293" i="31"/>
  <c r="C289" i="31"/>
  <c r="C285" i="31"/>
  <c r="C281" i="31"/>
  <c r="C277" i="31"/>
  <c r="C273" i="31"/>
  <c r="C269" i="31"/>
  <c r="C265" i="31"/>
  <c r="C261" i="31"/>
  <c r="C257" i="31"/>
  <c r="C253" i="31"/>
  <c r="C249" i="31"/>
  <c r="C245" i="31"/>
  <c r="C241" i="31"/>
  <c r="C237" i="31"/>
  <c r="C233" i="31"/>
  <c r="C229" i="31"/>
  <c r="C225" i="31"/>
  <c r="C221" i="31"/>
  <c r="C217" i="31"/>
  <c r="C213" i="31"/>
  <c r="C209" i="31"/>
  <c r="C205" i="31"/>
  <c r="C201" i="31"/>
  <c r="C197" i="31"/>
  <c r="C193" i="31"/>
  <c r="C189" i="31"/>
  <c r="C185" i="31"/>
  <c r="C181" i="31"/>
  <c r="C177" i="31"/>
  <c r="C173" i="31"/>
  <c r="C169" i="31"/>
  <c r="C165" i="31"/>
  <c r="C161" i="31"/>
  <c r="C157" i="31"/>
  <c r="C153" i="31"/>
  <c r="C149" i="31"/>
  <c r="C145" i="31"/>
  <c r="C141" i="31"/>
  <c r="C137" i="31"/>
  <c r="C133" i="31"/>
  <c r="C129" i="31"/>
  <c r="C125" i="31"/>
  <c r="C121" i="31"/>
  <c r="C117" i="31"/>
  <c r="C113" i="31"/>
  <c r="C109" i="31"/>
  <c r="C105" i="31"/>
  <c r="C101" i="31"/>
  <c r="C97" i="31"/>
  <c r="C93" i="31"/>
  <c r="C89" i="31"/>
  <c r="C85" i="31"/>
  <c r="C81" i="31"/>
  <c r="C77" i="31"/>
  <c r="C18" i="31"/>
  <c r="C627" i="31"/>
  <c r="C612" i="31"/>
  <c r="C596" i="31"/>
  <c r="C580" i="31"/>
  <c r="C564" i="31"/>
  <c r="C548" i="31"/>
  <c r="C532" i="31"/>
  <c r="C516" i="31"/>
  <c r="C500" i="31"/>
  <c r="C484" i="31"/>
  <c r="C468" i="31"/>
  <c r="C452" i="31"/>
  <c r="C436" i="31"/>
  <c r="C420" i="31"/>
  <c r="C404" i="31"/>
  <c r="C388" i="31"/>
  <c r="C372" i="31"/>
  <c r="C356" i="31"/>
  <c r="C340" i="31"/>
  <c r="C324" i="31"/>
  <c r="C308" i="31"/>
  <c r="C292" i="31"/>
  <c r="C276" i="31"/>
  <c r="C260" i="31"/>
  <c r="C244" i="31"/>
  <c r="C228" i="31"/>
  <c r="C212" i="31"/>
  <c r="C196" i="31"/>
  <c r="C180" i="31"/>
  <c r="C164" i="31"/>
  <c r="C132" i="31"/>
  <c r="C100" i="31"/>
  <c r="C68" i="31"/>
  <c r="C61" i="31"/>
  <c r="C55" i="31"/>
  <c r="C42" i="31"/>
  <c r="C36" i="31"/>
  <c r="C29" i="31"/>
  <c r="C23" i="31"/>
  <c r="C67" i="31"/>
  <c r="C54" i="31"/>
  <c r="C48" i="31"/>
  <c r="C35" i="31"/>
  <c r="C66" i="31"/>
  <c r="C60" i="31"/>
  <c r="C53" i="31"/>
  <c r="C16" i="31"/>
  <c r="C88" i="31"/>
  <c r="C59" i="31"/>
  <c r="C46" i="31"/>
  <c r="C33" i="31"/>
  <c r="C51" i="31"/>
  <c r="C25" i="31"/>
  <c r="C92" i="31"/>
  <c r="C62" i="31"/>
  <c r="C152" i="31"/>
  <c r="C120" i="31"/>
  <c r="C41" i="31"/>
  <c r="C22" i="31"/>
  <c r="C17" i="31"/>
  <c r="C47" i="31"/>
  <c r="C28" i="31"/>
  <c r="C21" i="31"/>
  <c r="C80" i="31"/>
  <c r="C27" i="31"/>
  <c r="C136" i="31"/>
  <c r="C104" i="31"/>
  <c r="C57" i="31"/>
  <c r="C32" i="31"/>
  <c r="F4" i="31"/>
  <c r="C84" i="31"/>
  <c r="C56" i="31"/>
  <c r="C30" i="31"/>
  <c r="C623" i="31"/>
  <c r="C608" i="31"/>
  <c r="C592" i="31"/>
  <c r="C576" i="31"/>
  <c r="C560" i="31"/>
  <c r="C544" i="31"/>
  <c r="C528" i="31"/>
  <c r="C512" i="31"/>
  <c r="C496" i="31"/>
  <c r="C480" i="31"/>
  <c r="C464" i="31"/>
  <c r="C448" i="31"/>
  <c r="C432" i="31"/>
  <c r="C416" i="31"/>
  <c r="C400" i="31"/>
  <c r="C384" i="31"/>
  <c r="C368" i="31"/>
  <c r="C352" i="31"/>
  <c r="C336" i="31"/>
  <c r="C320" i="31"/>
  <c r="C304" i="31"/>
  <c r="C288" i="31"/>
  <c r="C272" i="31"/>
  <c r="C256" i="31"/>
  <c r="C240" i="31"/>
  <c r="C224" i="31"/>
  <c r="C208" i="31"/>
  <c r="C192" i="31"/>
  <c r="C176" i="31"/>
  <c r="C140" i="31"/>
  <c r="C108" i="31"/>
  <c r="C73" i="31"/>
  <c r="C34" i="31"/>
  <c r="C128" i="31"/>
  <c r="C15" i="31"/>
  <c r="C49" i="31"/>
  <c r="C613" i="31"/>
  <c r="C160" i="31"/>
  <c r="C96" i="31"/>
  <c r="C65" i="31"/>
  <c r="C40" i="31"/>
  <c r="C71" i="31"/>
  <c r="C112" i="31"/>
  <c r="C604" i="31"/>
  <c r="C588" i="31"/>
  <c r="C572" i="31"/>
  <c r="C556" i="31"/>
  <c r="C540" i="31"/>
  <c r="C524" i="31"/>
  <c r="C508" i="31"/>
  <c r="C492" i="31"/>
  <c r="C476" i="31"/>
  <c r="C460" i="31"/>
  <c r="C444" i="31"/>
  <c r="C428" i="31"/>
  <c r="C412" i="31"/>
  <c r="C396" i="31"/>
  <c r="C380" i="31"/>
  <c r="C364" i="31"/>
  <c r="C348" i="31"/>
  <c r="C332" i="31"/>
  <c r="C316" i="31"/>
  <c r="C300" i="31"/>
  <c r="C284" i="31"/>
  <c r="C268" i="31"/>
  <c r="C252" i="31"/>
  <c r="C236" i="31"/>
  <c r="C220" i="31"/>
  <c r="C204" i="31"/>
  <c r="C188" i="31"/>
  <c r="C172" i="31"/>
  <c r="C148" i="31"/>
  <c r="C116" i="31"/>
  <c r="C72" i="31"/>
  <c r="C58" i="31"/>
  <c r="C52" i="31"/>
  <c r="C45" i="31"/>
  <c r="C39" i="31"/>
  <c r="C26" i="31"/>
  <c r="C20" i="31"/>
  <c r="C14" i="31"/>
  <c r="C64" i="31"/>
  <c r="C38" i="31"/>
  <c r="C19" i="31"/>
  <c r="C43" i="31"/>
  <c r="C600" i="31"/>
  <c r="C584" i="31"/>
  <c r="C568" i="31"/>
  <c r="C552" i="31"/>
  <c r="C536" i="31"/>
  <c r="C520" i="31"/>
  <c r="C504" i="31"/>
  <c r="C488" i="31"/>
  <c r="C472" i="31"/>
  <c r="C456" i="31"/>
  <c r="C440" i="31"/>
  <c r="C424" i="31"/>
  <c r="C408" i="31"/>
  <c r="C392" i="31"/>
  <c r="C376" i="31"/>
  <c r="C360" i="31"/>
  <c r="C344" i="31"/>
  <c r="C328" i="31"/>
  <c r="C312" i="31"/>
  <c r="C296" i="31"/>
  <c r="C280" i="31"/>
  <c r="C264" i="31"/>
  <c r="C248" i="31"/>
  <c r="C232" i="31"/>
  <c r="C216" i="31"/>
  <c r="C200" i="31"/>
  <c r="C184" i="31"/>
  <c r="C168" i="31"/>
  <c r="C156" i="31"/>
  <c r="C124" i="31"/>
  <c r="C69" i="31"/>
  <c r="C63" i="31"/>
  <c r="C50" i="31"/>
  <c r="C44" i="31"/>
  <c r="C37" i="31"/>
  <c r="C31" i="31"/>
  <c r="C13" i="31"/>
  <c r="R3" i="31"/>
  <c r="R7" i="31" s="1"/>
  <c r="C144" i="31"/>
  <c r="C76" i="31"/>
  <c r="C24" i="31"/>
  <c r="E628" i="31"/>
  <c r="F628" i="31"/>
  <c r="H5" i="32"/>
  <c r="M613" i="31"/>
  <c r="M73" i="31"/>
  <c r="F5" i="31"/>
  <c r="M41" i="31"/>
  <c r="M17" i="31"/>
  <c r="M605" i="31"/>
  <c r="M601" i="31"/>
  <c r="M594" i="31"/>
  <c r="M574" i="31"/>
  <c r="M572" i="31"/>
  <c r="M609" i="31"/>
  <c r="M611" i="31"/>
  <c r="M591" i="31"/>
  <c r="M582" i="31"/>
  <c r="M571" i="31"/>
  <c r="M564" i="31"/>
  <c r="M551" i="31"/>
  <c r="M553" i="31"/>
  <c r="M558" i="31"/>
  <c r="M532" i="31"/>
  <c r="M520" i="31"/>
  <c r="M527" i="31"/>
  <c r="M509" i="31"/>
  <c r="M495" i="31"/>
  <c r="M493" i="31"/>
  <c r="M491" i="31"/>
  <c r="M477" i="31"/>
  <c r="M462" i="31"/>
  <c r="M490" i="31"/>
  <c r="M437" i="31"/>
  <c r="M442" i="31"/>
  <c r="M465" i="31"/>
  <c r="M415" i="31"/>
  <c r="M405" i="31"/>
  <c r="M419" i="31"/>
  <c r="M401" i="31"/>
  <c r="M387" i="31"/>
  <c r="M385" i="31"/>
  <c r="M424" i="31"/>
  <c r="M356" i="31"/>
  <c r="M370" i="31"/>
  <c r="M368" i="31"/>
  <c r="M334" i="31"/>
  <c r="M333" i="31"/>
  <c r="M324" i="31"/>
  <c r="M339" i="31"/>
  <c r="M346" i="31"/>
  <c r="M345" i="31"/>
  <c r="M295" i="31"/>
  <c r="M262" i="31"/>
  <c r="M245" i="31"/>
  <c r="M343" i="31"/>
  <c r="M336" i="31"/>
  <c r="M319" i="31"/>
  <c r="M281" i="31"/>
  <c r="M249" i="31"/>
  <c r="M212" i="31"/>
  <c r="M218" i="31"/>
  <c r="M239" i="31"/>
  <c r="M208" i="31"/>
  <c r="M148" i="31"/>
  <c r="M147" i="31"/>
  <c r="M154" i="31"/>
  <c r="M169" i="31"/>
  <c r="M160" i="31"/>
  <c r="M159" i="31"/>
  <c r="M166" i="31"/>
  <c r="M173" i="31"/>
  <c r="M104" i="31"/>
  <c r="M103" i="31"/>
  <c r="M102" i="31"/>
  <c r="M109" i="31"/>
  <c r="M108" i="31"/>
  <c r="M115" i="31"/>
  <c r="M122" i="31"/>
  <c r="M121" i="31"/>
  <c r="M48" i="31"/>
  <c r="M49" i="31"/>
  <c r="M610" i="31"/>
  <c r="M602" i="31"/>
  <c r="M589" i="31"/>
  <c r="M593" i="31"/>
  <c r="M559" i="31"/>
  <c r="M569" i="31"/>
  <c r="M554" i="31"/>
  <c r="M535" i="31"/>
  <c r="M522" i="31"/>
  <c r="M504" i="31"/>
  <c r="M510" i="31"/>
  <c r="M507" i="31"/>
  <c r="M478" i="31"/>
  <c r="M523" i="31"/>
  <c r="M456" i="31"/>
  <c r="M454" i="31"/>
  <c r="M459" i="31"/>
  <c r="M436" i="31"/>
  <c r="M441" i="31"/>
  <c r="M426" i="31"/>
  <c r="M421" i="31"/>
  <c r="M438" i="31"/>
  <c r="M396" i="31"/>
  <c r="M394" i="31"/>
  <c r="M384" i="31"/>
  <c r="M365" i="31"/>
  <c r="M363" i="31"/>
  <c r="M353" i="31"/>
  <c r="M342" i="31"/>
  <c r="M325" i="31"/>
  <c r="M308" i="31"/>
  <c r="M315" i="31"/>
  <c r="M314" i="31"/>
  <c r="M305" i="31"/>
  <c r="M278" i="31"/>
  <c r="M253" i="31"/>
  <c r="M311" i="31"/>
  <c r="M282" i="31"/>
  <c r="M312" i="31"/>
  <c r="M255" i="31"/>
  <c r="M236" i="31"/>
  <c r="M234" i="31"/>
  <c r="M240" i="31"/>
  <c r="M204" i="31"/>
  <c r="M195" i="31"/>
  <c r="M194" i="31"/>
  <c r="M201" i="31"/>
  <c r="M184" i="31"/>
  <c r="M175" i="31"/>
  <c r="M174" i="31"/>
  <c r="M165" i="31"/>
  <c r="M88" i="31"/>
  <c r="M142" i="31"/>
  <c r="M141" i="31"/>
  <c r="M132" i="31"/>
  <c r="M131" i="31"/>
  <c r="M130" i="31"/>
  <c r="M113" i="31"/>
  <c r="M32" i="31"/>
  <c r="M39" i="31"/>
  <c r="M62" i="31"/>
  <c r="M21" i="31"/>
  <c r="M20" i="31"/>
  <c r="M27" i="31"/>
  <c r="M26" i="31"/>
  <c r="M25" i="31"/>
  <c r="M607" i="31"/>
  <c r="M608" i="31"/>
  <c r="M588" i="31"/>
  <c r="M585" i="31"/>
  <c r="M566" i="31"/>
  <c r="M561" i="31"/>
  <c r="M546" i="31"/>
  <c r="M542" i="31"/>
  <c r="M514" i="31"/>
  <c r="M529" i="31"/>
  <c r="M502" i="31"/>
  <c r="M496" i="31"/>
  <c r="M508" i="31"/>
  <c r="M499" i="31"/>
  <c r="M475" i="31"/>
  <c r="M482" i="31"/>
  <c r="M451" i="31"/>
  <c r="M453" i="31"/>
  <c r="M433" i="31"/>
  <c r="M425" i="31"/>
  <c r="M413" i="31"/>
  <c r="M411" i="31"/>
  <c r="M388" i="31"/>
  <c r="M386" i="31"/>
  <c r="M408" i="31"/>
  <c r="M357" i="31"/>
  <c r="M355" i="31"/>
  <c r="M390" i="31"/>
  <c r="M326" i="31"/>
  <c r="M317" i="31"/>
  <c r="M300" i="31"/>
  <c r="M307" i="31"/>
  <c r="M306" i="31"/>
  <c r="M297" i="31"/>
  <c r="M270" i="31"/>
  <c r="M328" i="31"/>
  <c r="M283" i="31"/>
  <c r="M274" i="31"/>
  <c r="M287" i="31"/>
  <c r="M247" i="31"/>
  <c r="M228" i="31"/>
  <c r="R4" i="32"/>
  <c r="M65" i="31"/>
  <c r="M57" i="31"/>
  <c r="M604" i="31"/>
  <c r="M597" i="31"/>
  <c r="M575" i="31"/>
  <c r="M579" i="31"/>
  <c r="M556" i="31"/>
  <c r="M549" i="31"/>
  <c r="M528" i="31"/>
  <c r="M541" i="31"/>
  <c r="M521" i="31"/>
  <c r="M503" i="31"/>
  <c r="M517" i="31"/>
  <c r="M487" i="31"/>
  <c r="M515" i="31"/>
  <c r="M479" i="31"/>
  <c r="M455" i="31"/>
  <c r="M497" i="31"/>
  <c r="M452" i="31"/>
  <c r="M427" i="31"/>
  <c r="M450" i="31"/>
  <c r="M430" i="31"/>
  <c r="M428" i="31"/>
  <c r="M418" i="31"/>
  <c r="M400" i="31"/>
  <c r="M402" i="31"/>
  <c r="M375" i="31"/>
  <c r="M416" i="31"/>
  <c r="M354" i="31"/>
  <c r="M359" i="31"/>
  <c r="M302" i="31"/>
  <c r="M293" i="31"/>
  <c r="M358" i="31"/>
  <c r="M366" i="31"/>
  <c r="M337" i="31"/>
  <c r="M279" i="31"/>
  <c r="M285" i="31"/>
  <c r="M276" i="31"/>
  <c r="M259" i="31"/>
  <c r="M250" i="31"/>
  <c r="M344" i="31"/>
  <c r="M237" i="31"/>
  <c r="M227" i="31"/>
  <c r="M225" i="31"/>
  <c r="M244" i="31"/>
  <c r="M172" i="31"/>
  <c r="M163" i="31"/>
  <c r="M162" i="31"/>
  <c r="M161" i="31"/>
  <c r="M232" i="31"/>
  <c r="M206" i="31"/>
  <c r="M205" i="31"/>
  <c r="M128" i="31"/>
  <c r="M119" i="31"/>
  <c r="M110" i="31"/>
  <c r="M101" i="31"/>
  <c r="M92" i="31"/>
  <c r="M91" i="31"/>
  <c r="M90" i="31"/>
  <c r="M72" i="31"/>
  <c r="M71" i="31"/>
  <c r="O4" i="31"/>
  <c r="M30" i="31"/>
  <c r="M53" i="31"/>
  <c r="M52" i="31"/>
  <c r="M59" i="31"/>
  <c r="M58" i="31"/>
  <c r="M33" i="31"/>
  <c r="M603" i="31"/>
  <c r="M586" i="31"/>
  <c r="M567" i="31"/>
  <c r="M548" i="31"/>
  <c r="M534" i="31"/>
  <c r="M505" i="31"/>
  <c r="M525" i="31"/>
  <c r="M486" i="31"/>
  <c r="M474" i="31"/>
  <c r="M469" i="31"/>
  <c r="M466" i="31"/>
  <c r="M440" i="31"/>
  <c r="M406" i="31"/>
  <c r="M410" i="31"/>
  <c r="M378" i="31"/>
  <c r="M376" i="31"/>
  <c r="M362" i="31"/>
  <c r="M350" i="31"/>
  <c r="M340" i="31"/>
  <c r="M299" i="31"/>
  <c r="M321" i="31"/>
  <c r="M303" i="31"/>
  <c r="M252" i="31"/>
  <c r="M242" i="31"/>
  <c r="M289" i="31"/>
  <c r="M257" i="31"/>
  <c r="M231" i="31"/>
  <c r="M180" i="31"/>
  <c r="M248" i="31"/>
  <c r="M193" i="31"/>
  <c r="M152" i="31"/>
  <c r="M190" i="31"/>
  <c r="M157" i="31"/>
  <c r="M127" i="31"/>
  <c r="M86" i="31"/>
  <c r="M124" i="31"/>
  <c r="M99" i="31"/>
  <c r="M137" i="31"/>
  <c r="M24" i="31"/>
  <c r="M15" i="31"/>
  <c r="M14" i="31"/>
  <c r="M29" i="31"/>
  <c r="M75" i="31"/>
  <c r="M50" i="31"/>
  <c r="M595" i="31"/>
  <c r="M587" i="31"/>
  <c r="M565" i="31"/>
  <c r="M555" i="31"/>
  <c r="M545" i="31"/>
  <c r="M512" i="31"/>
  <c r="M538" i="31"/>
  <c r="M501" i="31"/>
  <c r="M472" i="31"/>
  <c r="M461" i="31"/>
  <c r="M444" i="31"/>
  <c r="M447" i="31"/>
  <c r="M432" i="31"/>
  <c r="M417" i="31"/>
  <c r="M403" i="31"/>
  <c r="M374" i="31"/>
  <c r="M397" i="31"/>
  <c r="M318" i="31"/>
  <c r="M332" i="31"/>
  <c r="M291" i="31"/>
  <c r="M313" i="31"/>
  <c r="M277" i="31"/>
  <c r="M275" i="31"/>
  <c r="M288" i="31"/>
  <c r="M265" i="31"/>
  <c r="M241" i="31"/>
  <c r="M223" i="31"/>
  <c r="M164" i="31"/>
  <c r="M202" i="31"/>
  <c r="M185" i="31"/>
  <c r="M199" i="31"/>
  <c r="M182" i="31"/>
  <c r="M144" i="31"/>
  <c r="M111" i="31"/>
  <c r="M145" i="31"/>
  <c r="M116" i="31"/>
  <c r="M83" i="31"/>
  <c r="M129" i="31"/>
  <c r="M16" i="31"/>
  <c r="M80" i="31"/>
  <c r="M13" i="31"/>
  <c r="M76" i="31"/>
  <c r="M67" i="31"/>
  <c r="M42" i="31"/>
  <c r="M600" i="31"/>
  <c r="M581" i="31"/>
  <c r="M570" i="31"/>
  <c r="M547" i="31"/>
  <c r="M533" i="31"/>
  <c r="M519" i="31"/>
  <c r="M524" i="31"/>
  <c r="M485" i="31"/>
  <c r="M464" i="31"/>
  <c r="M468" i="31"/>
  <c r="M443" i="31"/>
  <c r="M439" i="31"/>
  <c r="M429" i="31"/>
  <c r="M409" i="31"/>
  <c r="M393" i="31"/>
  <c r="M349" i="31"/>
  <c r="M369" i="31"/>
  <c r="M310" i="31"/>
  <c r="M316" i="31"/>
  <c r="M338" i="31"/>
  <c r="M327" i="31"/>
  <c r="M269" i="31"/>
  <c r="M267" i="31"/>
  <c r="M280" i="31"/>
  <c r="M229" i="31"/>
  <c r="M226" i="31"/>
  <c r="M215" i="31"/>
  <c r="M156" i="31"/>
  <c r="M186" i="31"/>
  <c r="M177" i="31"/>
  <c r="M191" i="31"/>
  <c r="M158" i="31"/>
  <c r="M136" i="31"/>
  <c r="M95" i="31"/>
  <c r="M133" i="31"/>
  <c r="M100" i="31"/>
  <c r="M153" i="31"/>
  <c r="M105" i="31"/>
  <c r="M79" i="31"/>
  <c r="M78" i="31"/>
  <c r="M68" i="31"/>
  <c r="M51" i="31"/>
  <c r="M34" i="31"/>
  <c r="M599" i="31"/>
  <c r="M573" i="31"/>
  <c r="M576" i="31"/>
  <c r="M537" i="31"/>
  <c r="M552" i="31"/>
  <c r="M511" i="31"/>
  <c r="M516" i="31"/>
  <c r="M492" i="31"/>
  <c r="M471" i="31"/>
  <c r="M460" i="31"/>
  <c r="M435" i="31"/>
  <c r="M431" i="31"/>
  <c r="M420" i="31"/>
  <c r="M380" i="31"/>
  <c r="M377" i="31"/>
  <c r="M364" i="31"/>
  <c r="M361" i="31"/>
  <c r="M294" i="31"/>
  <c r="M292" i="31"/>
  <c r="M330" i="31"/>
  <c r="M290" i="31"/>
  <c r="M261" i="31"/>
  <c r="M251" i="31"/>
  <c r="M273" i="31"/>
  <c r="M221" i="31"/>
  <c r="M238" i="31"/>
  <c r="M230" i="31"/>
  <c r="M203" i="31"/>
  <c r="M178" i="31"/>
  <c r="M224" i="31"/>
  <c r="M183" i="31"/>
  <c r="M150" i="31"/>
  <c r="M120" i="31"/>
  <c r="M87" i="31"/>
  <c r="M125" i="31"/>
  <c r="M84" i="31"/>
  <c r="M138" i="31"/>
  <c r="M97" i="31"/>
  <c r="M63" i="31"/>
  <c r="M70" i="31"/>
  <c r="M77" i="31"/>
  <c r="M60" i="31"/>
  <c r="M43" i="31"/>
  <c r="M18" i="31"/>
  <c r="M592" i="31"/>
  <c r="M583" i="31"/>
  <c r="M563" i="31"/>
  <c r="M536" i="31"/>
  <c r="M540" i="31"/>
  <c r="M560" i="31"/>
  <c r="M488" i="31"/>
  <c r="M484" i="31"/>
  <c r="M463" i="31"/>
  <c r="M467" i="31"/>
  <c r="M434" i="31"/>
  <c r="M423" i="31"/>
  <c r="M412" i="31"/>
  <c r="M372" i="31"/>
  <c r="M392" i="31"/>
  <c r="M389" i="31"/>
  <c r="M360" i="31"/>
  <c r="M286" i="31"/>
  <c r="M398" i="31"/>
  <c r="M322" i="31"/>
  <c r="M271" i="31"/>
  <c r="M296" i="31"/>
  <c r="M243" i="31"/>
  <c r="M256" i="31"/>
  <c r="M213" i="31"/>
  <c r="M233" i="31"/>
  <c r="M222" i="31"/>
  <c r="M187" i="31"/>
  <c r="M170" i="31"/>
  <c r="M200" i="31"/>
  <c r="M167" i="31"/>
  <c r="M207" i="31"/>
  <c r="M112" i="31"/>
  <c r="M134" i="31"/>
  <c r="M117" i="31"/>
  <c r="M149" i="31"/>
  <c r="M114" i="31"/>
  <c r="M89" i="31"/>
  <c r="M55" i="31"/>
  <c r="M54" i="31"/>
  <c r="M69" i="31"/>
  <c r="M44" i="31"/>
  <c r="M35" i="31"/>
  <c r="M612" i="31"/>
  <c r="M562" i="31"/>
  <c r="M513" i="31"/>
  <c r="M483" i="31"/>
  <c r="M457" i="31"/>
  <c r="M446" i="31"/>
  <c r="M371" i="31"/>
  <c r="M347" i="31"/>
  <c r="M335" i="31"/>
  <c r="M254" i="31"/>
  <c r="M214" i="31"/>
  <c r="M210" i="31"/>
  <c r="M189" i="31"/>
  <c r="M93" i="31"/>
  <c r="M82" i="31"/>
  <c r="M38" i="31"/>
  <c r="M81" i="31"/>
  <c r="M584" i="31"/>
  <c r="M550" i="31"/>
  <c r="M518" i="31"/>
  <c r="M500" i="31"/>
  <c r="M448" i="31"/>
  <c r="M395" i="31"/>
  <c r="M367" i="31"/>
  <c r="M323" i="31"/>
  <c r="M268" i="31"/>
  <c r="M220" i="31"/>
  <c r="M188" i="31"/>
  <c r="M176" i="31"/>
  <c r="M96" i="31"/>
  <c r="M140" i="31"/>
  <c r="M56" i="31"/>
  <c r="M74" i="31"/>
  <c r="M590" i="31"/>
  <c r="M557" i="31"/>
  <c r="M530" i="31"/>
  <c r="M489" i="31"/>
  <c r="M407" i="31"/>
  <c r="M379" i="31"/>
  <c r="M351" i="31"/>
  <c r="M298" i="31"/>
  <c r="M260" i="31"/>
  <c r="M235" i="31"/>
  <c r="M179" i="31"/>
  <c r="M168" i="31"/>
  <c r="M143" i="31"/>
  <c r="M139" i="31"/>
  <c r="M40" i="31"/>
  <c r="M61" i="31"/>
  <c r="M66" i="31"/>
  <c r="M598" i="31"/>
  <c r="M544" i="31"/>
  <c r="M480" i="31"/>
  <c r="M470" i="31"/>
  <c r="M422" i="31"/>
  <c r="M391" i="31"/>
  <c r="M352" i="31"/>
  <c r="M348" i="31"/>
  <c r="M304" i="31"/>
  <c r="M219" i="31"/>
  <c r="M171" i="31"/>
  <c r="M151" i="31"/>
  <c r="M135" i="31"/>
  <c r="M123" i="31"/>
  <c r="M47" i="31"/>
  <c r="M45" i="31"/>
  <c r="M580" i="31"/>
  <c r="M543" i="31"/>
  <c r="M531" i="31"/>
  <c r="M498" i="31"/>
  <c r="M414" i="31"/>
  <c r="M383" i="31"/>
  <c r="M341" i="31"/>
  <c r="M329" i="31"/>
  <c r="M266" i="31"/>
  <c r="M217" i="31"/>
  <c r="M155" i="31"/>
  <c r="M211" i="31"/>
  <c r="M126" i="31"/>
  <c r="M107" i="31"/>
  <c r="M31" i="31"/>
  <c r="M37" i="31"/>
  <c r="M506" i="31"/>
  <c r="M449" i="31"/>
  <c r="M301" i="31"/>
  <c r="M209" i="31"/>
  <c r="M181" i="31"/>
  <c r="M46" i="31"/>
  <c r="M568" i="31"/>
  <c r="M272" i="31"/>
  <c r="M539" i="31"/>
  <c r="M404" i="31"/>
  <c r="M331" i="31"/>
  <c r="M246" i="31"/>
  <c r="M118" i="31"/>
  <c r="M22" i="31"/>
  <c r="M309" i="31"/>
  <c r="M23" i="31"/>
  <c r="M526" i="31"/>
  <c r="M458" i="31"/>
  <c r="M263" i="31"/>
  <c r="M196" i="31"/>
  <c r="M94" i="31"/>
  <c r="M606" i="31"/>
  <c r="M494" i="31"/>
  <c r="M399" i="31"/>
  <c r="M320" i="31"/>
  <c r="M146" i="31"/>
  <c r="M85" i="31"/>
  <c r="M36" i="31"/>
  <c r="M596" i="31"/>
  <c r="M476" i="31"/>
  <c r="M381" i="31"/>
  <c r="M284" i="31"/>
  <c r="M216" i="31"/>
  <c r="M106" i="31"/>
  <c r="M28" i="31"/>
  <c r="M473" i="31"/>
  <c r="M382" i="31"/>
  <c r="M198" i="31"/>
  <c r="M64" i="31"/>
  <c r="M197" i="31"/>
  <c r="M578" i="31"/>
  <c r="M481" i="31"/>
  <c r="M373" i="31"/>
  <c r="M258" i="31"/>
  <c r="M192" i="31"/>
  <c r="M98" i="31"/>
  <c r="M19" i="31"/>
  <c r="M577" i="31"/>
  <c r="M264" i="31"/>
  <c r="M445" i="31"/>
  <c r="M626" i="31"/>
  <c r="M623" i="31"/>
  <c r="M622" i="31"/>
  <c r="I628" i="31"/>
  <c r="H628" i="31"/>
  <c r="K628" i="31"/>
  <c r="L628" i="31"/>
  <c r="M628" i="31"/>
  <c r="R13" i="8"/>
  <c r="B513" i="2" s="1"/>
  <c r="N258" i="31" l="1"/>
  <c r="O258" i="31"/>
  <c r="N473" i="31"/>
  <c r="O473" i="31"/>
  <c r="O445" i="31"/>
  <c r="N445" i="31"/>
  <c r="N622" i="31"/>
  <c r="O622" i="31"/>
  <c r="N578" i="31"/>
  <c r="O578" i="31"/>
  <c r="N264" i="31"/>
  <c r="O264" i="31"/>
  <c r="N216" i="31"/>
  <c r="O216" i="31"/>
  <c r="N506" i="31"/>
  <c r="O506" i="31"/>
  <c r="O197" i="31"/>
  <c r="N197" i="31"/>
  <c r="P272" i="31"/>
  <c r="O272" i="31"/>
  <c r="N272" i="31"/>
  <c r="O98" i="31"/>
  <c r="N98" i="31"/>
  <c r="N198" i="31"/>
  <c r="O198" i="31"/>
  <c r="N476" i="31"/>
  <c r="O476" i="31"/>
  <c r="O606" i="31"/>
  <c r="N606" i="31"/>
  <c r="O22" i="31"/>
  <c r="N22" i="31"/>
  <c r="N46" i="31"/>
  <c r="O46" i="31"/>
  <c r="O107" i="31"/>
  <c r="N107" i="31"/>
  <c r="O383" i="31"/>
  <c r="N383" i="31"/>
  <c r="O123" i="31"/>
  <c r="N123" i="31"/>
  <c r="O391" i="31"/>
  <c r="N391" i="31"/>
  <c r="N40" i="31"/>
  <c r="O40" i="31"/>
  <c r="N351" i="31"/>
  <c r="O351" i="31"/>
  <c r="O56" i="31"/>
  <c r="N56" i="31"/>
  <c r="N367" i="31"/>
  <c r="O367" i="31"/>
  <c r="O38" i="31"/>
  <c r="N38" i="31"/>
  <c r="O347" i="31"/>
  <c r="N347" i="31"/>
  <c r="N35" i="31"/>
  <c r="O35" i="31"/>
  <c r="O117" i="31"/>
  <c r="N117" i="31"/>
  <c r="N222" i="31"/>
  <c r="O222" i="31"/>
  <c r="N398" i="31"/>
  <c r="O398" i="31"/>
  <c r="N434" i="31"/>
  <c r="O434" i="31"/>
  <c r="O563" i="31"/>
  <c r="N563" i="31"/>
  <c r="N63" i="31"/>
  <c r="O63" i="31"/>
  <c r="N183" i="31"/>
  <c r="O183" i="31"/>
  <c r="N251" i="31"/>
  <c r="O251" i="31"/>
  <c r="O377" i="31"/>
  <c r="N377" i="31"/>
  <c r="O516" i="31"/>
  <c r="N516" i="31"/>
  <c r="O51" i="31"/>
  <c r="N51" i="31"/>
  <c r="N95" i="31"/>
  <c r="O95" i="31"/>
  <c r="O226" i="31"/>
  <c r="N226" i="31"/>
  <c r="N310" i="31"/>
  <c r="O310" i="31"/>
  <c r="N468" i="31"/>
  <c r="O468" i="31"/>
  <c r="O581" i="31"/>
  <c r="N581" i="31"/>
  <c r="O129" i="31"/>
  <c r="N129" i="31"/>
  <c r="O185" i="31"/>
  <c r="N185" i="31"/>
  <c r="N277" i="31"/>
  <c r="O277" i="31"/>
  <c r="O417" i="31"/>
  <c r="N417" i="31"/>
  <c r="N512" i="31"/>
  <c r="O512" i="31"/>
  <c r="N29" i="31"/>
  <c r="O29" i="31"/>
  <c r="O127" i="31"/>
  <c r="N127" i="31"/>
  <c r="O257" i="31"/>
  <c r="N257" i="31"/>
  <c r="O350" i="31"/>
  <c r="N350" i="31"/>
  <c r="N469" i="31"/>
  <c r="O469" i="31"/>
  <c r="N586" i="31"/>
  <c r="O586" i="31"/>
  <c r="N119" i="31"/>
  <c r="O119" i="31"/>
  <c r="O172" i="31"/>
  <c r="N172" i="31"/>
  <c r="N276" i="31"/>
  <c r="O276" i="31"/>
  <c r="O359" i="31"/>
  <c r="N359" i="31"/>
  <c r="N430" i="31"/>
  <c r="O430" i="31"/>
  <c r="O487" i="31"/>
  <c r="N487" i="31"/>
  <c r="N579" i="31"/>
  <c r="O579" i="31"/>
  <c r="N247" i="31"/>
  <c r="O247" i="31"/>
  <c r="N307" i="31"/>
  <c r="O307" i="31"/>
  <c r="N386" i="31"/>
  <c r="O386" i="31"/>
  <c r="O482" i="31"/>
  <c r="N482" i="31"/>
  <c r="N542" i="31"/>
  <c r="O542" i="31"/>
  <c r="O25" i="31"/>
  <c r="N25" i="31"/>
  <c r="N113" i="31"/>
  <c r="O113" i="31"/>
  <c r="O174" i="31"/>
  <c r="N174" i="31"/>
  <c r="O234" i="31"/>
  <c r="N234" i="31"/>
  <c r="O305" i="31"/>
  <c r="N305" i="31"/>
  <c r="N365" i="31"/>
  <c r="O365" i="31"/>
  <c r="P436" i="31"/>
  <c r="N436" i="31"/>
  <c r="O436" i="31"/>
  <c r="N504" i="31"/>
  <c r="O504" i="31"/>
  <c r="O602" i="31"/>
  <c r="N602" i="31"/>
  <c r="O109" i="31"/>
  <c r="N109" i="31"/>
  <c r="O169" i="31"/>
  <c r="N169" i="31"/>
  <c r="O249" i="31"/>
  <c r="N249" i="31"/>
  <c r="O345" i="31"/>
  <c r="N345" i="31"/>
  <c r="N356" i="31"/>
  <c r="O356" i="31"/>
  <c r="O465" i="31"/>
  <c r="N465" i="31"/>
  <c r="N495" i="31"/>
  <c r="O495" i="31"/>
  <c r="N564" i="31"/>
  <c r="O564" i="31"/>
  <c r="O594" i="31"/>
  <c r="N594" i="31"/>
  <c r="O266" i="31"/>
  <c r="N266" i="31"/>
  <c r="N577" i="31"/>
  <c r="O577" i="31"/>
  <c r="O23" i="31"/>
  <c r="N23" i="31"/>
  <c r="O192" i="31"/>
  <c r="N192" i="31"/>
  <c r="O382" i="31"/>
  <c r="N382" i="31"/>
  <c r="O596" i="31"/>
  <c r="N596" i="31"/>
  <c r="N94" i="31"/>
  <c r="O94" i="31"/>
  <c r="O118" i="31"/>
  <c r="N118" i="31"/>
  <c r="O181" i="31"/>
  <c r="N181" i="31"/>
  <c r="O126" i="31"/>
  <c r="N126" i="31"/>
  <c r="N414" i="31"/>
  <c r="O414" i="31"/>
  <c r="N135" i="31"/>
  <c r="O135" i="31"/>
  <c r="P422" i="31"/>
  <c r="O422" i="31"/>
  <c r="N422" i="31"/>
  <c r="N139" i="31"/>
  <c r="O139" i="31"/>
  <c r="O379" i="31"/>
  <c r="N379" i="31"/>
  <c r="O140" i="31"/>
  <c r="N140" i="31"/>
  <c r="N395" i="31"/>
  <c r="O395" i="31"/>
  <c r="O82" i="31"/>
  <c r="N82" i="31"/>
  <c r="O371" i="31"/>
  <c r="N371" i="31"/>
  <c r="O44" i="31"/>
  <c r="N44" i="31"/>
  <c r="N134" i="31"/>
  <c r="O134" i="31"/>
  <c r="N233" i="31"/>
  <c r="O233" i="31"/>
  <c r="O286" i="31"/>
  <c r="N286" i="31"/>
  <c r="N467" i="31"/>
  <c r="O467" i="31"/>
  <c r="N583" i="31"/>
  <c r="O583" i="31"/>
  <c r="N97" i="31"/>
  <c r="O97" i="31"/>
  <c r="O224" i="31"/>
  <c r="N224" i="31"/>
  <c r="O261" i="31"/>
  <c r="N261" i="31"/>
  <c r="P380" i="31"/>
  <c r="N380" i="31"/>
  <c r="O380" i="31"/>
  <c r="N511" i="31"/>
  <c r="O511" i="31"/>
  <c r="O68" i="31"/>
  <c r="N68" i="31"/>
  <c r="O136" i="31"/>
  <c r="N136" i="31"/>
  <c r="O229" i="31"/>
  <c r="N229" i="31"/>
  <c r="O369" i="31"/>
  <c r="N369" i="31"/>
  <c r="O464" i="31"/>
  <c r="N464" i="31"/>
  <c r="N600" i="31"/>
  <c r="O600" i="31"/>
  <c r="N83" i="31"/>
  <c r="O83" i="31"/>
  <c r="N202" i="31"/>
  <c r="O202" i="31"/>
  <c r="O313" i="31"/>
  <c r="N313" i="31"/>
  <c r="N432" i="31"/>
  <c r="O432" i="31"/>
  <c r="O545" i="31"/>
  <c r="N545" i="31"/>
  <c r="O14" i="31"/>
  <c r="N14" i="31"/>
  <c r="O157" i="31"/>
  <c r="N157" i="31"/>
  <c r="O289" i="31"/>
  <c r="N289" i="31"/>
  <c r="N362" i="31"/>
  <c r="O362" i="31"/>
  <c r="N474" i="31"/>
  <c r="O474" i="31"/>
  <c r="O603" i="31"/>
  <c r="N603" i="31"/>
  <c r="N71" i="31"/>
  <c r="O71" i="31"/>
  <c r="O128" i="31"/>
  <c r="N128" i="31"/>
  <c r="O244" i="31"/>
  <c r="N244" i="31"/>
  <c r="O285" i="31"/>
  <c r="N285" i="31"/>
  <c r="N354" i="31"/>
  <c r="O354" i="31"/>
  <c r="N450" i="31"/>
  <c r="O450" i="31"/>
  <c r="O517" i="31"/>
  <c r="N517" i="31"/>
  <c r="O575" i="31"/>
  <c r="N575" i="31"/>
  <c r="N287" i="31"/>
  <c r="O287" i="31"/>
  <c r="N300" i="31"/>
  <c r="O300" i="31"/>
  <c r="O388" i="31"/>
  <c r="N388" i="31"/>
  <c r="O475" i="31"/>
  <c r="N475" i="31"/>
  <c r="O546" i="31"/>
  <c r="N546" i="31"/>
  <c r="N26" i="31"/>
  <c r="O26" i="31"/>
  <c r="O130" i="31"/>
  <c r="N130" i="31"/>
  <c r="O175" i="31"/>
  <c r="N175" i="31"/>
  <c r="N236" i="31"/>
  <c r="O236" i="31"/>
  <c r="N314" i="31"/>
  <c r="O314" i="31"/>
  <c r="O384" i="31"/>
  <c r="N384" i="31"/>
  <c r="O459" i="31"/>
  <c r="N459" i="31"/>
  <c r="N522" i="31"/>
  <c r="O522" i="31"/>
  <c r="O610" i="31"/>
  <c r="N610" i="31"/>
  <c r="O102" i="31"/>
  <c r="N102" i="31"/>
  <c r="O154" i="31"/>
  <c r="N154" i="31"/>
  <c r="O281" i="31"/>
  <c r="N281" i="31"/>
  <c r="O346" i="31"/>
  <c r="N346" i="31"/>
  <c r="O424" i="31"/>
  <c r="N424" i="31"/>
  <c r="O442" i="31"/>
  <c r="N442" i="31"/>
  <c r="O509" i="31"/>
  <c r="N509" i="31"/>
  <c r="O571" i="31"/>
  <c r="N571" i="31"/>
  <c r="O601" i="31"/>
  <c r="N601" i="31"/>
  <c r="O196" i="31"/>
  <c r="N196" i="31"/>
  <c r="O209" i="31"/>
  <c r="N209" i="31"/>
  <c r="O498" i="31"/>
  <c r="N498" i="31"/>
  <c r="O470" i="31"/>
  <c r="N470" i="31"/>
  <c r="O143" i="31"/>
  <c r="N143" i="31"/>
  <c r="N407" i="31"/>
  <c r="O407" i="31"/>
  <c r="N96" i="31"/>
  <c r="O96" i="31"/>
  <c r="O448" i="31"/>
  <c r="N448" i="31"/>
  <c r="O93" i="31"/>
  <c r="N93" i="31"/>
  <c r="O446" i="31"/>
  <c r="N446" i="31"/>
  <c r="O69" i="31"/>
  <c r="N69" i="31"/>
  <c r="O112" i="31"/>
  <c r="N112" i="31"/>
  <c r="O213" i="31"/>
  <c r="N213" i="31"/>
  <c r="O360" i="31"/>
  <c r="N360" i="31"/>
  <c r="N463" i="31"/>
  <c r="O463" i="31"/>
  <c r="N592" i="31"/>
  <c r="O592" i="31"/>
  <c r="O138" i="31"/>
  <c r="N138" i="31"/>
  <c r="O178" i="31"/>
  <c r="N178" i="31"/>
  <c r="N290" i="31"/>
  <c r="O290" i="31"/>
  <c r="N420" i="31"/>
  <c r="O420" i="31"/>
  <c r="O552" i="31"/>
  <c r="N552" i="31"/>
  <c r="O78" i="31"/>
  <c r="N78" i="31"/>
  <c r="N158" i="31"/>
  <c r="O158" i="31"/>
  <c r="N280" i="31"/>
  <c r="O280" i="31"/>
  <c r="O349" i="31"/>
  <c r="N349" i="31"/>
  <c r="N485" i="31"/>
  <c r="O485" i="31"/>
  <c r="O42" i="31"/>
  <c r="N42" i="31"/>
  <c r="O116" i="31"/>
  <c r="N116" i="31"/>
  <c r="N164" i="31"/>
  <c r="O164" i="31"/>
  <c r="N291" i="31"/>
  <c r="O291" i="31"/>
  <c r="O447" i="31"/>
  <c r="N447" i="31"/>
  <c r="O555" i="31"/>
  <c r="N555" i="31"/>
  <c r="N15" i="31"/>
  <c r="O15" i="31"/>
  <c r="O190" i="31"/>
  <c r="N190" i="31"/>
  <c r="N242" i="31"/>
  <c r="O242" i="31"/>
  <c r="N376" i="31"/>
  <c r="O376" i="31"/>
  <c r="O486" i="31"/>
  <c r="N486" i="31"/>
  <c r="N33" i="31"/>
  <c r="O33" i="31"/>
  <c r="O72" i="31"/>
  <c r="N72" i="31"/>
  <c r="N205" i="31"/>
  <c r="O205" i="31"/>
  <c r="P225" i="31"/>
  <c r="O225" i="31"/>
  <c r="N225" i="31"/>
  <c r="N279" i="31"/>
  <c r="O279" i="31"/>
  <c r="N416" i="31"/>
  <c r="O416" i="31"/>
  <c r="O427" i="31"/>
  <c r="N427" i="31"/>
  <c r="N503" i="31"/>
  <c r="O503" i="31"/>
  <c r="O597" i="31"/>
  <c r="N597" i="31"/>
  <c r="N274" i="31"/>
  <c r="O274" i="31"/>
  <c r="N317" i="31"/>
  <c r="O317" i="31"/>
  <c r="N411" i="31"/>
  <c r="O411" i="31"/>
  <c r="O499" i="31"/>
  <c r="N499" i="31"/>
  <c r="N561" i="31"/>
  <c r="O561" i="31"/>
  <c r="N27" i="31"/>
  <c r="O27" i="31"/>
  <c r="O131" i="31"/>
  <c r="N131" i="31"/>
  <c r="O184" i="31"/>
  <c r="N184" i="31"/>
  <c r="N255" i="31"/>
  <c r="O255" i="31"/>
  <c r="O315" i="31"/>
  <c r="N315" i="31"/>
  <c r="O394" i="31"/>
  <c r="N394" i="31"/>
  <c r="N454" i="31"/>
  <c r="O454" i="31"/>
  <c r="O535" i="31"/>
  <c r="N535" i="31"/>
  <c r="N49" i="31"/>
  <c r="O49" i="31"/>
  <c r="N103" i="31"/>
  <c r="O103" i="31"/>
  <c r="N147" i="31"/>
  <c r="O147" i="31"/>
  <c r="O319" i="31"/>
  <c r="N319" i="31"/>
  <c r="O339" i="31"/>
  <c r="N339" i="31"/>
  <c r="O385" i="31"/>
  <c r="N385" i="31"/>
  <c r="O437" i="31"/>
  <c r="N437" i="31"/>
  <c r="O527" i="31"/>
  <c r="N527" i="31"/>
  <c r="O582" i="31"/>
  <c r="N582" i="31"/>
  <c r="O605" i="31"/>
  <c r="N605" i="31"/>
  <c r="P13" i="31"/>
  <c r="O36" i="31"/>
  <c r="N36" i="31"/>
  <c r="O246" i="31"/>
  <c r="N246" i="31"/>
  <c r="O211" i="31"/>
  <c r="N211" i="31"/>
  <c r="N151" i="31"/>
  <c r="O151" i="31"/>
  <c r="O628" i="31"/>
  <c r="N628" i="31"/>
  <c r="O626" i="31"/>
  <c r="N626" i="31"/>
  <c r="N373" i="31"/>
  <c r="O373" i="31"/>
  <c r="O28" i="31"/>
  <c r="N28" i="31"/>
  <c r="N85" i="31"/>
  <c r="O85" i="31"/>
  <c r="N263" i="31"/>
  <c r="O263" i="31"/>
  <c r="O331" i="31"/>
  <c r="N331" i="31"/>
  <c r="N301" i="31"/>
  <c r="O301" i="31"/>
  <c r="N155" i="31"/>
  <c r="O155" i="31"/>
  <c r="O531" i="31"/>
  <c r="N531" i="31"/>
  <c r="O171" i="31"/>
  <c r="N171" i="31"/>
  <c r="O480" i="31"/>
  <c r="N480" i="31"/>
  <c r="O168" i="31"/>
  <c r="N168" i="31"/>
  <c r="O489" i="31"/>
  <c r="N489" i="31"/>
  <c r="N176" i="31"/>
  <c r="O176" i="31"/>
  <c r="O500" i="31"/>
  <c r="N500" i="31"/>
  <c r="O189" i="31"/>
  <c r="N189" i="31"/>
  <c r="N457" i="31"/>
  <c r="O457" i="31"/>
  <c r="O54" i="31"/>
  <c r="N54" i="31"/>
  <c r="O207" i="31"/>
  <c r="N207" i="31"/>
  <c r="O256" i="31"/>
  <c r="N256" i="31"/>
  <c r="O389" i="31"/>
  <c r="N389" i="31"/>
  <c r="O484" i="31"/>
  <c r="N484" i="31"/>
  <c r="N18" i="31"/>
  <c r="O18" i="31"/>
  <c r="N84" i="31"/>
  <c r="O84" i="31"/>
  <c r="O203" i="31"/>
  <c r="N203" i="31"/>
  <c r="N330" i="31"/>
  <c r="O330" i="31"/>
  <c r="O431" i="31"/>
  <c r="N431" i="31"/>
  <c r="O537" i="31"/>
  <c r="N537" i="31"/>
  <c r="O79" i="31"/>
  <c r="N79" i="31"/>
  <c r="O191" i="31"/>
  <c r="N191" i="31"/>
  <c r="O267" i="31"/>
  <c r="N267" i="31"/>
  <c r="O393" i="31"/>
  <c r="N393" i="31"/>
  <c r="N524" i="31"/>
  <c r="O524" i="31"/>
  <c r="O67" i="31"/>
  <c r="N67" i="31"/>
  <c r="O145" i="31"/>
  <c r="N145" i="31"/>
  <c r="N223" i="31"/>
  <c r="O223" i="31"/>
  <c r="O332" i="31"/>
  <c r="N332" i="31"/>
  <c r="O444" i="31"/>
  <c r="N444" i="31"/>
  <c r="O565" i="31"/>
  <c r="N565" i="31"/>
  <c r="N24" i="31"/>
  <c r="O24" i="31"/>
  <c r="N152" i="31"/>
  <c r="O152" i="31"/>
  <c r="N252" i="31"/>
  <c r="O252" i="31"/>
  <c r="O378" i="31"/>
  <c r="N378" i="31"/>
  <c r="O525" i="31"/>
  <c r="N525" i="31"/>
  <c r="O58" i="31"/>
  <c r="N58" i="31"/>
  <c r="N90" i="31"/>
  <c r="O90" i="31"/>
  <c r="O206" i="31"/>
  <c r="N206" i="31"/>
  <c r="N227" i="31"/>
  <c r="O227" i="31"/>
  <c r="N337" i="31"/>
  <c r="O337" i="31"/>
  <c r="O375" i="31"/>
  <c r="N375" i="31"/>
  <c r="O452" i="31"/>
  <c r="N452" i="31"/>
  <c r="N521" i="31"/>
  <c r="O521" i="31"/>
  <c r="O604" i="31"/>
  <c r="N604" i="31"/>
  <c r="O283" i="31"/>
  <c r="N283" i="31"/>
  <c r="N326" i="31"/>
  <c r="O326" i="31"/>
  <c r="O413" i="31"/>
  <c r="N413" i="31"/>
  <c r="N508" i="31"/>
  <c r="O508" i="31"/>
  <c r="N566" i="31"/>
  <c r="O566" i="31"/>
  <c r="N20" i="31"/>
  <c r="O20" i="31"/>
  <c r="O132" i="31"/>
  <c r="N132" i="31"/>
  <c r="N201" i="31"/>
  <c r="O201" i="31"/>
  <c r="O312" i="31"/>
  <c r="N312" i="31"/>
  <c r="N308" i="31"/>
  <c r="O308" i="31"/>
  <c r="O396" i="31"/>
  <c r="N396" i="31"/>
  <c r="N456" i="31"/>
  <c r="O456" i="31"/>
  <c r="O554" i="31"/>
  <c r="N554" i="31"/>
  <c r="N48" i="31"/>
  <c r="O48" i="31"/>
  <c r="N104" i="31"/>
  <c r="O104" i="31"/>
  <c r="N148" i="31"/>
  <c r="O148" i="31"/>
  <c r="N336" i="31"/>
  <c r="O336" i="31"/>
  <c r="N324" i="31"/>
  <c r="O324" i="31"/>
  <c r="O387" i="31"/>
  <c r="N387" i="31"/>
  <c r="N490" i="31"/>
  <c r="O490" i="31"/>
  <c r="N520" i="31"/>
  <c r="O520" i="31"/>
  <c r="N591" i="31"/>
  <c r="O591" i="31"/>
  <c r="O17" i="31"/>
  <c r="N17" i="31"/>
  <c r="N481" i="31"/>
  <c r="O481" i="31"/>
  <c r="N106" i="31"/>
  <c r="O106" i="31"/>
  <c r="N146" i="31"/>
  <c r="O146" i="31"/>
  <c r="N458" i="31"/>
  <c r="O458" i="31"/>
  <c r="O404" i="31"/>
  <c r="N404" i="31"/>
  <c r="O449" i="31"/>
  <c r="N449" i="31"/>
  <c r="N217" i="31"/>
  <c r="O217" i="31"/>
  <c r="O543" i="31"/>
  <c r="N543" i="31"/>
  <c r="N219" i="31"/>
  <c r="O219" i="31"/>
  <c r="O544" i="31"/>
  <c r="N544" i="31"/>
  <c r="N179" i="31"/>
  <c r="O179" i="31"/>
  <c r="O530" i="31"/>
  <c r="N530" i="31"/>
  <c r="N188" i="31"/>
  <c r="O188" i="31"/>
  <c r="N518" i="31"/>
  <c r="O518" i="31"/>
  <c r="O210" i="31"/>
  <c r="N210" i="31"/>
  <c r="O483" i="31"/>
  <c r="N483" i="31"/>
  <c r="N55" i="31"/>
  <c r="O55" i="31"/>
  <c r="O167" i="31"/>
  <c r="N167" i="31"/>
  <c r="O243" i="31"/>
  <c r="N243" i="31"/>
  <c r="N392" i="31"/>
  <c r="O392" i="31"/>
  <c r="O488" i="31"/>
  <c r="N488" i="31"/>
  <c r="O43" i="31"/>
  <c r="N43" i="31"/>
  <c r="O125" i="31"/>
  <c r="N125" i="31"/>
  <c r="N230" i="31"/>
  <c r="O230" i="31"/>
  <c r="O292" i="31"/>
  <c r="N292" i="31"/>
  <c r="O435" i="31"/>
  <c r="N435" i="31"/>
  <c r="O576" i="31"/>
  <c r="N576" i="31"/>
  <c r="O105" i="31"/>
  <c r="N105" i="31"/>
  <c r="O177" i="31"/>
  <c r="N177" i="31"/>
  <c r="O269" i="31"/>
  <c r="N269" i="31"/>
  <c r="O409" i="31"/>
  <c r="N409" i="31"/>
  <c r="O519" i="31"/>
  <c r="N519" i="31"/>
  <c r="N76" i="31"/>
  <c r="O76" i="31"/>
  <c r="N111" i="31"/>
  <c r="O111" i="31"/>
  <c r="N241" i="31"/>
  <c r="O241" i="31"/>
  <c r="N318" i="31"/>
  <c r="O318" i="31"/>
  <c r="O461" i="31"/>
  <c r="N461" i="31"/>
  <c r="N587" i="31"/>
  <c r="O587" i="31"/>
  <c r="O137" i="31"/>
  <c r="N137" i="31"/>
  <c r="O193" i="31"/>
  <c r="N193" i="31"/>
  <c r="N303" i="31"/>
  <c r="O303" i="31"/>
  <c r="O410" i="31"/>
  <c r="N410" i="31"/>
  <c r="N505" i="31"/>
  <c r="O505" i="31"/>
  <c r="O59" i="31"/>
  <c r="N59" i="31"/>
  <c r="O91" i="31"/>
  <c r="N91" i="31"/>
  <c r="N232" i="31"/>
  <c r="O232" i="31"/>
  <c r="N237" i="31"/>
  <c r="O237" i="31"/>
  <c r="O366" i="31"/>
  <c r="N366" i="31"/>
  <c r="O402" i="31"/>
  <c r="N402" i="31"/>
  <c r="O497" i="31"/>
  <c r="N497" i="31"/>
  <c r="N541" i="31"/>
  <c r="O541" i="31"/>
  <c r="O57" i="31"/>
  <c r="N57" i="31"/>
  <c r="N328" i="31"/>
  <c r="O328" i="31"/>
  <c r="O390" i="31"/>
  <c r="N390" i="31"/>
  <c r="N425" i="31"/>
  <c r="O425" i="31"/>
  <c r="N496" i="31"/>
  <c r="O496" i="31"/>
  <c r="N585" i="31"/>
  <c r="O585" i="31"/>
  <c r="O21" i="31"/>
  <c r="N21" i="31"/>
  <c r="N141" i="31"/>
  <c r="O141" i="31"/>
  <c r="O194" i="31"/>
  <c r="N194" i="31"/>
  <c r="N282" i="31"/>
  <c r="O282" i="31"/>
  <c r="O325" i="31"/>
  <c r="N325" i="31"/>
  <c r="O438" i="31"/>
  <c r="N438" i="31"/>
  <c r="O523" i="31"/>
  <c r="N523" i="31"/>
  <c r="O569" i="31"/>
  <c r="N569" i="31"/>
  <c r="O121" i="31"/>
  <c r="N121" i="31"/>
  <c r="O173" i="31"/>
  <c r="N173" i="31"/>
  <c r="N208" i="31"/>
  <c r="O208" i="31"/>
  <c r="O343" i="31"/>
  <c r="N343" i="31"/>
  <c r="N333" i="31"/>
  <c r="O333" i="31"/>
  <c r="O401" i="31"/>
  <c r="N401" i="31"/>
  <c r="O462" i="31"/>
  <c r="N462" i="31"/>
  <c r="O532" i="31"/>
  <c r="N532" i="31"/>
  <c r="N611" i="31"/>
  <c r="O611" i="31"/>
  <c r="O41" i="31"/>
  <c r="N41" i="31"/>
  <c r="O539" i="31"/>
  <c r="N539" i="31"/>
  <c r="N304" i="31"/>
  <c r="O304" i="31"/>
  <c r="O598" i="31"/>
  <c r="N598" i="31"/>
  <c r="N235" i="31"/>
  <c r="O235" i="31"/>
  <c r="N557" i="31"/>
  <c r="O557" i="31"/>
  <c r="N220" i="31"/>
  <c r="O220" i="31"/>
  <c r="O550" i="31"/>
  <c r="N550" i="31"/>
  <c r="N214" i="31"/>
  <c r="O214" i="31"/>
  <c r="O513" i="31"/>
  <c r="N513" i="31"/>
  <c r="O89" i="31"/>
  <c r="N89" i="31"/>
  <c r="N200" i="31"/>
  <c r="O200" i="31"/>
  <c r="N296" i="31"/>
  <c r="O296" i="31"/>
  <c r="O372" i="31"/>
  <c r="N372" i="31"/>
  <c r="O560" i="31"/>
  <c r="N560" i="31"/>
  <c r="N60" i="31"/>
  <c r="O60" i="31"/>
  <c r="O87" i="31"/>
  <c r="N87" i="31"/>
  <c r="O238" i="31"/>
  <c r="N238" i="31"/>
  <c r="O294" i="31"/>
  <c r="N294" i="31"/>
  <c r="O460" i="31"/>
  <c r="N460" i="31"/>
  <c r="O573" i="31"/>
  <c r="N573" i="31"/>
  <c r="O153" i="31"/>
  <c r="N153" i="31"/>
  <c r="N186" i="31"/>
  <c r="O186" i="31"/>
  <c r="O327" i="31"/>
  <c r="N327" i="31"/>
  <c r="N429" i="31"/>
  <c r="O429" i="31"/>
  <c r="O533" i="31"/>
  <c r="N533" i="31"/>
  <c r="N13" i="31"/>
  <c r="O13" i="31"/>
  <c r="N144" i="31"/>
  <c r="O144" i="31"/>
  <c r="O265" i="31"/>
  <c r="N265" i="31"/>
  <c r="N397" i="31"/>
  <c r="O397" i="31"/>
  <c r="O472" i="31"/>
  <c r="N472" i="31"/>
  <c r="O595" i="31"/>
  <c r="N595" i="31"/>
  <c r="N99" i="31"/>
  <c r="O99" i="31"/>
  <c r="O248" i="31"/>
  <c r="N248" i="31"/>
  <c r="N321" i="31"/>
  <c r="O321" i="31"/>
  <c r="O406" i="31"/>
  <c r="N406" i="31"/>
  <c r="N534" i="31"/>
  <c r="O534" i="31"/>
  <c r="N52" i="31"/>
  <c r="O52" i="31"/>
  <c r="N92" i="31"/>
  <c r="O92" i="31"/>
  <c r="N161" i="31"/>
  <c r="O161" i="31"/>
  <c r="O344" i="31"/>
  <c r="N344" i="31"/>
  <c r="O358" i="31"/>
  <c r="N358" i="31"/>
  <c r="N400" i="31"/>
  <c r="O400" i="31"/>
  <c r="O455" i="31"/>
  <c r="N455" i="31"/>
  <c r="N528" i="31"/>
  <c r="O528" i="31"/>
  <c r="N65" i="31"/>
  <c r="O65" i="31"/>
  <c r="N270" i="31"/>
  <c r="O270" i="31"/>
  <c r="N355" i="31"/>
  <c r="O355" i="31"/>
  <c r="O433" i="31"/>
  <c r="N433" i="31"/>
  <c r="N502" i="31"/>
  <c r="O502" i="31"/>
  <c r="N588" i="31"/>
  <c r="O588" i="31"/>
  <c r="N62" i="31"/>
  <c r="O62" i="31"/>
  <c r="O142" i="31"/>
  <c r="N142" i="31"/>
  <c r="O195" i="31"/>
  <c r="N195" i="31"/>
  <c r="N311" i="31"/>
  <c r="O311" i="31"/>
  <c r="N342" i="31"/>
  <c r="O342" i="31"/>
  <c r="O421" i="31"/>
  <c r="N421" i="31"/>
  <c r="O478" i="31"/>
  <c r="N478" i="31"/>
  <c r="N559" i="31"/>
  <c r="O559" i="31"/>
  <c r="O122" i="31"/>
  <c r="N122" i="31"/>
  <c r="O166" i="31"/>
  <c r="N166" i="31"/>
  <c r="O239" i="31"/>
  <c r="N239" i="31"/>
  <c r="O245" i="31"/>
  <c r="N245" i="31"/>
  <c r="O334" i="31"/>
  <c r="N334" i="31"/>
  <c r="O419" i="31"/>
  <c r="N419" i="31"/>
  <c r="N477" i="31"/>
  <c r="O477" i="31"/>
  <c r="N558" i="31"/>
  <c r="O558" i="31"/>
  <c r="N609" i="31"/>
  <c r="O609" i="31"/>
  <c r="O526" i="31"/>
  <c r="N526" i="31"/>
  <c r="N399" i="31"/>
  <c r="O399" i="31"/>
  <c r="O329" i="31"/>
  <c r="N329" i="31"/>
  <c r="O45" i="31"/>
  <c r="N45" i="31"/>
  <c r="N348" i="31"/>
  <c r="O348" i="31"/>
  <c r="O66" i="31"/>
  <c r="N66" i="31"/>
  <c r="O260" i="31"/>
  <c r="N260" i="31"/>
  <c r="O590" i="31"/>
  <c r="N590" i="31"/>
  <c r="O268" i="31"/>
  <c r="N268" i="31"/>
  <c r="O584" i="31"/>
  <c r="N584" i="31"/>
  <c r="N254" i="31"/>
  <c r="O254" i="31"/>
  <c r="O562" i="31"/>
  <c r="N562" i="31"/>
  <c r="N114" i="31"/>
  <c r="O114" i="31"/>
  <c r="O170" i="31"/>
  <c r="N170" i="31"/>
  <c r="N271" i="31"/>
  <c r="O271" i="31"/>
  <c r="O412" i="31"/>
  <c r="N412" i="31"/>
  <c r="O540" i="31"/>
  <c r="N540" i="31"/>
  <c r="N77" i="31"/>
  <c r="O77" i="31"/>
  <c r="N120" i="31"/>
  <c r="O120" i="31"/>
  <c r="N221" i="31"/>
  <c r="O221" i="31"/>
  <c r="N361" i="31"/>
  <c r="O361" i="31"/>
  <c r="O471" i="31"/>
  <c r="N471" i="31"/>
  <c r="N599" i="31"/>
  <c r="O599" i="31"/>
  <c r="N100" i="31"/>
  <c r="O100" i="31"/>
  <c r="O156" i="31"/>
  <c r="N156" i="31"/>
  <c r="N338" i="31"/>
  <c r="O338" i="31"/>
  <c r="N439" i="31"/>
  <c r="O439" i="31"/>
  <c r="O547" i="31"/>
  <c r="N547" i="31"/>
  <c r="O80" i="31"/>
  <c r="N80" i="31"/>
  <c r="O182" i="31"/>
  <c r="N182" i="31"/>
  <c r="O288" i="31"/>
  <c r="N288" i="31"/>
  <c r="N374" i="31"/>
  <c r="O374" i="31"/>
  <c r="O501" i="31"/>
  <c r="N501" i="31"/>
  <c r="O50" i="31"/>
  <c r="N50" i="31"/>
  <c r="N124" i="31"/>
  <c r="O124" i="31"/>
  <c r="O180" i="31"/>
  <c r="N180" i="31"/>
  <c r="O299" i="31"/>
  <c r="N299" i="31"/>
  <c r="O440" i="31"/>
  <c r="N440" i="31"/>
  <c r="N548" i="31"/>
  <c r="O548" i="31"/>
  <c r="O53" i="31"/>
  <c r="N53" i="31"/>
  <c r="N101" i="31"/>
  <c r="O101" i="31"/>
  <c r="N162" i="31"/>
  <c r="O162" i="31"/>
  <c r="O250" i="31"/>
  <c r="N250" i="31"/>
  <c r="N293" i="31"/>
  <c r="O293" i="31"/>
  <c r="N418" i="31"/>
  <c r="O418" i="31"/>
  <c r="N479" i="31"/>
  <c r="O479" i="31"/>
  <c r="N549" i="31"/>
  <c r="O549" i="31"/>
  <c r="N297" i="31"/>
  <c r="O297" i="31"/>
  <c r="O357" i="31"/>
  <c r="N357" i="31"/>
  <c r="N453" i="31"/>
  <c r="O453" i="31"/>
  <c r="N529" i="31"/>
  <c r="O529" i="31"/>
  <c r="O608" i="31"/>
  <c r="N608" i="31"/>
  <c r="O39" i="31"/>
  <c r="N39" i="31"/>
  <c r="N88" i="31"/>
  <c r="O88" i="31"/>
  <c r="N204" i="31"/>
  <c r="O204" i="31"/>
  <c r="O253" i="31"/>
  <c r="N253" i="31"/>
  <c r="N353" i="31"/>
  <c r="O353" i="31"/>
  <c r="N426" i="31"/>
  <c r="O426" i="31"/>
  <c r="N507" i="31"/>
  <c r="O507" i="31"/>
  <c r="N593" i="31"/>
  <c r="O593" i="31"/>
  <c r="O115" i="31"/>
  <c r="N115" i="31"/>
  <c r="O159" i="31"/>
  <c r="N159" i="31"/>
  <c r="O218" i="31"/>
  <c r="N218" i="31"/>
  <c r="N262" i="31"/>
  <c r="O262" i="31"/>
  <c r="O368" i="31"/>
  <c r="N368" i="31"/>
  <c r="N405" i="31"/>
  <c r="O405" i="31"/>
  <c r="O491" i="31"/>
  <c r="N491" i="31"/>
  <c r="O553" i="31"/>
  <c r="N553" i="31"/>
  <c r="O572" i="31"/>
  <c r="N572" i="31"/>
  <c r="O73" i="31"/>
  <c r="N73" i="31"/>
  <c r="N320" i="31"/>
  <c r="O320" i="31"/>
  <c r="O580" i="31"/>
  <c r="N580" i="31"/>
  <c r="O284" i="31"/>
  <c r="N284" i="31"/>
  <c r="N37" i="31"/>
  <c r="O37" i="31"/>
  <c r="O623" i="31"/>
  <c r="N623" i="31"/>
  <c r="O19" i="31"/>
  <c r="N19" i="31"/>
  <c r="N64" i="31"/>
  <c r="O64" i="31"/>
  <c r="N381" i="31"/>
  <c r="O381" i="31"/>
  <c r="N494" i="31"/>
  <c r="O494" i="31"/>
  <c r="O309" i="31"/>
  <c r="N309" i="31"/>
  <c r="O568" i="31"/>
  <c r="N568" i="31"/>
  <c r="N31" i="31"/>
  <c r="O31" i="31"/>
  <c r="N341" i="31"/>
  <c r="O341" i="31"/>
  <c r="N47" i="31"/>
  <c r="O47" i="31"/>
  <c r="N352" i="31"/>
  <c r="O352" i="31"/>
  <c r="O61" i="31"/>
  <c r="N61" i="31"/>
  <c r="O298" i="31"/>
  <c r="N298" i="31"/>
  <c r="N74" i="31"/>
  <c r="O74" i="31"/>
  <c r="N323" i="31"/>
  <c r="O323" i="31"/>
  <c r="O81" i="31"/>
  <c r="N81" i="31"/>
  <c r="O335" i="31"/>
  <c r="N335" i="31"/>
  <c r="O612" i="31"/>
  <c r="N612" i="31"/>
  <c r="O149" i="31"/>
  <c r="N149" i="31"/>
  <c r="O187" i="31"/>
  <c r="N187" i="31"/>
  <c r="P322" i="31"/>
  <c r="O322" i="31"/>
  <c r="N322" i="31"/>
  <c r="O423" i="31"/>
  <c r="N423" i="31"/>
  <c r="O536" i="31"/>
  <c r="N536" i="31"/>
  <c r="N70" i="31"/>
  <c r="O70" i="31"/>
  <c r="N150" i="31"/>
  <c r="O150" i="31"/>
  <c r="O273" i="31"/>
  <c r="N273" i="31"/>
  <c r="N364" i="31"/>
  <c r="O364" i="31"/>
  <c r="N492" i="31"/>
  <c r="O492" i="31"/>
  <c r="N34" i="31"/>
  <c r="O34" i="31"/>
  <c r="O133" i="31"/>
  <c r="N133" i="31"/>
  <c r="O215" i="31"/>
  <c r="N215" i="31"/>
  <c r="N316" i="31"/>
  <c r="O316" i="31"/>
  <c r="O443" i="31"/>
  <c r="N443" i="31"/>
  <c r="O570" i="31"/>
  <c r="N570" i="31"/>
  <c r="O16" i="31"/>
  <c r="N16" i="31"/>
  <c r="N199" i="31"/>
  <c r="O199" i="31"/>
  <c r="N275" i="31"/>
  <c r="O275" i="31"/>
  <c r="N403" i="31"/>
  <c r="O403" i="31"/>
  <c r="N538" i="31"/>
  <c r="O538" i="31"/>
  <c r="N75" i="31"/>
  <c r="O75" i="31"/>
  <c r="N86" i="31"/>
  <c r="O86" i="31"/>
  <c r="N231" i="31"/>
  <c r="O231" i="31"/>
  <c r="N340" i="31"/>
  <c r="O340" i="31"/>
  <c r="O466" i="31"/>
  <c r="N466" i="31"/>
  <c r="O567" i="31"/>
  <c r="N567" i="31"/>
  <c r="O30" i="31"/>
  <c r="N30" i="31"/>
  <c r="O110" i="31"/>
  <c r="N110" i="31"/>
  <c r="N163" i="31"/>
  <c r="O163" i="31"/>
  <c r="O259" i="31"/>
  <c r="N259" i="31"/>
  <c r="N302" i="31"/>
  <c r="O302" i="31"/>
  <c r="O428" i="31"/>
  <c r="N428" i="31"/>
  <c r="N515" i="31"/>
  <c r="O515" i="31"/>
  <c r="N556" i="31"/>
  <c r="O556" i="31"/>
  <c r="O228" i="31"/>
  <c r="N228" i="31"/>
  <c r="O306" i="31"/>
  <c r="N306" i="31"/>
  <c r="N408" i="31"/>
  <c r="O408" i="31"/>
  <c r="N451" i="31"/>
  <c r="O451" i="31"/>
  <c r="O514" i="31"/>
  <c r="N514" i="31"/>
  <c r="N607" i="31"/>
  <c r="O607" i="31"/>
  <c r="N32" i="31"/>
  <c r="O32" i="31"/>
  <c r="N165" i="31"/>
  <c r="O165" i="31"/>
  <c r="O240" i="31"/>
  <c r="N240" i="31"/>
  <c r="N278" i="31"/>
  <c r="O278" i="31"/>
  <c r="O363" i="31"/>
  <c r="N363" i="31"/>
  <c r="N441" i="31"/>
  <c r="O441" i="31"/>
  <c r="O510" i="31"/>
  <c r="N510" i="31"/>
  <c r="N589" i="31"/>
  <c r="O589" i="31"/>
  <c r="N108" i="31"/>
  <c r="O108" i="31"/>
  <c r="N160" i="31"/>
  <c r="O160" i="31"/>
  <c r="O212" i="31"/>
  <c r="N212" i="31"/>
  <c r="N295" i="31"/>
  <c r="O295" i="31"/>
  <c r="N370" i="31"/>
  <c r="O370" i="31"/>
  <c r="N415" i="31"/>
  <c r="O415" i="31"/>
  <c r="N493" i="31"/>
  <c r="O493" i="31"/>
  <c r="N551" i="31"/>
  <c r="O551" i="31"/>
  <c r="N574" i="31"/>
  <c r="O574" i="31"/>
  <c r="O613" i="31"/>
  <c r="N613" i="31"/>
  <c r="P144" i="31"/>
  <c r="P69" i="31"/>
  <c r="P248" i="31"/>
  <c r="P376" i="31"/>
  <c r="P504" i="31"/>
  <c r="P19" i="31"/>
  <c r="P52" i="31"/>
  <c r="P220" i="31"/>
  <c r="P348" i="31"/>
  <c r="P476" i="31"/>
  <c r="P604" i="31"/>
  <c r="P49" i="31"/>
  <c r="P192" i="31"/>
  <c r="P320" i="31"/>
  <c r="P448" i="31"/>
  <c r="P576" i="31"/>
  <c r="P32" i="31"/>
  <c r="P47" i="31"/>
  <c r="P25" i="31"/>
  <c r="P60" i="31"/>
  <c r="P36" i="31"/>
  <c r="P180" i="31"/>
  <c r="P308" i="31"/>
  <c r="P564" i="31"/>
  <c r="P85" i="31"/>
  <c r="P117" i="31"/>
  <c r="P149" i="31"/>
  <c r="P181" i="31"/>
  <c r="P213" i="31"/>
  <c r="P245" i="31"/>
  <c r="P277" i="31"/>
  <c r="P309" i="31"/>
  <c r="P341" i="31"/>
  <c r="P373" i="31"/>
  <c r="P405" i="31"/>
  <c r="P437" i="31"/>
  <c r="P469" i="31"/>
  <c r="P501" i="31"/>
  <c r="P533" i="31"/>
  <c r="P565" i="31"/>
  <c r="P597" i="31"/>
  <c r="P74" i="31"/>
  <c r="P106" i="31"/>
  <c r="P138" i="31"/>
  <c r="P170" i="31"/>
  <c r="P202" i="31"/>
  <c r="P234" i="31"/>
  <c r="P266" i="31"/>
  <c r="P298" i="31"/>
  <c r="P330" i="31"/>
  <c r="P362" i="31"/>
  <c r="P394" i="31"/>
  <c r="P426" i="31"/>
  <c r="P458" i="31"/>
  <c r="P490" i="31"/>
  <c r="P522" i="31"/>
  <c r="P554" i="31"/>
  <c r="P586" i="31"/>
  <c r="P95" i="31"/>
  <c r="P127" i="31"/>
  <c r="P159" i="31"/>
  <c r="P191" i="31"/>
  <c r="P223" i="31"/>
  <c r="P255" i="31"/>
  <c r="P287" i="31"/>
  <c r="P319" i="31"/>
  <c r="P351" i="31"/>
  <c r="P383" i="31"/>
  <c r="P415" i="31"/>
  <c r="P447" i="31"/>
  <c r="P479" i="31"/>
  <c r="P511" i="31"/>
  <c r="P543" i="31"/>
  <c r="P575" i="31"/>
  <c r="P607" i="31"/>
  <c r="P124" i="31"/>
  <c r="P264" i="31"/>
  <c r="P392" i="31"/>
  <c r="P520" i="31"/>
  <c r="P38" i="31"/>
  <c r="P58" i="31"/>
  <c r="P236" i="31"/>
  <c r="P364" i="31"/>
  <c r="P492" i="31"/>
  <c r="P112" i="31"/>
  <c r="P15" i="31"/>
  <c r="P208" i="31"/>
  <c r="P336" i="31"/>
  <c r="P464" i="31"/>
  <c r="P592" i="31"/>
  <c r="P57" i="31"/>
  <c r="P17" i="31"/>
  <c r="P51" i="31"/>
  <c r="P66" i="31"/>
  <c r="P42" i="31"/>
  <c r="P196" i="31"/>
  <c r="P324" i="31"/>
  <c r="P452" i="31"/>
  <c r="P580" i="31"/>
  <c r="P89" i="31"/>
  <c r="P121" i="31"/>
  <c r="P153" i="31"/>
  <c r="P185" i="31"/>
  <c r="P217" i="31"/>
  <c r="P249" i="31"/>
  <c r="P281" i="31"/>
  <c r="P313" i="31"/>
  <c r="P345" i="31"/>
  <c r="P377" i="31"/>
  <c r="P409" i="31"/>
  <c r="P441" i="31"/>
  <c r="P473" i="31"/>
  <c r="P505" i="31"/>
  <c r="P537" i="31"/>
  <c r="P569" i="31"/>
  <c r="P601" i="31"/>
  <c r="P78" i="31"/>
  <c r="P110" i="31"/>
  <c r="P142" i="31"/>
  <c r="P174" i="31"/>
  <c r="P206" i="31"/>
  <c r="P238" i="31"/>
  <c r="P270" i="31"/>
  <c r="P302" i="31"/>
  <c r="P334" i="31"/>
  <c r="P366" i="31"/>
  <c r="P398" i="31"/>
  <c r="P430" i="31"/>
  <c r="P462" i="31"/>
  <c r="P494" i="31"/>
  <c r="P526" i="31"/>
  <c r="P558" i="31"/>
  <c r="P590" i="31"/>
  <c r="P99" i="31"/>
  <c r="P131" i="31"/>
  <c r="P163" i="31"/>
  <c r="P195" i="31"/>
  <c r="P227" i="31"/>
  <c r="P259" i="31"/>
  <c r="P291" i="31"/>
  <c r="P323" i="31"/>
  <c r="P355" i="31"/>
  <c r="P387" i="31"/>
  <c r="P419" i="31"/>
  <c r="P451" i="31"/>
  <c r="P483" i="31"/>
  <c r="P515" i="31"/>
  <c r="P547" i="31"/>
  <c r="P579" i="31"/>
  <c r="P611" i="31"/>
  <c r="P156" i="31"/>
  <c r="P280" i="31"/>
  <c r="P408" i="31"/>
  <c r="P536" i="31"/>
  <c r="P64" i="31"/>
  <c r="P72" i="31"/>
  <c r="P252" i="31"/>
  <c r="P508" i="31"/>
  <c r="P71" i="31"/>
  <c r="P128" i="31"/>
  <c r="P224" i="31"/>
  <c r="P352" i="31"/>
  <c r="P480" i="31"/>
  <c r="P608" i="31"/>
  <c r="P104" i="31"/>
  <c r="P22" i="31"/>
  <c r="P33" i="31"/>
  <c r="P35" i="31"/>
  <c r="P55" i="31"/>
  <c r="P212" i="31"/>
  <c r="P340" i="31"/>
  <c r="P468" i="31"/>
  <c r="P596" i="31"/>
  <c r="P93" i="31"/>
  <c r="P125" i="31"/>
  <c r="P157" i="31"/>
  <c r="P189" i="31"/>
  <c r="P221" i="31"/>
  <c r="P253" i="31"/>
  <c r="P285" i="31"/>
  <c r="P317" i="31"/>
  <c r="P349" i="31"/>
  <c r="P381" i="31"/>
  <c r="P413" i="31"/>
  <c r="P445" i="31"/>
  <c r="P477" i="31"/>
  <c r="P509" i="31"/>
  <c r="P541" i="31"/>
  <c r="P573" i="31"/>
  <c r="P605" i="31"/>
  <c r="P82" i="31"/>
  <c r="P114" i="31"/>
  <c r="P146" i="31"/>
  <c r="P178" i="31"/>
  <c r="P210" i="31"/>
  <c r="P242" i="31"/>
  <c r="P274" i="31"/>
  <c r="P306" i="31"/>
  <c r="P338" i="31"/>
  <c r="P370" i="31"/>
  <c r="P402" i="31"/>
  <c r="P434" i="31"/>
  <c r="P466" i="31"/>
  <c r="P498" i="31"/>
  <c r="P530" i="31"/>
  <c r="P562" i="31"/>
  <c r="P594" i="31"/>
  <c r="P103" i="31"/>
  <c r="P135" i="31"/>
  <c r="P167" i="31"/>
  <c r="P199" i="31"/>
  <c r="P231" i="31"/>
  <c r="P263" i="31"/>
  <c r="P295" i="31"/>
  <c r="P327" i="31"/>
  <c r="P359" i="31"/>
  <c r="P391" i="31"/>
  <c r="P423" i="31"/>
  <c r="P455" i="31"/>
  <c r="P487" i="31"/>
  <c r="P519" i="31"/>
  <c r="P551" i="31"/>
  <c r="P583" i="31"/>
  <c r="P622" i="31"/>
  <c r="P31" i="31"/>
  <c r="P168" i="31"/>
  <c r="P296" i="31"/>
  <c r="P424" i="31"/>
  <c r="P552" i="31"/>
  <c r="P14" i="31"/>
  <c r="P116" i="31"/>
  <c r="P268" i="31"/>
  <c r="P396" i="31"/>
  <c r="P524" i="31"/>
  <c r="P40" i="31"/>
  <c r="P34" i="31"/>
  <c r="P240" i="31"/>
  <c r="P368" i="31"/>
  <c r="P496" i="31"/>
  <c r="P623" i="31"/>
  <c r="P136" i="31"/>
  <c r="P41" i="31"/>
  <c r="P46" i="31"/>
  <c r="P48" i="31"/>
  <c r="P61" i="31"/>
  <c r="P228" i="31"/>
  <c r="P356" i="31"/>
  <c r="P484" i="31"/>
  <c r="P612" i="31"/>
  <c r="P97" i="31"/>
  <c r="P129" i="31"/>
  <c r="P161" i="31"/>
  <c r="P193" i="31"/>
  <c r="P257" i="31"/>
  <c r="P289" i="31"/>
  <c r="P321" i="31"/>
  <c r="P353" i="31"/>
  <c r="P385" i="31"/>
  <c r="P417" i="31"/>
  <c r="P449" i="31"/>
  <c r="P481" i="31"/>
  <c r="P513" i="31"/>
  <c r="P545" i="31"/>
  <c r="P577" i="31"/>
  <c r="P609" i="31"/>
  <c r="P86" i="31"/>
  <c r="P118" i="31"/>
  <c r="P150" i="31"/>
  <c r="P182" i="31"/>
  <c r="P214" i="31"/>
  <c r="P246" i="31"/>
  <c r="P278" i="31"/>
  <c r="P310" i="31"/>
  <c r="P342" i="31"/>
  <c r="P374" i="31"/>
  <c r="P406" i="31"/>
  <c r="P438" i="31"/>
  <c r="P470" i="31"/>
  <c r="P502" i="31"/>
  <c r="P534" i="31"/>
  <c r="P566" i="31"/>
  <c r="P598" i="31"/>
  <c r="P75" i="31"/>
  <c r="P107" i="31"/>
  <c r="P139" i="31"/>
  <c r="P171" i="31"/>
  <c r="P203" i="31"/>
  <c r="P235" i="31"/>
  <c r="P267" i="31"/>
  <c r="P299" i="31"/>
  <c r="P331" i="31"/>
  <c r="P363" i="31"/>
  <c r="P395" i="31"/>
  <c r="P427" i="31"/>
  <c r="P459" i="31"/>
  <c r="P491" i="31"/>
  <c r="P523" i="31"/>
  <c r="P555" i="31"/>
  <c r="P587" i="31"/>
  <c r="P626" i="31"/>
  <c r="P37" i="31"/>
  <c r="P184" i="31"/>
  <c r="P312" i="31"/>
  <c r="P440" i="31"/>
  <c r="P568" i="31"/>
  <c r="P20" i="31"/>
  <c r="P148" i="31"/>
  <c r="P284" i="31"/>
  <c r="P412" i="31"/>
  <c r="P540" i="31"/>
  <c r="P65" i="31"/>
  <c r="P73" i="31"/>
  <c r="P256" i="31"/>
  <c r="P384" i="31"/>
  <c r="P512" i="31"/>
  <c r="P30" i="31"/>
  <c r="P27" i="31"/>
  <c r="P120" i="31"/>
  <c r="P59" i="31"/>
  <c r="P54" i="31"/>
  <c r="P68" i="31"/>
  <c r="P244" i="31"/>
  <c r="P372" i="31"/>
  <c r="P500" i="31"/>
  <c r="P101" i="31"/>
  <c r="P133" i="31"/>
  <c r="P165" i="31"/>
  <c r="P197" i="31"/>
  <c r="P229" i="31"/>
  <c r="P261" i="31"/>
  <c r="P293" i="31"/>
  <c r="P325" i="31"/>
  <c r="P357" i="31"/>
  <c r="P389" i="31"/>
  <c r="P421" i="31"/>
  <c r="P453" i="31"/>
  <c r="P485" i="31"/>
  <c r="P517" i="31"/>
  <c r="P549" i="31"/>
  <c r="P581" i="31"/>
  <c r="P90" i="31"/>
  <c r="P122" i="31"/>
  <c r="P154" i="31"/>
  <c r="P186" i="31"/>
  <c r="P218" i="31"/>
  <c r="P250" i="31"/>
  <c r="P282" i="31"/>
  <c r="P314" i="31"/>
  <c r="P346" i="31"/>
  <c r="P378" i="31"/>
  <c r="P410" i="31"/>
  <c r="P442" i="31"/>
  <c r="P474" i="31"/>
  <c r="P506" i="31"/>
  <c r="P538" i="31"/>
  <c r="P570" i="31"/>
  <c r="P602" i="31"/>
  <c r="P79" i="31"/>
  <c r="P111" i="31"/>
  <c r="P143" i="31"/>
  <c r="P175" i="31"/>
  <c r="P207" i="31"/>
  <c r="P239" i="31"/>
  <c r="P271" i="31"/>
  <c r="P303" i="31"/>
  <c r="P335" i="31"/>
  <c r="P367" i="31"/>
  <c r="P399" i="31"/>
  <c r="P431" i="31"/>
  <c r="P463" i="31"/>
  <c r="P495" i="31"/>
  <c r="P527" i="31"/>
  <c r="P559" i="31"/>
  <c r="P591" i="31"/>
  <c r="P44" i="31"/>
  <c r="P200" i="31"/>
  <c r="P328" i="31"/>
  <c r="P456" i="31"/>
  <c r="P584" i="31"/>
  <c r="P26" i="31"/>
  <c r="P172" i="31"/>
  <c r="P300" i="31"/>
  <c r="P428" i="31"/>
  <c r="P556" i="31"/>
  <c r="P96" i="31"/>
  <c r="P108" i="31"/>
  <c r="P400" i="31"/>
  <c r="P528" i="31"/>
  <c r="P56" i="31"/>
  <c r="P80" i="31"/>
  <c r="P152" i="31"/>
  <c r="P88" i="31"/>
  <c r="P67" i="31"/>
  <c r="P100" i="31"/>
  <c r="P260" i="31"/>
  <c r="P388" i="31"/>
  <c r="P516" i="31"/>
  <c r="P18" i="31"/>
  <c r="P105" i="31"/>
  <c r="P137" i="31"/>
  <c r="P169" i="31"/>
  <c r="P201" i="31"/>
  <c r="P233" i="31"/>
  <c r="P265" i="31"/>
  <c r="P297" i="31"/>
  <c r="P329" i="31"/>
  <c r="P361" i="31"/>
  <c r="P393" i="31"/>
  <c r="P425" i="31"/>
  <c r="P457" i="31"/>
  <c r="P489" i="31"/>
  <c r="P521" i="31"/>
  <c r="P553" i="31"/>
  <c r="P585" i="31"/>
  <c r="P94" i="31"/>
  <c r="P126" i="31"/>
  <c r="P158" i="31"/>
  <c r="P190" i="31"/>
  <c r="P222" i="31"/>
  <c r="P254" i="31"/>
  <c r="P286" i="31"/>
  <c r="P318" i="31"/>
  <c r="P350" i="31"/>
  <c r="P382" i="31"/>
  <c r="P414" i="31"/>
  <c r="P446" i="31"/>
  <c r="P478" i="31"/>
  <c r="P510" i="31"/>
  <c r="P542" i="31"/>
  <c r="P574" i="31"/>
  <c r="P606" i="31"/>
  <c r="P83" i="31"/>
  <c r="P115" i="31"/>
  <c r="P147" i="31"/>
  <c r="P179" i="31"/>
  <c r="P211" i="31"/>
  <c r="P243" i="31"/>
  <c r="P275" i="31"/>
  <c r="P307" i="31"/>
  <c r="P339" i="31"/>
  <c r="P371" i="31"/>
  <c r="P403" i="31"/>
  <c r="P435" i="31"/>
  <c r="P467" i="31"/>
  <c r="P499" i="31"/>
  <c r="P531" i="31"/>
  <c r="P563" i="31"/>
  <c r="P595" i="31"/>
  <c r="P24" i="31"/>
  <c r="P50" i="31"/>
  <c r="P216" i="31"/>
  <c r="P344" i="31"/>
  <c r="P472" i="31"/>
  <c r="P600" i="31"/>
  <c r="P39" i="31"/>
  <c r="P188" i="31"/>
  <c r="P316" i="31"/>
  <c r="P444" i="31"/>
  <c r="P572" i="31"/>
  <c r="P160" i="31"/>
  <c r="P140" i="31"/>
  <c r="P288" i="31"/>
  <c r="P416" i="31"/>
  <c r="P544" i="31"/>
  <c r="P84" i="31"/>
  <c r="P21" i="31"/>
  <c r="P62" i="31"/>
  <c r="P16" i="31"/>
  <c r="P23" i="31"/>
  <c r="P132" i="31"/>
  <c r="P276" i="31"/>
  <c r="P404" i="31"/>
  <c r="P532" i="31"/>
  <c r="P77" i="31"/>
  <c r="P109" i="31"/>
  <c r="P141" i="31"/>
  <c r="P173" i="31"/>
  <c r="P205" i="31"/>
  <c r="P237" i="31"/>
  <c r="P269" i="31"/>
  <c r="P301" i="31"/>
  <c r="P333" i="31"/>
  <c r="P365" i="31"/>
  <c r="P397" i="31"/>
  <c r="P429" i="31"/>
  <c r="P461" i="31"/>
  <c r="P493" i="31"/>
  <c r="P525" i="31"/>
  <c r="P557" i="31"/>
  <c r="P589" i="31"/>
  <c r="P628" i="31"/>
  <c r="P98" i="31"/>
  <c r="P130" i="31"/>
  <c r="P162" i="31"/>
  <c r="P194" i="31"/>
  <c r="P226" i="31"/>
  <c r="P258" i="31"/>
  <c r="P290" i="31"/>
  <c r="P354" i="31"/>
  <c r="P386" i="31"/>
  <c r="P418" i="31"/>
  <c r="P450" i="31"/>
  <c r="P482" i="31"/>
  <c r="P514" i="31"/>
  <c r="P546" i="31"/>
  <c r="P578" i="31"/>
  <c r="P610" i="31"/>
  <c r="P87" i="31"/>
  <c r="P119" i="31"/>
  <c r="P151" i="31"/>
  <c r="P183" i="31"/>
  <c r="P215" i="31"/>
  <c r="P247" i="31"/>
  <c r="P279" i="31"/>
  <c r="P311" i="31"/>
  <c r="P343" i="31"/>
  <c r="P375" i="31"/>
  <c r="P407" i="31"/>
  <c r="P439" i="31"/>
  <c r="P471" i="31"/>
  <c r="P503" i="31"/>
  <c r="P535" i="31"/>
  <c r="P567" i="31"/>
  <c r="P599" i="31"/>
  <c r="P76" i="31"/>
  <c r="P63" i="31"/>
  <c r="P232" i="31"/>
  <c r="P360" i="31"/>
  <c r="P488" i="31"/>
  <c r="P43" i="31"/>
  <c r="P45" i="31"/>
  <c r="P204" i="31"/>
  <c r="P332" i="31"/>
  <c r="P460" i="31"/>
  <c r="P588" i="31"/>
  <c r="P613" i="31"/>
  <c r="P176" i="31"/>
  <c r="P304" i="31"/>
  <c r="P432" i="31"/>
  <c r="P560" i="31"/>
  <c r="P28" i="31"/>
  <c r="P92" i="31"/>
  <c r="P53" i="31"/>
  <c r="P29" i="31"/>
  <c r="P164" i="31"/>
  <c r="P292" i="31"/>
  <c r="P420" i="31"/>
  <c r="P548" i="31"/>
  <c r="P81" i="31"/>
  <c r="P113" i="31"/>
  <c r="P145" i="31"/>
  <c r="P177" i="31"/>
  <c r="P209" i="31"/>
  <c r="P241" i="31"/>
  <c r="P273" i="31"/>
  <c r="P305" i="31"/>
  <c r="P337" i="31"/>
  <c r="P369" i="31"/>
  <c r="P401" i="31"/>
  <c r="P433" i="31"/>
  <c r="P465" i="31"/>
  <c r="P497" i="31"/>
  <c r="P529" i="31"/>
  <c r="P561" i="31"/>
  <c r="P593" i="31"/>
  <c r="P70" i="31"/>
  <c r="P102" i="31"/>
  <c r="P134" i="31"/>
  <c r="P166" i="31"/>
  <c r="P198" i="31"/>
  <c r="P230" i="31"/>
  <c r="P262" i="31"/>
  <c r="P294" i="31"/>
  <c r="P326" i="31"/>
  <c r="P358" i="31"/>
  <c r="P390" i="31"/>
  <c r="P454" i="31"/>
  <c r="P486" i="31"/>
  <c r="P518" i="31"/>
  <c r="P550" i="31"/>
  <c r="P582" i="31"/>
  <c r="P91" i="31"/>
  <c r="P123" i="31"/>
  <c r="P155" i="31"/>
  <c r="P187" i="31"/>
  <c r="P219" i="31"/>
  <c r="P251" i="31"/>
  <c r="P283" i="31"/>
  <c r="P315" i="31"/>
  <c r="P347" i="31"/>
  <c r="P379" i="31"/>
  <c r="P411" i="31"/>
  <c r="P443" i="31"/>
  <c r="P475" i="31"/>
  <c r="P507" i="31"/>
  <c r="P539" i="31"/>
  <c r="P571" i="31"/>
  <c r="P603" i="31"/>
  <c r="R6" i="8"/>
  <c r="B514" i="2" s="1"/>
  <c r="R475" i="31" l="1"/>
  <c r="Q475" i="31"/>
  <c r="AO475" i="31"/>
  <c r="AP475" i="31"/>
  <c r="R45" i="31"/>
  <c r="Q45" i="31"/>
  <c r="AP45" i="31"/>
  <c r="AO45" i="31"/>
  <c r="R109" i="31"/>
  <c r="Q109" i="31"/>
  <c r="AP109" i="31"/>
  <c r="AO109" i="31"/>
  <c r="R179" i="31"/>
  <c r="Q179" i="31"/>
  <c r="AP179" i="31"/>
  <c r="AO179" i="31"/>
  <c r="R222" i="31"/>
  <c r="Q222" i="31"/>
  <c r="AP222" i="31"/>
  <c r="AO222" i="31"/>
  <c r="R265" i="31"/>
  <c r="Q265" i="31"/>
  <c r="AO265" i="31"/>
  <c r="AP265" i="31"/>
  <c r="Q528" i="31"/>
  <c r="R528" i="31"/>
  <c r="AO528" i="31"/>
  <c r="AP528" i="31"/>
  <c r="Q527" i="31"/>
  <c r="R527" i="31"/>
  <c r="AO527" i="31"/>
  <c r="AP527" i="31"/>
  <c r="R570" i="31"/>
  <c r="Q570" i="31"/>
  <c r="AO570" i="31"/>
  <c r="AP570" i="31"/>
  <c r="R581" i="31"/>
  <c r="Q581" i="31"/>
  <c r="AO581" i="31"/>
  <c r="AP581" i="31"/>
  <c r="R27" i="31"/>
  <c r="Q27" i="31"/>
  <c r="AP27" i="31"/>
  <c r="AO27" i="31"/>
  <c r="Q412" i="31"/>
  <c r="R412" i="31"/>
  <c r="AO412" i="31"/>
  <c r="AP412" i="31"/>
  <c r="R37" i="31"/>
  <c r="Q37" i="31"/>
  <c r="AO37" i="31"/>
  <c r="AP37" i="31"/>
  <c r="R395" i="31"/>
  <c r="Q395" i="31"/>
  <c r="AO395" i="31"/>
  <c r="AP395" i="31"/>
  <c r="R139" i="31"/>
  <c r="Q139" i="31"/>
  <c r="AO139" i="31"/>
  <c r="AP139" i="31"/>
  <c r="R438" i="31"/>
  <c r="Q438" i="31"/>
  <c r="AP438" i="31"/>
  <c r="AO438" i="31"/>
  <c r="R182" i="31"/>
  <c r="Q182" i="31"/>
  <c r="AP182" i="31"/>
  <c r="AO182" i="31"/>
  <c r="R481" i="31"/>
  <c r="Q481" i="31"/>
  <c r="AO481" i="31"/>
  <c r="AP481" i="31"/>
  <c r="AP193" i="31"/>
  <c r="R193" i="31"/>
  <c r="Q193" i="31"/>
  <c r="AO193" i="31"/>
  <c r="R61" i="31"/>
  <c r="Q61" i="31"/>
  <c r="AO61" i="31"/>
  <c r="AP61" i="31"/>
  <c r="R240" i="31"/>
  <c r="Q240" i="31"/>
  <c r="AP240" i="31"/>
  <c r="AO240" i="31"/>
  <c r="R552" i="31"/>
  <c r="Q552" i="31"/>
  <c r="AP552" i="31"/>
  <c r="AO552" i="31"/>
  <c r="R519" i="31"/>
  <c r="Q519" i="31"/>
  <c r="AP519" i="31"/>
  <c r="AO519" i="31"/>
  <c r="R263" i="31"/>
  <c r="Q263" i="31"/>
  <c r="AO263" i="31"/>
  <c r="AP263" i="31"/>
  <c r="Q562" i="31"/>
  <c r="R562" i="31"/>
  <c r="AO562" i="31"/>
  <c r="AP562" i="31"/>
  <c r="Q306" i="31"/>
  <c r="R306" i="31"/>
  <c r="AO306" i="31"/>
  <c r="AP306" i="31"/>
  <c r="R605" i="31"/>
  <c r="Q605" i="31"/>
  <c r="AP605" i="31"/>
  <c r="AO605" i="31"/>
  <c r="R349" i="31"/>
  <c r="Q349" i="31"/>
  <c r="AP349" i="31"/>
  <c r="AO349" i="31"/>
  <c r="R93" i="31"/>
  <c r="Q93" i="31"/>
  <c r="AO93" i="31"/>
  <c r="AP93" i="31"/>
  <c r="R22" i="31"/>
  <c r="Q22" i="31"/>
  <c r="AO22" i="31"/>
  <c r="AP22" i="31"/>
  <c r="R508" i="31"/>
  <c r="Q508" i="31"/>
  <c r="AP508" i="31"/>
  <c r="AO508" i="31"/>
  <c r="Q611" i="31"/>
  <c r="R611" i="31"/>
  <c r="AP611" i="31"/>
  <c r="AO611" i="31"/>
  <c r="R355" i="31"/>
  <c r="Q355" i="31"/>
  <c r="AP355" i="31"/>
  <c r="AO355" i="31"/>
  <c r="Q99" i="31"/>
  <c r="R99" i="31"/>
  <c r="AP99" i="31"/>
  <c r="AO99" i="31"/>
  <c r="R398" i="31"/>
  <c r="Q398" i="31"/>
  <c r="AO398" i="31"/>
  <c r="AP398" i="31"/>
  <c r="R142" i="31"/>
  <c r="Q142" i="31"/>
  <c r="AP142" i="31"/>
  <c r="AO142" i="31"/>
  <c r="R441" i="31"/>
  <c r="Q441" i="31"/>
  <c r="AO441" i="31"/>
  <c r="AP441" i="31"/>
  <c r="R185" i="31"/>
  <c r="Q185" i="31"/>
  <c r="AO185" i="31"/>
  <c r="AP185" i="31"/>
  <c r="R42" i="31"/>
  <c r="Q42" i="31"/>
  <c r="AO42" i="31"/>
  <c r="AP42" i="31"/>
  <c r="R208" i="31"/>
  <c r="Q208" i="31"/>
  <c r="AO208" i="31"/>
  <c r="AP208" i="31"/>
  <c r="R520" i="31"/>
  <c r="Q520" i="31"/>
  <c r="AP520" i="31"/>
  <c r="AO520" i="31"/>
  <c r="R479" i="31"/>
  <c r="Q479" i="31"/>
  <c r="AP479" i="31"/>
  <c r="AO479" i="31"/>
  <c r="Q223" i="31"/>
  <c r="R223" i="31"/>
  <c r="AP223" i="31"/>
  <c r="AO223" i="31"/>
  <c r="R490" i="31"/>
  <c r="Q490" i="31"/>
  <c r="AO490" i="31"/>
  <c r="AP490" i="31"/>
  <c r="Q234" i="31"/>
  <c r="R234" i="31"/>
  <c r="AO234" i="31"/>
  <c r="AP234" i="31"/>
  <c r="Q533" i="31"/>
  <c r="R533" i="31"/>
  <c r="AO533" i="31"/>
  <c r="AP533" i="31"/>
  <c r="Q277" i="31"/>
  <c r="R277" i="31"/>
  <c r="AO277" i="31"/>
  <c r="AP277" i="31"/>
  <c r="Q308" i="31"/>
  <c r="R308" i="31"/>
  <c r="AO308" i="31"/>
  <c r="AP308" i="31"/>
  <c r="Q448" i="31"/>
  <c r="R448" i="31"/>
  <c r="AO448" i="31"/>
  <c r="AP448" i="31"/>
  <c r="Q52" i="31"/>
  <c r="R52" i="31"/>
  <c r="AP52" i="31"/>
  <c r="AO52" i="31"/>
  <c r="R420" i="31"/>
  <c r="Q420" i="31"/>
  <c r="AO420" i="31"/>
  <c r="AP420" i="31"/>
  <c r="Q354" i="31"/>
  <c r="R354" i="31"/>
  <c r="AP354" i="31"/>
  <c r="AO354" i="31"/>
  <c r="R572" i="31"/>
  <c r="Q572" i="31"/>
  <c r="AP572" i="31"/>
  <c r="AO572" i="31"/>
  <c r="R478" i="31"/>
  <c r="Q478" i="31"/>
  <c r="AP478" i="31"/>
  <c r="AO478" i="31"/>
  <c r="R521" i="31"/>
  <c r="Q521" i="31"/>
  <c r="AO521" i="31"/>
  <c r="AP521" i="31"/>
  <c r="R388" i="31"/>
  <c r="Q388" i="31"/>
  <c r="AP388" i="31"/>
  <c r="AO388" i="31"/>
  <c r="R26" i="31"/>
  <c r="Q26" i="31"/>
  <c r="AP26" i="31"/>
  <c r="AO26" i="31"/>
  <c r="R271" i="31"/>
  <c r="Q271" i="31"/>
  <c r="AP271" i="31"/>
  <c r="AO271" i="31"/>
  <c r="R314" i="31"/>
  <c r="Q314" i="31"/>
  <c r="AP314" i="31"/>
  <c r="AO314" i="31"/>
  <c r="Q325" i="31"/>
  <c r="R325" i="31"/>
  <c r="AP325" i="31"/>
  <c r="AO325" i="31"/>
  <c r="R443" i="31"/>
  <c r="Q443" i="31"/>
  <c r="AO443" i="31"/>
  <c r="AP443" i="31"/>
  <c r="R187" i="31"/>
  <c r="Q187" i="31"/>
  <c r="AO187" i="31"/>
  <c r="AP187" i="31"/>
  <c r="R486" i="31"/>
  <c r="Q486" i="31"/>
  <c r="AO486" i="31"/>
  <c r="AP486" i="31"/>
  <c r="R198" i="31"/>
  <c r="Q198" i="31"/>
  <c r="AP198" i="31"/>
  <c r="AO198" i="31"/>
  <c r="R497" i="31"/>
  <c r="Q497" i="31"/>
  <c r="AP497" i="31"/>
  <c r="AO497" i="31"/>
  <c r="R241" i="31"/>
  <c r="Q241" i="31"/>
  <c r="AP241" i="31"/>
  <c r="AO241" i="31"/>
  <c r="R292" i="31"/>
  <c r="Q292" i="31"/>
  <c r="AP292" i="31"/>
  <c r="AO292" i="31"/>
  <c r="R304" i="31"/>
  <c r="Q304" i="31"/>
  <c r="AO304" i="31"/>
  <c r="AP304" i="31"/>
  <c r="R43" i="31"/>
  <c r="Q43" i="31"/>
  <c r="AP43" i="31"/>
  <c r="AO43" i="31"/>
  <c r="R535" i="31"/>
  <c r="Q535" i="31"/>
  <c r="AO535" i="31"/>
  <c r="AP535" i="31"/>
  <c r="Q279" i="31"/>
  <c r="R279" i="31"/>
  <c r="AP279" i="31"/>
  <c r="AO279" i="31"/>
  <c r="Q578" i="31"/>
  <c r="R578" i="31"/>
  <c r="AO578" i="31"/>
  <c r="AP578" i="31"/>
  <c r="Q290" i="31"/>
  <c r="R290" i="31"/>
  <c r="AP290" i="31"/>
  <c r="AO290" i="31"/>
  <c r="R589" i="31"/>
  <c r="Q589" i="31"/>
  <c r="AO589" i="31"/>
  <c r="AP589" i="31"/>
  <c r="R333" i="31"/>
  <c r="Q333" i="31"/>
  <c r="AP333" i="31"/>
  <c r="AO333" i="31"/>
  <c r="AP77" i="31"/>
  <c r="Q77" i="31"/>
  <c r="R77" i="31"/>
  <c r="AO77" i="31"/>
  <c r="R21" i="31"/>
  <c r="Q21" i="31"/>
  <c r="AP21" i="31"/>
  <c r="AO21" i="31"/>
  <c r="Q444" i="31"/>
  <c r="R444" i="31"/>
  <c r="AO444" i="31"/>
  <c r="AP444" i="31"/>
  <c r="R50" i="31"/>
  <c r="Q50" i="31"/>
  <c r="AP50" i="31"/>
  <c r="AO50" i="31"/>
  <c r="Q403" i="31"/>
  <c r="R403" i="31"/>
  <c r="AO403" i="31"/>
  <c r="AP403" i="31"/>
  <c r="Q147" i="31"/>
  <c r="R147" i="31"/>
  <c r="AP147" i="31"/>
  <c r="AO147" i="31"/>
  <c r="R446" i="31"/>
  <c r="Q446" i="31"/>
  <c r="AP446" i="31"/>
  <c r="AO446" i="31"/>
  <c r="Q190" i="31"/>
  <c r="R190" i="31"/>
  <c r="AP190" i="31"/>
  <c r="AO190" i="31"/>
  <c r="R489" i="31"/>
  <c r="Q489" i="31"/>
  <c r="AO489" i="31"/>
  <c r="AP489" i="31"/>
  <c r="R233" i="31"/>
  <c r="Q233" i="31"/>
  <c r="AP233" i="31"/>
  <c r="AO233" i="31"/>
  <c r="R260" i="31"/>
  <c r="Q260" i="31"/>
  <c r="AP260" i="31"/>
  <c r="AO260" i="31"/>
  <c r="R400" i="31"/>
  <c r="Q400" i="31"/>
  <c r="AP400" i="31"/>
  <c r="AO400" i="31"/>
  <c r="R584" i="31"/>
  <c r="Q584" i="31"/>
  <c r="AP584" i="31"/>
  <c r="AO584" i="31"/>
  <c r="R495" i="31"/>
  <c r="Q495" i="31"/>
  <c r="AO495" i="31"/>
  <c r="AP495" i="31"/>
  <c r="R239" i="31"/>
  <c r="Q239" i="31"/>
  <c r="AO239" i="31"/>
  <c r="AP239" i="31"/>
  <c r="R538" i="31"/>
  <c r="Q538" i="31"/>
  <c r="AO538" i="31"/>
  <c r="AP538" i="31"/>
  <c r="R282" i="31"/>
  <c r="Q282" i="31"/>
  <c r="AP282" i="31"/>
  <c r="AO282" i="31"/>
  <c r="Q549" i="31"/>
  <c r="R549" i="31"/>
  <c r="AP549" i="31"/>
  <c r="AO549" i="31"/>
  <c r="Q293" i="31"/>
  <c r="R293" i="31"/>
  <c r="AO293" i="31"/>
  <c r="AP293" i="31"/>
  <c r="R500" i="31"/>
  <c r="Q500" i="31"/>
  <c r="AO500" i="31"/>
  <c r="AP500" i="31"/>
  <c r="R30" i="31"/>
  <c r="Q30" i="31"/>
  <c r="AP30" i="31"/>
  <c r="AO30" i="31"/>
  <c r="R284" i="31"/>
  <c r="Q284" i="31"/>
  <c r="AO284" i="31"/>
  <c r="AP284" i="31"/>
  <c r="Q626" i="31"/>
  <c r="R626" i="31"/>
  <c r="AO626" i="31"/>
  <c r="H636" i="31" s="1"/>
  <c r="AP626" i="31"/>
  <c r="R363" i="31"/>
  <c r="Q363" i="31"/>
  <c r="AO363" i="31"/>
  <c r="AP363" i="31"/>
  <c r="R107" i="31"/>
  <c r="Q107" i="31"/>
  <c r="AP107" i="31"/>
  <c r="AO107" i="31"/>
  <c r="R406" i="31"/>
  <c r="Q406" i="31"/>
  <c r="AP406" i="31"/>
  <c r="AO406" i="31"/>
  <c r="R150" i="31"/>
  <c r="Q150" i="31"/>
  <c r="AP150" i="31"/>
  <c r="AO150" i="31"/>
  <c r="R449" i="31"/>
  <c r="Q449" i="31"/>
  <c r="AO449" i="31"/>
  <c r="AP449" i="31"/>
  <c r="R161" i="31"/>
  <c r="Q161" i="31"/>
  <c r="AP161" i="31"/>
  <c r="AO161" i="31"/>
  <c r="R48" i="31"/>
  <c r="Q48" i="31"/>
  <c r="AO48" i="31"/>
  <c r="AP48" i="31"/>
  <c r="R34" i="31"/>
  <c r="Q34" i="31"/>
  <c r="AO34" i="31"/>
  <c r="AP34" i="31"/>
  <c r="R424" i="31"/>
  <c r="Q424" i="31"/>
  <c r="AO424" i="31"/>
  <c r="AP424" i="31"/>
  <c r="Q487" i="31"/>
  <c r="R487" i="31"/>
  <c r="AO487" i="31"/>
  <c r="AP487" i="31"/>
  <c r="R231" i="31"/>
  <c r="Q231" i="31"/>
  <c r="AP231" i="31"/>
  <c r="AO231" i="31"/>
  <c r="R530" i="31"/>
  <c r="Q530" i="31"/>
  <c r="AP530" i="31"/>
  <c r="AO530" i="31"/>
  <c r="R274" i="31"/>
  <c r="Q274" i="31"/>
  <c r="AP274" i="31"/>
  <c r="AO274" i="31"/>
  <c r="Q573" i="31"/>
  <c r="R573" i="31"/>
  <c r="AP573" i="31"/>
  <c r="AO573" i="31"/>
  <c r="R317" i="31"/>
  <c r="Q317" i="31"/>
  <c r="AO317" i="31"/>
  <c r="AP317" i="31"/>
  <c r="Q596" i="31"/>
  <c r="R596" i="31"/>
  <c r="AO596" i="31"/>
  <c r="AP596" i="31"/>
  <c r="R104" i="31"/>
  <c r="Q104" i="31"/>
  <c r="AP104" i="31"/>
  <c r="AO104" i="31"/>
  <c r="R252" i="31"/>
  <c r="Q252" i="31"/>
  <c r="AP252" i="31"/>
  <c r="AO252" i="31"/>
  <c r="Q579" i="31"/>
  <c r="R579" i="31"/>
  <c r="AO579" i="31"/>
  <c r="AP579" i="31"/>
  <c r="Q323" i="31"/>
  <c r="R323" i="31"/>
  <c r="AO323" i="31"/>
  <c r="AP323" i="31"/>
  <c r="Q366" i="31"/>
  <c r="R366" i="31"/>
  <c r="AO366" i="31"/>
  <c r="AP366" i="31"/>
  <c r="R110" i="31"/>
  <c r="Q110" i="31"/>
  <c r="AO110" i="31"/>
  <c r="AP110" i="31"/>
  <c r="R409" i="31"/>
  <c r="Q409" i="31"/>
  <c r="AO409" i="31"/>
  <c r="AP409" i="31"/>
  <c r="R153" i="31"/>
  <c r="Q153" i="31"/>
  <c r="AO153" i="31"/>
  <c r="AP153" i="31"/>
  <c r="R66" i="31"/>
  <c r="Q66" i="31"/>
  <c r="AP66" i="31"/>
  <c r="AO66" i="31"/>
  <c r="Q15" i="31"/>
  <c r="R15" i="31"/>
  <c r="AP15" i="31"/>
  <c r="AO15" i="31"/>
  <c r="Q392" i="31"/>
  <c r="R392" i="31"/>
  <c r="AP392" i="31"/>
  <c r="AO392" i="31"/>
  <c r="R447" i="31"/>
  <c r="Q447" i="31"/>
  <c r="AO447" i="31"/>
  <c r="AP447" i="31"/>
  <c r="Q191" i="31"/>
  <c r="R191" i="31"/>
  <c r="AO191" i="31"/>
  <c r="AP191" i="31"/>
  <c r="R458" i="31"/>
  <c r="Q458" i="31"/>
  <c r="AP458" i="31"/>
  <c r="AO458" i="31"/>
  <c r="R202" i="31"/>
  <c r="Q202" i="31"/>
  <c r="AP202" i="31"/>
  <c r="AO202" i="31"/>
  <c r="Q501" i="31"/>
  <c r="R501" i="31"/>
  <c r="AP501" i="31"/>
  <c r="AO501" i="31"/>
  <c r="R245" i="31"/>
  <c r="Q245" i="31"/>
  <c r="AO245" i="31"/>
  <c r="AP245" i="31"/>
  <c r="R180" i="31"/>
  <c r="Q180" i="31"/>
  <c r="AP180" i="31"/>
  <c r="AO180" i="31"/>
  <c r="R320" i="31"/>
  <c r="Q320" i="31"/>
  <c r="AP320" i="31"/>
  <c r="AO320" i="31"/>
  <c r="R19" i="31"/>
  <c r="Q19" i="31"/>
  <c r="AO19" i="31"/>
  <c r="AP19" i="31"/>
  <c r="R322" i="31"/>
  <c r="Q322" i="31"/>
  <c r="AO322" i="31"/>
  <c r="AP322" i="31"/>
  <c r="R567" i="31"/>
  <c r="Q567" i="31"/>
  <c r="AP567" i="31"/>
  <c r="AO567" i="31"/>
  <c r="Q365" i="31"/>
  <c r="R365" i="31"/>
  <c r="AP365" i="31"/>
  <c r="AO365" i="31"/>
  <c r="Q411" i="31"/>
  <c r="R411" i="31"/>
  <c r="AP411" i="31"/>
  <c r="AO411" i="31"/>
  <c r="R454" i="31"/>
  <c r="Q454" i="31"/>
  <c r="AO454" i="31"/>
  <c r="AP454" i="31"/>
  <c r="R465" i="31"/>
  <c r="Q465" i="31"/>
  <c r="AP465" i="31"/>
  <c r="AO465" i="31"/>
  <c r="R209" i="31"/>
  <c r="Q209" i="31"/>
  <c r="AP209" i="31"/>
  <c r="AO209" i="31"/>
  <c r="Q164" i="31"/>
  <c r="R164" i="31"/>
  <c r="AO164" i="31"/>
  <c r="AP164" i="31"/>
  <c r="Q176" i="31"/>
  <c r="R176" i="31"/>
  <c r="AP176" i="31"/>
  <c r="AO176" i="31"/>
  <c r="R488" i="31"/>
  <c r="Q488" i="31"/>
  <c r="AP488" i="31"/>
  <c r="AO488" i="31"/>
  <c r="R503" i="31"/>
  <c r="Q503" i="31"/>
  <c r="AO503" i="31"/>
  <c r="AP503" i="31"/>
  <c r="R247" i="31"/>
  <c r="Q247" i="31"/>
  <c r="AO247" i="31"/>
  <c r="AP247" i="31"/>
  <c r="Q546" i="31"/>
  <c r="R546" i="31"/>
  <c r="AP546" i="31"/>
  <c r="AO546" i="31"/>
  <c r="Q258" i="31"/>
  <c r="R258" i="31"/>
  <c r="AO258" i="31"/>
  <c r="AP258" i="31"/>
  <c r="Q557" i="31"/>
  <c r="R557" i="31"/>
  <c r="AP557" i="31"/>
  <c r="AO557" i="31"/>
  <c r="R301" i="31"/>
  <c r="Q301" i="31"/>
  <c r="AO301" i="31"/>
  <c r="AP301" i="31"/>
  <c r="R532" i="31"/>
  <c r="Q532" i="31"/>
  <c r="AP532" i="31"/>
  <c r="AO532" i="31"/>
  <c r="R84" i="31"/>
  <c r="Q84" i="31"/>
  <c r="AO84" i="31"/>
  <c r="AP84" i="31"/>
  <c r="Q316" i="31"/>
  <c r="R316" i="31"/>
  <c r="AP316" i="31"/>
  <c r="AO316" i="31"/>
  <c r="AO24" i="31"/>
  <c r="R24" i="31"/>
  <c r="Q24" i="31"/>
  <c r="AP24" i="31"/>
  <c r="R371" i="31"/>
  <c r="Q371" i="31"/>
  <c r="AO371" i="31"/>
  <c r="AP371" i="31"/>
  <c r="Q115" i="31"/>
  <c r="R115" i="31"/>
  <c r="AP115" i="31"/>
  <c r="AO115" i="31"/>
  <c r="R414" i="31"/>
  <c r="Q414" i="31"/>
  <c r="AP414" i="31"/>
  <c r="AO414" i="31"/>
  <c r="R158" i="31"/>
  <c r="Q158" i="31"/>
  <c r="AP158" i="31"/>
  <c r="AO158" i="31"/>
  <c r="R457" i="31"/>
  <c r="Q457" i="31"/>
  <c r="AP457" i="31"/>
  <c r="AO457" i="31"/>
  <c r="R201" i="31"/>
  <c r="Q201" i="31"/>
  <c r="AP201" i="31"/>
  <c r="AO201" i="31"/>
  <c r="R100" i="31"/>
  <c r="Q100" i="31"/>
  <c r="AO100" i="31"/>
  <c r="AP100" i="31"/>
  <c r="R108" i="31"/>
  <c r="Q108" i="31"/>
  <c r="AP108" i="31"/>
  <c r="AO108" i="31"/>
  <c r="R456" i="31"/>
  <c r="Q456" i="31"/>
  <c r="AP456" i="31"/>
  <c r="AO456" i="31"/>
  <c r="Q463" i="31"/>
  <c r="R463" i="31"/>
  <c r="AO463" i="31"/>
  <c r="AP463" i="31"/>
  <c r="Q207" i="31"/>
  <c r="R207" i="31"/>
  <c r="AP207" i="31"/>
  <c r="AO207" i="31"/>
  <c r="R506" i="31"/>
  <c r="Q506" i="31"/>
  <c r="AO506" i="31"/>
  <c r="AP506" i="31"/>
  <c r="Q250" i="31"/>
  <c r="R250" i="31"/>
  <c r="AP250" i="31"/>
  <c r="AO250" i="31"/>
  <c r="R517" i="31"/>
  <c r="Q517" i="31"/>
  <c r="AP517" i="31"/>
  <c r="AO517" i="31"/>
  <c r="Q261" i="31"/>
  <c r="R261" i="31"/>
  <c r="AO261" i="31"/>
  <c r="AP261" i="31"/>
  <c r="R372" i="31"/>
  <c r="Q372" i="31"/>
  <c r="AP372" i="31"/>
  <c r="AO372" i="31"/>
  <c r="R512" i="31"/>
  <c r="Q512" i="31"/>
  <c r="AP512" i="31"/>
  <c r="AO512" i="31"/>
  <c r="R148" i="31"/>
  <c r="Q148" i="31"/>
  <c r="AO148" i="31"/>
  <c r="AP148" i="31"/>
  <c r="R587" i="31"/>
  <c r="Q587" i="31"/>
  <c r="AP587" i="31"/>
  <c r="AO587" i="31"/>
  <c r="Q331" i="31"/>
  <c r="R331" i="31"/>
  <c r="AP331" i="31"/>
  <c r="AO331" i="31"/>
  <c r="R75" i="31"/>
  <c r="Q75" i="31"/>
  <c r="AP75" i="31"/>
  <c r="AO75" i="31"/>
  <c r="Q374" i="31"/>
  <c r="R374" i="31"/>
  <c r="AP374" i="31"/>
  <c r="AO374" i="31"/>
  <c r="R118" i="31"/>
  <c r="Q118" i="31"/>
  <c r="AP118" i="31"/>
  <c r="AO118" i="31"/>
  <c r="R417" i="31"/>
  <c r="Q417" i="31"/>
  <c r="AO417" i="31"/>
  <c r="AP417" i="31"/>
  <c r="R129" i="31"/>
  <c r="Q129" i="31"/>
  <c r="AO129" i="31"/>
  <c r="AP129" i="31"/>
  <c r="R46" i="31"/>
  <c r="Q46" i="31"/>
  <c r="AO46" i="31"/>
  <c r="AP46" i="31"/>
  <c r="R40" i="31"/>
  <c r="Q40" i="31"/>
  <c r="AO40" i="31"/>
  <c r="AP40" i="31"/>
  <c r="R296" i="31"/>
  <c r="Q296" i="31"/>
  <c r="AO296" i="31"/>
  <c r="AP296" i="31"/>
  <c r="Q455" i="31"/>
  <c r="R455" i="31"/>
  <c r="AO455" i="31"/>
  <c r="AP455" i="31"/>
  <c r="Q199" i="31"/>
  <c r="R199" i="31"/>
  <c r="AO199" i="31"/>
  <c r="AP199" i="31"/>
  <c r="R498" i="31"/>
  <c r="Q498" i="31"/>
  <c r="AP498" i="31"/>
  <c r="AO498" i="31"/>
  <c r="R242" i="31"/>
  <c r="Q242" i="31"/>
  <c r="AO242" i="31"/>
  <c r="AP242" i="31"/>
  <c r="R541" i="31"/>
  <c r="Q541" i="31"/>
  <c r="AP541" i="31"/>
  <c r="AO541" i="31"/>
  <c r="R285" i="31"/>
  <c r="Q285" i="31"/>
  <c r="AP285" i="31"/>
  <c r="AO285" i="31"/>
  <c r="R468" i="31"/>
  <c r="Q468" i="31"/>
  <c r="AP468" i="31"/>
  <c r="AO468" i="31"/>
  <c r="R608" i="31"/>
  <c r="Q608" i="31"/>
  <c r="AO608" i="31"/>
  <c r="AP608" i="31"/>
  <c r="R72" i="31"/>
  <c r="Q72" i="31"/>
  <c r="AP72" i="31"/>
  <c r="AO72" i="31"/>
  <c r="R547" i="31"/>
  <c r="Q547" i="31"/>
  <c r="AO547" i="31"/>
  <c r="AP547" i="31"/>
  <c r="R291" i="31"/>
  <c r="Q291" i="31"/>
  <c r="AP291" i="31"/>
  <c r="AO291" i="31"/>
  <c r="R590" i="31"/>
  <c r="Q590" i="31"/>
  <c r="AP590" i="31"/>
  <c r="AO590" i="31"/>
  <c r="R334" i="31"/>
  <c r="Q334" i="31"/>
  <c r="AO334" i="31"/>
  <c r="AP334" i="31"/>
  <c r="R78" i="31"/>
  <c r="Q78" i="31"/>
  <c r="AO78" i="31"/>
  <c r="AP78" i="31"/>
  <c r="Q377" i="31"/>
  <c r="R377" i="31"/>
  <c r="AP377" i="31"/>
  <c r="AO377" i="31"/>
  <c r="R121" i="31"/>
  <c r="Q121" i="31"/>
  <c r="AO121" i="31"/>
  <c r="AP121" i="31"/>
  <c r="R51" i="31"/>
  <c r="Q51" i="31"/>
  <c r="AO51" i="31"/>
  <c r="AP51" i="31"/>
  <c r="R112" i="31"/>
  <c r="Q112" i="31"/>
  <c r="AP112" i="31"/>
  <c r="AO112" i="31"/>
  <c r="R264" i="31"/>
  <c r="Q264" i="31"/>
  <c r="AP264" i="31"/>
  <c r="AO264" i="31"/>
  <c r="R415" i="31"/>
  <c r="Q415" i="31"/>
  <c r="AP415" i="31"/>
  <c r="AO415" i="31"/>
  <c r="R159" i="31"/>
  <c r="Q159" i="31"/>
  <c r="AO159" i="31"/>
  <c r="AP159" i="31"/>
  <c r="R426" i="31"/>
  <c r="Q426" i="31"/>
  <c r="AO426" i="31"/>
  <c r="AP426" i="31"/>
  <c r="R170" i="31"/>
  <c r="Q170" i="31"/>
  <c r="AO170" i="31"/>
  <c r="AP170" i="31"/>
  <c r="Q469" i="31"/>
  <c r="R469" i="31"/>
  <c r="AO469" i="31"/>
  <c r="AP469" i="31"/>
  <c r="Q213" i="31"/>
  <c r="R213" i="31"/>
  <c r="AP213" i="31"/>
  <c r="AO213" i="31"/>
  <c r="R36" i="31"/>
  <c r="Q36" i="31"/>
  <c r="AP36" i="31"/>
  <c r="AO36" i="31"/>
  <c r="Q192" i="31"/>
  <c r="R192" i="31"/>
  <c r="AO192" i="31"/>
  <c r="AP192" i="31"/>
  <c r="R504" i="31"/>
  <c r="Q504" i="31"/>
  <c r="AO504" i="31"/>
  <c r="AP504" i="31"/>
  <c r="R13" i="31"/>
  <c r="Q13" i="31"/>
  <c r="AP13" i="31"/>
  <c r="AO13" i="31"/>
  <c r="R380" i="31"/>
  <c r="Q380" i="31"/>
  <c r="AO380" i="31"/>
  <c r="AP380" i="31"/>
  <c r="Q230" i="31"/>
  <c r="R230" i="31"/>
  <c r="AP230" i="31"/>
  <c r="AO230" i="31"/>
  <c r="R610" i="31"/>
  <c r="Q610" i="31"/>
  <c r="AO610" i="31"/>
  <c r="AP610" i="31"/>
  <c r="Q216" i="31"/>
  <c r="R216" i="31"/>
  <c r="AO216" i="31"/>
  <c r="AP216" i="31"/>
  <c r="R166" i="31"/>
  <c r="Q166" i="31"/>
  <c r="AO166" i="31"/>
  <c r="AP166" i="31"/>
  <c r="Q379" i="31"/>
  <c r="R379" i="31"/>
  <c r="AP379" i="31"/>
  <c r="AO379" i="31"/>
  <c r="R134" i="31"/>
  <c r="Q134" i="31"/>
  <c r="AO134" i="31"/>
  <c r="AP134" i="31"/>
  <c r="R177" i="31"/>
  <c r="Q177" i="31"/>
  <c r="AO177" i="31"/>
  <c r="AP177" i="31"/>
  <c r="Q613" i="31"/>
  <c r="R613" i="31"/>
  <c r="AP613" i="31"/>
  <c r="AO613" i="31"/>
  <c r="R360" i="31"/>
  <c r="Q360" i="31"/>
  <c r="AP360" i="31"/>
  <c r="AO360" i="31"/>
  <c r="R471" i="31"/>
  <c r="Q471" i="31"/>
  <c r="AO471" i="31"/>
  <c r="AP471" i="31"/>
  <c r="R215" i="31"/>
  <c r="Q215" i="31"/>
  <c r="AP215" i="31"/>
  <c r="AO215" i="31"/>
  <c r="R514" i="31"/>
  <c r="Q514" i="31"/>
  <c r="AO514" i="31"/>
  <c r="AP514" i="31"/>
  <c r="R226" i="31"/>
  <c r="Q226" i="31"/>
  <c r="AO226" i="31"/>
  <c r="AP226" i="31"/>
  <c r="Q525" i="31"/>
  <c r="R525" i="31"/>
  <c r="AP525" i="31"/>
  <c r="AO525" i="31"/>
  <c r="R269" i="31"/>
  <c r="Q269" i="31"/>
  <c r="AO269" i="31"/>
  <c r="AP269" i="31"/>
  <c r="R404" i="31"/>
  <c r="Q404" i="31"/>
  <c r="AP404" i="31"/>
  <c r="AO404" i="31"/>
  <c r="Q544" i="31"/>
  <c r="R544" i="31"/>
  <c r="AP544" i="31"/>
  <c r="AO544" i="31"/>
  <c r="R188" i="31"/>
  <c r="Q188" i="31"/>
  <c r="AO188" i="31"/>
  <c r="AP188" i="31"/>
  <c r="Q595" i="31"/>
  <c r="R595" i="31"/>
  <c r="AO595" i="31"/>
  <c r="AP595" i="31"/>
  <c r="R339" i="31"/>
  <c r="Q339" i="31"/>
  <c r="AO339" i="31"/>
  <c r="AP339" i="31"/>
  <c r="R83" i="31"/>
  <c r="Q83" i="31"/>
  <c r="AP83" i="31"/>
  <c r="AO83" i="31"/>
  <c r="Q382" i="31"/>
  <c r="R382" i="31"/>
  <c r="AO382" i="31"/>
  <c r="AP382" i="31"/>
  <c r="R126" i="31"/>
  <c r="Q126" i="31"/>
  <c r="AP126" i="31"/>
  <c r="AO126" i="31"/>
  <c r="R425" i="31"/>
  <c r="Q425" i="31"/>
  <c r="AO425" i="31"/>
  <c r="AP425" i="31"/>
  <c r="R169" i="31"/>
  <c r="Q169" i="31"/>
  <c r="AP169" i="31"/>
  <c r="AO169" i="31"/>
  <c r="Q67" i="31"/>
  <c r="R67" i="31"/>
  <c r="AO67" i="31"/>
  <c r="AP67" i="31"/>
  <c r="R96" i="31"/>
  <c r="Q96" i="31"/>
  <c r="AP96" i="31"/>
  <c r="AO96" i="31"/>
  <c r="Q328" i="31"/>
  <c r="R328" i="31"/>
  <c r="AO328" i="31"/>
  <c r="AP328" i="31"/>
  <c r="R431" i="31"/>
  <c r="Q431" i="31"/>
  <c r="AP431" i="31"/>
  <c r="AO431" i="31"/>
  <c r="R175" i="31"/>
  <c r="Q175" i="31"/>
  <c r="AP175" i="31"/>
  <c r="AO175" i="31"/>
  <c r="Q474" i="31"/>
  <c r="R474" i="31"/>
  <c r="AO474" i="31"/>
  <c r="AP474" i="31"/>
  <c r="R218" i="31"/>
  <c r="Q218" i="31"/>
  <c r="AP218" i="31"/>
  <c r="AO218" i="31"/>
  <c r="R485" i="31"/>
  <c r="Q485" i="31"/>
  <c r="AP485" i="31"/>
  <c r="AO485" i="31"/>
  <c r="Q229" i="31"/>
  <c r="R229" i="31"/>
  <c r="AO229" i="31"/>
  <c r="AP229" i="31"/>
  <c r="R244" i="31"/>
  <c r="Q244" i="31"/>
  <c r="AO244" i="31"/>
  <c r="AP244" i="31"/>
  <c r="R384" i="31"/>
  <c r="Q384" i="31"/>
  <c r="AP384" i="31"/>
  <c r="AO384" i="31"/>
  <c r="Q20" i="31"/>
  <c r="R20" i="31"/>
  <c r="AO20" i="31"/>
  <c r="AP20" i="31"/>
  <c r="Q555" i="31"/>
  <c r="R555" i="31"/>
  <c r="AP555" i="31"/>
  <c r="AO555" i="31"/>
  <c r="Q299" i="31"/>
  <c r="R299" i="31"/>
  <c r="AO299" i="31"/>
  <c r="AP299" i="31"/>
  <c r="R598" i="31"/>
  <c r="Q598" i="31"/>
  <c r="AO598" i="31"/>
  <c r="AP598" i="31"/>
  <c r="Q342" i="31"/>
  <c r="R342" i="31"/>
  <c r="AP342" i="31"/>
  <c r="AO342" i="31"/>
  <c r="R86" i="31"/>
  <c r="Q86" i="31"/>
  <c r="AO86" i="31"/>
  <c r="AP86" i="31"/>
  <c r="R385" i="31"/>
  <c r="Q385" i="31"/>
  <c r="AO385" i="31"/>
  <c r="AP385" i="31"/>
  <c r="R97" i="31"/>
  <c r="Q97" i="31"/>
  <c r="AP97" i="31"/>
  <c r="AO97" i="31"/>
  <c r="R41" i="31"/>
  <c r="Q41" i="31"/>
  <c r="AP41" i="31"/>
  <c r="AO41" i="31"/>
  <c r="Q524" i="31"/>
  <c r="R524" i="31"/>
  <c r="AO524" i="31"/>
  <c r="AP524" i="31"/>
  <c r="R168" i="31"/>
  <c r="Q168" i="31"/>
  <c r="AO168" i="31"/>
  <c r="AP168" i="31"/>
  <c r="R423" i="31"/>
  <c r="Q423" i="31"/>
  <c r="AP423" i="31"/>
  <c r="AO423" i="31"/>
  <c r="R167" i="31"/>
  <c r="Q167" i="31"/>
  <c r="AO167" i="31"/>
  <c r="AP167" i="31"/>
  <c r="Q466" i="31"/>
  <c r="R466" i="31"/>
  <c r="AP466" i="31"/>
  <c r="AO466" i="31"/>
  <c r="Q210" i="31"/>
  <c r="R210" i="31"/>
  <c r="AP210" i="31"/>
  <c r="AO210" i="31"/>
  <c r="R509" i="31"/>
  <c r="Q509" i="31"/>
  <c r="AO509" i="31"/>
  <c r="AP509" i="31"/>
  <c r="R253" i="31"/>
  <c r="Q253" i="31"/>
  <c r="AO253" i="31"/>
  <c r="AP253" i="31"/>
  <c r="R340" i="31"/>
  <c r="Q340" i="31"/>
  <c r="AP340" i="31"/>
  <c r="AO340" i="31"/>
  <c r="Q480" i="31"/>
  <c r="R480" i="31"/>
  <c r="AO480" i="31"/>
  <c r="AP480" i="31"/>
  <c r="Q64" i="31"/>
  <c r="R64" i="31"/>
  <c r="AO64" i="31"/>
  <c r="AP64" i="31"/>
  <c r="Q515" i="31"/>
  <c r="R515" i="31"/>
  <c r="AO515" i="31"/>
  <c r="AP515" i="31"/>
  <c r="R259" i="31"/>
  <c r="Q259" i="31"/>
  <c r="AO259" i="31"/>
  <c r="AP259" i="31"/>
  <c r="Q558" i="31"/>
  <c r="R558" i="31"/>
  <c r="AP558" i="31"/>
  <c r="AO558" i="31"/>
  <c r="R302" i="31"/>
  <c r="Q302" i="31"/>
  <c r="AO302" i="31"/>
  <c r="AP302" i="31"/>
  <c r="Q601" i="31"/>
  <c r="R601" i="31"/>
  <c r="AP601" i="31"/>
  <c r="AO601" i="31"/>
  <c r="R345" i="31"/>
  <c r="Q345" i="31"/>
  <c r="AP345" i="31"/>
  <c r="AO345" i="31"/>
  <c r="R89" i="31"/>
  <c r="Q89" i="31"/>
  <c r="AO89" i="31"/>
  <c r="AP89" i="31"/>
  <c r="AO17" i="31"/>
  <c r="Q17" i="31"/>
  <c r="R17" i="31"/>
  <c r="AP17" i="31"/>
  <c r="Q492" i="31"/>
  <c r="R492" i="31"/>
  <c r="AP492" i="31"/>
  <c r="AO492" i="31"/>
  <c r="Q124" i="31"/>
  <c r="R124" i="31"/>
  <c r="AP124" i="31"/>
  <c r="AO124" i="31"/>
  <c r="R383" i="31"/>
  <c r="Q383" i="31"/>
  <c r="AO383" i="31"/>
  <c r="AP383" i="31"/>
  <c r="R127" i="31"/>
  <c r="Q127" i="31"/>
  <c r="AO127" i="31"/>
  <c r="AP127" i="31"/>
  <c r="R394" i="31"/>
  <c r="Q394" i="31"/>
  <c r="AP394" i="31"/>
  <c r="AO394" i="31"/>
  <c r="R138" i="31"/>
  <c r="Q138" i="31"/>
  <c r="AP138" i="31"/>
  <c r="AO138" i="31"/>
  <c r="Q437" i="31"/>
  <c r="R437" i="31"/>
  <c r="AP437" i="31"/>
  <c r="AO437" i="31"/>
  <c r="R181" i="31"/>
  <c r="Q181" i="31"/>
  <c r="AO181" i="31"/>
  <c r="AP181" i="31"/>
  <c r="Q60" i="31"/>
  <c r="R60" i="31"/>
  <c r="AO60" i="31"/>
  <c r="AP60" i="31"/>
  <c r="R49" i="31"/>
  <c r="Q49" i="31"/>
  <c r="AP49" i="31"/>
  <c r="AO49" i="31"/>
  <c r="R376" i="31"/>
  <c r="Q376" i="31"/>
  <c r="AP376" i="31"/>
  <c r="AO376" i="31"/>
  <c r="R422" i="31"/>
  <c r="Q422" i="31"/>
  <c r="AP422" i="31"/>
  <c r="AO422" i="31"/>
  <c r="R529" i="31"/>
  <c r="Q529" i="31"/>
  <c r="AP529" i="31"/>
  <c r="AO529" i="31"/>
  <c r="R311" i="31"/>
  <c r="Q311" i="31"/>
  <c r="AO311" i="31"/>
  <c r="AP311" i="31"/>
  <c r="Q62" i="31"/>
  <c r="R62" i="31"/>
  <c r="AP62" i="31"/>
  <c r="AO62" i="31"/>
  <c r="Q155" i="31"/>
  <c r="R155" i="31"/>
  <c r="AO155" i="31"/>
  <c r="AP155" i="31"/>
  <c r="R123" i="31"/>
  <c r="Q123" i="31"/>
  <c r="AO123" i="31"/>
  <c r="AP123" i="31"/>
  <c r="R390" i="31"/>
  <c r="Q390" i="31"/>
  <c r="AO390" i="31"/>
  <c r="AP390" i="31"/>
  <c r="R433" i="31"/>
  <c r="Q433" i="31"/>
  <c r="AP433" i="31"/>
  <c r="AO433" i="31"/>
  <c r="Q29" i="31"/>
  <c r="R29" i="31"/>
  <c r="AO29" i="31"/>
  <c r="AP29" i="31"/>
  <c r="R603" i="31"/>
  <c r="Q603" i="31"/>
  <c r="AP603" i="31"/>
  <c r="AO603" i="31"/>
  <c r="R347" i="31"/>
  <c r="Q347" i="31"/>
  <c r="AP347" i="31"/>
  <c r="AO347" i="31"/>
  <c r="R91" i="31"/>
  <c r="Q91" i="31"/>
  <c r="AO91" i="31"/>
  <c r="AP91" i="31"/>
  <c r="R358" i="31"/>
  <c r="Q358" i="31"/>
  <c r="AO358" i="31"/>
  <c r="AP358" i="31"/>
  <c r="R102" i="31"/>
  <c r="Q102" i="31"/>
  <c r="AP102" i="31"/>
  <c r="AO102" i="31"/>
  <c r="R401" i="31"/>
  <c r="Q401" i="31"/>
  <c r="AP401" i="31"/>
  <c r="AO401" i="31"/>
  <c r="R145" i="31"/>
  <c r="Q145" i="31"/>
  <c r="AO145" i="31"/>
  <c r="AP145" i="31"/>
  <c r="R53" i="31"/>
  <c r="Q53" i="31"/>
  <c r="AO53" i="31"/>
  <c r="AP53" i="31"/>
  <c r="R588" i="31"/>
  <c r="Q588" i="31"/>
  <c r="AP588" i="31"/>
  <c r="AO588" i="31"/>
  <c r="R232" i="31"/>
  <c r="Q232" i="31"/>
  <c r="AP232" i="31"/>
  <c r="AO232" i="31"/>
  <c r="Q439" i="31"/>
  <c r="R439" i="31"/>
  <c r="AO439" i="31"/>
  <c r="AP439" i="31"/>
  <c r="R183" i="31"/>
  <c r="Q183" i="31"/>
  <c r="AP183" i="31"/>
  <c r="AO183" i="31"/>
  <c r="Q482" i="31"/>
  <c r="R482" i="31"/>
  <c r="AO482" i="31"/>
  <c r="AP482" i="31"/>
  <c r="R194" i="31"/>
  <c r="Q194" i="31"/>
  <c r="AP194" i="31"/>
  <c r="AO194" i="31"/>
  <c r="Q493" i="31"/>
  <c r="R493" i="31"/>
  <c r="AO493" i="31"/>
  <c r="AP493" i="31"/>
  <c r="R237" i="31"/>
  <c r="Q237" i="31"/>
  <c r="AO237" i="31"/>
  <c r="AP237" i="31"/>
  <c r="R276" i="31"/>
  <c r="Q276" i="31"/>
  <c r="AP276" i="31"/>
  <c r="AO276" i="31"/>
  <c r="R416" i="31"/>
  <c r="Q416" i="31"/>
  <c r="AO416" i="31"/>
  <c r="AP416" i="31"/>
  <c r="R39" i="31"/>
  <c r="Q39" i="31"/>
  <c r="AO39" i="31"/>
  <c r="AP39" i="31"/>
  <c r="Q563" i="31"/>
  <c r="R563" i="31"/>
  <c r="AO563" i="31"/>
  <c r="AP563" i="31"/>
  <c r="R307" i="31"/>
  <c r="Q307" i="31"/>
  <c r="AO307" i="31"/>
  <c r="AP307" i="31"/>
  <c r="Q606" i="31"/>
  <c r="R606" i="31"/>
  <c r="AP606" i="31"/>
  <c r="AO606" i="31"/>
  <c r="R350" i="31"/>
  <c r="Q350" i="31"/>
  <c r="AP350" i="31"/>
  <c r="AO350" i="31"/>
  <c r="R94" i="31"/>
  <c r="Q94" i="31"/>
  <c r="AP94" i="31"/>
  <c r="AO94" i="31"/>
  <c r="R393" i="31"/>
  <c r="Q393" i="31"/>
  <c r="AP393" i="31"/>
  <c r="AO393" i="31"/>
  <c r="Q137" i="31"/>
  <c r="R137" i="31"/>
  <c r="AO137" i="31"/>
  <c r="AP137" i="31"/>
  <c r="R88" i="31"/>
  <c r="Q88" i="31"/>
  <c r="AO88" i="31"/>
  <c r="AP88" i="31"/>
  <c r="R556" i="31"/>
  <c r="Q556" i="31"/>
  <c r="AO556" i="31"/>
  <c r="AP556" i="31"/>
  <c r="R200" i="31"/>
  <c r="Q200" i="31"/>
  <c r="AP200" i="31"/>
  <c r="AO200" i="31"/>
  <c r="R399" i="31"/>
  <c r="Q399" i="31"/>
  <c r="AO399" i="31"/>
  <c r="AP399" i="31"/>
  <c r="Q143" i="31"/>
  <c r="R143" i="31"/>
  <c r="AP143" i="31"/>
  <c r="AO143" i="31"/>
  <c r="R442" i="31"/>
  <c r="Q442" i="31"/>
  <c r="AP442" i="31"/>
  <c r="AO442" i="31"/>
  <c r="Q186" i="31"/>
  <c r="R186" i="31"/>
  <c r="AO186" i="31"/>
  <c r="AP186" i="31"/>
  <c r="R453" i="31"/>
  <c r="Q453" i="31"/>
  <c r="AO453" i="31"/>
  <c r="AP453" i="31"/>
  <c r="R197" i="31"/>
  <c r="Q197" i="31"/>
  <c r="AP197" i="31"/>
  <c r="AO197" i="31"/>
  <c r="Q68" i="31"/>
  <c r="R68" i="31"/>
  <c r="AP68" i="31"/>
  <c r="AO68" i="31"/>
  <c r="R256" i="31"/>
  <c r="Q256" i="31"/>
  <c r="AP256" i="31"/>
  <c r="AO256" i="31"/>
  <c r="R568" i="31"/>
  <c r="Q568" i="31"/>
  <c r="AP568" i="31"/>
  <c r="AO568" i="31"/>
  <c r="Q523" i="31"/>
  <c r="R523" i="31"/>
  <c r="AP523" i="31"/>
  <c r="AO523" i="31"/>
  <c r="R267" i="31"/>
  <c r="Q267" i="31"/>
  <c r="AP267" i="31"/>
  <c r="AO267" i="31"/>
  <c r="Q566" i="31"/>
  <c r="R566" i="31"/>
  <c r="AP566" i="31"/>
  <c r="AO566" i="31"/>
  <c r="R310" i="31"/>
  <c r="Q310" i="31"/>
  <c r="AO310" i="31"/>
  <c r="AP310" i="31"/>
  <c r="Q609" i="31"/>
  <c r="R609" i="31"/>
  <c r="AO609" i="31"/>
  <c r="AP609" i="31"/>
  <c r="Q353" i="31"/>
  <c r="R353" i="31"/>
  <c r="AP353" i="31"/>
  <c r="AO353" i="31"/>
  <c r="R612" i="31"/>
  <c r="Q612" i="31"/>
  <c r="AP612" i="31"/>
  <c r="AO612" i="31"/>
  <c r="Q136" i="31"/>
  <c r="R136" i="31"/>
  <c r="AO136" i="31"/>
  <c r="AP136" i="31"/>
  <c r="R396" i="31"/>
  <c r="Q396" i="31"/>
  <c r="AO396" i="31"/>
  <c r="AP396" i="31"/>
  <c r="Q31" i="31"/>
  <c r="R31" i="31"/>
  <c r="AO31" i="31"/>
  <c r="AP31" i="31"/>
  <c r="R391" i="31"/>
  <c r="Q391" i="31"/>
  <c r="AO391" i="31"/>
  <c r="AP391" i="31"/>
  <c r="Q135" i="31"/>
  <c r="R135" i="31"/>
  <c r="AP135" i="31"/>
  <c r="AO135" i="31"/>
  <c r="R434" i="31"/>
  <c r="Q434" i="31"/>
  <c r="AO434" i="31"/>
  <c r="AP434" i="31"/>
  <c r="Q178" i="31"/>
  <c r="R178" i="31"/>
  <c r="AP178" i="31"/>
  <c r="AO178" i="31"/>
  <c r="Q477" i="31"/>
  <c r="R477" i="31"/>
  <c r="AP477" i="31"/>
  <c r="AO477" i="31"/>
  <c r="R221" i="31"/>
  <c r="Q221" i="31"/>
  <c r="AP221" i="31"/>
  <c r="AO221" i="31"/>
  <c r="Q212" i="31"/>
  <c r="R212" i="31"/>
  <c r="AO212" i="31"/>
  <c r="AP212" i="31"/>
  <c r="Q352" i="31"/>
  <c r="R352" i="31"/>
  <c r="AO352" i="31"/>
  <c r="AP352" i="31"/>
  <c r="R536" i="31"/>
  <c r="Q536" i="31"/>
  <c r="AO536" i="31"/>
  <c r="AP536" i="31"/>
  <c r="Q483" i="31"/>
  <c r="R483" i="31"/>
  <c r="AP483" i="31"/>
  <c r="AO483" i="31"/>
  <c r="R227" i="31"/>
  <c r="Q227" i="31"/>
  <c r="AP227" i="31"/>
  <c r="AO227" i="31"/>
  <c r="Q526" i="31"/>
  <c r="R526" i="31"/>
  <c r="AO526" i="31"/>
  <c r="AP526" i="31"/>
  <c r="R270" i="31"/>
  <c r="Q270" i="31"/>
  <c r="AO270" i="31"/>
  <c r="AP270" i="31"/>
  <c r="R569" i="31"/>
  <c r="Q569" i="31"/>
  <c r="AP569" i="31"/>
  <c r="AO569" i="31"/>
  <c r="R313" i="31"/>
  <c r="Q313" i="31"/>
  <c r="AP313" i="31"/>
  <c r="AO313" i="31"/>
  <c r="R580" i="31"/>
  <c r="Q580" i="31"/>
  <c r="AO580" i="31"/>
  <c r="AP580" i="31"/>
  <c r="R57" i="31"/>
  <c r="Q57" i="31"/>
  <c r="AP57" i="31"/>
  <c r="AO57" i="31"/>
  <c r="R364" i="31"/>
  <c r="Q364" i="31"/>
  <c r="AP364" i="31"/>
  <c r="AO364" i="31"/>
  <c r="Q607" i="31"/>
  <c r="R607" i="31"/>
  <c r="AP607" i="31"/>
  <c r="AO607" i="31"/>
  <c r="Q351" i="31"/>
  <c r="R351" i="31"/>
  <c r="AO351" i="31"/>
  <c r="AP351" i="31"/>
  <c r="R95" i="31"/>
  <c r="Q95" i="31"/>
  <c r="AO95" i="31"/>
  <c r="AP95" i="31"/>
  <c r="R362" i="31"/>
  <c r="Q362" i="31"/>
  <c r="AO362" i="31"/>
  <c r="AP362" i="31"/>
  <c r="Q106" i="31"/>
  <c r="R106" i="31"/>
  <c r="AO106" i="31"/>
  <c r="AP106" i="31"/>
  <c r="R405" i="31"/>
  <c r="Q405" i="31"/>
  <c r="AO405" i="31"/>
  <c r="AP405" i="31"/>
  <c r="R149" i="31"/>
  <c r="Q149" i="31"/>
  <c r="AO149" i="31"/>
  <c r="AP149" i="31"/>
  <c r="Q25" i="31"/>
  <c r="R25" i="31"/>
  <c r="AP25" i="31"/>
  <c r="AO25" i="31"/>
  <c r="Q604" i="31"/>
  <c r="R604" i="31"/>
  <c r="AO604" i="31"/>
  <c r="AP604" i="31"/>
  <c r="R248" i="31"/>
  <c r="Q248" i="31"/>
  <c r="AO248" i="31"/>
  <c r="AP248" i="31"/>
  <c r="Q219" i="31"/>
  <c r="R219" i="31"/>
  <c r="AO219" i="31"/>
  <c r="AP219" i="31"/>
  <c r="R432" i="31"/>
  <c r="Q432" i="31"/>
  <c r="AO432" i="31"/>
  <c r="AP432" i="31"/>
  <c r="Q628" i="31"/>
  <c r="R628" i="31"/>
  <c r="AO628" i="31"/>
  <c r="H637" i="31" s="1"/>
  <c r="AP628" i="31"/>
  <c r="R435" i="31"/>
  <c r="Q435" i="31"/>
  <c r="AO435" i="31"/>
  <c r="AP435" i="31"/>
  <c r="Q571" i="31"/>
  <c r="R571" i="31"/>
  <c r="AO571" i="31"/>
  <c r="AP571" i="31"/>
  <c r="R315" i="31"/>
  <c r="Q315" i="31"/>
  <c r="AP315" i="31"/>
  <c r="AO315" i="31"/>
  <c r="R326" i="31"/>
  <c r="Q326" i="31"/>
  <c r="AP326" i="31"/>
  <c r="AO326" i="31"/>
  <c r="R70" i="31"/>
  <c r="Q70" i="31"/>
  <c r="AP70" i="31"/>
  <c r="AO70" i="31"/>
  <c r="Q369" i="31"/>
  <c r="R369" i="31"/>
  <c r="AO369" i="31"/>
  <c r="AP369" i="31"/>
  <c r="R113" i="31"/>
  <c r="Q113" i="31"/>
  <c r="AP113" i="31"/>
  <c r="AO113" i="31"/>
  <c r="Q92" i="31"/>
  <c r="R92" i="31"/>
  <c r="AO92" i="31"/>
  <c r="AP92" i="31"/>
  <c r="Q460" i="31"/>
  <c r="R460" i="31"/>
  <c r="AO460" i="31"/>
  <c r="AP460" i="31"/>
  <c r="Q63" i="31"/>
  <c r="R63" i="31"/>
  <c r="AP63" i="31"/>
  <c r="AO63" i="31"/>
  <c r="Q407" i="31"/>
  <c r="R407" i="31"/>
  <c r="AP407" i="31"/>
  <c r="AO407" i="31"/>
  <c r="Q151" i="31"/>
  <c r="R151" i="31"/>
  <c r="AO151" i="31"/>
  <c r="AP151" i="31"/>
  <c r="R450" i="31"/>
  <c r="Q450" i="31"/>
  <c r="AP450" i="31"/>
  <c r="AO450" i="31"/>
  <c r="R162" i="31"/>
  <c r="Q162" i="31"/>
  <c r="AP162" i="31"/>
  <c r="AO162" i="31"/>
  <c r="R461" i="31"/>
  <c r="Q461" i="31"/>
  <c r="AP461" i="31"/>
  <c r="AO461" i="31"/>
  <c r="R205" i="31"/>
  <c r="Q205" i="31"/>
  <c r="AP205" i="31"/>
  <c r="AO205" i="31"/>
  <c r="R132" i="31"/>
  <c r="Q132" i="31"/>
  <c r="AO132" i="31"/>
  <c r="AP132" i="31"/>
  <c r="R288" i="31"/>
  <c r="Q288" i="31"/>
  <c r="AO288" i="31"/>
  <c r="AP288" i="31"/>
  <c r="R600" i="31"/>
  <c r="Q600" i="31"/>
  <c r="AO600" i="31"/>
  <c r="AP600" i="31"/>
  <c r="R531" i="31"/>
  <c r="Q531" i="31"/>
  <c r="AO531" i="31"/>
  <c r="AP531" i="31"/>
  <c r="Q275" i="31"/>
  <c r="R275" i="31"/>
  <c r="AO275" i="31"/>
  <c r="AP275" i="31"/>
  <c r="R574" i="31"/>
  <c r="Q574" i="31"/>
  <c r="AO574" i="31"/>
  <c r="AP574" i="31"/>
  <c r="R318" i="31"/>
  <c r="Q318" i="31"/>
  <c r="AP318" i="31"/>
  <c r="AO318" i="31"/>
  <c r="Q361" i="31"/>
  <c r="R361" i="31"/>
  <c r="AP361" i="31"/>
  <c r="AO361" i="31"/>
  <c r="R105" i="31"/>
  <c r="Q105" i="31"/>
  <c r="AP105" i="31"/>
  <c r="AO105" i="31"/>
  <c r="R152" i="31"/>
  <c r="Q152" i="31"/>
  <c r="AP152" i="31"/>
  <c r="AO152" i="31"/>
  <c r="Q428" i="31"/>
  <c r="R428" i="31"/>
  <c r="AO428" i="31"/>
  <c r="AP428" i="31"/>
  <c r="R44" i="31"/>
  <c r="Q44" i="31"/>
  <c r="AO44" i="31"/>
  <c r="AP44" i="31"/>
  <c r="R367" i="31"/>
  <c r="Q367" i="31"/>
  <c r="AP367" i="31"/>
  <c r="AO367" i="31"/>
  <c r="Q111" i="31"/>
  <c r="R111" i="31"/>
  <c r="AO111" i="31"/>
  <c r="AP111" i="31"/>
  <c r="R410" i="31"/>
  <c r="Q410" i="31"/>
  <c r="AO410" i="31"/>
  <c r="AP410" i="31"/>
  <c r="R154" i="31"/>
  <c r="Q154" i="31"/>
  <c r="AP154" i="31"/>
  <c r="AO154" i="31"/>
  <c r="R421" i="31"/>
  <c r="Q421" i="31"/>
  <c r="AO421" i="31"/>
  <c r="AP421" i="31"/>
  <c r="R165" i="31"/>
  <c r="Q165" i="31"/>
  <c r="AP165" i="31"/>
  <c r="AO165" i="31"/>
  <c r="Q54" i="31"/>
  <c r="R54" i="31"/>
  <c r="AP54" i="31"/>
  <c r="AO54" i="31"/>
  <c r="R73" i="31"/>
  <c r="Q73" i="31"/>
  <c r="AO73" i="31"/>
  <c r="AP73" i="31"/>
  <c r="R440" i="31"/>
  <c r="Q440" i="31"/>
  <c r="AP440" i="31"/>
  <c r="AO440" i="31"/>
  <c r="Q491" i="31"/>
  <c r="R491" i="31"/>
  <c r="AO491" i="31"/>
  <c r="AP491" i="31"/>
  <c r="R235" i="31"/>
  <c r="Q235" i="31"/>
  <c r="AO235" i="31"/>
  <c r="AP235" i="31"/>
  <c r="R534" i="31"/>
  <c r="Q534" i="31"/>
  <c r="AO534" i="31"/>
  <c r="AP534" i="31"/>
  <c r="Q278" i="31"/>
  <c r="R278" i="31"/>
  <c r="AO278" i="31"/>
  <c r="AP278" i="31"/>
  <c r="R577" i="31"/>
  <c r="Q577" i="31"/>
  <c r="AP577" i="31"/>
  <c r="AO577" i="31"/>
  <c r="R321" i="31"/>
  <c r="Q321" i="31"/>
  <c r="AP321" i="31"/>
  <c r="AO321" i="31"/>
  <c r="R484" i="31"/>
  <c r="Q484" i="31"/>
  <c r="AO484" i="31"/>
  <c r="AP484" i="31"/>
  <c r="Q623" i="31"/>
  <c r="R623" i="31"/>
  <c r="AP623" i="31"/>
  <c r="AO623" i="31"/>
  <c r="H633" i="31" s="1"/>
  <c r="Q268" i="31"/>
  <c r="R268" i="31"/>
  <c r="AP268" i="31"/>
  <c r="AO268" i="31"/>
  <c r="R622" i="31"/>
  <c r="Q622" i="31"/>
  <c r="AO622" i="31"/>
  <c r="H632" i="31" s="1"/>
  <c r="AP622" i="31"/>
  <c r="R359" i="31"/>
  <c r="Q359" i="31"/>
  <c r="AO359" i="31"/>
  <c r="AP359" i="31"/>
  <c r="Q103" i="31"/>
  <c r="R103" i="31"/>
  <c r="AO103" i="31"/>
  <c r="AP103" i="31"/>
  <c r="R402" i="31"/>
  <c r="Q402" i="31"/>
  <c r="AO402" i="31"/>
  <c r="AP402" i="31"/>
  <c r="Q146" i="31"/>
  <c r="R146" i="31"/>
  <c r="AO146" i="31"/>
  <c r="AP146" i="31"/>
  <c r="R445" i="31"/>
  <c r="Q445" i="31"/>
  <c r="AO445" i="31"/>
  <c r="AP445" i="31"/>
  <c r="R189" i="31"/>
  <c r="Q189" i="31"/>
  <c r="AO189" i="31"/>
  <c r="AP189" i="31"/>
  <c r="R55" i="31"/>
  <c r="Q55" i="31"/>
  <c r="AO55" i="31"/>
  <c r="AP55" i="31"/>
  <c r="R224" i="31"/>
  <c r="Q224" i="31"/>
  <c r="AP224" i="31"/>
  <c r="AO224" i="31"/>
  <c r="R408" i="31"/>
  <c r="Q408" i="31"/>
  <c r="AO408" i="31"/>
  <c r="AP408" i="31"/>
  <c r="R451" i="31"/>
  <c r="Q451" i="31"/>
  <c r="AO451" i="31"/>
  <c r="AP451" i="31"/>
  <c r="R195" i="31"/>
  <c r="Q195" i="31"/>
  <c r="AP195" i="31"/>
  <c r="AO195" i="31"/>
  <c r="R494" i="31"/>
  <c r="Q494" i="31"/>
  <c r="AO494" i="31"/>
  <c r="AP494" i="31"/>
  <c r="Q238" i="31"/>
  <c r="R238" i="31"/>
  <c r="AP238" i="31"/>
  <c r="AO238" i="31"/>
  <c r="R537" i="31"/>
  <c r="Q537" i="31"/>
  <c r="AP537" i="31"/>
  <c r="AO537" i="31"/>
  <c r="R281" i="31"/>
  <c r="Q281" i="31"/>
  <c r="AP281" i="31"/>
  <c r="AO281" i="31"/>
  <c r="Q452" i="31"/>
  <c r="R452" i="31"/>
  <c r="AO452" i="31"/>
  <c r="AP452" i="31"/>
  <c r="Q592" i="31"/>
  <c r="R592" i="31"/>
  <c r="AO592" i="31"/>
  <c r="AP592" i="31"/>
  <c r="R236" i="31"/>
  <c r="Q236" i="31"/>
  <c r="AP236" i="31"/>
  <c r="AO236" i="31"/>
  <c r="R575" i="31"/>
  <c r="Q575" i="31"/>
  <c r="AP575" i="31"/>
  <c r="AO575" i="31"/>
  <c r="R319" i="31"/>
  <c r="Q319" i="31"/>
  <c r="AP319" i="31"/>
  <c r="AO319" i="31"/>
  <c r="R586" i="31"/>
  <c r="Q586" i="31"/>
  <c r="AP586" i="31"/>
  <c r="AO586" i="31"/>
  <c r="Q330" i="31"/>
  <c r="R330" i="31"/>
  <c r="AO330" i="31"/>
  <c r="AP330" i="31"/>
  <c r="R74" i="31"/>
  <c r="Q74" i="31"/>
  <c r="AO74" i="31"/>
  <c r="AP74" i="31"/>
  <c r="R373" i="31"/>
  <c r="Q373" i="31"/>
  <c r="AP373" i="31"/>
  <c r="AO373" i="31"/>
  <c r="R117" i="31"/>
  <c r="Q117" i="31"/>
  <c r="AP117" i="31"/>
  <c r="AO117" i="31"/>
  <c r="R47" i="31"/>
  <c r="Q47" i="31"/>
  <c r="AP47" i="31"/>
  <c r="AO47" i="31"/>
  <c r="R476" i="31"/>
  <c r="Q476" i="31"/>
  <c r="AP476" i="31"/>
  <c r="AO476" i="31"/>
  <c r="R69" i="31"/>
  <c r="Q69" i="31"/>
  <c r="AO69" i="31"/>
  <c r="AP69" i="31"/>
  <c r="R225" i="31"/>
  <c r="Q225" i="31"/>
  <c r="AO225" i="31"/>
  <c r="AP225" i="31"/>
  <c r="R518" i="31"/>
  <c r="Q518" i="31"/>
  <c r="AP518" i="31"/>
  <c r="AO518" i="31"/>
  <c r="R539" i="31"/>
  <c r="Q539" i="31"/>
  <c r="AO539" i="31"/>
  <c r="AP539" i="31"/>
  <c r="R582" i="31"/>
  <c r="Q582" i="31"/>
  <c r="AO582" i="31"/>
  <c r="AP582" i="31"/>
  <c r="Q294" i="31"/>
  <c r="R294" i="31"/>
  <c r="AO294" i="31"/>
  <c r="AP294" i="31"/>
  <c r="R593" i="31"/>
  <c r="Q593" i="31"/>
  <c r="AP593" i="31"/>
  <c r="AO593" i="31"/>
  <c r="R337" i="31"/>
  <c r="Q337" i="31"/>
  <c r="AO337" i="31"/>
  <c r="AP337" i="31"/>
  <c r="R81" i="31"/>
  <c r="Q81" i="31"/>
  <c r="AO81" i="31"/>
  <c r="AP81" i="31"/>
  <c r="R28" i="31"/>
  <c r="Q28" i="31"/>
  <c r="AO28" i="31"/>
  <c r="AP28" i="31"/>
  <c r="R332" i="31"/>
  <c r="Q332" i="31"/>
  <c r="AP332" i="31"/>
  <c r="AO332" i="31"/>
  <c r="R76" i="31"/>
  <c r="Q76" i="31"/>
  <c r="AO76" i="31"/>
  <c r="AP76" i="31"/>
  <c r="R375" i="31"/>
  <c r="Q375" i="31"/>
  <c r="AP375" i="31"/>
  <c r="AO375" i="31"/>
  <c r="R119" i="31"/>
  <c r="Q119" i="31"/>
  <c r="AP119" i="31"/>
  <c r="AO119" i="31"/>
  <c r="R418" i="31"/>
  <c r="Q418" i="31"/>
  <c r="AO418" i="31"/>
  <c r="AP418" i="31"/>
  <c r="R130" i="31"/>
  <c r="Q130" i="31"/>
  <c r="AP130" i="31"/>
  <c r="AO130" i="31"/>
  <c r="Q429" i="31"/>
  <c r="R429" i="31"/>
  <c r="AP429" i="31"/>
  <c r="AO429" i="31"/>
  <c r="R173" i="31"/>
  <c r="Q173" i="31"/>
  <c r="AO173" i="31"/>
  <c r="AP173" i="31"/>
  <c r="R23" i="31"/>
  <c r="Q23" i="31"/>
  <c r="AO23" i="31"/>
  <c r="AP23" i="31"/>
  <c r="R140" i="31"/>
  <c r="Q140" i="31"/>
  <c r="AO140" i="31"/>
  <c r="AP140" i="31"/>
  <c r="R472" i="31"/>
  <c r="Q472" i="31"/>
  <c r="AO472" i="31"/>
  <c r="AP472" i="31"/>
  <c r="R499" i="31"/>
  <c r="Q499" i="31"/>
  <c r="AO499" i="31"/>
  <c r="AP499" i="31"/>
  <c r="Q243" i="31"/>
  <c r="R243" i="31"/>
  <c r="AP243" i="31"/>
  <c r="AO243" i="31"/>
  <c r="Q542" i="31"/>
  <c r="R542" i="31"/>
  <c r="AO542" i="31"/>
  <c r="AP542" i="31"/>
  <c r="R286" i="31"/>
  <c r="Q286" i="31"/>
  <c r="AP286" i="31"/>
  <c r="AO286" i="31"/>
  <c r="R585" i="31"/>
  <c r="Q585" i="31"/>
  <c r="AP585" i="31"/>
  <c r="AO585" i="31"/>
  <c r="R329" i="31"/>
  <c r="Q329" i="31"/>
  <c r="AP329" i="31"/>
  <c r="AO329" i="31"/>
  <c r="R18" i="31"/>
  <c r="Q18" i="31"/>
  <c r="AP18" i="31"/>
  <c r="AO18" i="31"/>
  <c r="Q80" i="31"/>
  <c r="R80" i="31"/>
  <c r="AO80" i="31"/>
  <c r="AP80" i="31"/>
  <c r="R300" i="31"/>
  <c r="Q300" i="31"/>
  <c r="AO300" i="31"/>
  <c r="AP300" i="31"/>
  <c r="R591" i="31"/>
  <c r="Q591" i="31"/>
  <c r="AP591" i="31"/>
  <c r="AO591" i="31"/>
  <c r="R335" i="31"/>
  <c r="Q335" i="31"/>
  <c r="AO335" i="31"/>
  <c r="AP335" i="31"/>
  <c r="Q79" i="31"/>
  <c r="R79" i="31"/>
  <c r="AP79" i="31"/>
  <c r="AO79" i="31"/>
  <c r="R378" i="31"/>
  <c r="Q378" i="31"/>
  <c r="AO378" i="31"/>
  <c r="AP378" i="31"/>
  <c r="R122" i="31"/>
  <c r="Q122" i="31"/>
  <c r="AP122" i="31"/>
  <c r="AO122" i="31"/>
  <c r="Q389" i="31"/>
  <c r="R389" i="31"/>
  <c r="AO389" i="31"/>
  <c r="AP389" i="31"/>
  <c r="AP133" i="31"/>
  <c r="Q133" i="31"/>
  <c r="R133" i="31"/>
  <c r="AO133" i="31"/>
  <c r="R59" i="31"/>
  <c r="Q59" i="31"/>
  <c r="AP59" i="31"/>
  <c r="AO59" i="31"/>
  <c r="Q65" i="31"/>
  <c r="R65" i="31"/>
  <c r="AP65" i="31"/>
  <c r="AO65" i="31"/>
  <c r="Q312" i="31"/>
  <c r="R312" i="31"/>
  <c r="AO312" i="31"/>
  <c r="AP312" i="31"/>
  <c r="R459" i="31"/>
  <c r="Q459" i="31"/>
  <c r="AP459" i="31"/>
  <c r="AO459" i="31"/>
  <c r="R203" i="31"/>
  <c r="Q203" i="31"/>
  <c r="AO203" i="31"/>
  <c r="AP203" i="31"/>
  <c r="Q502" i="31"/>
  <c r="R502" i="31"/>
  <c r="AP502" i="31"/>
  <c r="AO502" i="31"/>
  <c r="Q246" i="31"/>
  <c r="R246" i="31"/>
  <c r="AO246" i="31"/>
  <c r="AP246" i="31"/>
  <c r="Q545" i="31"/>
  <c r="R545" i="31"/>
  <c r="AP545" i="31"/>
  <c r="AO545" i="31"/>
  <c r="R289" i="31"/>
  <c r="Q289" i="31"/>
  <c r="AO289" i="31"/>
  <c r="AP289" i="31"/>
  <c r="Q356" i="31"/>
  <c r="R356" i="31"/>
  <c r="AP356" i="31"/>
  <c r="AO356" i="31"/>
  <c r="Q496" i="31"/>
  <c r="R496" i="31"/>
  <c r="AO496" i="31"/>
  <c r="AP496" i="31"/>
  <c r="R116" i="31"/>
  <c r="Q116" i="31"/>
  <c r="AP116" i="31"/>
  <c r="AO116" i="31"/>
  <c r="R583" i="31"/>
  <c r="Q583" i="31"/>
  <c r="AO583" i="31"/>
  <c r="AP583" i="31"/>
  <c r="R327" i="31"/>
  <c r="Q327" i="31"/>
  <c r="AO327" i="31"/>
  <c r="AP327" i="31"/>
  <c r="Q370" i="31"/>
  <c r="R370" i="31"/>
  <c r="AO370" i="31"/>
  <c r="AP370" i="31"/>
  <c r="R114" i="31"/>
  <c r="Q114" i="31"/>
  <c r="AP114" i="31"/>
  <c r="AO114" i="31"/>
  <c r="R413" i="31"/>
  <c r="Q413" i="31"/>
  <c r="AO413" i="31"/>
  <c r="AP413" i="31"/>
  <c r="R157" i="31"/>
  <c r="Q157" i="31"/>
  <c r="AP157" i="31"/>
  <c r="AO157" i="31"/>
  <c r="R35" i="31"/>
  <c r="Q35" i="31"/>
  <c r="AP35" i="31"/>
  <c r="AO35" i="31"/>
  <c r="R128" i="31"/>
  <c r="Q128" i="31"/>
  <c r="AO128" i="31"/>
  <c r="AP128" i="31"/>
  <c r="R280" i="31"/>
  <c r="Q280" i="31"/>
  <c r="AO280" i="31"/>
  <c r="AP280" i="31"/>
  <c r="Q419" i="31"/>
  <c r="R419" i="31"/>
  <c r="AO419" i="31"/>
  <c r="AP419" i="31"/>
  <c r="Q163" i="31"/>
  <c r="R163" i="31"/>
  <c r="AP163" i="31"/>
  <c r="AO163" i="31"/>
  <c r="R462" i="31"/>
  <c r="Q462" i="31"/>
  <c r="AO462" i="31"/>
  <c r="AP462" i="31"/>
  <c r="R206" i="31"/>
  <c r="Q206" i="31"/>
  <c r="AO206" i="31"/>
  <c r="AP206" i="31"/>
  <c r="Q505" i="31"/>
  <c r="R505" i="31"/>
  <c r="AP505" i="31"/>
  <c r="AO505" i="31"/>
  <c r="R249" i="31"/>
  <c r="Q249" i="31"/>
  <c r="AP249" i="31"/>
  <c r="AO249" i="31"/>
  <c r="R324" i="31"/>
  <c r="Q324" i="31"/>
  <c r="AP324" i="31"/>
  <c r="AO324" i="31"/>
  <c r="Q464" i="31"/>
  <c r="R464" i="31"/>
  <c r="AO464" i="31"/>
  <c r="AP464" i="31"/>
  <c r="AP58" i="31"/>
  <c r="R58" i="31"/>
  <c r="Q58" i="31"/>
  <c r="AO58" i="31"/>
  <c r="R543" i="31"/>
  <c r="Q543" i="31"/>
  <c r="AP543" i="31"/>
  <c r="AO543" i="31"/>
  <c r="R287" i="31"/>
  <c r="Q287" i="31"/>
  <c r="AO287" i="31"/>
  <c r="AP287" i="31"/>
  <c r="R554" i="31"/>
  <c r="Q554" i="31"/>
  <c r="AO554" i="31"/>
  <c r="AP554" i="31"/>
  <c r="R298" i="31"/>
  <c r="Q298" i="31"/>
  <c r="AO298" i="31"/>
  <c r="AP298" i="31"/>
  <c r="R597" i="31"/>
  <c r="Q597" i="31"/>
  <c r="AO597" i="31"/>
  <c r="AP597" i="31"/>
  <c r="R341" i="31"/>
  <c r="Q341" i="31"/>
  <c r="AO341" i="31"/>
  <c r="AP341" i="31"/>
  <c r="R85" i="31"/>
  <c r="Q85" i="31"/>
  <c r="AP85" i="31"/>
  <c r="AO85" i="31"/>
  <c r="R32" i="31"/>
  <c r="Q32" i="31"/>
  <c r="AP32" i="31"/>
  <c r="AO32" i="31"/>
  <c r="R348" i="31"/>
  <c r="Q348" i="31"/>
  <c r="AP348" i="31"/>
  <c r="AO348" i="31"/>
  <c r="R144" i="31"/>
  <c r="Q144" i="31"/>
  <c r="AP144" i="31"/>
  <c r="AO144" i="31"/>
  <c r="R436" i="31"/>
  <c r="Q436" i="31"/>
  <c r="AP436" i="31"/>
  <c r="AO436" i="31"/>
  <c r="R273" i="31"/>
  <c r="Q273" i="31"/>
  <c r="AO273" i="31"/>
  <c r="AP273" i="31"/>
  <c r="R283" i="31"/>
  <c r="Q283" i="31"/>
  <c r="AP283" i="31"/>
  <c r="AO283" i="31"/>
  <c r="R507" i="31"/>
  <c r="Q507" i="31"/>
  <c r="AP507" i="31"/>
  <c r="AO507" i="31"/>
  <c r="Q251" i="31"/>
  <c r="R251" i="31"/>
  <c r="AP251" i="31"/>
  <c r="AO251" i="31"/>
  <c r="R550" i="31"/>
  <c r="Q550" i="31"/>
  <c r="AP550" i="31"/>
  <c r="AO550" i="31"/>
  <c r="R262" i="31"/>
  <c r="Q262" i="31"/>
  <c r="AP262" i="31"/>
  <c r="AO262" i="31"/>
  <c r="Q561" i="31"/>
  <c r="R561" i="31"/>
  <c r="AO561" i="31"/>
  <c r="AP561" i="31"/>
  <c r="Q305" i="31"/>
  <c r="R305" i="31"/>
  <c r="AP305" i="31"/>
  <c r="AO305" i="31"/>
  <c r="R548" i="31"/>
  <c r="Q548" i="31"/>
  <c r="AP548" i="31"/>
  <c r="AO548" i="31"/>
  <c r="R560" i="31"/>
  <c r="Q560" i="31"/>
  <c r="AP560" i="31"/>
  <c r="AO560" i="31"/>
  <c r="Q204" i="31"/>
  <c r="R204" i="31"/>
  <c r="AP204" i="31"/>
  <c r="AO204" i="31"/>
  <c r="R599" i="31"/>
  <c r="Q599" i="31"/>
  <c r="AO599" i="31"/>
  <c r="AP599" i="31"/>
  <c r="Q343" i="31"/>
  <c r="R343" i="31"/>
  <c r="AP343" i="31"/>
  <c r="AO343" i="31"/>
  <c r="R87" i="31"/>
  <c r="Q87" i="31"/>
  <c r="AP87" i="31"/>
  <c r="AO87" i="31"/>
  <c r="Q386" i="31"/>
  <c r="R386" i="31"/>
  <c r="AP386" i="31"/>
  <c r="AO386" i="31"/>
  <c r="Q98" i="31"/>
  <c r="R98" i="31"/>
  <c r="AO98" i="31"/>
  <c r="AP98" i="31"/>
  <c r="R397" i="31"/>
  <c r="Q397" i="31"/>
  <c r="AP397" i="31"/>
  <c r="AO397" i="31"/>
  <c r="Q141" i="31"/>
  <c r="R141" i="31"/>
  <c r="AO141" i="31"/>
  <c r="AP141" i="31"/>
  <c r="R16" i="31"/>
  <c r="Q16" i="31"/>
  <c r="AO16" i="31"/>
  <c r="AP16" i="31"/>
  <c r="R160" i="31"/>
  <c r="Q160" i="31"/>
  <c r="AO160" i="31"/>
  <c r="AP160" i="31"/>
  <c r="R344" i="31"/>
  <c r="Q344" i="31"/>
  <c r="AO344" i="31"/>
  <c r="AP344" i="31"/>
  <c r="R467" i="31"/>
  <c r="Q467" i="31"/>
  <c r="AP467" i="31"/>
  <c r="AO467" i="31"/>
  <c r="R211" i="31"/>
  <c r="Q211" i="31"/>
  <c r="AP211" i="31"/>
  <c r="AO211" i="31"/>
  <c r="R510" i="31"/>
  <c r="Q510" i="31"/>
  <c r="AP510" i="31"/>
  <c r="AO510" i="31"/>
  <c r="Q254" i="31"/>
  <c r="R254" i="31"/>
  <c r="AP254" i="31"/>
  <c r="AO254" i="31"/>
  <c r="R553" i="31"/>
  <c r="Q553" i="31"/>
  <c r="AP553" i="31"/>
  <c r="AO553" i="31"/>
  <c r="R297" i="31"/>
  <c r="Q297" i="31"/>
  <c r="AP297" i="31"/>
  <c r="AO297" i="31"/>
  <c r="R516" i="31"/>
  <c r="Q516" i="31"/>
  <c r="AP516" i="31"/>
  <c r="AO516" i="31"/>
  <c r="Q56" i="31"/>
  <c r="R56" i="31"/>
  <c r="AP56" i="31"/>
  <c r="AO56" i="31"/>
  <c r="R172" i="31"/>
  <c r="Q172" i="31"/>
  <c r="AO172" i="31"/>
  <c r="AP172" i="31"/>
  <c r="R559" i="31"/>
  <c r="Q559" i="31"/>
  <c r="AO559" i="31"/>
  <c r="AP559" i="31"/>
  <c r="R303" i="31"/>
  <c r="Q303" i="31"/>
  <c r="AP303" i="31"/>
  <c r="AO303" i="31"/>
  <c r="R602" i="31"/>
  <c r="Q602" i="31"/>
  <c r="AP602" i="31"/>
  <c r="AO602" i="31"/>
  <c r="Q346" i="31"/>
  <c r="R346" i="31"/>
  <c r="AP346" i="31"/>
  <c r="AO346" i="31"/>
  <c r="R90" i="31"/>
  <c r="Q90" i="31"/>
  <c r="AO90" i="31"/>
  <c r="AP90" i="31"/>
  <c r="R357" i="31"/>
  <c r="Q357" i="31"/>
  <c r="AO357" i="31"/>
  <c r="AP357" i="31"/>
  <c r="R101" i="31"/>
  <c r="Q101" i="31"/>
  <c r="AO101" i="31"/>
  <c r="AP101" i="31"/>
  <c r="R120" i="31"/>
  <c r="Q120" i="31"/>
  <c r="AP120" i="31"/>
  <c r="AO120" i="31"/>
  <c r="R540" i="31"/>
  <c r="Q540" i="31"/>
  <c r="AO540" i="31"/>
  <c r="AP540" i="31"/>
  <c r="Q184" i="31"/>
  <c r="R184" i="31"/>
  <c r="AP184" i="31"/>
  <c r="AO184" i="31"/>
  <c r="Q427" i="31"/>
  <c r="R427" i="31"/>
  <c r="AO427" i="31"/>
  <c r="AP427" i="31"/>
  <c r="R171" i="31"/>
  <c r="Q171" i="31"/>
  <c r="AP171" i="31"/>
  <c r="AO171" i="31"/>
  <c r="Q470" i="31"/>
  <c r="R470" i="31"/>
  <c r="AO470" i="31"/>
  <c r="AP470" i="31"/>
  <c r="R214" i="31"/>
  <c r="Q214" i="31"/>
  <c r="AO214" i="31"/>
  <c r="AP214" i="31"/>
  <c r="R513" i="31"/>
  <c r="Q513" i="31"/>
  <c r="AO513" i="31"/>
  <c r="AP513" i="31"/>
  <c r="R257" i="31"/>
  <c r="Q257" i="31"/>
  <c r="AP257" i="31"/>
  <c r="AO257" i="31"/>
  <c r="R228" i="31"/>
  <c r="Q228" i="31"/>
  <c r="AP228" i="31"/>
  <c r="AO228" i="31"/>
  <c r="R368" i="31"/>
  <c r="Q368" i="31"/>
  <c r="AP368" i="31"/>
  <c r="AO368" i="31"/>
  <c r="Q14" i="31"/>
  <c r="R14" i="31"/>
  <c r="AO14" i="31"/>
  <c r="AP14" i="31"/>
  <c r="R551" i="31"/>
  <c r="Q551" i="31"/>
  <c r="AP551" i="31"/>
  <c r="AO551" i="31"/>
  <c r="R295" i="31"/>
  <c r="Q295" i="31"/>
  <c r="AP295" i="31"/>
  <c r="AO295" i="31"/>
  <c r="R594" i="31"/>
  <c r="Q594" i="31"/>
  <c r="AP594" i="31"/>
  <c r="AO594" i="31"/>
  <c r="Q338" i="31"/>
  <c r="R338" i="31"/>
  <c r="AO338" i="31"/>
  <c r="AP338" i="31"/>
  <c r="R82" i="31"/>
  <c r="Q82" i="31"/>
  <c r="AO82" i="31"/>
  <c r="AP82" i="31"/>
  <c r="R381" i="31"/>
  <c r="Q381" i="31"/>
  <c r="AP381" i="31"/>
  <c r="AO381" i="31"/>
  <c r="R125" i="31"/>
  <c r="Q125" i="31"/>
  <c r="AP125" i="31"/>
  <c r="AO125" i="31"/>
  <c r="R33" i="31"/>
  <c r="Q33" i="31"/>
  <c r="AO33" i="31"/>
  <c r="AP33" i="31"/>
  <c r="R71" i="31"/>
  <c r="Q71" i="31"/>
  <c r="AO71" i="31"/>
  <c r="AP71" i="31"/>
  <c r="R156" i="31"/>
  <c r="Q156" i="31"/>
  <c r="AO156" i="31"/>
  <c r="AP156" i="31"/>
  <c r="R387" i="31"/>
  <c r="Q387" i="31"/>
  <c r="AO387" i="31"/>
  <c r="AP387" i="31"/>
  <c r="R131" i="31"/>
  <c r="Q131" i="31"/>
  <c r="AP131" i="31"/>
  <c r="AO131" i="31"/>
  <c r="R430" i="31"/>
  <c r="Q430" i="31"/>
  <c r="AO430" i="31"/>
  <c r="AP430" i="31"/>
  <c r="R174" i="31"/>
  <c r="Q174" i="31"/>
  <c r="AO174" i="31"/>
  <c r="AP174" i="31"/>
  <c r="R473" i="31"/>
  <c r="Q473" i="31"/>
  <c r="AO473" i="31"/>
  <c r="AP473" i="31"/>
  <c r="R217" i="31"/>
  <c r="Q217" i="31"/>
  <c r="AO217" i="31"/>
  <c r="AP217" i="31"/>
  <c r="R196" i="31"/>
  <c r="Q196" i="31"/>
  <c r="AO196" i="31"/>
  <c r="AP196" i="31"/>
  <c r="R336" i="31"/>
  <c r="Q336" i="31"/>
  <c r="AP336" i="31"/>
  <c r="AO336" i="31"/>
  <c r="R38" i="31"/>
  <c r="Q38" i="31"/>
  <c r="AO38" i="31"/>
  <c r="AP38" i="31"/>
  <c r="R511" i="31"/>
  <c r="Q511" i="31"/>
  <c r="AP511" i="31"/>
  <c r="AO511" i="31"/>
  <c r="R255" i="31"/>
  <c r="Q255" i="31"/>
  <c r="AP255" i="31"/>
  <c r="AO255" i="31"/>
  <c r="R522" i="31"/>
  <c r="Q522" i="31"/>
  <c r="AO522" i="31"/>
  <c r="AP522" i="31"/>
  <c r="Q266" i="31"/>
  <c r="R266" i="31"/>
  <c r="AP266" i="31"/>
  <c r="AO266" i="31"/>
  <c r="R565" i="31"/>
  <c r="Q565" i="31"/>
  <c r="AO565" i="31"/>
  <c r="AP565" i="31"/>
  <c r="R309" i="31"/>
  <c r="Q309" i="31"/>
  <c r="AO309" i="31"/>
  <c r="AP309" i="31"/>
  <c r="R564" i="31"/>
  <c r="Q564" i="31"/>
  <c r="AO564" i="31"/>
  <c r="AP564" i="31"/>
  <c r="Q576" i="31"/>
  <c r="R576" i="31"/>
  <c r="AO576" i="31"/>
  <c r="AP576" i="31"/>
  <c r="R220" i="31"/>
  <c r="Q220" i="31"/>
  <c r="AO220" i="31"/>
  <c r="AP220" i="31"/>
  <c r="Q272" i="31"/>
  <c r="R272" i="31"/>
  <c r="AP272" i="31"/>
  <c r="AO272" i="31"/>
  <c r="B512" i="2"/>
  <c r="A512" i="2" l="1"/>
  <c r="D71" i="16"/>
  <c r="D65" i="16" l="1"/>
  <c r="B90" i="1" l="1"/>
  <c r="Q7" i="8"/>
  <c r="R7" i="8" s="1"/>
  <c r="Q27" i="8" l="1"/>
  <c r="R27" i="8"/>
  <c r="C90" i="1" s="1"/>
  <c r="A474" i="2" l="1"/>
  <c r="B474" i="2"/>
  <c r="C64" i="16"/>
  <c r="D64" i="16" s="1"/>
  <c r="B371" i="2"/>
  <c r="B91" i="1" l="1"/>
  <c r="A492" i="2"/>
  <c r="B492" i="2"/>
  <c r="C3" i="8" l="1"/>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4" i="8" l="1"/>
  <c r="R28" i="8" s="1"/>
  <c r="C91" i="1" s="1"/>
  <c r="R29" i="8"/>
  <c r="C92" i="1" s="1"/>
  <c r="Q29" i="8"/>
  <c r="Q28" i="8" l="1"/>
  <c r="B372" i="2"/>
  <c r="B493" i="2" s="1"/>
  <c r="C50" i="16"/>
  <c r="D50" i="16" s="1"/>
  <c r="B355" i="2" l="1"/>
  <c r="C5" i="31" s="1"/>
  <c r="A493" i="2"/>
  <c r="B373" i="2"/>
  <c r="B494" i="2" s="1"/>
  <c r="C51" i="16"/>
  <c r="D51" i="16" s="1"/>
  <c r="B378" i="2"/>
  <c r="C4" i="31" l="1"/>
  <c r="Z625" i="32" s="1"/>
  <c r="Z624" i="32"/>
  <c r="Z626" i="32"/>
  <c r="Z623" i="32"/>
  <c r="Z622" i="32"/>
  <c r="Z628" i="32"/>
  <c r="W625" i="32"/>
  <c r="W624" i="32"/>
  <c r="W626" i="32"/>
  <c r="W623" i="32"/>
  <c r="W622" i="32"/>
  <c r="W628" i="32"/>
  <c r="Z567" i="32"/>
  <c r="Z525" i="32"/>
  <c r="Z461" i="32"/>
  <c r="Z584" i="32"/>
  <c r="Z516" i="32"/>
  <c r="Z480" i="32"/>
  <c r="Z533" i="32"/>
  <c r="Z457" i="32"/>
  <c r="Z561" i="32"/>
  <c r="Z481" i="32"/>
  <c r="Z452" i="32"/>
  <c r="Z547" i="32"/>
  <c r="Z606" i="32"/>
  <c r="Z559" i="32"/>
  <c r="Z515" i="32"/>
  <c r="Z488" i="32"/>
  <c r="Z527" i="32"/>
  <c r="Z456" i="32"/>
  <c r="Z422" i="32"/>
  <c r="Z372" i="32"/>
  <c r="Z415" i="32"/>
  <c r="Z344" i="32"/>
  <c r="Z590" i="32"/>
  <c r="Z443" i="32"/>
  <c r="Z403" i="32"/>
  <c r="Z352" i="32"/>
  <c r="Z395" i="32"/>
  <c r="Z342" i="32"/>
  <c r="Z421" i="32"/>
  <c r="Z571" i="32"/>
  <c r="Z347" i="32"/>
  <c r="Z321" i="32"/>
  <c r="Z426" i="32"/>
  <c r="Z376" i="32"/>
  <c r="Z379" i="32"/>
  <c r="Z267" i="32"/>
  <c r="Z215" i="32"/>
  <c r="Z314" i="32"/>
  <c r="Z213" i="32"/>
  <c r="Z270" i="32"/>
  <c r="Z218" i="32"/>
  <c r="Z302" i="32"/>
  <c r="Z275" i="32"/>
  <c r="Z232" i="32"/>
  <c r="Z498" i="32"/>
  <c r="Z248" i="32"/>
  <c r="Z207" i="32"/>
  <c r="Z286" i="32"/>
  <c r="Z221" i="32"/>
  <c r="Z236" i="32"/>
  <c r="Z167" i="32"/>
  <c r="Z152" i="32"/>
  <c r="Z91" i="32"/>
  <c r="Z168" i="32"/>
  <c r="Z107" i="32"/>
  <c r="Z274" i="32"/>
  <c r="Z150" i="32"/>
  <c r="Z104" i="32"/>
  <c r="Z63" i="32"/>
  <c r="Z135" i="32"/>
  <c r="Z94" i="32"/>
  <c r="Z184" i="32"/>
  <c r="Z119" i="32"/>
  <c r="Z234" i="32"/>
  <c r="Z143" i="32"/>
  <c r="Z90" i="32"/>
  <c r="Z191" i="32"/>
  <c r="Z60" i="32"/>
  <c r="Z21" i="32"/>
  <c r="Z31" i="32"/>
  <c r="Z34" i="32"/>
  <c r="Z17" i="32"/>
  <c r="Z22" i="32"/>
  <c r="Z38" i="32"/>
  <c r="Z19" i="32"/>
  <c r="W80" i="31"/>
  <c r="Z565" i="32"/>
  <c r="Z523" i="32"/>
  <c r="Z449" i="32"/>
  <c r="Z558" i="32"/>
  <c r="Z514" i="32"/>
  <c r="Z605" i="32"/>
  <c r="Z504" i="32"/>
  <c r="Z603" i="32"/>
  <c r="Z554" i="32"/>
  <c r="Z477" i="32"/>
  <c r="Z612" i="32"/>
  <c r="Z545" i="32"/>
  <c r="Z596" i="32"/>
  <c r="Z557" i="32"/>
  <c r="Z513" i="32"/>
  <c r="Z486" i="32"/>
  <c r="Z520" i="32"/>
  <c r="Z455" i="32"/>
  <c r="Z410" i="32"/>
  <c r="Z367" i="32"/>
  <c r="Z408" i="32"/>
  <c r="Z339" i="32"/>
  <c r="Z578" i="32"/>
  <c r="Z441" i="32"/>
  <c r="Z398" i="32"/>
  <c r="Z479" i="32"/>
  <c r="Z392" i="32"/>
  <c r="Z328" i="32"/>
  <c r="Z387" i="32"/>
  <c r="Z447" i="32"/>
  <c r="Z345" i="32"/>
  <c r="Z320" i="32"/>
  <c r="Z424" i="32"/>
  <c r="Z374" i="32"/>
  <c r="Z359" i="32"/>
  <c r="Z264" i="32"/>
  <c r="Z206" i="32"/>
  <c r="Z306" i="32"/>
  <c r="Z211" i="32"/>
  <c r="Z265" i="32"/>
  <c r="Z209" i="32"/>
  <c r="Z300" i="32"/>
  <c r="Z260" i="32"/>
  <c r="Z195" i="32"/>
  <c r="Z463" i="32"/>
  <c r="Z241" i="32"/>
  <c r="Z444" i="32"/>
  <c r="Z281" i="32"/>
  <c r="Z212" i="32"/>
  <c r="Z219" i="32"/>
  <c r="Z296" i="32"/>
  <c r="Z140" i="32"/>
  <c r="Z88" i="32"/>
  <c r="Z162" i="32"/>
  <c r="Z86" i="32"/>
  <c r="Z242" i="32"/>
  <c r="Z144" i="32"/>
  <c r="Z98" i="32"/>
  <c r="Z294" i="32"/>
  <c r="Z128" i="32"/>
  <c r="Z92" i="32"/>
  <c r="Z176" i="32"/>
  <c r="Z89" i="32"/>
  <c r="Z208" i="32"/>
  <c r="Z137" i="32"/>
  <c r="Z84" i="32"/>
  <c r="Z158" i="32"/>
  <c r="Z57" i="32"/>
  <c r="Z16" i="32"/>
  <c r="Z157" i="32"/>
  <c r="Z24" i="32"/>
  <c r="Z15" i="32"/>
  <c r="Z59" i="32"/>
  <c r="Z23" i="32"/>
  <c r="Z28" i="32"/>
  <c r="Z613" i="32"/>
  <c r="Z560" i="32"/>
  <c r="Z503" i="32"/>
  <c r="Z609" i="32"/>
  <c r="Z556" i="32"/>
  <c r="Z512" i="32"/>
  <c r="Z591" i="32"/>
  <c r="Z501" i="32"/>
  <c r="Z600" i="32"/>
  <c r="Z540" i="32"/>
  <c r="Z473" i="32"/>
  <c r="Z598" i="32"/>
  <c r="Z531" i="32"/>
  <c r="Z594" i="32"/>
  <c r="Z552" i="32"/>
  <c r="Z511" i="32"/>
  <c r="Z604" i="32"/>
  <c r="Z500" i="32"/>
  <c r="Z451" i="32"/>
  <c r="Z397" i="32"/>
  <c r="Z357" i="32"/>
  <c r="Z386" i="32"/>
  <c r="Z337" i="32"/>
  <c r="Z573" i="32"/>
  <c r="Z438" i="32"/>
  <c r="Z375" i="32"/>
  <c r="Z450" i="32"/>
  <c r="Z389" i="32"/>
  <c r="Z482" i="32"/>
  <c r="Z381" i="32"/>
  <c r="Z439" i="32"/>
  <c r="Z340" i="32"/>
  <c r="Z478" i="32"/>
  <c r="Z419" i="32"/>
  <c r="Z369" i="32"/>
  <c r="Z341" i="32"/>
  <c r="Z254" i="32"/>
  <c r="Z192" i="32"/>
  <c r="Z304" i="32"/>
  <c r="Z199" i="32"/>
  <c r="Z257" i="32"/>
  <c r="Z204" i="32"/>
  <c r="Z295" i="32"/>
  <c r="Z258" i="32"/>
  <c r="Z193" i="32"/>
  <c r="Z311" i="32"/>
  <c r="Z238" i="32"/>
  <c r="Z407" i="32"/>
  <c r="Z273" i="32"/>
  <c r="Z198" i="32"/>
  <c r="Z217" i="32"/>
  <c r="Z249" i="32"/>
  <c r="Z127" i="32"/>
  <c r="Z71" i="32"/>
  <c r="Z153" i="32"/>
  <c r="Z82" i="32"/>
  <c r="Z201" i="32"/>
  <c r="Z141" i="32"/>
  <c r="Z97" i="32"/>
  <c r="Z284" i="32"/>
  <c r="Z123" i="32"/>
  <c r="Z83" i="32"/>
  <c r="Z165" i="32"/>
  <c r="Z70" i="32"/>
  <c r="Z189" i="32"/>
  <c r="Z131" i="32"/>
  <c r="Z81" i="32"/>
  <c r="Z124" i="32"/>
  <c r="Z52" i="32"/>
  <c r="Z33" i="32"/>
  <c r="Z32" i="32"/>
  <c r="Z256" i="32"/>
  <c r="Z49" i="32"/>
  <c r="Z42" i="32"/>
  <c r="Z56" i="32"/>
  <c r="Z20" i="32"/>
  <c r="Z611" i="32"/>
  <c r="Z553" i="32"/>
  <c r="Z494" i="32"/>
  <c r="Z607" i="32"/>
  <c r="Z544" i="32"/>
  <c r="Z510" i="32"/>
  <c r="Z576" i="32"/>
  <c r="Z499" i="32"/>
  <c r="Z589" i="32"/>
  <c r="Z538" i="32"/>
  <c r="Z470" i="32"/>
  <c r="Z577" i="32"/>
  <c r="Z524" i="32"/>
  <c r="Z592" i="32"/>
  <c r="Z536" i="32"/>
  <c r="Z509" i="32"/>
  <c r="Z601" i="32"/>
  <c r="Z484" i="32"/>
  <c r="Z446" i="32"/>
  <c r="Z394" i="32"/>
  <c r="Z327" i="32"/>
  <c r="Z377" i="32"/>
  <c r="Z335" i="32"/>
  <c r="Z562" i="32"/>
  <c r="Z436" i="32"/>
  <c r="Z373" i="32"/>
  <c r="Z445" i="32"/>
  <c r="Z383" i="32"/>
  <c r="Z476" i="32"/>
  <c r="Z366" i="32"/>
  <c r="Z409" i="32"/>
  <c r="Z338" i="32"/>
  <c r="Z460" i="32"/>
  <c r="Z417" i="32"/>
  <c r="Z364" i="32"/>
  <c r="Z312" i="32"/>
  <c r="Z239" i="32"/>
  <c r="Z190" i="32"/>
  <c r="Z299" i="32"/>
  <c r="Z319" i="32"/>
  <c r="Z245" i="32"/>
  <c r="Z202" i="32"/>
  <c r="Z293" i="32"/>
  <c r="Z255" i="32"/>
  <c r="Z177" i="32"/>
  <c r="Z309" i="32"/>
  <c r="Z230" i="32"/>
  <c r="Z318" i="32"/>
  <c r="Z266" i="32"/>
  <c r="Z412" i="32"/>
  <c r="Z210" i="32"/>
  <c r="Z194" i="32"/>
  <c r="Z120" i="32"/>
  <c r="Z400" i="32"/>
  <c r="Z149" i="32"/>
  <c r="Z74" i="32"/>
  <c r="Z179" i="32"/>
  <c r="Z138" i="32"/>
  <c r="Z85" i="32"/>
  <c r="Z279" i="32"/>
  <c r="Z121" i="32"/>
  <c r="Z78" i="32"/>
  <c r="Z163" i="32"/>
  <c r="Z67" i="32"/>
  <c r="Z186" i="32"/>
  <c r="Z129" i="32"/>
  <c r="Z79" i="32"/>
  <c r="Z122" i="32"/>
  <c r="Z64" i="32"/>
  <c r="Z29" i="32"/>
  <c r="Z139" i="32"/>
  <c r="Z181" i="32"/>
  <c r="Z30" i="32"/>
  <c r="Z13" i="32"/>
  <c r="Z25" i="32"/>
  <c r="Z602" i="32"/>
  <c r="Z548" i="32"/>
  <c r="Z489" i="32"/>
  <c r="Z597" i="32"/>
  <c r="Z535" i="32"/>
  <c r="Z508" i="32"/>
  <c r="Z574" i="32"/>
  <c r="Z490" i="32"/>
  <c r="Z582" i="32"/>
  <c r="Z526" i="32"/>
  <c r="Z469" i="32"/>
  <c r="Z568" i="32"/>
  <c r="Z522" i="32"/>
  <c r="Z587" i="32"/>
  <c r="Z534" i="32"/>
  <c r="Z507" i="32"/>
  <c r="Z575" i="32"/>
  <c r="Z471" i="32"/>
  <c r="Z440" i="32"/>
  <c r="Z391" i="32"/>
  <c r="Z324" i="32"/>
  <c r="Z365" i="32"/>
  <c r="Z333" i="32"/>
  <c r="Z550" i="32"/>
  <c r="Z433" i="32"/>
  <c r="Z370" i="32"/>
  <c r="Z416" i="32"/>
  <c r="Z380" i="32"/>
  <c r="Z453" i="32"/>
  <c r="Z363" i="32"/>
  <c r="Z404" i="32"/>
  <c r="Z336" i="32"/>
  <c r="Z442" i="32"/>
  <c r="Z414" i="32"/>
  <c r="Z361" i="32"/>
  <c r="Z310" i="32"/>
  <c r="Z229" i="32"/>
  <c r="Z187" i="32"/>
  <c r="Z282" i="32"/>
  <c r="Z316" i="32"/>
  <c r="Z237" i="32"/>
  <c r="Z197" i="32"/>
  <c r="Z288" i="32"/>
  <c r="Z252" i="32"/>
  <c r="Z175" i="32"/>
  <c r="Z307" i="32"/>
  <c r="Z225" i="32"/>
  <c r="Z315" i="32"/>
  <c r="Z253" i="32"/>
  <c r="Z303" i="32"/>
  <c r="Z205" i="32"/>
  <c r="Z183" i="32"/>
  <c r="Z114" i="32"/>
  <c r="Z301" i="32"/>
  <c r="Z146" i="32"/>
  <c r="Z65" i="32"/>
  <c r="Z174" i="32"/>
  <c r="Z132" i="32"/>
  <c r="Z80" i="32"/>
  <c r="Z231" i="32"/>
  <c r="Z116" i="32"/>
  <c r="Z72" i="32"/>
  <c r="Z151" i="32"/>
  <c r="Z44" i="32"/>
  <c r="Z161" i="32"/>
  <c r="Z117" i="32"/>
  <c r="Z76" i="32"/>
  <c r="Z95" i="32"/>
  <c r="Z61" i="32"/>
  <c r="Z14" i="32"/>
  <c r="Z113" i="32"/>
  <c r="Z133" i="32"/>
  <c r="Z169" i="32"/>
  <c r="Z100" i="32"/>
  <c r="Z105" i="32"/>
  <c r="Z599" i="32"/>
  <c r="Z546" i="32"/>
  <c r="Z475" i="32"/>
  <c r="Z595" i="32"/>
  <c r="Z528" i="32"/>
  <c r="Z506" i="32"/>
  <c r="Z563" i="32"/>
  <c r="Z485" i="32"/>
  <c r="Z579" i="32"/>
  <c r="Z497" i="32"/>
  <c r="Z464" i="32"/>
  <c r="Z566" i="32"/>
  <c r="Z502" i="32"/>
  <c r="Z585" i="32"/>
  <c r="Z529" i="32"/>
  <c r="Z505" i="32"/>
  <c r="Z555" i="32"/>
  <c r="Z467" i="32"/>
  <c r="Z432" i="32"/>
  <c r="Z388" i="32"/>
  <c r="Z448" i="32"/>
  <c r="Z362" i="32"/>
  <c r="Z330" i="32"/>
  <c r="Z539" i="32"/>
  <c r="Z425" i="32"/>
  <c r="Z360" i="32"/>
  <c r="Z411" i="32"/>
  <c r="Z378" i="32"/>
  <c r="Z430" i="32"/>
  <c r="Z358" i="32"/>
  <c r="Z399" i="32"/>
  <c r="Z334" i="32"/>
  <c r="Z437" i="32"/>
  <c r="Z402" i="32"/>
  <c r="Z356" i="32"/>
  <c r="Z308" i="32"/>
  <c r="Z226" i="32"/>
  <c r="Z185" i="32"/>
  <c r="Z277" i="32"/>
  <c r="Z297" i="32"/>
  <c r="Z235" i="32"/>
  <c r="Z188" i="32"/>
  <c r="Z283" i="32"/>
  <c r="Z250" i="32"/>
  <c r="Z173" i="32"/>
  <c r="Z291" i="32"/>
  <c r="Z223" i="32"/>
  <c r="Z313" i="32"/>
  <c r="Z246" i="32"/>
  <c r="Z289" i="32"/>
  <c r="Z203" i="32"/>
  <c r="Z180" i="32"/>
  <c r="Z109" i="32"/>
  <c r="Z269" i="32"/>
  <c r="Z134" i="32"/>
  <c r="Z58" i="32"/>
  <c r="Z159" i="32"/>
  <c r="Z130" i="32"/>
  <c r="Z77" i="32"/>
  <c r="Z182" i="32"/>
  <c r="Z110" i="32"/>
  <c r="Z541" i="32"/>
  <c r="Z147" i="32"/>
  <c r="Z41" i="32"/>
  <c r="Z155" i="32"/>
  <c r="Z111" i="32"/>
  <c r="Z68" i="32"/>
  <c r="Z93" i="32"/>
  <c r="Z55" i="32"/>
  <c r="Z35" i="32"/>
  <c r="Z108" i="32"/>
  <c r="Z54" i="32"/>
  <c r="Z75" i="32"/>
  <c r="Z51" i="32"/>
  <c r="Z48" i="32"/>
  <c r="Z593" i="32"/>
  <c r="Z466" i="32"/>
  <c r="Z564" i="32"/>
  <c r="Z493" i="32"/>
  <c r="Z385" i="32"/>
  <c r="Z496" i="32"/>
  <c r="Z368" i="32"/>
  <c r="Z331" i="32"/>
  <c r="Z292" i="32"/>
  <c r="Z285" i="32"/>
  <c r="Z243" i="32"/>
  <c r="Z305" i="32"/>
  <c r="Z172" i="32"/>
  <c r="Z50" i="32"/>
  <c r="Z160" i="32"/>
  <c r="Z350" i="32"/>
  <c r="Z73" i="32"/>
  <c r="Z47" i="32"/>
  <c r="Z586" i="32"/>
  <c r="Z459" i="32"/>
  <c r="Z549" i="32"/>
  <c r="Z491" i="32"/>
  <c r="Z382" i="32"/>
  <c r="Z474" i="32"/>
  <c r="Z351" i="32"/>
  <c r="Z326" i="32"/>
  <c r="Z290" i="32"/>
  <c r="Z272" i="32"/>
  <c r="Z240" i="32"/>
  <c r="Z298" i="32"/>
  <c r="Z164" i="32"/>
  <c r="Z332" i="32"/>
  <c r="Z142" i="32"/>
  <c r="Z287" i="32"/>
  <c r="Z62" i="32"/>
  <c r="Z37" i="32"/>
  <c r="W613" i="31"/>
  <c r="Z581" i="32"/>
  <c r="Z521" i="32"/>
  <c r="Z572" i="32"/>
  <c r="Z610" i="32"/>
  <c r="Z543" i="32"/>
  <c r="Z435" i="32"/>
  <c r="Z418" i="32"/>
  <c r="Z428" i="32"/>
  <c r="Z434" i="32"/>
  <c r="Z224" i="32"/>
  <c r="Z227" i="32"/>
  <c r="Z171" i="32"/>
  <c r="Z233" i="32"/>
  <c r="Z101" i="32"/>
  <c r="Z156" i="32"/>
  <c r="Z102" i="32"/>
  <c r="Z148" i="32"/>
  <c r="Z53" i="32"/>
  <c r="Z45" i="32"/>
  <c r="Z569" i="32"/>
  <c r="Z518" i="32"/>
  <c r="Z570" i="32"/>
  <c r="Z608" i="32"/>
  <c r="Z532" i="32"/>
  <c r="Z420" i="32"/>
  <c r="Z413" i="32"/>
  <c r="Z423" i="32"/>
  <c r="Z431" i="32"/>
  <c r="Z222" i="32"/>
  <c r="Z220" i="32"/>
  <c r="Z166" i="32"/>
  <c r="Z228" i="32"/>
  <c r="Z96" i="32"/>
  <c r="Z154" i="32"/>
  <c r="Z99" i="32"/>
  <c r="Z145" i="32"/>
  <c r="Z26" i="32"/>
  <c r="Z27" i="32"/>
  <c r="Z537" i="32"/>
  <c r="Z492" i="32"/>
  <c r="Z495" i="32"/>
  <c r="Z583" i="32"/>
  <c r="Z465" i="32"/>
  <c r="Z348" i="32"/>
  <c r="Z355" i="32"/>
  <c r="Z349" i="32"/>
  <c r="Z396" i="32"/>
  <c r="Z384" i="32"/>
  <c r="Z343" i="32"/>
  <c r="Z268" i="32"/>
  <c r="Z271" i="32"/>
  <c r="Z259" i="32"/>
  <c r="Z125" i="32"/>
  <c r="Z317" i="32"/>
  <c r="Z106" i="32"/>
  <c r="Z251" i="32"/>
  <c r="Z46" i="32"/>
  <c r="Z530" i="32"/>
  <c r="Z487" i="32"/>
  <c r="Z483" i="32"/>
  <c r="Z580" i="32"/>
  <c r="Z458" i="32"/>
  <c r="Z346" i="32"/>
  <c r="Z353" i="32"/>
  <c r="Z588" i="32"/>
  <c r="Z393" i="32"/>
  <c r="Z329" i="32"/>
  <c r="Z323" i="32"/>
  <c r="Z263" i="32"/>
  <c r="Z261" i="32"/>
  <c r="Z170" i="32"/>
  <c r="Z115" i="32"/>
  <c r="Z200" i="32"/>
  <c r="Z103" i="32"/>
  <c r="Z87" i="32"/>
  <c r="Z40" i="32"/>
  <c r="Z472" i="32"/>
  <c r="Z429" i="32"/>
  <c r="Z354" i="32"/>
  <c r="Z196" i="32"/>
  <c r="Z276" i="32"/>
  <c r="Z468" i="32"/>
  <c r="Z427" i="32"/>
  <c r="Z405" i="32"/>
  <c r="Z178" i="32"/>
  <c r="Z244" i="32"/>
  <c r="Z551" i="32"/>
  <c r="Z325" i="32"/>
  <c r="Z262" i="32"/>
  <c r="Z118" i="32"/>
  <c r="Z43" i="32"/>
  <c r="Z462" i="32"/>
  <c r="Z406" i="32"/>
  <c r="Z280" i="32"/>
  <c r="Z69" i="32"/>
  <c r="Z36" i="32"/>
  <c r="Z454" i="32"/>
  <c r="Z401" i="32"/>
  <c r="Z278" i="32"/>
  <c r="Z66" i="32"/>
  <c r="Z18" i="32"/>
  <c r="W55" i="31"/>
  <c r="W15" i="31"/>
  <c r="Z542" i="32"/>
  <c r="Z214" i="32"/>
  <c r="W63" i="31"/>
  <c r="Z519" i="32"/>
  <c r="Z112" i="32"/>
  <c r="Z517" i="32"/>
  <c r="Z136" i="32"/>
  <c r="Z322" i="32"/>
  <c r="Z126" i="32"/>
  <c r="Z390" i="32"/>
  <c r="Z39" i="32"/>
  <c r="Z371" i="32"/>
  <c r="Z247" i="32"/>
  <c r="Z216" i="32"/>
  <c r="W31" i="31"/>
  <c r="W32" i="31"/>
  <c r="W64" i="31"/>
  <c r="W607" i="31"/>
  <c r="B625" i="31"/>
  <c r="W610" i="31"/>
  <c r="W593" i="31"/>
  <c r="W572" i="31"/>
  <c r="W576" i="31"/>
  <c r="W569" i="31"/>
  <c r="W563" i="31"/>
  <c r="W545" i="31"/>
  <c r="W541" i="31"/>
  <c r="W530" i="31"/>
  <c r="W526" i="31"/>
  <c r="W501" i="31"/>
  <c r="W515" i="31"/>
  <c r="W521" i="31"/>
  <c r="W491" i="31"/>
  <c r="W497" i="31"/>
  <c r="W480" i="31"/>
  <c r="W452" i="31"/>
  <c r="W513" i="31"/>
  <c r="W442" i="31"/>
  <c r="W440" i="31"/>
  <c r="W450" i="31"/>
  <c r="W421" i="31"/>
  <c r="W427" i="31"/>
  <c r="W409" i="31"/>
  <c r="W394" i="31"/>
  <c r="W414" i="31"/>
  <c r="W402" i="31"/>
  <c r="W389" i="31"/>
  <c r="W370" i="31"/>
  <c r="W360" i="31"/>
  <c r="W365" i="31"/>
  <c r="W316" i="31"/>
  <c r="W315" i="31"/>
  <c r="W306" i="31"/>
  <c r="W313" i="31"/>
  <c r="W304" i="31"/>
  <c r="W303" i="31"/>
  <c r="W261" i="31"/>
  <c r="W334" i="31"/>
  <c r="W354" i="31"/>
  <c r="W310" i="31"/>
  <c r="W325" i="31"/>
  <c r="W240" i="31"/>
  <c r="W289" i="31"/>
  <c r="W293" i="31"/>
  <c r="W226" i="31"/>
  <c r="W232" i="31"/>
  <c r="W237" i="31"/>
  <c r="W212" i="31"/>
  <c r="W154" i="31"/>
  <c r="W177" i="31"/>
  <c r="W176" i="31"/>
  <c r="W167" i="31"/>
  <c r="W166" i="31"/>
  <c r="W165" i="31"/>
  <c r="W164" i="31"/>
  <c r="W171" i="31"/>
  <c r="W102" i="31"/>
  <c r="W101" i="31"/>
  <c r="W108" i="31"/>
  <c r="W115" i="31"/>
  <c r="W122" i="31"/>
  <c r="W121" i="31"/>
  <c r="W128" i="31"/>
  <c r="W127" i="31"/>
  <c r="W79" i="31"/>
  <c r="W13" i="31"/>
  <c r="W48" i="31"/>
  <c r="AK625" i="31"/>
  <c r="W597" i="31"/>
  <c r="W596" i="31"/>
  <c r="W581" i="31"/>
  <c r="W578" i="31"/>
  <c r="W565" i="31"/>
  <c r="W567" i="31"/>
  <c r="W566" i="31"/>
  <c r="W543" i="31"/>
  <c r="W539" i="31"/>
  <c r="W504" i="31"/>
  <c r="W536" i="31"/>
  <c r="W516" i="31"/>
  <c r="W506" i="31"/>
  <c r="W492" i="31"/>
  <c r="W482" i="31"/>
  <c r="W462" i="31"/>
  <c r="W488" i="31"/>
  <c r="W459" i="31"/>
  <c r="W451" i="31"/>
  <c r="W433" i="31"/>
  <c r="W439" i="31"/>
  <c r="W445" i="31"/>
  <c r="W426" i="31"/>
  <c r="W428" i="31"/>
  <c r="W423" i="31"/>
  <c r="W400" i="31"/>
  <c r="W392" i="31"/>
  <c r="W398" i="31"/>
  <c r="W371" i="31"/>
  <c r="W369" i="31"/>
  <c r="W351" i="31"/>
  <c r="W350" i="31"/>
  <c r="W347" i="31"/>
  <c r="W338" i="31"/>
  <c r="W345" i="31"/>
  <c r="W336" i="31"/>
  <c r="W335" i="31"/>
  <c r="W326" i="31"/>
  <c r="W284" i="31"/>
  <c r="W267" i="31"/>
  <c r="W266" i="31"/>
  <c r="W265" i="31"/>
  <c r="W272" i="31"/>
  <c r="W301" i="31"/>
  <c r="W287" i="31"/>
  <c r="W227" i="31"/>
  <c r="W244" i="31"/>
  <c r="W231" i="31"/>
  <c r="W239" i="31"/>
  <c r="W186" i="31"/>
  <c r="W208" i="31"/>
  <c r="W209" i="31"/>
  <c r="W199" i="31"/>
  <c r="W198" i="31"/>
  <c r="W197" i="31"/>
  <c r="W196" i="31"/>
  <c r="W203" i="31"/>
  <c r="W134" i="31"/>
  <c r="W133" i="31"/>
  <c r="W140" i="31"/>
  <c r="W151" i="31"/>
  <c r="W83" i="31"/>
  <c r="W90" i="31"/>
  <c r="W89" i="31"/>
  <c r="W96" i="31"/>
  <c r="W95" i="31"/>
  <c r="W23" i="31"/>
  <c r="W33" i="31"/>
  <c r="W601" i="31"/>
  <c r="W600" i="31"/>
  <c r="W573" i="31"/>
  <c r="W577" i="31"/>
  <c r="W568" i="31"/>
  <c r="W564" i="31"/>
  <c r="W550" i="31"/>
  <c r="W520" i="31"/>
  <c r="W525" i="31"/>
  <c r="W523" i="31"/>
  <c r="W485" i="31"/>
  <c r="W474" i="31"/>
  <c r="W495" i="31"/>
  <c r="W477" i="31"/>
  <c r="W443" i="31"/>
  <c r="W448" i="31"/>
  <c r="W438" i="31"/>
  <c r="W420" i="31"/>
  <c r="W417" i="31"/>
  <c r="W378" i="31"/>
  <c r="W384" i="31"/>
  <c r="W397" i="31"/>
  <c r="W388" i="31"/>
  <c r="W379" i="31"/>
  <c r="W324" i="31"/>
  <c r="W299" i="31"/>
  <c r="W337" i="31"/>
  <c r="W312" i="31"/>
  <c r="W349" i="31"/>
  <c r="W276" i="31"/>
  <c r="W356" i="31"/>
  <c r="W281" i="31"/>
  <c r="W264" i="31"/>
  <c r="W333" i="31"/>
  <c r="W245" i="31"/>
  <c r="W233" i="31"/>
  <c r="W207" i="31"/>
  <c r="W202" i="31"/>
  <c r="W201" i="31"/>
  <c r="W184" i="31"/>
  <c r="W243" i="31"/>
  <c r="W189" i="31"/>
  <c r="W172" i="31"/>
  <c r="W155" i="31"/>
  <c r="W125" i="31"/>
  <c r="W116" i="31"/>
  <c r="W99" i="31"/>
  <c r="W82" i="31"/>
  <c r="W136" i="31"/>
  <c r="W111" i="31"/>
  <c r="W24" i="31"/>
  <c r="W65" i="31"/>
  <c r="W608" i="31"/>
  <c r="W599" i="31"/>
  <c r="W594" i="31"/>
  <c r="W580" i="31"/>
  <c r="W575" i="31"/>
  <c r="W549" i="31"/>
  <c r="W553" i="31"/>
  <c r="W540" i="31"/>
  <c r="W519" i="31"/>
  <c r="W509" i="31"/>
  <c r="W537" i="31"/>
  <c r="W484" i="31"/>
  <c r="W500" i="31"/>
  <c r="W461" i="31"/>
  <c r="W496" i="31"/>
  <c r="W455" i="31"/>
  <c r="W456" i="31"/>
  <c r="W437" i="31"/>
  <c r="W404" i="31"/>
  <c r="W416" i="31"/>
  <c r="W393" i="31"/>
  <c r="W422" i="31"/>
  <c r="W373" i="31"/>
  <c r="W361" i="31"/>
  <c r="W358" i="31"/>
  <c r="W300" i="31"/>
  <c r="W330" i="31"/>
  <c r="W321" i="31"/>
  <c r="W387" i="31"/>
  <c r="W285" i="31"/>
  <c r="W260" i="31"/>
  <c r="W282" i="31"/>
  <c r="W257" i="31"/>
  <c r="W248" i="31"/>
  <c r="W278" i="31"/>
  <c r="W219" i="31"/>
  <c r="W217" i="31"/>
  <c r="W221" i="31"/>
  <c r="W178" i="31"/>
  <c r="W185" i="31"/>
  <c r="W160" i="31"/>
  <c r="W190" i="31"/>
  <c r="W173" i="31"/>
  <c r="W148" i="31"/>
  <c r="W126" i="31"/>
  <c r="W109" i="31"/>
  <c r="W92" i="31"/>
  <c r="W145" i="31"/>
  <c r="W129" i="31"/>
  <c r="W112" i="31"/>
  <c r="W87" i="31"/>
  <c r="W39" i="31"/>
  <c r="W40" i="31"/>
  <c r="E635" i="31"/>
  <c r="W598" i="31"/>
  <c r="W603" i="31"/>
  <c r="W579" i="31"/>
  <c r="W574" i="31"/>
  <c r="W558" i="31"/>
  <c r="W552" i="31"/>
  <c r="W532" i="31"/>
  <c r="W511" i="31"/>
  <c r="W547" i="31"/>
  <c r="W522" i="31"/>
  <c r="W476" i="31"/>
  <c r="W489" i="31"/>
  <c r="W453" i="31"/>
  <c r="W466" i="31"/>
  <c r="W434" i="31"/>
  <c r="W447" i="31"/>
  <c r="W429" i="31"/>
  <c r="W419" i="31"/>
  <c r="W408" i="31"/>
  <c r="W385" i="31"/>
  <c r="W391" i="31"/>
  <c r="W380" i="31"/>
  <c r="W374" i="31"/>
  <c r="W357" i="31"/>
  <c r="W292" i="31"/>
  <c r="W322" i="31"/>
  <c r="W305" i="31"/>
  <c r="W343" i="31"/>
  <c r="W277" i="31"/>
  <c r="W302" i="31"/>
  <c r="W274" i="31"/>
  <c r="W249" i="31"/>
  <c r="W318" i="31"/>
  <c r="W253" i="31"/>
  <c r="W242" i="31"/>
  <c r="W224" i="31"/>
  <c r="W213" i="31"/>
  <c r="W170" i="31"/>
  <c r="W169" i="31"/>
  <c r="W152" i="31"/>
  <c r="W182" i="31"/>
  <c r="W157" i="31"/>
  <c r="W214" i="31"/>
  <c r="W118" i="31"/>
  <c r="W93" i="31"/>
  <c r="W84" i="31"/>
  <c r="W138" i="31"/>
  <c r="W113" i="31"/>
  <c r="W104" i="31"/>
  <c r="W47" i="31"/>
  <c r="W56" i="31"/>
  <c r="W25" i="31"/>
  <c r="W605" i="31"/>
  <c r="W604" i="31"/>
  <c r="W595" i="31"/>
  <c r="W571" i="31"/>
  <c r="W557" i="31"/>
  <c r="W548" i="31"/>
  <c r="W544" i="31"/>
  <c r="W531" i="31"/>
  <c r="W528" i="31"/>
  <c r="W527" i="31"/>
  <c r="W494" i="31"/>
  <c r="W499" i="31"/>
  <c r="W481" i="31"/>
  <c r="W475" i="31"/>
  <c r="W458" i="31"/>
  <c r="W449" i="31"/>
  <c r="W431" i="31"/>
  <c r="W436" i="31"/>
  <c r="W411" i="31"/>
  <c r="W415" i="31"/>
  <c r="W377" i="31"/>
  <c r="W383" i="31"/>
  <c r="W363" i="31"/>
  <c r="W368" i="31"/>
  <c r="W364" i="31"/>
  <c r="W339" i="31"/>
  <c r="W314" i="31"/>
  <c r="W297" i="31"/>
  <c r="W327" i="31"/>
  <c r="W269" i="31"/>
  <c r="W283" i="31"/>
  <c r="W258" i="31"/>
  <c r="W241" i="31"/>
  <c r="W279" i="31"/>
  <c r="W271" i="31"/>
  <c r="W234" i="31"/>
  <c r="W216" i="31"/>
  <c r="W236" i="31"/>
  <c r="W162" i="31"/>
  <c r="W161" i="31"/>
  <c r="W191" i="31"/>
  <c r="W174" i="31"/>
  <c r="W149" i="31"/>
  <c r="W195" i="31"/>
  <c r="W110" i="31"/>
  <c r="W85" i="31"/>
  <c r="W139" i="31"/>
  <c r="W130" i="31"/>
  <c r="W105" i="31"/>
  <c r="W88" i="31"/>
  <c r="W16" i="31"/>
  <c r="W17" i="31"/>
  <c r="W73" i="31"/>
  <c r="W588" i="31"/>
  <c r="W586" i="31"/>
  <c r="W546" i="31"/>
  <c r="W556" i="31"/>
  <c r="W529" i="31"/>
  <c r="W490" i="31"/>
  <c r="W479" i="31"/>
  <c r="W463" i="31"/>
  <c r="W444" i="31"/>
  <c r="W386" i="31"/>
  <c r="W382" i="31"/>
  <c r="W359" i="31"/>
  <c r="W307" i="31"/>
  <c r="W320" i="31"/>
  <c r="W291" i="31"/>
  <c r="W294" i="31"/>
  <c r="W270" i="31"/>
  <c r="W252" i="31"/>
  <c r="W222" i="31"/>
  <c r="W192" i="31"/>
  <c r="W205" i="31"/>
  <c r="W163" i="31"/>
  <c r="W124" i="31"/>
  <c r="W98" i="31"/>
  <c r="W119" i="31"/>
  <c r="W37" i="31"/>
  <c r="W69" i="31"/>
  <c r="W30" i="31"/>
  <c r="W62" i="31"/>
  <c r="W612" i="31"/>
  <c r="W592" i="31"/>
  <c r="W591" i="31"/>
  <c r="W535" i="31"/>
  <c r="W518" i="31"/>
  <c r="W486" i="31"/>
  <c r="W470" i="31"/>
  <c r="W465" i="31"/>
  <c r="W473" i="31"/>
  <c r="W430" i="31"/>
  <c r="W405" i="31"/>
  <c r="W355" i="31"/>
  <c r="W353" i="31"/>
  <c r="W298" i="31"/>
  <c r="W319" i="31"/>
  <c r="W275" i="31"/>
  <c r="W288" i="31"/>
  <c r="W254" i="31"/>
  <c r="W238" i="31"/>
  <c r="W146" i="31"/>
  <c r="W183" i="31"/>
  <c r="W204" i="31"/>
  <c r="W94" i="31"/>
  <c r="W131" i="31"/>
  <c r="W97" i="31"/>
  <c r="W34" i="31"/>
  <c r="W58" i="31"/>
  <c r="W27" i="31"/>
  <c r="W51" i="31"/>
  <c r="W75" i="31"/>
  <c r="W29" i="31"/>
  <c r="W61" i="31"/>
  <c r="W22" i="31"/>
  <c r="W54" i="31"/>
  <c r="W57" i="31"/>
  <c r="W611" i="31"/>
  <c r="W584" i="31"/>
  <c r="W562" i="31"/>
  <c r="W542" i="31"/>
  <c r="W510" i="31"/>
  <c r="W478" i="31"/>
  <c r="W454" i="31"/>
  <c r="W457" i="31"/>
  <c r="W471" i="31"/>
  <c r="W418" i="31"/>
  <c r="W403" i="31"/>
  <c r="W395" i="31"/>
  <c r="W340" i="31"/>
  <c r="W290" i="31"/>
  <c r="W311" i="31"/>
  <c r="W259" i="31"/>
  <c r="W286" i="31"/>
  <c r="W247" i="31"/>
  <c r="W223" i="31"/>
  <c r="W230" i="31"/>
  <c r="W175" i="31"/>
  <c r="W188" i="31"/>
  <c r="W86" i="31"/>
  <c r="W123" i="31"/>
  <c r="W81" i="31"/>
  <c r="W44" i="31"/>
  <c r="W76" i="31"/>
  <c r="W71" i="31"/>
  <c r="W602" i="31"/>
  <c r="W609" i="31"/>
  <c r="W561" i="31"/>
  <c r="W534" i="31"/>
  <c r="W502" i="31"/>
  <c r="W493" i="31"/>
  <c r="W503" i="31"/>
  <c r="W472" i="31"/>
  <c r="W446" i="31"/>
  <c r="W410" i="31"/>
  <c r="W401" i="31"/>
  <c r="W362" i="31"/>
  <c r="W332" i="31"/>
  <c r="W352" i="31"/>
  <c r="W295" i="31"/>
  <c r="W251" i="31"/>
  <c r="W280" i="31"/>
  <c r="W255" i="31"/>
  <c r="W215" i="31"/>
  <c r="W211" i="31"/>
  <c r="W159" i="31"/>
  <c r="W180" i="31"/>
  <c r="W141" i="31"/>
  <c r="W107" i="31"/>
  <c r="W144" i="31"/>
  <c r="W50" i="31"/>
  <c r="W74" i="31"/>
  <c r="W67" i="31"/>
  <c r="W21" i="31"/>
  <c r="W53" i="31"/>
  <c r="W46" i="31"/>
  <c r="W78" i="31"/>
  <c r="W606" i="31"/>
  <c r="W582" i="31"/>
  <c r="W560" i="31"/>
  <c r="W533" i="31"/>
  <c r="W517" i="31"/>
  <c r="W514" i="31"/>
  <c r="W469" i="31"/>
  <c r="W435" i="31"/>
  <c r="W464" i="31"/>
  <c r="W424" i="31"/>
  <c r="W376" i="31"/>
  <c r="W372" i="31"/>
  <c r="W308" i="31"/>
  <c r="W329" i="31"/>
  <c r="W348" i="31"/>
  <c r="W317" i="31"/>
  <c r="W256" i="31"/>
  <c r="W235" i="31"/>
  <c r="W229" i="31"/>
  <c r="W193" i="31"/>
  <c r="W206" i="31"/>
  <c r="W156" i="31"/>
  <c r="W117" i="31"/>
  <c r="W91" i="31"/>
  <c r="W120" i="31"/>
  <c r="W555" i="31"/>
  <c r="W507" i="31"/>
  <c r="W425" i="31"/>
  <c r="W375" i="31"/>
  <c r="W346" i="31"/>
  <c r="W342" i="31"/>
  <c r="W228" i="31"/>
  <c r="W181" i="31"/>
  <c r="W106" i="31"/>
  <c r="W20" i="31"/>
  <c r="W19" i="31"/>
  <c r="W43" i="31"/>
  <c r="W68" i="31"/>
  <c r="W406" i="31"/>
  <c r="W150" i="31"/>
  <c r="W554" i="31"/>
  <c r="W483" i="31"/>
  <c r="W432" i="31"/>
  <c r="W390" i="31"/>
  <c r="W344" i="31"/>
  <c r="W273" i="31"/>
  <c r="W220" i="31"/>
  <c r="W187" i="31"/>
  <c r="W137" i="31"/>
  <c r="W441" i="31"/>
  <c r="W225" i="31"/>
  <c r="W590" i="31"/>
  <c r="W559" i="31"/>
  <c r="W498" i="31"/>
  <c r="W413" i="31"/>
  <c r="W381" i="31"/>
  <c r="W328" i="31"/>
  <c r="W262" i="31"/>
  <c r="W194" i="31"/>
  <c r="W179" i="31"/>
  <c r="W143" i="31"/>
  <c r="W45" i="31"/>
  <c r="W589" i="31"/>
  <c r="W551" i="31"/>
  <c r="W505" i="31"/>
  <c r="W487" i="31"/>
  <c r="W396" i="31"/>
  <c r="W296" i="31"/>
  <c r="W246" i="31"/>
  <c r="W153" i="31"/>
  <c r="W142" i="31"/>
  <c r="W135" i="31"/>
  <c r="W18" i="31"/>
  <c r="W42" i="31"/>
  <c r="W66" i="31"/>
  <c r="W28" i="31"/>
  <c r="W14" i="31"/>
  <c r="W41" i="31"/>
  <c r="W587" i="31"/>
  <c r="W538" i="31"/>
  <c r="W468" i="31"/>
  <c r="W412" i="31"/>
  <c r="W367" i="31"/>
  <c r="W341" i="31"/>
  <c r="W263" i="31"/>
  <c r="W200" i="31"/>
  <c r="W147" i="31"/>
  <c r="W103" i="31"/>
  <c r="W52" i="31"/>
  <c r="W570" i="31"/>
  <c r="W467" i="31"/>
  <c r="W331" i="31"/>
  <c r="W210" i="31"/>
  <c r="W100" i="31"/>
  <c r="W585" i="31"/>
  <c r="W323" i="31"/>
  <c r="W114" i="31"/>
  <c r="W583" i="31"/>
  <c r="W512" i="31"/>
  <c r="W460" i="31"/>
  <c r="W407" i="31"/>
  <c r="W366" i="31"/>
  <c r="W309" i="31"/>
  <c r="W218" i="31"/>
  <c r="W168" i="31"/>
  <c r="W132" i="31"/>
  <c r="W26" i="31"/>
  <c r="W36" i="31"/>
  <c r="W77" i="31"/>
  <c r="W72" i="31"/>
  <c r="W49" i="31"/>
  <c r="W524" i="31"/>
  <c r="W399" i="31"/>
  <c r="W268" i="31"/>
  <c r="W158" i="31"/>
  <c r="W70" i="31"/>
  <c r="W508" i="31"/>
  <c r="W250" i="31"/>
  <c r="W35" i="31"/>
  <c r="W59" i="31"/>
  <c r="W60" i="31"/>
  <c r="W38" i="31"/>
  <c r="W626" i="31"/>
  <c r="W623" i="31"/>
  <c r="W622" i="31"/>
  <c r="W628" i="31"/>
  <c r="T613" i="31"/>
  <c r="W604" i="32"/>
  <c r="W562" i="32"/>
  <c r="W484" i="32"/>
  <c r="W599" i="32"/>
  <c r="W537" i="32"/>
  <c r="W609" i="32"/>
  <c r="W556" i="32"/>
  <c r="W514" i="32"/>
  <c r="W472" i="32"/>
  <c r="W542" i="32"/>
  <c r="W603" i="32"/>
  <c r="W538" i="32"/>
  <c r="W568" i="32"/>
  <c r="W522" i="32"/>
  <c r="W594" i="32"/>
  <c r="W552" i="32"/>
  <c r="W513" i="32"/>
  <c r="W486" i="32"/>
  <c r="W580" i="32"/>
  <c r="W539" i="32"/>
  <c r="W453" i="32"/>
  <c r="W565" i="32"/>
  <c r="W520" i="32"/>
  <c r="W593" i="32"/>
  <c r="W528" i="32"/>
  <c r="W506" i="32"/>
  <c r="W576" i="32"/>
  <c r="W485" i="32"/>
  <c r="W572" i="32"/>
  <c r="W483" i="32"/>
  <c r="W547" i="32"/>
  <c r="W610" i="32"/>
  <c r="W583" i="32"/>
  <c r="W529" i="32"/>
  <c r="W505" i="32"/>
  <c r="W590" i="32"/>
  <c r="W532" i="32"/>
  <c r="W602" i="32"/>
  <c r="W525" i="32"/>
  <c r="W586" i="32"/>
  <c r="W516" i="32"/>
  <c r="W605" i="32"/>
  <c r="W466" i="32"/>
  <c r="W540" i="32"/>
  <c r="W554" i="32"/>
  <c r="W608" i="32"/>
  <c r="W557" i="32"/>
  <c r="W509" i="32"/>
  <c r="W444" i="32"/>
  <c r="W396" i="32"/>
  <c r="W332" i="32"/>
  <c r="W429" i="32"/>
  <c r="W382" i="32"/>
  <c r="W454" i="32"/>
  <c r="W456" i="32"/>
  <c r="W386" i="32"/>
  <c r="W344" i="32"/>
  <c r="W450" i="32"/>
  <c r="W395" i="32"/>
  <c r="W342" i="32"/>
  <c r="W423" i="32"/>
  <c r="W353" i="32"/>
  <c r="W439" i="32"/>
  <c r="W345" i="32"/>
  <c r="W317" i="32"/>
  <c r="W261" i="32"/>
  <c r="W201" i="32"/>
  <c r="W290" i="32"/>
  <c r="W226" i="32"/>
  <c r="W299" i="32"/>
  <c r="W211" i="32"/>
  <c r="W334" i="32"/>
  <c r="W245" i="32"/>
  <c r="W168" i="32"/>
  <c r="W300" i="32"/>
  <c r="W265" i="32"/>
  <c r="W209" i="32"/>
  <c r="W291" i="32"/>
  <c r="W223" i="32"/>
  <c r="W330" i="32"/>
  <c r="W273" i="32"/>
  <c r="W180" i="32"/>
  <c r="W202" i="32"/>
  <c r="W122" i="32"/>
  <c r="W164" i="32"/>
  <c r="W101" i="32"/>
  <c r="W253" i="32"/>
  <c r="W118" i="32"/>
  <c r="W205" i="32"/>
  <c r="W144" i="32"/>
  <c r="W97" i="32"/>
  <c r="W455" i="32"/>
  <c r="W123" i="32"/>
  <c r="W303" i="32"/>
  <c r="W157" i="32"/>
  <c r="W105" i="32"/>
  <c r="W148" i="32"/>
  <c r="W90" i="32"/>
  <c r="W38" i="32"/>
  <c r="W160" i="32"/>
  <c r="W33" i="32"/>
  <c r="W41" i="32"/>
  <c r="W47" i="32"/>
  <c r="W35" i="32"/>
  <c r="W110" i="32"/>
  <c r="W20" i="32"/>
  <c r="T74" i="31"/>
  <c r="W588" i="32"/>
  <c r="W498" i="32"/>
  <c r="W581" i="32"/>
  <c r="W523" i="32"/>
  <c r="W584" i="32"/>
  <c r="W512" i="32"/>
  <c r="W591" i="32"/>
  <c r="W459" i="32"/>
  <c r="W497" i="32"/>
  <c r="W549" i="32"/>
  <c r="W598" i="32"/>
  <c r="W545" i="32"/>
  <c r="W507" i="32"/>
  <c r="W475" i="32"/>
  <c r="W384" i="32"/>
  <c r="W329" i="32"/>
  <c r="W427" i="32"/>
  <c r="W372" i="32"/>
  <c r="W448" i="32"/>
  <c r="W443" i="32"/>
  <c r="W385" i="32"/>
  <c r="W333" i="32"/>
  <c r="W445" i="32"/>
  <c r="W392" i="32"/>
  <c r="W606" i="32"/>
  <c r="W421" i="32"/>
  <c r="W352" i="32"/>
  <c r="W416" i="32"/>
  <c r="W473" i="32"/>
  <c r="W301" i="32"/>
  <c r="W259" i="32"/>
  <c r="W194" i="32"/>
  <c r="W287" i="32"/>
  <c r="W224" i="32"/>
  <c r="W282" i="32"/>
  <c r="W206" i="32"/>
  <c r="W326" i="32"/>
  <c r="W237" i="32"/>
  <c r="W575" i="32"/>
  <c r="W295" i="32"/>
  <c r="W260" i="32"/>
  <c r="W376" i="32"/>
  <c r="W268" i="32"/>
  <c r="W216" i="32"/>
  <c r="W325" i="32"/>
  <c r="W258" i="32"/>
  <c r="W169" i="32"/>
  <c r="W191" i="32"/>
  <c r="W95" i="32"/>
  <c r="W152" i="32"/>
  <c r="W91" i="32"/>
  <c r="W193" i="32"/>
  <c r="W107" i="32"/>
  <c r="W190" i="32"/>
  <c r="W138" i="32"/>
  <c r="W85" i="32"/>
  <c r="W390" i="32"/>
  <c r="W102" i="32"/>
  <c r="W271" i="32"/>
  <c r="W151" i="32"/>
  <c r="W87" i="32"/>
  <c r="W145" i="32"/>
  <c r="W84" i="32"/>
  <c r="W36" i="32"/>
  <c r="W92" i="32"/>
  <c r="W31" i="32"/>
  <c r="W39" i="32"/>
  <c r="W37" i="32"/>
  <c r="W32" i="32"/>
  <c r="W83" i="32"/>
  <c r="W21" i="32"/>
  <c r="W578" i="32"/>
  <c r="W496" i="32"/>
  <c r="W569" i="32"/>
  <c r="W503" i="32"/>
  <c r="W558" i="32"/>
  <c r="W510" i="32"/>
  <c r="W574" i="32"/>
  <c r="W457" i="32"/>
  <c r="W495" i="32"/>
  <c r="W531" i="32"/>
  <c r="W596" i="32"/>
  <c r="W536" i="32"/>
  <c r="W493" i="32"/>
  <c r="W460" i="32"/>
  <c r="W379" i="32"/>
  <c r="W321" i="32"/>
  <c r="W424" i="32"/>
  <c r="W367" i="32"/>
  <c r="W435" i="32"/>
  <c r="W438" i="32"/>
  <c r="W377" i="32"/>
  <c r="W318" i="32"/>
  <c r="W441" i="32"/>
  <c r="W389" i="32"/>
  <c r="W476" i="32"/>
  <c r="W411" i="32"/>
  <c r="W328" i="32"/>
  <c r="W409" i="32"/>
  <c r="W442" i="32"/>
  <c r="W296" i="32"/>
  <c r="W256" i="32"/>
  <c r="W426" i="32"/>
  <c r="W269" i="32"/>
  <c r="W215" i="32"/>
  <c r="W274" i="32"/>
  <c r="W199" i="32"/>
  <c r="W304" i="32"/>
  <c r="W235" i="32"/>
  <c r="W434" i="32"/>
  <c r="W293" i="32"/>
  <c r="W257" i="32"/>
  <c r="W371" i="32"/>
  <c r="W263" i="32"/>
  <c r="W214" i="32"/>
  <c r="W322" i="32"/>
  <c r="W246" i="32"/>
  <c r="W166" i="32"/>
  <c r="W175" i="32"/>
  <c r="W93" i="32"/>
  <c r="W140" i="32"/>
  <c r="W88" i="32"/>
  <c r="W185" i="32"/>
  <c r="W96" i="32"/>
  <c r="W174" i="32"/>
  <c r="W132" i="32"/>
  <c r="W82" i="32"/>
  <c r="W196" i="32"/>
  <c r="W99" i="32"/>
  <c r="W266" i="32"/>
  <c r="W147" i="32"/>
  <c r="W75" i="32"/>
  <c r="W131" i="32"/>
  <c r="W81" i="32"/>
  <c r="W28" i="32"/>
  <c r="W72" i="32"/>
  <c r="W29" i="32"/>
  <c r="W24" i="32"/>
  <c r="W17" i="32"/>
  <c r="W30" i="32"/>
  <c r="W78" i="32"/>
  <c r="W16" i="32"/>
  <c r="W573" i="32"/>
  <c r="W482" i="32"/>
  <c r="W567" i="32"/>
  <c r="W494" i="32"/>
  <c r="W553" i="32"/>
  <c r="W508" i="32"/>
  <c r="W563" i="32"/>
  <c r="W589" i="32"/>
  <c r="W490" i="32"/>
  <c r="W526" i="32"/>
  <c r="W592" i="32"/>
  <c r="W534" i="32"/>
  <c r="W491" i="32"/>
  <c r="W431" i="32"/>
  <c r="W364" i="32"/>
  <c r="W477" i="32"/>
  <c r="W422" i="32"/>
  <c r="W357" i="32"/>
  <c r="W432" i="32"/>
  <c r="W425" i="32"/>
  <c r="W375" i="32"/>
  <c r="W316" i="32"/>
  <c r="W436" i="32"/>
  <c r="W383" i="32"/>
  <c r="W467" i="32"/>
  <c r="W387" i="32"/>
  <c r="W323" i="32"/>
  <c r="W404" i="32"/>
  <c r="W374" i="32"/>
  <c r="W294" i="32"/>
  <c r="W251" i="32"/>
  <c r="W338" i="32"/>
  <c r="W264" i="32"/>
  <c r="W208" i="32"/>
  <c r="W267" i="32"/>
  <c r="W183" i="32"/>
  <c r="W297" i="32"/>
  <c r="W227" i="32"/>
  <c r="W419" i="32"/>
  <c r="W288" i="32"/>
  <c r="W252" i="32"/>
  <c r="W361" i="32"/>
  <c r="W255" i="32"/>
  <c r="W207" i="32"/>
  <c r="W315" i="32"/>
  <c r="W241" i="32"/>
  <c r="W320" i="32"/>
  <c r="W161" i="32"/>
  <c r="W73" i="32"/>
  <c r="W127" i="32"/>
  <c r="W71" i="32"/>
  <c r="W177" i="32"/>
  <c r="W65" i="32"/>
  <c r="W156" i="32"/>
  <c r="W130" i="32"/>
  <c r="W80" i="32"/>
  <c r="W187" i="32"/>
  <c r="W98" i="32"/>
  <c r="W219" i="32"/>
  <c r="W139" i="32"/>
  <c r="W437" i="32"/>
  <c r="W129" i="32"/>
  <c r="W79" i="32"/>
  <c r="W18" i="32"/>
  <c r="W64" i="32"/>
  <c r="W26" i="32"/>
  <c r="W19" i="32"/>
  <c r="W27" i="32"/>
  <c r="W25" i="32"/>
  <c r="W51" i="32"/>
  <c r="W192" i="32"/>
  <c r="W571" i="32"/>
  <c r="W479" i="32"/>
  <c r="W560" i="32"/>
  <c r="W489" i="32"/>
  <c r="W544" i="32"/>
  <c r="W492" i="32"/>
  <c r="W551" i="32"/>
  <c r="W582" i="32"/>
  <c r="W612" i="32"/>
  <c r="W524" i="32"/>
  <c r="W587" i="32"/>
  <c r="W519" i="32"/>
  <c r="W488" i="32"/>
  <c r="W412" i="32"/>
  <c r="W359" i="32"/>
  <c r="W468" i="32"/>
  <c r="W410" i="32"/>
  <c r="W324" i="32"/>
  <c r="W420" i="32"/>
  <c r="W418" i="32"/>
  <c r="W370" i="32"/>
  <c r="W543" i="32"/>
  <c r="W433" i="32"/>
  <c r="W380" i="32"/>
  <c r="W464" i="32"/>
  <c r="W378" i="32"/>
  <c r="W319" i="32"/>
  <c r="W399" i="32"/>
  <c r="W369" i="32"/>
  <c r="W289" i="32"/>
  <c r="W249" i="32"/>
  <c r="W312" i="32"/>
  <c r="W239" i="32"/>
  <c r="W393" i="32"/>
  <c r="W254" i="32"/>
  <c r="W181" i="32"/>
  <c r="W277" i="32"/>
  <c r="W220" i="32"/>
  <c r="W402" i="32"/>
  <c r="W285" i="32"/>
  <c r="W250" i="32"/>
  <c r="W356" i="32"/>
  <c r="W248" i="32"/>
  <c r="W200" i="32"/>
  <c r="W307" i="32"/>
  <c r="W212" i="32"/>
  <c r="W286" i="32"/>
  <c r="W158" i="32"/>
  <c r="W62" i="32"/>
  <c r="W120" i="32"/>
  <c r="W68" i="32"/>
  <c r="W170" i="32"/>
  <c r="W58" i="32"/>
  <c r="W154" i="32"/>
  <c r="W125" i="32"/>
  <c r="W77" i="32"/>
  <c r="W167" i="32"/>
  <c r="W94" i="32"/>
  <c r="W203" i="32"/>
  <c r="W133" i="32"/>
  <c r="W417" i="32"/>
  <c r="W117" i="32"/>
  <c r="W76" i="32"/>
  <c r="W14" i="32"/>
  <c r="W23" i="32"/>
  <c r="W34" i="32"/>
  <c r="W121" i="32"/>
  <c r="W142" i="32"/>
  <c r="W15" i="32"/>
  <c r="W46" i="32"/>
  <c r="W116" i="32"/>
  <c r="W555" i="32"/>
  <c r="W463" i="32"/>
  <c r="W548" i="32"/>
  <c r="W607" i="32"/>
  <c r="W535" i="32"/>
  <c r="W487" i="32"/>
  <c r="W533" i="32"/>
  <c r="W579" i="32"/>
  <c r="W600" i="32"/>
  <c r="W504" i="32"/>
  <c r="W585" i="32"/>
  <c r="W517" i="32"/>
  <c r="W478" i="32"/>
  <c r="W407" i="32"/>
  <c r="W350" i="32"/>
  <c r="W462" i="32"/>
  <c r="W394" i="32"/>
  <c r="W313" i="32"/>
  <c r="W415" i="32"/>
  <c r="W413" i="32"/>
  <c r="W362" i="32"/>
  <c r="W500" i="32"/>
  <c r="W406" i="32"/>
  <c r="W373" i="32"/>
  <c r="W458" i="32"/>
  <c r="W366" i="32"/>
  <c r="W471" i="32"/>
  <c r="W381" i="32"/>
  <c r="W354" i="32"/>
  <c r="W284" i="32"/>
  <c r="W244" i="32"/>
  <c r="W310" i="32"/>
  <c r="W234" i="32"/>
  <c r="W348" i="32"/>
  <c r="W247" i="32"/>
  <c r="W179" i="32"/>
  <c r="W272" i="32"/>
  <c r="W218" i="32"/>
  <c r="W340" i="32"/>
  <c r="W283" i="32"/>
  <c r="W243" i="32"/>
  <c r="W346" i="32"/>
  <c r="W238" i="32"/>
  <c r="W449" i="32"/>
  <c r="W305" i="32"/>
  <c r="W198" i="32"/>
  <c r="W281" i="32"/>
  <c r="W143" i="32"/>
  <c r="W60" i="32"/>
  <c r="W114" i="32"/>
  <c r="W55" i="32"/>
  <c r="W162" i="32"/>
  <c r="W236" i="32"/>
  <c r="W153" i="32"/>
  <c r="W115" i="32"/>
  <c r="W74" i="32"/>
  <c r="W159" i="32"/>
  <c r="W86" i="32"/>
  <c r="W195" i="32"/>
  <c r="W126" i="32"/>
  <c r="W186" i="32"/>
  <c r="W111" i="32"/>
  <c r="W49" i="32"/>
  <c r="W22" i="32"/>
  <c r="W176" i="32"/>
  <c r="W128" i="32"/>
  <c r="W70" i="32"/>
  <c r="W89" i="32"/>
  <c r="W13" i="32"/>
  <c r="W44" i="32"/>
  <c r="W613" i="32"/>
  <c r="W480" i="32"/>
  <c r="W502" i="32"/>
  <c r="W405" i="32"/>
  <c r="W527" i="32"/>
  <c r="W474" i="32"/>
  <c r="W363" i="32"/>
  <c r="W279" i="32"/>
  <c r="W314" i="32"/>
  <c r="W204" i="32"/>
  <c r="W311" i="32"/>
  <c r="W189" i="32"/>
  <c r="W109" i="32"/>
  <c r="W150" i="32"/>
  <c r="W61" i="32"/>
  <c r="W103" i="32"/>
  <c r="W63" i="32"/>
  <c r="W42" i="32"/>
  <c r="W611" i="32"/>
  <c r="W447" i="32"/>
  <c r="W481" i="32"/>
  <c r="W400" i="32"/>
  <c r="W465" i="32"/>
  <c r="W461" i="32"/>
  <c r="W358" i="32"/>
  <c r="W276" i="32"/>
  <c r="W306" i="32"/>
  <c r="W197" i="32"/>
  <c r="W309" i="32"/>
  <c r="W182" i="32"/>
  <c r="W106" i="32"/>
  <c r="W146" i="32"/>
  <c r="W53" i="32"/>
  <c r="W100" i="32"/>
  <c r="W57" i="32"/>
  <c r="W40" i="32"/>
  <c r="W546" i="32"/>
  <c r="W501" i="32"/>
  <c r="W564" i="32"/>
  <c r="W343" i="32"/>
  <c r="W397" i="32"/>
  <c r="W401" i="32"/>
  <c r="W469" i="32"/>
  <c r="W242" i="32"/>
  <c r="W222" i="32"/>
  <c r="W331" i="32"/>
  <c r="W230" i="32"/>
  <c r="W233" i="32"/>
  <c r="W45" i="32"/>
  <c r="W112" i="32"/>
  <c r="W173" i="32"/>
  <c r="W119" i="32"/>
  <c r="W54" i="32"/>
  <c r="T75" i="31"/>
  <c r="W597" i="32"/>
  <c r="W570" i="32"/>
  <c r="W515" i="32"/>
  <c r="W451" i="32"/>
  <c r="W408" i="32"/>
  <c r="W368" i="32"/>
  <c r="W349" i="32"/>
  <c r="W308" i="32"/>
  <c r="W414" i="32"/>
  <c r="W280" i="32"/>
  <c r="W339" i="32"/>
  <c r="W137" i="32"/>
  <c r="W149" i="32"/>
  <c r="W69" i="32"/>
  <c r="W113" i="32"/>
  <c r="W171" i="32"/>
  <c r="W59" i="32"/>
  <c r="T34" i="31"/>
  <c r="T58" i="31"/>
  <c r="T50" i="31"/>
  <c r="T42" i="31"/>
  <c r="W601" i="32"/>
  <c r="W595" i="32"/>
  <c r="W561" i="32"/>
  <c r="W511" i="32"/>
  <c r="W440" i="32"/>
  <c r="W403" i="32"/>
  <c r="W351" i="32"/>
  <c r="W347" i="32"/>
  <c r="W292" i="32"/>
  <c r="W337" i="32"/>
  <c r="W275" i="32"/>
  <c r="W336" i="32"/>
  <c r="W124" i="32"/>
  <c r="W134" i="32"/>
  <c r="W66" i="32"/>
  <c r="W108" i="32"/>
  <c r="W165" i="32"/>
  <c r="W56" i="32"/>
  <c r="W521" i="32"/>
  <c r="W341" i="32"/>
  <c r="W428" i="32"/>
  <c r="W270" i="32"/>
  <c r="W228" i="32"/>
  <c r="W135" i="32"/>
  <c r="W184" i="32"/>
  <c r="T18" i="31"/>
  <c r="W518" i="32"/>
  <c r="W391" i="32"/>
  <c r="W452" i="32"/>
  <c r="W262" i="32"/>
  <c r="W188" i="32"/>
  <c r="W163" i="32"/>
  <c r="W136" i="32"/>
  <c r="W499" i="32"/>
  <c r="W388" i="32"/>
  <c r="W335" i="32"/>
  <c r="W302" i="32"/>
  <c r="W172" i="32"/>
  <c r="W178" i="32"/>
  <c r="W577" i="32"/>
  <c r="W365" i="32"/>
  <c r="W327" i="32"/>
  <c r="W240" i="32"/>
  <c r="W43" i="32"/>
  <c r="W155" i="32"/>
  <c r="W566" i="32"/>
  <c r="W360" i="32"/>
  <c r="W217" i="32"/>
  <c r="W232" i="32"/>
  <c r="W221" i="32"/>
  <c r="W48" i="32"/>
  <c r="W550" i="32"/>
  <c r="W559" i="32"/>
  <c r="W355" i="32"/>
  <c r="W231" i="32"/>
  <c r="W225" i="32"/>
  <c r="W210" i="32"/>
  <c r="W67" i="32"/>
  <c r="W541" i="32"/>
  <c r="W298" i="32"/>
  <c r="W530" i="32"/>
  <c r="W278" i="32"/>
  <c r="T43" i="31"/>
  <c r="AK624" i="31"/>
  <c r="T603" i="31"/>
  <c r="T593" i="31"/>
  <c r="T590" i="31"/>
  <c r="T573" i="31"/>
  <c r="T571" i="31"/>
  <c r="T557" i="31"/>
  <c r="T561" i="31"/>
  <c r="T537" i="31"/>
  <c r="T543" i="31"/>
  <c r="T507" i="31"/>
  <c r="T513" i="31"/>
  <c r="T519" i="31"/>
  <c r="T517" i="31"/>
  <c r="T488" i="31"/>
  <c r="T539" i="31"/>
  <c r="T491" i="31"/>
  <c r="T473" i="31"/>
  <c r="T462" i="31"/>
  <c r="T460" i="31"/>
  <c r="T483" i="31"/>
  <c r="T435" i="31"/>
  <c r="T453" i="31"/>
  <c r="T466" i="31"/>
  <c r="T406" i="31"/>
  <c r="T420" i="31"/>
  <c r="T397" i="31"/>
  <c r="T395" i="31"/>
  <c r="T401" i="31"/>
  <c r="T391" i="31"/>
  <c r="T356" i="31"/>
  <c r="T362" i="31"/>
  <c r="T383" i="31"/>
  <c r="T319" i="31"/>
  <c r="T326" i="31"/>
  <c r="T325" i="31"/>
  <c r="T324" i="31"/>
  <c r="T323" i="31"/>
  <c r="T322" i="31"/>
  <c r="T272" i="31"/>
  <c r="T345" i="31"/>
  <c r="T336" i="31"/>
  <c r="T290" i="31"/>
  <c r="T312" i="31"/>
  <c r="T258" i="31"/>
  <c r="T320" i="31"/>
  <c r="T250" i="31"/>
  <c r="T213" i="31"/>
  <c r="T219" i="31"/>
  <c r="T224" i="31"/>
  <c r="T197" i="31"/>
  <c r="T196" i="31"/>
  <c r="T207" i="31"/>
  <c r="T147" i="31"/>
  <c r="T162" i="31"/>
  <c r="T177" i="31"/>
  <c r="T176" i="31"/>
  <c r="T167" i="31"/>
  <c r="T166" i="31"/>
  <c r="T89" i="31"/>
  <c r="T96" i="31"/>
  <c r="T103" i="31"/>
  <c r="T102" i="31"/>
  <c r="T101" i="31"/>
  <c r="T108" i="31"/>
  <c r="T115" i="31"/>
  <c r="T114" i="31"/>
  <c r="W470" i="32"/>
  <c r="W104" i="32"/>
  <c r="W398" i="32"/>
  <c r="W50" i="32"/>
  <c r="W430" i="32"/>
  <c r="W52" i="32"/>
  <c r="T66" i="31"/>
  <c r="T27" i="31"/>
  <c r="T59" i="31"/>
  <c r="T597" i="31"/>
  <c r="T601" i="31"/>
  <c r="T591" i="31"/>
  <c r="T576" i="31"/>
  <c r="T579" i="31"/>
  <c r="T567" i="31"/>
  <c r="T562" i="31"/>
  <c r="T555" i="31"/>
  <c r="T554" i="31"/>
  <c r="T541" i="31"/>
  <c r="T514" i="31"/>
  <c r="T504" i="31"/>
  <c r="T526" i="31"/>
  <c r="T489" i="31"/>
  <c r="T516" i="31"/>
  <c r="T477" i="31"/>
  <c r="T472" i="31"/>
  <c r="T490" i="31"/>
  <c r="T461" i="31"/>
  <c r="T438" i="31"/>
  <c r="T436" i="31"/>
  <c r="T458" i="31"/>
  <c r="T431" i="31"/>
  <c r="T399" i="31"/>
  <c r="T413" i="31"/>
  <c r="T411" i="31"/>
  <c r="T396" i="31"/>
  <c r="T394" i="31"/>
  <c r="T403" i="31"/>
  <c r="T382" i="31"/>
  <c r="T355" i="31"/>
  <c r="T374" i="31"/>
  <c r="T348" i="31"/>
  <c r="T287" i="31"/>
  <c r="T294" i="31"/>
  <c r="T293" i="31"/>
  <c r="T292" i="31"/>
  <c r="T351" i="31"/>
  <c r="T337" i="31"/>
  <c r="T289" i="31"/>
  <c r="T270" i="31"/>
  <c r="T269" i="31"/>
  <c r="T260" i="31"/>
  <c r="T259" i="31"/>
  <c r="T255" i="31"/>
  <c r="T257" i="31"/>
  <c r="T249" i="31"/>
  <c r="T220" i="31"/>
  <c r="T218" i="31"/>
  <c r="T231" i="31"/>
  <c r="T165" i="31"/>
  <c r="T164" i="31"/>
  <c r="T179" i="31"/>
  <c r="T194" i="31"/>
  <c r="T209" i="31"/>
  <c r="T145" i="31"/>
  <c r="T199" i="31"/>
  <c r="T198" i="31"/>
  <c r="T121" i="31"/>
  <c r="T128" i="31"/>
  <c r="T135" i="31"/>
  <c r="T134" i="31"/>
  <c r="T133" i="31"/>
  <c r="T140" i="31"/>
  <c r="T150" i="31"/>
  <c r="T83" i="31"/>
  <c r="T35" i="31"/>
  <c r="T604" i="31"/>
  <c r="T609" i="31"/>
  <c r="T588" i="31"/>
  <c r="T595" i="31"/>
  <c r="T565" i="31"/>
  <c r="T549" i="31"/>
  <c r="T535" i="31"/>
  <c r="T515" i="31"/>
  <c r="T520" i="31"/>
  <c r="T518" i="31"/>
  <c r="T496" i="31"/>
  <c r="T493" i="31"/>
  <c r="T464" i="31"/>
  <c r="T470" i="31"/>
  <c r="T450" i="31"/>
  <c r="T428" i="31"/>
  <c r="T433" i="31"/>
  <c r="T415" i="31"/>
  <c r="T405" i="31"/>
  <c r="T402" i="31"/>
  <c r="T379" i="31"/>
  <c r="T392" i="31"/>
  <c r="T364" i="31"/>
  <c r="T398" i="31"/>
  <c r="T343" i="31"/>
  <c r="T334" i="31"/>
  <c r="T309" i="31"/>
  <c r="T347" i="31"/>
  <c r="T330" i="31"/>
  <c r="T328" i="31"/>
  <c r="T262" i="31"/>
  <c r="T321" i="31"/>
  <c r="T275" i="31"/>
  <c r="T239" i="31"/>
  <c r="T273" i="31"/>
  <c r="T236" i="31"/>
  <c r="T210" i="31"/>
  <c r="T205" i="31"/>
  <c r="T180" i="31"/>
  <c r="T171" i="31"/>
  <c r="T170" i="31"/>
  <c r="T161" i="31"/>
  <c r="T191" i="31"/>
  <c r="T174" i="31"/>
  <c r="T144" i="31"/>
  <c r="T127" i="31"/>
  <c r="T110" i="31"/>
  <c r="T85" i="31"/>
  <c r="T139" i="31"/>
  <c r="T122" i="31"/>
  <c r="T76" i="31"/>
  <c r="T78" i="31"/>
  <c r="T26" i="31"/>
  <c r="T51" i="31"/>
  <c r="T596" i="31"/>
  <c r="T585" i="31"/>
  <c r="T587" i="31"/>
  <c r="T586" i="31"/>
  <c r="T564" i="31"/>
  <c r="T548" i="31"/>
  <c r="T527" i="31"/>
  <c r="T544" i="31"/>
  <c r="T512" i="31"/>
  <c r="T510" i="31"/>
  <c r="T495" i="31"/>
  <c r="T485" i="31"/>
  <c r="T456" i="31"/>
  <c r="T454" i="31"/>
  <c r="T446" i="31"/>
  <c r="T478" i="31"/>
  <c r="T448" i="31"/>
  <c r="T407" i="31"/>
  <c r="T447" i="31"/>
  <c r="T389" i="31"/>
  <c r="T400" i="31"/>
  <c r="T384" i="31"/>
  <c r="T67" i="31"/>
  <c r="T611" i="31"/>
  <c r="B624" i="31"/>
  <c r="T592" i="31"/>
  <c r="T575" i="31"/>
  <c r="T578" i="31"/>
  <c r="T556" i="31"/>
  <c r="T547" i="31"/>
  <c r="T546" i="31"/>
  <c r="T530" i="31"/>
  <c r="T540" i="31"/>
  <c r="T525" i="31"/>
  <c r="T487" i="31"/>
  <c r="T492" i="31"/>
  <c r="T499" i="31"/>
  <c r="T475" i="31"/>
  <c r="T430" i="31"/>
  <c r="T443" i="31"/>
  <c r="T440" i="31"/>
  <c r="T425" i="31"/>
  <c r="T427" i="31"/>
  <c r="T381" i="31"/>
  <c r="T386" i="31"/>
  <c r="T376" i="31"/>
  <c r="T371" i="31"/>
  <c r="T369" i="31"/>
  <c r="T327" i="31"/>
  <c r="T310" i="31"/>
  <c r="T367" i="31"/>
  <c r="T331" i="31"/>
  <c r="T306" i="31"/>
  <c r="T279" i="31"/>
  <c r="T246" i="31"/>
  <c r="T276" i="31"/>
  <c r="T251" i="31"/>
  <c r="T274" i="31"/>
  <c r="T222" i="31"/>
  <c r="T248" i="31"/>
  <c r="T232" i="31"/>
  <c r="T181" i="31"/>
  <c r="T156" i="31"/>
  <c r="T155" i="31"/>
  <c r="T233" i="31"/>
  <c r="T200" i="31"/>
  <c r="T175" i="31"/>
  <c r="T137" i="31"/>
  <c r="T120" i="31"/>
  <c r="T111" i="31"/>
  <c r="T86" i="31"/>
  <c r="T132" i="31"/>
  <c r="T123" i="31"/>
  <c r="T98" i="31"/>
  <c r="T36" i="31"/>
  <c r="W446" i="32"/>
  <c r="T610" i="31"/>
  <c r="T602" i="31"/>
  <c r="T584" i="31"/>
  <c r="T574" i="31"/>
  <c r="T570" i="31"/>
  <c r="T563" i="31"/>
  <c r="T538" i="31"/>
  <c r="T542" i="31"/>
  <c r="T522" i="31"/>
  <c r="T531" i="31"/>
  <c r="T501" i="31"/>
  <c r="T479" i="31"/>
  <c r="T484" i="31"/>
  <c r="T471" i="31"/>
  <c r="T469" i="31"/>
  <c r="T445" i="31"/>
  <c r="T467" i="31"/>
  <c r="T432" i="31"/>
  <c r="T422" i="31"/>
  <c r="T412" i="31"/>
  <c r="T373" i="31"/>
  <c r="T378" i="31"/>
  <c r="T366" i="31"/>
  <c r="T363" i="31"/>
  <c r="T361" i="31"/>
  <c r="T311" i="31"/>
  <c r="T302" i="31"/>
  <c r="T340" i="31"/>
  <c r="T315" i="31"/>
  <c r="T298" i="31"/>
  <c r="T271" i="31"/>
  <c r="T304" i="31"/>
  <c r="T268" i="31"/>
  <c r="T243" i="31"/>
  <c r="T297" i="31"/>
  <c r="T214" i="31"/>
  <c r="T235" i="31"/>
  <c r="T216" i="31"/>
  <c r="T173" i="31"/>
  <c r="T148" i="31"/>
  <c r="T225" i="31"/>
  <c r="T212" i="31"/>
  <c r="T192" i="31"/>
  <c r="T159" i="31"/>
  <c r="T129" i="31"/>
  <c r="T112" i="31"/>
  <c r="T95" i="31"/>
  <c r="T141" i="31"/>
  <c r="T124" i="31"/>
  <c r="T107" i="31"/>
  <c r="T90" i="31"/>
  <c r="T52" i="31"/>
  <c r="W229" i="32"/>
  <c r="T608" i="31"/>
  <c r="T594" i="31"/>
  <c r="T583" i="31"/>
  <c r="T581" i="31"/>
  <c r="T568" i="31"/>
  <c r="T552" i="31"/>
  <c r="T545" i="31"/>
  <c r="T534" i="31"/>
  <c r="T506" i="31"/>
  <c r="T528" i="31"/>
  <c r="T500" i="31"/>
  <c r="T502" i="31"/>
  <c r="T509" i="31"/>
  <c r="T463" i="31"/>
  <c r="T498" i="31"/>
  <c r="T437" i="31"/>
  <c r="T442" i="31"/>
  <c r="T424" i="31"/>
  <c r="T414" i="31"/>
  <c r="T429" i="31"/>
  <c r="T388" i="31"/>
  <c r="T409" i="31"/>
  <c r="T358" i="31"/>
  <c r="T377" i="31"/>
  <c r="T353" i="31"/>
  <c r="T303" i="31"/>
  <c r="T359" i="31"/>
  <c r="T332" i="31"/>
  <c r="T307" i="31"/>
  <c r="T305" i="31"/>
  <c r="T263" i="31"/>
  <c r="T285" i="31"/>
  <c r="T252" i="31"/>
  <c r="T329" i="31"/>
  <c r="T265" i="31"/>
  <c r="T237" i="31"/>
  <c r="T227" i="31"/>
  <c r="T241" i="31"/>
  <c r="T157" i="31"/>
  <c r="T217" i="31"/>
  <c r="T208" i="31"/>
  <c r="T201" i="31"/>
  <c r="T184" i="31"/>
  <c r="T151" i="31"/>
  <c r="T113" i="31"/>
  <c r="T104" i="31"/>
  <c r="T87" i="31"/>
  <c r="T125" i="31"/>
  <c r="T116" i="31"/>
  <c r="T99" i="31"/>
  <c r="T68" i="31"/>
  <c r="W213" i="32"/>
  <c r="W141" i="32"/>
  <c r="T612" i="31"/>
  <c r="T560" i="31"/>
  <c r="T559" i="31"/>
  <c r="T503" i="31"/>
  <c r="T465" i="31"/>
  <c r="T452" i="31"/>
  <c r="T408" i="31"/>
  <c r="T380" i="31"/>
  <c r="T357" i="31"/>
  <c r="T352" i="31"/>
  <c r="T317" i="31"/>
  <c r="T338" i="31"/>
  <c r="T278" i="31"/>
  <c r="T283" i="31"/>
  <c r="T245" i="31"/>
  <c r="T226" i="31"/>
  <c r="T188" i="31"/>
  <c r="T178" i="31"/>
  <c r="T152" i="31"/>
  <c r="T81" i="31"/>
  <c r="T118" i="31"/>
  <c r="T84" i="31"/>
  <c r="T16" i="31"/>
  <c r="T48" i="31"/>
  <c r="T41" i="31"/>
  <c r="T73" i="31"/>
  <c r="T599" i="31"/>
  <c r="T577" i="31"/>
  <c r="T533" i="31"/>
  <c r="T497" i="31"/>
  <c r="T482" i="31"/>
  <c r="T451" i="31"/>
  <c r="T439" i="31"/>
  <c r="T387" i="31"/>
  <c r="T372" i="31"/>
  <c r="T295" i="31"/>
  <c r="T316" i="31"/>
  <c r="T288" i="31"/>
  <c r="T277" i="31"/>
  <c r="T286" i="31"/>
  <c r="T229" i="31"/>
  <c r="T238" i="31"/>
  <c r="T203" i="31"/>
  <c r="T193" i="31"/>
  <c r="T206" i="31"/>
  <c r="T88" i="31"/>
  <c r="T117" i="31"/>
  <c r="T91" i="31"/>
  <c r="T28" i="31"/>
  <c r="T40" i="31"/>
  <c r="T72" i="31"/>
  <c r="T33" i="31"/>
  <c r="T65" i="31"/>
  <c r="T598" i="31"/>
  <c r="T551" i="31"/>
  <c r="T523" i="31"/>
  <c r="T481" i="31"/>
  <c r="T455" i="31"/>
  <c r="T444" i="31"/>
  <c r="T426" i="31"/>
  <c r="T393" i="31"/>
  <c r="T370" i="31"/>
  <c r="T349" i="31"/>
  <c r="T308" i="31"/>
  <c r="T280" i="31"/>
  <c r="T261" i="31"/>
  <c r="T281" i="31"/>
  <c r="T221" i="31"/>
  <c r="T223" i="31"/>
  <c r="T195" i="31"/>
  <c r="T185" i="31"/>
  <c r="T190" i="31"/>
  <c r="T80" i="31"/>
  <c r="T109" i="31"/>
  <c r="T138" i="31"/>
  <c r="T61" i="31"/>
  <c r="T14" i="31"/>
  <c r="T15" i="31"/>
  <c r="T23" i="31"/>
  <c r="T55" i="31"/>
  <c r="T607" i="31"/>
  <c r="T589" i="31"/>
  <c r="T550" i="31"/>
  <c r="T532" i="31"/>
  <c r="T508" i="31"/>
  <c r="T480" i="31"/>
  <c r="T434" i="31"/>
  <c r="T421" i="31"/>
  <c r="T385" i="31"/>
  <c r="T354" i="31"/>
  <c r="T342" i="31"/>
  <c r="T300" i="31"/>
  <c r="T264" i="31"/>
  <c r="T253" i="31"/>
  <c r="T266" i="31"/>
  <c r="T242" i="31"/>
  <c r="T215" i="31"/>
  <c r="T187" i="31"/>
  <c r="T169" i="31"/>
  <c r="T182" i="31"/>
  <c r="T143" i="31"/>
  <c r="T93" i="31"/>
  <c r="T130" i="31"/>
  <c r="T60" i="31"/>
  <c r="T13" i="31"/>
  <c r="T37" i="31"/>
  <c r="T30" i="31"/>
  <c r="T54" i="31"/>
  <c r="T32" i="31"/>
  <c r="T64" i="31"/>
  <c r="T25" i="31"/>
  <c r="T57" i="31"/>
  <c r="T606" i="31"/>
  <c r="T582" i="31"/>
  <c r="T558" i="31"/>
  <c r="T521" i="31"/>
  <c r="T494" i="31"/>
  <c r="T474" i="31"/>
  <c r="T449" i="31"/>
  <c r="T419" i="31"/>
  <c r="T417" i="31"/>
  <c r="T375" i="31"/>
  <c r="T318" i="31"/>
  <c r="T339" i="31"/>
  <c r="T296" i="31"/>
  <c r="T284" i="31"/>
  <c r="T240" i="31"/>
  <c r="T228" i="31"/>
  <c r="T189" i="31"/>
  <c r="T163" i="31"/>
  <c r="T153" i="31"/>
  <c r="T158" i="31"/>
  <c r="T119" i="31"/>
  <c r="T146" i="31"/>
  <c r="T106" i="31"/>
  <c r="T605" i="31"/>
  <c r="T505" i="31"/>
  <c r="T459" i="31"/>
  <c r="T365" i="31"/>
  <c r="T299" i="31"/>
  <c r="T267" i="31"/>
  <c r="T204" i="31"/>
  <c r="T105" i="31"/>
  <c r="T131" i="31"/>
  <c r="T38" i="31"/>
  <c r="T62" i="31"/>
  <c r="T63" i="31"/>
  <c r="T344" i="31"/>
  <c r="T600" i="31"/>
  <c r="T511" i="31"/>
  <c r="T441" i="31"/>
  <c r="T390" i="31"/>
  <c r="T346" i="31"/>
  <c r="T282" i="31"/>
  <c r="T172" i="31"/>
  <c r="T97" i="31"/>
  <c r="T47" i="31"/>
  <c r="T301" i="31"/>
  <c r="T92" i="31"/>
  <c r="T39" i="31"/>
  <c r="T19" i="31"/>
  <c r="T580" i="31"/>
  <c r="T553" i="31"/>
  <c r="T416" i="31"/>
  <c r="T368" i="31"/>
  <c r="T314" i="31"/>
  <c r="T256" i="31"/>
  <c r="T202" i="31"/>
  <c r="T136" i="31"/>
  <c r="T46" i="31"/>
  <c r="T70" i="31"/>
  <c r="T24" i="31"/>
  <c r="T468" i="31"/>
  <c r="T572" i="31"/>
  <c r="T486" i="31"/>
  <c r="T423" i="31"/>
  <c r="T360" i="31"/>
  <c r="T313" i="31"/>
  <c r="T230" i="31"/>
  <c r="T186" i="31"/>
  <c r="T142" i="31"/>
  <c r="T20" i="31"/>
  <c r="T22" i="31"/>
  <c r="T71" i="31"/>
  <c r="T476" i="31"/>
  <c r="T350" i="31"/>
  <c r="T566" i="31"/>
  <c r="T524" i="31"/>
  <c r="T418" i="31"/>
  <c r="T335" i="31"/>
  <c r="T291" i="31"/>
  <c r="T211" i="31"/>
  <c r="T154" i="31"/>
  <c r="T126" i="31"/>
  <c r="T21" i="31"/>
  <c r="T45" i="31"/>
  <c r="T69" i="31"/>
  <c r="T31" i="31"/>
  <c r="T49" i="31"/>
  <c r="T536" i="31"/>
  <c r="T333" i="31"/>
  <c r="T247" i="31"/>
  <c r="T100" i="31"/>
  <c r="T29" i="31"/>
  <c r="T77" i="31"/>
  <c r="T569" i="31"/>
  <c r="T149" i="31"/>
  <c r="T529" i="31"/>
  <c r="T457" i="31"/>
  <c r="T410" i="31"/>
  <c r="T341" i="31"/>
  <c r="T254" i="31"/>
  <c r="T234" i="31"/>
  <c r="T168" i="31"/>
  <c r="T94" i="31"/>
  <c r="T44" i="31"/>
  <c r="T79" i="31"/>
  <c r="T17" i="31"/>
  <c r="T404" i="31"/>
  <c r="T244" i="31"/>
  <c r="T160" i="31"/>
  <c r="T53" i="31"/>
  <c r="T56" i="31"/>
  <c r="T82" i="31"/>
  <c r="E634" i="31"/>
  <c r="T183" i="31"/>
  <c r="T626" i="31"/>
  <c r="T623" i="31"/>
  <c r="T622" i="31"/>
  <c r="T628" i="31"/>
  <c r="A494" i="2"/>
  <c r="B356" i="2"/>
  <c r="B379" i="2"/>
  <c r="G90" i="1"/>
  <c r="E77" i="1"/>
  <c r="G91" i="1"/>
  <c r="Y624" i="32" l="1"/>
  <c r="X624" i="32"/>
  <c r="Y625" i="32"/>
  <c r="X625" i="32"/>
  <c r="AB628" i="32"/>
  <c r="AA628" i="32"/>
  <c r="AB622" i="32"/>
  <c r="AA622" i="32"/>
  <c r="Y628" i="32"/>
  <c r="X628" i="32"/>
  <c r="AB623" i="32"/>
  <c r="AA623" i="32"/>
  <c r="Y622" i="32"/>
  <c r="X622" i="32"/>
  <c r="AB626" i="32"/>
  <c r="AA626" i="32"/>
  <c r="Y623" i="32"/>
  <c r="X623" i="32"/>
  <c r="AB624" i="32"/>
  <c r="AA624" i="32"/>
  <c r="Y626" i="32"/>
  <c r="X626" i="32"/>
  <c r="AB625" i="32"/>
  <c r="AA625" i="32"/>
  <c r="V536" i="31"/>
  <c r="U536" i="31"/>
  <c r="U390" i="31"/>
  <c r="V390" i="31"/>
  <c r="V57" i="31"/>
  <c r="U57" i="31"/>
  <c r="V190" i="31"/>
  <c r="U190" i="31"/>
  <c r="U226" i="31"/>
  <c r="V226" i="31"/>
  <c r="U307" i="31"/>
  <c r="V307" i="31"/>
  <c r="U243" i="31"/>
  <c r="V243" i="31"/>
  <c r="V181" i="31"/>
  <c r="U181" i="31"/>
  <c r="U548" i="31"/>
  <c r="V548" i="31"/>
  <c r="V402" i="31"/>
  <c r="U402" i="31"/>
  <c r="V337" i="31"/>
  <c r="U337" i="31"/>
  <c r="V114" i="31"/>
  <c r="U114" i="31"/>
  <c r="V507" i="31"/>
  <c r="U507" i="31"/>
  <c r="Y499" i="32"/>
  <c r="X499" i="32"/>
  <c r="X349" i="32"/>
  <c r="Y349" i="32"/>
  <c r="Y109" i="32"/>
  <c r="X109" i="32"/>
  <c r="Y471" i="32"/>
  <c r="X471" i="32"/>
  <c r="Y120" i="32"/>
  <c r="X120" i="32"/>
  <c r="Y524" i="32"/>
  <c r="X524" i="32"/>
  <c r="Y264" i="32"/>
  <c r="X264" i="32"/>
  <c r="Y82" i="32"/>
  <c r="X82" i="32"/>
  <c r="X457" i="32"/>
  <c r="Y457" i="32"/>
  <c r="Y259" i="32"/>
  <c r="X259" i="32"/>
  <c r="X144" i="32"/>
  <c r="Y144" i="32"/>
  <c r="X396" i="32"/>
  <c r="Y396" i="32"/>
  <c r="Y542" i="32"/>
  <c r="X542" i="32"/>
  <c r="Y309" i="31"/>
  <c r="X309" i="31"/>
  <c r="X589" i="31"/>
  <c r="Y589" i="31"/>
  <c r="X117" i="31"/>
  <c r="Y117" i="31"/>
  <c r="X295" i="31"/>
  <c r="Y295" i="31"/>
  <c r="Y562" i="31"/>
  <c r="X562" i="31"/>
  <c r="X69" i="31"/>
  <c r="Y69" i="31"/>
  <c r="Y161" i="31"/>
  <c r="X161" i="31"/>
  <c r="X531" i="31"/>
  <c r="Y531" i="31"/>
  <c r="Y385" i="31"/>
  <c r="X385" i="31"/>
  <c r="Y248" i="31"/>
  <c r="X248" i="31"/>
  <c r="Y202" i="31"/>
  <c r="X202" i="31"/>
  <c r="Y95" i="31"/>
  <c r="X95" i="31"/>
  <c r="X400" i="31"/>
  <c r="Y400" i="31"/>
  <c r="Y232" i="31"/>
  <c r="X232" i="31"/>
  <c r="U94" i="31"/>
  <c r="V94" i="31"/>
  <c r="U486" i="31"/>
  <c r="V486" i="31"/>
  <c r="V106" i="31"/>
  <c r="U106" i="31"/>
  <c r="U185" i="31"/>
  <c r="V185" i="31"/>
  <c r="U482" i="31"/>
  <c r="V482" i="31"/>
  <c r="V237" i="31"/>
  <c r="U237" i="31"/>
  <c r="V268" i="31"/>
  <c r="U268" i="31"/>
  <c r="U120" i="31"/>
  <c r="V120" i="31"/>
  <c r="U556" i="31"/>
  <c r="V556" i="31"/>
  <c r="U496" i="31"/>
  <c r="V496" i="31"/>
  <c r="U257" i="31"/>
  <c r="V257" i="31"/>
  <c r="V567" i="31"/>
  <c r="U567" i="31"/>
  <c r="V224" i="31"/>
  <c r="U224" i="31"/>
  <c r="V473" i="31"/>
  <c r="U473" i="31"/>
  <c r="X136" i="32"/>
  <c r="Y136" i="32"/>
  <c r="X601" i="32"/>
  <c r="Y601" i="32"/>
  <c r="X242" i="32"/>
  <c r="Y242" i="32"/>
  <c r="Y405" i="32"/>
  <c r="X405" i="32"/>
  <c r="Y346" i="32"/>
  <c r="X346" i="32"/>
  <c r="V569" i="31"/>
  <c r="U569" i="31"/>
  <c r="U314" i="31"/>
  <c r="V314" i="31"/>
  <c r="U146" i="31"/>
  <c r="V146" i="31"/>
  <c r="V253" i="31"/>
  <c r="U253" i="31"/>
  <c r="U598" i="31"/>
  <c r="V598" i="31"/>
  <c r="U283" i="31"/>
  <c r="V283" i="31"/>
  <c r="V359" i="31"/>
  <c r="U359" i="31"/>
  <c r="U148" i="31"/>
  <c r="V148" i="31"/>
  <c r="Y446" i="32"/>
  <c r="X446" i="32"/>
  <c r="V492" i="31"/>
  <c r="U492" i="31"/>
  <c r="U586" i="31"/>
  <c r="V586" i="31"/>
  <c r="V415" i="31"/>
  <c r="U415" i="31"/>
  <c r="U255" i="31"/>
  <c r="V255" i="31"/>
  <c r="V579" i="31"/>
  <c r="U579" i="31"/>
  <c r="V345" i="31"/>
  <c r="U345" i="31"/>
  <c r="X225" i="32"/>
  <c r="Y225" i="32"/>
  <c r="Y108" i="32"/>
  <c r="X108" i="32"/>
  <c r="X173" i="32"/>
  <c r="Y173" i="32"/>
  <c r="Y311" i="32"/>
  <c r="X311" i="32"/>
  <c r="X243" i="32"/>
  <c r="Y243" i="32"/>
  <c r="X14" i="32"/>
  <c r="Y14" i="32"/>
  <c r="Y380" i="32"/>
  <c r="X380" i="32"/>
  <c r="X130" i="32"/>
  <c r="Y130" i="32"/>
  <c r="X364" i="32"/>
  <c r="Y364" i="32"/>
  <c r="X246" i="32"/>
  <c r="Y246" i="32"/>
  <c r="Y510" i="32"/>
  <c r="X510" i="32"/>
  <c r="Y326" i="32"/>
  <c r="X326" i="32"/>
  <c r="Y584" i="32"/>
  <c r="X584" i="32"/>
  <c r="Y334" i="32"/>
  <c r="X334" i="32"/>
  <c r="Y610" i="32"/>
  <c r="X610" i="32"/>
  <c r="Y593" i="32"/>
  <c r="X593" i="32"/>
  <c r="X552" i="32"/>
  <c r="Y552" i="32"/>
  <c r="Y514" i="32"/>
  <c r="X514" i="32"/>
  <c r="Y210" i="31"/>
  <c r="X210" i="31"/>
  <c r="X263" i="31"/>
  <c r="Y263" i="31"/>
  <c r="Y14" i="31"/>
  <c r="X14" i="31"/>
  <c r="Y246" i="31"/>
  <c r="X246" i="31"/>
  <c r="Y143" i="31"/>
  <c r="X143" i="31"/>
  <c r="Y559" i="31"/>
  <c r="X559" i="31"/>
  <c r="X344" i="31"/>
  <c r="Y344" i="31"/>
  <c r="Y43" i="31"/>
  <c r="X43" i="31"/>
  <c r="X375" i="31"/>
  <c r="Y375" i="31"/>
  <c r="Y206" i="31"/>
  <c r="X206" i="31"/>
  <c r="X308" i="31"/>
  <c r="Y308" i="31"/>
  <c r="Y517" i="31"/>
  <c r="X517" i="31"/>
  <c r="X21" i="31"/>
  <c r="Y21" i="31"/>
  <c r="X159" i="31"/>
  <c r="Y159" i="31"/>
  <c r="X332" i="31"/>
  <c r="Y332" i="31"/>
  <c r="Y502" i="31"/>
  <c r="X502" i="31"/>
  <c r="Y81" i="31"/>
  <c r="X81" i="31"/>
  <c r="Y286" i="31"/>
  <c r="X286" i="31"/>
  <c r="Y471" i="31"/>
  <c r="X471" i="31"/>
  <c r="Y611" i="31"/>
  <c r="X611" i="31"/>
  <c r="X27" i="31"/>
  <c r="Y27" i="31"/>
  <c r="X146" i="31"/>
  <c r="Y146" i="31"/>
  <c r="Y355" i="31"/>
  <c r="X355" i="31"/>
  <c r="X535" i="31"/>
  <c r="Y535" i="31"/>
  <c r="X119" i="31"/>
  <c r="Y119" i="31"/>
  <c r="X270" i="31"/>
  <c r="Y270" i="31"/>
  <c r="Y444" i="31"/>
  <c r="X444" i="31"/>
  <c r="X588" i="31"/>
  <c r="Y588" i="31"/>
  <c r="Y85" i="31"/>
  <c r="X85" i="31"/>
  <c r="X236" i="31"/>
  <c r="Y236" i="31"/>
  <c r="Y269" i="31"/>
  <c r="X269" i="31"/>
  <c r="X383" i="31"/>
  <c r="Y383" i="31"/>
  <c r="X475" i="31"/>
  <c r="Y475" i="31"/>
  <c r="X548" i="31"/>
  <c r="Y548" i="31"/>
  <c r="Y47" i="31"/>
  <c r="X47" i="31"/>
  <c r="Y157" i="31"/>
  <c r="X157" i="31"/>
  <c r="X253" i="31"/>
  <c r="Y253" i="31"/>
  <c r="Y322" i="31"/>
  <c r="X322" i="31"/>
  <c r="Y419" i="31"/>
  <c r="X419" i="31"/>
  <c r="X522" i="31"/>
  <c r="Y522" i="31"/>
  <c r="Y603" i="31"/>
  <c r="X603" i="31"/>
  <c r="X145" i="31"/>
  <c r="Y145" i="31"/>
  <c r="X185" i="31"/>
  <c r="Y185" i="31"/>
  <c r="X282" i="31"/>
  <c r="Y282" i="31"/>
  <c r="Y361" i="31"/>
  <c r="X361" i="31"/>
  <c r="Y455" i="31"/>
  <c r="X455" i="31"/>
  <c r="X540" i="31"/>
  <c r="Y540" i="31"/>
  <c r="Y65" i="31"/>
  <c r="X65" i="31"/>
  <c r="Y155" i="31"/>
  <c r="X155" i="31"/>
  <c r="Y233" i="31"/>
  <c r="X233" i="31"/>
  <c r="Y312" i="31"/>
  <c r="X312" i="31"/>
  <c r="Y378" i="31"/>
  <c r="X378" i="31"/>
  <c r="Y474" i="31"/>
  <c r="X474" i="31"/>
  <c r="Y577" i="31"/>
  <c r="X577" i="31"/>
  <c r="Y89" i="31"/>
  <c r="X89" i="31"/>
  <c r="Y196" i="31"/>
  <c r="X196" i="31"/>
  <c r="Y231" i="31"/>
  <c r="X231" i="31"/>
  <c r="Y267" i="31"/>
  <c r="X267" i="31"/>
  <c r="X350" i="31"/>
  <c r="Y350" i="31"/>
  <c r="X428" i="31"/>
  <c r="Y428" i="31"/>
  <c r="Y462" i="31"/>
  <c r="X462" i="31"/>
  <c r="Y543" i="31"/>
  <c r="X543" i="31"/>
  <c r="X115" i="31"/>
  <c r="Y115" i="31"/>
  <c r="X167" i="31"/>
  <c r="Y167" i="31"/>
  <c r="X293" i="31"/>
  <c r="Y293" i="31"/>
  <c r="X303" i="31"/>
  <c r="Y303" i="31"/>
  <c r="Y370" i="31"/>
  <c r="X370" i="31"/>
  <c r="X450" i="31"/>
  <c r="Y450" i="31"/>
  <c r="X521" i="31"/>
  <c r="Y521" i="31"/>
  <c r="X569" i="31"/>
  <c r="Y569" i="31"/>
  <c r="Y32" i="31"/>
  <c r="X32" i="31"/>
  <c r="AB322" i="32"/>
  <c r="AA322" i="32"/>
  <c r="X15" i="31"/>
  <c r="Y15" i="31"/>
  <c r="AB69" i="32"/>
  <c r="AA69" i="32"/>
  <c r="AA551" i="32"/>
  <c r="AB551" i="32"/>
  <c r="AB354" i="32"/>
  <c r="AA354" i="32"/>
  <c r="AB170" i="32"/>
  <c r="AA170" i="32"/>
  <c r="AA346" i="32"/>
  <c r="AB346" i="32"/>
  <c r="AB106" i="32"/>
  <c r="AA106" i="32"/>
  <c r="AB396" i="32"/>
  <c r="AA396" i="32"/>
  <c r="AB537" i="32"/>
  <c r="AA537" i="32"/>
  <c r="AA166" i="32"/>
  <c r="AB166" i="32"/>
  <c r="AA608" i="32"/>
  <c r="AB608" i="32"/>
  <c r="AA156" i="32"/>
  <c r="AB156" i="32"/>
  <c r="AA418" i="32"/>
  <c r="AB418" i="32"/>
  <c r="AB37" i="32"/>
  <c r="AA37" i="32"/>
  <c r="AA272" i="32"/>
  <c r="AB272" i="32"/>
  <c r="AA459" i="32"/>
  <c r="AB459" i="32"/>
  <c r="AB305" i="32"/>
  <c r="AA305" i="32"/>
  <c r="AA493" i="32"/>
  <c r="AB493" i="32"/>
  <c r="AA108" i="32"/>
  <c r="AB108" i="32"/>
  <c r="AB147" i="32"/>
  <c r="AA147" i="32"/>
  <c r="AA134" i="32"/>
  <c r="AB134" i="32"/>
  <c r="AB223" i="32"/>
  <c r="AA223" i="32"/>
  <c r="AA277" i="32"/>
  <c r="AB277" i="32"/>
  <c r="AB399" i="32"/>
  <c r="AA399" i="32"/>
  <c r="AB330" i="32"/>
  <c r="AA330" i="32"/>
  <c r="AB529" i="32"/>
  <c r="AA529" i="32"/>
  <c r="AA563" i="32"/>
  <c r="AB563" i="32"/>
  <c r="AA100" i="32"/>
  <c r="AB100" i="32"/>
  <c r="AA117" i="32"/>
  <c r="AB117" i="32"/>
  <c r="AA132" i="32"/>
  <c r="AB132" i="32"/>
  <c r="AA303" i="32"/>
  <c r="AB303" i="32"/>
  <c r="AA197" i="32"/>
  <c r="AB197" i="32"/>
  <c r="AB414" i="32"/>
  <c r="AA414" i="32"/>
  <c r="AA370" i="32"/>
  <c r="AB370" i="32"/>
  <c r="AA471" i="32"/>
  <c r="AB471" i="32"/>
  <c r="AA526" i="32"/>
  <c r="AB526" i="32"/>
  <c r="AB548" i="32"/>
  <c r="AA548" i="32"/>
  <c r="AA64" i="32"/>
  <c r="AB64" i="32"/>
  <c r="AB121" i="32"/>
  <c r="AA121" i="32"/>
  <c r="AB120" i="32"/>
  <c r="AA120" i="32"/>
  <c r="AB177" i="32"/>
  <c r="AA177" i="32"/>
  <c r="AB239" i="32"/>
  <c r="AA239" i="32"/>
  <c r="AB476" i="32"/>
  <c r="AA476" i="32"/>
  <c r="AA327" i="32"/>
  <c r="AB327" i="32"/>
  <c r="AA524" i="32"/>
  <c r="AB524" i="32"/>
  <c r="AA544" i="32"/>
  <c r="AB544" i="32"/>
  <c r="AB49" i="32"/>
  <c r="AA49" i="32"/>
  <c r="AB189" i="32"/>
  <c r="AA189" i="32"/>
  <c r="AB201" i="32"/>
  <c r="AA201" i="32"/>
  <c r="AA273" i="32"/>
  <c r="AB273" i="32"/>
  <c r="AA257" i="32"/>
  <c r="AB257" i="32"/>
  <c r="AB478" i="32"/>
  <c r="AA478" i="32"/>
  <c r="AB438" i="32"/>
  <c r="AA438" i="32"/>
  <c r="AB604" i="32"/>
  <c r="AA604" i="32"/>
  <c r="AB600" i="32"/>
  <c r="AA600" i="32"/>
  <c r="AA613" i="32"/>
  <c r="AB613" i="32"/>
  <c r="AA57" i="32"/>
  <c r="AB57" i="32"/>
  <c r="AA128" i="32"/>
  <c r="AB128" i="32"/>
  <c r="AA140" i="32"/>
  <c r="AB140" i="32"/>
  <c r="AB195" i="32"/>
  <c r="AA195" i="32"/>
  <c r="AA264" i="32"/>
  <c r="AB264" i="32"/>
  <c r="AB328" i="32"/>
  <c r="AA328" i="32"/>
  <c r="AA367" i="32"/>
  <c r="AB367" i="32"/>
  <c r="AB545" i="32"/>
  <c r="AA545" i="32"/>
  <c r="AA558" i="32"/>
  <c r="AB558" i="32"/>
  <c r="AB17" i="32"/>
  <c r="AA17" i="32"/>
  <c r="AB234" i="32"/>
  <c r="AA234" i="32"/>
  <c r="AB274" i="32"/>
  <c r="AA274" i="32"/>
  <c r="AB286" i="32"/>
  <c r="AA286" i="32"/>
  <c r="AB270" i="32"/>
  <c r="AA270" i="32"/>
  <c r="AB321" i="32"/>
  <c r="AA321" i="32"/>
  <c r="AA443" i="32"/>
  <c r="AB443" i="32"/>
  <c r="AA488" i="32"/>
  <c r="AB488" i="32"/>
  <c r="AB457" i="32"/>
  <c r="AA457" i="32"/>
  <c r="U623" i="31"/>
  <c r="V623" i="31"/>
  <c r="U71" i="31"/>
  <c r="V71" i="31"/>
  <c r="U228" i="31"/>
  <c r="V228" i="31"/>
  <c r="U421" i="31"/>
  <c r="V421" i="31"/>
  <c r="V91" i="31"/>
  <c r="U91" i="31"/>
  <c r="Y141" i="32"/>
  <c r="X141" i="32"/>
  <c r="V509" i="31"/>
  <c r="U509" i="31"/>
  <c r="V432" i="31"/>
  <c r="U432" i="31"/>
  <c r="U475" i="31"/>
  <c r="V475" i="31"/>
  <c r="U174" i="31"/>
  <c r="V174" i="31"/>
  <c r="U595" i="31"/>
  <c r="V595" i="31"/>
  <c r="U431" i="31"/>
  <c r="V431" i="31"/>
  <c r="U290" i="31"/>
  <c r="V290" i="31"/>
  <c r="Y221" i="32"/>
  <c r="X221" i="32"/>
  <c r="Y337" i="32"/>
  <c r="X337" i="32"/>
  <c r="Y309" i="32"/>
  <c r="X309" i="32"/>
  <c r="Y55" i="32"/>
  <c r="X55" i="32"/>
  <c r="Y34" i="32"/>
  <c r="X34" i="32"/>
  <c r="Y324" i="32"/>
  <c r="X324" i="32"/>
  <c r="Y252" i="32"/>
  <c r="X252" i="32"/>
  <c r="Y28" i="32"/>
  <c r="X28" i="32"/>
  <c r="X389" i="32"/>
  <c r="Y389" i="32"/>
  <c r="Y169" i="32"/>
  <c r="X169" i="32"/>
  <c r="Y591" i="32"/>
  <c r="X591" i="32"/>
  <c r="X168" i="32"/>
  <c r="Y168" i="32"/>
  <c r="Y529" i="32"/>
  <c r="X529" i="32"/>
  <c r="Y587" i="31"/>
  <c r="X587" i="31"/>
  <c r="Y406" i="31"/>
  <c r="X406" i="31"/>
  <c r="Y469" i="31"/>
  <c r="X469" i="31"/>
  <c r="Y76" i="31"/>
  <c r="X76" i="31"/>
  <c r="X204" i="31"/>
  <c r="Y204" i="31"/>
  <c r="X382" i="31"/>
  <c r="Y382" i="31"/>
  <c r="Y368" i="31"/>
  <c r="X368" i="31"/>
  <c r="Y224" i="31"/>
  <c r="X224" i="31"/>
  <c r="X112" i="31"/>
  <c r="Y112" i="31"/>
  <c r="Y437" i="31"/>
  <c r="X437" i="31"/>
  <c r="Y276" i="31"/>
  <c r="X276" i="31"/>
  <c r="Y134" i="31"/>
  <c r="X134" i="31"/>
  <c r="Y459" i="31"/>
  <c r="X459" i="31"/>
  <c r="Y165" i="31"/>
  <c r="X165" i="31"/>
  <c r="V49" i="31"/>
  <c r="U49" i="31"/>
  <c r="V92" i="31"/>
  <c r="U92" i="31"/>
  <c r="V449" i="31"/>
  <c r="U449" i="31"/>
  <c r="V434" i="31"/>
  <c r="U434" i="31"/>
  <c r="U551" i="31"/>
  <c r="V551" i="31"/>
  <c r="V245" i="31"/>
  <c r="U245" i="31"/>
  <c r="V332" i="31"/>
  <c r="U332" i="31"/>
  <c r="V581" i="31"/>
  <c r="U581" i="31"/>
  <c r="U610" i="31"/>
  <c r="V610" i="31"/>
  <c r="V499" i="31"/>
  <c r="U499" i="31"/>
  <c r="V76" i="31"/>
  <c r="U76" i="31"/>
  <c r="V273" i="31"/>
  <c r="U273" i="31"/>
  <c r="U134" i="31"/>
  <c r="V134" i="31"/>
  <c r="V382" i="31"/>
  <c r="U382" i="31"/>
  <c r="V115" i="31"/>
  <c r="U115" i="31"/>
  <c r="U319" i="31"/>
  <c r="V319" i="31"/>
  <c r="Y210" i="32"/>
  <c r="X210" i="32"/>
  <c r="Y165" i="32"/>
  <c r="X165" i="32"/>
  <c r="Y119" i="32"/>
  <c r="X119" i="32"/>
  <c r="Y189" i="32"/>
  <c r="X189" i="32"/>
  <c r="Y128" i="32"/>
  <c r="X128" i="32"/>
  <c r="V335" i="31"/>
  <c r="U335" i="31"/>
  <c r="U301" i="31"/>
  <c r="V301" i="31"/>
  <c r="V64" i="31"/>
  <c r="U64" i="31"/>
  <c r="U195" i="31"/>
  <c r="V195" i="31"/>
  <c r="V497" i="31"/>
  <c r="U497" i="31"/>
  <c r="V184" i="31"/>
  <c r="U184" i="31"/>
  <c r="V500" i="31"/>
  <c r="U500" i="31"/>
  <c r="U445" i="31"/>
  <c r="V445" i="31"/>
  <c r="V248" i="31"/>
  <c r="U248" i="31"/>
  <c r="U485" i="31"/>
  <c r="V485" i="31"/>
  <c r="V334" i="31"/>
  <c r="U334" i="31"/>
  <c r="V135" i="31"/>
  <c r="U135" i="31"/>
  <c r="V436" i="31"/>
  <c r="U436" i="31"/>
  <c r="V219" i="31"/>
  <c r="U219" i="31"/>
  <c r="V491" i="31"/>
  <c r="U491" i="31"/>
  <c r="Y577" i="32"/>
  <c r="X577" i="32"/>
  <c r="V42" i="31"/>
  <c r="U42" i="31"/>
  <c r="Y306" i="32"/>
  <c r="X306" i="32"/>
  <c r="X159" i="32"/>
  <c r="Y159" i="32"/>
  <c r="Y458" i="32"/>
  <c r="X458" i="32"/>
  <c r="Y158" i="32"/>
  <c r="X158" i="32"/>
  <c r="X468" i="32"/>
  <c r="Y468" i="32"/>
  <c r="X419" i="32"/>
  <c r="Y419" i="32"/>
  <c r="Y78" i="32"/>
  <c r="X78" i="32"/>
  <c r="Y235" i="32"/>
  <c r="X235" i="32"/>
  <c r="Y87" i="32"/>
  <c r="X87" i="32"/>
  <c r="Y385" i="32"/>
  <c r="X385" i="32"/>
  <c r="X118" i="32"/>
  <c r="Y118" i="32"/>
  <c r="Y509" i="32"/>
  <c r="X509" i="32"/>
  <c r="Y508" i="31"/>
  <c r="X508" i="31"/>
  <c r="V77" i="31"/>
  <c r="U77" i="31"/>
  <c r="V418" i="31"/>
  <c r="U418" i="31"/>
  <c r="V142" i="31"/>
  <c r="U142" i="31"/>
  <c r="V468" i="31"/>
  <c r="U468" i="31"/>
  <c r="V368" i="31"/>
  <c r="U368" i="31"/>
  <c r="U47" i="31"/>
  <c r="V47" i="31"/>
  <c r="V600" i="31"/>
  <c r="U600" i="31"/>
  <c r="U267" i="31"/>
  <c r="V267" i="31"/>
  <c r="V119" i="31"/>
  <c r="U119" i="31"/>
  <c r="U296" i="31"/>
  <c r="V296" i="31"/>
  <c r="V494" i="31"/>
  <c r="U494" i="31"/>
  <c r="U32" i="31"/>
  <c r="V32" i="31"/>
  <c r="V143" i="31"/>
  <c r="U143" i="31"/>
  <c r="V264" i="31"/>
  <c r="U264" i="31"/>
  <c r="V508" i="31"/>
  <c r="U508" i="31"/>
  <c r="V14" i="31"/>
  <c r="U14" i="31"/>
  <c r="U223" i="31"/>
  <c r="V223" i="31"/>
  <c r="U393" i="31"/>
  <c r="V393" i="31"/>
  <c r="U65" i="31"/>
  <c r="V65" i="31"/>
  <c r="V206" i="31"/>
  <c r="U206" i="31"/>
  <c r="U316" i="31"/>
  <c r="V316" i="31"/>
  <c r="V533" i="31"/>
  <c r="U533" i="31"/>
  <c r="V118" i="31"/>
  <c r="U118" i="31"/>
  <c r="U278" i="31"/>
  <c r="V278" i="31"/>
  <c r="V465" i="31"/>
  <c r="U465" i="31"/>
  <c r="V99" i="31"/>
  <c r="U99" i="31"/>
  <c r="U201" i="31"/>
  <c r="V201" i="31"/>
  <c r="V329" i="31"/>
  <c r="U329" i="31"/>
  <c r="U303" i="31"/>
  <c r="V303" i="31"/>
  <c r="U424" i="31"/>
  <c r="V424" i="31"/>
  <c r="U528" i="31"/>
  <c r="V528" i="31"/>
  <c r="V594" i="31"/>
  <c r="U594" i="31"/>
  <c r="V95" i="31"/>
  <c r="U95" i="31"/>
  <c r="V173" i="31"/>
  <c r="U173" i="31"/>
  <c r="U271" i="31"/>
  <c r="V271" i="31"/>
  <c r="V366" i="31"/>
  <c r="U366" i="31"/>
  <c r="V469" i="31"/>
  <c r="U469" i="31"/>
  <c r="U538" i="31"/>
  <c r="V538" i="31"/>
  <c r="V36" i="31"/>
  <c r="U36" i="31"/>
  <c r="V175" i="31"/>
  <c r="U175" i="31"/>
  <c r="V222" i="31"/>
  <c r="U222" i="31"/>
  <c r="U367" i="31"/>
  <c r="V367" i="31"/>
  <c r="U427" i="31"/>
  <c r="V427" i="31"/>
  <c r="V487" i="31"/>
  <c r="U487" i="31"/>
  <c r="U575" i="31"/>
  <c r="V575" i="31"/>
  <c r="V447" i="31"/>
  <c r="U447" i="31"/>
  <c r="U495" i="31"/>
  <c r="V495" i="31"/>
  <c r="U587" i="31"/>
  <c r="V587" i="31"/>
  <c r="V139" i="31"/>
  <c r="U139" i="31"/>
  <c r="V170" i="31"/>
  <c r="U170" i="31"/>
  <c r="V275" i="31"/>
  <c r="U275" i="31"/>
  <c r="V343" i="31"/>
  <c r="U343" i="31"/>
  <c r="V433" i="31"/>
  <c r="U433" i="31"/>
  <c r="V520" i="31"/>
  <c r="U520" i="31"/>
  <c r="U604" i="31"/>
  <c r="V604" i="31"/>
  <c r="U128" i="31"/>
  <c r="V128" i="31"/>
  <c r="U164" i="31"/>
  <c r="V164" i="31"/>
  <c r="V259" i="31"/>
  <c r="U259" i="31"/>
  <c r="V293" i="31"/>
  <c r="U293" i="31"/>
  <c r="V394" i="31"/>
  <c r="U394" i="31"/>
  <c r="V438" i="31"/>
  <c r="U438" i="31"/>
  <c r="V504" i="31"/>
  <c r="U504" i="31"/>
  <c r="V576" i="31"/>
  <c r="U576" i="31"/>
  <c r="Y430" i="32"/>
  <c r="X430" i="32"/>
  <c r="U101" i="31"/>
  <c r="V101" i="31"/>
  <c r="U177" i="31"/>
  <c r="V177" i="31"/>
  <c r="V213" i="31"/>
  <c r="U213" i="31"/>
  <c r="U272" i="31"/>
  <c r="V272" i="31"/>
  <c r="U362" i="31"/>
  <c r="V362" i="31"/>
  <c r="U466" i="31"/>
  <c r="V466" i="31"/>
  <c r="U539" i="31"/>
  <c r="V539" i="31"/>
  <c r="U561" i="31"/>
  <c r="V561" i="31"/>
  <c r="V43" i="31"/>
  <c r="U43" i="31"/>
  <c r="Y231" i="32"/>
  <c r="X231" i="32"/>
  <c r="Y360" i="32"/>
  <c r="X360" i="32"/>
  <c r="Y178" i="32"/>
  <c r="X178" i="32"/>
  <c r="Y188" i="32"/>
  <c r="X188" i="32"/>
  <c r="X228" i="32"/>
  <c r="Y228" i="32"/>
  <c r="Y66" i="32"/>
  <c r="X66" i="32"/>
  <c r="Y351" i="32"/>
  <c r="X351" i="32"/>
  <c r="V50" i="31"/>
  <c r="U50" i="31"/>
  <c r="Y137" i="32"/>
  <c r="X137" i="32"/>
  <c r="X451" i="32"/>
  <c r="Y451" i="32"/>
  <c r="X112" i="32"/>
  <c r="Y112" i="32"/>
  <c r="Y401" i="32"/>
  <c r="X401" i="32"/>
  <c r="Y100" i="32"/>
  <c r="X100" i="32"/>
  <c r="Y276" i="32"/>
  <c r="X276" i="32"/>
  <c r="Y42" i="32"/>
  <c r="X42" i="32"/>
  <c r="X204" i="32"/>
  <c r="Y204" i="32"/>
  <c r="Y480" i="32"/>
  <c r="X480" i="32"/>
  <c r="Y22" i="32"/>
  <c r="X22" i="32"/>
  <c r="X74" i="32"/>
  <c r="Y74" i="32"/>
  <c r="Y143" i="32"/>
  <c r="X143" i="32"/>
  <c r="Y283" i="32"/>
  <c r="X283" i="32"/>
  <c r="Y310" i="32"/>
  <c r="X310" i="32"/>
  <c r="X373" i="32"/>
  <c r="Y373" i="32"/>
  <c r="Y462" i="32"/>
  <c r="X462" i="32"/>
  <c r="Y579" i="32"/>
  <c r="X579" i="32"/>
  <c r="X116" i="32"/>
  <c r="Y116" i="32"/>
  <c r="Y76" i="32"/>
  <c r="X76" i="32"/>
  <c r="X125" i="32"/>
  <c r="Y125" i="32"/>
  <c r="Y286" i="32"/>
  <c r="X286" i="32"/>
  <c r="Y402" i="32"/>
  <c r="X402" i="32"/>
  <c r="Y249" i="32"/>
  <c r="X249" i="32"/>
  <c r="Y433" i="32"/>
  <c r="X433" i="32"/>
  <c r="Y359" i="32"/>
  <c r="X359" i="32"/>
  <c r="X551" i="32"/>
  <c r="Y551" i="32"/>
  <c r="Y51" i="32"/>
  <c r="X51" i="32"/>
  <c r="Y129" i="32"/>
  <c r="X129" i="32"/>
  <c r="Y156" i="32"/>
  <c r="X156" i="32"/>
  <c r="Y241" i="32"/>
  <c r="X241" i="32"/>
  <c r="Y227" i="32"/>
  <c r="X227" i="32"/>
  <c r="X294" i="32"/>
  <c r="Y294" i="32"/>
  <c r="Y316" i="32"/>
  <c r="X316" i="32"/>
  <c r="Y431" i="32"/>
  <c r="X431" i="32"/>
  <c r="X508" i="32"/>
  <c r="Y508" i="32"/>
  <c r="X30" i="32"/>
  <c r="Y30" i="32"/>
  <c r="Y75" i="32"/>
  <c r="X75" i="32"/>
  <c r="X96" i="32"/>
  <c r="Y96" i="32"/>
  <c r="X322" i="32"/>
  <c r="Y322" i="32"/>
  <c r="Y304" i="32"/>
  <c r="X304" i="32"/>
  <c r="Y442" i="32"/>
  <c r="X442" i="32"/>
  <c r="X377" i="32"/>
  <c r="Y377" i="32"/>
  <c r="Y493" i="32"/>
  <c r="X493" i="32"/>
  <c r="Y558" i="32"/>
  <c r="X558" i="32"/>
  <c r="Y37" i="32"/>
  <c r="X37" i="32"/>
  <c r="X151" i="32"/>
  <c r="Y151" i="32"/>
  <c r="X193" i="32"/>
  <c r="Y193" i="32"/>
  <c r="X216" i="32"/>
  <c r="Y216" i="32"/>
  <c r="Y206" i="32"/>
  <c r="X206" i="32"/>
  <c r="Y416" i="32"/>
  <c r="X416" i="32"/>
  <c r="X443" i="32"/>
  <c r="Y443" i="32"/>
  <c r="X545" i="32"/>
  <c r="Y545" i="32"/>
  <c r="Y523" i="32"/>
  <c r="X523" i="32"/>
  <c r="Y47" i="32"/>
  <c r="X47" i="32"/>
  <c r="Y157" i="32"/>
  <c r="X157" i="32"/>
  <c r="Y253" i="32"/>
  <c r="X253" i="32"/>
  <c r="Y223" i="32"/>
  <c r="X223" i="32"/>
  <c r="Y211" i="32"/>
  <c r="X211" i="32"/>
  <c r="Y439" i="32"/>
  <c r="X439" i="32"/>
  <c r="X456" i="32"/>
  <c r="Y456" i="32"/>
  <c r="Y557" i="32"/>
  <c r="X557" i="32"/>
  <c r="X525" i="32"/>
  <c r="Y525" i="32"/>
  <c r="X547" i="32"/>
  <c r="Y547" i="32"/>
  <c r="X520" i="32"/>
  <c r="Y520" i="32"/>
  <c r="X594" i="32"/>
  <c r="Y594" i="32"/>
  <c r="X556" i="32"/>
  <c r="Y556" i="32"/>
  <c r="Y628" i="31"/>
  <c r="X628" i="31"/>
  <c r="Y70" i="31"/>
  <c r="X70" i="31"/>
  <c r="Y36" i="31"/>
  <c r="X36" i="31"/>
  <c r="Y460" i="31"/>
  <c r="X460" i="31"/>
  <c r="X331" i="31"/>
  <c r="Y331" i="31"/>
  <c r="X341" i="31"/>
  <c r="Y341" i="31"/>
  <c r="Y28" i="31"/>
  <c r="X28" i="31"/>
  <c r="X296" i="31"/>
  <c r="Y296" i="31"/>
  <c r="Y179" i="31"/>
  <c r="X179" i="31"/>
  <c r="Y590" i="31"/>
  <c r="X590" i="31"/>
  <c r="Y390" i="31"/>
  <c r="X390" i="31"/>
  <c r="Y19" i="31"/>
  <c r="X19" i="31"/>
  <c r="Y425" i="31"/>
  <c r="X425" i="31"/>
  <c r="X193" i="31"/>
  <c r="Y193" i="31"/>
  <c r="X372" i="31"/>
  <c r="Y372" i="31"/>
  <c r="Y533" i="31"/>
  <c r="X533" i="31"/>
  <c r="Y67" i="31"/>
  <c r="X67" i="31"/>
  <c r="Y211" i="31"/>
  <c r="X211" i="31"/>
  <c r="Y362" i="31"/>
  <c r="X362" i="31"/>
  <c r="Y534" i="31"/>
  <c r="X534" i="31"/>
  <c r="X123" i="31"/>
  <c r="Y123" i="31"/>
  <c r="Y259" i="31"/>
  <c r="X259" i="31"/>
  <c r="Y457" i="31"/>
  <c r="X457" i="31"/>
  <c r="Y57" i="31"/>
  <c r="X57" i="31"/>
  <c r="Y58" i="31"/>
  <c r="X58" i="31"/>
  <c r="X238" i="31"/>
  <c r="Y238" i="31"/>
  <c r="X405" i="31"/>
  <c r="Y405" i="31"/>
  <c r="Y591" i="31"/>
  <c r="X591" i="31"/>
  <c r="Y98" i="31"/>
  <c r="X98" i="31"/>
  <c r="Y294" i="31"/>
  <c r="X294" i="31"/>
  <c r="X463" i="31"/>
  <c r="Y463" i="31"/>
  <c r="Y73" i="31"/>
  <c r="X73" i="31"/>
  <c r="Y110" i="31"/>
  <c r="X110" i="31"/>
  <c r="X216" i="31"/>
  <c r="Y216" i="31"/>
  <c r="Y327" i="31"/>
  <c r="X327" i="31"/>
  <c r="X377" i="31"/>
  <c r="Y377" i="31"/>
  <c r="X481" i="31"/>
  <c r="Y481" i="31"/>
  <c r="X557" i="31"/>
  <c r="Y557" i="31"/>
  <c r="X104" i="31"/>
  <c r="Y104" i="31"/>
  <c r="X182" i="31"/>
  <c r="Y182" i="31"/>
  <c r="Y318" i="31"/>
  <c r="X318" i="31"/>
  <c r="Y292" i="31"/>
  <c r="X292" i="31"/>
  <c r="X429" i="31"/>
  <c r="Y429" i="31"/>
  <c r="X547" i="31"/>
  <c r="Y547" i="31"/>
  <c r="Y598" i="31"/>
  <c r="X598" i="31"/>
  <c r="X92" i="31"/>
  <c r="Y92" i="31"/>
  <c r="Y178" i="31"/>
  <c r="X178" i="31"/>
  <c r="X260" i="31"/>
  <c r="Y260" i="31"/>
  <c r="X373" i="31"/>
  <c r="Y373" i="31"/>
  <c r="Y496" i="31"/>
  <c r="X496" i="31"/>
  <c r="Y553" i="31"/>
  <c r="X553" i="31"/>
  <c r="X24" i="31"/>
  <c r="Y24" i="31"/>
  <c r="Y172" i="31"/>
  <c r="X172" i="31"/>
  <c r="Y245" i="31"/>
  <c r="X245" i="31"/>
  <c r="Y337" i="31"/>
  <c r="X337" i="31"/>
  <c r="Y417" i="31"/>
  <c r="X417" i="31"/>
  <c r="X485" i="31"/>
  <c r="Y485" i="31"/>
  <c r="Y573" i="31"/>
  <c r="X573" i="31"/>
  <c r="Y90" i="31"/>
  <c r="X90" i="31"/>
  <c r="Y197" i="31"/>
  <c r="X197" i="31"/>
  <c r="X244" i="31"/>
  <c r="Y244" i="31"/>
  <c r="X284" i="31"/>
  <c r="Y284" i="31"/>
  <c r="X351" i="31"/>
  <c r="Y351" i="31"/>
  <c r="X426" i="31"/>
  <c r="Y426" i="31"/>
  <c r="X482" i="31"/>
  <c r="Y482" i="31"/>
  <c r="X566" i="31"/>
  <c r="Y566" i="31"/>
  <c r="Y48" i="31"/>
  <c r="X48" i="31"/>
  <c r="Y108" i="31"/>
  <c r="X108" i="31"/>
  <c r="Y176" i="31"/>
  <c r="X176" i="31"/>
  <c r="X289" i="31"/>
  <c r="Y289" i="31"/>
  <c r="Y304" i="31"/>
  <c r="X304" i="31"/>
  <c r="Y389" i="31"/>
  <c r="X389" i="31"/>
  <c r="Y440" i="31"/>
  <c r="X440" i="31"/>
  <c r="Y515" i="31"/>
  <c r="X515" i="31"/>
  <c r="Y576" i="31"/>
  <c r="X576" i="31"/>
  <c r="X31" i="31"/>
  <c r="Y31" i="31"/>
  <c r="AB136" i="32"/>
  <c r="AA136" i="32"/>
  <c r="Y55" i="31"/>
  <c r="X55" i="31"/>
  <c r="AB280" i="32"/>
  <c r="AA280" i="32"/>
  <c r="AB244" i="32"/>
  <c r="AA244" i="32"/>
  <c r="AA429" i="32"/>
  <c r="AB429" i="32"/>
  <c r="AA261" i="32"/>
  <c r="AB261" i="32"/>
  <c r="AA458" i="32"/>
  <c r="AB458" i="32"/>
  <c r="AB317" i="32"/>
  <c r="AA317" i="32"/>
  <c r="AA349" i="32"/>
  <c r="AB349" i="32"/>
  <c r="AB27" i="32"/>
  <c r="AA27" i="32"/>
  <c r="AA220" i="32"/>
  <c r="AB220" i="32"/>
  <c r="AB570" i="32"/>
  <c r="AA570" i="32"/>
  <c r="AB101" i="32"/>
  <c r="AA101" i="32"/>
  <c r="AA435" i="32"/>
  <c r="AB435" i="32"/>
  <c r="AA62" i="32"/>
  <c r="AB62" i="32"/>
  <c r="AB290" i="32"/>
  <c r="AA290" i="32"/>
  <c r="AA586" i="32"/>
  <c r="AB586" i="32"/>
  <c r="AB243" i="32"/>
  <c r="AA243" i="32"/>
  <c r="AA564" i="32"/>
  <c r="AB564" i="32"/>
  <c r="AB35" i="32"/>
  <c r="AA35" i="32"/>
  <c r="AB541" i="32"/>
  <c r="AA541" i="32"/>
  <c r="AA269" i="32"/>
  <c r="AB269" i="32"/>
  <c r="AA291" i="32"/>
  <c r="AB291" i="32"/>
  <c r="AB185" i="32"/>
  <c r="AA185" i="32"/>
  <c r="AA358" i="32"/>
  <c r="AB358" i="32"/>
  <c r="AB362" i="32"/>
  <c r="AA362" i="32"/>
  <c r="AB585" i="32"/>
  <c r="AA585" i="32"/>
  <c r="AA506" i="32"/>
  <c r="AB506" i="32"/>
  <c r="AB169" i="32"/>
  <c r="AA169" i="32"/>
  <c r="AA161" i="32"/>
  <c r="AB161" i="32"/>
  <c r="AA174" i="32"/>
  <c r="AB174" i="32"/>
  <c r="AB253" i="32"/>
  <c r="AA253" i="32"/>
  <c r="AB237" i="32"/>
  <c r="AA237" i="32"/>
  <c r="AA442" i="32"/>
  <c r="AB442" i="32"/>
  <c r="AB433" i="32"/>
  <c r="AA433" i="32"/>
  <c r="AB575" i="32"/>
  <c r="AA575" i="32"/>
  <c r="AB582" i="32"/>
  <c r="AA582" i="32"/>
  <c r="AA602" i="32"/>
  <c r="AB602" i="32"/>
  <c r="AB122" i="32"/>
  <c r="AA122" i="32"/>
  <c r="AB279" i="32"/>
  <c r="AA279" i="32"/>
  <c r="AB194" i="32"/>
  <c r="AA194" i="32"/>
  <c r="AB255" i="32"/>
  <c r="AA255" i="32"/>
  <c r="AB312" i="32"/>
  <c r="AA312" i="32"/>
  <c r="AA383" i="32"/>
  <c r="AB383" i="32"/>
  <c r="AB394" i="32"/>
  <c r="AA394" i="32"/>
  <c r="AA577" i="32"/>
  <c r="AB577" i="32"/>
  <c r="AB607" i="32"/>
  <c r="AA607" i="32"/>
  <c r="AA256" i="32"/>
  <c r="AB256" i="32"/>
  <c r="AA70" i="32"/>
  <c r="AB70" i="32"/>
  <c r="AA82" i="32"/>
  <c r="AB82" i="32"/>
  <c r="AB407" i="32"/>
  <c r="AA407" i="32"/>
  <c r="AB199" i="32"/>
  <c r="AA199" i="32"/>
  <c r="AB340" i="32"/>
  <c r="AA340" i="32"/>
  <c r="AB573" i="32"/>
  <c r="AA573" i="32"/>
  <c r="AB511" i="32"/>
  <c r="AA511" i="32"/>
  <c r="AB501" i="32"/>
  <c r="AA501" i="32"/>
  <c r="AB28" i="32"/>
  <c r="AA28" i="32"/>
  <c r="AB158" i="32"/>
  <c r="AA158" i="32"/>
  <c r="AB294" i="32"/>
  <c r="AA294" i="32"/>
  <c r="AA296" i="32"/>
  <c r="AB296" i="32"/>
  <c r="AB260" i="32"/>
  <c r="AA260" i="32"/>
  <c r="AA359" i="32"/>
  <c r="AB359" i="32"/>
  <c r="AA392" i="32"/>
  <c r="AB392" i="32"/>
  <c r="AB410" i="32"/>
  <c r="AA410" i="32"/>
  <c r="AB612" i="32"/>
  <c r="AA612" i="32"/>
  <c r="AA449" i="32"/>
  <c r="AB449" i="32"/>
  <c r="AB34" i="32"/>
  <c r="AA34" i="32"/>
  <c r="AB119" i="32"/>
  <c r="AA119" i="32"/>
  <c r="AB107" i="32"/>
  <c r="AA107" i="32"/>
  <c r="AA207" i="32"/>
  <c r="AB207" i="32"/>
  <c r="AB213" i="32"/>
  <c r="AA213" i="32"/>
  <c r="AA347" i="32"/>
  <c r="AB347" i="32"/>
  <c r="AB590" i="32"/>
  <c r="AA590" i="32"/>
  <c r="AB515" i="32"/>
  <c r="AA515" i="32"/>
  <c r="AA533" i="32"/>
  <c r="AB533" i="32"/>
  <c r="V529" i="31"/>
  <c r="U529" i="31"/>
  <c r="V202" i="31"/>
  <c r="U202" i="31"/>
  <c r="V419" i="31"/>
  <c r="U419" i="31"/>
  <c r="V523" i="31"/>
  <c r="U523" i="31"/>
  <c r="V113" i="31"/>
  <c r="U113" i="31"/>
  <c r="V107" i="31"/>
  <c r="U107" i="31"/>
  <c r="V531" i="31"/>
  <c r="U531" i="31"/>
  <c r="U279" i="31"/>
  <c r="V279" i="31"/>
  <c r="U384" i="31"/>
  <c r="V384" i="31"/>
  <c r="V347" i="31"/>
  <c r="U347" i="31"/>
  <c r="V249" i="31"/>
  <c r="U249" i="31"/>
  <c r="V27" i="31"/>
  <c r="U27" i="31"/>
  <c r="U397" i="31"/>
  <c r="V397" i="31"/>
  <c r="Y327" i="32"/>
  <c r="X327" i="32"/>
  <c r="Y113" i="32"/>
  <c r="X113" i="32"/>
  <c r="X481" i="32"/>
  <c r="Y481" i="32"/>
  <c r="X238" i="32"/>
  <c r="Y238" i="32"/>
  <c r="Y585" i="32"/>
  <c r="X585" i="32"/>
  <c r="Y393" i="32"/>
  <c r="X393" i="32"/>
  <c r="Y187" i="32"/>
  <c r="X187" i="32"/>
  <c r="Y422" i="32"/>
  <c r="X422" i="32"/>
  <c r="Y293" i="32"/>
  <c r="X293" i="32"/>
  <c r="X84" i="32"/>
  <c r="Y84" i="32"/>
  <c r="X445" i="32"/>
  <c r="Y445" i="32"/>
  <c r="X180" i="32"/>
  <c r="Y180" i="32"/>
  <c r="X605" i="32"/>
  <c r="Y605" i="32"/>
  <c r="Y562" i="32"/>
  <c r="X562" i="32"/>
  <c r="X147" i="31"/>
  <c r="Y147" i="31"/>
  <c r="X413" i="31"/>
  <c r="Y413" i="31"/>
  <c r="Y348" i="31"/>
  <c r="X348" i="31"/>
  <c r="Y503" i="31"/>
  <c r="X503" i="31"/>
  <c r="Y75" i="31"/>
  <c r="X75" i="31"/>
  <c r="X222" i="31"/>
  <c r="Y222" i="31"/>
  <c r="Y258" i="31"/>
  <c r="X258" i="31"/>
  <c r="Y25" i="31"/>
  <c r="X25" i="31"/>
  <c r="Y489" i="31"/>
  <c r="X489" i="31"/>
  <c r="X300" i="31"/>
  <c r="Y300" i="31"/>
  <c r="Y116" i="31"/>
  <c r="X116" i="31"/>
  <c r="Y564" i="31"/>
  <c r="X564" i="31"/>
  <c r="Y338" i="31"/>
  <c r="X338" i="31"/>
  <c r="Y596" i="31"/>
  <c r="X596" i="31"/>
  <c r="V291" i="31"/>
  <c r="U291" i="31"/>
  <c r="V441" i="31"/>
  <c r="U441" i="31"/>
  <c r="V25" i="31"/>
  <c r="U25" i="31"/>
  <c r="V23" i="31"/>
  <c r="U23" i="31"/>
  <c r="V277" i="31"/>
  <c r="U277" i="31"/>
  <c r="U408" i="31"/>
  <c r="V408" i="31"/>
  <c r="U429" i="31"/>
  <c r="V429" i="31"/>
  <c r="V225" i="31"/>
  <c r="U225" i="31"/>
  <c r="V522" i="31"/>
  <c r="U522" i="31"/>
  <c r="V306" i="31"/>
  <c r="U306" i="31"/>
  <c r="V400" i="31"/>
  <c r="U400" i="31"/>
  <c r="V405" i="31"/>
  <c r="U405" i="31"/>
  <c r="V351" i="31"/>
  <c r="U351" i="31"/>
  <c r="V167" i="31"/>
  <c r="U167" i="31"/>
  <c r="V603" i="31"/>
  <c r="U603" i="31"/>
  <c r="Y184" i="32"/>
  <c r="X184" i="32"/>
  <c r="Y197" i="32"/>
  <c r="X197" i="32"/>
  <c r="Y86" i="32"/>
  <c r="X86" i="32"/>
  <c r="V53" i="31"/>
  <c r="U53" i="31"/>
  <c r="U20" i="31"/>
  <c r="V20" i="31"/>
  <c r="U204" i="31"/>
  <c r="V204" i="31"/>
  <c r="V474" i="31"/>
  <c r="U474" i="31"/>
  <c r="U15" i="31"/>
  <c r="V15" i="31"/>
  <c r="U288" i="31"/>
  <c r="V288" i="31"/>
  <c r="V452" i="31"/>
  <c r="U452" i="31"/>
  <c r="V414" i="31"/>
  <c r="U414" i="31"/>
  <c r="V304" i="31"/>
  <c r="U304" i="31"/>
  <c r="V137" i="31"/>
  <c r="U137" i="31"/>
  <c r="V578" i="31"/>
  <c r="U578" i="31"/>
  <c r="U161" i="31"/>
  <c r="V161" i="31"/>
  <c r="U609" i="31"/>
  <c r="V609" i="31"/>
  <c r="U292" i="31"/>
  <c r="V292" i="31"/>
  <c r="X52" i="32"/>
  <c r="Y52" i="32"/>
  <c r="V383" i="31"/>
  <c r="U383" i="31"/>
  <c r="X217" i="32"/>
  <c r="Y217" i="32"/>
  <c r="Y347" i="32"/>
  <c r="X347" i="32"/>
  <c r="X469" i="32"/>
  <c r="Y469" i="32"/>
  <c r="Y502" i="32"/>
  <c r="X502" i="32"/>
  <c r="Y234" i="32"/>
  <c r="X234" i="32"/>
  <c r="X555" i="32"/>
  <c r="Y555" i="32"/>
  <c r="Y312" i="32"/>
  <c r="X312" i="32"/>
  <c r="X192" i="32"/>
  <c r="Y192" i="32"/>
  <c r="X251" i="32"/>
  <c r="Y251" i="32"/>
  <c r="Y131" i="32"/>
  <c r="X131" i="32"/>
  <c r="Y318" i="32"/>
  <c r="X318" i="32"/>
  <c r="Y107" i="32"/>
  <c r="X107" i="32"/>
  <c r="Y507" i="32"/>
  <c r="X507" i="32"/>
  <c r="Y330" i="32"/>
  <c r="X330" i="32"/>
  <c r="X586" i="32"/>
  <c r="Y586" i="32"/>
  <c r="X77" i="31"/>
  <c r="Y77" i="31"/>
  <c r="V160" i="31"/>
  <c r="U160" i="31"/>
  <c r="U628" i="31"/>
  <c r="V628" i="31"/>
  <c r="V29" i="31"/>
  <c r="U29" i="31"/>
  <c r="V186" i="31"/>
  <c r="U186" i="31"/>
  <c r="V97" i="31"/>
  <c r="U97" i="31"/>
  <c r="V158" i="31"/>
  <c r="U158" i="31"/>
  <c r="U54" i="31"/>
  <c r="V54" i="31"/>
  <c r="V300" i="31"/>
  <c r="U300" i="31"/>
  <c r="V532" i="31"/>
  <c r="U532" i="31"/>
  <c r="V61" i="31"/>
  <c r="U61" i="31"/>
  <c r="U221" i="31"/>
  <c r="V221" i="31"/>
  <c r="V426" i="31"/>
  <c r="U426" i="31"/>
  <c r="V33" i="31"/>
  <c r="U33" i="31"/>
  <c r="U193" i="31"/>
  <c r="V193" i="31"/>
  <c r="V295" i="31"/>
  <c r="U295" i="31"/>
  <c r="V577" i="31"/>
  <c r="U577" i="31"/>
  <c r="V81" i="31"/>
  <c r="U81" i="31"/>
  <c r="U338" i="31"/>
  <c r="V338" i="31"/>
  <c r="U503" i="31"/>
  <c r="V503" i="31"/>
  <c r="V116" i="31"/>
  <c r="U116" i="31"/>
  <c r="V208" i="31"/>
  <c r="U208" i="31"/>
  <c r="V252" i="31"/>
  <c r="U252" i="31"/>
  <c r="V353" i="31"/>
  <c r="U353" i="31"/>
  <c r="U442" i="31"/>
  <c r="V442" i="31"/>
  <c r="U506" i="31"/>
  <c r="V506" i="31"/>
  <c r="V608" i="31"/>
  <c r="U608" i="31"/>
  <c r="U112" i="31"/>
  <c r="V112" i="31"/>
  <c r="V216" i="31"/>
  <c r="U216" i="31"/>
  <c r="V298" i="31"/>
  <c r="U298" i="31"/>
  <c r="V378" i="31"/>
  <c r="U378" i="31"/>
  <c r="V471" i="31"/>
  <c r="U471" i="31"/>
  <c r="V563" i="31"/>
  <c r="U563" i="31"/>
  <c r="V98" i="31"/>
  <c r="U98" i="31"/>
  <c r="V200" i="31"/>
  <c r="U200" i="31"/>
  <c r="V274" i="31"/>
  <c r="U274" i="31"/>
  <c r="U310" i="31"/>
  <c r="V310" i="31"/>
  <c r="V425" i="31"/>
  <c r="U425" i="31"/>
  <c r="V525" i="31"/>
  <c r="U525" i="31"/>
  <c r="U592" i="31"/>
  <c r="V592" i="31"/>
  <c r="U407" i="31"/>
  <c r="V407" i="31"/>
  <c r="U510" i="31"/>
  <c r="V510" i="31"/>
  <c r="V585" i="31"/>
  <c r="U585" i="31"/>
  <c r="U85" i="31"/>
  <c r="V85" i="31"/>
  <c r="V171" i="31"/>
  <c r="U171" i="31"/>
  <c r="U321" i="31"/>
  <c r="V321" i="31"/>
  <c r="U398" i="31"/>
  <c r="V398" i="31"/>
  <c r="V428" i="31"/>
  <c r="U428" i="31"/>
  <c r="U515" i="31"/>
  <c r="V515" i="31"/>
  <c r="V35" i="31"/>
  <c r="U35" i="31"/>
  <c r="U121" i="31"/>
  <c r="V121" i="31"/>
  <c r="U165" i="31"/>
  <c r="V165" i="31"/>
  <c r="U260" i="31"/>
  <c r="V260" i="31"/>
  <c r="U294" i="31"/>
  <c r="V294" i="31"/>
  <c r="U396" i="31"/>
  <c r="V396" i="31"/>
  <c r="U461" i="31"/>
  <c r="V461" i="31"/>
  <c r="U514" i="31"/>
  <c r="V514" i="31"/>
  <c r="U591" i="31"/>
  <c r="V591" i="31"/>
  <c r="X50" i="32"/>
  <c r="Y50" i="32"/>
  <c r="V102" i="31"/>
  <c r="U102" i="31"/>
  <c r="V162" i="31"/>
  <c r="U162" i="31"/>
  <c r="V250" i="31"/>
  <c r="U250" i="31"/>
  <c r="V322" i="31"/>
  <c r="U322" i="31"/>
  <c r="U356" i="31"/>
  <c r="V356" i="31"/>
  <c r="U453" i="31"/>
  <c r="V453" i="31"/>
  <c r="U488" i="31"/>
  <c r="V488" i="31"/>
  <c r="U557" i="31"/>
  <c r="V557" i="31"/>
  <c r="Y278" i="32"/>
  <c r="X278" i="32"/>
  <c r="Y355" i="32"/>
  <c r="X355" i="32"/>
  <c r="Y566" i="32"/>
  <c r="X566" i="32"/>
  <c r="X172" i="32"/>
  <c r="Y172" i="32"/>
  <c r="Y262" i="32"/>
  <c r="X262" i="32"/>
  <c r="X270" i="32"/>
  <c r="Y270" i="32"/>
  <c r="X134" i="32"/>
  <c r="Y134" i="32"/>
  <c r="Y403" i="32"/>
  <c r="X403" i="32"/>
  <c r="V58" i="31"/>
  <c r="U58" i="31"/>
  <c r="Y339" i="32"/>
  <c r="X339" i="32"/>
  <c r="Y515" i="32"/>
  <c r="X515" i="32"/>
  <c r="Y45" i="32"/>
  <c r="X45" i="32"/>
  <c r="Y397" i="32"/>
  <c r="X397" i="32"/>
  <c r="X53" i="32"/>
  <c r="Y53" i="32"/>
  <c r="Y358" i="32"/>
  <c r="X358" i="32"/>
  <c r="Y63" i="32"/>
  <c r="X63" i="32"/>
  <c r="Y314" i="32"/>
  <c r="X314" i="32"/>
  <c r="Y613" i="32"/>
  <c r="X613" i="32"/>
  <c r="X49" i="32"/>
  <c r="Y49" i="32"/>
  <c r="X115" i="32"/>
  <c r="Y115" i="32"/>
  <c r="X281" i="32"/>
  <c r="Y281" i="32"/>
  <c r="Y340" i="32"/>
  <c r="X340" i="32"/>
  <c r="Y244" i="32"/>
  <c r="X244" i="32"/>
  <c r="X406" i="32"/>
  <c r="Y406" i="32"/>
  <c r="X350" i="32"/>
  <c r="Y350" i="32"/>
  <c r="X533" i="32"/>
  <c r="Y533" i="32"/>
  <c r="X46" i="32"/>
  <c r="Y46" i="32"/>
  <c r="X117" i="32"/>
  <c r="Y117" i="32"/>
  <c r="Y154" i="32"/>
  <c r="X154" i="32"/>
  <c r="Y212" i="32"/>
  <c r="X212" i="32"/>
  <c r="X220" i="32"/>
  <c r="Y220" i="32"/>
  <c r="X289" i="32"/>
  <c r="Y289" i="32"/>
  <c r="Y543" i="32"/>
  <c r="X543" i="32"/>
  <c r="X412" i="32"/>
  <c r="Y412" i="32"/>
  <c r="Y492" i="32"/>
  <c r="X492" i="32"/>
  <c r="X25" i="32"/>
  <c r="Y25" i="32"/>
  <c r="X437" i="32"/>
  <c r="Y437" i="32"/>
  <c r="Y65" i="32"/>
  <c r="X65" i="32"/>
  <c r="Y315" i="32"/>
  <c r="X315" i="32"/>
  <c r="X297" i="32"/>
  <c r="Y297" i="32"/>
  <c r="X374" i="32"/>
  <c r="Y374" i="32"/>
  <c r="X375" i="32"/>
  <c r="Y375" i="32"/>
  <c r="Y491" i="32"/>
  <c r="X491" i="32"/>
  <c r="Y553" i="32"/>
  <c r="X553" i="32"/>
  <c r="X17" i="32"/>
  <c r="Y17" i="32"/>
  <c r="X147" i="32"/>
  <c r="Y147" i="32"/>
  <c r="X185" i="32"/>
  <c r="Y185" i="32"/>
  <c r="Y214" i="32"/>
  <c r="X214" i="32"/>
  <c r="Y199" i="32"/>
  <c r="X199" i="32"/>
  <c r="X409" i="32"/>
  <c r="Y409" i="32"/>
  <c r="X438" i="32"/>
  <c r="Y438" i="32"/>
  <c r="X536" i="32"/>
  <c r="Y536" i="32"/>
  <c r="Y503" i="32"/>
  <c r="X503" i="32"/>
  <c r="Y39" i="32"/>
  <c r="X39" i="32"/>
  <c r="Y271" i="32"/>
  <c r="X271" i="32"/>
  <c r="Y91" i="32"/>
  <c r="X91" i="32"/>
  <c r="Y268" i="32"/>
  <c r="X268" i="32"/>
  <c r="X282" i="32"/>
  <c r="Y282" i="32"/>
  <c r="Y352" i="32"/>
  <c r="X352" i="32"/>
  <c r="X448" i="32"/>
  <c r="Y448" i="32"/>
  <c r="Y598" i="32"/>
  <c r="X598" i="32"/>
  <c r="Y581" i="32"/>
  <c r="X581" i="32"/>
  <c r="Y41" i="32"/>
  <c r="X41" i="32"/>
  <c r="Y303" i="32"/>
  <c r="X303" i="32"/>
  <c r="Y101" i="32"/>
  <c r="X101" i="32"/>
  <c r="Y291" i="32"/>
  <c r="X291" i="32"/>
  <c r="Y299" i="32"/>
  <c r="X299" i="32"/>
  <c r="Y353" i="32"/>
  <c r="X353" i="32"/>
  <c r="Y454" i="32"/>
  <c r="X454" i="32"/>
  <c r="Y608" i="32"/>
  <c r="X608" i="32"/>
  <c r="X602" i="32"/>
  <c r="Y602" i="32"/>
  <c r="Y483" i="32"/>
  <c r="X483" i="32"/>
  <c r="Y565" i="32"/>
  <c r="X565" i="32"/>
  <c r="Y522" i="32"/>
  <c r="X522" i="32"/>
  <c r="X609" i="32"/>
  <c r="Y609" i="32"/>
  <c r="Y626" i="31"/>
  <c r="X626" i="31"/>
  <c r="X158" i="31"/>
  <c r="Y158" i="31"/>
  <c r="Y26" i="31"/>
  <c r="X26" i="31"/>
  <c r="Y512" i="31"/>
  <c r="X512" i="31"/>
  <c r="Y467" i="31"/>
  <c r="X467" i="31"/>
  <c r="Y367" i="31"/>
  <c r="X367" i="31"/>
  <c r="Y66" i="31"/>
  <c r="X66" i="31"/>
  <c r="X396" i="31"/>
  <c r="Y396" i="31"/>
  <c r="Y194" i="31"/>
  <c r="X194" i="31"/>
  <c r="Y225" i="31"/>
  <c r="X225" i="31"/>
  <c r="X432" i="31"/>
  <c r="Y432" i="31"/>
  <c r="Y20" i="31"/>
  <c r="X20" i="31"/>
  <c r="Y507" i="31"/>
  <c r="X507" i="31"/>
  <c r="X229" i="31"/>
  <c r="Y229" i="31"/>
  <c r="Y376" i="31"/>
  <c r="X376" i="31"/>
  <c r="Y560" i="31"/>
  <c r="X560" i="31"/>
  <c r="Y74" i="31"/>
  <c r="X74" i="31"/>
  <c r="X215" i="31"/>
  <c r="Y215" i="31"/>
  <c r="Y401" i="31"/>
  <c r="X401" i="31"/>
  <c r="Y561" i="31"/>
  <c r="X561" i="31"/>
  <c r="Y86" i="31"/>
  <c r="X86" i="31"/>
  <c r="Y311" i="31"/>
  <c r="X311" i="31"/>
  <c r="Y454" i="31"/>
  <c r="X454" i="31"/>
  <c r="Y54" i="31"/>
  <c r="X54" i="31"/>
  <c r="X34" i="31"/>
  <c r="Y34" i="31"/>
  <c r="Y254" i="31"/>
  <c r="X254" i="31"/>
  <c r="X430" i="31"/>
  <c r="Y430" i="31"/>
  <c r="Y592" i="31"/>
  <c r="X592" i="31"/>
  <c r="X124" i="31"/>
  <c r="Y124" i="31"/>
  <c r="X291" i="31"/>
  <c r="Y291" i="31"/>
  <c r="X479" i="31"/>
  <c r="Y479" i="31"/>
  <c r="Y17" i="31"/>
  <c r="X17" i="31"/>
  <c r="Y195" i="31"/>
  <c r="X195" i="31"/>
  <c r="X234" i="31"/>
  <c r="Y234" i="31"/>
  <c r="X297" i="31"/>
  <c r="Y297" i="31"/>
  <c r="Y415" i="31"/>
  <c r="X415" i="31"/>
  <c r="Y499" i="31"/>
  <c r="X499" i="31"/>
  <c r="X571" i="31"/>
  <c r="Y571" i="31"/>
  <c r="Y113" i="31"/>
  <c r="X113" i="31"/>
  <c r="X152" i="31"/>
  <c r="Y152" i="31"/>
  <c r="Y249" i="31"/>
  <c r="X249" i="31"/>
  <c r="Y357" i="31"/>
  <c r="X357" i="31"/>
  <c r="X447" i="31"/>
  <c r="Y447" i="31"/>
  <c r="X511" i="31"/>
  <c r="Y511" i="31"/>
  <c r="X109" i="31"/>
  <c r="Y109" i="31"/>
  <c r="X221" i="31"/>
  <c r="Y221" i="31"/>
  <c r="Y285" i="31"/>
  <c r="X285" i="31"/>
  <c r="Y422" i="31"/>
  <c r="X422" i="31"/>
  <c r="Y461" i="31"/>
  <c r="X461" i="31"/>
  <c r="Y549" i="31"/>
  <c r="X549" i="31"/>
  <c r="Y111" i="31"/>
  <c r="X111" i="31"/>
  <c r="Y189" i="31"/>
  <c r="X189" i="31"/>
  <c r="Y333" i="31"/>
  <c r="X333" i="31"/>
  <c r="X299" i="31"/>
  <c r="Y299" i="31"/>
  <c r="Y420" i="31"/>
  <c r="X420" i="31"/>
  <c r="Y523" i="31"/>
  <c r="X523" i="31"/>
  <c r="Y600" i="31"/>
  <c r="X600" i="31"/>
  <c r="Y83" i="31"/>
  <c r="X83" i="31"/>
  <c r="Y198" i="31"/>
  <c r="X198" i="31"/>
  <c r="Y227" i="31"/>
  <c r="X227" i="31"/>
  <c r="Y326" i="31"/>
  <c r="X326" i="31"/>
  <c r="Y369" i="31"/>
  <c r="X369" i="31"/>
  <c r="Y445" i="31"/>
  <c r="X445" i="31"/>
  <c r="Y492" i="31"/>
  <c r="X492" i="31"/>
  <c r="Y567" i="31"/>
  <c r="X567" i="31"/>
  <c r="X13" i="31"/>
  <c r="Y13" i="31"/>
  <c r="X101" i="31"/>
  <c r="Y101" i="31"/>
  <c r="X177" i="31"/>
  <c r="Y177" i="31"/>
  <c r="X240" i="31"/>
  <c r="Y240" i="31"/>
  <c r="Y313" i="31"/>
  <c r="X313" i="31"/>
  <c r="Y402" i="31"/>
  <c r="X402" i="31"/>
  <c r="X442" i="31"/>
  <c r="Y442" i="31"/>
  <c r="X501" i="31"/>
  <c r="Y501" i="31"/>
  <c r="X572" i="31"/>
  <c r="Y572" i="31"/>
  <c r="AB216" i="32"/>
  <c r="AA216" i="32"/>
  <c r="AB517" i="32"/>
  <c r="AA517" i="32"/>
  <c r="AB18" i="32"/>
  <c r="AA18" i="32"/>
  <c r="AB406" i="32"/>
  <c r="AA406" i="32"/>
  <c r="AA178" i="32"/>
  <c r="AB178" i="32"/>
  <c r="AB472" i="32"/>
  <c r="AA472" i="32"/>
  <c r="AB263" i="32"/>
  <c r="AA263" i="32"/>
  <c r="AA580" i="32"/>
  <c r="AB580" i="32"/>
  <c r="AB125" i="32"/>
  <c r="AA125" i="32"/>
  <c r="AB355" i="32"/>
  <c r="AA355" i="32"/>
  <c r="AA26" i="32"/>
  <c r="AB26" i="32"/>
  <c r="AA222" i="32"/>
  <c r="AB222" i="32"/>
  <c r="AA518" i="32"/>
  <c r="AB518" i="32"/>
  <c r="AA233" i="32"/>
  <c r="AB233" i="32"/>
  <c r="AA543" i="32"/>
  <c r="AB543" i="32"/>
  <c r="AA287" i="32"/>
  <c r="AB287" i="32"/>
  <c r="AB326" i="32"/>
  <c r="AA326" i="32"/>
  <c r="AB47" i="32"/>
  <c r="AA47" i="32"/>
  <c r="AB285" i="32"/>
  <c r="AA285" i="32"/>
  <c r="AB466" i="32"/>
  <c r="AA466" i="32"/>
  <c r="AB55" i="32"/>
  <c r="AA55" i="32"/>
  <c r="AA110" i="32"/>
  <c r="AB110" i="32"/>
  <c r="AB109" i="32"/>
  <c r="AA109" i="32"/>
  <c r="AB173" i="32"/>
  <c r="AA173" i="32"/>
  <c r="AB226" i="32"/>
  <c r="AA226" i="32"/>
  <c r="AA430" i="32"/>
  <c r="AB430" i="32"/>
  <c r="AB448" i="32"/>
  <c r="AA448" i="32"/>
  <c r="AA502" i="32"/>
  <c r="AB502" i="32"/>
  <c r="AB528" i="32"/>
  <c r="AA528" i="32"/>
  <c r="AA133" i="32"/>
  <c r="AB133" i="32"/>
  <c r="AA44" i="32"/>
  <c r="AB44" i="32"/>
  <c r="AB65" i="32"/>
  <c r="AA65" i="32"/>
  <c r="AA315" i="32"/>
  <c r="AB315" i="32"/>
  <c r="AA316" i="32"/>
  <c r="AB316" i="32"/>
  <c r="AB336" i="32"/>
  <c r="AA336" i="32"/>
  <c r="AB550" i="32"/>
  <c r="AA550" i="32"/>
  <c r="AA507" i="32"/>
  <c r="AB507" i="32"/>
  <c r="AB490" i="32"/>
  <c r="AA490" i="32"/>
  <c r="AB25" i="32"/>
  <c r="AA25" i="32"/>
  <c r="AB79" i="32"/>
  <c r="AA79" i="32"/>
  <c r="AB85" i="32"/>
  <c r="AA85" i="32"/>
  <c r="AA210" i="32"/>
  <c r="AB210" i="32"/>
  <c r="AA293" i="32"/>
  <c r="AB293" i="32"/>
  <c r="AB364" i="32"/>
  <c r="AA364" i="32"/>
  <c r="AA445" i="32"/>
  <c r="AB445" i="32"/>
  <c r="AA446" i="32"/>
  <c r="AB446" i="32"/>
  <c r="AA470" i="32"/>
  <c r="AB470" i="32"/>
  <c r="AA494" i="32"/>
  <c r="AB494" i="32"/>
  <c r="AA32" i="32"/>
  <c r="AB32" i="32"/>
  <c r="AA165" i="32"/>
  <c r="AB165" i="32"/>
  <c r="AA153" i="32"/>
  <c r="AB153" i="32"/>
  <c r="AA238" i="32"/>
  <c r="AB238" i="32"/>
  <c r="AA304" i="32"/>
  <c r="AB304" i="32"/>
  <c r="AB439" i="32"/>
  <c r="AA439" i="32"/>
  <c r="AB337" i="32"/>
  <c r="AA337" i="32"/>
  <c r="AB552" i="32"/>
  <c r="AA552" i="32"/>
  <c r="AA591" i="32"/>
  <c r="AB591" i="32"/>
  <c r="AA23" i="32"/>
  <c r="AB23" i="32"/>
  <c r="AB84" i="32"/>
  <c r="AA84" i="32"/>
  <c r="AB98" i="32"/>
  <c r="AA98" i="32"/>
  <c r="AA219" i="32"/>
  <c r="AB219" i="32"/>
  <c r="AA300" i="32"/>
  <c r="AB300" i="32"/>
  <c r="AB374" i="32"/>
  <c r="AA374" i="32"/>
  <c r="AB479" i="32"/>
  <c r="AA479" i="32"/>
  <c r="AB455" i="32"/>
  <c r="AA455" i="32"/>
  <c r="AB477" i="32"/>
  <c r="AA477" i="32"/>
  <c r="AB523" i="32"/>
  <c r="AA523" i="32"/>
  <c r="AB31" i="32"/>
  <c r="AA31" i="32"/>
  <c r="AA184" i="32"/>
  <c r="AB184" i="32"/>
  <c r="AB168" i="32"/>
  <c r="AA168" i="32"/>
  <c r="AA248" i="32"/>
  <c r="AB248" i="32"/>
  <c r="AA314" i="32"/>
  <c r="AB314" i="32"/>
  <c r="AB571" i="32"/>
  <c r="AA571" i="32"/>
  <c r="AA344" i="32"/>
  <c r="AB344" i="32"/>
  <c r="AA559" i="32"/>
  <c r="AB559" i="32"/>
  <c r="AA480" i="32"/>
  <c r="AB480" i="32"/>
  <c r="V44" i="31"/>
  <c r="U44" i="31"/>
  <c r="V39" i="31"/>
  <c r="U39" i="31"/>
  <c r="V242" i="31"/>
  <c r="U242" i="31"/>
  <c r="U451" i="31"/>
  <c r="V451" i="31"/>
  <c r="V227" i="31"/>
  <c r="U227" i="31"/>
  <c r="V212" i="31"/>
  <c r="U212" i="31"/>
  <c r="V111" i="31"/>
  <c r="U111" i="31"/>
  <c r="U236" i="31"/>
  <c r="V236" i="31"/>
  <c r="U209" i="31"/>
  <c r="V209" i="31"/>
  <c r="V562" i="31"/>
  <c r="U562" i="31"/>
  <c r="V197" i="31"/>
  <c r="U197" i="31"/>
  <c r="V593" i="31"/>
  <c r="U593" i="31"/>
  <c r="Y56" i="32"/>
  <c r="X56" i="32"/>
  <c r="Y222" i="32"/>
  <c r="X222" i="32"/>
  <c r="Y70" i="32"/>
  <c r="X70" i="32"/>
  <c r="Y415" i="32"/>
  <c r="X415" i="32"/>
  <c r="Y356" i="32"/>
  <c r="X356" i="32"/>
  <c r="X64" i="32"/>
  <c r="Y64" i="32"/>
  <c r="Y490" i="32"/>
  <c r="X490" i="32"/>
  <c r="X426" i="32"/>
  <c r="Y426" i="32"/>
  <c r="X138" i="32"/>
  <c r="Y138" i="32"/>
  <c r="X90" i="32"/>
  <c r="Y90" i="32"/>
  <c r="X450" i="32"/>
  <c r="Y450" i="32"/>
  <c r="X486" i="32"/>
  <c r="Y486" i="32"/>
  <c r="X585" i="31"/>
  <c r="Y585" i="31"/>
  <c r="X220" i="31"/>
  <c r="Y220" i="31"/>
  <c r="Y46" i="31"/>
  <c r="X46" i="31"/>
  <c r="Y223" i="31"/>
  <c r="X223" i="31"/>
  <c r="Y486" i="31"/>
  <c r="X486" i="31"/>
  <c r="Y130" i="31"/>
  <c r="X130" i="31"/>
  <c r="Y118" i="31"/>
  <c r="X118" i="31"/>
  <c r="X574" i="31"/>
  <c r="Y574" i="31"/>
  <c r="Y509" i="31"/>
  <c r="X509" i="31"/>
  <c r="Y397" i="31"/>
  <c r="X397" i="31"/>
  <c r="Y265" i="31"/>
  <c r="X265" i="31"/>
  <c r="Y121" i="31"/>
  <c r="X121" i="31"/>
  <c r="U56" i="31"/>
  <c r="V56" i="31"/>
  <c r="U22" i="31"/>
  <c r="V22" i="31"/>
  <c r="U105" i="31"/>
  <c r="V105" i="31"/>
  <c r="V130" i="31"/>
  <c r="U130" i="31"/>
  <c r="U117" i="31"/>
  <c r="V117" i="31"/>
  <c r="Y213" i="32"/>
  <c r="X213" i="32"/>
  <c r="U502" i="31"/>
  <c r="V502" i="31"/>
  <c r="U361" i="31"/>
  <c r="V361" i="31"/>
  <c r="V232" i="31"/>
  <c r="U232" i="31"/>
  <c r="U456" i="31"/>
  <c r="V456" i="31"/>
  <c r="V309" i="31"/>
  <c r="U309" i="31"/>
  <c r="U194" i="31"/>
  <c r="V194" i="31"/>
  <c r="U489" i="31"/>
  <c r="V489" i="31"/>
  <c r="V336" i="31"/>
  <c r="U336" i="31"/>
  <c r="V543" i="31"/>
  <c r="U543" i="31"/>
  <c r="X365" i="32"/>
  <c r="Y365" i="32"/>
  <c r="Y69" i="32"/>
  <c r="X69" i="32"/>
  <c r="X40" i="32"/>
  <c r="Y40" i="32"/>
  <c r="X114" i="32"/>
  <c r="Y114" i="32"/>
  <c r="V168" i="31"/>
  <c r="U168" i="31"/>
  <c r="V572" i="31"/>
  <c r="U572" i="31"/>
  <c r="V284" i="31"/>
  <c r="U284" i="31"/>
  <c r="U480" i="31"/>
  <c r="V480" i="31"/>
  <c r="V88" i="31"/>
  <c r="U88" i="31"/>
  <c r="V68" i="31"/>
  <c r="U68" i="31"/>
  <c r="V141" i="31"/>
  <c r="U141" i="31"/>
  <c r="V542" i="31"/>
  <c r="U542" i="31"/>
  <c r="V381" i="31"/>
  <c r="U381" i="31"/>
  <c r="U122" i="31"/>
  <c r="V122" i="31"/>
  <c r="V518" i="31"/>
  <c r="U518" i="31"/>
  <c r="V403" i="31"/>
  <c r="U403" i="31"/>
  <c r="V108" i="31"/>
  <c r="U108" i="31"/>
  <c r="V406" i="31"/>
  <c r="U406" i="31"/>
  <c r="X135" i="32"/>
  <c r="Y135" i="32"/>
  <c r="X408" i="32"/>
  <c r="Y408" i="32"/>
  <c r="X611" i="32"/>
  <c r="Y611" i="32"/>
  <c r="X60" i="32"/>
  <c r="Y60" i="32"/>
  <c r="Y600" i="32"/>
  <c r="X600" i="32"/>
  <c r="X285" i="32"/>
  <c r="Y285" i="32"/>
  <c r="Y79" i="32"/>
  <c r="X79" i="32"/>
  <c r="X436" i="32"/>
  <c r="Y436" i="32"/>
  <c r="X174" i="32"/>
  <c r="Y174" i="32"/>
  <c r="X460" i="32"/>
  <c r="Y460" i="32"/>
  <c r="X325" i="32"/>
  <c r="Y325" i="32"/>
  <c r="X35" i="32"/>
  <c r="Y35" i="32"/>
  <c r="Y345" i="32"/>
  <c r="X345" i="32"/>
  <c r="V613" i="31"/>
  <c r="U613" i="31"/>
  <c r="U69" i="31"/>
  <c r="V69" i="31"/>
  <c r="V244" i="31"/>
  <c r="U244" i="31"/>
  <c r="U45" i="31"/>
  <c r="V45" i="31"/>
  <c r="V24" i="31"/>
  <c r="U24" i="31"/>
  <c r="V344" i="31"/>
  <c r="U344" i="31"/>
  <c r="V339" i="31"/>
  <c r="U339" i="31"/>
  <c r="V182" i="31"/>
  <c r="U182" i="31"/>
  <c r="U626" i="31"/>
  <c r="V626" i="31"/>
  <c r="U341" i="31"/>
  <c r="V341" i="31"/>
  <c r="V21" i="31"/>
  <c r="U21" i="31"/>
  <c r="U230" i="31"/>
  <c r="V230" i="31"/>
  <c r="V172" i="31"/>
  <c r="U172" i="31"/>
  <c r="U365" i="31"/>
  <c r="V365" i="31"/>
  <c r="U153" i="31"/>
  <c r="V153" i="31"/>
  <c r="V558" i="31"/>
  <c r="U558" i="31"/>
  <c r="V30" i="31"/>
  <c r="U30" i="31"/>
  <c r="V169" i="31"/>
  <c r="U169" i="31"/>
  <c r="U342" i="31"/>
  <c r="V342" i="31"/>
  <c r="U550" i="31"/>
  <c r="V550" i="31"/>
  <c r="V138" i="31"/>
  <c r="U138" i="31"/>
  <c r="U281" i="31"/>
  <c r="V281" i="31"/>
  <c r="V444" i="31"/>
  <c r="U444" i="31"/>
  <c r="U72" i="31"/>
  <c r="V72" i="31"/>
  <c r="U203" i="31"/>
  <c r="V203" i="31"/>
  <c r="U372" i="31"/>
  <c r="V372" i="31"/>
  <c r="V599" i="31"/>
  <c r="U599" i="31"/>
  <c r="U152" i="31"/>
  <c r="V152" i="31"/>
  <c r="U317" i="31"/>
  <c r="V317" i="31"/>
  <c r="U559" i="31"/>
  <c r="V559" i="31"/>
  <c r="U125" i="31"/>
  <c r="V125" i="31"/>
  <c r="V217" i="31"/>
  <c r="U217" i="31"/>
  <c r="V285" i="31"/>
  <c r="U285" i="31"/>
  <c r="U377" i="31"/>
  <c r="V377" i="31"/>
  <c r="U437" i="31"/>
  <c r="V437" i="31"/>
  <c r="V534" i="31"/>
  <c r="U534" i="31"/>
  <c r="Y229" i="32"/>
  <c r="X229" i="32"/>
  <c r="V129" i="31"/>
  <c r="U129" i="31"/>
  <c r="V235" i="31"/>
  <c r="U235" i="31"/>
  <c r="V315" i="31"/>
  <c r="U315" i="31"/>
  <c r="U373" i="31"/>
  <c r="V373" i="31"/>
  <c r="U484" i="31"/>
  <c r="V484" i="31"/>
  <c r="V570" i="31"/>
  <c r="U570" i="31"/>
  <c r="V123" i="31"/>
  <c r="U123" i="31"/>
  <c r="V233" i="31"/>
  <c r="U233" i="31"/>
  <c r="U251" i="31"/>
  <c r="V251" i="31"/>
  <c r="V327" i="31"/>
  <c r="U327" i="31"/>
  <c r="V440" i="31"/>
  <c r="U440" i="31"/>
  <c r="U540" i="31"/>
  <c r="V540" i="31"/>
  <c r="W624" i="31"/>
  <c r="T624" i="31"/>
  <c r="D624" i="31"/>
  <c r="M624" i="31"/>
  <c r="J624" i="31"/>
  <c r="G624" i="31"/>
  <c r="U448" i="31"/>
  <c r="V448" i="31"/>
  <c r="U512" i="31"/>
  <c r="V512" i="31"/>
  <c r="U596" i="31"/>
  <c r="V596" i="31"/>
  <c r="V110" i="31"/>
  <c r="U110" i="31"/>
  <c r="U180" i="31"/>
  <c r="V180" i="31"/>
  <c r="V262" i="31"/>
  <c r="U262" i="31"/>
  <c r="V364" i="31"/>
  <c r="U364" i="31"/>
  <c r="V450" i="31"/>
  <c r="U450" i="31"/>
  <c r="V535" i="31"/>
  <c r="U535" i="31"/>
  <c r="V83" i="31"/>
  <c r="U83" i="31"/>
  <c r="V198" i="31"/>
  <c r="U198" i="31"/>
  <c r="U231" i="31"/>
  <c r="V231" i="31"/>
  <c r="V269" i="31"/>
  <c r="U269" i="31"/>
  <c r="U287" i="31"/>
  <c r="V287" i="31"/>
  <c r="V411" i="31"/>
  <c r="U411" i="31"/>
  <c r="V490" i="31"/>
  <c r="U490" i="31"/>
  <c r="V541" i="31"/>
  <c r="U541" i="31"/>
  <c r="V601" i="31"/>
  <c r="U601" i="31"/>
  <c r="X398" i="32"/>
  <c r="Y398" i="32"/>
  <c r="U103" i="31"/>
  <c r="V103" i="31"/>
  <c r="U147" i="31"/>
  <c r="V147" i="31"/>
  <c r="U320" i="31"/>
  <c r="V320" i="31"/>
  <c r="U323" i="31"/>
  <c r="V323" i="31"/>
  <c r="U391" i="31"/>
  <c r="V391" i="31"/>
  <c r="U435" i="31"/>
  <c r="V435" i="31"/>
  <c r="U517" i="31"/>
  <c r="V517" i="31"/>
  <c r="U571" i="31"/>
  <c r="V571" i="31"/>
  <c r="Y530" i="32"/>
  <c r="X530" i="32"/>
  <c r="Y559" i="32"/>
  <c r="X559" i="32"/>
  <c r="Y155" i="32"/>
  <c r="X155" i="32"/>
  <c r="X302" i="32"/>
  <c r="Y302" i="32"/>
  <c r="X452" i="32"/>
  <c r="Y452" i="32"/>
  <c r="Y428" i="32"/>
  <c r="X428" i="32"/>
  <c r="Y124" i="32"/>
  <c r="X124" i="32"/>
  <c r="X440" i="32"/>
  <c r="Y440" i="32"/>
  <c r="U34" i="31"/>
  <c r="V34" i="31"/>
  <c r="X280" i="32"/>
  <c r="Y280" i="32"/>
  <c r="Y570" i="32"/>
  <c r="X570" i="32"/>
  <c r="Y233" i="32"/>
  <c r="X233" i="32"/>
  <c r="X343" i="32"/>
  <c r="Y343" i="32"/>
  <c r="Y146" i="32"/>
  <c r="X146" i="32"/>
  <c r="Y461" i="32"/>
  <c r="X461" i="32"/>
  <c r="Y103" i="32"/>
  <c r="X103" i="32"/>
  <c r="Y279" i="32"/>
  <c r="X279" i="32"/>
  <c r="Y44" i="32"/>
  <c r="X44" i="32"/>
  <c r="Y111" i="32"/>
  <c r="X111" i="32"/>
  <c r="Y153" i="32"/>
  <c r="X153" i="32"/>
  <c r="Y198" i="32"/>
  <c r="X198" i="32"/>
  <c r="Y218" i="32"/>
  <c r="X218" i="32"/>
  <c r="Y284" i="32"/>
  <c r="X284" i="32"/>
  <c r="Y500" i="32"/>
  <c r="X500" i="32"/>
  <c r="X407" i="32"/>
  <c r="Y407" i="32"/>
  <c r="Y487" i="32"/>
  <c r="X487" i="32"/>
  <c r="X15" i="32"/>
  <c r="Y15" i="32"/>
  <c r="X417" i="32"/>
  <c r="Y417" i="32"/>
  <c r="Y58" i="32"/>
  <c r="X58" i="32"/>
  <c r="X307" i="32"/>
  <c r="Y307" i="32"/>
  <c r="X277" i="32"/>
  <c r="Y277" i="32"/>
  <c r="X369" i="32"/>
  <c r="Y369" i="32"/>
  <c r="Y370" i="32"/>
  <c r="X370" i="32"/>
  <c r="X488" i="32"/>
  <c r="Y488" i="32"/>
  <c r="X544" i="32"/>
  <c r="Y544" i="32"/>
  <c r="Y27" i="32"/>
  <c r="X27" i="32"/>
  <c r="X139" i="32"/>
  <c r="Y139" i="32"/>
  <c r="Y177" i="32"/>
  <c r="X177" i="32"/>
  <c r="X207" i="32"/>
  <c r="Y207" i="32"/>
  <c r="Y183" i="32"/>
  <c r="X183" i="32"/>
  <c r="X404" i="32"/>
  <c r="Y404" i="32"/>
  <c r="Y425" i="32"/>
  <c r="X425" i="32"/>
  <c r="Y534" i="32"/>
  <c r="X534" i="32"/>
  <c r="Y494" i="32"/>
  <c r="X494" i="32"/>
  <c r="Y24" i="32"/>
  <c r="X24" i="32"/>
  <c r="Y266" i="32"/>
  <c r="X266" i="32"/>
  <c r="X88" i="32"/>
  <c r="Y88" i="32"/>
  <c r="Y263" i="32"/>
  <c r="X263" i="32"/>
  <c r="Y274" i="32"/>
  <c r="X274" i="32"/>
  <c r="X328" i="32"/>
  <c r="Y328" i="32"/>
  <c r="Y435" i="32"/>
  <c r="X435" i="32"/>
  <c r="Y596" i="32"/>
  <c r="X596" i="32"/>
  <c r="X569" i="32"/>
  <c r="Y569" i="32"/>
  <c r="Y31" i="32"/>
  <c r="X31" i="32"/>
  <c r="Y102" i="32"/>
  <c r="X102" i="32"/>
  <c r="Y152" i="32"/>
  <c r="X152" i="32"/>
  <c r="X376" i="32"/>
  <c r="Y376" i="32"/>
  <c r="X224" i="32"/>
  <c r="Y224" i="32"/>
  <c r="Y421" i="32"/>
  <c r="X421" i="32"/>
  <c r="Y372" i="32"/>
  <c r="X372" i="32"/>
  <c r="Y549" i="32"/>
  <c r="X549" i="32"/>
  <c r="X498" i="32"/>
  <c r="Y498" i="32"/>
  <c r="Y33" i="32"/>
  <c r="X33" i="32"/>
  <c r="X123" i="32"/>
  <c r="Y123" i="32"/>
  <c r="Y164" i="32"/>
  <c r="X164" i="32"/>
  <c r="Y209" i="32"/>
  <c r="X209" i="32"/>
  <c r="X226" i="32"/>
  <c r="Y226" i="32"/>
  <c r="X423" i="32"/>
  <c r="Y423" i="32"/>
  <c r="Y382" i="32"/>
  <c r="X382" i="32"/>
  <c r="Y554" i="32"/>
  <c r="X554" i="32"/>
  <c r="Y532" i="32"/>
  <c r="X532" i="32"/>
  <c r="X572" i="32"/>
  <c r="Y572" i="32"/>
  <c r="X453" i="32"/>
  <c r="Y453" i="32"/>
  <c r="X568" i="32"/>
  <c r="Y568" i="32"/>
  <c r="Y537" i="32"/>
  <c r="X537" i="32"/>
  <c r="X622" i="31"/>
  <c r="Y622" i="31"/>
  <c r="Y38" i="31"/>
  <c r="X38" i="31"/>
  <c r="X268" i="31"/>
  <c r="Y268" i="31"/>
  <c r="Y132" i="31"/>
  <c r="X132" i="31"/>
  <c r="Y583" i="31"/>
  <c r="X583" i="31"/>
  <c r="Y570" i="31"/>
  <c r="X570" i="31"/>
  <c r="X412" i="31"/>
  <c r="Y412" i="31"/>
  <c r="Y42" i="31"/>
  <c r="X42" i="31"/>
  <c r="Y487" i="31"/>
  <c r="X487" i="31"/>
  <c r="X262" i="31"/>
  <c r="Y262" i="31"/>
  <c r="X441" i="31"/>
  <c r="Y441" i="31"/>
  <c r="X483" i="31"/>
  <c r="Y483" i="31"/>
  <c r="Y106" i="31"/>
  <c r="X106" i="31"/>
  <c r="Y555" i="31"/>
  <c r="X555" i="31"/>
  <c r="Y235" i="31"/>
  <c r="X235" i="31"/>
  <c r="X424" i="31"/>
  <c r="Y424" i="31"/>
  <c r="Y582" i="31"/>
  <c r="X582" i="31"/>
  <c r="Y50" i="31"/>
  <c r="X50" i="31"/>
  <c r="X255" i="31"/>
  <c r="Y255" i="31"/>
  <c r="X410" i="31"/>
  <c r="Y410" i="31"/>
  <c r="Y609" i="31"/>
  <c r="X609" i="31"/>
  <c r="Y188" i="31"/>
  <c r="X188" i="31"/>
  <c r="Y290" i="31"/>
  <c r="X290" i="31"/>
  <c r="Y478" i="31"/>
  <c r="X478" i="31"/>
  <c r="Y22" i="31"/>
  <c r="X22" i="31"/>
  <c r="X97" i="31"/>
  <c r="Y97" i="31"/>
  <c r="X288" i="31"/>
  <c r="Y288" i="31"/>
  <c r="X473" i="31"/>
  <c r="Y473" i="31"/>
  <c r="Y612" i="31"/>
  <c r="X612" i="31"/>
  <c r="X163" i="31"/>
  <c r="Y163" i="31"/>
  <c r="X320" i="31"/>
  <c r="Y320" i="31"/>
  <c r="Y490" i="31"/>
  <c r="X490" i="31"/>
  <c r="Y16" i="31"/>
  <c r="X16" i="31"/>
  <c r="Y149" i="31"/>
  <c r="X149" i="31"/>
  <c r="Y271" i="31"/>
  <c r="X271" i="31"/>
  <c r="Y314" i="31"/>
  <c r="X314" i="31"/>
  <c r="X411" i="31"/>
  <c r="Y411" i="31"/>
  <c r="Y494" i="31"/>
  <c r="X494" i="31"/>
  <c r="Y595" i="31"/>
  <c r="X595" i="31"/>
  <c r="Y138" i="31"/>
  <c r="X138" i="31"/>
  <c r="X169" i="31"/>
  <c r="Y169" i="31"/>
  <c r="X274" i="31"/>
  <c r="Y274" i="31"/>
  <c r="Y374" i="31"/>
  <c r="X374" i="31"/>
  <c r="X434" i="31"/>
  <c r="Y434" i="31"/>
  <c r="X532" i="31"/>
  <c r="Y532" i="31"/>
  <c r="Y40" i="31"/>
  <c r="X40" i="31"/>
  <c r="Y126" i="31"/>
  <c r="X126" i="31"/>
  <c r="Y217" i="31"/>
  <c r="X217" i="31"/>
  <c r="X387" i="31"/>
  <c r="Y387" i="31"/>
  <c r="X393" i="31"/>
  <c r="Y393" i="31"/>
  <c r="X500" i="31"/>
  <c r="Y500" i="31"/>
  <c r="X575" i="31"/>
  <c r="Y575" i="31"/>
  <c r="Y136" i="31"/>
  <c r="X136" i="31"/>
  <c r="Y243" i="31"/>
  <c r="X243" i="31"/>
  <c r="Y264" i="31"/>
  <c r="X264" i="31"/>
  <c r="Y324" i="31"/>
  <c r="X324" i="31"/>
  <c r="Y438" i="31"/>
  <c r="X438" i="31"/>
  <c r="Y525" i="31"/>
  <c r="X525" i="31"/>
  <c r="X601" i="31"/>
  <c r="Y601" i="31"/>
  <c r="Y151" i="31"/>
  <c r="X151" i="31"/>
  <c r="Y199" i="31"/>
  <c r="X199" i="31"/>
  <c r="Y287" i="31"/>
  <c r="X287" i="31"/>
  <c r="Y335" i="31"/>
  <c r="X335" i="31"/>
  <c r="Y371" i="31"/>
  <c r="X371" i="31"/>
  <c r="Y439" i="31"/>
  <c r="X439" i="31"/>
  <c r="Y506" i="31"/>
  <c r="X506" i="31"/>
  <c r="Y565" i="31"/>
  <c r="X565" i="31"/>
  <c r="Y79" i="31"/>
  <c r="X79" i="31"/>
  <c r="Y102" i="31"/>
  <c r="X102" i="31"/>
  <c r="Y154" i="31"/>
  <c r="X154" i="31"/>
  <c r="Y325" i="31"/>
  <c r="X325" i="31"/>
  <c r="Y306" i="31"/>
  <c r="X306" i="31"/>
  <c r="Y414" i="31"/>
  <c r="X414" i="31"/>
  <c r="Y513" i="31"/>
  <c r="X513" i="31"/>
  <c r="Y526" i="31"/>
  <c r="X526" i="31"/>
  <c r="Y593" i="31"/>
  <c r="X593" i="31"/>
  <c r="AA247" i="32"/>
  <c r="AB247" i="32"/>
  <c r="AB112" i="32"/>
  <c r="AA112" i="32"/>
  <c r="AA66" i="32"/>
  <c r="AB66" i="32"/>
  <c r="AB462" i="32"/>
  <c r="AA462" i="32"/>
  <c r="AB405" i="32"/>
  <c r="AA405" i="32"/>
  <c r="AA40" i="32"/>
  <c r="AB40" i="32"/>
  <c r="AA323" i="32"/>
  <c r="AB323" i="32"/>
  <c r="AB483" i="32"/>
  <c r="AA483" i="32"/>
  <c r="AB259" i="32"/>
  <c r="AA259" i="32"/>
  <c r="AB348" i="32"/>
  <c r="AA348" i="32"/>
  <c r="AA145" i="32"/>
  <c r="AB145" i="32"/>
  <c r="AB431" i="32"/>
  <c r="AA431" i="32"/>
  <c r="AB569" i="32"/>
  <c r="AA569" i="32"/>
  <c r="AA171" i="32"/>
  <c r="AB171" i="32"/>
  <c r="AA610" i="32"/>
  <c r="AB610" i="32"/>
  <c r="AB142" i="32"/>
  <c r="AA142" i="32"/>
  <c r="AB351" i="32"/>
  <c r="AA351" i="32"/>
  <c r="AA73" i="32"/>
  <c r="AB73" i="32"/>
  <c r="AA292" i="32"/>
  <c r="AB292" i="32"/>
  <c r="AA593" i="32"/>
  <c r="AB593" i="32"/>
  <c r="AB93" i="32"/>
  <c r="AA93" i="32"/>
  <c r="AA182" i="32"/>
  <c r="AB182" i="32"/>
  <c r="AA180" i="32"/>
  <c r="AB180" i="32"/>
  <c r="AB250" i="32"/>
  <c r="AA250" i="32"/>
  <c r="AB308" i="32"/>
  <c r="AA308" i="32"/>
  <c r="AA378" i="32"/>
  <c r="AB378" i="32"/>
  <c r="AB388" i="32"/>
  <c r="AA388" i="32"/>
  <c r="AB566" i="32"/>
  <c r="AA566" i="32"/>
  <c r="AB595" i="32"/>
  <c r="AA595" i="32"/>
  <c r="AB113" i="32"/>
  <c r="AA113" i="32"/>
  <c r="AB151" i="32"/>
  <c r="AA151" i="32"/>
  <c r="AB146" i="32"/>
  <c r="AA146" i="32"/>
  <c r="AA225" i="32"/>
  <c r="AB225" i="32"/>
  <c r="AB282" i="32"/>
  <c r="AA282" i="32"/>
  <c r="AB404" i="32"/>
  <c r="AA404" i="32"/>
  <c r="AB333" i="32"/>
  <c r="AA333" i="32"/>
  <c r="AB534" i="32"/>
  <c r="AA534" i="32"/>
  <c r="AB574" i="32"/>
  <c r="AA574" i="32"/>
  <c r="AB13" i="32"/>
  <c r="AA13" i="32"/>
  <c r="AB129" i="32"/>
  <c r="AA129" i="32"/>
  <c r="AA138" i="32"/>
  <c r="AB138" i="32"/>
  <c r="AB412" i="32"/>
  <c r="AA412" i="32"/>
  <c r="AA202" i="32"/>
  <c r="AB202" i="32"/>
  <c r="AB417" i="32"/>
  <c r="AA417" i="32"/>
  <c r="AA373" i="32"/>
  <c r="AB373" i="32"/>
  <c r="AA484" i="32"/>
  <c r="AB484" i="32"/>
  <c r="AB538" i="32"/>
  <c r="AA538" i="32"/>
  <c r="AB553" i="32"/>
  <c r="AA553" i="32"/>
  <c r="AB33" i="32"/>
  <c r="AA33" i="32"/>
  <c r="AB83" i="32"/>
  <c r="AA83" i="32"/>
  <c r="AB71" i="32"/>
  <c r="AA71" i="32"/>
  <c r="AB311" i="32"/>
  <c r="AA311" i="32"/>
  <c r="AA192" i="32"/>
  <c r="AB192" i="32"/>
  <c r="AB381" i="32"/>
  <c r="AA381" i="32"/>
  <c r="AB386" i="32"/>
  <c r="AA386" i="32"/>
  <c r="AA594" i="32"/>
  <c r="AB594" i="32"/>
  <c r="AB512" i="32"/>
  <c r="AA512" i="32"/>
  <c r="AB59" i="32"/>
  <c r="AA59" i="32"/>
  <c r="AA137" i="32"/>
  <c r="AB137" i="32"/>
  <c r="AA144" i="32"/>
  <c r="AB144" i="32"/>
  <c r="AA212" i="32"/>
  <c r="AB212" i="32"/>
  <c r="AB209" i="32"/>
  <c r="AA209" i="32"/>
  <c r="AB424" i="32"/>
  <c r="AA424" i="32"/>
  <c r="AA398" i="32"/>
  <c r="AB398" i="32"/>
  <c r="AB520" i="32"/>
  <c r="AA520" i="32"/>
  <c r="AB554" i="32"/>
  <c r="AA554" i="32"/>
  <c r="AB565" i="32"/>
  <c r="AA565" i="32"/>
  <c r="AA21" i="32"/>
  <c r="AB21" i="32"/>
  <c r="AA94" i="32"/>
  <c r="AB94" i="32"/>
  <c r="AA91" i="32"/>
  <c r="AB91" i="32"/>
  <c r="AA498" i="32"/>
  <c r="AB498" i="32"/>
  <c r="AA215" i="32"/>
  <c r="AB215" i="32"/>
  <c r="AA421" i="32"/>
  <c r="AB421" i="32"/>
  <c r="AA415" i="32"/>
  <c r="AB415" i="32"/>
  <c r="AB606" i="32"/>
  <c r="AA606" i="32"/>
  <c r="AA516" i="32"/>
  <c r="AB516" i="32"/>
  <c r="V82" i="31"/>
  <c r="U82" i="31"/>
  <c r="U423" i="31"/>
  <c r="V423" i="31"/>
  <c r="U605" i="31"/>
  <c r="V605" i="31"/>
  <c r="V55" i="31"/>
  <c r="U55" i="31"/>
  <c r="V286" i="31"/>
  <c r="U286" i="31"/>
  <c r="U380" i="31"/>
  <c r="V380" i="31"/>
  <c r="U568" i="31"/>
  <c r="V568" i="31"/>
  <c r="V602" i="31"/>
  <c r="U602" i="31"/>
  <c r="V547" i="31"/>
  <c r="U547" i="31"/>
  <c r="U78" i="31"/>
  <c r="V78" i="31"/>
  <c r="V133" i="31"/>
  <c r="U133" i="31"/>
  <c r="V516" i="31"/>
  <c r="U516" i="31"/>
  <c r="U326" i="31"/>
  <c r="V326" i="31"/>
  <c r="Y67" i="32"/>
  <c r="X67" i="32"/>
  <c r="X595" i="32"/>
  <c r="Y595" i="32"/>
  <c r="X546" i="32"/>
  <c r="Y546" i="32"/>
  <c r="Y195" i="32"/>
  <c r="X195" i="32"/>
  <c r="Y548" i="32"/>
  <c r="X548" i="32"/>
  <c r="Y378" i="32"/>
  <c r="X378" i="32"/>
  <c r="X73" i="32"/>
  <c r="Y73" i="32"/>
  <c r="Y573" i="32"/>
  <c r="X573" i="32"/>
  <c r="Y321" i="32"/>
  <c r="X321" i="32"/>
  <c r="X575" i="32"/>
  <c r="Y575" i="32"/>
  <c r="X20" i="32"/>
  <c r="Y20" i="32"/>
  <c r="Y261" i="32"/>
  <c r="X261" i="32"/>
  <c r="X506" i="32"/>
  <c r="Y506" i="32"/>
  <c r="Y35" i="31"/>
  <c r="X35" i="31"/>
  <c r="Y142" i="31"/>
  <c r="X142" i="31"/>
  <c r="Y342" i="31"/>
  <c r="X342" i="31"/>
  <c r="X141" i="31"/>
  <c r="Y141" i="31"/>
  <c r="X403" i="31"/>
  <c r="Y403" i="31"/>
  <c r="X298" i="31"/>
  <c r="Y298" i="31"/>
  <c r="Y546" i="31"/>
  <c r="X546" i="31"/>
  <c r="X449" i="31"/>
  <c r="Y449" i="31"/>
  <c r="X343" i="31"/>
  <c r="Y343" i="31"/>
  <c r="Y190" i="31"/>
  <c r="X190" i="31"/>
  <c r="X599" i="31"/>
  <c r="Y599" i="31"/>
  <c r="X477" i="31"/>
  <c r="Y477" i="31"/>
  <c r="Y186" i="31"/>
  <c r="X186" i="31"/>
  <c r="Y504" i="31"/>
  <c r="X504" i="31"/>
  <c r="Y334" i="31"/>
  <c r="X334" i="31"/>
  <c r="U149" i="31"/>
  <c r="V149" i="31"/>
  <c r="V256" i="31"/>
  <c r="U256" i="31"/>
  <c r="U240" i="31"/>
  <c r="V240" i="31"/>
  <c r="V266" i="31"/>
  <c r="U266" i="31"/>
  <c r="U349" i="31"/>
  <c r="V349" i="31"/>
  <c r="U16" i="31"/>
  <c r="V16" i="31"/>
  <c r="V151" i="31"/>
  <c r="U151" i="31"/>
  <c r="V124" i="31"/>
  <c r="U124" i="31"/>
  <c r="V467" i="31"/>
  <c r="U467" i="31"/>
  <c r="U386" i="31"/>
  <c r="V386" i="31"/>
  <c r="U564" i="31"/>
  <c r="V564" i="31"/>
  <c r="V191" i="31"/>
  <c r="U191" i="31"/>
  <c r="V588" i="31"/>
  <c r="U588" i="31"/>
  <c r="U458" i="31"/>
  <c r="V458" i="31"/>
  <c r="V66" i="31"/>
  <c r="U66" i="31"/>
  <c r="V420" i="31"/>
  <c r="U420" i="31"/>
  <c r="X232" i="32"/>
  <c r="Y232" i="32"/>
  <c r="Y292" i="32"/>
  <c r="X292" i="32"/>
  <c r="X368" i="32"/>
  <c r="Y368" i="32"/>
  <c r="X447" i="32"/>
  <c r="Y447" i="32"/>
  <c r="Y348" i="32"/>
  <c r="X348" i="32"/>
  <c r="B629" i="31"/>
  <c r="B627" i="31"/>
  <c r="C7" i="31"/>
  <c r="Z625" i="31" s="1"/>
  <c r="V31" i="31"/>
  <c r="U31" i="31"/>
  <c r="U511" i="31"/>
  <c r="V511" i="31"/>
  <c r="V93" i="31"/>
  <c r="U93" i="31"/>
  <c r="U370" i="31"/>
  <c r="V370" i="31"/>
  <c r="U84" i="31"/>
  <c r="V84" i="31"/>
  <c r="U265" i="31"/>
  <c r="V265" i="31"/>
  <c r="V583" i="31"/>
  <c r="U583" i="31"/>
  <c r="V363" i="31"/>
  <c r="U363" i="31"/>
  <c r="V331" i="31"/>
  <c r="U331" i="31"/>
  <c r="V389" i="31"/>
  <c r="U389" i="31"/>
  <c r="V239" i="31"/>
  <c r="U239" i="31"/>
  <c r="V179" i="31"/>
  <c r="U179" i="31"/>
  <c r="V526" i="31"/>
  <c r="U526" i="31"/>
  <c r="V176" i="31"/>
  <c r="U176" i="31"/>
  <c r="U537" i="31"/>
  <c r="V537" i="31"/>
  <c r="Y163" i="32"/>
  <c r="X163" i="32"/>
  <c r="Y149" i="32"/>
  <c r="X149" i="32"/>
  <c r="Y57" i="32"/>
  <c r="X57" i="32"/>
  <c r="X176" i="32"/>
  <c r="Y176" i="32"/>
  <c r="X394" i="32"/>
  <c r="Y394" i="32"/>
  <c r="Y77" i="32"/>
  <c r="X77" i="32"/>
  <c r="Y582" i="32"/>
  <c r="X582" i="32"/>
  <c r="X320" i="32"/>
  <c r="Y320" i="32"/>
  <c r="X563" i="32"/>
  <c r="Y563" i="32"/>
  <c r="Y296" i="32"/>
  <c r="X296" i="32"/>
  <c r="Y32" i="32"/>
  <c r="X32" i="32"/>
  <c r="Y473" i="32"/>
  <c r="X473" i="32"/>
  <c r="Y105" i="32"/>
  <c r="X105" i="32"/>
  <c r="X386" i="32"/>
  <c r="Y386" i="32"/>
  <c r="Y407" i="31"/>
  <c r="X407" i="31"/>
  <c r="V234" i="31"/>
  <c r="U234" i="31"/>
  <c r="V254" i="31"/>
  <c r="U254" i="31"/>
  <c r="V524" i="31"/>
  <c r="U524" i="31"/>
  <c r="V416" i="31"/>
  <c r="U416" i="31"/>
  <c r="V299" i="31"/>
  <c r="U299" i="31"/>
  <c r="V521" i="31"/>
  <c r="U521" i="31"/>
  <c r="U404" i="31"/>
  <c r="V404" i="31"/>
  <c r="V100" i="31"/>
  <c r="U100" i="31"/>
  <c r="V566" i="31"/>
  <c r="U566" i="31"/>
  <c r="V70" i="31"/>
  <c r="U70" i="31"/>
  <c r="V553" i="31"/>
  <c r="U553" i="31"/>
  <c r="V63" i="31"/>
  <c r="U63" i="31"/>
  <c r="U318" i="31"/>
  <c r="V318" i="31"/>
  <c r="V183" i="31"/>
  <c r="U183" i="31"/>
  <c r="V17" i="31"/>
  <c r="U17" i="31"/>
  <c r="V410" i="31"/>
  <c r="U410" i="31"/>
  <c r="U247" i="31"/>
  <c r="V247" i="31"/>
  <c r="V126" i="31"/>
  <c r="U126" i="31"/>
  <c r="V350" i="31"/>
  <c r="U350" i="31"/>
  <c r="V313" i="31"/>
  <c r="U313" i="31"/>
  <c r="V46" i="31"/>
  <c r="U46" i="31"/>
  <c r="U580" i="31"/>
  <c r="V580" i="31"/>
  <c r="V282" i="31"/>
  <c r="U282" i="31"/>
  <c r="V62" i="31"/>
  <c r="U62" i="31"/>
  <c r="U459" i="31"/>
  <c r="V459" i="31"/>
  <c r="V163" i="31"/>
  <c r="U163" i="31"/>
  <c r="U375" i="31"/>
  <c r="V375" i="31"/>
  <c r="U582" i="31"/>
  <c r="V582" i="31"/>
  <c r="V37" i="31"/>
  <c r="U37" i="31"/>
  <c r="V187" i="31"/>
  <c r="U187" i="31"/>
  <c r="U354" i="31"/>
  <c r="V354" i="31"/>
  <c r="U589" i="31"/>
  <c r="V589" i="31"/>
  <c r="U109" i="31"/>
  <c r="V109" i="31"/>
  <c r="V261" i="31"/>
  <c r="U261" i="31"/>
  <c r="V455" i="31"/>
  <c r="U455" i="31"/>
  <c r="U40" i="31"/>
  <c r="V40" i="31"/>
  <c r="U238" i="31"/>
  <c r="V238" i="31"/>
  <c r="U387" i="31"/>
  <c r="V387" i="31"/>
  <c r="V73" i="31"/>
  <c r="U73" i="31"/>
  <c r="V178" i="31"/>
  <c r="U178" i="31"/>
  <c r="U352" i="31"/>
  <c r="V352" i="31"/>
  <c r="V560" i="31"/>
  <c r="U560" i="31"/>
  <c r="U87" i="31"/>
  <c r="V87" i="31"/>
  <c r="V157" i="31"/>
  <c r="U157" i="31"/>
  <c r="V263" i="31"/>
  <c r="U263" i="31"/>
  <c r="U358" i="31"/>
  <c r="V358" i="31"/>
  <c r="V498" i="31"/>
  <c r="U498" i="31"/>
  <c r="V545" i="31"/>
  <c r="U545" i="31"/>
  <c r="V52" i="31"/>
  <c r="U52" i="31"/>
  <c r="V159" i="31"/>
  <c r="U159" i="31"/>
  <c r="V214" i="31"/>
  <c r="U214" i="31"/>
  <c r="V340" i="31"/>
  <c r="U340" i="31"/>
  <c r="U412" i="31"/>
  <c r="V412" i="31"/>
  <c r="V479" i="31"/>
  <c r="U479" i="31"/>
  <c r="V574" i="31"/>
  <c r="U574" i="31"/>
  <c r="V132" i="31"/>
  <c r="U132" i="31"/>
  <c r="V155" i="31"/>
  <c r="U155" i="31"/>
  <c r="U276" i="31"/>
  <c r="V276" i="31"/>
  <c r="V369" i="31"/>
  <c r="U369" i="31"/>
  <c r="V443" i="31"/>
  <c r="U443" i="31"/>
  <c r="U530" i="31"/>
  <c r="V530" i="31"/>
  <c r="V611" i="31"/>
  <c r="U611" i="31"/>
  <c r="U478" i="31"/>
  <c r="V478" i="31"/>
  <c r="V544" i="31"/>
  <c r="U544" i="31"/>
  <c r="V51" i="31"/>
  <c r="U51" i="31"/>
  <c r="V127" i="31"/>
  <c r="U127" i="31"/>
  <c r="U205" i="31"/>
  <c r="V205" i="31"/>
  <c r="V328" i="31"/>
  <c r="U328" i="31"/>
  <c r="V392" i="31"/>
  <c r="U392" i="31"/>
  <c r="U470" i="31"/>
  <c r="V470" i="31"/>
  <c r="U549" i="31"/>
  <c r="V549" i="31"/>
  <c r="V150" i="31"/>
  <c r="U150" i="31"/>
  <c r="V199" i="31"/>
  <c r="U199" i="31"/>
  <c r="V218" i="31"/>
  <c r="U218" i="31"/>
  <c r="V270" i="31"/>
  <c r="U270" i="31"/>
  <c r="V348" i="31"/>
  <c r="U348" i="31"/>
  <c r="V413" i="31"/>
  <c r="U413" i="31"/>
  <c r="U472" i="31"/>
  <c r="V472" i="31"/>
  <c r="V554" i="31"/>
  <c r="U554" i="31"/>
  <c r="V597" i="31"/>
  <c r="U597" i="31"/>
  <c r="X104" i="32"/>
  <c r="Y104" i="32"/>
  <c r="U96" i="31"/>
  <c r="V96" i="31"/>
  <c r="U207" i="31"/>
  <c r="V207" i="31"/>
  <c r="U258" i="31"/>
  <c r="V258" i="31"/>
  <c r="V324" i="31"/>
  <c r="U324" i="31"/>
  <c r="U401" i="31"/>
  <c r="V401" i="31"/>
  <c r="V483" i="31"/>
  <c r="U483" i="31"/>
  <c r="V519" i="31"/>
  <c r="U519" i="31"/>
  <c r="V573" i="31"/>
  <c r="U573" i="31"/>
  <c r="X298" i="32"/>
  <c r="Y298" i="32"/>
  <c r="X550" i="32"/>
  <c r="Y550" i="32"/>
  <c r="Y43" i="32"/>
  <c r="X43" i="32"/>
  <c r="Y335" i="32"/>
  <c r="X335" i="32"/>
  <c r="Y391" i="32"/>
  <c r="X391" i="32"/>
  <c r="Y341" i="32"/>
  <c r="X341" i="32"/>
  <c r="Y336" i="32"/>
  <c r="X336" i="32"/>
  <c r="Y511" i="32"/>
  <c r="X511" i="32"/>
  <c r="Y59" i="32"/>
  <c r="X59" i="32"/>
  <c r="Y414" i="32"/>
  <c r="X414" i="32"/>
  <c r="X597" i="32"/>
  <c r="Y597" i="32"/>
  <c r="Y230" i="32"/>
  <c r="X230" i="32"/>
  <c r="X564" i="32"/>
  <c r="Y564" i="32"/>
  <c r="Y106" i="32"/>
  <c r="X106" i="32"/>
  <c r="X465" i="32"/>
  <c r="Y465" i="32"/>
  <c r="X61" i="32"/>
  <c r="Y61" i="32"/>
  <c r="X363" i="32"/>
  <c r="Y363" i="32"/>
  <c r="X13" i="32"/>
  <c r="Y13" i="32"/>
  <c r="Y186" i="32"/>
  <c r="X186" i="32"/>
  <c r="X236" i="32"/>
  <c r="Y236" i="32"/>
  <c r="Y305" i="32"/>
  <c r="X305" i="32"/>
  <c r="Y272" i="32"/>
  <c r="X272" i="32"/>
  <c r="Y354" i="32"/>
  <c r="X354" i="32"/>
  <c r="Y362" i="32"/>
  <c r="X362" i="32"/>
  <c r="Y478" i="32"/>
  <c r="X478" i="32"/>
  <c r="X535" i="32"/>
  <c r="Y535" i="32"/>
  <c r="Y142" i="32"/>
  <c r="X142" i="32"/>
  <c r="Y133" i="32"/>
  <c r="X133" i="32"/>
  <c r="X170" i="32"/>
  <c r="Y170" i="32"/>
  <c r="X200" i="32"/>
  <c r="Y200" i="32"/>
  <c r="Y181" i="32"/>
  <c r="X181" i="32"/>
  <c r="Y399" i="32"/>
  <c r="X399" i="32"/>
  <c r="Y418" i="32"/>
  <c r="X418" i="32"/>
  <c r="Y519" i="32"/>
  <c r="X519" i="32"/>
  <c r="X489" i="32"/>
  <c r="Y489" i="32"/>
  <c r="X19" i="32"/>
  <c r="Y19" i="32"/>
  <c r="Y219" i="32"/>
  <c r="X219" i="32"/>
  <c r="Y71" i="32"/>
  <c r="X71" i="32"/>
  <c r="Y255" i="32"/>
  <c r="X255" i="32"/>
  <c r="X267" i="32"/>
  <c r="Y267" i="32"/>
  <c r="X323" i="32"/>
  <c r="Y323" i="32"/>
  <c r="Y432" i="32"/>
  <c r="X432" i="32"/>
  <c r="X592" i="32"/>
  <c r="Y592" i="32"/>
  <c r="Y567" i="32"/>
  <c r="X567" i="32"/>
  <c r="X29" i="32"/>
  <c r="Y29" i="32"/>
  <c r="Y99" i="32"/>
  <c r="X99" i="32"/>
  <c r="X140" i="32"/>
  <c r="Y140" i="32"/>
  <c r="X371" i="32"/>
  <c r="Y371" i="32"/>
  <c r="Y215" i="32"/>
  <c r="X215" i="32"/>
  <c r="X411" i="32"/>
  <c r="Y411" i="32"/>
  <c r="Y367" i="32"/>
  <c r="X367" i="32"/>
  <c r="X531" i="32"/>
  <c r="Y531" i="32"/>
  <c r="Y496" i="32"/>
  <c r="X496" i="32"/>
  <c r="X92" i="32"/>
  <c r="Y92" i="32"/>
  <c r="Y390" i="32"/>
  <c r="X390" i="32"/>
  <c r="Y95" i="32"/>
  <c r="X95" i="32"/>
  <c r="X260" i="32"/>
  <c r="Y260" i="32"/>
  <c r="X287" i="32"/>
  <c r="Y287" i="32"/>
  <c r="Y606" i="32"/>
  <c r="X606" i="32"/>
  <c r="X427" i="32"/>
  <c r="Y427" i="32"/>
  <c r="Y497" i="32"/>
  <c r="X497" i="32"/>
  <c r="X588" i="32"/>
  <c r="Y588" i="32"/>
  <c r="Y160" i="32"/>
  <c r="X160" i="32"/>
  <c r="Y455" i="32"/>
  <c r="X455" i="32"/>
  <c r="X122" i="32"/>
  <c r="Y122" i="32"/>
  <c r="Y265" i="32"/>
  <c r="X265" i="32"/>
  <c r="Y290" i="32"/>
  <c r="X290" i="32"/>
  <c r="Y342" i="32"/>
  <c r="X342" i="32"/>
  <c r="X429" i="32"/>
  <c r="Y429" i="32"/>
  <c r="Y540" i="32"/>
  <c r="X540" i="32"/>
  <c r="X590" i="32"/>
  <c r="Y590" i="32"/>
  <c r="X485" i="32"/>
  <c r="Y485" i="32"/>
  <c r="Y539" i="32"/>
  <c r="X539" i="32"/>
  <c r="X538" i="32"/>
  <c r="Y538" i="32"/>
  <c r="Y599" i="32"/>
  <c r="X599" i="32"/>
  <c r="X60" i="31"/>
  <c r="Y60" i="31"/>
  <c r="Y399" i="31"/>
  <c r="X399" i="31"/>
  <c r="X168" i="31"/>
  <c r="Y168" i="31"/>
  <c r="X114" i="31"/>
  <c r="Y114" i="31"/>
  <c r="Y52" i="31"/>
  <c r="X52" i="31"/>
  <c r="Y468" i="31"/>
  <c r="X468" i="31"/>
  <c r="Y18" i="31"/>
  <c r="X18" i="31"/>
  <c r="Y505" i="31"/>
  <c r="X505" i="31"/>
  <c r="Y328" i="31"/>
  <c r="X328" i="31"/>
  <c r="Y137" i="31"/>
  <c r="X137" i="31"/>
  <c r="Y554" i="31"/>
  <c r="X554" i="31"/>
  <c r="Y181" i="31"/>
  <c r="X181" i="31"/>
  <c r="X120" i="31"/>
  <c r="Y120" i="31"/>
  <c r="Y256" i="31"/>
  <c r="X256" i="31"/>
  <c r="Y464" i="31"/>
  <c r="X464" i="31"/>
  <c r="Y606" i="31"/>
  <c r="X606" i="31"/>
  <c r="X144" i="31"/>
  <c r="Y144" i="31"/>
  <c r="Y280" i="31"/>
  <c r="X280" i="31"/>
  <c r="X446" i="31"/>
  <c r="Y446" i="31"/>
  <c r="Y602" i="31"/>
  <c r="X602" i="31"/>
  <c r="Y175" i="31"/>
  <c r="X175" i="31"/>
  <c r="Y340" i="31"/>
  <c r="X340" i="31"/>
  <c r="Y510" i="31"/>
  <c r="X510" i="31"/>
  <c r="X61" i="31"/>
  <c r="Y61" i="31"/>
  <c r="Y131" i="31"/>
  <c r="X131" i="31"/>
  <c r="X275" i="31"/>
  <c r="Y275" i="31"/>
  <c r="X465" i="31"/>
  <c r="Y465" i="31"/>
  <c r="Y62" i="31"/>
  <c r="X62" i="31"/>
  <c r="Y205" i="31"/>
  <c r="X205" i="31"/>
  <c r="Y307" i="31"/>
  <c r="X307" i="31"/>
  <c r="X529" i="31"/>
  <c r="Y529" i="31"/>
  <c r="Y88" i="31"/>
  <c r="X88" i="31"/>
  <c r="Y174" i="31"/>
  <c r="X174" i="31"/>
  <c r="X279" i="31"/>
  <c r="Y279" i="31"/>
  <c r="X339" i="31"/>
  <c r="Y339" i="31"/>
  <c r="Y436" i="31"/>
  <c r="X436" i="31"/>
  <c r="X527" i="31"/>
  <c r="Y527" i="31"/>
  <c r="Y604" i="31"/>
  <c r="X604" i="31"/>
  <c r="X84" i="31"/>
  <c r="Y84" i="31"/>
  <c r="Y170" i="31"/>
  <c r="X170" i="31"/>
  <c r="Y302" i="31"/>
  <c r="X302" i="31"/>
  <c r="X380" i="31"/>
  <c r="Y380" i="31"/>
  <c r="Y466" i="31"/>
  <c r="X466" i="31"/>
  <c r="Y552" i="31"/>
  <c r="X552" i="31"/>
  <c r="X39" i="31"/>
  <c r="Y39" i="31"/>
  <c r="X148" i="31"/>
  <c r="Y148" i="31"/>
  <c r="Y219" i="31"/>
  <c r="X219" i="31"/>
  <c r="Y321" i="31"/>
  <c r="X321" i="31"/>
  <c r="X416" i="31"/>
  <c r="Y416" i="31"/>
  <c r="Y484" i="31"/>
  <c r="X484" i="31"/>
  <c r="X580" i="31"/>
  <c r="Y580" i="31"/>
  <c r="Y82" i="31"/>
  <c r="X82" i="31"/>
  <c r="Y184" i="31"/>
  <c r="X184" i="31"/>
  <c r="Y281" i="31"/>
  <c r="X281" i="31"/>
  <c r="Y379" i="31"/>
  <c r="X379" i="31"/>
  <c r="Y448" i="31"/>
  <c r="X448" i="31"/>
  <c r="Y520" i="31"/>
  <c r="X520" i="31"/>
  <c r="X33" i="31"/>
  <c r="Y33" i="31"/>
  <c r="Y140" i="31"/>
  <c r="X140" i="31"/>
  <c r="X209" i="31"/>
  <c r="Y209" i="31"/>
  <c r="Y301" i="31"/>
  <c r="X301" i="31"/>
  <c r="Y336" i="31"/>
  <c r="X336" i="31"/>
  <c r="Y398" i="31"/>
  <c r="X398" i="31"/>
  <c r="Y433" i="31"/>
  <c r="X433" i="31"/>
  <c r="Y516" i="31"/>
  <c r="X516" i="31"/>
  <c r="Y578" i="31"/>
  <c r="X578" i="31"/>
  <c r="X127" i="31"/>
  <c r="Y127" i="31"/>
  <c r="X171" i="31"/>
  <c r="Y171" i="31"/>
  <c r="Y212" i="31"/>
  <c r="X212" i="31"/>
  <c r="X310" i="31"/>
  <c r="Y310" i="31"/>
  <c r="Y315" i="31"/>
  <c r="X315" i="31"/>
  <c r="X394" i="31"/>
  <c r="Y394" i="31"/>
  <c r="X452" i="31"/>
  <c r="Y452" i="31"/>
  <c r="X530" i="31"/>
  <c r="Y530" i="31"/>
  <c r="X610" i="31"/>
  <c r="Y610" i="31"/>
  <c r="AA371" i="32"/>
  <c r="AB371" i="32"/>
  <c r="AA519" i="32"/>
  <c r="AB519" i="32"/>
  <c r="AB278" i="32"/>
  <c r="AA278" i="32"/>
  <c r="AA43" i="32"/>
  <c r="AB43" i="32"/>
  <c r="AB427" i="32"/>
  <c r="AA427" i="32"/>
  <c r="AB87" i="32"/>
  <c r="AA87" i="32"/>
  <c r="AB329" i="32"/>
  <c r="AA329" i="32"/>
  <c r="AB487" i="32"/>
  <c r="AA487" i="32"/>
  <c r="AB271" i="32"/>
  <c r="AA271" i="32"/>
  <c r="AB465" i="32"/>
  <c r="AA465" i="32"/>
  <c r="AB99" i="32"/>
  <c r="AA99" i="32"/>
  <c r="AB423" i="32"/>
  <c r="AA423" i="32"/>
  <c r="AB45" i="32"/>
  <c r="AA45" i="32"/>
  <c r="AB227" i="32"/>
  <c r="AA227" i="32"/>
  <c r="AB572" i="32"/>
  <c r="AA572" i="32"/>
  <c r="AA332" i="32"/>
  <c r="AB332" i="32"/>
  <c r="AB474" i="32"/>
  <c r="AA474" i="32"/>
  <c r="AB350" i="32"/>
  <c r="AA350" i="32"/>
  <c r="AB331" i="32"/>
  <c r="AA331" i="32"/>
  <c r="AA48" i="32"/>
  <c r="AB48" i="32"/>
  <c r="AB68" i="32"/>
  <c r="AA68" i="32"/>
  <c r="AB77" i="32"/>
  <c r="AA77" i="32"/>
  <c r="AA203" i="32"/>
  <c r="AB203" i="32"/>
  <c r="AB283" i="32"/>
  <c r="AA283" i="32"/>
  <c r="AB356" i="32"/>
  <c r="AA356" i="32"/>
  <c r="AB411" i="32"/>
  <c r="AA411" i="32"/>
  <c r="AA432" i="32"/>
  <c r="AB432" i="32"/>
  <c r="AB464" i="32"/>
  <c r="AA464" i="32"/>
  <c r="AB475" i="32"/>
  <c r="AA475" i="32"/>
  <c r="AB14" i="32"/>
  <c r="AA14" i="32"/>
  <c r="AB72" i="32"/>
  <c r="AA72" i="32"/>
  <c r="AA301" i="32"/>
  <c r="AB301" i="32"/>
  <c r="AA307" i="32"/>
  <c r="AB307" i="32"/>
  <c r="AA187" i="32"/>
  <c r="AB187" i="32"/>
  <c r="AB363" i="32"/>
  <c r="AA363" i="32"/>
  <c r="AA365" i="32"/>
  <c r="AB365" i="32"/>
  <c r="AB587" i="32"/>
  <c r="AA587" i="32"/>
  <c r="AB508" i="32"/>
  <c r="AA508" i="32"/>
  <c r="AA30" i="32"/>
  <c r="AB30" i="32"/>
  <c r="AA186" i="32"/>
  <c r="AB186" i="32"/>
  <c r="AB179" i="32"/>
  <c r="AA179" i="32"/>
  <c r="AB266" i="32"/>
  <c r="AA266" i="32"/>
  <c r="AA245" i="32"/>
  <c r="AB245" i="32"/>
  <c r="AB460" i="32"/>
  <c r="AA460" i="32"/>
  <c r="AA436" i="32"/>
  <c r="AB436" i="32"/>
  <c r="AA601" i="32"/>
  <c r="AB601" i="32"/>
  <c r="AA589" i="32"/>
  <c r="AB589" i="32"/>
  <c r="AA611" i="32"/>
  <c r="AB611" i="32"/>
  <c r="AA52" i="32"/>
  <c r="AB52" i="32"/>
  <c r="AA123" i="32"/>
  <c r="AB123" i="32"/>
  <c r="AA127" i="32"/>
  <c r="AB127" i="32"/>
  <c r="AB193" i="32"/>
  <c r="AA193" i="32"/>
  <c r="AB254" i="32"/>
  <c r="AA254" i="32"/>
  <c r="AB482" i="32"/>
  <c r="AA482" i="32"/>
  <c r="AA357" i="32"/>
  <c r="AB357" i="32"/>
  <c r="AB531" i="32"/>
  <c r="AA531" i="32"/>
  <c r="AA556" i="32"/>
  <c r="AB556" i="32"/>
  <c r="AB15" i="32"/>
  <c r="AA15" i="32"/>
  <c r="AA208" i="32"/>
  <c r="AB208" i="32"/>
  <c r="AB242" i="32"/>
  <c r="AA242" i="32"/>
  <c r="AA281" i="32"/>
  <c r="AB281" i="32"/>
  <c r="AA265" i="32"/>
  <c r="AB265" i="32"/>
  <c r="AB320" i="32"/>
  <c r="AA320" i="32"/>
  <c r="AA441" i="32"/>
  <c r="AB441" i="32"/>
  <c r="AA486" i="32"/>
  <c r="AB486" i="32"/>
  <c r="AA603" i="32"/>
  <c r="AB603" i="32"/>
  <c r="Y80" i="31"/>
  <c r="X80" i="31"/>
  <c r="AB60" i="32"/>
  <c r="AA60" i="32"/>
  <c r="AB135" i="32"/>
  <c r="AA135" i="32"/>
  <c r="AB152" i="32"/>
  <c r="AA152" i="32"/>
  <c r="AA232" i="32"/>
  <c r="AB232" i="32"/>
  <c r="AB267" i="32"/>
  <c r="AA267" i="32"/>
  <c r="AA342" i="32"/>
  <c r="AB342" i="32"/>
  <c r="AB372" i="32"/>
  <c r="AA372" i="32"/>
  <c r="AA547" i="32"/>
  <c r="AB547" i="32"/>
  <c r="AA584" i="32"/>
  <c r="AB584" i="32"/>
  <c r="V211" i="31"/>
  <c r="U211" i="31"/>
  <c r="V131" i="31"/>
  <c r="U131" i="31"/>
  <c r="V60" i="31"/>
  <c r="U60" i="31"/>
  <c r="U308" i="31"/>
  <c r="V308" i="31"/>
  <c r="U48" i="31"/>
  <c r="V48" i="31"/>
  <c r="U388" i="31"/>
  <c r="V388" i="31"/>
  <c r="U311" i="31"/>
  <c r="V311" i="31"/>
  <c r="V376" i="31"/>
  <c r="U376" i="31"/>
  <c r="V454" i="31"/>
  <c r="U454" i="31"/>
  <c r="U493" i="31"/>
  <c r="V493" i="31"/>
  <c r="U355" i="31"/>
  <c r="V355" i="31"/>
  <c r="V166" i="31"/>
  <c r="U166" i="31"/>
  <c r="U462" i="31"/>
  <c r="V462" i="31"/>
  <c r="U18" i="31"/>
  <c r="V18" i="31"/>
  <c r="Y54" i="32"/>
  <c r="X54" i="32"/>
  <c r="Y527" i="32"/>
  <c r="X527" i="32"/>
  <c r="Y247" i="32"/>
  <c r="X247" i="32"/>
  <c r="Y94" i="32"/>
  <c r="X94" i="32"/>
  <c r="Y479" i="32"/>
  <c r="X479" i="32"/>
  <c r="Y467" i="32"/>
  <c r="X467" i="32"/>
  <c r="X175" i="32"/>
  <c r="Y175" i="32"/>
  <c r="Y21" i="32"/>
  <c r="X21" i="32"/>
  <c r="Y384" i="32"/>
  <c r="X384" i="32"/>
  <c r="Y49" i="31"/>
  <c r="X49" i="31"/>
  <c r="V622" i="31"/>
  <c r="U622" i="31"/>
  <c r="V79" i="31"/>
  <c r="U79" i="31"/>
  <c r="V457" i="31"/>
  <c r="U457" i="31"/>
  <c r="V333" i="31"/>
  <c r="U333" i="31"/>
  <c r="U154" i="31"/>
  <c r="V154" i="31"/>
  <c r="U476" i="31"/>
  <c r="V476" i="31"/>
  <c r="V360" i="31"/>
  <c r="U360" i="31"/>
  <c r="V136" i="31"/>
  <c r="U136" i="31"/>
  <c r="V19" i="31"/>
  <c r="U19" i="31"/>
  <c r="V346" i="31"/>
  <c r="U346" i="31"/>
  <c r="V38" i="31"/>
  <c r="U38" i="31"/>
  <c r="U505" i="31"/>
  <c r="V505" i="31"/>
  <c r="V189" i="31"/>
  <c r="U189" i="31"/>
  <c r="V417" i="31"/>
  <c r="U417" i="31"/>
  <c r="V606" i="31"/>
  <c r="U606" i="31"/>
  <c r="V13" i="31"/>
  <c r="U13" i="31"/>
  <c r="U215" i="31"/>
  <c r="V215" i="31"/>
  <c r="U385" i="31"/>
  <c r="V385" i="31"/>
  <c r="U607" i="31"/>
  <c r="V607" i="31"/>
  <c r="U80" i="31"/>
  <c r="V80" i="31"/>
  <c r="V280" i="31"/>
  <c r="U280" i="31"/>
  <c r="V481" i="31"/>
  <c r="U481" i="31"/>
  <c r="V28" i="31"/>
  <c r="U28" i="31"/>
  <c r="V229" i="31"/>
  <c r="U229" i="31"/>
  <c r="V439" i="31"/>
  <c r="U439" i="31"/>
  <c r="V41" i="31"/>
  <c r="U41" i="31"/>
  <c r="U188" i="31"/>
  <c r="V188" i="31"/>
  <c r="U357" i="31"/>
  <c r="V357" i="31"/>
  <c r="V612" i="31"/>
  <c r="U612" i="31"/>
  <c r="U104" i="31"/>
  <c r="V104" i="31"/>
  <c r="V241" i="31"/>
  <c r="U241" i="31"/>
  <c r="U305" i="31"/>
  <c r="V305" i="31"/>
  <c r="V409" i="31"/>
  <c r="U409" i="31"/>
  <c r="V463" i="31"/>
  <c r="U463" i="31"/>
  <c r="U552" i="31"/>
  <c r="V552" i="31"/>
  <c r="V90" i="31"/>
  <c r="U90" i="31"/>
  <c r="U192" i="31"/>
  <c r="V192" i="31"/>
  <c r="V297" i="31"/>
  <c r="U297" i="31"/>
  <c r="V302" i="31"/>
  <c r="U302" i="31"/>
  <c r="U422" i="31"/>
  <c r="V422" i="31"/>
  <c r="V501" i="31"/>
  <c r="U501" i="31"/>
  <c r="V584" i="31"/>
  <c r="U584" i="31"/>
  <c r="V86" i="31"/>
  <c r="U86" i="31"/>
  <c r="U156" i="31"/>
  <c r="V156" i="31"/>
  <c r="V246" i="31"/>
  <c r="U246" i="31"/>
  <c r="V371" i="31"/>
  <c r="U371" i="31"/>
  <c r="U430" i="31"/>
  <c r="V430" i="31"/>
  <c r="V546" i="31"/>
  <c r="U546" i="31"/>
  <c r="V67" i="31"/>
  <c r="U67" i="31"/>
  <c r="U446" i="31"/>
  <c r="V446" i="31"/>
  <c r="V527" i="31"/>
  <c r="U527" i="31"/>
  <c r="V26" i="31"/>
  <c r="U26" i="31"/>
  <c r="U144" i="31"/>
  <c r="V144" i="31"/>
  <c r="V210" i="31"/>
  <c r="U210" i="31"/>
  <c r="V330" i="31"/>
  <c r="U330" i="31"/>
  <c r="V379" i="31"/>
  <c r="U379" i="31"/>
  <c r="U464" i="31"/>
  <c r="V464" i="31"/>
  <c r="V565" i="31"/>
  <c r="U565" i="31"/>
  <c r="V140" i="31"/>
  <c r="U140" i="31"/>
  <c r="V145" i="31"/>
  <c r="U145" i="31"/>
  <c r="V220" i="31"/>
  <c r="U220" i="31"/>
  <c r="U289" i="31"/>
  <c r="V289" i="31"/>
  <c r="V374" i="31"/>
  <c r="U374" i="31"/>
  <c r="V399" i="31"/>
  <c r="U399" i="31"/>
  <c r="V477" i="31"/>
  <c r="U477" i="31"/>
  <c r="V555" i="31"/>
  <c r="U555" i="31"/>
  <c r="V59" i="31"/>
  <c r="U59" i="31"/>
  <c r="Y470" i="32"/>
  <c r="X470" i="32"/>
  <c r="V89" i="31"/>
  <c r="U89" i="31"/>
  <c r="U196" i="31"/>
  <c r="V196" i="31"/>
  <c r="V312" i="31"/>
  <c r="U312" i="31"/>
  <c r="V325" i="31"/>
  <c r="U325" i="31"/>
  <c r="V395" i="31"/>
  <c r="U395" i="31"/>
  <c r="V460" i="31"/>
  <c r="U460" i="31"/>
  <c r="V513" i="31"/>
  <c r="U513" i="31"/>
  <c r="V590" i="31"/>
  <c r="U590" i="31"/>
  <c r="Y541" i="32"/>
  <c r="X541" i="32"/>
  <c r="X48" i="32"/>
  <c r="Y48" i="32"/>
  <c r="Y240" i="32"/>
  <c r="X240" i="32"/>
  <c r="X388" i="32"/>
  <c r="Y388" i="32"/>
  <c r="Y518" i="32"/>
  <c r="X518" i="32"/>
  <c r="X521" i="32"/>
  <c r="Y521" i="32"/>
  <c r="Y275" i="32"/>
  <c r="X275" i="32"/>
  <c r="X561" i="32"/>
  <c r="Y561" i="32"/>
  <c r="X171" i="32"/>
  <c r="Y171" i="32"/>
  <c r="X308" i="32"/>
  <c r="Y308" i="32"/>
  <c r="V75" i="31"/>
  <c r="U75" i="31"/>
  <c r="Y331" i="32"/>
  <c r="X331" i="32"/>
  <c r="Y501" i="32"/>
  <c r="X501" i="32"/>
  <c r="Y182" i="32"/>
  <c r="X182" i="32"/>
  <c r="X400" i="32"/>
  <c r="Y400" i="32"/>
  <c r="X150" i="32"/>
  <c r="Y150" i="32"/>
  <c r="X474" i="32"/>
  <c r="Y474" i="32"/>
  <c r="X89" i="32"/>
  <c r="Y89" i="32"/>
  <c r="X126" i="32"/>
  <c r="Y126" i="32"/>
  <c r="X162" i="32"/>
  <c r="Y162" i="32"/>
  <c r="X449" i="32"/>
  <c r="Y449" i="32"/>
  <c r="Y179" i="32"/>
  <c r="X179" i="32"/>
  <c r="X381" i="32"/>
  <c r="Y381" i="32"/>
  <c r="X413" i="32"/>
  <c r="Y413" i="32"/>
  <c r="Y517" i="32"/>
  <c r="X517" i="32"/>
  <c r="X607" i="32"/>
  <c r="Y607" i="32"/>
  <c r="Y121" i="32"/>
  <c r="X121" i="32"/>
  <c r="X203" i="32"/>
  <c r="Y203" i="32"/>
  <c r="X68" i="32"/>
  <c r="Y68" i="32"/>
  <c r="Y248" i="32"/>
  <c r="X248" i="32"/>
  <c r="X254" i="32"/>
  <c r="Y254" i="32"/>
  <c r="X319" i="32"/>
  <c r="Y319" i="32"/>
  <c r="X420" i="32"/>
  <c r="Y420" i="32"/>
  <c r="X587" i="32"/>
  <c r="Y587" i="32"/>
  <c r="Y560" i="32"/>
  <c r="X560" i="32"/>
  <c r="X26" i="32"/>
  <c r="Y26" i="32"/>
  <c r="Y98" i="32"/>
  <c r="X98" i="32"/>
  <c r="X127" i="32"/>
  <c r="Y127" i="32"/>
  <c r="Y361" i="32"/>
  <c r="X361" i="32"/>
  <c r="Y208" i="32"/>
  <c r="X208" i="32"/>
  <c r="Y387" i="32"/>
  <c r="X387" i="32"/>
  <c r="X357" i="32"/>
  <c r="Y357" i="32"/>
  <c r="Y526" i="32"/>
  <c r="X526" i="32"/>
  <c r="X482" i="32"/>
  <c r="Y482" i="32"/>
  <c r="X72" i="32"/>
  <c r="Y72" i="32"/>
  <c r="Y196" i="32"/>
  <c r="X196" i="32"/>
  <c r="X93" i="32"/>
  <c r="Y93" i="32"/>
  <c r="X257" i="32"/>
  <c r="Y257" i="32"/>
  <c r="Y269" i="32"/>
  <c r="X269" i="32"/>
  <c r="X476" i="32"/>
  <c r="Y476" i="32"/>
  <c r="X424" i="32"/>
  <c r="Y424" i="32"/>
  <c r="Y495" i="32"/>
  <c r="X495" i="32"/>
  <c r="X578" i="32"/>
  <c r="Y578" i="32"/>
  <c r="Y36" i="32"/>
  <c r="X36" i="32"/>
  <c r="Y85" i="32"/>
  <c r="X85" i="32"/>
  <c r="Y191" i="32"/>
  <c r="X191" i="32"/>
  <c r="Y295" i="32"/>
  <c r="X295" i="32"/>
  <c r="Y194" i="32"/>
  <c r="X194" i="32"/>
  <c r="Y392" i="32"/>
  <c r="X392" i="32"/>
  <c r="X329" i="32"/>
  <c r="Y329" i="32"/>
  <c r="X459" i="32"/>
  <c r="Y459" i="32"/>
  <c r="V74" i="31"/>
  <c r="U74" i="31"/>
  <c r="X38" i="32"/>
  <c r="Y38" i="32"/>
  <c r="Y97" i="32"/>
  <c r="X97" i="32"/>
  <c r="Y202" i="32"/>
  <c r="X202" i="32"/>
  <c r="Y300" i="32"/>
  <c r="X300" i="32"/>
  <c r="Y201" i="32"/>
  <c r="X201" i="32"/>
  <c r="X395" i="32"/>
  <c r="Y395" i="32"/>
  <c r="X332" i="32"/>
  <c r="Y332" i="32"/>
  <c r="X466" i="32"/>
  <c r="Y466" i="32"/>
  <c r="Y505" i="32"/>
  <c r="X505" i="32"/>
  <c r="X576" i="32"/>
  <c r="Y576" i="32"/>
  <c r="X580" i="32"/>
  <c r="Y580" i="32"/>
  <c r="Y603" i="32"/>
  <c r="X603" i="32"/>
  <c r="X484" i="32"/>
  <c r="Y484" i="32"/>
  <c r="Y623" i="31"/>
  <c r="X623" i="31"/>
  <c r="Y59" i="31"/>
  <c r="X59" i="31"/>
  <c r="X524" i="31"/>
  <c r="Y524" i="31"/>
  <c r="Y218" i="31"/>
  <c r="X218" i="31"/>
  <c r="X323" i="31"/>
  <c r="Y323" i="31"/>
  <c r="Y103" i="31"/>
  <c r="X103" i="31"/>
  <c r="Y538" i="31"/>
  <c r="X538" i="31"/>
  <c r="Y135" i="31"/>
  <c r="X135" i="31"/>
  <c r="Y551" i="31"/>
  <c r="X551" i="31"/>
  <c r="X381" i="31"/>
  <c r="Y381" i="31"/>
  <c r="Y187" i="31"/>
  <c r="X187" i="31"/>
  <c r="Y150" i="31"/>
  <c r="X150" i="31"/>
  <c r="X228" i="31"/>
  <c r="Y228" i="31"/>
  <c r="Y91" i="31"/>
  <c r="X91" i="31"/>
  <c r="X317" i="31"/>
  <c r="Y317" i="31"/>
  <c r="Y435" i="31"/>
  <c r="X435" i="31"/>
  <c r="X78" i="31"/>
  <c r="Y78" i="31"/>
  <c r="X107" i="31"/>
  <c r="Y107" i="31"/>
  <c r="X251" i="31"/>
  <c r="Y251" i="31"/>
  <c r="Y472" i="31"/>
  <c r="X472" i="31"/>
  <c r="Y71" i="31"/>
  <c r="X71" i="31"/>
  <c r="Y230" i="31"/>
  <c r="X230" i="31"/>
  <c r="Y395" i="31"/>
  <c r="X395" i="31"/>
  <c r="X542" i="31"/>
  <c r="Y542" i="31"/>
  <c r="X29" i="31"/>
  <c r="Y29" i="31"/>
  <c r="X94" i="31"/>
  <c r="Y94" i="31"/>
  <c r="Y319" i="31"/>
  <c r="X319" i="31"/>
  <c r="X470" i="31"/>
  <c r="Y470" i="31"/>
  <c r="X30" i="31"/>
  <c r="Y30" i="31"/>
  <c r="X192" i="31"/>
  <c r="Y192" i="31"/>
  <c r="Y359" i="31"/>
  <c r="X359" i="31"/>
  <c r="Y556" i="31"/>
  <c r="X556" i="31"/>
  <c r="X105" i="31"/>
  <c r="Y105" i="31"/>
  <c r="Y191" i="31"/>
  <c r="X191" i="31"/>
  <c r="X241" i="31"/>
  <c r="Y241" i="31"/>
  <c r="X364" i="31"/>
  <c r="Y364" i="31"/>
  <c r="Y431" i="31"/>
  <c r="X431" i="31"/>
  <c r="Y528" i="31"/>
  <c r="X528" i="31"/>
  <c r="Y605" i="31"/>
  <c r="X605" i="31"/>
  <c r="X93" i="31"/>
  <c r="Y93" i="31"/>
  <c r="X213" i="31"/>
  <c r="Y213" i="31"/>
  <c r="Y277" i="31"/>
  <c r="X277" i="31"/>
  <c r="Y391" i="31"/>
  <c r="X391" i="31"/>
  <c r="Y453" i="31"/>
  <c r="X453" i="31"/>
  <c r="Y558" i="31"/>
  <c r="X558" i="31"/>
  <c r="Y87" i="31"/>
  <c r="X87" i="31"/>
  <c r="Y173" i="31"/>
  <c r="X173" i="31"/>
  <c r="X278" i="31"/>
  <c r="Y278" i="31"/>
  <c r="Y330" i="31"/>
  <c r="X330" i="31"/>
  <c r="X404" i="31"/>
  <c r="Y404" i="31"/>
  <c r="X537" i="31"/>
  <c r="Y537" i="31"/>
  <c r="Y594" i="31"/>
  <c r="X594" i="31"/>
  <c r="Y99" i="31"/>
  <c r="X99" i="31"/>
  <c r="Y201" i="31"/>
  <c r="X201" i="31"/>
  <c r="Y356" i="31"/>
  <c r="X356" i="31"/>
  <c r="Y388" i="31"/>
  <c r="X388" i="31"/>
  <c r="Y443" i="31"/>
  <c r="X443" i="31"/>
  <c r="Y550" i="31"/>
  <c r="X550" i="31"/>
  <c r="X23" i="31"/>
  <c r="Y23" i="31"/>
  <c r="X133" i="31"/>
  <c r="Y133" i="31"/>
  <c r="Y208" i="31"/>
  <c r="X208" i="31"/>
  <c r="Y272" i="31"/>
  <c r="X272" i="31"/>
  <c r="Y345" i="31"/>
  <c r="X345" i="31"/>
  <c r="Y392" i="31"/>
  <c r="X392" i="31"/>
  <c r="Y451" i="31"/>
  <c r="X451" i="31"/>
  <c r="Y536" i="31"/>
  <c r="X536" i="31"/>
  <c r="Y581" i="31"/>
  <c r="X581" i="31"/>
  <c r="Y128" i="31"/>
  <c r="X128" i="31"/>
  <c r="Y164" i="31"/>
  <c r="X164" i="31"/>
  <c r="Y237" i="31"/>
  <c r="X237" i="31"/>
  <c r="X354" i="31"/>
  <c r="Y354" i="31"/>
  <c r="Y316" i="31"/>
  <c r="X316" i="31"/>
  <c r="Y409" i="31"/>
  <c r="X409" i="31"/>
  <c r="Y480" i="31"/>
  <c r="X480" i="31"/>
  <c r="Y541" i="31"/>
  <c r="X541" i="31"/>
  <c r="W625" i="31"/>
  <c r="T625" i="31"/>
  <c r="M625" i="31"/>
  <c r="J625" i="31"/>
  <c r="G625" i="31"/>
  <c r="D625" i="31"/>
  <c r="AB39" i="32"/>
  <c r="AA39" i="32"/>
  <c r="Y63" i="31"/>
  <c r="X63" i="31"/>
  <c r="AB401" i="32"/>
  <c r="AA401" i="32"/>
  <c r="AB118" i="32"/>
  <c r="AA118" i="32"/>
  <c r="AA468" i="32"/>
  <c r="AB468" i="32"/>
  <c r="AA103" i="32"/>
  <c r="AB103" i="32"/>
  <c r="AA393" i="32"/>
  <c r="AB393" i="32"/>
  <c r="AA530" i="32"/>
  <c r="AB530" i="32"/>
  <c r="AB268" i="32"/>
  <c r="AA268" i="32"/>
  <c r="AB583" i="32"/>
  <c r="AA583" i="32"/>
  <c r="AA154" i="32"/>
  <c r="AB154" i="32"/>
  <c r="AB413" i="32"/>
  <c r="AA413" i="32"/>
  <c r="AA53" i="32"/>
  <c r="AB53" i="32"/>
  <c r="AA224" i="32"/>
  <c r="AB224" i="32"/>
  <c r="AB521" i="32"/>
  <c r="AA521" i="32"/>
  <c r="AA164" i="32"/>
  <c r="AB164" i="32"/>
  <c r="AB382" i="32"/>
  <c r="AA382" i="32"/>
  <c r="AB160" i="32"/>
  <c r="AA160" i="32"/>
  <c r="AB368" i="32"/>
  <c r="AA368" i="32"/>
  <c r="AB51" i="32"/>
  <c r="AA51" i="32"/>
  <c r="AA111" i="32"/>
  <c r="AB111" i="32"/>
  <c r="AA130" i="32"/>
  <c r="AB130" i="32"/>
  <c r="AA289" i="32"/>
  <c r="AB289" i="32"/>
  <c r="AA188" i="32"/>
  <c r="AB188" i="32"/>
  <c r="AA402" i="32"/>
  <c r="AB402" i="32"/>
  <c r="AA360" i="32"/>
  <c r="AB360" i="32"/>
  <c r="AB467" i="32"/>
  <c r="AA467" i="32"/>
  <c r="AB497" i="32"/>
  <c r="AA497" i="32"/>
  <c r="AA546" i="32"/>
  <c r="AB546" i="32"/>
  <c r="AB61" i="32"/>
  <c r="AA61" i="32"/>
  <c r="AA116" i="32"/>
  <c r="AB116" i="32"/>
  <c r="AB114" i="32"/>
  <c r="AA114" i="32"/>
  <c r="AB175" i="32"/>
  <c r="AA175" i="32"/>
  <c r="AB229" i="32"/>
  <c r="AA229" i="32"/>
  <c r="AA453" i="32"/>
  <c r="AB453" i="32"/>
  <c r="AA324" i="32"/>
  <c r="AB324" i="32"/>
  <c r="AA522" i="32"/>
  <c r="AB522" i="32"/>
  <c r="AB535" i="32"/>
  <c r="AA535" i="32"/>
  <c r="AB181" i="32"/>
  <c r="AA181" i="32"/>
  <c r="AB67" i="32"/>
  <c r="AA67" i="32"/>
  <c r="AA74" i="32"/>
  <c r="AB74" i="32"/>
  <c r="AA318" i="32"/>
  <c r="AB318" i="32"/>
  <c r="AA319" i="32"/>
  <c r="AB319" i="32"/>
  <c r="AA338" i="32"/>
  <c r="AB338" i="32"/>
  <c r="AA562" i="32"/>
  <c r="AB562" i="32"/>
  <c r="AB509" i="32"/>
  <c r="AA509" i="32"/>
  <c r="AB499" i="32"/>
  <c r="AA499" i="32"/>
  <c r="AA20" i="32"/>
  <c r="AB20" i="32"/>
  <c r="AB124" i="32"/>
  <c r="AA124" i="32"/>
  <c r="AA284" i="32"/>
  <c r="AB284" i="32"/>
  <c r="AA249" i="32"/>
  <c r="AB249" i="32"/>
  <c r="AB258" i="32"/>
  <c r="AA258" i="32"/>
  <c r="AB341" i="32"/>
  <c r="AA341" i="32"/>
  <c r="AA389" i="32"/>
  <c r="AB389" i="32"/>
  <c r="AA397" i="32"/>
  <c r="AB397" i="32"/>
  <c r="AA598" i="32"/>
  <c r="AB598" i="32"/>
  <c r="AA609" i="32"/>
  <c r="AB609" i="32"/>
  <c r="AB24" i="32"/>
  <c r="AA24" i="32"/>
  <c r="AA89" i="32"/>
  <c r="AB89" i="32"/>
  <c r="AB86" i="32"/>
  <c r="AA86" i="32"/>
  <c r="AB444" i="32"/>
  <c r="AA444" i="32"/>
  <c r="AB211" i="32"/>
  <c r="AA211" i="32"/>
  <c r="AB345" i="32"/>
  <c r="AA345" i="32"/>
  <c r="AA578" i="32"/>
  <c r="AB578" i="32"/>
  <c r="AB513" i="32"/>
  <c r="AA513" i="32"/>
  <c r="AB504" i="32"/>
  <c r="AA504" i="32"/>
  <c r="AB19" i="32"/>
  <c r="AA19" i="32"/>
  <c r="AB191" i="32"/>
  <c r="AA191" i="32"/>
  <c r="AA63" i="32"/>
  <c r="AB63" i="32"/>
  <c r="AA167" i="32"/>
  <c r="AB167" i="32"/>
  <c r="AA275" i="32"/>
  <c r="AB275" i="32"/>
  <c r="AB379" i="32"/>
  <c r="AA379" i="32"/>
  <c r="AA395" i="32"/>
  <c r="AB395" i="32"/>
  <c r="AB422" i="32"/>
  <c r="AA422" i="32"/>
  <c r="AA452" i="32"/>
  <c r="AB452" i="32"/>
  <c r="AB461" i="32"/>
  <c r="AA461" i="32"/>
  <c r="Y365" i="31"/>
  <c r="X365" i="31"/>
  <c r="Y427" i="31"/>
  <c r="X427" i="31"/>
  <c r="Y497" i="31"/>
  <c r="X497" i="31"/>
  <c r="X545" i="31"/>
  <c r="Y545" i="31"/>
  <c r="X607" i="31"/>
  <c r="Y607" i="31"/>
  <c r="AA390" i="32"/>
  <c r="AB390" i="32"/>
  <c r="AA214" i="32"/>
  <c r="AB214" i="32"/>
  <c r="AA454" i="32"/>
  <c r="AB454" i="32"/>
  <c r="AA262" i="32"/>
  <c r="AB262" i="32"/>
  <c r="AB276" i="32"/>
  <c r="AA276" i="32"/>
  <c r="AA200" i="32"/>
  <c r="AB200" i="32"/>
  <c r="AB588" i="32"/>
  <c r="AA588" i="32"/>
  <c r="AA46" i="32"/>
  <c r="AB46" i="32"/>
  <c r="AB343" i="32"/>
  <c r="AA343" i="32"/>
  <c r="AB495" i="32"/>
  <c r="AA495" i="32"/>
  <c r="AA96" i="32"/>
  <c r="AB96" i="32"/>
  <c r="AB420" i="32"/>
  <c r="AA420" i="32"/>
  <c r="AA148" i="32"/>
  <c r="AB148" i="32"/>
  <c r="AA434" i="32"/>
  <c r="AB434" i="32"/>
  <c r="AB581" i="32"/>
  <c r="AA581" i="32"/>
  <c r="AA298" i="32"/>
  <c r="AB298" i="32"/>
  <c r="AB491" i="32"/>
  <c r="AA491" i="32"/>
  <c r="AB50" i="32"/>
  <c r="AA50" i="32"/>
  <c r="AA496" i="32"/>
  <c r="AB496" i="32"/>
  <c r="AB75" i="32"/>
  <c r="AA75" i="32"/>
  <c r="AB155" i="32"/>
  <c r="AA155" i="32"/>
  <c r="AB159" i="32"/>
  <c r="AA159" i="32"/>
  <c r="AB246" i="32"/>
  <c r="AA246" i="32"/>
  <c r="AB235" i="32"/>
  <c r="AA235" i="32"/>
  <c r="AA437" i="32"/>
  <c r="AB437" i="32"/>
  <c r="AA425" i="32"/>
  <c r="AB425" i="32"/>
  <c r="AA555" i="32"/>
  <c r="AB555" i="32"/>
  <c r="AB579" i="32"/>
  <c r="AA579" i="32"/>
  <c r="AB599" i="32"/>
  <c r="AA599" i="32"/>
  <c r="AA95" i="32"/>
  <c r="AB95" i="32"/>
  <c r="AA231" i="32"/>
  <c r="AB231" i="32"/>
  <c r="AA183" i="32"/>
  <c r="AB183" i="32"/>
  <c r="AB252" i="32"/>
  <c r="AA252" i="32"/>
  <c r="AA310" i="32"/>
  <c r="AB310" i="32"/>
  <c r="AB380" i="32"/>
  <c r="AA380" i="32"/>
  <c r="AA391" i="32"/>
  <c r="AB391" i="32"/>
  <c r="AB568" i="32"/>
  <c r="AA568" i="32"/>
  <c r="AB597" i="32"/>
  <c r="AA597" i="32"/>
  <c r="AA139" i="32"/>
  <c r="AB139" i="32"/>
  <c r="AB163" i="32"/>
  <c r="AA163" i="32"/>
  <c r="AA149" i="32"/>
  <c r="AB149" i="32"/>
  <c r="AA230" i="32"/>
  <c r="AB230" i="32"/>
  <c r="AA299" i="32"/>
  <c r="AB299" i="32"/>
  <c r="AA409" i="32"/>
  <c r="AB409" i="32"/>
  <c r="AA335" i="32"/>
  <c r="AB335" i="32"/>
  <c r="AB536" i="32"/>
  <c r="AA536" i="32"/>
  <c r="AB576" i="32"/>
  <c r="AA576" i="32"/>
  <c r="AB56" i="32"/>
  <c r="AA56" i="32"/>
  <c r="AB81" i="32"/>
  <c r="AA81" i="32"/>
  <c r="AB97" i="32"/>
  <c r="AA97" i="32"/>
  <c r="AA217" i="32"/>
  <c r="AB217" i="32"/>
  <c r="AB295" i="32"/>
  <c r="AA295" i="32"/>
  <c r="AB369" i="32"/>
  <c r="AA369" i="32"/>
  <c r="AB450" i="32"/>
  <c r="AA450" i="32"/>
  <c r="AB451" i="32"/>
  <c r="AA451" i="32"/>
  <c r="AB473" i="32"/>
  <c r="AA473" i="32"/>
  <c r="AB503" i="32"/>
  <c r="AA503" i="32"/>
  <c r="AB157" i="32"/>
  <c r="AA157" i="32"/>
  <c r="AB176" i="32"/>
  <c r="AA176" i="32"/>
  <c r="AA162" i="32"/>
  <c r="AB162" i="32"/>
  <c r="AA241" i="32"/>
  <c r="AB241" i="32"/>
  <c r="AA306" i="32"/>
  <c r="AB306" i="32"/>
  <c r="AA447" i="32"/>
  <c r="AB447" i="32"/>
  <c r="AA339" i="32"/>
  <c r="AB339" i="32"/>
  <c r="AA557" i="32"/>
  <c r="AB557" i="32"/>
  <c r="AA605" i="32"/>
  <c r="AB605" i="32"/>
  <c r="AB38" i="32"/>
  <c r="AA38" i="32"/>
  <c r="AB90" i="32"/>
  <c r="AA90" i="32"/>
  <c r="AB104" i="32"/>
  <c r="AA104" i="32"/>
  <c r="AA236" i="32"/>
  <c r="AB236" i="32"/>
  <c r="AB302" i="32"/>
  <c r="AA302" i="32"/>
  <c r="AB376" i="32"/>
  <c r="AA376" i="32"/>
  <c r="AA352" i="32"/>
  <c r="AB352" i="32"/>
  <c r="AA456" i="32"/>
  <c r="AB456" i="32"/>
  <c r="AA481" i="32"/>
  <c r="AB481" i="32"/>
  <c r="AB525" i="32"/>
  <c r="AA525" i="32"/>
  <c r="Y366" i="32"/>
  <c r="X366" i="32"/>
  <c r="Y313" i="32"/>
  <c r="X313" i="32"/>
  <c r="X504" i="32"/>
  <c r="Y504" i="32"/>
  <c r="X463" i="32"/>
  <c r="Y463" i="32"/>
  <c r="X23" i="32"/>
  <c r="Y23" i="32"/>
  <c r="X167" i="32"/>
  <c r="Y167" i="32"/>
  <c r="Y62" i="32"/>
  <c r="X62" i="32"/>
  <c r="Y250" i="32"/>
  <c r="X250" i="32"/>
  <c r="X239" i="32"/>
  <c r="Y239" i="32"/>
  <c r="Y464" i="32"/>
  <c r="X464" i="32"/>
  <c r="X410" i="32"/>
  <c r="Y410" i="32"/>
  <c r="Y612" i="32"/>
  <c r="X612" i="32"/>
  <c r="Y571" i="32"/>
  <c r="X571" i="32"/>
  <c r="Y18" i="32"/>
  <c r="X18" i="32"/>
  <c r="Y80" i="32"/>
  <c r="X80" i="32"/>
  <c r="Y161" i="32"/>
  <c r="X161" i="32"/>
  <c r="X288" i="32"/>
  <c r="Y288" i="32"/>
  <c r="Y338" i="32"/>
  <c r="X338" i="32"/>
  <c r="X383" i="32"/>
  <c r="Y383" i="32"/>
  <c r="Y477" i="32"/>
  <c r="X477" i="32"/>
  <c r="Y589" i="32"/>
  <c r="X589" i="32"/>
  <c r="X16" i="32"/>
  <c r="Y16" i="32"/>
  <c r="X81" i="32"/>
  <c r="Y81" i="32"/>
  <c r="Y132" i="32"/>
  <c r="X132" i="32"/>
  <c r="Y166" i="32"/>
  <c r="X166" i="32"/>
  <c r="Y434" i="32"/>
  <c r="X434" i="32"/>
  <c r="Y256" i="32"/>
  <c r="X256" i="32"/>
  <c r="Y441" i="32"/>
  <c r="X441" i="32"/>
  <c r="X379" i="32"/>
  <c r="Y379" i="32"/>
  <c r="X574" i="32"/>
  <c r="Y574" i="32"/>
  <c r="Y83" i="32"/>
  <c r="X83" i="32"/>
  <c r="X145" i="32"/>
  <c r="Y145" i="32"/>
  <c r="X190" i="32"/>
  <c r="Y190" i="32"/>
  <c r="X258" i="32"/>
  <c r="Y258" i="32"/>
  <c r="X237" i="32"/>
  <c r="Y237" i="32"/>
  <c r="X301" i="32"/>
  <c r="Y301" i="32"/>
  <c r="Y333" i="32"/>
  <c r="X333" i="32"/>
  <c r="Y475" i="32"/>
  <c r="X475" i="32"/>
  <c r="X512" i="32"/>
  <c r="Y512" i="32"/>
  <c r="X110" i="32"/>
  <c r="Y110" i="32"/>
  <c r="Y148" i="32"/>
  <c r="X148" i="32"/>
  <c r="Y205" i="32"/>
  <c r="X205" i="32"/>
  <c r="Y273" i="32"/>
  <c r="X273" i="32"/>
  <c r="Y245" i="32"/>
  <c r="X245" i="32"/>
  <c r="Y317" i="32"/>
  <c r="X317" i="32"/>
  <c r="Y344" i="32"/>
  <c r="X344" i="32"/>
  <c r="X444" i="32"/>
  <c r="Y444" i="32"/>
  <c r="Y516" i="32"/>
  <c r="X516" i="32"/>
  <c r="X583" i="32"/>
  <c r="Y583" i="32"/>
  <c r="Y528" i="32"/>
  <c r="X528" i="32"/>
  <c r="Y513" i="32"/>
  <c r="X513" i="32"/>
  <c r="X472" i="32"/>
  <c r="Y472" i="32"/>
  <c r="Y604" i="32"/>
  <c r="X604" i="32"/>
  <c r="X250" i="31"/>
  <c r="Y250" i="31"/>
  <c r="X72" i="31"/>
  <c r="Y72" i="31"/>
  <c r="Y366" i="31"/>
  <c r="X366" i="31"/>
  <c r="X100" i="31"/>
  <c r="Y100" i="31"/>
  <c r="Y200" i="31"/>
  <c r="X200" i="31"/>
  <c r="Y41" i="31"/>
  <c r="X41" i="31"/>
  <c r="Y153" i="31"/>
  <c r="X153" i="31"/>
  <c r="X45" i="31"/>
  <c r="Y45" i="31"/>
  <c r="Y498" i="31"/>
  <c r="X498" i="31"/>
  <c r="Y273" i="31"/>
  <c r="X273" i="31"/>
  <c r="X68" i="31"/>
  <c r="Y68" i="31"/>
  <c r="Y346" i="31"/>
  <c r="X346" i="31"/>
  <c r="X156" i="31"/>
  <c r="Y156" i="31"/>
  <c r="Y329" i="31"/>
  <c r="X329" i="31"/>
  <c r="Y514" i="31"/>
  <c r="X514" i="31"/>
  <c r="Y53" i="31"/>
  <c r="X53" i="31"/>
  <c r="X180" i="31"/>
  <c r="Y180" i="31"/>
  <c r="Y352" i="31"/>
  <c r="X352" i="31"/>
  <c r="Y493" i="31"/>
  <c r="X493" i="31"/>
  <c r="X44" i="31"/>
  <c r="Y44" i="31"/>
  <c r="Y247" i="31"/>
  <c r="X247" i="31"/>
  <c r="Y418" i="31"/>
  <c r="X418" i="31"/>
  <c r="Y584" i="31"/>
  <c r="X584" i="31"/>
  <c r="Y51" i="31"/>
  <c r="X51" i="31"/>
  <c r="Y183" i="31"/>
  <c r="X183" i="31"/>
  <c r="X353" i="31"/>
  <c r="Y353" i="31"/>
  <c r="Y518" i="31"/>
  <c r="X518" i="31"/>
  <c r="X37" i="31"/>
  <c r="Y37" i="31"/>
  <c r="Y252" i="31"/>
  <c r="X252" i="31"/>
  <c r="X386" i="31"/>
  <c r="Y386" i="31"/>
  <c r="X586" i="31"/>
  <c r="Y586" i="31"/>
  <c r="Y139" i="31"/>
  <c r="X139" i="31"/>
  <c r="Y162" i="31"/>
  <c r="X162" i="31"/>
  <c r="X283" i="31"/>
  <c r="Y283" i="31"/>
  <c r="Y363" i="31"/>
  <c r="X363" i="31"/>
  <c r="Y458" i="31"/>
  <c r="X458" i="31"/>
  <c r="X544" i="31"/>
  <c r="Y544" i="31"/>
  <c r="Y56" i="31"/>
  <c r="X56" i="31"/>
  <c r="X214" i="31"/>
  <c r="Y214" i="31"/>
  <c r="X242" i="31"/>
  <c r="Y242" i="31"/>
  <c r="Y305" i="31"/>
  <c r="X305" i="31"/>
  <c r="X408" i="31"/>
  <c r="Y408" i="31"/>
  <c r="X476" i="31"/>
  <c r="Y476" i="31"/>
  <c r="Y579" i="31"/>
  <c r="X579" i="31"/>
  <c r="Y129" i="31"/>
  <c r="X129" i="31"/>
  <c r="X160" i="31"/>
  <c r="Y160" i="31"/>
  <c r="Y257" i="31"/>
  <c r="X257" i="31"/>
  <c r="Y358" i="31"/>
  <c r="X358" i="31"/>
  <c r="X456" i="31"/>
  <c r="Y456" i="31"/>
  <c r="X519" i="31"/>
  <c r="Y519" i="31"/>
  <c r="X608" i="31"/>
  <c r="Y608" i="31"/>
  <c r="X125" i="31"/>
  <c r="Y125" i="31"/>
  <c r="Y207" i="31"/>
  <c r="X207" i="31"/>
  <c r="Y349" i="31"/>
  <c r="X349" i="31"/>
  <c r="Y384" i="31"/>
  <c r="X384" i="31"/>
  <c r="Y495" i="31"/>
  <c r="X495" i="31"/>
  <c r="Y568" i="31"/>
  <c r="X568" i="31"/>
  <c r="Y96" i="31"/>
  <c r="X96" i="31"/>
  <c r="Y203" i="31"/>
  <c r="X203" i="31"/>
  <c r="Y239" i="31"/>
  <c r="X239" i="31"/>
  <c r="Y266" i="31"/>
  <c r="X266" i="31"/>
  <c r="X347" i="31"/>
  <c r="Y347" i="31"/>
  <c r="Y423" i="31"/>
  <c r="X423" i="31"/>
  <c r="Y488" i="31"/>
  <c r="X488" i="31"/>
  <c r="Y539" i="31"/>
  <c r="X539" i="31"/>
  <c r="Y597" i="31"/>
  <c r="X597" i="31"/>
  <c r="Y122" i="31"/>
  <c r="X122" i="31"/>
  <c r="Y166" i="31"/>
  <c r="X166" i="31"/>
  <c r="X226" i="31"/>
  <c r="Y226" i="31"/>
  <c r="Y261" i="31"/>
  <c r="X261" i="31"/>
  <c r="Y360" i="31"/>
  <c r="X360" i="31"/>
  <c r="Y421" i="31"/>
  <c r="X421" i="31"/>
  <c r="Y491" i="31"/>
  <c r="X491" i="31"/>
  <c r="Y563" i="31"/>
  <c r="X563" i="31"/>
  <c r="X64" i="31"/>
  <c r="Y64" i="31"/>
  <c r="AA126" i="32"/>
  <c r="AB126" i="32"/>
  <c r="AB542" i="32"/>
  <c r="AA542" i="32"/>
  <c r="AB36" i="32"/>
  <c r="AA36" i="32"/>
  <c r="AB325" i="32"/>
  <c r="AA325" i="32"/>
  <c r="AB196" i="32"/>
  <c r="AA196" i="32"/>
  <c r="AA115" i="32"/>
  <c r="AB115" i="32"/>
  <c r="AA353" i="32"/>
  <c r="AB353" i="32"/>
  <c r="AA251" i="32"/>
  <c r="AB251" i="32"/>
  <c r="AB384" i="32"/>
  <c r="AA384" i="32"/>
  <c r="AA492" i="32"/>
  <c r="AB492" i="32"/>
  <c r="AA228" i="32"/>
  <c r="AB228" i="32"/>
  <c r="AA532" i="32"/>
  <c r="AB532" i="32"/>
  <c r="AB102" i="32"/>
  <c r="AA102" i="32"/>
  <c r="AB428" i="32"/>
  <c r="AA428" i="32"/>
  <c r="Y613" i="31"/>
  <c r="X613" i="31"/>
  <c r="AA240" i="32"/>
  <c r="AB240" i="32"/>
  <c r="AB549" i="32"/>
  <c r="AA549" i="32"/>
  <c r="AB172" i="32"/>
  <c r="AA172" i="32"/>
  <c r="AB385" i="32"/>
  <c r="AA385" i="32"/>
  <c r="AA54" i="32"/>
  <c r="AB54" i="32"/>
  <c r="AB41" i="32"/>
  <c r="AA41" i="32"/>
  <c r="AA58" i="32"/>
  <c r="AB58" i="32"/>
  <c r="AB313" i="32"/>
  <c r="AA313" i="32"/>
  <c r="AB297" i="32"/>
  <c r="AA297" i="32"/>
  <c r="AA334" i="32"/>
  <c r="AB334" i="32"/>
  <c r="AA539" i="32"/>
  <c r="AB539" i="32"/>
  <c r="AB505" i="32"/>
  <c r="AA505" i="32"/>
  <c r="AA485" i="32"/>
  <c r="AB485" i="32"/>
  <c r="AB105" i="32"/>
  <c r="AA105" i="32"/>
  <c r="AB76" i="32"/>
  <c r="AA76" i="32"/>
  <c r="AB80" i="32"/>
  <c r="AA80" i="32"/>
  <c r="AA205" i="32"/>
  <c r="AB205" i="32"/>
  <c r="AB288" i="32"/>
  <c r="AA288" i="32"/>
  <c r="AB361" i="32"/>
  <c r="AA361" i="32"/>
  <c r="AB416" i="32"/>
  <c r="AA416" i="32"/>
  <c r="AA440" i="32"/>
  <c r="AB440" i="32"/>
  <c r="AB469" i="32"/>
  <c r="AA469" i="32"/>
  <c r="AA489" i="32"/>
  <c r="AB489" i="32"/>
  <c r="AB29" i="32"/>
  <c r="AA29" i="32"/>
  <c r="AA78" i="32"/>
  <c r="AB78" i="32"/>
  <c r="AB400" i="32"/>
  <c r="AA400" i="32"/>
  <c r="AB309" i="32"/>
  <c r="AA309" i="32"/>
  <c r="AA190" i="32"/>
  <c r="AB190" i="32"/>
  <c r="AB366" i="32"/>
  <c r="AA366" i="32"/>
  <c r="AA377" i="32"/>
  <c r="AB377" i="32"/>
  <c r="AB592" i="32"/>
  <c r="AA592" i="32"/>
  <c r="AB510" i="32"/>
  <c r="AA510" i="32"/>
  <c r="AA42" i="32"/>
  <c r="AB42" i="32"/>
  <c r="AA131" i="32"/>
  <c r="AB131" i="32"/>
  <c r="AA141" i="32"/>
  <c r="AB141" i="32"/>
  <c r="AB198" i="32"/>
  <c r="AA198" i="32"/>
  <c r="AB204" i="32"/>
  <c r="AA204" i="32"/>
  <c r="AA419" i="32"/>
  <c r="AB419" i="32"/>
  <c r="AB375" i="32"/>
  <c r="AA375" i="32"/>
  <c r="AB500" i="32"/>
  <c r="AA500" i="32"/>
  <c r="AA540" i="32"/>
  <c r="AB540" i="32"/>
  <c r="AA560" i="32"/>
  <c r="AB560" i="32"/>
  <c r="AB16" i="32"/>
  <c r="AA16" i="32"/>
  <c r="AA92" i="32"/>
  <c r="AB92" i="32"/>
  <c r="AB88" i="32"/>
  <c r="AA88" i="32"/>
  <c r="AA463" i="32"/>
  <c r="AB463" i="32"/>
  <c r="AA206" i="32"/>
  <c r="AB206" i="32"/>
  <c r="AA387" i="32"/>
  <c r="AB387" i="32"/>
  <c r="AA408" i="32"/>
  <c r="AB408" i="32"/>
  <c r="AA596" i="32"/>
  <c r="AB596" i="32"/>
  <c r="AA514" i="32"/>
  <c r="AB514" i="32"/>
  <c r="AA22" i="32"/>
  <c r="AB22" i="32"/>
  <c r="AA143" i="32"/>
  <c r="AB143" i="32"/>
  <c r="AB150" i="32"/>
  <c r="AA150" i="32"/>
  <c r="AB221" i="32"/>
  <c r="AA221" i="32"/>
  <c r="AB218" i="32"/>
  <c r="AA218" i="32"/>
  <c r="AB426" i="32"/>
  <c r="AA426" i="32"/>
  <c r="AA403" i="32"/>
  <c r="AB403" i="32"/>
  <c r="AA527" i="32"/>
  <c r="AB527" i="32"/>
  <c r="AA561" i="32"/>
  <c r="AB561" i="32"/>
  <c r="AA567" i="32"/>
  <c r="AB567" i="32"/>
  <c r="G92" i="1"/>
  <c r="AC624" i="32" l="1"/>
  <c r="AC625" i="32"/>
  <c r="AC626" i="32"/>
  <c r="AC623" i="32"/>
  <c r="AC622" i="32"/>
  <c r="AC628" i="32"/>
  <c r="K627" i="32"/>
  <c r="AP627" i="32"/>
  <c r="AC627" i="32"/>
  <c r="Z627" i="32"/>
  <c r="E627" i="32"/>
  <c r="W627" i="32"/>
  <c r="AM627" i="32"/>
  <c r="AJ627" i="32"/>
  <c r="AP629" i="32"/>
  <c r="Z629" i="32"/>
  <c r="E629" i="32"/>
  <c r="AM629" i="32"/>
  <c r="W629" i="32"/>
  <c r="AJ629" i="32"/>
  <c r="K629" i="32"/>
  <c r="AC629" i="32"/>
  <c r="V625" i="31"/>
  <c r="U625" i="31"/>
  <c r="AC625" i="31"/>
  <c r="L625" i="31"/>
  <c r="K625" i="31"/>
  <c r="V624" i="31"/>
  <c r="U624" i="31"/>
  <c r="O625" i="31"/>
  <c r="N625" i="31"/>
  <c r="Y624" i="31"/>
  <c r="X624" i="31"/>
  <c r="Y625" i="31"/>
  <c r="X625" i="31"/>
  <c r="AC586" i="32"/>
  <c r="AC521" i="32"/>
  <c r="AC492" i="32"/>
  <c r="AC563" i="32"/>
  <c r="AC600" i="32"/>
  <c r="AC554" i="32"/>
  <c r="AC478" i="32"/>
  <c r="AC568" i="32"/>
  <c r="AC522" i="32"/>
  <c r="AC610" i="32"/>
  <c r="AC580" i="32"/>
  <c r="AC520" i="32"/>
  <c r="AC505" i="32"/>
  <c r="AC555" i="32"/>
  <c r="AC588" i="32"/>
  <c r="AC494" i="32"/>
  <c r="AC523" i="32"/>
  <c r="AC362" i="32"/>
  <c r="AC333" i="32"/>
  <c r="AC454" i="32"/>
  <c r="AC416" i="32"/>
  <c r="AC355" i="32"/>
  <c r="AC430" i="32"/>
  <c r="AC380" i="32"/>
  <c r="AC461" i="32"/>
  <c r="AC331" i="32"/>
  <c r="AC458" i="32"/>
  <c r="AC393" i="32"/>
  <c r="AC442" i="32"/>
  <c r="AC376" i="32"/>
  <c r="AC332" i="32"/>
  <c r="AC444" i="32"/>
  <c r="AC391" i="32"/>
  <c r="AC324" i="32"/>
  <c r="AC211" i="32"/>
  <c r="AC272" i="32"/>
  <c r="AC220" i="32"/>
  <c r="AC388" i="32"/>
  <c r="AC288" i="32"/>
  <c r="AC250" i="32"/>
  <c r="AC377" i="32"/>
  <c r="AC291" i="32"/>
  <c r="AC225" i="32"/>
  <c r="AC429" i="32"/>
  <c r="AC281" i="32"/>
  <c r="AC205" i="32"/>
  <c r="AC261" i="32"/>
  <c r="AC365" i="32"/>
  <c r="AC259" i="32"/>
  <c r="AC231" i="32"/>
  <c r="AC341" i="32"/>
  <c r="AC156" i="32"/>
  <c r="AC86" i="32"/>
  <c r="AC264" i="32"/>
  <c r="AC144" i="32"/>
  <c r="AC115" i="32"/>
  <c r="AC480" i="32"/>
  <c r="AC102" i="32"/>
  <c r="AC427" i="32"/>
  <c r="AC163" i="32"/>
  <c r="AC70" i="32"/>
  <c r="AC139" i="32"/>
  <c r="AC64" i="32"/>
  <c r="AC199" i="32"/>
  <c r="AC93" i="32"/>
  <c r="AC127" i="32"/>
  <c r="AC71" i="32"/>
  <c r="AC24" i="32"/>
  <c r="AC43" i="32"/>
  <c r="Z78" i="31"/>
  <c r="AC584" i="32"/>
  <c r="AC518" i="32"/>
  <c r="AC490" i="32"/>
  <c r="AC551" i="32"/>
  <c r="AC589" i="32"/>
  <c r="AC540" i="32"/>
  <c r="AC470" i="32"/>
  <c r="AC566" i="32"/>
  <c r="AC502" i="32"/>
  <c r="AC608" i="32"/>
  <c r="AC559" i="32"/>
  <c r="AC519" i="32"/>
  <c r="AC491" i="32"/>
  <c r="AC541" i="32"/>
  <c r="AC581" i="32"/>
  <c r="AC482" i="32"/>
  <c r="AC477" i="32"/>
  <c r="AC351" i="32"/>
  <c r="AC330" i="32"/>
  <c r="AC443" i="32"/>
  <c r="AC413" i="32"/>
  <c r="AC353" i="32"/>
  <c r="AC411" i="32"/>
  <c r="AC378" i="32"/>
  <c r="AC428" i="32"/>
  <c r="AC323" i="32"/>
  <c r="AC439" i="32"/>
  <c r="AC390" i="32"/>
  <c r="AC437" i="32"/>
  <c r="AC374" i="32"/>
  <c r="AC317" i="32"/>
  <c r="AC435" i="32"/>
  <c r="AC385" i="32"/>
  <c r="AC321" i="32"/>
  <c r="AC188" i="32"/>
  <c r="AC270" i="32"/>
  <c r="AC218" i="32"/>
  <c r="AC343" i="32"/>
  <c r="AC283" i="32"/>
  <c r="AC243" i="32"/>
  <c r="AC372" i="32"/>
  <c r="AC286" i="32"/>
  <c r="AC223" i="32"/>
  <c r="AC382" i="32"/>
  <c r="AC273" i="32"/>
  <c r="AC475" i="32"/>
  <c r="AC236" i="32"/>
  <c r="AC301" i="32"/>
  <c r="AC256" i="32"/>
  <c r="AC208" i="32"/>
  <c r="AC327" i="32"/>
  <c r="AC153" i="32"/>
  <c r="AC82" i="32"/>
  <c r="AC222" i="32"/>
  <c r="AC141" i="32"/>
  <c r="AC110" i="32"/>
  <c r="AC312" i="32"/>
  <c r="AC99" i="32"/>
  <c r="AC247" i="32"/>
  <c r="AC151" i="32"/>
  <c r="AC67" i="32"/>
  <c r="AC133" i="32"/>
  <c r="AC54" i="32"/>
  <c r="AC166" i="32"/>
  <c r="AC183" i="32"/>
  <c r="AC120" i="32"/>
  <c r="AC65" i="32"/>
  <c r="AC19" i="32"/>
  <c r="AC39" i="32"/>
  <c r="AC47" i="32"/>
  <c r="AC27" i="32"/>
  <c r="AC59" i="32"/>
  <c r="AC173" i="32"/>
  <c r="AC38" i="32"/>
  <c r="AC21" i="32"/>
  <c r="AC609" i="32"/>
  <c r="AC607" i="32"/>
  <c r="AC556" i="32"/>
  <c r="AC514" i="32"/>
  <c r="AC476" i="32"/>
  <c r="AC526" i="32"/>
  <c r="AC579" i="32"/>
  <c r="AC531" i="32"/>
  <c r="AC462" i="32"/>
  <c r="AC549" i="32"/>
  <c r="AC488" i="32"/>
  <c r="AC596" i="32"/>
  <c r="AC552" i="32"/>
  <c r="AC515" i="32"/>
  <c r="AC604" i="32"/>
  <c r="AC500" i="32"/>
  <c r="AC571" i="32"/>
  <c r="AC453" i="32"/>
  <c r="AC420" i="32"/>
  <c r="AC346" i="32"/>
  <c r="AC322" i="32"/>
  <c r="AC438" i="32"/>
  <c r="AC389" i="32"/>
  <c r="AC316" i="32"/>
  <c r="AC404" i="32"/>
  <c r="AC363" i="32"/>
  <c r="AC421" i="32"/>
  <c r="AC319" i="32"/>
  <c r="AC426" i="32"/>
  <c r="AC345" i="32"/>
  <c r="AC424" i="32"/>
  <c r="AC364" i="32"/>
  <c r="AC553" i="32"/>
  <c r="AC412" i="32"/>
  <c r="AC379" i="32"/>
  <c r="AC304" i="32"/>
  <c r="AC179" i="32"/>
  <c r="AC245" i="32"/>
  <c r="AC204" i="32"/>
  <c r="AC326" i="32"/>
  <c r="AC275" i="32"/>
  <c r="AC232" i="32"/>
  <c r="AC357" i="32"/>
  <c r="AC263" i="32"/>
  <c r="AC207" i="32"/>
  <c r="AC315" i="32"/>
  <c r="AC253" i="32"/>
  <c r="AC336" i="32"/>
  <c r="AC217" i="32"/>
  <c r="AC287" i="32"/>
  <c r="AC249" i="32"/>
  <c r="AC194" i="32"/>
  <c r="AC254" i="32"/>
  <c r="AC132" i="32"/>
  <c r="AC69" i="32"/>
  <c r="AC185" i="32"/>
  <c r="AC135" i="32"/>
  <c r="AC80" i="32"/>
  <c r="AC182" i="32"/>
  <c r="AC92" i="32"/>
  <c r="AC196" i="32"/>
  <c r="AC126" i="32"/>
  <c r="AC267" i="32"/>
  <c r="AC108" i="32"/>
  <c r="AC49" i="32"/>
  <c r="AC597" i="32"/>
  <c r="AC544" i="32"/>
  <c r="AC512" i="32"/>
  <c r="AC447" i="32"/>
  <c r="AC504" i="32"/>
  <c r="AC577" i="32"/>
  <c r="AC497" i="32"/>
  <c r="AC452" i="32"/>
  <c r="AC547" i="32"/>
  <c r="AC474" i="32"/>
  <c r="AC594" i="32"/>
  <c r="AC543" i="32"/>
  <c r="AC513" i="32"/>
  <c r="AC601" i="32"/>
  <c r="AC498" i="32"/>
  <c r="AC550" i="32"/>
  <c r="AC451" i="32"/>
  <c r="AC415" i="32"/>
  <c r="AC344" i="32"/>
  <c r="AC318" i="32"/>
  <c r="AC436" i="32"/>
  <c r="AC375" i="32"/>
  <c r="AC501" i="32"/>
  <c r="AC401" i="32"/>
  <c r="AC358" i="32"/>
  <c r="AC387" i="32"/>
  <c r="AC314" i="32"/>
  <c r="AC414" i="32"/>
  <c r="AC560" i="32"/>
  <c r="AC419" i="32"/>
  <c r="AC361" i="32"/>
  <c r="AC530" i="32"/>
  <c r="AC405" i="32"/>
  <c r="AC350" i="32"/>
  <c r="AC277" i="32"/>
  <c r="AC410" i="32"/>
  <c r="AC240" i="32"/>
  <c r="AC202" i="32"/>
  <c r="AC302" i="32"/>
  <c r="AC260" i="32"/>
  <c r="AC216" i="32"/>
  <c r="AC340" i="32"/>
  <c r="AC248" i="32"/>
  <c r="AC191" i="32"/>
  <c r="AC313" i="32"/>
  <c r="AC246" i="32"/>
  <c r="AC303" i="32"/>
  <c r="AC210" i="32"/>
  <c r="AC284" i="32"/>
  <c r="AC244" i="32"/>
  <c r="AC192" i="32"/>
  <c r="AC198" i="32"/>
  <c r="AC112" i="32"/>
  <c r="AC63" i="32"/>
  <c r="AC177" i="32"/>
  <c r="AC130" i="32"/>
  <c r="AC77" i="32"/>
  <c r="AC160" i="32"/>
  <c r="AC78" i="32"/>
  <c r="AC187" i="32"/>
  <c r="AC119" i="32"/>
  <c r="AC215" i="32"/>
  <c r="AC105" i="32"/>
  <c r="AC292" i="32"/>
  <c r="AC134" i="32"/>
  <c r="AC164" i="32"/>
  <c r="AC98" i="32"/>
  <c r="AC114" i="32"/>
  <c r="AC129" i="32"/>
  <c r="AC595" i="32"/>
  <c r="AC535" i="32"/>
  <c r="AC510" i="32"/>
  <c r="AC605" i="32"/>
  <c r="AC499" i="32"/>
  <c r="AC572" i="32"/>
  <c r="AC495" i="32"/>
  <c r="AC612" i="32"/>
  <c r="AC545" i="32"/>
  <c r="AC460" i="32"/>
  <c r="AC592" i="32"/>
  <c r="AC534" i="32"/>
  <c r="AC511" i="32"/>
  <c r="AC575" i="32"/>
  <c r="AC484" i="32"/>
  <c r="AC539" i="32"/>
  <c r="AC599" i="32"/>
  <c r="AC408" i="32"/>
  <c r="AC339" i="32"/>
  <c r="AC472" i="32"/>
  <c r="AC433" i="32"/>
  <c r="AC373" i="32"/>
  <c r="AC479" i="32"/>
  <c r="AC395" i="32"/>
  <c r="AC349" i="32"/>
  <c r="AC381" i="32"/>
  <c r="AC613" i="32"/>
  <c r="AC409" i="32"/>
  <c r="AC548" i="32"/>
  <c r="AC417" i="32"/>
  <c r="AC359" i="32"/>
  <c r="AC473" i="32"/>
  <c r="AC400" i="32"/>
  <c r="AC466" i="32"/>
  <c r="AC262" i="32"/>
  <c r="AC297" i="32"/>
  <c r="AC237" i="32"/>
  <c r="AC197" i="32"/>
  <c r="AC300" i="32"/>
  <c r="AC258" i="32"/>
  <c r="AC200" i="32"/>
  <c r="AC311" i="32"/>
  <c r="AC238" i="32"/>
  <c r="AC186" i="32"/>
  <c r="AC305" i="32"/>
  <c r="AC233" i="32"/>
  <c r="AC296" i="32"/>
  <c r="AC203" i="32"/>
  <c r="AC279" i="32"/>
  <c r="AC242" i="32"/>
  <c r="AC176" i="32"/>
  <c r="AC170" i="32"/>
  <c r="AC107" i="32"/>
  <c r="AC58" i="32"/>
  <c r="AC154" i="32"/>
  <c r="AC128" i="32"/>
  <c r="AC66" i="32"/>
  <c r="AC142" i="32"/>
  <c r="AC72" i="32"/>
  <c r="AC171" i="32"/>
  <c r="AC90" i="32"/>
  <c r="AC169" i="32"/>
  <c r="AC100" i="32"/>
  <c r="AC282" i="32"/>
  <c r="AC122" i="32"/>
  <c r="AC159" i="32"/>
  <c r="AC91" i="32"/>
  <c r="AC31" i="32"/>
  <c r="AC124" i="32"/>
  <c r="AC81" i="32"/>
  <c r="AC17" i="32"/>
  <c r="AC84" i="32"/>
  <c r="AC28" i="32"/>
  <c r="AC36" i="32"/>
  <c r="AC68" i="32"/>
  <c r="AC508" i="32"/>
  <c r="AC582" i="32"/>
  <c r="AC587" i="32"/>
  <c r="AC585" i="32"/>
  <c r="AC486" i="32"/>
  <c r="AC496" i="32"/>
  <c r="AC337" i="32"/>
  <c r="AC403" i="32"/>
  <c r="AC383" i="32"/>
  <c r="AC467" i="32"/>
  <c r="AC434" i="32"/>
  <c r="AC449" i="32"/>
  <c r="AC257" i="32"/>
  <c r="AC209" i="32"/>
  <c r="AC252" i="32"/>
  <c r="AC230" i="32"/>
  <c r="AC266" i="32"/>
  <c r="AC503" i="32"/>
  <c r="AC174" i="32"/>
  <c r="AC74" i="32"/>
  <c r="AC116" i="32"/>
  <c r="AC61" i="32"/>
  <c r="AC299" i="32"/>
  <c r="AC224" i="32"/>
  <c r="AC140" i="32"/>
  <c r="AC14" i="32"/>
  <c r="AC76" i="32"/>
  <c r="AC45" i="32"/>
  <c r="AC32" i="32"/>
  <c r="AC18" i="32"/>
  <c r="AC26" i="32"/>
  <c r="AC506" i="32"/>
  <c r="AC570" i="32"/>
  <c r="AC564" i="32"/>
  <c r="AC583" i="32"/>
  <c r="AC573" i="32"/>
  <c r="AC463" i="32"/>
  <c r="AC335" i="32"/>
  <c r="AC370" i="32"/>
  <c r="AC368" i="32"/>
  <c r="AC464" i="32"/>
  <c r="AC407" i="32"/>
  <c r="AC432" i="32"/>
  <c r="AC213" i="32"/>
  <c r="AC195" i="32"/>
  <c r="AC241" i="32"/>
  <c r="AC228" i="32"/>
  <c r="AC221" i="32"/>
  <c r="AC294" i="32"/>
  <c r="AC172" i="32"/>
  <c r="AC422" i="32"/>
  <c r="AC83" i="32"/>
  <c r="AC56" i="32"/>
  <c r="AC157" i="32"/>
  <c r="AC158" i="32"/>
  <c r="AC118" i="32"/>
  <c r="AC189" i="32"/>
  <c r="AC60" i="32"/>
  <c r="AC22" i="32"/>
  <c r="AC30" i="32"/>
  <c r="AC16" i="32"/>
  <c r="AC40" i="32"/>
  <c r="AC593" i="32"/>
  <c r="AC487" i="32"/>
  <c r="AC561" i="32"/>
  <c r="AC536" i="32"/>
  <c r="AC557" i="32"/>
  <c r="AC562" i="32"/>
  <c r="AC569" i="32"/>
  <c r="AC325" i="32"/>
  <c r="AC360" i="32"/>
  <c r="AC567" i="32"/>
  <c r="AC431" i="32"/>
  <c r="AC402" i="32"/>
  <c r="AC397" i="32"/>
  <c r="AC181" i="32"/>
  <c r="AC446" i="32"/>
  <c r="AC193" i="32"/>
  <c r="AC214" i="32"/>
  <c r="AC212" i="32"/>
  <c r="AC274" i="32"/>
  <c r="AC308" i="32"/>
  <c r="AC290" i="32"/>
  <c r="AC48" i="32"/>
  <c r="AC226" i="32"/>
  <c r="AC148" i="32"/>
  <c r="AC152" i="32"/>
  <c r="AC109" i="32"/>
  <c r="AC145" i="32"/>
  <c r="AC52" i="32"/>
  <c r="AC20" i="32"/>
  <c r="AC25" i="32"/>
  <c r="AC111" i="32"/>
  <c r="AC591" i="32"/>
  <c r="AC576" i="32"/>
  <c r="AC538" i="32"/>
  <c r="AC524" i="32"/>
  <c r="AC529" i="32"/>
  <c r="AC532" i="32"/>
  <c r="AC546" i="32"/>
  <c r="AC465" i="32"/>
  <c r="AC352" i="32"/>
  <c r="AC489" i="32"/>
  <c r="AC399" i="32"/>
  <c r="AC369" i="32"/>
  <c r="AC394" i="32"/>
  <c r="AC285" i="32"/>
  <c r="AC334" i="32"/>
  <c r="AC440" i="32"/>
  <c r="AC184" i="32"/>
  <c r="AC342" i="32"/>
  <c r="AC269" i="32"/>
  <c r="AC168" i="32"/>
  <c r="AC206" i="32"/>
  <c r="AC46" i="32"/>
  <c r="AC167" i="32"/>
  <c r="AC113" i="32"/>
  <c r="AC101" i="32"/>
  <c r="AC88" i="32"/>
  <c r="AC57" i="32"/>
  <c r="AC41" i="32"/>
  <c r="AC15" i="32"/>
  <c r="AC13" i="32"/>
  <c r="AC178" i="32"/>
  <c r="Z613" i="31"/>
  <c r="AC558" i="32"/>
  <c r="AC574" i="32"/>
  <c r="AC483" i="32"/>
  <c r="AC493" i="32"/>
  <c r="AC527" i="32"/>
  <c r="AC602" i="32"/>
  <c r="AC468" i="32"/>
  <c r="AC456" i="32"/>
  <c r="AC459" i="32"/>
  <c r="AC423" i="32"/>
  <c r="AC396" i="32"/>
  <c r="AC356" i="32"/>
  <c r="AC384" i="32"/>
  <c r="AC280" i="32"/>
  <c r="AC295" i="32"/>
  <c r="AC367" i="32"/>
  <c r="AC457" i="32"/>
  <c r="AC276" i="32"/>
  <c r="AC251" i="32"/>
  <c r="AC162" i="32"/>
  <c r="AC150" i="32"/>
  <c r="AC190" i="32"/>
  <c r="AC165" i="32"/>
  <c r="AC95" i="32"/>
  <c r="AC96" i="32"/>
  <c r="AC85" i="32"/>
  <c r="AC50" i="32"/>
  <c r="AC37" i="32"/>
  <c r="AC23" i="32"/>
  <c r="AC137" i="32"/>
  <c r="AC161" i="32"/>
  <c r="AC533" i="32"/>
  <c r="AC542" i="32"/>
  <c r="AC481" i="32"/>
  <c r="AC450" i="32"/>
  <c r="AC517" i="32"/>
  <c r="AC590" i="32"/>
  <c r="AC398" i="32"/>
  <c r="AC441" i="32"/>
  <c r="AC445" i="32"/>
  <c r="AC371" i="32"/>
  <c r="AC347" i="32"/>
  <c r="AC354" i="32"/>
  <c r="AC338" i="32"/>
  <c r="AC265" i="32"/>
  <c r="AC293" i="32"/>
  <c r="AC309" i="32"/>
  <c r="AC328" i="32"/>
  <c r="AC271" i="32"/>
  <c r="AC239" i="32"/>
  <c r="AC146" i="32"/>
  <c r="AC147" i="32"/>
  <c r="AC123" i="32"/>
  <c r="AC136" i="32"/>
  <c r="AC75" i="32"/>
  <c r="AC180" i="32"/>
  <c r="AC55" i="32"/>
  <c r="AC34" i="32"/>
  <c r="AC35" i="32"/>
  <c r="AC310" i="32"/>
  <c r="AC131" i="32"/>
  <c r="AC73" i="32"/>
  <c r="AC485" i="32"/>
  <c r="AC578" i="32"/>
  <c r="AC366" i="32"/>
  <c r="AC235" i="32"/>
  <c r="AC219" i="32"/>
  <c r="AC121" i="32"/>
  <c r="AC155" i="32"/>
  <c r="AC62" i="32"/>
  <c r="AC603" i="32"/>
  <c r="AC537" i="32"/>
  <c r="AC320" i="32"/>
  <c r="AC227" i="32"/>
  <c r="AC611" i="32"/>
  <c r="AC94" i="32"/>
  <c r="AC29" i="32"/>
  <c r="AC44" i="32"/>
  <c r="AC469" i="32"/>
  <c r="AC386" i="32"/>
  <c r="AC525" i="32"/>
  <c r="AC278" i="32"/>
  <c r="AC234" i="32"/>
  <c r="AC89" i="32"/>
  <c r="AC79" i="32"/>
  <c r="AC53" i="32"/>
  <c r="AC448" i="32"/>
  <c r="AC425" i="32"/>
  <c r="AC565" i="32"/>
  <c r="AC307" i="32"/>
  <c r="AC104" i="32"/>
  <c r="AC51" i="32"/>
  <c r="AC106" i="32"/>
  <c r="Z76" i="31"/>
  <c r="AC606" i="32"/>
  <c r="AC418" i="32"/>
  <c r="AC455" i="32"/>
  <c r="AC268" i="32"/>
  <c r="AC97" i="32"/>
  <c r="AC229" i="32"/>
  <c r="AC117" i="32"/>
  <c r="AC509" i="32"/>
  <c r="AC255" i="32"/>
  <c r="AC149" i="32"/>
  <c r="Z36" i="31"/>
  <c r="AC507" i="32"/>
  <c r="AC298" i="32"/>
  <c r="AC103" i="32"/>
  <c r="AC348" i="32"/>
  <c r="AC289" i="32"/>
  <c r="AC143" i="32"/>
  <c r="AC406" i="32"/>
  <c r="AC201" i="32"/>
  <c r="AC42" i="32"/>
  <c r="AC392" i="32"/>
  <c r="AC138" i="32"/>
  <c r="AC33" i="32"/>
  <c r="AC528" i="32"/>
  <c r="AC471" i="32"/>
  <c r="AC125" i="32"/>
  <c r="Z52" i="31"/>
  <c r="Z13" i="31"/>
  <c r="Z21" i="31"/>
  <c r="Z53" i="31"/>
  <c r="AC516" i="32"/>
  <c r="Z16" i="31"/>
  <c r="AC329" i="32"/>
  <c r="AC306" i="32"/>
  <c r="Z44" i="31"/>
  <c r="Z37" i="31"/>
  <c r="Z69" i="31"/>
  <c r="AC598" i="32"/>
  <c r="Z20" i="31"/>
  <c r="Z46" i="31"/>
  <c r="Z605" i="31"/>
  <c r="Z598" i="31"/>
  <c r="Z586" i="31"/>
  <c r="Z601" i="31"/>
  <c r="Z576" i="31"/>
  <c r="Z582" i="31"/>
  <c r="Z557" i="31"/>
  <c r="Z552" i="31"/>
  <c r="Z555" i="31"/>
  <c r="Z537" i="31"/>
  <c r="Z517" i="31"/>
  <c r="Z523" i="31"/>
  <c r="Z521" i="31"/>
  <c r="Z519" i="31"/>
  <c r="Z482" i="31"/>
  <c r="Z488" i="31"/>
  <c r="Z478" i="31"/>
  <c r="Z458" i="31"/>
  <c r="Z456" i="31"/>
  <c r="Z454" i="31"/>
  <c r="Z439" i="31"/>
  <c r="Z453" i="31"/>
  <c r="Z435" i="31"/>
  <c r="Z428" i="31"/>
  <c r="Z415" i="31"/>
  <c r="Z413" i="31"/>
  <c r="Z403" i="31"/>
  <c r="Z374" i="31"/>
  <c r="Z395" i="31"/>
  <c r="Z368" i="31"/>
  <c r="Z366" i="31"/>
  <c r="Z356" i="31"/>
  <c r="Z370" i="31"/>
  <c r="Z305" i="31"/>
  <c r="Z312" i="31"/>
  <c r="Z303" i="31"/>
  <c r="Z302" i="31"/>
  <c r="Z361" i="31"/>
  <c r="Z292" i="31"/>
  <c r="Z322" i="31"/>
  <c r="Z315" i="31"/>
  <c r="Z298" i="31"/>
  <c r="Z278" i="31"/>
  <c r="Z285" i="31"/>
  <c r="Z331" i="31"/>
  <c r="Z346" i="31"/>
  <c r="Z284" i="31"/>
  <c r="Z251" i="31"/>
  <c r="Z229" i="31"/>
  <c r="Z234" i="31"/>
  <c r="Z211" i="31"/>
  <c r="Z206" i="31"/>
  <c r="Z205" i="31"/>
  <c r="Z204" i="31"/>
  <c r="Z195" i="31"/>
  <c r="Z219" i="31"/>
  <c r="Z146" i="31"/>
  <c r="Z153" i="31"/>
  <c r="Z168" i="31"/>
  <c r="Z91" i="31"/>
  <c r="Z90" i="31"/>
  <c r="Z89" i="31"/>
  <c r="Z96" i="31"/>
  <c r="Z103" i="31"/>
  <c r="Z110" i="31"/>
  <c r="Z117" i="31"/>
  <c r="Z116" i="31"/>
  <c r="AC87" i="32"/>
  <c r="Z60" i="31"/>
  <c r="Z77" i="31"/>
  <c r="AC175" i="32"/>
  <c r="Z22" i="31"/>
  <c r="Z38" i="31"/>
  <c r="Z68" i="31"/>
  <c r="Z54" i="31"/>
  <c r="Z29" i="31"/>
  <c r="Z61" i="31"/>
  <c r="Z606" i="31"/>
  <c r="Z600" i="31"/>
  <c r="Z590" i="31"/>
  <c r="Z574" i="31"/>
  <c r="Z559" i="31"/>
  <c r="Z561" i="31"/>
  <c r="Z550" i="31"/>
  <c r="Z544" i="31"/>
  <c r="Z509" i="31"/>
  <c r="Z507" i="31"/>
  <c r="Z520" i="31"/>
  <c r="Z533" i="31"/>
  <c r="Z510" i="31"/>
  <c r="Z494" i="31"/>
  <c r="Z466" i="31"/>
  <c r="Z518" i="31"/>
  <c r="Z485" i="31"/>
  <c r="Z452" i="31"/>
  <c r="Z469" i="31"/>
  <c r="Z418" i="31"/>
  <c r="Z408" i="31"/>
  <c r="Z421" i="31"/>
  <c r="Z391" i="31"/>
  <c r="Z389" i="31"/>
  <c r="Z394" i="31"/>
  <c r="Z367" i="31"/>
  <c r="Z449" i="31"/>
  <c r="Z400" i="31"/>
  <c r="Z313" i="31"/>
  <c r="Z304" i="31"/>
  <c r="Z287" i="31"/>
  <c r="Z333" i="31"/>
  <c r="Z324" i="31"/>
  <c r="Z274" i="31"/>
  <c r="Z369" i="31"/>
  <c r="Z330" i="31"/>
  <c r="Z270" i="31"/>
  <c r="Z269" i="31"/>
  <c r="Z252" i="31"/>
  <c r="Z276" i="31"/>
  <c r="Z232" i="31"/>
  <c r="Z222" i="31"/>
  <c r="Z239" i="31"/>
  <c r="Z199" i="31"/>
  <c r="Z190" i="31"/>
  <c r="Z181" i="31"/>
  <c r="Z172" i="31"/>
  <c r="Z155" i="31"/>
  <c r="Z162" i="31"/>
  <c r="Z161" i="31"/>
  <c r="Z160" i="31"/>
  <c r="Z138" i="31"/>
  <c r="Z129" i="31"/>
  <c r="Z128" i="31"/>
  <c r="Z127" i="31"/>
  <c r="Z126" i="31"/>
  <c r="Z125" i="31"/>
  <c r="Z108" i="31"/>
  <c r="Z31" i="31"/>
  <c r="Z55" i="31"/>
  <c r="Z79" i="31"/>
  <c r="Z24" i="31"/>
  <c r="Z48" i="31"/>
  <c r="Z72" i="31"/>
  <c r="Z26" i="31"/>
  <c r="Z58" i="31"/>
  <c r="Z19" i="31"/>
  <c r="Z51" i="31"/>
  <c r="Z612" i="31"/>
  <c r="Z611" i="31"/>
  <c r="Z593" i="31"/>
  <c r="Z578" i="31"/>
  <c r="Z573" i="31"/>
  <c r="Z558" i="31"/>
  <c r="Z545" i="31"/>
  <c r="Z540" i="31"/>
  <c r="Z536" i="31"/>
  <c r="Z541" i="31"/>
  <c r="Z522" i="31"/>
  <c r="Z504" i="31"/>
  <c r="Z498" i="31"/>
  <c r="Z496" i="31"/>
  <c r="Z493" i="31"/>
  <c r="Z476" i="31"/>
  <c r="Z463" i="31"/>
  <c r="Z440" i="31"/>
  <c r="Z438" i="31"/>
  <c r="Z436" i="31"/>
  <c r="Z429" i="31"/>
  <c r="Z407" i="31"/>
  <c r="Z460" i="31"/>
  <c r="Z375" i="31"/>
  <c r="Z373" i="31"/>
  <c r="Z378" i="31"/>
  <c r="Z411" i="31"/>
  <c r="Z364" i="31"/>
  <c r="Z362" i="31"/>
  <c r="Z289" i="31"/>
  <c r="Z343" i="31"/>
  <c r="Z334" i="31"/>
  <c r="Z317" i="31"/>
  <c r="Z308" i="31"/>
  <c r="Z258" i="31"/>
  <c r="Z286" i="31"/>
  <c r="Z279" i="31"/>
  <c r="Z254" i="31"/>
  <c r="Z253" i="31"/>
  <c r="Z268" i="31"/>
  <c r="Z250" i="31"/>
  <c r="Z216" i="31"/>
  <c r="Z221" i="31"/>
  <c r="Z218" i="31"/>
  <c r="Z183" i="31"/>
  <c r="Z174" i="31"/>
  <c r="Z165" i="31"/>
  <c r="Z156" i="31"/>
  <c r="Z241" i="31"/>
  <c r="Z227" i="31"/>
  <c r="Z235" i="31"/>
  <c r="Z131" i="31"/>
  <c r="Z122" i="31"/>
  <c r="Z113" i="31"/>
  <c r="Z112" i="31"/>
  <c r="Z111" i="31"/>
  <c r="Z102" i="31"/>
  <c r="Z101" i="31"/>
  <c r="Z92" i="31"/>
  <c r="Z71" i="31"/>
  <c r="Z84" i="31"/>
  <c r="Z18" i="31"/>
  <c r="Z50" i="31"/>
  <c r="Z43" i="31"/>
  <c r="Z75" i="31"/>
  <c r="Z28" i="31"/>
  <c r="Z604" i="31"/>
  <c r="Z603" i="31"/>
  <c r="Z585" i="31"/>
  <c r="Z570" i="31"/>
  <c r="Z580" i="31"/>
  <c r="Z565" i="31"/>
  <c r="Z572" i="31"/>
  <c r="Z532" i="31"/>
  <c r="Z528" i="31"/>
  <c r="Z524" i="31"/>
  <c r="Z514" i="31"/>
  <c r="Z571" i="31"/>
  <c r="Z490" i="31"/>
  <c r="Z480" i="31"/>
  <c r="Z475" i="31"/>
  <c r="Z465" i="31"/>
  <c r="Z455" i="31"/>
  <c r="Z432" i="31"/>
  <c r="Z430" i="31"/>
  <c r="Z443" i="31"/>
  <c r="Z417" i="31"/>
  <c r="Z422" i="31"/>
  <c r="Z441" i="31"/>
  <c r="Z402" i="31"/>
  <c r="Z396" i="31"/>
  <c r="Z393" i="31"/>
  <c r="Z377" i="31"/>
  <c r="Z348" i="31"/>
  <c r="Z354" i="31"/>
  <c r="Z351" i="31"/>
  <c r="Z335" i="31"/>
  <c r="Z326" i="31"/>
  <c r="Z309" i="31"/>
  <c r="Z300" i="31"/>
  <c r="Z290" i="31"/>
  <c r="Z280" i="31"/>
  <c r="Z271" i="31"/>
  <c r="Z246" i="31"/>
  <c r="Z245" i="31"/>
  <c r="Z249" i="31"/>
  <c r="Z247" i="31"/>
  <c r="Z231" i="31"/>
  <c r="Z213" i="31"/>
  <c r="Z210" i="31"/>
  <c r="Z175" i="31"/>
  <c r="Z166" i="31"/>
  <c r="Z157" i="31"/>
  <c r="Z203" i="31"/>
  <c r="Z202" i="31"/>
  <c r="Z201" i="31"/>
  <c r="Z208" i="31"/>
  <c r="Z123" i="31"/>
  <c r="Z114" i="31"/>
  <c r="Z105" i="31"/>
  <c r="Z104" i="31"/>
  <c r="Z95" i="31"/>
  <c r="Z94" i="31"/>
  <c r="Z93" i="31"/>
  <c r="Z23" i="31"/>
  <c r="Z47" i="31"/>
  <c r="Z40" i="31"/>
  <c r="Z64" i="31"/>
  <c r="Z33" i="31"/>
  <c r="Z65" i="31"/>
  <c r="Z45" i="31"/>
  <c r="Z30" i="31"/>
  <c r="Z610" i="31"/>
  <c r="Z595" i="31"/>
  <c r="Z607" i="31"/>
  <c r="Z583" i="31"/>
  <c r="Z562" i="31"/>
  <c r="Z579" i="31"/>
  <c r="Z560" i="31"/>
  <c r="Z539" i="31"/>
  <c r="Z547" i="31"/>
  <c r="Z516" i="31"/>
  <c r="Z506" i="31"/>
  <c r="Z530" i="31"/>
  <c r="Z497" i="31"/>
  <c r="Z495" i="31"/>
  <c r="Z467" i="31"/>
  <c r="Z457" i="31"/>
  <c r="Z492" i="31"/>
  <c r="Z468" i="31"/>
  <c r="Z474" i="31"/>
  <c r="Z442" i="31"/>
  <c r="Z409" i="31"/>
  <c r="Z414" i="31"/>
  <c r="Z420" i="31"/>
  <c r="Z398" i="31"/>
  <c r="Z388" i="31"/>
  <c r="Z372" i="31"/>
  <c r="Z358" i="31"/>
  <c r="Z392" i="31"/>
  <c r="Z345" i="31"/>
  <c r="Z344" i="31"/>
  <c r="Z327" i="31"/>
  <c r="Z318" i="31"/>
  <c r="Z301" i="31"/>
  <c r="Z353" i="31"/>
  <c r="Z281" i="31"/>
  <c r="Z272" i="31"/>
  <c r="Z263" i="31"/>
  <c r="Z238" i="31"/>
  <c r="Z237" i="31"/>
  <c r="Z243" i="31"/>
  <c r="Z267" i="31"/>
  <c r="Z223" i="31"/>
  <c r="Z236" i="31"/>
  <c r="Z233" i="31"/>
  <c r="Z167" i="31"/>
  <c r="Z158" i="31"/>
  <c r="Z149" i="31"/>
  <c r="Z187" i="31"/>
  <c r="Z194" i="31"/>
  <c r="Z193" i="31"/>
  <c r="Z200" i="31"/>
  <c r="Z115" i="31"/>
  <c r="Z106" i="31"/>
  <c r="Z97" i="31"/>
  <c r="Z88" i="31"/>
  <c r="Z87" i="31"/>
  <c r="Z86" i="31"/>
  <c r="Z85" i="31"/>
  <c r="Z42" i="31"/>
  <c r="Z74" i="31"/>
  <c r="Z35" i="31"/>
  <c r="Z67" i="31"/>
  <c r="Z62" i="31"/>
  <c r="Z609" i="31"/>
  <c r="Z602" i="31"/>
  <c r="Z592" i="31"/>
  <c r="Z577" i="31"/>
  <c r="Z569" i="31"/>
  <c r="Z564" i="31"/>
  <c r="Z551" i="31"/>
  <c r="Z531" i="31"/>
  <c r="Z535" i="31"/>
  <c r="Z508" i="31"/>
  <c r="Z542" i="31"/>
  <c r="Z499" i="31"/>
  <c r="Z489" i="31"/>
  <c r="Z487" i="31"/>
  <c r="Z459" i="31"/>
  <c r="Z484" i="31"/>
  <c r="Z470" i="31"/>
  <c r="Z447" i="31"/>
  <c r="Z450" i="31"/>
  <c r="Z434" i="31"/>
  <c r="Z401" i="31"/>
  <c r="Z406" i="31"/>
  <c r="Z412" i="31"/>
  <c r="Z390" i="31"/>
  <c r="Z380" i="31"/>
  <c r="Z360" i="31"/>
  <c r="Z597" i="31"/>
  <c r="Z567" i="31"/>
  <c r="Z546" i="31"/>
  <c r="Z548" i="31"/>
  <c r="Z473" i="31"/>
  <c r="Z472" i="31"/>
  <c r="Z446" i="31"/>
  <c r="Z416" i="31"/>
  <c r="Z382" i="31"/>
  <c r="Z359" i="31"/>
  <c r="Z385" i="31"/>
  <c r="Z296" i="31"/>
  <c r="Z325" i="31"/>
  <c r="Z266" i="31"/>
  <c r="Z288" i="31"/>
  <c r="Z261" i="31"/>
  <c r="Z259" i="31"/>
  <c r="Z214" i="31"/>
  <c r="Z191" i="31"/>
  <c r="Z173" i="31"/>
  <c r="Z147" i="31"/>
  <c r="Z145" i="31"/>
  <c r="Z130" i="31"/>
  <c r="Z120" i="31"/>
  <c r="Z118" i="31"/>
  <c r="Z100" i="31"/>
  <c r="Z41" i="31"/>
  <c r="Z228" i="31"/>
  <c r="Z80" i="31"/>
  <c r="Z39" i="31"/>
  <c r="Z63" i="31"/>
  <c r="Z25" i="31"/>
  <c r="Z59" i="31"/>
  <c r="Z70" i="31"/>
  <c r="Z461" i="31"/>
  <c r="Z355" i="31"/>
  <c r="Z341" i="31"/>
  <c r="Z291" i="31"/>
  <c r="Z189" i="31"/>
  <c r="Z136" i="31"/>
  <c r="Z14" i="31"/>
  <c r="Z584" i="31"/>
  <c r="Z566" i="31"/>
  <c r="Z538" i="31"/>
  <c r="Z513" i="31"/>
  <c r="Z500" i="31"/>
  <c r="Z464" i="31"/>
  <c r="Z445" i="31"/>
  <c r="Z423" i="31"/>
  <c r="Z397" i="31"/>
  <c r="Z384" i="31"/>
  <c r="Z337" i="31"/>
  <c r="Z319" i="31"/>
  <c r="Z349" i="31"/>
  <c r="Z273" i="31"/>
  <c r="Z255" i="31"/>
  <c r="Z350" i="31"/>
  <c r="Z244" i="31"/>
  <c r="Z159" i="31"/>
  <c r="Z196" i="31"/>
  <c r="Z186" i="31"/>
  <c r="Z192" i="31"/>
  <c r="Z98" i="31"/>
  <c r="Z152" i="31"/>
  <c r="Z34" i="31"/>
  <c r="Z424" i="31"/>
  <c r="Z248" i="31"/>
  <c r="Z83" i="31"/>
  <c r="Z591" i="31"/>
  <c r="Z563" i="31"/>
  <c r="Z529" i="31"/>
  <c r="Z505" i="31"/>
  <c r="Z479" i="31"/>
  <c r="Z471" i="31"/>
  <c r="Z437" i="31"/>
  <c r="Z433" i="31"/>
  <c r="Z381" i="31"/>
  <c r="Z365" i="31"/>
  <c r="Z329" i="31"/>
  <c r="Z311" i="31"/>
  <c r="Z340" i="31"/>
  <c r="Z265" i="31"/>
  <c r="Z323" i="31"/>
  <c r="Z260" i="31"/>
  <c r="Z242" i="31"/>
  <c r="Z220" i="31"/>
  <c r="Z151" i="31"/>
  <c r="Z188" i="31"/>
  <c r="Z178" i="31"/>
  <c r="Z184" i="31"/>
  <c r="Z82" i="31"/>
  <c r="Z143" i="31"/>
  <c r="Z141" i="31"/>
  <c r="Z15" i="31"/>
  <c r="Z66" i="31"/>
  <c r="Z27" i="31"/>
  <c r="Z363" i="31"/>
  <c r="Z171" i="31"/>
  <c r="Z32" i="31"/>
  <c r="Z209" i="31"/>
  <c r="Z608" i="31"/>
  <c r="Z589" i="31"/>
  <c r="Z554" i="31"/>
  <c r="Z527" i="31"/>
  <c r="Z512" i="31"/>
  <c r="Z503" i="31"/>
  <c r="Z462" i="31"/>
  <c r="Z444" i="31"/>
  <c r="Z425" i="31"/>
  <c r="Z387" i="31"/>
  <c r="Z357" i="31"/>
  <c r="Z321" i="31"/>
  <c r="Z295" i="31"/>
  <c r="Z332" i="31"/>
  <c r="Z257" i="31"/>
  <c r="Z293" i="31"/>
  <c r="Z275" i="31"/>
  <c r="Z240" i="31"/>
  <c r="Z212" i="31"/>
  <c r="Z198" i="31"/>
  <c r="Z180" i="31"/>
  <c r="Z170" i="31"/>
  <c r="Z176" i="31"/>
  <c r="Z137" i="31"/>
  <c r="Z135" i="31"/>
  <c r="Z133" i="31"/>
  <c r="Z49" i="31"/>
  <c r="Z177" i="31"/>
  <c r="Z169" i="31"/>
  <c r="Z599" i="31"/>
  <c r="Z575" i="31"/>
  <c r="Z553" i="31"/>
  <c r="Z525" i="31"/>
  <c r="Z491" i="31"/>
  <c r="Z486" i="31"/>
  <c r="Z511" i="31"/>
  <c r="Z426" i="31"/>
  <c r="Z405" i="31"/>
  <c r="Z379" i="31"/>
  <c r="Z376" i="31"/>
  <c r="Z297" i="31"/>
  <c r="Z342" i="31"/>
  <c r="Z316" i="31"/>
  <c r="Z347" i="31"/>
  <c r="Z262" i="31"/>
  <c r="Z314" i="31"/>
  <c r="Z224" i="31"/>
  <c r="Z226" i="31"/>
  <c r="Z182" i="31"/>
  <c r="Z164" i="31"/>
  <c r="Z154" i="31"/>
  <c r="Z139" i="31"/>
  <c r="Z121" i="31"/>
  <c r="Z119" i="31"/>
  <c r="Z109" i="31"/>
  <c r="Z73" i="31"/>
  <c r="Z594" i="31"/>
  <c r="Z581" i="31"/>
  <c r="Z556" i="31"/>
  <c r="Z534" i="31"/>
  <c r="Z502" i="31"/>
  <c r="Z431" i="31"/>
  <c r="Z410" i="31"/>
  <c r="Z419" i="31"/>
  <c r="Z328" i="31"/>
  <c r="Z294" i="31"/>
  <c r="Z256" i="31"/>
  <c r="Z306" i="31"/>
  <c r="Z207" i="31"/>
  <c r="Z197" i="31"/>
  <c r="Z99" i="31"/>
  <c r="Z142" i="31"/>
  <c r="Z587" i="31"/>
  <c r="Z568" i="31"/>
  <c r="Z549" i="31"/>
  <c r="Z515" i="31"/>
  <c r="Z481" i="31"/>
  <c r="Z526" i="31"/>
  <c r="Z399" i="31"/>
  <c r="Z320" i="31"/>
  <c r="Z282" i="31"/>
  <c r="Z230" i="31"/>
  <c r="Z163" i="31"/>
  <c r="Z124" i="31"/>
  <c r="Z17" i="31"/>
  <c r="Z596" i="31"/>
  <c r="Z588" i="31"/>
  <c r="Z543" i="31"/>
  <c r="Z501" i="31"/>
  <c r="Z483" i="31"/>
  <c r="Z451" i="31"/>
  <c r="Z448" i="31"/>
  <c r="Z427" i="31"/>
  <c r="Z404" i="31"/>
  <c r="Z386" i="31"/>
  <c r="Z371" i="31"/>
  <c r="Z336" i="31"/>
  <c r="Z310" i="31"/>
  <c r="Z339" i="31"/>
  <c r="Z264" i="31"/>
  <c r="Z338" i="31"/>
  <c r="Z299" i="31"/>
  <c r="Z215" i="31"/>
  <c r="Z225" i="31"/>
  <c r="Z150" i="31"/>
  <c r="Z179" i="31"/>
  <c r="Z185" i="31"/>
  <c r="Z107" i="31"/>
  <c r="Z81" i="31"/>
  <c r="Z148" i="31"/>
  <c r="Z140" i="31"/>
  <c r="Z56" i="31"/>
  <c r="Z57" i="31"/>
  <c r="Z477" i="31"/>
  <c r="Z352" i="31"/>
  <c r="Z307" i="31"/>
  <c r="Z283" i="31"/>
  <c r="Z217" i="31"/>
  <c r="Z144" i="31"/>
  <c r="Z132" i="31"/>
  <c r="Z383" i="31"/>
  <c r="Z277" i="31"/>
  <c r="Z134" i="31"/>
  <c r="Z626" i="31"/>
  <c r="Z623" i="31"/>
  <c r="Z622" i="31"/>
  <c r="Z628" i="31"/>
  <c r="Z624" i="31"/>
  <c r="AC624" i="31" s="1"/>
  <c r="W627" i="31"/>
  <c r="J627" i="31"/>
  <c r="G627" i="31"/>
  <c r="D627" i="31"/>
  <c r="Z627" i="31"/>
  <c r="M627" i="31"/>
  <c r="T627" i="31"/>
  <c r="I624" i="31"/>
  <c r="H624" i="31"/>
  <c r="P624" i="31"/>
  <c r="E625" i="31"/>
  <c r="F625" i="31"/>
  <c r="G629" i="31"/>
  <c r="M629" i="31"/>
  <c r="W629" i="31"/>
  <c r="J629" i="31"/>
  <c r="T629" i="31"/>
  <c r="D629" i="31"/>
  <c r="Z629" i="31"/>
  <c r="L624" i="31"/>
  <c r="K624" i="31"/>
  <c r="H625" i="31"/>
  <c r="I625" i="31"/>
  <c r="P625" i="31"/>
  <c r="O624" i="31"/>
  <c r="N624" i="31"/>
  <c r="AA625" i="31"/>
  <c r="AB625" i="31"/>
  <c r="F624" i="31"/>
  <c r="E624" i="31"/>
  <c r="AE629" i="32" l="1"/>
  <c r="AD629" i="32"/>
  <c r="AR627" i="32"/>
  <c r="AQ627" i="32"/>
  <c r="AL629" i="32"/>
  <c r="AK629" i="32"/>
  <c r="AL627" i="32"/>
  <c r="AK627" i="32"/>
  <c r="AD628" i="32"/>
  <c r="AE628" i="32"/>
  <c r="AF628" i="32"/>
  <c r="Y629" i="32"/>
  <c r="X629" i="32"/>
  <c r="AF629" i="32"/>
  <c r="AO627" i="32"/>
  <c r="AN627" i="32"/>
  <c r="AD622" i="32"/>
  <c r="AE622" i="32"/>
  <c r="AF622" i="32"/>
  <c r="AO629" i="32"/>
  <c r="AN629" i="32"/>
  <c r="Y627" i="32"/>
  <c r="X627" i="32"/>
  <c r="AF627" i="32"/>
  <c r="AF623" i="32"/>
  <c r="AD623" i="32"/>
  <c r="AE623" i="32"/>
  <c r="AE626" i="32"/>
  <c r="AD626" i="32"/>
  <c r="AF626" i="32"/>
  <c r="AA629" i="32"/>
  <c r="AB629" i="32"/>
  <c r="AB627" i="32"/>
  <c r="AA627" i="32"/>
  <c r="AE625" i="32"/>
  <c r="AD625" i="32"/>
  <c r="AF625" i="32"/>
  <c r="AQ629" i="32"/>
  <c r="AR629" i="32"/>
  <c r="AE627" i="32"/>
  <c r="AD627" i="32"/>
  <c r="AE624" i="32"/>
  <c r="AD624" i="32"/>
  <c r="AF624" i="32"/>
  <c r="AB477" i="31"/>
  <c r="AA477" i="31"/>
  <c r="AC477" i="31"/>
  <c r="AB164" i="31"/>
  <c r="AA164" i="31"/>
  <c r="AC164" i="31"/>
  <c r="AA150" i="31"/>
  <c r="AB150" i="31"/>
  <c r="AC150" i="31"/>
  <c r="AA328" i="31"/>
  <c r="AB328" i="31"/>
  <c r="AC328" i="31"/>
  <c r="AA608" i="31"/>
  <c r="AB608" i="31"/>
  <c r="AC608" i="31"/>
  <c r="AA341" i="31"/>
  <c r="AB341" i="31"/>
  <c r="AC341" i="31"/>
  <c r="AA459" i="31"/>
  <c r="AB459" i="31"/>
  <c r="AC459" i="31"/>
  <c r="AB495" i="31"/>
  <c r="AA495" i="31"/>
  <c r="AC495" i="31"/>
  <c r="AB326" i="31"/>
  <c r="AA326" i="31"/>
  <c r="AC326" i="31"/>
  <c r="AB308" i="31"/>
  <c r="AA308" i="31"/>
  <c r="AC308" i="31"/>
  <c r="AB181" i="31"/>
  <c r="AA181" i="31"/>
  <c r="AC181" i="31"/>
  <c r="AA561" i="31"/>
  <c r="AB561" i="31"/>
  <c r="AC561" i="31"/>
  <c r="AA403" i="31"/>
  <c r="AB403" i="31"/>
  <c r="AC403" i="31"/>
  <c r="AA36" i="31"/>
  <c r="AB36" i="31"/>
  <c r="AC36" i="31"/>
  <c r="AD271" i="32"/>
  <c r="AE271" i="32"/>
  <c r="AF271" i="32"/>
  <c r="AE558" i="32"/>
  <c r="AD558" i="32"/>
  <c r="AF558" i="32"/>
  <c r="AE40" i="32"/>
  <c r="AD40" i="32"/>
  <c r="AF40" i="32"/>
  <c r="AE209" i="32"/>
  <c r="AD209" i="32"/>
  <c r="AF209" i="32"/>
  <c r="AD400" i="32"/>
  <c r="AE400" i="32"/>
  <c r="AF400" i="32"/>
  <c r="AD246" i="32"/>
  <c r="AE246" i="32"/>
  <c r="AF246" i="32"/>
  <c r="AD389" i="32"/>
  <c r="AE389" i="32"/>
  <c r="AF389" i="32"/>
  <c r="AA624" i="31"/>
  <c r="AB624" i="31"/>
  <c r="AA148" i="31"/>
  <c r="AB148" i="31"/>
  <c r="AC148" i="31"/>
  <c r="AB197" i="31"/>
  <c r="AA197" i="31"/>
  <c r="AC197" i="31"/>
  <c r="AA314" i="31"/>
  <c r="AB314" i="31"/>
  <c r="AC314" i="31"/>
  <c r="AB170" i="31"/>
  <c r="AA170" i="31"/>
  <c r="AC170" i="31"/>
  <c r="AA171" i="31"/>
  <c r="AB171" i="31"/>
  <c r="AC171" i="31"/>
  <c r="AA424" i="31"/>
  <c r="AB424" i="31"/>
  <c r="AC424" i="31"/>
  <c r="AA584" i="31"/>
  <c r="AB584" i="31"/>
  <c r="AC584" i="31"/>
  <c r="AA359" i="31"/>
  <c r="AB359" i="31"/>
  <c r="AC359" i="31"/>
  <c r="O629" i="31"/>
  <c r="N629" i="31"/>
  <c r="AA307" i="31"/>
  <c r="AB307" i="31"/>
  <c r="AC307" i="31"/>
  <c r="AA264" i="31"/>
  <c r="AB264" i="31"/>
  <c r="AC264" i="31"/>
  <c r="AB124" i="31"/>
  <c r="AA124" i="31"/>
  <c r="AC124" i="31"/>
  <c r="AA306" i="31"/>
  <c r="AB306" i="31"/>
  <c r="AC306" i="31"/>
  <c r="AA139" i="31"/>
  <c r="AB139" i="31"/>
  <c r="AC139" i="31"/>
  <c r="AB511" i="31"/>
  <c r="AA511" i="31"/>
  <c r="AC511" i="31"/>
  <c r="I629" i="31"/>
  <c r="H629" i="31"/>
  <c r="P629" i="31"/>
  <c r="AA627" i="31"/>
  <c r="AB627" i="31"/>
  <c r="AA622" i="31"/>
  <c r="AB622" i="31"/>
  <c r="AC622" i="31"/>
  <c r="AB134" i="31"/>
  <c r="AA134" i="31"/>
  <c r="AC134" i="31"/>
  <c r="AA352" i="31"/>
  <c r="AB352" i="31"/>
  <c r="AC352" i="31"/>
  <c r="AA185" i="31"/>
  <c r="AB185" i="31"/>
  <c r="AC185" i="31"/>
  <c r="AA339" i="31"/>
  <c r="AB339" i="31"/>
  <c r="AC339" i="31"/>
  <c r="AB451" i="31"/>
  <c r="AA451" i="31"/>
  <c r="AC451" i="31"/>
  <c r="AB163" i="31"/>
  <c r="AA163" i="31"/>
  <c r="AC163" i="31"/>
  <c r="AB549" i="31"/>
  <c r="AA549" i="31"/>
  <c r="AC549" i="31"/>
  <c r="AA256" i="31"/>
  <c r="AB256" i="31"/>
  <c r="AC256" i="31"/>
  <c r="AB556" i="31"/>
  <c r="AA556" i="31"/>
  <c r="AC556" i="31"/>
  <c r="AB154" i="31"/>
  <c r="AA154" i="31"/>
  <c r="AC154" i="31"/>
  <c r="AB316" i="31"/>
  <c r="AA316" i="31"/>
  <c r="AC316" i="31"/>
  <c r="AB486" i="31"/>
  <c r="AA486" i="31"/>
  <c r="AC486" i="31"/>
  <c r="AB49" i="31"/>
  <c r="AA49" i="31"/>
  <c r="AC49" i="31"/>
  <c r="AA212" i="31"/>
  <c r="AB212" i="31"/>
  <c r="AC212" i="31"/>
  <c r="AB357" i="31"/>
  <c r="AA357" i="31"/>
  <c r="AC357" i="31"/>
  <c r="AB554" i="31"/>
  <c r="AA554" i="31"/>
  <c r="AC554" i="31"/>
  <c r="AC66" i="31"/>
  <c r="AB66" i="31"/>
  <c r="AA66" i="31"/>
  <c r="AA151" i="31"/>
  <c r="AB151" i="31"/>
  <c r="AC151" i="31"/>
  <c r="AB329" i="31"/>
  <c r="AA329" i="31"/>
  <c r="AC329" i="31"/>
  <c r="AA529" i="31"/>
  <c r="AB529" i="31"/>
  <c r="AC529" i="31"/>
  <c r="AA98" i="31"/>
  <c r="AB98" i="31"/>
  <c r="AC98" i="31"/>
  <c r="AB273" i="31"/>
  <c r="AA273" i="31"/>
  <c r="AC273" i="31"/>
  <c r="AB464" i="31"/>
  <c r="AA464" i="31"/>
  <c r="AC464" i="31"/>
  <c r="AA189" i="31"/>
  <c r="AB189" i="31"/>
  <c r="AC189" i="31"/>
  <c r="AB63" i="31"/>
  <c r="AA63" i="31"/>
  <c r="AC63" i="31"/>
  <c r="AB130" i="31"/>
  <c r="AA130" i="31"/>
  <c r="AC130" i="31"/>
  <c r="AB288" i="31"/>
  <c r="AA288" i="31"/>
  <c r="AC288" i="31"/>
  <c r="AA446" i="31"/>
  <c r="AB446" i="31"/>
  <c r="AC446" i="31"/>
  <c r="AB380" i="31"/>
  <c r="AA380" i="31"/>
  <c r="AC380" i="31"/>
  <c r="AA470" i="31"/>
  <c r="AB470" i="31"/>
  <c r="AC470" i="31"/>
  <c r="AB535" i="31"/>
  <c r="AA535" i="31"/>
  <c r="AC535" i="31"/>
  <c r="AA609" i="31"/>
  <c r="AB609" i="31"/>
  <c r="AC609" i="31"/>
  <c r="AB87" i="31"/>
  <c r="AA87" i="31"/>
  <c r="AC87" i="31"/>
  <c r="AB187" i="31"/>
  <c r="AA187" i="31"/>
  <c r="AC187" i="31"/>
  <c r="AB243" i="31"/>
  <c r="AA243" i="31"/>
  <c r="AC243" i="31"/>
  <c r="AB318" i="31"/>
  <c r="AA318" i="31"/>
  <c r="AC318" i="31"/>
  <c r="AB398" i="31"/>
  <c r="AA398" i="31"/>
  <c r="AC398" i="31"/>
  <c r="AB457" i="31"/>
  <c r="AA457" i="31"/>
  <c r="AC457" i="31"/>
  <c r="AA539" i="31"/>
  <c r="AB539" i="31"/>
  <c r="AC539" i="31"/>
  <c r="AB30" i="31"/>
  <c r="AA30" i="31"/>
  <c r="AC30" i="31"/>
  <c r="AB93" i="31"/>
  <c r="AA93" i="31"/>
  <c r="AC93" i="31"/>
  <c r="AA201" i="31"/>
  <c r="AB201" i="31"/>
  <c r="AC201" i="31"/>
  <c r="AA231" i="31"/>
  <c r="AB231" i="31"/>
  <c r="AC231" i="31"/>
  <c r="AB300" i="31"/>
  <c r="AA300" i="31"/>
  <c r="AC300" i="31"/>
  <c r="AB393" i="31"/>
  <c r="AA393" i="31"/>
  <c r="AC393" i="31"/>
  <c r="AB432" i="31"/>
  <c r="AA432" i="31"/>
  <c r="AC432" i="31"/>
  <c r="AA524" i="31"/>
  <c r="AB524" i="31"/>
  <c r="AC524" i="31"/>
  <c r="AB603" i="31"/>
  <c r="AA603" i="31"/>
  <c r="AC603" i="31"/>
  <c r="AA71" i="31"/>
  <c r="AB71" i="31"/>
  <c r="AC71" i="31"/>
  <c r="AA131" i="31"/>
  <c r="AB131" i="31"/>
  <c r="AC131" i="31"/>
  <c r="AA218" i="31"/>
  <c r="AB218" i="31"/>
  <c r="AC218" i="31"/>
  <c r="AA286" i="31"/>
  <c r="AB286" i="31"/>
  <c r="AC286" i="31"/>
  <c r="AA364" i="31"/>
  <c r="AB364" i="31"/>
  <c r="AC364" i="31"/>
  <c r="AB436" i="31"/>
  <c r="AA436" i="31"/>
  <c r="AC436" i="31"/>
  <c r="AB504" i="31"/>
  <c r="AA504" i="31"/>
  <c r="AC504" i="31"/>
  <c r="AA578" i="31"/>
  <c r="AB578" i="31"/>
  <c r="AC578" i="31"/>
  <c r="AA72" i="31"/>
  <c r="AB72" i="31"/>
  <c r="AC72" i="31"/>
  <c r="AB126" i="31"/>
  <c r="AA126" i="31"/>
  <c r="AC126" i="31"/>
  <c r="AB155" i="31"/>
  <c r="AA155" i="31"/>
  <c r="AC155" i="31"/>
  <c r="AB276" i="31"/>
  <c r="AA276" i="31"/>
  <c r="AC276" i="31"/>
  <c r="AB333" i="31"/>
  <c r="AA333" i="31"/>
  <c r="AC333" i="31"/>
  <c r="AB389" i="31"/>
  <c r="AA389" i="31"/>
  <c r="AC389" i="31"/>
  <c r="AB518" i="31"/>
  <c r="AA518" i="31"/>
  <c r="AC518" i="31"/>
  <c r="AB544" i="31"/>
  <c r="AA544" i="31"/>
  <c r="AC544" i="31"/>
  <c r="AA61" i="31"/>
  <c r="AB61" i="31"/>
  <c r="AC61" i="31"/>
  <c r="AB60" i="31"/>
  <c r="AA60" i="31"/>
  <c r="AC60" i="31"/>
  <c r="AA90" i="31"/>
  <c r="AB90" i="31"/>
  <c r="AC90" i="31"/>
  <c r="AB205" i="31"/>
  <c r="AA205" i="31"/>
  <c r="AC205" i="31"/>
  <c r="AB331" i="31"/>
  <c r="AA331" i="31"/>
  <c r="AC331" i="31"/>
  <c r="AB302" i="31"/>
  <c r="AA302" i="31"/>
  <c r="AC302" i="31"/>
  <c r="AB395" i="31"/>
  <c r="AA395" i="31"/>
  <c r="AC395" i="31"/>
  <c r="AA439" i="31"/>
  <c r="AB439" i="31"/>
  <c r="AC439" i="31"/>
  <c r="AB521" i="31"/>
  <c r="AA521" i="31"/>
  <c r="AC521" i="31"/>
  <c r="AB576" i="31"/>
  <c r="AA576" i="31"/>
  <c r="AC576" i="31"/>
  <c r="AB69" i="31"/>
  <c r="AA69" i="31"/>
  <c r="AC69" i="31"/>
  <c r="AB21" i="31"/>
  <c r="AA21" i="31"/>
  <c r="AC21" i="31"/>
  <c r="AD392" i="32"/>
  <c r="AE392" i="32"/>
  <c r="AF392" i="32"/>
  <c r="AD298" i="32"/>
  <c r="AE298" i="32"/>
  <c r="AF298" i="32"/>
  <c r="AE97" i="32"/>
  <c r="AD97" i="32"/>
  <c r="AF97" i="32"/>
  <c r="AD104" i="32"/>
  <c r="AE104" i="32"/>
  <c r="AF104" i="32"/>
  <c r="AD234" i="32"/>
  <c r="AE234" i="32"/>
  <c r="AF234" i="32"/>
  <c r="AE611" i="32"/>
  <c r="AD611" i="32"/>
  <c r="AF611" i="32"/>
  <c r="AE219" i="32"/>
  <c r="AD219" i="32"/>
  <c r="AF219" i="32"/>
  <c r="AD35" i="32"/>
  <c r="AE35" i="32"/>
  <c r="AF35" i="32"/>
  <c r="AD146" i="32"/>
  <c r="AE146" i="32"/>
  <c r="AF146" i="32"/>
  <c r="AE354" i="32"/>
  <c r="AD354" i="32"/>
  <c r="AF354" i="32"/>
  <c r="AE450" i="32"/>
  <c r="AD450" i="32"/>
  <c r="AF450" i="32"/>
  <c r="AE50" i="32"/>
  <c r="AD50" i="32"/>
  <c r="AF50" i="32"/>
  <c r="AD251" i="32"/>
  <c r="AE251" i="32"/>
  <c r="AF251" i="32"/>
  <c r="AE396" i="32"/>
  <c r="AD396" i="32"/>
  <c r="AF396" i="32"/>
  <c r="AE483" i="32"/>
  <c r="AD483" i="32"/>
  <c r="AF483" i="32"/>
  <c r="AD57" i="32"/>
  <c r="AE57" i="32"/>
  <c r="AF57" i="32"/>
  <c r="AE269" i="32"/>
  <c r="AD269" i="32"/>
  <c r="AF269" i="32"/>
  <c r="AD399" i="32"/>
  <c r="AE399" i="32"/>
  <c r="AF399" i="32"/>
  <c r="AE538" i="32"/>
  <c r="AD538" i="32"/>
  <c r="AF538" i="32"/>
  <c r="AE109" i="32"/>
  <c r="AD109" i="32"/>
  <c r="AF109" i="32"/>
  <c r="AE212" i="32"/>
  <c r="AD212" i="32"/>
  <c r="AF212" i="32"/>
  <c r="AD567" i="32"/>
  <c r="AE567" i="32"/>
  <c r="AF567" i="32"/>
  <c r="AE487" i="32"/>
  <c r="AD487" i="32"/>
  <c r="AF487" i="32"/>
  <c r="AE118" i="32"/>
  <c r="AD118" i="32"/>
  <c r="AF118" i="32"/>
  <c r="AE221" i="32"/>
  <c r="AD221" i="32"/>
  <c r="AF221" i="32"/>
  <c r="AE368" i="32"/>
  <c r="AD368" i="32"/>
  <c r="AF368" i="32"/>
  <c r="AE506" i="32"/>
  <c r="AD506" i="32"/>
  <c r="AF506" i="32"/>
  <c r="AE224" i="32"/>
  <c r="AD224" i="32"/>
  <c r="AF224" i="32"/>
  <c r="AE230" i="32"/>
  <c r="AD230" i="32"/>
  <c r="AF230" i="32"/>
  <c r="AD403" i="32"/>
  <c r="AE403" i="32"/>
  <c r="AF403" i="32"/>
  <c r="AD68" i="32"/>
  <c r="AE68" i="32"/>
  <c r="AF68" i="32"/>
  <c r="AE91" i="32"/>
  <c r="AD91" i="32"/>
  <c r="AF91" i="32"/>
  <c r="AD72" i="32"/>
  <c r="AE72" i="32"/>
  <c r="AF72" i="32"/>
  <c r="AE176" i="32"/>
  <c r="AD176" i="32"/>
  <c r="AF176" i="32"/>
  <c r="AE238" i="32"/>
  <c r="AD238" i="32"/>
  <c r="AF238" i="32"/>
  <c r="AE262" i="32"/>
  <c r="AD262" i="32"/>
  <c r="AF262" i="32"/>
  <c r="AE613" i="32"/>
  <c r="AD613" i="32"/>
  <c r="AF613" i="32"/>
  <c r="AD339" i="32"/>
  <c r="AE339" i="32"/>
  <c r="AF339" i="32"/>
  <c r="AE592" i="32"/>
  <c r="AD592" i="32"/>
  <c r="AF592" i="32"/>
  <c r="AE510" i="32"/>
  <c r="AD510" i="32"/>
  <c r="AF510" i="32"/>
  <c r="AE292" i="32"/>
  <c r="AD292" i="32"/>
  <c r="AF292" i="32"/>
  <c r="AD130" i="32"/>
  <c r="AE130" i="32"/>
  <c r="AF130" i="32"/>
  <c r="AE210" i="32"/>
  <c r="AD210" i="32"/>
  <c r="AF210" i="32"/>
  <c r="AE260" i="32"/>
  <c r="AD260" i="32"/>
  <c r="AF260" i="32"/>
  <c r="AD530" i="32"/>
  <c r="AE530" i="32"/>
  <c r="AF530" i="32"/>
  <c r="AE401" i="32"/>
  <c r="AD401" i="32"/>
  <c r="AF401" i="32"/>
  <c r="AE550" i="32"/>
  <c r="AD550" i="32"/>
  <c r="AF550" i="32"/>
  <c r="AD452" i="32"/>
  <c r="AE452" i="32"/>
  <c r="AF452" i="32"/>
  <c r="AE49" i="32"/>
  <c r="AD49" i="32"/>
  <c r="AF49" i="32"/>
  <c r="AE135" i="32"/>
  <c r="AD135" i="32"/>
  <c r="AF135" i="32"/>
  <c r="AD217" i="32"/>
  <c r="AE217" i="32"/>
  <c r="AF217" i="32"/>
  <c r="AE275" i="32"/>
  <c r="AD275" i="32"/>
  <c r="AF275" i="32"/>
  <c r="AE553" i="32"/>
  <c r="AD553" i="32"/>
  <c r="AF553" i="32"/>
  <c r="AD404" i="32"/>
  <c r="AE404" i="32"/>
  <c r="AF404" i="32"/>
  <c r="AE571" i="32"/>
  <c r="AD571" i="32"/>
  <c r="AF571" i="32"/>
  <c r="AD462" i="32"/>
  <c r="AE462" i="32"/>
  <c r="AF462" i="32"/>
  <c r="AD609" i="32"/>
  <c r="AE609" i="32"/>
  <c r="AF609" i="32"/>
  <c r="AE19" i="32"/>
  <c r="AD19" i="32"/>
  <c r="AF19" i="32"/>
  <c r="AE151" i="32"/>
  <c r="AD151" i="32"/>
  <c r="AF151" i="32"/>
  <c r="AE153" i="32"/>
  <c r="AD153" i="32"/>
  <c r="AF153" i="32"/>
  <c r="AD382" i="32"/>
  <c r="AE382" i="32"/>
  <c r="AF382" i="32"/>
  <c r="AE270" i="32"/>
  <c r="AD270" i="32"/>
  <c r="AF270" i="32"/>
  <c r="AD390" i="32"/>
  <c r="AE390" i="32"/>
  <c r="AF390" i="32"/>
  <c r="AD443" i="32"/>
  <c r="AE443" i="32"/>
  <c r="AF443" i="32"/>
  <c r="AE519" i="32"/>
  <c r="AD519" i="32"/>
  <c r="AF519" i="32"/>
  <c r="AE551" i="32"/>
  <c r="AD551" i="32"/>
  <c r="AF551" i="32"/>
  <c r="AE127" i="32"/>
  <c r="AD127" i="32"/>
  <c r="AF127" i="32"/>
  <c r="AE102" i="32"/>
  <c r="AD102" i="32"/>
  <c r="AF102" i="32"/>
  <c r="AD231" i="32"/>
  <c r="AE231" i="32"/>
  <c r="AF231" i="32"/>
  <c r="AE291" i="32"/>
  <c r="AD291" i="32"/>
  <c r="AF291" i="32"/>
  <c r="AE324" i="32"/>
  <c r="AD324" i="32"/>
  <c r="AF324" i="32"/>
  <c r="AD331" i="32"/>
  <c r="AE331" i="32"/>
  <c r="AF331" i="32"/>
  <c r="AD362" i="32"/>
  <c r="AE362" i="32"/>
  <c r="AF362" i="32"/>
  <c r="AD610" i="32"/>
  <c r="AE610" i="32"/>
  <c r="AF610" i="32"/>
  <c r="AE521" i="32"/>
  <c r="AD521" i="32"/>
  <c r="AF521" i="32"/>
  <c r="AB294" i="31"/>
  <c r="AA294" i="31"/>
  <c r="AC294" i="31"/>
  <c r="AB133" i="31"/>
  <c r="AA133" i="31"/>
  <c r="AC133" i="31"/>
  <c r="AA240" i="31"/>
  <c r="AB240" i="31"/>
  <c r="AC240" i="31"/>
  <c r="AB387" i="31"/>
  <c r="AA387" i="31"/>
  <c r="AC387" i="31"/>
  <c r="AA589" i="31"/>
  <c r="AB589" i="31"/>
  <c r="AC589" i="31"/>
  <c r="AA15" i="31"/>
  <c r="AB15" i="31"/>
  <c r="AC15" i="31"/>
  <c r="AB220" i="31"/>
  <c r="AA220" i="31"/>
  <c r="AC220" i="31"/>
  <c r="AA365" i="31"/>
  <c r="AB365" i="31"/>
  <c r="AC365" i="31"/>
  <c r="AA563" i="31"/>
  <c r="AB563" i="31"/>
  <c r="AC563" i="31"/>
  <c r="AB192" i="31"/>
  <c r="AA192" i="31"/>
  <c r="AC192" i="31"/>
  <c r="AA349" i="31"/>
  <c r="AB349" i="31"/>
  <c r="AC349" i="31"/>
  <c r="AB500" i="31"/>
  <c r="AA500" i="31"/>
  <c r="AC500" i="31"/>
  <c r="AB291" i="31"/>
  <c r="AA291" i="31"/>
  <c r="AC291" i="31"/>
  <c r="AB39" i="31"/>
  <c r="AA39" i="31"/>
  <c r="AC39" i="31"/>
  <c r="AA145" i="31"/>
  <c r="AB145" i="31"/>
  <c r="AC145" i="31"/>
  <c r="AB266" i="31"/>
  <c r="AA266" i="31"/>
  <c r="AC266" i="31"/>
  <c r="AB472" i="31"/>
  <c r="AA472" i="31"/>
  <c r="AC472" i="31"/>
  <c r="AA390" i="31"/>
  <c r="AB390" i="31"/>
  <c r="AC390" i="31"/>
  <c r="AB484" i="31"/>
  <c r="AA484" i="31"/>
  <c r="AC484" i="31"/>
  <c r="AA531" i="31"/>
  <c r="AB531" i="31"/>
  <c r="AC531" i="31"/>
  <c r="AA62" i="31"/>
  <c r="AB62" i="31"/>
  <c r="AC62" i="31"/>
  <c r="AB88" i="31"/>
  <c r="AA88" i="31"/>
  <c r="AC88" i="31"/>
  <c r="AB149" i="31"/>
  <c r="AA149" i="31"/>
  <c r="AC149" i="31"/>
  <c r="AB237" i="31"/>
  <c r="AA237" i="31"/>
  <c r="AC237" i="31"/>
  <c r="AB327" i="31"/>
  <c r="AA327" i="31"/>
  <c r="AC327" i="31"/>
  <c r="AB420" i="31"/>
  <c r="AA420" i="31"/>
  <c r="AC420" i="31"/>
  <c r="AB467" i="31"/>
  <c r="AA467" i="31"/>
  <c r="AC467" i="31"/>
  <c r="AB560" i="31"/>
  <c r="AA560" i="31"/>
  <c r="AC560" i="31"/>
  <c r="AB45" i="31"/>
  <c r="AA45" i="31"/>
  <c r="AC45" i="31"/>
  <c r="AA94" i="31"/>
  <c r="AB94" i="31"/>
  <c r="AC94" i="31"/>
  <c r="AB202" i="31"/>
  <c r="AA202" i="31"/>
  <c r="AC202" i="31"/>
  <c r="AA247" i="31"/>
  <c r="AB247" i="31"/>
  <c r="AC247" i="31"/>
  <c r="AB309" i="31"/>
  <c r="AA309" i="31"/>
  <c r="AC309" i="31"/>
  <c r="AB396" i="31"/>
  <c r="AA396" i="31"/>
  <c r="AC396" i="31"/>
  <c r="AB455" i="31"/>
  <c r="AA455" i="31"/>
  <c r="AC455" i="31"/>
  <c r="AA528" i="31"/>
  <c r="AB528" i="31"/>
  <c r="AC528" i="31"/>
  <c r="AB604" i="31"/>
  <c r="AA604" i="31"/>
  <c r="AC604" i="31"/>
  <c r="AA92" i="31"/>
  <c r="AB92" i="31"/>
  <c r="AC92" i="31"/>
  <c r="AA235" i="31"/>
  <c r="AB235" i="31"/>
  <c r="AC235" i="31"/>
  <c r="AB221" i="31"/>
  <c r="AA221" i="31"/>
  <c r="AC221" i="31"/>
  <c r="AA258" i="31"/>
  <c r="AB258" i="31"/>
  <c r="AC258" i="31"/>
  <c r="AB411" i="31"/>
  <c r="AA411" i="31"/>
  <c r="AC411" i="31"/>
  <c r="AB438" i="31"/>
  <c r="AA438" i="31"/>
  <c r="AC438" i="31"/>
  <c r="AA522" i="31"/>
  <c r="AB522" i="31"/>
  <c r="AC522" i="31"/>
  <c r="AB593" i="31"/>
  <c r="AA593" i="31"/>
  <c r="AC593" i="31"/>
  <c r="AA48" i="31"/>
  <c r="AB48" i="31"/>
  <c r="AC48" i="31"/>
  <c r="AB127" i="31"/>
  <c r="AA127" i="31"/>
  <c r="AC127" i="31"/>
  <c r="AB172" i="31"/>
  <c r="AA172" i="31"/>
  <c r="AC172" i="31"/>
  <c r="AB252" i="31"/>
  <c r="AA252" i="31"/>
  <c r="AC252" i="31"/>
  <c r="AB287" i="31"/>
  <c r="AA287" i="31"/>
  <c r="AC287" i="31"/>
  <c r="AB391" i="31"/>
  <c r="AA391" i="31"/>
  <c r="AC391" i="31"/>
  <c r="AB466" i="31"/>
  <c r="AA466" i="31"/>
  <c r="AC466" i="31"/>
  <c r="AB550" i="31"/>
  <c r="AA550" i="31"/>
  <c r="AC550" i="31"/>
  <c r="AB29" i="31"/>
  <c r="AA29" i="31"/>
  <c r="AC29" i="31"/>
  <c r="AD87" i="32"/>
  <c r="AE87" i="32"/>
  <c r="AF87" i="32"/>
  <c r="AB91" i="31"/>
  <c r="AA91" i="31"/>
  <c r="AC91" i="31"/>
  <c r="AA206" i="31"/>
  <c r="AB206" i="31"/>
  <c r="AC206" i="31"/>
  <c r="AB285" i="31"/>
  <c r="AA285" i="31"/>
  <c r="AC285" i="31"/>
  <c r="AB303" i="31"/>
  <c r="AA303" i="31"/>
  <c r="AC303" i="31"/>
  <c r="AA374" i="31"/>
  <c r="AB374" i="31"/>
  <c r="AC374" i="31"/>
  <c r="AB454" i="31"/>
  <c r="AA454" i="31"/>
  <c r="AC454" i="31"/>
  <c r="AB523" i="31"/>
  <c r="AA523" i="31"/>
  <c r="AC523" i="31"/>
  <c r="AB601" i="31"/>
  <c r="AA601" i="31"/>
  <c r="AC601" i="31"/>
  <c r="AB37" i="31"/>
  <c r="AA37" i="31"/>
  <c r="AC37" i="31"/>
  <c r="AB13" i="31"/>
  <c r="AA13" i="31"/>
  <c r="AC13" i="31"/>
  <c r="AD42" i="32"/>
  <c r="AE42" i="32"/>
  <c r="AF42" i="32"/>
  <c r="AE507" i="32"/>
  <c r="AD507" i="32"/>
  <c r="AF507" i="32"/>
  <c r="AE268" i="32"/>
  <c r="AD268" i="32"/>
  <c r="AF268" i="32"/>
  <c r="AE307" i="32"/>
  <c r="AD307" i="32"/>
  <c r="AF307" i="32"/>
  <c r="AD278" i="32"/>
  <c r="AE278" i="32"/>
  <c r="AF278" i="32"/>
  <c r="AE227" i="32"/>
  <c r="AD227" i="32"/>
  <c r="AF227" i="32"/>
  <c r="AE235" i="32"/>
  <c r="AD235" i="32"/>
  <c r="AF235" i="32"/>
  <c r="AE34" i="32"/>
  <c r="AD34" i="32"/>
  <c r="AF34" i="32"/>
  <c r="AE239" i="32"/>
  <c r="AD239" i="32"/>
  <c r="AF239" i="32"/>
  <c r="AD347" i="32"/>
  <c r="AE347" i="32"/>
  <c r="AF347" i="32"/>
  <c r="AE481" i="32"/>
  <c r="AD481" i="32"/>
  <c r="AF481" i="32"/>
  <c r="AE85" i="32"/>
  <c r="AD85" i="32"/>
  <c r="AF85" i="32"/>
  <c r="AE276" i="32"/>
  <c r="AD276" i="32"/>
  <c r="AF276" i="32"/>
  <c r="AE423" i="32"/>
  <c r="AD423" i="32"/>
  <c r="AF423" i="32"/>
  <c r="AE574" i="32"/>
  <c r="AD574" i="32"/>
  <c r="AF574" i="32"/>
  <c r="AD88" i="32"/>
  <c r="AE88" i="32"/>
  <c r="AF88" i="32"/>
  <c r="AE342" i="32"/>
  <c r="AD342" i="32"/>
  <c r="AF342" i="32"/>
  <c r="AE489" i="32"/>
  <c r="AD489" i="32"/>
  <c r="AF489" i="32"/>
  <c r="AE576" i="32"/>
  <c r="AD576" i="32"/>
  <c r="AF576" i="32"/>
  <c r="AD152" i="32"/>
  <c r="AE152" i="32"/>
  <c r="AF152" i="32"/>
  <c r="AD214" i="32"/>
  <c r="AE214" i="32"/>
  <c r="AF214" i="32"/>
  <c r="AE360" i="32"/>
  <c r="AD360" i="32"/>
  <c r="AF360" i="32"/>
  <c r="AE593" i="32"/>
  <c r="AD593" i="32"/>
  <c r="AF593" i="32"/>
  <c r="AD158" i="32"/>
  <c r="AE158" i="32"/>
  <c r="AF158" i="32"/>
  <c r="AE228" i="32"/>
  <c r="AD228" i="32"/>
  <c r="AF228" i="32"/>
  <c r="AE370" i="32"/>
  <c r="AD370" i="32"/>
  <c r="AF370" i="32"/>
  <c r="AE26" i="32"/>
  <c r="AD26" i="32"/>
  <c r="AF26" i="32"/>
  <c r="AD299" i="32"/>
  <c r="AE299" i="32"/>
  <c r="AF299" i="32"/>
  <c r="AD252" i="32"/>
  <c r="AE252" i="32"/>
  <c r="AF252" i="32"/>
  <c r="AE337" i="32"/>
  <c r="AD337" i="32"/>
  <c r="AF337" i="32"/>
  <c r="AE36" i="32"/>
  <c r="AD36" i="32"/>
  <c r="AF36" i="32"/>
  <c r="AE159" i="32"/>
  <c r="AD159" i="32"/>
  <c r="AF159" i="32"/>
  <c r="AE142" i="32"/>
  <c r="AD142" i="32"/>
  <c r="AF142" i="32"/>
  <c r="AE242" i="32"/>
  <c r="AD242" i="32"/>
  <c r="AF242" i="32"/>
  <c r="AE311" i="32"/>
  <c r="AD311" i="32"/>
  <c r="AF311" i="32"/>
  <c r="AE466" i="32"/>
  <c r="AD466" i="32"/>
  <c r="AF466" i="32"/>
  <c r="AE381" i="32"/>
  <c r="AD381" i="32"/>
  <c r="AF381" i="32"/>
  <c r="AE408" i="32"/>
  <c r="AD408" i="32"/>
  <c r="AF408" i="32"/>
  <c r="AE460" i="32"/>
  <c r="AD460" i="32"/>
  <c r="AF460" i="32"/>
  <c r="AE535" i="32"/>
  <c r="AD535" i="32"/>
  <c r="AF535" i="32"/>
  <c r="AD105" i="32"/>
  <c r="AE105" i="32"/>
  <c r="AF105" i="32"/>
  <c r="AD177" i="32"/>
  <c r="AE177" i="32"/>
  <c r="AF177" i="32"/>
  <c r="AE303" i="32"/>
  <c r="AD303" i="32"/>
  <c r="AF303" i="32"/>
  <c r="AE302" i="32"/>
  <c r="AD302" i="32"/>
  <c r="AF302" i="32"/>
  <c r="AE361" i="32"/>
  <c r="AD361" i="32"/>
  <c r="AF361" i="32"/>
  <c r="AD501" i="32"/>
  <c r="AE501" i="32"/>
  <c r="AF501" i="32"/>
  <c r="AE498" i="32"/>
  <c r="AD498" i="32"/>
  <c r="AF498" i="32"/>
  <c r="AD497" i="32"/>
  <c r="AE497" i="32"/>
  <c r="AF497" i="32"/>
  <c r="AD108" i="32"/>
  <c r="AE108" i="32"/>
  <c r="AF108" i="32"/>
  <c r="AE185" i="32"/>
  <c r="AD185" i="32"/>
  <c r="AF185" i="32"/>
  <c r="AE336" i="32"/>
  <c r="AD336" i="32"/>
  <c r="AF336" i="32"/>
  <c r="AE326" i="32"/>
  <c r="AD326" i="32"/>
  <c r="AF326" i="32"/>
  <c r="AD364" i="32"/>
  <c r="AE364" i="32"/>
  <c r="AF364" i="32"/>
  <c r="AE316" i="32"/>
  <c r="AD316" i="32"/>
  <c r="AF316" i="32"/>
  <c r="AD500" i="32"/>
  <c r="AE500" i="32"/>
  <c r="AF500" i="32"/>
  <c r="AD531" i="32"/>
  <c r="AE531" i="32"/>
  <c r="AF531" i="32"/>
  <c r="AE21" i="32"/>
  <c r="AD21" i="32"/>
  <c r="AF21" i="32"/>
  <c r="AE65" i="32"/>
  <c r="AD65" i="32"/>
  <c r="AF65" i="32"/>
  <c r="AE247" i="32"/>
  <c r="AD247" i="32"/>
  <c r="AF247" i="32"/>
  <c r="AE327" i="32"/>
  <c r="AD327" i="32"/>
  <c r="AF327" i="32"/>
  <c r="AE223" i="32"/>
  <c r="AD223" i="32"/>
  <c r="AF223" i="32"/>
  <c r="AD188" i="32"/>
  <c r="AE188" i="32"/>
  <c r="AF188" i="32"/>
  <c r="AE439" i="32"/>
  <c r="AD439" i="32"/>
  <c r="AF439" i="32"/>
  <c r="AE330" i="32"/>
  <c r="AD330" i="32"/>
  <c r="AF330" i="32"/>
  <c r="AE559" i="32"/>
  <c r="AD559" i="32"/>
  <c r="AF559" i="32"/>
  <c r="AE490" i="32"/>
  <c r="AD490" i="32"/>
  <c r="AF490" i="32"/>
  <c r="AE93" i="32"/>
  <c r="AD93" i="32"/>
  <c r="AF93" i="32"/>
  <c r="AD480" i="32"/>
  <c r="AE480" i="32"/>
  <c r="AF480" i="32"/>
  <c r="AE259" i="32"/>
  <c r="AD259" i="32"/>
  <c r="AF259" i="32"/>
  <c r="AD377" i="32"/>
  <c r="AE377" i="32"/>
  <c r="AF377" i="32"/>
  <c r="AD391" i="32"/>
  <c r="AE391" i="32"/>
  <c r="AF391" i="32"/>
  <c r="AE461" i="32"/>
  <c r="AD461" i="32"/>
  <c r="AF461" i="32"/>
  <c r="AD523" i="32"/>
  <c r="AE523" i="32"/>
  <c r="AF523" i="32"/>
  <c r="AD522" i="32"/>
  <c r="AE522" i="32"/>
  <c r="AF522" i="32"/>
  <c r="AE586" i="32"/>
  <c r="AD586" i="32"/>
  <c r="AF586" i="32"/>
  <c r="AL624" i="31"/>
  <c r="AM624" i="31"/>
  <c r="AE624" i="31"/>
  <c r="AD624" i="31"/>
  <c r="AA179" i="31"/>
  <c r="AB179" i="31"/>
  <c r="AC179" i="31"/>
  <c r="AA581" i="31"/>
  <c r="AB581" i="31"/>
  <c r="AC581" i="31"/>
  <c r="I627" i="31"/>
  <c r="H627" i="31"/>
  <c r="P627" i="31"/>
  <c r="AA501" i="31"/>
  <c r="AB501" i="31"/>
  <c r="AC501" i="31"/>
  <c r="AA297" i="31"/>
  <c r="AB297" i="31"/>
  <c r="AC297" i="31"/>
  <c r="AA425" i="31"/>
  <c r="AB425" i="31"/>
  <c r="AC425" i="31"/>
  <c r="AB591" i="31"/>
  <c r="AA591" i="31"/>
  <c r="AC591" i="31"/>
  <c r="AA80" i="31"/>
  <c r="AB80" i="31"/>
  <c r="AC80" i="31"/>
  <c r="AA551" i="31"/>
  <c r="AB551" i="31"/>
  <c r="AC551" i="31"/>
  <c r="AA238" i="31"/>
  <c r="AB238" i="31"/>
  <c r="AC238" i="31"/>
  <c r="AB65" i="31"/>
  <c r="AA65" i="31"/>
  <c r="AC65" i="31"/>
  <c r="AB465" i="31"/>
  <c r="AA465" i="31"/>
  <c r="AC465" i="31"/>
  <c r="AA101" i="31"/>
  <c r="AB101" i="31"/>
  <c r="AC101" i="31"/>
  <c r="AA611" i="31"/>
  <c r="AB611" i="31"/>
  <c r="AC611" i="31"/>
  <c r="AA304" i="31"/>
  <c r="AB304" i="31"/>
  <c r="AC304" i="31"/>
  <c r="AB168" i="31"/>
  <c r="AA168" i="31"/>
  <c r="AC168" i="31"/>
  <c r="AA312" i="31"/>
  <c r="AB312" i="31"/>
  <c r="AC312" i="31"/>
  <c r="AB52" i="31"/>
  <c r="AA52" i="31"/>
  <c r="AC52" i="31"/>
  <c r="AE525" i="32"/>
  <c r="AD525" i="32"/>
  <c r="AF525" i="32"/>
  <c r="AE96" i="32"/>
  <c r="AD96" i="32"/>
  <c r="AF96" i="32"/>
  <c r="AD352" i="32"/>
  <c r="AE352" i="32"/>
  <c r="AF352" i="32"/>
  <c r="AE193" i="32"/>
  <c r="AD193" i="32"/>
  <c r="AF193" i="32"/>
  <c r="AE335" i="32"/>
  <c r="AD335" i="32"/>
  <c r="AF335" i="32"/>
  <c r="AE28" i="32"/>
  <c r="AD28" i="32"/>
  <c r="AF28" i="32"/>
  <c r="AE279" i="32"/>
  <c r="AD279" i="32"/>
  <c r="AF279" i="32"/>
  <c r="AE595" i="32"/>
  <c r="AD595" i="32"/>
  <c r="AF595" i="32"/>
  <c r="AE419" i="32"/>
  <c r="AD419" i="32"/>
  <c r="AF419" i="32"/>
  <c r="AD577" i="32"/>
  <c r="AE577" i="32"/>
  <c r="AF577" i="32"/>
  <c r="AD267" i="32"/>
  <c r="AE267" i="32"/>
  <c r="AF267" i="32"/>
  <c r="AE204" i="32"/>
  <c r="AD204" i="32"/>
  <c r="AF204" i="32"/>
  <c r="AE579" i="32"/>
  <c r="AD579" i="32"/>
  <c r="AF579" i="32"/>
  <c r="AD120" i="32"/>
  <c r="AE120" i="32"/>
  <c r="AF120" i="32"/>
  <c r="AE208" i="32"/>
  <c r="AD208" i="32"/>
  <c r="AF208" i="32"/>
  <c r="AD321" i="32"/>
  <c r="AE321" i="32"/>
  <c r="AF321" i="32"/>
  <c r="AD351" i="32"/>
  <c r="AE351" i="32"/>
  <c r="AF351" i="32"/>
  <c r="AE608" i="32"/>
  <c r="AD608" i="32"/>
  <c r="AF608" i="32"/>
  <c r="AE199" i="32"/>
  <c r="AD199" i="32"/>
  <c r="AF199" i="32"/>
  <c r="AE365" i="32"/>
  <c r="AD365" i="32"/>
  <c r="AF365" i="32"/>
  <c r="AD444" i="32"/>
  <c r="AE444" i="32"/>
  <c r="AF444" i="32"/>
  <c r="AE380" i="32"/>
  <c r="AD380" i="32"/>
  <c r="AF380" i="32"/>
  <c r="AE494" i="32"/>
  <c r="AD494" i="32"/>
  <c r="AF494" i="32"/>
  <c r="E629" i="31"/>
  <c r="F629" i="31"/>
  <c r="K627" i="31"/>
  <c r="L627" i="31"/>
  <c r="AB132" i="31"/>
  <c r="AA132" i="31"/>
  <c r="AC132" i="31"/>
  <c r="AB56" i="31"/>
  <c r="AA56" i="31"/>
  <c r="AC56" i="31"/>
  <c r="AA371" i="31"/>
  <c r="AB371" i="31"/>
  <c r="AC371" i="31"/>
  <c r="AA320" i="31"/>
  <c r="AB320" i="31"/>
  <c r="AC320" i="31"/>
  <c r="AB419" i="31"/>
  <c r="AA419" i="31"/>
  <c r="AC419" i="31"/>
  <c r="AA226" i="31"/>
  <c r="AB226" i="31"/>
  <c r="AC226" i="31"/>
  <c r="AA553" i="31"/>
  <c r="AB553" i="31"/>
  <c r="AC553" i="31"/>
  <c r="AA137" i="31"/>
  <c r="AB137" i="31"/>
  <c r="AC137" i="31"/>
  <c r="AB444" i="31"/>
  <c r="AA444" i="31"/>
  <c r="AC444" i="31"/>
  <c r="AA209" i="31"/>
  <c r="AB209" i="31"/>
  <c r="AC209" i="31"/>
  <c r="AA143" i="31"/>
  <c r="AB143" i="31"/>
  <c r="AC143" i="31"/>
  <c r="AB260" i="31"/>
  <c r="AA260" i="31"/>
  <c r="AC260" i="31"/>
  <c r="AB433" i="31"/>
  <c r="AA433" i="31"/>
  <c r="AC433" i="31"/>
  <c r="AB83" i="31"/>
  <c r="AA83" i="31"/>
  <c r="AC83" i="31"/>
  <c r="AA196" i="31"/>
  <c r="AB196" i="31"/>
  <c r="AC196" i="31"/>
  <c r="AA337" i="31"/>
  <c r="AB337" i="31"/>
  <c r="AC337" i="31"/>
  <c r="AB538" i="31"/>
  <c r="AA538" i="31"/>
  <c r="AC538" i="31"/>
  <c r="AB355" i="31"/>
  <c r="AA355" i="31"/>
  <c r="AC355" i="31"/>
  <c r="AA228" i="31"/>
  <c r="AB228" i="31"/>
  <c r="AC228" i="31"/>
  <c r="AA173" i="31"/>
  <c r="AB173" i="31"/>
  <c r="AC173" i="31"/>
  <c r="AB296" i="31"/>
  <c r="AA296" i="31"/>
  <c r="AC296" i="31"/>
  <c r="AA548" i="31"/>
  <c r="AB548" i="31"/>
  <c r="AC548" i="31"/>
  <c r="AA406" i="31"/>
  <c r="AB406" i="31"/>
  <c r="AC406" i="31"/>
  <c r="AA487" i="31"/>
  <c r="AB487" i="31"/>
  <c r="AC487" i="31"/>
  <c r="AA564" i="31"/>
  <c r="AB564" i="31"/>
  <c r="AC564" i="31"/>
  <c r="AA35" i="31"/>
  <c r="AB35" i="31"/>
  <c r="AC35" i="31"/>
  <c r="AA106" i="31"/>
  <c r="AB106" i="31"/>
  <c r="AC106" i="31"/>
  <c r="AB167" i="31"/>
  <c r="AA167" i="31"/>
  <c r="AC167" i="31"/>
  <c r="AB263" i="31"/>
  <c r="AA263" i="31"/>
  <c r="AC263" i="31"/>
  <c r="AB345" i="31"/>
  <c r="AA345" i="31"/>
  <c r="AC345" i="31"/>
  <c r="AA409" i="31"/>
  <c r="AB409" i="31"/>
  <c r="AC409" i="31"/>
  <c r="AB497" i="31"/>
  <c r="AA497" i="31"/>
  <c r="AC497" i="31"/>
  <c r="AB562" i="31"/>
  <c r="AA562" i="31"/>
  <c r="AC562" i="31"/>
  <c r="AB33" i="31"/>
  <c r="AA33" i="31"/>
  <c r="AC33" i="31"/>
  <c r="AB104" i="31"/>
  <c r="AA104" i="31"/>
  <c r="AC104" i="31"/>
  <c r="AB157" i="31"/>
  <c r="AA157" i="31"/>
  <c r="AC157" i="31"/>
  <c r="AA245" i="31"/>
  <c r="AB245" i="31"/>
  <c r="AC245" i="31"/>
  <c r="AB335" i="31"/>
  <c r="AA335" i="31"/>
  <c r="AC335" i="31"/>
  <c r="AB441" i="31"/>
  <c r="AA441" i="31"/>
  <c r="AC441" i="31"/>
  <c r="AA475" i="31"/>
  <c r="AB475" i="31"/>
  <c r="AC475" i="31"/>
  <c r="AB572" i="31"/>
  <c r="AA572" i="31"/>
  <c r="AC572" i="31"/>
  <c r="AB75" i="31"/>
  <c r="AA75" i="31"/>
  <c r="AC75" i="31"/>
  <c r="AB102" i="31"/>
  <c r="AA102" i="31"/>
  <c r="AC102" i="31"/>
  <c r="AA241" i="31"/>
  <c r="AB241" i="31"/>
  <c r="AC241" i="31"/>
  <c r="AB250" i="31"/>
  <c r="AA250" i="31"/>
  <c r="AC250" i="31"/>
  <c r="AB317" i="31"/>
  <c r="AA317" i="31"/>
  <c r="AC317" i="31"/>
  <c r="AA373" i="31"/>
  <c r="AB373" i="31"/>
  <c r="AC373" i="31"/>
  <c r="AA463" i="31"/>
  <c r="AB463" i="31"/>
  <c r="AC463" i="31"/>
  <c r="AA536" i="31"/>
  <c r="AB536" i="31"/>
  <c r="AC536" i="31"/>
  <c r="AA612" i="31"/>
  <c r="AB612" i="31"/>
  <c r="AC612" i="31"/>
  <c r="AB79" i="31"/>
  <c r="AA79" i="31"/>
  <c r="AC79" i="31"/>
  <c r="AB129" i="31"/>
  <c r="AA129" i="31"/>
  <c r="AC129" i="31"/>
  <c r="AA190" i="31"/>
  <c r="AB190" i="31"/>
  <c r="AC190" i="31"/>
  <c r="AB270" i="31"/>
  <c r="AA270" i="31"/>
  <c r="AC270" i="31"/>
  <c r="AB313" i="31"/>
  <c r="AA313" i="31"/>
  <c r="AC313" i="31"/>
  <c r="AB408" i="31"/>
  <c r="AA408" i="31"/>
  <c r="AC408" i="31"/>
  <c r="AA510" i="31"/>
  <c r="AB510" i="31"/>
  <c r="AC510" i="31"/>
  <c r="AB559" i="31"/>
  <c r="AA559" i="31"/>
  <c r="AC559" i="31"/>
  <c r="AA68" i="31"/>
  <c r="AB68" i="31"/>
  <c r="AC68" i="31"/>
  <c r="AB117" i="31"/>
  <c r="AA117" i="31"/>
  <c r="AC117" i="31"/>
  <c r="AB153" i="31"/>
  <c r="AA153" i="31"/>
  <c r="AC153" i="31"/>
  <c r="AB234" i="31"/>
  <c r="AA234" i="31"/>
  <c r="AC234" i="31"/>
  <c r="AB298" i="31"/>
  <c r="AA298" i="31"/>
  <c r="AC298" i="31"/>
  <c r="AB305" i="31"/>
  <c r="AA305" i="31"/>
  <c r="AC305" i="31"/>
  <c r="AB413" i="31"/>
  <c r="AA413" i="31"/>
  <c r="AC413" i="31"/>
  <c r="AA458" i="31"/>
  <c r="AB458" i="31"/>
  <c r="AC458" i="31"/>
  <c r="AB537" i="31"/>
  <c r="AA537" i="31"/>
  <c r="AC537" i="31"/>
  <c r="AA598" i="31"/>
  <c r="AB598" i="31"/>
  <c r="AC598" i="31"/>
  <c r="AE306" i="32"/>
  <c r="AD306" i="32"/>
  <c r="AF306" i="32"/>
  <c r="AD125" i="32"/>
  <c r="AE125" i="32"/>
  <c r="AF125" i="32"/>
  <c r="AE406" i="32"/>
  <c r="AD406" i="32"/>
  <c r="AF406" i="32"/>
  <c r="AD149" i="32"/>
  <c r="AE149" i="32"/>
  <c r="AF149" i="32"/>
  <c r="AE418" i="32"/>
  <c r="AD418" i="32"/>
  <c r="AF418" i="32"/>
  <c r="AD425" i="32"/>
  <c r="AE425" i="32"/>
  <c r="AF425" i="32"/>
  <c r="AD386" i="32"/>
  <c r="AE386" i="32"/>
  <c r="AF386" i="32"/>
  <c r="AE537" i="32"/>
  <c r="AD537" i="32"/>
  <c r="AF537" i="32"/>
  <c r="AE578" i="32"/>
  <c r="AD578" i="32"/>
  <c r="AF578" i="32"/>
  <c r="AD180" i="32"/>
  <c r="AE180" i="32"/>
  <c r="AF180" i="32"/>
  <c r="AE328" i="32"/>
  <c r="AD328" i="32"/>
  <c r="AF328" i="32"/>
  <c r="AE445" i="32"/>
  <c r="AD445" i="32"/>
  <c r="AF445" i="32"/>
  <c r="AD533" i="32"/>
  <c r="AE533" i="32"/>
  <c r="AF533" i="32"/>
  <c r="AE95" i="32"/>
  <c r="AD95" i="32"/>
  <c r="AF95" i="32"/>
  <c r="AD367" i="32"/>
  <c r="AE367" i="32"/>
  <c r="AF367" i="32"/>
  <c r="AE456" i="32"/>
  <c r="AD456" i="32"/>
  <c r="AF456" i="32"/>
  <c r="AA613" i="31"/>
  <c r="AB613" i="31"/>
  <c r="AC613" i="31"/>
  <c r="AD113" i="32"/>
  <c r="AE113" i="32"/>
  <c r="AF113" i="32"/>
  <c r="AE440" i="32"/>
  <c r="AD440" i="32"/>
  <c r="AF440" i="32"/>
  <c r="AD465" i="32"/>
  <c r="AE465" i="32"/>
  <c r="AF465" i="32"/>
  <c r="AE111" i="32"/>
  <c r="AD111" i="32"/>
  <c r="AF111" i="32"/>
  <c r="AD226" i="32"/>
  <c r="AE226" i="32"/>
  <c r="AF226" i="32"/>
  <c r="AD446" i="32"/>
  <c r="AE446" i="32"/>
  <c r="AF446" i="32"/>
  <c r="AE569" i="32"/>
  <c r="AD569" i="32"/>
  <c r="AF569" i="32"/>
  <c r="AE16" i="32"/>
  <c r="AD16" i="32"/>
  <c r="AF16" i="32"/>
  <c r="AE56" i="32"/>
  <c r="AD56" i="32"/>
  <c r="AF56" i="32"/>
  <c r="AD195" i="32"/>
  <c r="AE195" i="32"/>
  <c r="AF195" i="32"/>
  <c r="AE463" i="32"/>
  <c r="AD463" i="32"/>
  <c r="AF463" i="32"/>
  <c r="AD32" i="32"/>
  <c r="AE32" i="32"/>
  <c r="AF32" i="32"/>
  <c r="AD116" i="32"/>
  <c r="AE116" i="32"/>
  <c r="AF116" i="32"/>
  <c r="AD257" i="32"/>
  <c r="AE257" i="32"/>
  <c r="AF257" i="32"/>
  <c r="AE486" i="32"/>
  <c r="AD486" i="32"/>
  <c r="AF486" i="32"/>
  <c r="AD84" i="32"/>
  <c r="AE84" i="32"/>
  <c r="AF84" i="32"/>
  <c r="AE282" i="32"/>
  <c r="AD282" i="32"/>
  <c r="AF282" i="32"/>
  <c r="AE128" i="32"/>
  <c r="AD128" i="32"/>
  <c r="AF128" i="32"/>
  <c r="AE203" i="32"/>
  <c r="AD203" i="32"/>
  <c r="AF203" i="32"/>
  <c r="AD258" i="32"/>
  <c r="AE258" i="32"/>
  <c r="AF258" i="32"/>
  <c r="AE473" i="32"/>
  <c r="AD473" i="32"/>
  <c r="AF473" i="32"/>
  <c r="AE395" i="32"/>
  <c r="AD395" i="32"/>
  <c r="AF395" i="32"/>
  <c r="AD539" i="32"/>
  <c r="AE539" i="32"/>
  <c r="AF539" i="32"/>
  <c r="AD612" i="32"/>
  <c r="AE612" i="32"/>
  <c r="AF612" i="32"/>
  <c r="AD129" i="32"/>
  <c r="AE129" i="32"/>
  <c r="AF129" i="32"/>
  <c r="AE119" i="32"/>
  <c r="AD119" i="32"/>
  <c r="AF119" i="32"/>
  <c r="AD112" i="32"/>
  <c r="AE112" i="32"/>
  <c r="AF112" i="32"/>
  <c r="AE313" i="32"/>
  <c r="AD313" i="32"/>
  <c r="AF313" i="32"/>
  <c r="AE240" i="32"/>
  <c r="AD240" i="32"/>
  <c r="AF240" i="32"/>
  <c r="AE560" i="32"/>
  <c r="AD560" i="32"/>
  <c r="AF560" i="32"/>
  <c r="AD436" i="32"/>
  <c r="AE436" i="32"/>
  <c r="AF436" i="32"/>
  <c r="AD513" i="32"/>
  <c r="AE513" i="32"/>
  <c r="AF513" i="32"/>
  <c r="AD504" i="32"/>
  <c r="AE504" i="32"/>
  <c r="AF504" i="32"/>
  <c r="AD126" i="32"/>
  <c r="AE126" i="32"/>
  <c r="AF126" i="32"/>
  <c r="AE132" i="32"/>
  <c r="AD132" i="32"/>
  <c r="AF132" i="32"/>
  <c r="AD315" i="32"/>
  <c r="AE315" i="32"/>
  <c r="AF315" i="32"/>
  <c r="AE245" i="32"/>
  <c r="AD245" i="32"/>
  <c r="AF245" i="32"/>
  <c r="AE345" i="32"/>
  <c r="AD345" i="32"/>
  <c r="AF345" i="32"/>
  <c r="AD438" i="32"/>
  <c r="AE438" i="32"/>
  <c r="AF438" i="32"/>
  <c r="AE515" i="32"/>
  <c r="AD515" i="32"/>
  <c r="AF515" i="32"/>
  <c r="AE526" i="32"/>
  <c r="AD526" i="32"/>
  <c r="AF526" i="32"/>
  <c r="AD173" i="32"/>
  <c r="AE173" i="32"/>
  <c r="AF173" i="32"/>
  <c r="AD183" i="32"/>
  <c r="AE183" i="32"/>
  <c r="AF183" i="32"/>
  <c r="AE312" i="32"/>
  <c r="AD312" i="32"/>
  <c r="AF312" i="32"/>
  <c r="AE256" i="32"/>
  <c r="AD256" i="32"/>
  <c r="AF256" i="32"/>
  <c r="AD372" i="32"/>
  <c r="AE372" i="32"/>
  <c r="AF372" i="32"/>
  <c r="AE385" i="32"/>
  <c r="AD385" i="32"/>
  <c r="AF385" i="32"/>
  <c r="AE428" i="32"/>
  <c r="AD428" i="32"/>
  <c r="AF428" i="32"/>
  <c r="AD477" i="32"/>
  <c r="AE477" i="32"/>
  <c r="AF477" i="32"/>
  <c r="AE502" i="32"/>
  <c r="AD502" i="32"/>
  <c r="AF502" i="32"/>
  <c r="AE584" i="32"/>
  <c r="AD584" i="32"/>
  <c r="AF584" i="32"/>
  <c r="AD64" i="32"/>
  <c r="AE64" i="32"/>
  <c r="AF64" i="32"/>
  <c r="AE144" i="32"/>
  <c r="AD144" i="32"/>
  <c r="AF144" i="32"/>
  <c r="AD261" i="32"/>
  <c r="AE261" i="32"/>
  <c r="AF261" i="32"/>
  <c r="AD288" i="32"/>
  <c r="AE288" i="32"/>
  <c r="AF288" i="32"/>
  <c r="AE332" i="32"/>
  <c r="AD332" i="32"/>
  <c r="AF332" i="32"/>
  <c r="AE430" i="32"/>
  <c r="AD430" i="32"/>
  <c r="AF430" i="32"/>
  <c r="AE588" i="32"/>
  <c r="AD588" i="32"/>
  <c r="AF588" i="32"/>
  <c r="AD478" i="32"/>
  <c r="AE478" i="32"/>
  <c r="AF478" i="32"/>
  <c r="AB310" i="31"/>
  <c r="AA310" i="31"/>
  <c r="AC310" i="31"/>
  <c r="AA342" i="31"/>
  <c r="AB342" i="31"/>
  <c r="AC342" i="31"/>
  <c r="AB587" i="31"/>
  <c r="AA587" i="31"/>
  <c r="AC587" i="31"/>
  <c r="AB135" i="31"/>
  <c r="AA135" i="31"/>
  <c r="AC135" i="31"/>
  <c r="AA381" i="31"/>
  <c r="AB381" i="31"/>
  <c r="AC381" i="31"/>
  <c r="AA325" i="31"/>
  <c r="AB325" i="31"/>
  <c r="AC325" i="31"/>
  <c r="AA158" i="31"/>
  <c r="AB158" i="31"/>
  <c r="AC158" i="31"/>
  <c r="AB95" i="31"/>
  <c r="AA95" i="31"/>
  <c r="AC95" i="31"/>
  <c r="AA28" i="31"/>
  <c r="AB28" i="31"/>
  <c r="AC28" i="31"/>
  <c r="AA440" i="31"/>
  <c r="AB440" i="31"/>
  <c r="AC440" i="31"/>
  <c r="AB494" i="31"/>
  <c r="AA494" i="31"/>
  <c r="AC494" i="31"/>
  <c r="AB278" i="31"/>
  <c r="AA278" i="31"/>
  <c r="AC278" i="31"/>
  <c r="AA44" i="31"/>
  <c r="AB44" i="31"/>
  <c r="AC44" i="31"/>
  <c r="AE366" i="32"/>
  <c r="AD366" i="32"/>
  <c r="AF366" i="32"/>
  <c r="AE459" i="32"/>
  <c r="AD459" i="32"/>
  <c r="AF459" i="32"/>
  <c r="AD241" i="32"/>
  <c r="AE241" i="32"/>
  <c r="AF241" i="32"/>
  <c r="AE66" i="32"/>
  <c r="AD66" i="32"/>
  <c r="AF66" i="32"/>
  <c r="AD545" i="32"/>
  <c r="AE545" i="32"/>
  <c r="AF545" i="32"/>
  <c r="AE601" i="32"/>
  <c r="AD601" i="32"/>
  <c r="AF601" i="32"/>
  <c r="AE69" i="32"/>
  <c r="AD69" i="32"/>
  <c r="AF69" i="32"/>
  <c r="AE604" i="32"/>
  <c r="AD604" i="32"/>
  <c r="AF604" i="32"/>
  <c r="AD99" i="32"/>
  <c r="AE99" i="32"/>
  <c r="AF99" i="32"/>
  <c r="AE286" i="32"/>
  <c r="AD286" i="32"/>
  <c r="AF286" i="32"/>
  <c r="AE323" i="32"/>
  <c r="AD323" i="32"/>
  <c r="AF323" i="32"/>
  <c r="AE518" i="32"/>
  <c r="AD518" i="32"/>
  <c r="AF518" i="32"/>
  <c r="AD115" i="32"/>
  <c r="AE115" i="32"/>
  <c r="AF115" i="32"/>
  <c r="AE250" i="32"/>
  <c r="AD250" i="32"/>
  <c r="AF250" i="32"/>
  <c r="AE568" i="32"/>
  <c r="AD568" i="32"/>
  <c r="AF568" i="32"/>
  <c r="R624" i="31"/>
  <c r="Q624" i="31"/>
  <c r="AF624" i="31"/>
  <c r="AO624" i="31"/>
  <c r="H634" i="31" s="1"/>
  <c r="AP624" i="31"/>
  <c r="AA623" i="31"/>
  <c r="AB623" i="31"/>
  <c r="AC623" i="31"/>
  <c r="AA225" i="31"/>
  <c r="AB225" i="31"/>
  <c r="AC225" i="31"/>
  <c r="AA543" i="31"/>
  <c r="AB543" i="31"/>
  <c r="AC543" i="31"/>
  <c r="AA142" i="31"/>
  <c r="AB142" i="31"/>
  <c r="AC142" i="31"/>
  <c r="AA73" i="31"/>
  <c r="AB73" i="31"/>
  <c r="AC73" i="31"/>
  <c r="AB376" i="31"/>
  <c r="AA376" i="31"/>
  <c r="AC376" i="31"/>
  <c r="AB293" i="31"/>
  <c r="AA293" i="31"/>
  <c r="AC293" i="31"/>
  <c r="U629" i="31"/>
  <c r="V629" i="31"/>
  <c r="AC629" i="31"/>
  <c r="Y627" i="31"/>
  <c r="X627" i="31"/>
  <c r="AA144" i="31"/>
  <c r="AB144" i="31"/>
  <c r="AC144" i="31"/>
  <c r="AB140" i="31"/>
  <c r="AA140" i="31"/>
  <c r="AC140" i="31"/>
  <c r="AB215" i="31"/>
  <c r="AA215" i="31"/>
  <c r="AC215" i="31"/>
  <c r="AA386" i="31"/>
  <c r="AB386" i="31"/>
  <c r="AC386" i="31"/>
  <c r="AA588" i="31"/>
  <c r="AB588" i="31"/>
  <c r="AC588" i="31"/>
  <c r="AB399" i="31"/>
  <c r="AA399" i="31"/>
  <c r="AC399" i="31"/>
  <c r="AA99" i="31"/>
  <c r="AB99" i="31"/>
  <c r="AC99" i="31"/>
  <c r="AB410" i="31"/>
  <c r="AA410" i="31"/>
  <c r="AC410" i="31"/>
  <c r="AA109" i="31"/>
  <c r="AB109" i="31"/>
  <c r="AC109" i="31"/>
  <c r="AB224" i="31"/>
  <c r="AA224" i="31"/>
  <c r="AC224" i="31"/>
  <c r="AA379" i="31"/>
  <c r="AB379" i="31"/>
  <c r="AC379" i="31"/>
  <c r="AB575" i="31"/>
  <c r="AA575" i="31"/>
  <c r="AC575" i="31"/>
  <c r="AB176" i="31"/>
  <c r="AA176" i="31"/>
  <c r="AC176" i="31"/>
  <c r="AB257" i="31"/>
  <c r="AA257" i="31"/>
  <c r="AC257" i="31"/>
  <c r="AA462" i="31"/>
  <c r="AB462" i="31"/>
  <c r="AC462" i="31"/>
  <c r="AB32" i="31"/>
  <c r="AA32" i="31"/>
  <c r="AC32" i="31"/>
  <c r="AA82" i="31"/>
  <c r="AB82" i="31"/>
  <c r="AC82" i="31"/>
  <c r="AB323" i="31"/>
  <c r="AA323" i="31"/>
  <c r="AC323" i="31"/>
  <c r="AB437" i="31"/>
  <c r="AA437" i="31"/>
  <c r="AC437" i="31"/>
  <c r="AB248" i="31"/>
  <c r="AA248" i="31"/>
  <c r="AC248" i="31"/>
  <c r="AB159" i="31"/>
  <c r="AA159" i="31"/>
  <c r="AC159" i="31"/>
  <c r="AA384" i="31"/>
  <c r="AB384" i="31"/>
  <c r="AC384" i="31"/>
  <c r="AB566" i="31"/>
  <c r="AA566" i="31"/>
  <c r="AC566" i="31"/>
  <c r="AA461" i="31"/>
  <c r="AB461" i="31"/>
  <c r="AC461" i="31"/>
  <c r="AA41" i="31"/>
  <c r="AB41" i="31"/>
  <c r="AC41" i="31"/>
  <c r="AA191" i="31"/>
  <c r="AB191" i="31"/>
  <c r="AC191" i="31"/>
  <c r="AB385" i="31"/>
  <c r="AA385" i="31"/>
  <c r="AC385" i="31"/>
  <c r="AB546" i="31"/>
  <c r="AA546" i="31"/>
  <c r="AC546" i="31"/>
  <c r="AA401" i="31"/>
  <c r="AB401" i="31"/>
  <c r="AC401" i="31"/>
  <c r="AA489" i="31"/>
  <c r="AB489" i="31"/>
  <c r="AC489" i="31"/>
  <c r="AB569" i="31"/>
  <c r="AA569" i="31"/>
  <c r="AC569" i="31"/>
  <c r="AC74" i="31"/>
  <c r="AA74" i="31"/>
  <c r="AB74" i="31"/>
  <c r="AB115" i="31"/>
  <c r="AA115" i="31"/>
  <c r="AC115" i="31"/>
  <c r="AA233" i="31"/>
  <c r="AB233" i="31"/>
  <c r="AC233" i="31"/>
  <c r="AB272" i="31"/>
  <c r="AA272" i="31"/>
  <c r="AC272" i="31"/>
  <c r="AB392" i="31"/>
  <c r="AA392" i="31"/>
  <c r="AC392" i="31"/>
  <c r="AB442" i="31"/>
  <c r="AA442" i="31"/>
  <c r="AC442" i="31"/>
  <c r="AA530" i="31"/>
  <c r="AB530" i="31"/>
  <c r="AC530" i="31"/>
  <c r="AB583" i="31"/>
  <c r="AA583" i="31"/>
  <c r="AC583" i="31"/>
  <c r="AA64" i="31"/>
  <c r="AB64" i="31"/>
  <c r="AC64" i="31"/>
  <c r="AB105" i="31"/>
  <c r="AA105" i="31"/>
  <c r="AC105" i="31"/>
  <c r="AA166" i="31"/>
  <c r="AB166" i="31"/>
  <c r="AC166" i="31"/>
  <c r="AB246" i="31"/>
  <c r="AA246" i="31"/>
  <c r="AC246" i="31"/>
  <c r="AA351" i="31"/>
  <c r="AB351" i="31"/>
  <c r="AC351" i="31"/>
  <c r="AA422" i="31"/>
  <c r="AB422" i="31"/>
  <c r="AC422" i="31"/>
  <c r="AA480" i="31"/>
  <c r="AB480" i="31"/>
  <c r="AC480" i="31"/>
  <c r="AB565" i="31"/>
  <c r="AA565" i="31"/>
  <c r="AC565" i="31"/>
  <c r="AA43" i="31"/>
  <c r="AB43" i="31"/>
  <c r="AC43" i="31"/>
  <c r="AA111" i="31"/>
  <c r="AB111" i="31"/>
  <c r="AC111" i="31"/>
  <c r="AB156" i="31"/>
  <c r="AA156" i="31"/>
  <c r="AC156" i="31"/>
  <c r="AB268" i="31"/>
  <c r="AA268" i="31"/>
  <c r="AC268" i="31"/>
  <c r="AA334" i="31"/>
  <c r="AB334" i="31"/>
  <c r="AC334" i="31"/>
  <c r="AA375" i="31"/>
  <c r="AB375" i="31"/>
  <c r="AC375" i="31"/>
  <c r="AA476" i="31"/>
  <c r="AB476" i="31"/>
  <c r="AC476" i="31"/>
  <c r="AB540" i="31"/>
  <c r="AA540" i="31"/>
  <c r="AC540" i="31"/>
  <c r="AB51" i="31"/>
  <c r="AA51" i="31"/>
  <c r="AC51" i="31"/>
  <c r="AB55" i="31"/>
  <c r="AA55" i="31"/>
  <c r="AC55" i="31"/>
  <c r="AA138" i="31"/>
  <c r="AB138" i="31"/>
  <c r="AC138" i="31"/>
  <c r="AB199" i="31"/>
  <c r="AA199" i="31"/>
  <c r="AC199" i="31"/>
  <c r="AA330" i="31"/>
  <c r="AB330" i="31"/>
  <c r="AC330" i="31"/>
  <c r="AA400" i="31"/>
  <c r="AB400" i="31"/>
  <c r="AC400" i="31"/>
  <c r="AB418" i="31"/>
  <c r="AA418" i="31"/>
  <c r="AC418" i="31"/>
  <c r="AB533" i="31"/>
  <c r="AA533" i="31"/>
  <c r="AC533" i="31"/>
  <c r="AB574" i="31"/>
  <c r="AA574" i="31"/>
  <c r="AC574" i="31"/>
  <c r="AB38" i="31"/>
  <c r="AA38" i="31"/>
  <c r="AC38" i="31"/>
  <c r="AB110" i="31"/>
  <c r="AA110" i="31"/>
  <c r="AC110" i="31"/>
  <c r="AB146" i="31"/>
  <c r="AA146" i="31"/>
  <c r="AC146" i="31"/>
  <c r="AB229" i="31"/>
  <c r="AA229" i="31"/>
  <c r="AC229" i="31"/>
  <c r="AB315" i="31"/>
  <c r="AA315" i="31"/>
  <c r="AC315" i="31"/>
  <c r="AB370" i="31"/>
  <c r="AA370" i="31"/>
  <c r="AC370" i="31"/>
  <c r="AB415" i="31"/>
  <c r="AA415" i="31"/>
  <c r="AC415" i="31"/>
  <c r="AB478" i="31"/>
  <c r="AA478" i="31"/>
  <c r="AC478" i="31"/>
  <c r="AB555" i="31"/>
  <c r="AA555" i="31"/>
  <c r="AC555" i="31"/>
  <c r="AB605" i="31"/>
  <c r="AA605" i="31"/>
  <c r="AC605" i="31"/>
  <c r="AE329" i="32"/>
  <c r="AD329" i="32"/>
  <c r="AF329" i="32"/>
  <c r="AE471" i="32"/>
  <c r="AD471" i="32"/>
  <c r="AF471" i="32"/>
  <c r="AD143" i="32"/>
  <c r="AE143" i="32"/>
  <c r="AF143" i="32"/>
  <c r="AE255" i="32"/>
  <c r="AD255" i="32"/>
  <c r="AF255" i="32"/>
  <c r="AE606" i="32"/>
  <c r="AD606" i="32"/>
  <c r="AF606" i="32"/>
  <c r="AE448" i="32"/>
  <c r="AD448" i="32"/>
  <c r="AF448" i="32"/>
  <c r="AD469" i="32"/>
  <c r="AE469" i="32"/>
  <c r="AF469" i="32"/>
  <c r="AE603" i="32"/>
  <c r="AD603" i="32"/>
  <c r="AF603" i="32"/>
  <c r="AD485" i="32"/>
  <c r="AE485" i="32"/>
  <c r="AF485" i="32"/>
  <c r="AE75" i="32"/>
  <c r="AD75" i="32"/>
  <c r="AF75" i="32"/>
  <c r="AE309" i="32"/>
  <c r="AD309" i="32"/>
  <c r="AF309" i="32"/>
  <c r="AE441" i="32"/>
  <c r="AD441" i="32"/>
  <c r="AF441" i="32"/>
  <c r="AD161" i="32"/>
  <c r="AE161" i="32"/>
  <c r="AF161" i="32"/>
  <c r="AE165" i="32"/>
  <c r="AD165" i="32"/>
  <c r="AF165" i="32"/>
  <c r="AD295" i="32"/>
  <c r="AE295" i="32"/>
  <c r="AF295" i="32"/>
  <c r="AE468" i="32"/>
  <c r="AD468" i="32"/>
  <c r="AF468" i="32"/>
  <c r="AE178" i="32"/>
  <c r="AD178" i="32"/>
  <c r="AF178" i="32"/>
  <c r="AE167" i="32"/>
  <c r="AD167" i="32"/>
  <c r="AF167" i="32"/>
  <c r="AE334" i="32"/>
  <c r="AD334" i="32"/>
  <c r="AF334" i="32"/>
  <c r="AE546" i="32"/>
  <c r="AD546" i="32"/>
  <c r="AF546" i="32"/>
  <c r="AE25" i="32"/>
  <c r="AD25" i="32"/>
  <c r="AF25" i="32"/>
  <c r="AD48" i="32"/>
  <c r="AE48" i="32"/>
  <c r="AF48" i="32"/>
  <c r="AE181" i="32"/>
  <c r="AD181" i="32"/>
  <c r="AF181" i="32"/>
  <c r="AE562" i="32"/>
  <c r="AD562" i="32"/>
  <c r="AF562" i="32"/>
  <c r="AE30" i="32"/>
  <c r="AD30" i="32"/>
  <c r="AF30" i="32"/>
  <c r="AD83" i="32"/>
  <c r="AE83" i="32"/>
  <c r="AF83" i="32"/>
  <c r="AE213" i="32"/>
  <c r="AD213" i="32"/>
  <c r="AF213" i="32"/>
  <c r="AE573" i="32"/>
  <c r="AD573" i="32"/>
  <c r="AF573" i="32"/>
  <c r="AE45" i="32"/>
  <c r="AD45" i="32"/>
  <c r="AF45" i="32"/>
  <c r="AD74" i="32"/>
  <c r="AE74" i="32"/>
  <c r="AF74" i="32"/>
  <c r="AD449" i="32"/>
  <c r="AE449" i="32"/>
  <c r="AF449" i="32"/>
  <c r="AE585" i="32"/>
  <c r="AD585" i="32"/>
  <c r="AF585" i="32"/>
  <c r="AE17" i="32"/>
  <c r="AD17" i="32"/>
  <c r="AF17" i="32"/>
  <c r="AD100" i="32"/>
  <c r="AE100" i="32"/>
  <c r="AF100" i="32"/>
  <c r="AE154" i="32"/>
  <c r="AD154" i="32"/>
  <c r="AF154" i="32"/>
  <c r="AE296" i="32"/>
  <c r="AD296" i="32"/>
  <c r="AF296" i="32"/>
  <c r="AE300" i="32"/>
  <c r="AD300" i="32"/>
  <c r="AF300" i="32"/>
  <c r="AE359" i="32"/>
  <c r="AD359" i="32"/>
  <c r="AF359" i="32"/>
  <c r="AD479" i="32"/>
  <c r="AE479" i="32"/>
  <c r="AF479" i="32"/>
  <c r="AE484" i="32"/>
  <c r="AD484" i="32"/>
  <c r="AF484" i="32"/>
  <c r="AE495" i="32"/>
  <c r="AD495" i="32"/>
  <c r="AF495" i="32"/>
  <c r="AD114" i="32"/>
  <c r="AE114" i="32"/>
  <c r="AF114" i="32"/>
  <c r="AE187" i="32"/>
  <c r="AD187" i="32"/>
  <c r="AF187" i="32"/>
  <c r="AD198" i="32"/>
  <c r="AE198" i="32"/>
  <c r="AF198" i="32"/>
  <c r="AE191" i="32"/>
  <c r="AD191" i="32"/>
  <c r="AF191" i="32"/>
  <c r="AE410" i="32"/>
  <c r="AD410" i="32"/>
  <c r="AF410" i="32"/>
  <c r="AD414" i="32"/>
  <c r="AE414" i="32"/>
  <c r="AF414" i="32"/>
  <c r="AD318" i="32"/>
  <c r="AE318" i="32"/>
  <c r="AF318" i="32"/>
  <c r="AD543" i="32"/>
  <c r="AE543" i="32"/>
  <c r="AF543" i="32"/>
  <c r="AE447" i="32"/>
  <c r="AD447" i="32"/>
  <c r="AF447" i="32"/>
  <c r="AE196" i="32"/>
  <c r="AD196" i="32"/>
  <c r="AF196" i="32"/>
  <c r="AD254" i="32"/>
  <c r="AE254" i="32"/>
  <c r="AF254" i="32"/>
  <c r="AD207" i="32"/>
  <c r="AE207" i="32"/>
  <c r="AF207" i="32"/>
  <c r="AE179" i="32"/>
  <c r="AD179" i="32"/>
  <c r="AF179" i="32"/>
  <c r="AE426" i="32"/>
  <c r="AD426" i="32"/>
  <c r="AF426" i="32"/>
  <c r="AD322" i="32"/>
  <c r="AE322" i="32"/>
  <c r="AF322" i="32"/>
  <c r="AD552" i="32"/>
  <c r="AE552" i="32"/>
  <c r="AF552" i="32"/>
  <c r="AD476" i="32"/>
  <c r="AE476" i="32"/>
  <c r="AF476" i="32"/>
  <c r="AE59" i="32"/>
  <c r="AD59" i="32"/>
  <c r="AF59" i="32"/>
  <c r="AE166" i="32"/>
  <c r="AD166" i="32"/>
  <c r="AF166" i="32"/>
  <c r="AE110" i="32"/>
  <c r="AD110" i="32"/>
  <c r="AF110" i="32"/>
  <c r="AD301" i="32"/>
  <c r="AE301" i="32"/>
  <c r="AF301" i="32"/>
  <c r="AD243" i="32"/>
  <c r="AE243" i="32"/>
  <c r="AF243" i="32"/>
  <c r="AE435" i="32"/>
  <c r="AD435" i="32"/>
  <c r="AF435" i="32"/>
  <c r="AD378" i="32"/>
  <c r="AE378" i="32"/>
  <c r="AF378" i="32"/>
  <c r="AD482" i="32"/>
  <c r="AE482" i="32"/>
  <c r="AF482" i="32"/>
  <c r="AE566" i="32"/>
  <c r="AD566" i="32"/>
  <c r="AF566" i="32"/>
  <c r="AB78" i="31"/>
  <c r="AA78" i="31"/>
  <c r="AC78" i="31"/>
  <c r="AE139" i="32"/>
  <c r="AD139" i="32"/>
  <c r="AF139" i="32"/>
  <c r="AD264" i="32"/>
  <c r="AE264" i="32"/>
  <c r="AF264" i="32"/>
  <c r="AD205" i="32"/>
  <c r="AE205" i="32"/>
  <c r="AF205" i="32"/>
  <c r="AD388" i="32"/>
  <c r="AE388" i="32"/>
  <c r="AF388" i="32"/>
  <c r="AE376" i="32"/>
  <c r="AD376" i="32"/>
  <c r="AF376" i="32"/>
  <c r="AE355" i="32"/>
  <c r="AD355" i="32"/>
  <c r="AF355" i="32"/>
  <c r="AE555" i="32"/>
  <c r="AD555" i="32"/>
  <c r="AF555" i="32"/>
  <c r="AD554" i="32"/>
  <c r="AE554" i="32"/>
  <c r="AF554" i="32"/>
  <c r="E627" i="31"/>
  <c r="F627" i="31"/>
  <c r="AB230" i="31"/>
  <c r="AA230" i="31"/>
  <c r="AC230" i="31"/>
  <c r="AA57" i="31"/>
  <c r="AB57" i="31"/>
  <c r="AC57" i="31"/>
  <c r="AB594" i="31"/>
  <c r="AA594" i="31"/>
  <c r="AC594" i="31"/>
  <c r="AB141" i="31"/>
  <c r="AA141" i="31"/>
  <c r="AC141" i="31"/>
  <c r="AB513" i="31"/>
  <c r="AA513" i="31"/>
  <c r="AC513" i="31"/>
  <c r="AB412" i="31"/>
  <c r="AA412" i="31"/>
  <c r="AC412" i="31"/>
  <c r="AB414" i="31"/>
  <c r="AA414" i="31"/>
  <c r="AC414" i="31"/>
  <c r="AA249" i="31"/>
  <c r="AB249" i="31"/>
  <c r="AC249" i="31"/>
  <c r="AB227" i="31"/>
  <c r="AA227" i="31"/>
  <c r="AC227" i="31"/>
  <c r="AB128" i="31"/>
  <c r="AA128" i="31"/>
  <c r="AC128" i="31"/>
  <c r="AA54" i="31"/>
  <c r="AB54" i="31"/>
  <c r="AC54" i="31"/>
  <c r="AB517" i="31"/>
  <c r="AA517" i="31"/>
  <c r="AC517" i="31"/>
  <c r="AD565" i="32"/>
  <c r="AE565" i="32"/>
  <c r="AF565" i="32"/>
  <c r="AE371" i="32"/>
  <c r="AD371" i="32"/>
  <c r="AF371" i="32"/>
  <c r="AE101" i="32"/>
  <c r="AD101" i="32"/>
  <c r="AF101" i="32"/>
  <c r="AD325" i="32"/>
  <c r="AE325" i="32"/>
  <c r="AF325" i="32"/>
  <c r="AE61" i="32"/>
  <c r="AD61" i="32"/>
  <c r="AF61" i="32"/>
  <c r="AE200" i="32"/>
  <c r="AD200" i="32"/>
  <c r="AF200" i="32"/>
  <c r="AE202" i="32"/>
  <c r="AD202" i="32"/>
  <c r="AF202" i="32"/>
  <c r="AD253" i="32"/>
  <c r="AE253" i="32"/>
  <c r="AF253" i="32"/>
  <c r="AB567" i="31"/>
  <c r="AA567" i="31"/>
  <c r="AC567" i="31"/>
  <c r="AA434" i="31"/>
  <c r="AB434" i="31"/>
  <c r="AC434" i="31"/>
  <c r="AA499" i="31"/>
  <c r="AB499" i="31"/>
  <c r="AC499" i="31"/>
  <c r="AA577" i="31"/>
  <c r="AB577" i="31"/>
  <c r="AC577" i="31"/>
  <c r="AA42" i="31"/>
  <c r="AB42" i="31"/>
  <c r="AC42" i="31"/>
  <c r="AB200" i="31"/>
  <c r="AA200" i="31"/>
  <c r="AC200" i="31"/>
  <c r="AB236" i="31"/>
  <c r="AA236" i="31"/>
  <c r="AC236" i="31"/>
  <c r="AA281" i="31"/>
  <c r="AB281" i="31"/>
  <c r="AC281" i="31"/>
  <c r="AB358" i="31"/>
  <c r="AA358" i="31"/>
  <c r="AC358" i="31"/>
  <c r="AA474" i="31"/>
  <c r="AB474" i="31"/>
  <c r="AC474" i="31"/>
  <c r="AB506" i="31"/>
  <c r="AA506" i="31"/>
  <c r="AC506" i="31"/>
  <c r="AB607" i="31"/>
  <c r="AA607" i="31"/>
  <c r="AC607" i="31"/>
  <c r="AB40" i="31"/>
  <c r="AA40" i="31"/>
  <c r="AC40" i="31"/>
  <c r="AA114" i="31"/>
  <c r="AB114" i="31"/>
  <c r="AC114" i="31"/>
  <c r="AB175" i="31"/>
  <c r="AA175" i="31"/>
  <c r="AC175" i="31"/>
  <c r="AB271" i="31"/>
  <c r="AA271" i="31"/>
  <c r="AC271" i="31"/>
  <c r="AA354" i="31"/>
  <c r="AB354" i="31"/>
  <c r="AC354" i="31"/>
  <c r="AA417" i="31"/>
  <c r="AB417" i="31"/>
  <c r="AC417" i="31"/>
  <c r="AA490" i="31"/>
  <c r="AB490" i="31"/>
  <c r="AC490" i="31"/>
  <c r="AB580" i="31"/>
  <c r="AA580" i="31"/>
  <c r="AC580" i="31"/>
  <c r="AB50" i="31"/>
  <c r="AA50" i="31"/>
  <c r="AC50" i="31"/>
  <c r="AB112" i="31"/>
  <c r="AA112" i="31"/>
  <c r="AC112" i="31"/>
  <c r="AB165" i="31"/>
  <c r="AA165" i="31"/>
  <c r="AC165" i="31"/>
  <c r="AA253" i="31"/>
  <c r="AB253" i="31"/>
  <c r="AC253" i="31"/>
  <c r="AA343" i="31"/>
  <c r="AB343" i="31"/>
  <c r="AC343" i="31"/>
  <c r="AA460" i="31"/>
  <c r="AB460" i="31"/>
  <c r="AC460" i="31"/>
  <c r="AB493" i="31"/>
  <c r="AA493" i="31"/>
  <c r="AC493" i="31"/>
  <c r="AA545" i="31"/>
  <c r="AB545" i="31"/>
  <c r="AC545" i="31"/>
  <c r="AA19" i="31"/>
  <c r="AB19" i="31"/>
  <c r="AC19" i="31"/>
  <c r="AB31" i="31"/>
  <c r="AA31" i="31"/>
  <c r="AC31" i="31"/>
  <c r="AB160" i="31"/>
  <c r="AA160" i="31"/>
  <c r="AC160" i="31"/>
  <c r="AA239" i="31"/>
  <c r="AB239" i="31"/>
  <c r="AC239" i="31"/>
  <c r="AB369" i="31"/>
  <c r="AA369" i="31"/>
  <c r="AC369" i="31"/>
  <c r="AB449" i="31"/>
  <c r="AA449" i="31"/>
  <c r="AC449" i="31"/>
  <c r="AB469" i="31"/>
  <c r="AA469" i="31"/>
  <c r="AC469" i="31"/>
  <c r="AB520" i="31"/>
  <c r="AA520" i="31"/>
  <c r="AC520" i="31"/>
  <c r="AB590" i="31"/>
  <c r="AA590" i="31"/>
  <c r="AC590" i="31"/>
  <c r="AB22" i="31"/>
  <c r="AA22" i="31"/>
  <c r="AC22" i="31"/>
  <c r="AB103" i="31"/>
  <c r="AA103" i="31"/>
  <c r="AC103" i="31"/>
  <c r="AB219" i="31"/>
  <c r="AA219" i="31"/>
  <c r="AC219" i="31"/>
  <c r="AB251" i="31"/>
  <c r="AA251" i="31"/>
  <c r="AC251" i="31"/>
  <c r="AB322" i="31"/>
  <c r="AA322" i="31"/>
  <c r="AC322" i="31"/>
  <c r="AB356" i="31"/>
  <c r="AA356" i="31"/>
  <c r="AC356" i="31"/>
  <c r="AB428" i="31"/>
  <c r="AA428" i="31"/>
  <c r="AC428" i="31"/>
  <c r="AB488" i="31"/>
  <c r="AA488" i="31"/>
  <c r="AC488" i="31"/>
  <c r="AB552" i="31"/>
  <c r="AA552" i="31"/>
  <c r="AC552" i="31"/>
  <c r="AB46" i="31"/>
  <c r="AA46" i="31"/>
  <c r="AC46" i="31"/>
  <c r="AB16" i="31"/>
  <c r="AA16" i="31"/>
  <c r="AC16" i="31"/>
  <c r="AD528" i="32"/>
  <c r="AE528" i="32"/>
  <c r="AF528" i="32"/>
  <c r="AD289" i="32"/>
  <c r="AE289" i="32"/>
  <c r="AF289" i="32"/>
  <c r="AD509" i="32"/>
  <c r="AE509" i="32"/>
  <c r="AF509" i="32"/>
  <c r="AB76" i="31"/>
  <c r="AA76" i="31"/>
  <c r="AC76" i="31"/>
  <c r="AD53" i="32"/>
  <c r="AE53" i="32"/>
  <c r="AF53" i="32"/>
  <c r="AE44" i="32"/>
  <c r="AD44" i="32"/>
  <c r="AF44" i="32"/>
  <c r="AD62" i="32"/>
  <c r="AE62" i="32"/>
  <c r="AF62" i="32"/>
  <c r="AE73" i="32"/>
  <c r="AD73" i="32"/>
  <c r="AF73" i="32"/>
  <c r="AD136" i="32"/>
  <c r="AE136" i="32"/>
  <c r="AF136" i="32"/>
  <c r="AD293" i="32"/>
  <c r="AE293" i="32"/>
  <c r="AF293" i="32"/>
  <c r="AD398" i="32"/>
  <c r="AE398" i="32"/>
  <c r="AF398" i="32"/>
  <c r="AD137" i="32"/>
  <c r="AE137" i="32"/>
  <c r="AF137" i="32"/>
  <c r="AE190" i="32"/>
  <c r="AD190" i="32"/>
  <c r="AF190" i="32"/>
  <c r="AE280" i="32"/>
  <c r="AD280" i="32"/>
  <c r="AF280" i="32"/>
  <c r="AD602" i="32"/>
  <c r="AE602" i="32"/>
  <c r="AF602" i="32"/>
  <c r="AD13" i="32"/>
  <c r="AE13" i="32"/>
  <c r="AF13" i="32"/>
  <c r="AE46" i="32"/>
  <c r="AD46" i="32"/>
  <c r="AF46" i="32"/>
  <c r="AE285" i="32"/>
  <c r="AD285" i="32"/>
  <c r="AF285" i="32"/>
  <c r="AD532" i="32"/>
  <c r="AE532" i="32"/>
  <c r="AF532" i="32"/>
  <c r="AD20" i="32"/>
  <c r="AE20" i="32"/>
  <c r="AF20" i="32"/>
  <c r="AE290" i="32"/>
  <c r="AD290" i="32"/>
  <c r="AF290" i="32"/>
  <c r="AE397" i="32"/>
  <c r="AD397" i="32"/>
  <c r="AF397" i="32"/>
  <c r="AE557" i="32"/>
  <c r="AD557" i="32"/>
  <c r="AF557" i="32"/>
  <c r="AE22" i="32"/>
  <c r="AD22" i="32"/>
  <c r="AF22" i="32"/>
  <c r="AE422" i="32"/>
  <c r="AD422" i="32"/>
  <c r="AF422" i="32"/>
  <c r="AD432" i="32"/>
  <c r="AE432" i="32"/>
  <c r="AF432" i="32"/>
  <c r="AE583" i="32"/>
  <c r="AD583" i="32"/>
  <c r="AF583" i="32"/>
  <c r="AD76" i="32"/>
  <c r="AE76" i="32"/>
  <c r="AF76" i="32"/>
  <c r="AE174" i="32"/>
  <c r="AD174" i="32"/>
  <c r="AF174" i="32"/>
  <c r="AD434" i="32"/>
  <c r="AE434" i="32"/>
  <c r="AF434" i="32"/>
  <c r="AD587" i="32"/>
  <c r="AE587" i="32"/>
  <c r="AF587" i="32"/>
  <c r="AD81" i="32"/>
  <c r="AE81" i="32"/>
  <c r="AF81" i="32"/>
  <c r="AD169" i="32"/>
  <c r="AE169" i="32"/>
  <c r="AF169" i="32"/>
  <c r="AD58" i="32"/>
  <c r="AE58" i="32"/>
  <c r="AF58" i="32"/>
  <c r="AD233" i="32"/>
  <c r="AE233" i="32"/>
  <c r="AF233" i="32"/>
  <c r="AD197" i="32"/>
  <c r="AE197" i="32"/>
  <c r="AF197" i="32"/>
  <c r="AD417" i="32"/>
  <c r="AE417" i="32"/>
  <c r="AF417" i="32"/>
  <c r="AE373" i="32"/>
  <c r="AD373" i="32"/>
  <c r="AF373" i="32"/>
  <c r="AD575" i="32"/>
  <c r="AE575" i="32"/>
  <c r="AF575" i="32"/>
  <c r="AD572" i="32"/>
  <c r="AE572" i="32"/>
  <c r="AF572" i="32"/>
  <c r="AE98" i="32"/>
  <c r="AD98" i="32"/>
  <c r="AF98" i="32"/>
  <c r="AD78" i="32"/>
  <c r="AE78" i="32"/>
  <c r="AF78" i="32"/>
  <c r="AE192" i="32"/>
  <c r="AD192" i="32"/>
  <c r="AF192" i="32"/>
  <c r="AD248" i="32"/>
  <c r="AE248" i="32"/>
  <c r="AF248" i="32"/>
  <c r="AE277" i="32"/>
  <c r="AD277" i="32"/>
  <c r="AF277" i="32"/>
  <c r="AE314" i="32"/>
  <c r="AD314" i="32"/>
  <c r="AF314" i="32"/>
  <c r="AD344" i="32"/>
  <c r="AE344" i="32"/>
  <c r="AF344" i="32"/>
  <c r="AE594" i="32"/>
  <c r="AD594" i="32"/>
  <c r="AF594" i="32"/>
  <c r="AE512" i="32"/>
  <c r="AD512" i="32"/>
  <c r="AF512" i="32"/>
  <c r="AE92" i="32"/>
  <c r="AD92" i="32"/>
  <c r="AF92" i="32"/>
  <c r="AE194" i="32"/>
  <c r="AD194" i="32"/>
  <c r="AF194" i="32"/>
  <c r="AE263" i="32"/>
  <c r="AD263" i="32"/>
  <c r="AF263" i="32"/>
  <c r="AE304" i="32"/>
  <c r="AD304" i="32"/>
  <c r="AF304" i="32"/>
  <c r="AE319" i="32"/>
  <c r="AD319" i="32"/>
  <c r="AF319" i="32"/>
  <c r="AE346" i="32"/>
  <c r="AD346" i="32"/>
  <c r="AF346" i="32"/>
  <c r="AE596" i="32"/>
  <c r="AD596" i="32"/>
  <c r="AF596" i="32"/>
  <c r="AE514" i="32"/>
  <c r="AD514" i="32"/>
  <c r="AF514" i="32"/>
  <c r="AD27" i="32"/>
  <c r="AE27" i="32"/>
  <c r="AF27" i="32"/>
  <c r="AD54" i="32"/>
  <c r="AE54" i="32"/>
  <c r="AF54" i="32"/>
  <c r="AD141" i="32"/>
  <c r="AE141" i="32"/>
  <c r="AF141" i="32"/>
  <c r="AD236" i="32"/>
  <c r="AE236" i="32"/>
  <c r="AF236" i="32"/>
  <c r="AE283" i="32"/>
  <c r="AD283" i="32"/>
  <c r="AF283" i="32"/>
  <c r="AE317" i="32"/>
  <c r="AD317" i="32"/>
  <c r="AF317" i="32"/>
  <c r="AE411" i="32"/>
  <c r="AD411" i="32"/>
  <c r="AF411" i="32"/>
  <c r="AE581" i="32"/>
  <c r="AD581" i="32"/>
  <c r="AF581" i="32"/>
  <c r="AE470" i="32"/>
  <c r="AD470" i="32"/>
  <c r="AF470" i="32"/>
  <c r="AE43" i="32"/>
  <c r="AD43" i="32"/>
  <c r="AF43" i="32"/>
  <c r="AD70" i="32"/>
  <c r="AE70" i="32"/>
  <c r="AF70" i="32"/>
  <c r="AD86" i="32"/>
  <c r="AE86" i="32"/>
  <c r="AF86" i="32"/>
  <c r="AE281" i="32"/>
  <c r="AD281" i="32"/>
  <c r="AF281" i="32"/>
  <c r="AE220" i="32"/>
  <c r="AD220" i="32"/>
  <c r="AF220" i="32"/>
  <c r="AD442" i="32"/>
  <c r="AE442" i="32"/>
  <c r="AF442" i="32"/>
  <c r="AE416" i="32"/>
  <c r="AD416" i="32"/>
  <c r="AF416" i="32"/>
  <c r="AE505" i="32"/>
  <c r="AD505" i="32"/>
  <c r="AF505" i="32"/>
  <c r="AE600" i="32"/>
  <c r="AD600" i="32"/>
  <c r="AF600" i="32"/>
  <c r="AL625" i="31"/>
  <c r="AM625" i="31"/>
  <c r="AE625" i="31"/>
  <c r="AD625" i="31"/>
  <c r="AB277" i="31"/>
  <c r="AA277" i="31"/>
  <c r="AC277" i="31"/>
  <c r="AA568" i="31"/>
  <c r="AB568" i="31"/>
  <c r="AC568" i="31"/>
  <c r="AA491" i="31"/>
  <c r="AB491" i="31"/>
  <c r="AC491" i="31"/>
  <c r="AA629" i="31"/>
  <c r="AB629" i="31"/>
  <c r="AA336" i="31"/>
  <c r="AB336" i="31"/>
  <c r="AC336" i="31"/>
  <c r="AB182" i="31"/>
  <c r="AA182" i="31"/>
  <c r="AC182" i="31"/>
  <c r="AA275" i="31"/>
  <c r="AB275" i="31"/>
  <c r="AC275" i="31"/>
  <c r="AA186" i="31"/>
  <c r="AB186" i="31"/>
  <c r="AC186" i="31"/>
  <c r="AB147" i="31"/>
  <c r="AA147" i="31"/>
  <c r="AC147" i="31"/>
  <c r="AA67" i="31"/>
  <c r="AB67" i="31"/>
  <c r="AC67" i="31"/>
  <c r="AA344" i="31"/>
  <c r="AB344" i="31"/>
  <c r="AC344" i="31"/>
  <c r="AB203" i="31"/>
  <c r="AA203" i="31"/>
  <c r="AC203" i="31"/>
  <c r="AA532" i="31"/>
  <c r="AB532" i="31"/>
  <c r="AC532" i="31"/>
  <c r="AB378" i="31"/>
  <c r="AA378" i="31"/>
  <c r="AC378" i="31"/>
  <c r="AA541" i="31"/>
  <c r="AB541" i="31"/>
  <c r="AC541" i="31"/>
  <c r="AB269" i="31"/>
  <c r="AA269" i="31"/>
  <c r="AC269" i="31"/>
  <c r="AB116" i="31"/>
  <c r="AA116" i="31"/>
  <c r="AC116" i="31"/>
  <c r="AB456" i="31"/>
  <c r="AA456" i="31"/>
  <c r="AC456" i="31"/>
  <c r="AE201" i="32"/>
  <c r="AD201" i="32"/>
  <c r="AF201" i="32"/>
  <c r="AE320" i="32"/>
  <c r="AD320" i="32"/>
  <c r="AF320" i="32"/>
  <c r="AD542" i="32"/>
  <c r="AE542" i="32"/>
  <c r="AF542" i="32"/>
  <c r="AE184" i="32"/>
  <c r="AD184" i="32"/>
  <c r="AF184" i="32"/>
  <c r="AE148" i="32"/>
  <c r="AD148" i="32"/>
  <c r="AF148" i="32"/>
  <c r="AE18" i="32"/>
  <c r="AD18" i="32"/>
  <c r="AF18" i="32"/>
  <c r="AE122" i="32"/>
  <c r="AD122" i="32"/>
  <c r="AF122" i="32"/>
  <c r="AD349" i="32"/>
  <c r="AE349" i="32"/>
  <c r="AF349" i="32"/>
  <c r="AD215" i="32"/>
  <c r="AE215" i="32"/>
  <c r="AF215" i="32"/>
  <c r="AD375" i="32"/>
  <c r="AE375" i="32"/>
  <c r="AF375" i="32"/>
  <c r="AE38" i="32"/>
  <c r="AD38" i="32"/>
  <c r="AF38" i="32"/>
  <c r="K629" i="31"/>
  <c r="L629" i="31"/>
  <c r="AA217" i="31"/>
  <c r="AB217" i="31"/>
  <c r="AC217" i="31"/>
  <c r="AA404" i="31"/>
  <c r="AB404" i="31"/>
  <c r="AC404" i="31"/>
  <c r="AB526" i="31"/>
  <c r="AA526" i="31"/>
  <c r="AC526" i="31"/>
  <c r="AA431" i="31"/>
  <c r="AB431" i="31"/>
  <c r="AC431" i="31"/>
  <c r="AA405" i="31"/>
  <c r="AB405" i="31"/>
  <c r="AC405" i="31"/>
  <c r="AB332" i="31"/>
  <c r="AA332" i="31"/>
  <c r="AC332" i="31"/>
  <c r="AB184" i="31"/>
  <c r="AA184" i="31"/>
  <c r="AC184" i="31"/>
  <c r="AA471" i="31"/>
  <c r="AB471" i="31"/>
  <c r="AC471" i="31"/>
  <c r="AB397" i="31"/>
  <c r="AA397" i="31"/>
  <c r="AC397" i="31"/>
  <c r="AA100" i="31"/>
  <c r="AB100" i="31"/>
  <c r="AC100" i="31"/>
  <c r="U627" i="31"/>
  <c r="V627" i="31"/>
  <c r="AC627" i="31"/>
  <c r="AA628" i="31"/>
  <c r="AB628" i="31"/>
  <c r="AC628" i="31"/>
  <c r="AA283" i="31"/>
  <c r="AB283" i="31"/>
  <c r="AC283" i="31"/>
  <c r="AA81" i="31"/>
  <c r="AB81" i="31"/>
  <c r="AC81" i="31"/>
  <c r="AB338" i="31"/>
  <c r="AA338" i="31"/>
  <c r="AC338" i="31"/>
  <c r="AB427" i="31"/>
  <c r="AA427" i="31"/>
  <c r="AC427" i="31"/>
  <c r="AB17" i="31"/>
  <c r="AA17" i="31"/>
  <c r="AC17" i="31"/>
  <c r="AA481" i="31"/>
  <c r="AB481" i="31"/>
  <c r="AC481" i="31"/>
  <c r="AA207" i="31"/>
  <c r="AB207" i="31"/>
  <c r="AC207" i="31"/>
  <c r="AA502" i="31"/>
  <c r="AB502" i="31"/>
  <c r="AC502" i="31"/>
  <c r="AA121" i="31"/>
  <c r="AB121" i="31"/>
  <c r="AC121" i="31"/>
  <c r="AA262" i="31"/>
  <c r="AB262" i="31"/>
  <c r="AC262" i="31"/>
  <c r="AA426" i="31"/>
  <c r="AB426" i="31"/>
  <c r="AC426" i="31"/>
  <c r="AB169" i="31"/>
  <c r="AA169" i="31"/>
  <c r="AC169" i="31"/>
  <c r="AB180" i="31"/>
  <c r="AA180" i="31"/>
  <c r="AC180" i="31"/>
  <c r="AB295" i="31"/>
  <c r="AA295" i="31"/>
  <c r="AC295" i="31"/>
  <c r="AA512" i="31"/>
  <c r="AB512" i="31"/>
  <c r="AC512" i="31"/>
  <c r="AA363" i="31"/>
  <c r="AB363" i="31"/>
  <c r="AC363" i="31"/>
  <c r="AA178" i="31"/>
  <c r="AB178" i="31"/>
  <c r="AC178" i="31"/>
  <c r="AA340" i="31"/>
  <c r="AB340" i="31"/>
  <c r="AC340" i="31"/>
  <c r="AA479" i="31"/>
  <c r="AB479" i="31"/>
  <c r="AC479" i="31"/>
  <c r="AC34" i="31"/>
  <c r="AA34" i="31"/>
  <c r="AB34" i="31"/>
  <c r="AB350" i="31"/>
  <c r="AA350" i="31"/>
  <c r="AC350" i="31"/>
  <c r="AB423" i="31"/>
  <c r="AA423" i="31"/>
  <c r="AC423" i="31"/>
  <c r="AB14" i="31"/>
  <c r="AA14" i="31"/>
  <c r="AC14" i="31"/>
  <c r="AB59" i="31"/>
  <c r="AA59" i="31"/>
  <c r="AC59" i="31"/>
  <c r="AB118" i="31"/>
  <c r="AA118" i="31"/>
  <c r="AC118" i="31"/>
  <c r="AB259" i="31"/>
  <c r="AA259" i="31"/>
  <c r="AC259" i="31"/>
  <c r="AB382" i="31"/>
  <c r="AA382" i="31"/>
  <c r="AC382" i="31"/>
  <c r="AA597" i="31"/>
  <c r="AB597" i="31"/>
  <c r="AC597" i="31"/>
  <c r="AB450" i="31"/>
  <c r="AA450" i="31"/>
  <c r="AC450" i="31"/>
  <c r="AB542" i="31"/>
  <c r="AA542" i="31"/>
  <c r="AC542" i="31"/>
  <c r="AA592" i="31"/>
  <c r="AB592" i="31"/>
  <c r="AC592" i="31"/>
  <c r="AB85" i="31"/>
  <c r="AA85" i="31"/>
  <c r="AC85" i="31"/>
  <c r="AB193" i="31"/>
  <c r="AA193" i="31"/>
  <c r="AC193" i="31"/>
  <c r="AA223" i="31"/>
  <c r="AB223" i="31"/>
  <c r="AC223" i="31"/>
  <c r="AB353" i="31"/>
  <c r="AA353" i="31"/>
  <c r="AC353" i="31"/>
  <c r="AA372" i="31"/>
  <c r="AB372" i="31"/>
  <c r="AC372" i="31"/>
  <c r="AB468" i="31"/>
  <c r="AA468" i="31"/>
  <c r="AC468" i="31"/>
  <c r="AB516" i="31"/>
  <c r="AA516" i="31"/>
  <c r="AC516" i="31"/>
  <c r="AA595" i="31"/>
  <c r="AB595" i="31"/>
  <c r="AC595" i="31"/>
  <c r="AB47" i="31"/>
  <c r="AA47" i="31"/>
  <c r="AC47" i="31"/>
  <c r="AB123" i="31"/>
  <c r="AA123" i="31"/>
  <c r="AC123" i="31"/>
  <c r="AB210" i="31"/>
  <c r="AA210" i="31"/>
  <c r="AC210" i="31"/>
  <c r="AA280" i="31"/>
  <c r="AB280" i="31"/>
  <c r="AC280" i="31"/>
  <c r="AB348" i="31"/>
  <c r="AA348" i="31"/>
  <c r="AC348" i="31"/>
  <c r="AB443" i="31"/>
  <c r="AA443" i="31"/>
  <c r="AC443" i="31"/>
  <c r="AB571" i="31"/>
  <c r="AA571" i="31"/>
  <c r="AC571" i="31"/>
  <c r="AB570" i="31"/>
  <c r="AA570" i="31"/>
  <c r="AC570" i="31"/>
  <c r="AA18" i="31"/>
  <c r="AB18" i="31"/>
  <c r="AC18" i="31"/>
  <c r="AB113" i="31"/>
  <c r="AA113" i="31"/>
  <c r="AC113" i="31"/>
  <c r="AB174" i="31"/>
  <c r="AA174" i="31"/>
  <c r="AC174" i="31"/>
  <c r="AA254" i="31"/>
  <c r="AB254" i="31"/>
  <c r="AC254" i="31"/>
  <c r="AA289" i="31"/>
  <c r="AB289" i="31"/>
  <c r="AC289" i="31"/>
  <c r="AB407" i="31"/>
  <c r="AA407" i="31"/>
  <c r="AC407" i="31"/>
  <c r="AA496" i="31"/>
  <c r="AB496" i="31"/>
  <c r="AC496" i="31"/>
  <c r="AA558" i="31"/>
  <c r="AB558" i="31"/>
  <c r="AC558" i="31"/>
  <c r="AA58" i="31"/>
  <c r="AB58" i="31"/>
  <c r="AC58" i="31"/>
  <c r="AB108" i="31"/>
  <c r="AA108" i="31"/>
  <c r="AC108" i="31"/>
  <c r="AB161" i="31"/>
  <c r="AA161" i="31"/>
  <c r="AC161" i="31"/>
  <c r="AB222" i="31"/>
  <c r="AA222" i="31"/>
  <c r="AC222" i="31"/>
  <c r="AB274" i="31"/>
  <c r="AA274" i="31"/>
  <c r="AC274" i="31"/>
  <c r="AA367" i="31"/>
  <c r="AB367" i="31"/>
  <c r="AC367" i="31"/>
  <c r="AB452" i="31"/>
  <c r="AA452" i="31"/>
  <c r="AC452" i="31"/>
  <c r="AB507" i="31"/>
  <c r="AA507" i="31"/>
  <c r="AC507" i="31"/>
  <c r="AB600" i="31"/>
  <c r="AA600" i="31"/>
  <c r="AC600" i="31"/>
  <c r="AE175" i="32"/>
  <c r="AD175" i="32"/>
  <c r="AF175" i="32"/>
  <c r="AB96" i="31"/>
  <c r="AA96" i="31"/>
  <c r="AC96" i="31"/>
  <c r="AB195" i="31"/>
  <c r="AA195" i="31"/>
  <c r="AC195" i="31"/>
  <c r="AB284" i="31"/>
  <c r="AA284" i="31"/>
  <c r="AC284" i="31"/>
  <c r="AB292" i="31"/>
  <c r="AA292" i="31"/>
  <c r="AC292" i="31"/>
  <c r="AB366" i="31"/>
  <c r="AA366" i="31"/>
  <c r="AC366" i="31"/>
  <c r="AB435" i="31"/>
  <c r="AA435" i="31"/>
  <c r="AC435" i="31"/>
  <c r="AA482" i="31"/>
  <c r="AB482" i="31"/>
  <c r="AC482" i="31"/>
  <c r="AB557" i="31"/>
  <c r="AA557" i="31"/>
  <c r="AC557" i="31"/>
  <c r="AB20" i="31"/>
  <c r="AA20" i="31"/>
  <c r="AC20" i="31"/>
  <c r="AE516" i="32"/>
  <c r="AD516" i="32"/>
  <c r="AF516" i="32"/>
  <c r="AE33" i="32"/>
  <c r="AD33" i="32"/>
  <c r="AF33" i="32"/>
  <c r="AE348" i="32"/>
  <c r="AD348" i="32"/>
  <c r="AF348" i="32"/>
  <c r="AD117" i="32"/>
  <c r="AE117" i="32"/>
  <c r="AF117" i="32"/>
  <c r="AE106" i="32"/>
  <c r="AD106" i="32"/>
  <c r="AF106" i="32"/>
  <c r="AE79" i="32"/>
  <c r="AD79" i="32"/>
  <c r="AF79" i="32"/>
  <c r="AE29" i="32"/>
  <c r="AD29" i="32"/>
  <c r="AF29" i="32"/>
  <c r="AD155" i="32"/>
  <c r="AE155" i="32"/>
  <c r="AF155" i="32"/>
  <c r="AE131" i="32"/>
  <c r="AD131" i="32"/>
  <c r="AF131" i="32"/>
  <c r="AE123" i="32"/>
  <c r="AD123" i="32"/>
  <c r="AF123" i="32"/>
  <c r="AD265" i="32"/>
  <c r="AE265" i="32"/>
  <c r="AF265" i="32"/>
  <c r="AD590" i="32"/>
  <c r="AE590" i="32"/>
  <c r="AF590" i="32"/>
  <c r="AE23" i="32"/>
  <c r="AD23" i="32"/>
  <c r="AF23" i="32"/>
  <c r="AE150" i="32"/>
  <c r="AD150" i="32"/>
  <c r="AF150" i="32"/>
  <c r="AE384" i="32"/>
  <c r="AD384" i="32"/>
  <c r="AF384" i="32"/>
  <c r="AE527" i="32"/>
  <c r="AD527" i="32"/>
  <c r="AF527" i="32"/>
  <c r="AE15" i="32"/>
  <c r="AD15" i="32"/>
  <c r="AF15" i="32"/>
  <c r="AE206" i="32"/>
  <c r="AD206" i="32"/>
  <c r="AF206" i="32"/>
  <c r="AE394" i="32"/>
  <c r="AD394" i="32"/>
  <c r="AF394" i="32"/>
  <c r="AE529" i="32"/>
  <c r="AD529" i="32"/>
  <c r="AF529" i="32"/>
  <c r="AE52" i="32"/>
  <c r="AD52" i="32"/>
  <c r="AF52" i="32"/>
  <c r="AD308" i="32"/>
  <c r="AE308" i="32"/>
  <c r="AF308" i="32"/>
  <c r="AD402" i="32"/>
  <c r="AE402" i="32"/>
  <c r="AF402" i="32"/>
  <c r="AD536" i="32"/>
  <c r="AE536" i="32"/>
  <c r="AF536" i="32"/>
  <c r="AE60" i="32"/>
  <c r="AD60" i="32"/>
  <c r="AF60" i="32"/>
  <c r="AE172" i="32"/>
  <c r="AD172" i="32"/>
  <c r="AF172" i="32"/>
  <c r="AE407" i="32"/>
  <c r="AD407" i="32"/>
  <c r="AF407" i="32"/>
  <c r="AD564" i="32"/>
  <c r="AE564" i="32"/>
  <c r="AF564" i="32"/>
  <c r="AE14" i="32"/>
  <c r="AD14" i="32"/>
  <c r="AF14" i="32"/>
  <c r="AD503" i="32"/>
  <c r="AE503" i="32"/>
  <c r="AF503" i="32"/>
  <c r="AE467" i="32"/>
  <c r="AD467" i="32"/>
  <c r="AF467" i="32"/>
  <c r="AE582" i="32"/>
  <c r="AD582" i="32"/>
  <c r="AF582" i="32"/>
  <c r="AD124" i="32"/>
  <c r="AE124" i="32"/>
  <c r="AF124" i="32"/>
  <c r="AE90" i="32"/>
  <c r="AD90" i="32"/>
  <c r="AF90" i="32"/>
  <c r="AE107" i="32"/>
  <c r="AD107" i="32"/>
  <c r="AF107" i="32"/>
  <c r="AE305" i="32"/>
  <c r="AD305" i="32"/>
  <c r="AF305" i="32"/>
  <c r="AD237" i="32"/>
  <c r="AE237" i="32"/>
  <c r="AF237" i="32"/>
  <c r="AE548" i="32"/>
  <c r="AD548" i="32"/>
  <c r="AF548" i="32"/>
  <c r="AE433" i="32"/>
  <c r="AD433" i="32"/>
  <c r="AF433" i="32"/>
  <c r="AD511" i="32"/>
  <c r="AE511" i="32"/>
  <c r="AF511" i="32"/>
  <c r="AE499" i="32"/>
  <c r="AD499" i="32"/>
  <c r="AF499" i="32"/>
  <c r="AE164" i="32"/>
  <c r="AD164" i="32"/>
  <c r="AF164" i="32"/>
  <c r="AE160" i="32"/>
  <c r="AD160" i="32"/>
  <c r="AF160" i="32"/>
  <c r="AE244" i="32"/>
  <c r="AD244" i="32"/>
  <c r="AF244" i="32"/>
  <c r="AD340" i="32"/>
  <c r="AE340" i="32"/>
  <c r="AF340" i="32"/>
  <c r="AE350" i="32"/>
  <c r="AD350" i="32"/>
  <c r="AF350" i="32"/>
  <c r="AE387" i="32"/>
  <c r="AD387" i="32"/>
  <c r="AF387" i="32"/>
  <c r="AE415" i="32"/>
  <c r="AD415" i="32"/>
  <c r="AF415" i="32"/>
  <c r="AE474" i="32"/>
  <c r="AD474" i="32"/>
  <c r="AF474" i="32"/>
  <c r="AD544" i="32"/>
  <c r="AE544" i="32"/>
  <c r="AF544" i="32"/>
  <c r="AE182" i="32"/>
  <c r="AD182" i="32"/>
  <c r="AF182" i="32"/>
  <c r="AE249" i="32"/>
  <c r="AD249" i="32"/>
  <c r="AF249" i="32"/>
  <c r="AE357" i="32"/>
  <c r="AD357" i="32"/>
  <c r="AF357" i="32"/>
  <c r="AE379" i="32"/>
  <c r="AD379" i="32"/>
  <c r="AF379" i="32"/>
  <c r="AE421" i="32"/>
  <c r="AD421" i="32"/>
  <c r="AF421" i="32"/>
  <c r="AE420" i="32"/>
  <c r="AD420" i="32"/>
  <c r="AF420" i="32"/>
  <c r="AD488" i="32"/>
  <c r="AE488" i="32"/>
  <c r="AF488" i="32"/>
  <c r="AE556" i="32"/>
  <c r="AD556" i="32"/>
  <c r="AF556" i="32"/>
  <c r="AD47" i="32"/>
  <c r="AE47" i="32"/>
  <c r="AF47" i="32"/>
  <c r="AE133" i="32"/>
  <c r="AD133" i="32"/>
  <c r="AF133" i="32"/>
  <c r="AE222" i="32"/>
  <c r="AD222" i="32"/>
  <c r="AF222" i="32"/>
  <c r="AE475" i="32"/>
  <c r="AD475" i="32"/>
  <c r="AF475" i="32"/>
  <c r="AD343" i="32"/>
  <c r="AE343" i="32"/>
  <c r="AF343" i="32"/>
  <c r="AD374" i="32"/>
  <c r="AE374" i="32"/>
  <c r="AF374" i="32"/>
  <c r="AE353" i="32"/>
  <c r="AD353" i="32"/>
  <c r="AF353" i="32"/>
  <c r="AD541" i="32"/>
  <c r="AE541" i="32"/>
  <c r="AF541" i="32"/>
  <c r="AE540" i="32"/>
  <c r="AD540" i="32"/>
  <c r="AF540" i="32"/>
  <c r="AD24" i="32"/>
  <c r="AE24" i="32"/>
  <c r="AF24" i="32"/>
  <c r="AE163" i="32"/>
  <c r="AD163" i="32"/>
  <c r="AF163" i="32"/>
  <c r="AE156" i="32"/>
  <c r="AD156" i="32"/>
  <c r="AF156" i="32"/>
  <c r="AE429" i="32"/>
  <c r="AD429" i="32"/>
  <c r="AF429" i="32"/>
  <c r="AE272" i="32"/>
  <c r="AD272" i="32"/>
  <c r="AF272" i="32"/>
  <c r="AE393" i="32"/>
  <c r="AD393" i="32"/>
  <c r="AF393" i="32"/>
  <c r="AD454" i="32"/>
  <c r="AE454" i="32"/>
  <c r="AF454" i="32"/>
  <c r="AD520" i="32"/>
  <c r="AE520" i="32"/>
  <c r="AF520" i="32"/>
  <c r="AD563" i="32"/>
  <c r="AE563" i="32"/>
  <c r="AF563" i="32"/>
  <c r="AB483" i="31"/>
  <c r="AA483" i="31"/>
  <c r="AC483" i="31"/>
  <c r="AA383" i="31"/>
  <c r="AB383" i="31"/>
  <c r="AC383" i="31"/>
  <c r="AB282" i="31"/>
  <c r="AA282" i="31"/>
  <c r="AC282" i="31"/>
  <c r="AB525" i="31"/>
  <c r="AA525" i="31"/>
  <c r="AC525" i="31"/>
  <c r="AA242" i="31"/>
  <c r="AB242" i="31"/>
  <c r="AC242" i="31"/>
  <c r="AA319" i="31"/>
  <c r="AB319" i="31"/>
  <c r="AC319" i="31"/>
  <c r="AB473" i="31"/>
  <c r="AA473" i="31"/>
  <c r="AC473" i="31"/>
  <c r="AB97" i="31"/>
  <c r="AA97" i="31"/>
  <c r="AC97" i="31"/>
  <c r="AB579" i="31"/>
  <c r="AA579" i="31"/>
  <c r="AC579" i="31"/>
  <c r="AB402" i="31"/>
  <c r="AA402" i="31"/>
  <c r="AC402" i="31"/>
  <c r="AA216" i="31"/>
  <c r="AB216" i="31"/>
  <c r="AC216" i="31"/>
  <c r="AB24" i="31"/>
  <c r="AA24" i="31"/>
  <c r="AC24" i="31"/>
  <c r="AB421" i="31"/>
  <c r="AA421" i="31"/>
  <c r="AC421" i="31"/>
  <c r="AB211" i="31"/>
  <c r="AA211" i="31"/>
  <c r="AC211" i="31"/>
  <c r="AA586" i="31"/>
  <c r="AB586" i="31"/>
  <c r="AC586" i="31"/>
  <c r="AE455" i="32"/>
  <c r="AD455" i="32"/>
  <c r="AF455" i="32"/>
  <c r="AD55" i="32"/>
  <c r="AE55" i="32"/>
  <c r="AF55" i="32"/>
  <c r="AE457" i="32"/>
  <c r="AD457" i="32"/>
  <c r="AF457" i="32"/>
  <c r="AE591" i="32"/>
  <c r="AD591" i="32"/>
  <c r="AF591" i="32"/>
  <c r="AE157" i="32"/>
  <c r="AD157" i="32"/>
  <c r="AF157" i="32"/>
  <c r="AD496" i="32"/>
  <c r="AE496" i="32"/>
  <c r="AF496" i="32"/>
  <c r="AE599" i="32"/>
  <c r="AD599" i="32"/>
  <c r="AF599" i="32"/>
  <c r="AE63" i="32"/>
  <c r="AD63" i="32"/>
  <c r="AF63" i="32"/>
  <c r="AE424" i="32"/>
  <c r="AD424" i="32"/>
  <c r="AF424" i="32"/>
  <c r="Q625" i="31"/>
  <c r="AF625" i="31"/>
  <c r="R625" i="31"/>
  <c r="AP625" i="31"/>
  <c r="AO625" i="31"/>
  <c r="H635" i="31" s="1"/>
  <c r="AA299" i="31"/>
  <c r="AB299" i="31"/>
  <c r="AC299" i="31"/>
  <c r="AA596" i="31"/>
  <c r="AB596" i="31"/>
  <c r="AC596" i="31"/>
  <c r="AB119" i="31"/>
  <c r="AA119" i="31"/>
  <c r="AC119" i="31"/>
  <c r="AB599" i="31"/>
  <c r="AA599" i="31"/>
  <c r="AC599" i="31"/>
  <c r="AB503" i="31"/>
  <c r="AA503" i="31"/>
  <c r="AC503" i="31"/>
  <c r="AB265" i="31"/>
  <c r="AA265" i="31"/>
  <c r="AC265" i="31"/>
  <c r="AA244" i="31"/>
  <c r="AB244" i="31"/>
  <c r="AC244" i="31"/>
  <c r="AA70" i="31"/>
  <c r="AB70" i="31"/>
  <c r="AC70" i="31"/>
  <c r="AB214" i="31"/>
  <c r="AA214" i="31"/>
  <c r="AC214" i="31"/>
  <c r="Y629" i="31"/>
  <c r="X629" i="31"/>
  <c r="O627" i="31"/>
  <c r="N627" i="31"/>
  <c r="AA626" i="31"/>
  <c r="AB626" i="31"/>
  <c r="AC626" i="31"/>
  <c r="AB107" i="31"/>
  <c r="AA107" i="31"/>
  <c r="AC107" i="31"/>
  <c r="AA448" i="31"/>
  <c r="AB448" i="31"/>
  <c r="AC448" i="31"/>
  <c r="AB515" i="31"/>
  <c r="AA515" i="31"/>
  <c r="AC515" i="31"/>
  <c r="AA534" i="31"/>
  <c r="AB534" i="31"/>
  <c r="AC534" i="31"/>
  <c r="AB347" i="31"/>
  <c r="AA347" i="31"/>
  <c r="AC347" i="31"/>
  <c r="AB177" i="31"/>
  <c r="AA177" i="31"/>
  <c r="AC177" i="31"/>
  <c r="AA198" i="31"/>
  <c r="AB198" i="31"/>
  <c r="AC198" i="31"/>
  <c r="AB321" i="31"/>
  <c r="AA321" i="31"/>
  <c r="AC321" i="31"/>
  <c r="AB527" i="31"/>
  <c r="AA527" i="31"/>
  <c r="AC527" i="31"/>
  <c r="AB27" i="31"/>
  <c r="AA27" i="31"/>
  <c r="AC27" i="31"/>
  <c r="AA188" i="31"/>
  <c r="AB188" i="31"/>
  <c r="AC188" i="31"/>
  <c r="AA311" i="31"/>
  <c r="AB311" i="31"/>
  <c r="AC311" i="31"/>
  <c r="AA505" i="31"/>
  <c r="AB505" i="31"/>
  <c r="AC505" i="31"/>
  <c r="AA152" i="31"/>
  <c r="AB152" i="31"/>
  <c r="AC152" i="31"/>
  <c r="AA255" i="31"/>
  <c r="AB255" i="31"/>
  <c r="AC255" i="31"/>
  <c r="AA445" i="31"/>
  <c r="AB445" i="31"/>
  <c r="AC445" i="31"/>
  <c r="AB136" i="31"/>
  <c r="AA136" i="31"/>
  <c r="AC136" i="31"/>
  <c r="AB25" i="31"/>
  <c r="AA25" i="31"/>
  <c r="AC25" i="31"/>
  <c r="AB120" i="31"/>
  <c r="AA120" i="31"/>
  <c r="AC120" i="31"/>
  <c r="AA261" i="31"/>
  <c r="AB261" i="31"/>
  <c r="AC261" i="31"/>
  <c r="AB416" i="31"/>
  <c r="AA416" i="31"/>
  <c r="AC416" i="31"/>
  <c r="AA360" i="31"/>
  <c r="AB360" i="31"/>
  <c r="AC360" i="31"/>
  <c r="AA447" i="31"/>
  <c r="AB447" i="31"/>
  <c r="AC447" i="31"/>
  <c r="AA508" i="31"/>
  <c r="AB508" i="31"/>
  <c r="AC508" i="31"/>
  <c r="AB602" i="31"/>
  <c r="AA602" i="31"/>
  <c r="AC602" i="31"/>
  <c r="AB86" i="31"/>
  <c r="AA86" i="31"/>
  <c r="AC86" i="31"/>
  <c r="AB194" i="31"/>
  <c r="AA194" i="31"/>
  <c r="AC194" i="31"/>
  <c r="AB267" i="31"/>
  <c r="AA267" i="31"/>
  <c r="AC267" i="31"/>
  <c r="AB301" i="31"/>
  <c r="AA301" i="31"/>
  <c r="AC301" i="31"/>
  <c r="AB388" i="31"/>
  <c r="AA388" i="31"/>
  <c r="AC388" i="31"/>
  <c r="AB492" i="31"/>
  <c r="AA492" i="31"/>
  <c r="AC492" i="31"/>
  <c r="AB547" i="31"/>
  <c r="AA547" i="31"/>
  <c r="AC547" i="31"/>
  <c r="AA610" i="31"/>
  <c r="AB610" i="31"/>
  <c r="AC610" i="31"/>
  <c r="AB23" i="31"/>
  <c r="AA23" i="31"/>
  <c r="AC23" i="31"/>
  <c r="AB208" i="31"/>
  <c r="AA208" i="31"/>
  <c r="AC208" i="31"/>
  <c r="AA213" i="31"/>
  <c r="AB213" i="31"/>
  <c r="AC213" i="31"/>
  <c r="AA290" i="31"/>
  <c r="AB290" i="31"/>
  <c r="AC290" i="31"/>
  <c r="AA377" i="31"/>
  <c r="AB377" i="31"/>
  <c r="AC377" i="31"/>
  <c r="AB430" i="31"/>
  <c r="AA430" i="31"/>
  <c r="AC430" i="31"/>
  <c r="AB514" i="31"/>
  <c r="AA514" i="31"/>
  <c r="AC514" i="31"/>
  <c r="AB585" i="31"/>
  <c r="AA585" i="31"/>
  <c r="AC585" i="31"/>
  <c r="AB84" i="31"/>
  <c r="AA84" i="31"/>
  <c r="AC84" i="31"/>
  <c r="AB122" i="31"/>
  <c r="AA122" i="31"/>
  <c r="AC122" i="31"/>
  <c r="AA183" i="31"/>
  <c r="AB183" i="31"/>
  <c r="AC183" i="31"/>
  <c r="AA279" i="31"/>
  <c r="AB279" i="31"/>
  <c r="AC279" i="31"/>
  <c r="AB362" i="31"/>
  <c r="AA362" i="31"/>
  <c r="AC362" i="31"/>
  <c r="AB429" i="31"/>
  <c r="AA429" i="31"/>
  <c r="AC429" i="31"/>
  <c r="AA498" i="31"/>
  <c r="AB498" i="31"/>
  <c r="AC498" i="31"/>
  <c r="AB573" i="31"/>
  <c r="AA573" i="31"/>
  <c r="AC573" i="31"/>
  <c r="AB26" i="31"/>
  <c r="AA26" i="31"/>
  <c r="AC26" i="31"/>
  <c r="AB125" i="31"/>
  <c r="AA125" i="31"/>
  <c r="AC125" i="31"/>
  <c r="AB162" i="31"/>
  <c r="AA162" i="31"/>
  <c r="AC162" i="31"/>
  <c r="AB232" i="31"/>
  <c r="AA232" i="31"/>
  <c r="AC232" i="31"/>
  <c r="AB324" i="31"/>
  <c r="AA324" i="31"/>
  <c r="AC324" i="31"/>
  <c r="AB394" i="31"/>
  <c r="AA394" i="31"/>
  <c r="AC394" i="31"/>
  <c r="AB485" i="31"/>
  <c r="AA485" i="31"/>
  <c r="AC485" i="31"/>
  <c r="AB509" i="31"/>
  <c r="AA509" i="31"/>
  <c r="AC509" i="31"/>
  <c r="AB606" i="31"/>
  <c r="AA606" i="31"/>
  <c r="AC606" i="31"/>
  <c r="AB77" i="31"/>
  <c r="AA77" i="31"/>
  <c r="AC77" i="31"/>
  <c r="AB89" i="31"/>
  <c r="AA89" i="31"/>
  <c r="AC89" i="31"/>
  <c r="AB204" i="31"/>
  <c r="AA204" i="31"/>
  <c r="AC204" i="31"/>
  <c r="AB346" i="31"/>
  <c r="AA346" i="31"/>
  <c r="AC346" i="31"/>
  <c r="AB361" i="31"/>
  <c r="AA361" i="31"/>
  <c r="AC361" i="31"/>
  <c r="AB368" i="31"/>
  <c r="AA368" i="31"/>
  <c r="AC368" i="31"/>
  <c r="AA453" i="31"/>
  <c r="AB453" i="31"/>
  <c r="AC453" i="31"/>
  <c r="AB519" i="31"/>
  <c r="AA519" i="31"/>
  <c r="AC519" i="31"/>
  <c r="AB582" i="31"/>
  <c r="AA582" i="31"/>
  <c r="AC582" i="31"/>
  <c r="AD598" i="32"/>
  <c r="AE598" i="32"/>
  <c r="AF598" i="32"/>
  <c r="AB53" i="31"/>
  <c r="AA53" i="31"/>
  <c r="AC53" i="31"/>
  <c r="AD138" i="32"/>
  <c r="AE138" i="32"/>
  <c r="AF138" i="32"/>
  <c r="AE103" i="32"/>
  <c r="AD103" i="32"/>
  <c r="AF103" i="32"/>
  <c r="AD229" i="32"/>
  <c r="AE229" i="32"/>
  <c r="AF229" i="32"/>
  <c r="AD51" i="32"/>
  <c r="AE51" i="32"/>
  <c r="AF51" i="32"/>
  <c r="AE89" i="32"/>
  <c r="AD89" i="32"/>
  <c r="AF89" i="32"/>
  <c r="AE94" i="32"/>
  <c r="AD94" i="32"/>
  <c r="AF94" i="32"/>
  <c r="AE121" i="32"/>
  <c r="AD121" i="32"/>
  <c r="AF121" i="32"/>
  <c r="AE310" i="32"/>
  <c r="AD310" i="32"/>
  <c r="AF310" i="32"/>
  <c r="AE147" i="32"/>
  <c r="AD147" i="32"/>
  <c r="AF147" i="32"/>
  <c r="AD338" i="32"/>
  <c r="AE338" i="32"/>
  <c r="AF338" i="32"/>
  <c r="AE517" i="32"/>
  <c r="AD517" i="32"/>
  <c r="AF517" i="32"/>
  <c r="AE37" i="32"/>
  <c r="AD37" i="32"/>
  <c r="AF37" i="32"/>
  <c r="AE162" i="32"/>
  <c r="AD162" i="32"/>
  <c r="AF162" i="32"/>
  <c r="AE356" i="32"/>
  <c r="AD356" i="32"/>
  <c r="AF356" i="32"/>
  <c r="AD493" i="32"/>
  <c r="AE493" i="32"/>
  <c r="AF493" i="32"/>
  <c r="AE41" i="32"/>
  <c r="AD41" i="32"/>
  <c r="AF41" i="32"/>
  <c r="AD168" i="32"/>
  <c r="AE168" i="32"/>
  <c r="AF168" i="32"/>
  <c r="AE369" i="32"/>
  <c r="AD369" i="32"/>
  <c r="AF369" i="32"/>
  <c r="AD524" i="32"/>
  <c r="AE524" i="32"/>
  <c r="AF524" i="32"/>
  <c r="AD145" i="32"/>
  <c r="AE145" i="32"/>
  <c r="AF145" i="32"/>
  <c r="AE274" i="32"/>
  <c r="AD274" i="32"/>
  <c r="AF274" i="32"/>
  <c r="AE431" i="32"/>
  <c r="AD431" i="32"/>
  <c r="AF431" i="32"/>
  <c r="AE561" i="32"/>
  <c r="AD561" i="32"/>
  <c r="AF561" i="32"/>
  <c r="AD189" i="32"/>
  <c r="AE189" i="32"/>
  <c r="AF189" i="32"/>
  <c r="AD294" i="32"/>
  <c r="AE294" i="32"/>
  <c r="AF294" i="32"/>
  <c r="AD464" i="32"/>
  <c r="AE464" i="32"/>
  <c r="AF464" i="32"/>
  <c r="AE570" i="32"/>
  <c r="AD570" i="32"/>
  <c r="AF570" i="32"/>
  <c r="AE140" i="32"/>
  <c r="AD140" i="32"/>
  <c r="AF140" i="32"/>
  <c r="AE266" i="32"/>
  <c r="AD266" i="32"/>
  <c r="AF266" i="32"/>
  <c r="AD383" i="32"/>
  <c r="AE383" i="32"/>
  <c r="AF383" i="32"/>
  <c r="AE508" i="32"/>
  <c r="AD508" i="32"/>
  <c r="AF508" i="32"/>
  <c r="AE31" i="32"/>
  <c r="AD31" i="32"/>
  <c r="AF31" i="32"/>
  <c r="AD171" i="32"/>
  <c r="AE171" i="32"/>
  <c r="AF171" i="32"/>
  <c r="AD170" i="32"/>
  <c r="AE170" i="32"/>
  <c r="AF170" i="32"/>
  <c r="AD186" i="32"/>
  <c r="AE186" i="32"/>
  <c r="AF186" i="32"/>
  <c r="AE297" i="32"/>
  <c r="AD297" i="32"/>
  <c r="AF297" i="32"/>
  <c r="AE409" i="32"/>
  <c r="AD409" i="32"/>
  <c r="AF409" i="32"/>
  <c r="AD472" i="32"/>
  <c r="AE472" i="32"/>
  <c r="AF472" i="32"/>
  <c r="AD534" i="32"/>
  <c r="AE534" i="32"/>
  <c r="AF534" i="32"/>
  <c r="AD605" i="32"/>
  <c r="AE605" i="32"/>
  <c r="AF605" i="32"/>
  <c r="AE134" i="32"/>
  <c r="AD134" i="32"/>
  <c r="AF134" i="32"/>
  <c r="AD77" i="32"/>
  <c r="AE77" i="32"/>
  <c r="AF77" i="32"/>
  <c r="AE284" i="32"/>
  <c r="AD284" i="32"/>
  <c r="AF284" i="32"/>
  <c r="AE216" i="32"/>
  <c r="AD216" i="32"/>
  <c r="AF216" i="32"/>
  <c r="AE405" i="32"/>
  <c r="AD405" i="32"/>
  <c r="AF405" i="32"/>
  <c r="AE358" i="32"/>
  <c r="AD358" i="32"/>
  <c r="AF358" i="32"/>
  <c r="AE451" i="32"/>
  <c r="AD451" i="32"/>
  <c r="AF451" i="32"/>
  <c r="AE547" i="32"/>
  <c r="AD547" i="32"/>
  <c r="AF547" i="32"/>
  <c r="AE597" i="32"/>
  <c r="AD597" i="32"/>
  <c r="AF597" i="32"/>
  <c r="AE80" i="32"/>
  <c r="AD80" i="32"/>
  <c r="AF80" i="32"/>
  <c r="AE287" i="32"/>
  <c r="AD287" i="32"/>
  <c r="AF287" i="32"/>
  <c r="AE232" i="32"/>
  <c r="AD232" i="32"/>
  <c r="AF232" i="32"/>
  <c r="AD412" i="32"/>
  <c r="AE412" i="32"/>
  <c r="AF412" i="32"/>
  <c r="AD363" i="32"/>
  <c r="AE363" i="32"/>
  <c r="AF363" i="32"/>
  <c r="AD453" i="32"/>
  <c r="AE453" i="32"/>
  <c r="AF453" i="32"/>
  <c r="AD549" i="32"/>
  <c r="AE549" i="32"/>
  <c r="AF549" i="32"/>
  <c r="AD607" i="32"/>
  <c r="AE607" i="32"/>
  <c r="AF607" i="32"/>
  <c r="AE39" i="32"/>
  <c r="AD39" i="32"/>
  <c r="AF39" i="32"/>
  <c r="AE67" i="32"/>
  <c r="AD67" i="32"/>
  <c r="AF67" i="32"/>
  <c r="AD82" i="32"/>
  <c r="AE82" i="32"/>
  <c r="AF82" i="32"/>
  <c r="AE273" i="32"/>
  <c r="AD273" i="32"/>
  <c r="AF273" i="32"/>
  <c r="AE218" i="32"/>
  <c r="AD218" i="32"/>
  <c r="AF218" i="32"/>
  <c r="AD437" i="32"/>
  <c r="AE437" i="32"/>
  <c r="AF437" i="32"/>
  <c r="AD413" i="32"/>
  <c r="AE413" i="32"/>
  <c r="AF413" i="32"/>
  <c r="AD491" i="32"/>
  <c r="AE491" i="32"/>
  <c r="AF491" i="32"/>
  <c r="AD589" i="32"/>
  <c r="AE589" i="32"/>
  <c r="AF589" i="32"/>
  <c r="AE71" i="32"/>
  <c r="AD71" i="32"/>
  <c r="AF71" i="32"/>
  <c r="AE427" i="32"/>
  <c r="AD427" i="32"/>
  <c r="AF427" i="32"/>
  <c r="AE341" i="32"/>
  <c r="AD341" i="32"/>
  <c r="AF341" i="32"/>
  <c r="AD225" i="32"/>
  <c r="AE225" i="32"/>
  <c r="AF225" i="32"/>
  <c r="AE211" i="32"/>
  <c r="AD211" i="32"/>
  <c r="AF211" i="32"/>
  <c r="AE458" i="32"/>
  <c r="AD458" i="32"/>
  <c r="AF458" i="32"/>
  <c r="AE333" i="32"/>
  <c r="AD333" i="32"/>
  <c r="AF333" i="32"/>
  <c r="AE580" i="32"/>
  <c r="AD580" i="32"/>
  <c r="AF580" i="32"/>
  <c r="AE492" i="32"/>
  <c r="AD492" i="32"/>
  <c r="AF492" i="32"/>
  <c r="AS199" i="20"/>
  <c r="AS108" i="20"/>
  <c r="AS184" i="20"/>
  <c r="AS123" i="20"/>
  <c r="AS117" i="20"/>
  <c r="AS158" i="20"/>
  <c r="AS95" i="20"/>
  <c r="AS119" i="20"/>
  <c r="AS173" i="20"/>
  <c r="AS181" i="20"/>
  <c r="AS157" i="20"/>
  <c r="AS195" i="20"/>
  <c r="AS131" i="20"/>
  <c r="AS169" i="20"/>
  <c r="AS130" i="20"/>
  <c r="AS160" i="20"/>
  <c r="AS208" i="20"/>
  <c r="AS142" i="20"/>
  <c r="AS109" i="20"/>
  <c r="AS136" i="20"/>
  <c r="AS99" i="20"/>
  <c r="AS152" i="20"/>
  <c r="AS178" i="20"/>
  <c r="AS188" i="20"/>
  <c r="AS174" i="20"/>
  <c r="AS170" i="20"/>
  <c r="AS122" i="20"/>
  <c r="AS186" i="20"/>
  <c r="AS90" i="20"/>
  <c r="AS204" i="20"/>
  <c r="AS183" i="20"/>
  <c r="AS134" i="20"/>
  <c r="AS141" i="20"/>
  <c r="AS91" i="20"/>
  <c r="AS167" i="20"/>
  <c r="AS193" i="20"/>
  <c r="AS182" i="20"/>
  <c r="AS171" i="20"/>
  <c r="AS156" i="20"/>
  <c r="AS133" i="20"/>
  <c r="AS162" i="20"/>
  <c r="AS92" i="20"/>
  <c r="AS118" i="20"/>
  <c r="AS166" i="20"/>
  <c r="AS112" i="20"/>
  <c r="AS128" i="20"/>
  <c r="AS102" i="20"/>
  <c r="AS201" i="20"/>
  <c r="AS177" i="20"/>
  <c r="AS209" i="20"/>
  <c r="AS185" i="20"/>
  <c r="AS139" i="20"/>
  <c r="AS194" i="20"/>
  <c r="AS150" i="20"/>
  <c r="AS165" i="20"/>
  <c r="AS101" i="20"/>
  <c r="AS179" i="20"/>
  <c r="AS121" i="20"/>
  <c r="AS189" i="20"/>
  <c r="AS196" i="20"/>
  <c r="AS151" i="20"/>
  <c r="AS137" i="20"/>
  <c r="AS176" i="20"/>
  <c r="AS153" i="20"/>
  <c r="AS107" i="20"/>
  <c r="AS168" i="20"/>
  <c r="AS105" i="20"/>
  <c r="AS146" i="20"/>
  <c r="AS187" i="20"/>
  <c r="AS172" i="20"/>
  <c r="AS115" i="20"/>
  <c r="AS126" i="20"/>
  <c r="AS164" i="20"/>
  <c r="AS110" i="20"/>
  <c r="AS197" i="20"/>
  <c r="AS93" i="20"/>
  <c r="AS190" i="20"/>
  <c r="AS127" i="20"/>
  <c r="AS203" i="20"/>
  <c r="AS124" i="20"/>
  <c r="AS125" i="20"/>
  <c r="AS116" i="20"/>
  <c r="AS120" i="20"/>
  <c r="AS129" i="20"/>
  <c r="AS113" i="20"/>
  <c r="AS97" i="20"/>
  <c r="AS161" i="20"/>
  <c r="AS192" i="20"/>
  <c r="AS144" i="20"/>
  <c r="AS205" i="20"/>
  <c r="AS202" i="20"/>
  <c r="AS163" i="20"/>
  <c r="AS94" i="20"/>
  <c r="AS114" i="20"/>
  <c r="AS159" i="20"/>
  <c r="AS100" i="20"/>
  <c r="AS206" i="20"/>
  <c r="AS154" i="20"/>
  <c r="AS84" i="20"/>
  <c r="AH624" i="32" l="1"/>
  <c r="AG624" i="32"/>
  <c r="AH626" i="32"/>
  <c r="AG626" i="32"/>
  <c r="AH629" i="32"/>
  <c r="AG629" i="32"/>
  <c r="AG623" i="32"/>
  <c r="AH623" i="32"/>
  <c r="AG622" i="32"/>
  <c r="AH622" i="32"/>
  <c r="AG628" i="32"/>
  <c r="AH628" i="32"/>
  <c r="AH627" i="32"/>
  <c r="AG627" i="32"/>
  <c r="AH625" i="32"/>
  <c r="AG625" i="32"/>
  <c r="AH134" i="32"/>
  <c r="AG134" i="32"/>
  <c r="AF388" i="31"/>
  <c r="AM388" i="31"/>
  <c r="AL388" i="31"/>
  <c r="AD388" i="31"/>
  <c r="AE388" i="31"/>
  <c r="AG556" i="32"/>
  <c r="AH556" i="32"/>
  <c r="AH172" i="32"/>
  <c r="AG172" i="32"/>
  <c r="AL597" i="31"/>
  <c r="AD597" i="31"/>
  <c r="AE597" i="31"/>
  <c r="AM597" i="31"/>
  <c r="AF597" i="31"/>
  <c r="AH505" i="32"/>
  <c r="AG505" i="32"/>
  <c r="AG285" i="32"/>
  <c r="AH285" i="32"/>
  <c r="AF517" i="31"/>
  <c r="AE517" i="31"/>
  <c r="AD517" i="31"/>
  <c r="AM517" i="31"/>
  <c r="AL517" i="31"/>
  <c r="AG254" i="32"/>
  <c r="AH254" i="32"/>
  <c r="AE476" i="31"/>
  <c r="AM476" i="31"/>
  <c r="AD476" i="31"/>
  <c r="AL476" i="31"/>
  <c r="AF476" i="31"/>
  <c r="AF384" i="31"/>
  <c r="AM384" i="31"/>
  <c r="AL384" i="31"/>
  <c r="AE384" i="31"/>
  <c r="AD384" i="31"/>
  <c r="AG99" i="32"/>
  <c r="AH99" i="32"/>
  <c r="AH173" i="32"/>
  <c r="AG173" i="32"/>
  <c r="AH328" i="32"/>
  <c r="AG328" i="32"/>
  <c r="AE313" i="31"/>
  <c r="AD313" i="31"/>
  <c r="AM313" i="31"/>
  <c r="AL313" i="31"/>
  <c r="AF313" i="31"/>
  <c r="AD196" i="31"/>
  <c r="AM196" i="31"/>
  <c r="AL196" i="31"/>
  <c r="AE196" i="31"/>
  <c r="AF196" i="31"/>
  <c r="AF627" i="31"/>
  <c r="Q627" i="31"/>
  <c r="R627" i="31"/>
  <c r="AP627" i="31"/>
  <c r="AO627" i="31"/>
  <c r="AH311" i="32"/>
  <c r="AG311" i="32"/>
  <c r="AH268" i="32"/>
  <c r="AG268" i="32"/>
  <c r="AM528" i="31"/>
  <c r="AE528" i="31"/>
  <c r="AL528" i="31"/>
  <c r="AD528" i="31"/>
  <c r="AF528" i="31"/>
  <c r="AH443" i="32"/>
  <c r="AG443" i="32"/>
  <c r="AH510" i="32"/>
  <c r="AG510" i="32"/>
  <c r="AH35" i="32"/>
  <c r="AG35" i="32"/>
  <c r="AE276" i="31"/>
  <c r="AD276" i="31"/>
  <c r="AM276" i="31"/>
  <c r="AL276" i="31"/>
  <c r="AF276" i="31"/>
  <c r="AM286" i="31"/>
  <c r="AD286" i="31"/>
  <c r="AL286" i="31"/>
  <c r="AE286" i="31"/>
  <c r="AF286" i="31"/>
  <c r="AM300" i="31"/>
  <c r="AL300" i="31"/>
  <c r="AD300" i="31"/>
  <c r="AE300" i="31"/>
  <c r="AF300" i="31"/>
  <c r="AM318" i="31"/>
  <c r="AL318" i="31"/>
  <c r="AD318" i="31"/>
  <c r="AE318" i="31"/>
  <c r="AF318" i="31"/>
  <c r="AF529" i="31"/>
  <c r="AM529" i="31"/>
  <c r="AE529" i="31"/>
  <c r="AD529" i="31"/>
  <c r="AL529" i="31"/>
  <c r="AE486" i="31"/>
  <c r="AD486" i="31"/>
  <c r="AM486" i="31"/>
  <c r="AL486" i="31"/>
  <c r="AF486" i="31"/>
  <c r="AM339" i="31"/>
  <c r="AL339" i="31"/>
  <c r="AE339" i="31"/>
  <c r="AD339" i="31"/>
  <c r="AF339" i="31"/>
  <c r="AM511" i="31"/>
  <c r="AL511" i="31"/>
  <c r="AE511" i="31"/>
  <c r="AD511" i="31"/>
  <c r="AF511" i="31"/>
  <c r="AM584" i="31"/>
  <c r="AL584" i="31"/>
  <c r="AE584" i="31"/>
  <c r="AD584" i="31"/>
  <c r="AF584" i="31"/>
  <c r="AH558" i="32"/>
  <c r="AG558" i="32"/>
  <c r="AM495" i="31"/>
  <c r="AD495" i="31"/>
  <c r="AL495" i="31"/>
  <c r="AE495" i="31"/>
  <c r="AF495" i="31"/>
  <c r="AG225" i="32"/>
  <c r="AH225" i="32"/>
  <c r="AG218" i="32"/>
  <c r="AH218" i="32"/>
  <c r="AG363" i="32"/>
  <c r="AH363" i="32"/>
  <c r="AH358" i="32"/>
  <c r="AG358" i="32"/>
  <c r="AG472" i="32"/>
  <c r="AH472" i="32"/>
  <c r="AG383" i="32"/>
  <c r="AH383" i="32"/>
  <c r="AH431" i="32"/>
  <c r="AG431" i="32"/>
  <c r="AH356" i="32"/>
  <c r="AG356" i="32"/>
  <c r="AG94" i="32"/>
  <c r="AH94" i="32"/>
  <c r="AM582" i="31"/>
  <c r="AE582" i="31"/>
  <c r="AD582" i="31"/>
  <c r="AL582" i="31"/>
  <c r="AF582" i="31"/>
  <c r="AE77" i="31"/>
  <c r="AD77" i="31"/>
  <c r="AL77" i="31"/>
  <c r="AM77" i="31"/>
  <c r="AF77" i="31"/>
  <c r="AE125" i="31"/>
  <c r="AD125" i="31"/>
  <c r="AM125" i="31"/>
  <c r="AL125" i="31"/>
  <c r="AF125" i="31"/>
  <c r="AE122" i="31"/>
  <c r="AM122" i="31"/>
  <c r="AL122" i="31"/>
  <c r="AD122" i="31"/>
  <c r="AF122" i="31"/>
  <c r="AD208" i="31"/>
  <c r="AM208" i="31"/>
  <c r="AE208" i="31"/>
  <c r="AL208" i="31"/>
  <c r="AF208" i="31"/>
  <c r="AM194" i="31"/>
  <c r="AL194" i="31"/>
  <c r="AE194" i="31"/>
  <c r="AD194" i="31"/>
  <c r="AF194" i="31"/>
  <c r="AE120" i="31"/>
  <c r="AD120" i="31"/>
  <c r="AM120" i="31"/>
  <c r="AL120" i="31"/>
  <c r="AF120" i="31"/>
  <c r="AF188" i="31"/>
  <c r="AD188" i="31"/>
  <c r="AL188" i="31"/>
  <c r="AM188" i="31"/>
  <c r="AE188" i="31"/>
  <c r="AL515" i="31"/>
  <c r="AE515" i="31"/>
  <c r="AD515" i="31"/>
  <c r="AM515" i="31"/>
  <c r="AF515" i="31"/>
  <c r="AD503" i="31"/>
  <c r="AL503" i="31"/>
  <c r="AE503" i="31"/>
  <c r="AM503" i="31"/>
  <c r="AF503" i="31"/>
  <c r="AH496" i="32"/>
  <c r="AG496" i="32"/>
  <c r="AM421" i="31"/>
  <c r="AL421" i="31"/>
  <c r="AE421" i="31"/>
  <c r="AD421" i="31"/>
  <c r="AF421" i="31"/>
  <c r="AE242" i="31"/>
  <c r="AL242" i="31"/>
  <c r="AD242" i="31"/>
  <c r="AM242" i="31"/>
  <c r="AF242" i="31"/>
  <c r="AH429" i="32"/>
  <c r="AG429" i="32"/>
  <c r="AH343" i="32"/>
  <c r="AG343" i="32"/>
  <c r="AH421" i="32"/>
  <c r="AG421" i="32"/>
  <c r="AH387" i="32"/>
  <c r="AG387" i="32"/>
  <c r="AG433" i="32"/>
  <c r="AH433" i="32"/>
  <c r="AH467" i="32"/>
  <c r="AG467" i="32"/>
  <c r="AG402" i="32"/>
  <c r="AH402" i="32"/>
  <c r="AG384" i="32"/>
  <c r="AH384" i="32"/>
  <c r="AG29" i="32"/>
  <c r="AH29" i="32"/>
  <c r="AE557" i="31"/>
  <c r="AL557" i="31"/>
  <c r="AM557" i="31"/>
  <c r="AD557" i="31"/>
  <c r="AF557" i="31"/>
  <c r="AG175" i="32"/>
  <c r="AH175" i="32"/>
  <c r="AE108" i="31"/>
  <c r="AD108" i="31"/>
  <c r="AM108" i="31"/>
  <c r="AL108" i="31"/>
  <c r="AF108" i="31"/>
  <c r="AL113" i="31"/>
  <c r="AE113" i="31"/>
  <c r="AM113" i="31"/>
  <c r="AD113" i="31"/>
  <c r="AF113" i="31"/>
  <c r="AD123" i="31"/>
  <c r="AM123" i="31"/>
  <c r="AL123" i="31"/>
  <c r="AE123" i="31"/>
  <c r="AF123" i="31"/>
  <c r="AE193" i="31"/>
  <c r="AD193" i="31"/>
  <c r="AM193" i="31"/>
  <c r="AL193" i="31"/>
  <c r="AF193" i="31"/>
  <c r="AE118" i="31"/>
  <c r="AD118" i="31"/>
  <c r="AL118" i="31"/>
  <c r="AM118" i="31"/>
  <c r="AF118" i="31"/>
  <c r="AE178" i="31"/>
  <c r="AD178" i="31"/>
  <c r="AM178" i="31"/>
  <c r="AL178" i="31"/>
  <c r="AF178" i="31"/>
  <c r="AF121" i="31"/>
  <c r="AL121" i="31"/>
  <c r="AE121" i="31"/>
  <c r="AD121" i="31"/>
  <c r="AM121" i="31"/>
  <c r="AE283" i="31"/>
  <c r="AD283" i="31"/>
  <c r="AM283" i="31"/>
  <c r="AL283" i="31"/>
  <c r="AF283" i="31"/>
  <c r="AE431" i="31"/>
  <c r="AM431" i="31"/>
  <c r="AL431" i="31"/>
  <c r="AD431" i="31"/>
  <c r="AF431" i="31"/>
  <c r="AH38" i="32"/>
  <c r="AG38" i="32"/>
  <c r="AG542" i="32"/>
  <c r="AH542" i="32"/>
  <c r="AF532" i="31"/>
  <c r="AE532" i="31"/>
  <c r="AM532" i="31"/>
  <c r="AD532" i="31"/>
  <c r="AL532" i="31"/>
  <c r="AD336" i="31"/>
  <c r="AM336" i="31"/>
  <c r="AL336" i="31"/>
  <c r="AE336" i="31"/>
  <c r="AF336" i="31"/>
  <c r="AL568" i="31"/>
  <c r="AE568" i="31"/>
  <c r="AD568" i="31"/>
  <c r="AM568" i="31"/>
  <c r="AF568" i="31"/>
  <c r="AG220" i="32"/>
  <c r="AH220" i="32"/>
  <c r="AG317" i="32"/>
  <c r="AH317" i="32"/>
  <c r="AH346" i="32"/>
  <c r="AG346" i="32"/>
  <c r="AH344" i="32"/>
  <c r="AG344" i="32"/>
  <c r="AH575" i="32"/>
  <c r="AG575" i="32"/>
  <c r="AG587" i="32"/>
  <c r="AH587" i="32"/>
  <c r="AG557" i="32"/>
  <c r="AH557" i="32"/>
  <c r="AH602" i="32"/>
  <c r="AG602" i="32"/>
  <c r="AH62" i="32"/>
  <c r="AG62" i="32"/>
  <c r="AD46" i="31"/>
  <c r="AM46" i="31"/>
  <c r="AL46" i="31"/>
  <c r="AE46" i="31"/>
  <c r="AF46" i="31"/>
  <c r="AD103" i="31"/>
  <c r="AL103" i="31"/>
  <c r="AE103" i="31"/>
  <c r="AM103" i="31"/>
  <c r="AF103" i="31"/>
  <c r="AE160" i="31"/>
  <c r="AM160" i="31"/>
  <c r="AD160" i="31"/>
  <c r="AL160" i="31"/>
  <c r="AF160" i="31"/>
  <c r="AF165" i="31"/>
  <c r="AL165" i="31"/>
  <c r="AE165" i="31"/>
  <c r="AD165" i="31"/>
  <c r="AM165" i="31"/>
  <c r="AE175" i="31"/>
  <c r="AM175" i="31"/>
  <c r="AD175" i="31"/>
  <c r="AL175" i="31"/>
  <c r="AF175" i="31"/>
  <c r="AF236" i="31"/>
  <c r="AD236" i="31"/>
  <c r="AL236" i="31"/>
  <c r="AE236" i="31"/>
  <c r="AM236" i="31"/>
  <c r="AH61" i="32"/>
  <c r="AG61" i="32"/>
  <c r="AL227" i="31"/>
  <c r="AD227" i="31"/>
  <c r="AM227" i="31"/>
  <c r="AE227" i="31"/>
  <c r="AF227" i="31"/>
  <c r="AG376" i="32"/>
  <c r="AH376" i="32"/>
  <c r="AG378" i="32"/>
  <c r="AH378" i="32"/>
  <c r="AH552" i="32"/>
  <c r="AG552" i="32"/>
  <c r="AG543" i="32"/>
  <c r="AH543" i="32"/>
  <c r="AH495" i="32"/>
  <c r="AG495" i="32"/>
  <c r="AG17" i="32"/>
  <c r="AH17" i="32"/>
  <c r="AH30" i="32"/>
  <c r="AG30" i="32"/>
  <c r="AH178" i="32"/>
  <c r="AG178" i="32"/>
  <c r="AG485" i="32"/>
  <c r="AH485" i="32"/>
  <c r="AG329" i="32"/>
  <c r="AH329" i="32"/>
  <c r="AE146" i="31"/>
  <c r="AD146" i="31"/>
  <c r="AM146" i="31"/>
  <c r="AL146" i="31"/>
  <c r="AF146" i="31"/>
  <c r="AF199" i="31"/>
  <c r="AE199" i="31"/>
  <c r="AD199" i="31"/>
  <c r="AM199" i="31"/>
  <c r="AL199" i="31"/>
  <c r="AE268" i="31"/>
  <c r="AD268" i="31"/>
  <c r="AL268" i="31"/>
  <c r="AM268" i="31"/>
  <c r="AF268" i="31"/>
  <c r="AL246" i="31"/>
  <c r="AM246" i="31"/>
  <c r="AD246" i="31"/>
  <c r="AE246" i="31"/>
  <c r="AF246" i="31"/>
  <c r="AL272" i="31"/>
  <c r="AE272" i="31"/>
  <c r="AD272" i="31"/>
  <c r="AM272" i="31"/>
  <c r="AF272" i="31"/>
  <c r="AE385" i="31"/>
  <c r="AM385" i="31"/>
  <c r="AD385" i="31"/>
  <c r="AL385" i="31"/>
  <c r="AF385" i="31"/>
  <c r="AM437" i="31"/>
  <c r="AE437" i="31"/>
  <c r="AD437" i="31"/>
  <c r="AL437" i="31"/>
  <c r="AF437" i="31"/>
  <c r="AL379" i="31"/>
  <c r="AE379" i="31"/>
  <c r="AD379" i="31"/>
  <c r="AM379" i="31"/>
  <c r="AF379" i="31"/>
  <c r="AL215" i="31"/>
  <c r="AD215" i="31"/>
  <c r="AE215" i="31"/>
  <c r="AM215" i="31"/>
  <c r="AF215" i="31"/>
  <c r="AF225" i="31"/>
  <c r="AE225" i="31"/>
  <c r="AD225" i="31"/>
  <c r="AL225" i="31"/>
  <c r="AM225" i="31"/>
  <c r="AH624" i="31"/>
  <c r="AI624" i="31" s="1"/>
  <c r="AG624" i="31"/>
  <c r="F634" i="31" s="1"/>
  <c r="AG250" i="32"/>
  <c r="AH250" i="32"/>
  <c r="AG601" i="32"/>
  <c r="AH601" i="32"/>
  <c r="AE494" i="31"/>
  <c r="AD494" i="31"/>
  <c r="AM494" i="31"/>
  <c r="AL494" i="31"/>
  <c r="AF494" i="31"/>
  <c r="AF587" i="31"/>
  <c r="AD587" i="31"/>
  <c r="AM587" i="31"/>
  <c r="AL587" i="31"/>
  <c r="AE587" i="31"/>
  <c r="AH288" i="32"/>
  <c r="AG288" i="32"/>
  <c r="AH385" i="32"/>
  <c r="AG385" i="32"/>
  <c r="AH438" i="32"/>
  <c r="AG438" i="32"/>
  <c r="AG436" i="32"/>
  <c r="AH436" i="32"/>
  <c r="AG539" i="32"/>
  <c r="AH539" i="32"/>
  <c r="AH486" i="32"/>
  <c r="AG486" i="32"/>
  <c r="AH569" i="32"/>
  <c r="AG569" i="32"/>
  <c r="AH456" i="32"/>
  <c r="AG456" i="32"/>
  <c r="AG537" i="32"/>
  <c r="AH537" i="32"/>
  <c r="AL598" i="31"/>
  <c r="AD598" i="31"/>
  <c r="AE598" i="31"/>
  <c r="AM598" i="31"/>
  <c r="AF598" i="31"/>
  <c r="AF117" i="31"/>
  <c r="AE117" i="31"/>
  <c r="AD117" i="31"/>
  <c r="AM117" i="31"/>
  <c r="AL117" i="31"/>
  <c r="AL129" i="31"/>
  <c r="AE129" i="31"/>
  <c r="AM129" i="31"/>
  <c r="AD129" i="31"/>
  <c r="AF129" i="31"/>
  <c r="AL241" i="31"/>
  <c r="AM241" i="31"/>
  <c r="AE241" i="31"/>
  <c r="AD241" i="31"/>
  <c r="AF241" i="31"/>
  <c r="AE157" i="31"/>
  <c r="AD157" i="31"/>
  <c r="AM157" i="31"/>
  <c r="AL157" i="31"/>
  <c r="AF157" i="31"/>
  <c r="AF167" i="31"/>
  <c r="AD167" i="31"/>
  <c r="AM167" i="31"/>
  <c r="AL167" i="31"/>
  <c r="AE167" i="31"/>
  <c r="AE173" i="31"/>
  <c r="AD173" i="31"/>
  <c r="AM173" i="31"/>
  <c r="AL173" i="31"/>
  <c r="AF173" i="31"/>
  <c r="AE260" i="31"/>
  <c r="AM260" i="31"/>
  <c r="AD260" i="31"/>
  <c r="AL260" i="31"/>
  <c r="AF260" i="31"/>
  <c r="AE320" i="31"/>
  <c r="AM320" i="31"/>
  <c r="AD320" i="31"/>
  <c r="AL320" i="31"/>
  <c r="AF320" i="31"/>
  <c r="AG380" i="32"/>
  <c r="AH380" i="32"/>
  <c r="AH120" i="32"/>
  <c r="AG120" i="32"/>
  <c r="AH28" i="32"/>
  <c r="AG28" i="32"/>
  <c r="AF168" i="31"/>
  <c r="AE168" i="31"/>
  <c r="AM168" i="31"/>
  <c r="AD168" i="31"/>
  <c r="AL168" i="31"/>
  <c r="AF80" i="31"/>
  <c r="AM80" i="31"/>
  <c r="AE80" i="31"/>
  <c r="AL80" i="31"/>
  <c r="AD80" i="31"/>
  <c r="AG461" i="32"/>
  <c r="AH461" i="32"/>
  <c r="AG330" i="32"/>
  <c r="AH330" i="32"/>
  <c r="AH531" i="32"/>
  <c r="AG531" i="32"/>
  <c r="AH497" i="32"/>
  <c r="AG497" i="32"/>
  <c r="AG535" i="32"/>
  <c r="AH535" i="32"/>
  <c r="AG159" i="32"/>
  <c r="AH159" i="32"/>
  <c r="AH158" i="32"/>
  <c r="AG158" i="32"/>
  <c r="AG88" i="32"/>
  <c r="AH88" i="32"/>
  <c r="AH34" i="32"/>
  <c r="AG34" i="32"/>
  <c r="AE13" i="31"/>
  <c r="AD13" i="31"/>
  <c r="AL13" i="31"/>
  <c r="AM13" i="31"/>
  <c r="AF13" i="31"/>
  <c r="AD206" i="31"/>
  <c r="AM206" i="31"/>
  <c r="AL206" i="31"/>
  <c r="AE206" i="31"/>
  <c r="AF206" i="31"/>
  <c r="AD252" i="31"/>
  <c r="AM252" i="31"/>
  <c r="AE252" i="31"/>
  <c r="AL252" i="31"/>
  <c r="AF252" i="31"/>
  <c r="AD258" i="31"/>
  <c r="AM258" i="31"/>
  <c r="AL258" i="31"/>
  <c r="AE258" i="31"/>
  <c r="AF258" i="31"/>
  <c r="AD309" i="31"/>
  <c r="AM309" i="31"/>
  <c r="AL309" i="31"/>
  <c r="AE309" i="31"/>
  <c r="AF309" i="31"/>
  <c r="AL327" i="31"/>
  <c r="AM327" i="31"/>
  <c r="AE327" i="31"/>
  <c r="AD327" i="31"/>
  <c r="AF327" i="31"/>
  <c r="AM472" i="31"/>
  <c r="AL472" i="31"/>
  <c r="AE472" i="31"/>
  <c r="AD472" i="31"/>
  <c r="AF472" i="31"/>
  <c r="AM563" i="31"/>
  <c r="AD563" i="31"/>
  <c r="AL563" i="31"/>
  <c r="AE563" i="31"/>
  <c r="AF563" i="31"/>
  <c r="AE294" i="31"/>
  <c r="AD294" i="31"/>
  <c r="AM294" i="31"/>
  <c r="AL294" i="31"/>
  <c r="AF294" i="31"/>
  <c r="AH231" i="32"/>
  <c r="AG231" i="32"/>
  <c r="AG382" i="32"/>
  <c r="AH382" i="32"/>
  <c r="AG553" i="32"/>
  <c r="AH553" i="32"/>
  <c r="AH530" i="32"/>
  <c r="AG530" i="32"/>
  <c r="AH613" i="32"/>
  <c r="AG613" i="32"/>
  <c r="AH230" i="32"/>
  <c r="AG230" i="32"/>
  <c r="AG212" i="32"/>
  <c r="AH212" i="32"/>
  <c r="AG251" i="32"/>
  <c r="AH251" i="32"/>
  <c r="AH234" i="32"/>
  <c r="AG234" i="32"/>
  <c r="AE521" i="31"/>
  <c r="AM521" i="31"/>
  <c r="AD521" i="31"/>
  <c r="AL521" i="31"/>
  <c r="AF521" i="31"/>
  <c r="AL61" i="31"/>
  <c r="AD61" i="31"/>
  <c r="AM61" i="31"/>
  <c r="AE61" i="31"/>
  <c r="AF61" i="31"/>
  <c r="AD72" i="31"/>
  <c r="AL72" i="31"/>
  <c r="AM72" i="31"/>
  <c r="AE72" i="31"/>
  <c r="AF72" i="31"/>
  <c r="AF71" i="31"/>
  <c r="AD71" i="31"/>
  <c r="AL71" i="31"/>
  <c r="AM71" i="31"/>
  <c r="AE71" i="31"/>
  <c r="AE93" i="31"/>
  <c r="AD93" i="31"/>
  <c r="AM93" i="31"/>
  <c r="AL93" i="31"/>
  <c r="AF93" i="31"/>
  <c r="AD87" i="31"/>
  <c r="AM87" i="31"/>
  <c r="AL87" i="31"/>
  <c r="AE87" i="31"/>
  <c r="AF87" i="31"/>
  <c r="AD63" i="31"/>
  <c r="AM63" i="31"/>
  <c r="AE63" i="31"/>
  <c r="AL63" i="31"/>
  <c r="AF63" i="31"/>
  <c r="AM556" i="31"/>
  <c r="AL556" i="31"/>
  <c r="AD556" i="31"/>
  <c r="AE556" i="31"/>
  <c r="AF556" i="31"/>
  <c r="AE134" i="31"/>
  <c r="AD134" i="31"/>
  <c r="AM134" i="31"/>
  <c r="AL134" i="31"/>
  <c r="AF134" i="31"/>
  <c r="AF629" i="31"/>
  <c r="R629" i="31"/>
  <c r="Q629" i="31"/>
  <c r="AE124" i="31"/>
  <c r="AD124" i="31"/>
  <c r="AL124" i="31"/>
  <c r="AM124" i="31"/>
  <c r="AF124" i="31"/>
  <c r="AE170" i="31"/>
  <c r="AM170" i="31"/>
  <c r="AD170" i="31"/>
  <c r="AL170" i="31"/>
  <c r="AF170" i="31"/>
  <c r="AH389" i="32"/>
  <c r="AG389" i="32"/>
  <c r="AM403" i="31"/>
  <c r="AE403" i="31"/>
  <c r="AD403" i="31"/>
  <c r="AL403" i="31"/>
  <c r="AF403" i="31"/>
  <c r="AL608" i="31"/>
  <c r="AM608" i="31"/>
  <c r="AE608" i="31"/>
  <c r="AD608" i="31"/>
  <c r="AF608" i="31"/>
  <c r="AH138" i="32"/>
  <c r="AG138" i="32"/>
  <c r="AE152" i="31"/>
  <c r="AM152" i="31"/>
  <c r="AL152" i="31"/>
  <c r="AD152" i="31"/>
  <c r="AF152" i="31"/>
  <c r="AH455" i="32"/>
  <c r="AG455" i="32"/>
  <c r="AH206" i="32"/>
  <c r="AG206" i="32"/>
  <c r="AM427" i="31"/>
  <c r="AE427" i="31"/>
  <c r="AL427" i="31"/>
  <c r="AD427" i="31"/>
  <c r="AF427" i="31"/>
  <c r="AG27" i="32"/>
  <c r="AH27" i="32"/>
  <c r="AH293" i="32"/>
  <c r="AG293" i="32"/>
  <c r="AE474" i="31"/>
  <c r="AM474" i="31"/>
  <c r="AD474" i="31"/>
  <c r="AL474" i="31"/>
  <c r="AF474" i="31"/>
  <c r="AE78" i="31"/>
  <c r="AD78" i="31"/>
  <c r="AM78" i="31"/>
  <c r="AL78" i="31"/>
  <c r="AF78" i="31"/>
  <c r="AG441" i="32"/>
  <c r="AH441" i="32"/>
  <c r="AH588" i="32"/>
  <c r="AG588" i="32"/>
  <c r="AH128" i="32"/>
  <c r="AG128" i="32"/>
  <c r="AE441" i="31"/>
  <c r="AD441" i="31"/>
  <c r="AM441" i="31"/>
  <c r="AL441" i="31"/>
  <c r="AF441" i="31"/>
  <c r="AG351" i="32"/>
  <c r="AH351" i="32"/>
  <c r="AG586" i="32"/>
  <c r="AH586" i="32"/>
  <c r="AH303" i="32"/>
  <c r="AG303" i="32"/>
  <c r="AD374" i="31"/>
  <c r="AE374" i="31"/>
  <c r="AM374" i="31"/>
  <c r="AL374" i="31"/>
  <c r="AF374" i="31"/>
  <c r="AD387" i="31"/>
  <c r="AM387" i="31"/>
  <c r="AL387" i="31"/>
  <c r="AE387" i="31"/>
  <c r="AF387" i="31"/>
  <c r="AH452" i="32"/>
  <c r="AG452" i="32"/>
  <c r="AF446" i="31"/>
  <c r="AE446" i="31"/>
  <c r="AL446" i="31"/>
  <c r="AD446" i="31"/>
  <c r="AM446" i="31"/>
  <c r="AH287" i="32"/>
  <c r="AG287" i="32"/>
  <c r="AH524" i="32"/>
  <c r="AG524" i="32"/>
  <c r="AF498" i="31"/>
  <c r="AD498" i="31"/>
  <c r="AM498" i="31"/>
  <c r="AL498" i="31"/>
  <c r="AE498" i="31"/>
  <c r="AE321" i="31"/>
  <c r="AM321" i="31"/>
  <c r="AD321" i="31"/>
  <c r="AL321" i="31"/>
  <c r="AX320" i="31" s="1"/>
  <c r="AY320" i="31" s="1"/>
  <c r="AF321" i="31"/>
  <c r="AG457" i="32"/>
  <c r="AH457" i="32"/>
  <c r="AH563" i="32"/>
  <c r="AG563" i="32"/>
  <c r="AH24" i="32"/>
  <c r="AG24" i="32"/>
  <c r="AG133" i="32"/>
  <c r="AH133" i="32"/>
  <c r="AG249" i="32"/>
  <c r="AH249" i="32"/>
  <c r="AG244" i="32"/>
  <c r="AH244" i="32"/>
  <c r="AG305" i="32"/>
  <c r="AH305" i="32"/>
  <c r="AH564" i="32"/>
  <c r="AG564" i="32"/>
  <c r="AH529" i="32"/>
  <c r="AG529" i="32"/>
  <c r="AH590" i="32"/>
  <c r="AG590" i="32"/>
  <c r="AH117" i="32"/>
  <c r="AG117" i="32"/>
  <c r="AE366" i="31"/>
  <c r="AD366" i="31"/>
  <c r="AM366" i="31"/>
  <c r="AL366" i="31"/>
  <c r="AF366" i="31"/>
  <c r="AD452" i="31"/>
  <c r="AL452" i="31"/>
  <c r="AM452" i="31"/>
  <c r="AE452" i="31"/>
  <c r="AF452" i="31"/>
  <c r="AD496" i="31"/>
  <c r="AL496" i="31"/>
  <c r="AE496" i="31"/>
  <c r="AM496" i="31"/>
  <c r="AF496" i="31"/>
  <c r="AE571" i="31"/>
  <c r="AD571" i="31"/>
  <c r="AM571" i="31"/>
  <c r="AL571" i="31"/>
  <c r="AF571" i="31"/>
  <c r="AF516" i="31"/>
  <c r="AE516" i="31"/>
  <c r="AD516" i="31"/>
  <c r="AM516" i="31"/>
  <c r="AL516" i="31"/>
  <c r="AE542" i="31"/>
  <c r="AD542" i="31"/>
  <c r="AL542" i="31"/>
  <c r="AM542" i="31"/>
  <c r="AF542" i="31"/>
  <c r="AM423" i="31"/>
  <c r="AE423" i="31"/>
  <c r="AL423" i="31"/>
  <c r="AD423" i="31"/>
  <c r="AF423" i="31"/>
  <c r="AE34" i="31"/>
  <c r="AM34" i="31"/>
  <c r="AD34" i="31"/>
  <c r="AL34" i="31"/>
  <c r="AF34" i="31"/>
  <c r="AL295" i="31"/>
  <c r="AE295" i="31"/>
  <c r="AM295" i="31"/>
  <c r="AD295" i="31"/>
  <c r="AF295" i="31"/>
  <c r="AF481" i="31"/>
  <c r="AE481" i="31"/>
  <c r="AL481" i="31"/>
  <c r="AM481" i="31"/>
  <c r="AD481" i="31"/>
  <c r="AE627" i="31"/>
  <c r="AD627" i="31"/>
  <c r="AL627" i="31"/>
  <c r="AM627" i="31"/>
  <c r="AE397" i="31"/>
  <c r="AM397" i="31"/>
  <c r="AD397" i="31"/>
  <c r="AL397" i="31"/>
  <c r="AF397" i="31"/>
  <c r="AF217" i="31"/>
  <c r="AE217" i="31"/>
  <c r="AD217" i="31"/>
  <c r="AM217" i="31"/>
  <c r="AL217" i="31"/>
  <c r="AH349" i="32"/>
  <c r="AG349" i="32"/>
  <c r="AM456" i="31"/>
  <c r="AL456" i="31"/>
  <c r="AE456" i="31"/>
  <c r="AD456" i="31"/>
  <c r="AF456" i="31"/>
  <c r="AF67" i="31"/>
  <c r="AL67" i="31"/>
  <c r="AD67" i="31"/>
  <c r="AE67" i="31"/>
  <c r="AM67" i="31"/>
  <c r="AH70" i="32"/>
  <c r="AG70" i="32"/>
  <c r="AH141" i="32"/>
  <c r="AG141" i="32"/>
  <c r="AH263" i="32"/>
  <c r="AG263" i="32"/>
  <c r="AH248" i="32"/>
  <c r="AG248" i="32"/>
  <c r="AH197" i="32"/>
  <c r="AG197" i="32"/>
  <c r="AG76" i="32"/>
  <c r="AH76" i="32"/>
  <c r="AG20" i="32"/>
  <c r="AH20" i="32"/>
  <c r="AH137" i="32"/>
  <c r="AG137" i="32"/>
  <c r="AE76" i="31"/>
  <c r="AD76" i="31"/>
  <c r="AM76" i="31"/>
  <c r="AL76" i="31"/>
  <c r="AF76" i="31"/>
  <c r="AF428" i="31"/>
  <c r="AL428" i="31"/>
  <c r="AM428" i="31"/>
  <c r="AE428" i="31"/>
  <c r="AD428" i="31"/>
  <c r="AE520" i="31"/>
  <c r="AD520" i="31"/>
  <c r="AM520" i="31"/>
  <c r="AL520" i="31"/>
  <c r="AF520" i="31"/>
  <c r="AE545" i="31"/>
  <c r="AM545" i="31"/>
  <c r="AD545" i="31"/>
  <c r="AL545" i="31"/>
  <c r="AF545" i="31"/>
  <c r="AF580" i="31"/>
  <c r="AE580" i="31"/>
  <c r="AD580" i="31"/>
  <c r="AM580" i="31"/>
  <c r="AL580" i="31"/>
  <c r="AF607" i="31"/>
  <c r="AE607" i="31"/>
  <c r="AL607" i="31"/>
  <c r="AM607" i="31"/>
  <c r="AD607" i="31"/>
  <c r="AF577" i="31"/>
  <c r="AE577" i="31"/>
  <c r="AM577" i="31"/>
  <c r="AD577" i="31"/>
  <c r="AL577" i="31"/>
  <c r="AH371" i="32"/>
  <c r="AG371" i="32"/>
  <c r="AD412" i="31"/>
  <c r="AM412" i="31"/>
  <c r="AL412" i="31"/>
  <c r="AE412" i="31"/>
  <c r="AF412" i="31"/>
  <c r="AH264" i="32"/>
  <c r="AG264" i="32"/>
  <c r="AG301" i="32"/>
  <c r="AH301" i="32"/>
  <c r="AG179" i="32"/>
  <c r="AH179" i="32"/>
  <c r="AH410" i="32"/>
  <c r="AG410" i="32"/>
  <c r="AG359" i="32"/>
  <c r="AH359" i="32"/>
  <c r="AH74" i="32"/>
  <c r="AG74" i="32"/>
  <c r="AH48" i="32"/>
  <c r="AG48" i="32"/>
  <c r="AG165" i="32"/>
  <c r="AH165" i="32"/>
  <c r="AH448" i="32"/>
  <c r="AG448" i="32"/>
  <c r="AE478" i="31"/>
  <c r="AM478" i="31"/>
  <c r="AD478" i="31"/>
  <c r="AL478" i="31"/>
  <c r="AF478" i="31"/>
  <c r="AD574" i="31"/>
  <c r="AM574" i="31"/>
  <c r="AL574" i="31"/>
  <c r="AE574" i="31"/>
  <c r="AF574" i="31"/>
  <c r="AM51" i="31"/>
  <c r="AL51" i="31"/>
  <c r="AE51" i="31"/>
  <c r="AD51" i="31"/>
  <c r="AF51" i="31"/>
  <c r="AE43" i="31"/>
  <c r="AD43" i="31"/>
  <c r="AM43" i="31"/>
  <c r="AL43" i="31"/>
  <c r="AF43" i="31"/>
  <c r="AF64" i="31"/>
  <c r="AD64" i="31"/>
  <c r="AL64" i="31"/>
  <c r="AE64" i="31"/>
  <c r="AM64" i="31"/>
  <c r="AE461" i="31"/>
  <c r="AM461" i="31"/>
  <c r="AL461" i="31"/>
  <c r="AD461" i="31"/>
  <c r="AF461" i="31"/>
  <c r="AM32" i="31"/>
  <c r="AE32" i="31"/>
  <c r="AL32" i="31"/>
  <c r="AD32" i="31"/>
  <c r="AF32" i="31"/>
  <c r="AL410" i="31"/>
  <c r="AD410" i="31"/>
  <c r="AM410" i="31"/>
  <c r="AE410" i="31"/>
  <c r="AF410" i="31"/>
  <c r="AD293" i="31"/>
  <c r="AL293" i="31"/>
  <c r="AM293" i="31"/>
  <c r="AE293" i="31"/>
  <c r="AF293" i="31"/>
  <c r="AG323" i="32"/>
  <c r="AH323" i="32"/>
  <c r="AH241" i="32"/>
  <c r="AG241" i="32"/>
  <c r="AM95" i="31"/>
  <c r="AL95" i="31"/>
  <c r="AE95" i="31"/>
  <c r="AD95" i="31"/>
  <c r="AF95" i="31"/>
  <c r="AM310" i="31"/>
  <c r="AL310" i="31"/>
  <c r="AE310" i="31"/>
  <c r="AD310" i="31"/>
  <c r="AF310" i="31"/>
  <c r="AG64" i="32"/>
  <c r="AH64" i="32"/>
  <c r="AG312" i="32"/>
  <c r="AH312" i="32"/>
  <c r="AG315" i="32"/>
  <c r="AH315" i="32"/>
  <c r="AG313" i="32"/>
  <c r="AH313" i="32"/>
  <c r="AH258" i="32"/>
  <c r="AG258" i="32"/>
  <c r="AG32" i="32"/>
  <c r="AH32" i="32"/>
  <c r="AH111" i="32"/>
  <c r="AG111" i="32"/>
  <c r="AH533" i="32"/>
  <c r="AG533" i="32"/>
  <c r="AG418" i="32"/>
  <c r="AH418" i="32"/>
  <c r="AL413" i="31"/>
  <c r="AD413" i="31"/>
  <c r="AE413" i="31"/>
  <c r="AM413" i="31"/>
  <c r="AF413" i="31"/>
  <c r="AE510" i="31"/>
  <c r="AD510" i="31"/>
  <c r="AM510" i="31"/>
  <c r="AL510" i="31"/>
  <c r="AF510" i="31"/>
  <c r="AD536" i="31"/>
  <c r="AM536" i="31"/>
  <c r="AL536" i="31"/>
  <c r="AE536" i="31"/>
  <c r="AF536" i="31"/>
  <c r="AE572" i="31"/>
  <c r="AD572" i="31"/>
  <c r="AM572" i="31"/>
  <c r="AL572" i="31"/>
  <c r="AF572" i="31"/>
  <c r="AE562" i="31"/>
  <c r="AM562" i="31"/>
  <c r="AD562" i="31"/>
  <c r="AL562" i="31"/>
  <c r="AF562" i="31"/>
  <c r="AF564" i="31"/>
  <c r="AE564" i="31"/>
  <c r="AM564" i="31"/>
  <c r="AD564" i="31"/>
  <c r="AL564" i="31"/>
  <c r="AL538" i="31"/>
  <c r="AE538" i="31"/>
  <c r="AD538" i="31"/>
  <c r="AM538" i="31"/>
  <c r="AF538" i="31"/>
  <c r="AD444" i="31"/>
  <c r="AM444" i="31"/>
  <c r="AL444" i="31"/>
  <c r="AE444" i="31"/>
  <c r="AF444" i="31"/>
  <c r="AF132" i="31"/>
  <c r="AE132" i="31"/>
  <c r="AD132" i="31"/>
  <c r="AM132" i="31"/>
  <c r="AL132" i="31"/>
  <c r="AH199" i="32"/>
  <c r="AG199" i="32"/>
  <c r="AG267" i="32"/>
  <c r="AH267" i="32"/>
  <c r="AH352" i="32"/>
  <c r="AG352" i="32"/>
  <c r="AD101" i="31"/>
  <c r="AM101" i="31"/>
  <c r="AL101" i="31"/>
  <c r="AE101" i="31"/>
  <c r="AF101" i="31"/>
  <c r="AF297" i="31"/>
  <c r="AE297" i="31"/>
  <c r="AD297" i="31"/>
  <c r="AL297" i="31"/>
  <c r="AM297" i="31"/>
  <c r="AG259" i="32"/>
  <c r="AH259" i="32"/>
  <c r="AG223" i="32"/>
  <c r="AH223" i="32"/>
  <c r="AH364" i="32"/>
  <c r="AG364" i="32"/>
  <c r="AH361" i="32"/>
  <c r="AG361" i="32"/>
  <c r="AH381" i="32"/>
  <c r="AG381" i="32"/>
  <c r="AH252" i="32"/>
  <c r="AG252" i="32"/>
  <c r="AG214" i="32"/>
  <c r="AH214" i="32"/>
  <c r="AH276" i="32"/>
  <c r="AG276" i="32"/>
  <c r="AH278" i="32"/>
  <c r="AG278" i="32"/>
  <c r="AL523" i="31"/>
  <c r="AE523" i="31"/>
  <c r="AD523" i="31"/>
  <c r="AM523" i="31"/>
  <c r="AF523" i="31"/>
  <c r="AE29" i="31"/>
  <c r="AD29" i="31"/>
  <c r="AM29" i="31"/>
  <c r="AL29" i="31"/>
  <c r="AF29" i="31"/>
  <c r="AM48" i="31"/>
  <c r="AL48" i="31"/>
  <c r="AE48" i="31"/>
  <c r="AD48" i="31"/>
  <c r="AF48" i="31"/>
  <c r="AE92" i="31"/>
  <c r="AD92" i="31"/>
  <c r="AM92" i="31"/>
  <c r="AL92" i="31"/>
  <c r="AF92" i="31"/>
  <c r="AD94" i="31"/>
  <c r="AE94" i="31"/>
  <c r="AM94" i="31"/>
  <c r="AL94" i="31"/>
  <c r="AF94" i="31"/>
  <c r="AE88" i="31"/>
  <c r="AD88" i="31"/>
  <c r="AM88" i="31"/>
  <c r="AL88" i="31"/>
  <c r="AF88" i="31"/>
  <c r="AD39" i="31"/>
  <c r="AM39" i="31"/>
  <c r="AL39" i="31"/>
  <c r="AE39" i="31"/>
  <c r="AF39" i="31"/>
  <c r="AF15" i="31"/>
  <c r="AL15" i="31"/>
  <c r="AE15" i="31"/>
  <c r="AD15" i="31"/>
  <c r="AM15" i="31"/>
  <c r="AH610" i="32"/>
  <c r="AG610" i="32"/>
  <c r="AH551" i="32"/>
  <c r="AG551" i="32"/>
  <c r="AH19" i="32"/>
  <c r="AG19" i="32"/>
  <c r="AG135" i="32"/>
  <c r="AH135" i="32"/>
  <c r="AG130" i="32"/>
  <c r="AH130" i="32"/>
  <c r="AH176" i="32"/>
  <c r="AG176" i="32"/>
  <c r="AH368" i="32"/>
  <c r="AG368" i="32"/>
  <c r="AH399" i="32"/>
  <c r="AG399" i="32"/>
  <c r="AH354" i="32"/>
  <c r="AG354" i="32"/>
  <c r="AG298" i="32"/>
  <c r="AH298" i="32"/>
  <c r="AM302" i="31"/>
  <c r="AL302" i="31"/>
  <c r="AE302" i="31"/>
  <c r="AD302" i="31"/>
  <c r="AF302" i="31"/>
  <c r="AL389" i="31"/>
  <c r="AX388" i="31" s="1"/>
  <c r="AY388" i="31" s="1"/>
  <c r="AE389" i="31"/>
  <c r="AD389" i="31"/>
  <c r="AM389" i="31"/>
  <c r="AF389" i="31"/>
  <c r="AF436" i="31"/>
  <c r="AD436" i="31"/>
  <c r="AM436" i="31"/>
  <c r="AL436" i="31"/>
  <c r="AE436" i="31"/>
  <c r="AM432" i="31"/>
  <c r="AD432" i="31"/>
  <c r="AE432" i="31"/>
  <c r="AL432" i="31"/>
  <c r="AX431" i="31" s="1"/>
  <c r="AY431" i="31" s="1"/>
  <c r="AF432" i="31"/>
  <c r="AL457" i="31"/>
  <c r="AE457" i="31"/>
  <c r="AM457" i="31"/>
  <c r="AD457" i="31"/>
  <c r="AF457" i="31"/>
  <c r="AE470" i="31"/>
  <c r="AM470" i="31"/>
  <c r="AD470" i="31"/>
  <c r="AL470" i="31"/>
  <c r="AF470" i="31"/>
  <c r="AE273" i="31"/>
  <c r="AD273" i="31"/>
  <c r="AM273" i="31"/>
  <c r="AL273" i="31"/>
  <c r="AF273" i="31"/>
  <c r="AF212" i="31"/>
  <c r="AD212" i="31"/>
  <c r="AM212" i="31"/>
  <c r="AE212" i="31"/>
  <c r="AL212" i="31"/>
  <c r="AD163" i="31"/>
  <c r="AM163" i="31"/>
  <c r="AL163" i="31"/>
  <c r="AE163" i="31"/>
  <c r="AF163" i="31"/>
  <c r="AF148" i="31"/>
  <c r="AM148" i="31"/>
  <c r="AE148" i="31"/>
  <c r="AL148" i="31"/>
  <c r="AD148" i="31"/>
  <c r="AH209" i="32"/>
  <c r="AG209" i="32"/>
  <c r="AE308" i="31"/>
  <c r="AM308" i="31"/>
  <c r="AL308" i="31"/>
  <c r="AD308" i="31"/>
  <c r="AF308" i="31"/>
  <c r="AE164" i="31"/>
  <c r="AD164" i="31"/>
  <c r="AM164" i="31"/>
  <c r="AL164" i="31"/>
  <c r="AF164" i="31"/>
  <c r="AH333" i="32"/>
  <c r="AG333" i="32"/>
  <c r="AE346" i="31"/>
  <c r="AD346" i="31"/>
  <c r="AL346" i="31"/>
  <c r="AM346" i="31"/>
  <c r="AF346" i="31"/>
  <c r="AD177" i="31"/>
  <c r="AM177" i="31"/>
  <c r="AL177" i="31"/>
  <c r="AE177" i="31"/>
  <c r="AF177" i="31"/>
  <c r="AG541" i="32"/>
  <c r="AH541" i="32"/>
  <c r="AH33" i="32"/>
  <c r="AG33" i="32"/>
  <c r="AM372" i="31"/>
  <c r="AL372" i="31"/>
  <c r="AE372" i="31"/>
  <c r="AD372" i="31"/>
  <c r="AF372" i="31"/>
  <c r="AH18" i="32"/>
  <c r="AG18" i="32"/>
  <c r="AH78" i="32"/>
  <c r="AG78" i="32"/>
  <c r="AD449" i="31"/>
  <c r="AL449" i="31"/>
  <c r="AM449" i="31"/>
  <c r="AE449" i="31"/>
  <c r="AF449" i="31"/>
  <c r="AF141" i="31"/>
  <c r="AE141" i="31"/>
  <c r="AD141" i="31"/>
  <c r="AM141" i="31"/>
  <c r="AL141" i="31"/>
  <c r="AH198" i="32"/>
  <c r="AG198" i="32"/>
  <c r="AG255" i="32"/>
  <c r="AH255" i="32"/>
  <c r="AE530" i="31"/>
  <c r="AM530" i="31"/>
  <c r="AL530" i="31"/>
  <c r="AD530" i="31"/>
  <c r="AF530" i="31"/>
  <c r="AD73" i="31"/>
  <c r="AM73" i="31"/>
  <c r="AL73" i="31"/>
  <c r="AE73" i="31"/>
  <c r="AF73" i="31"/>
  <c r="AD325" i="31"/>
  <c r="AL325" i="31"/>
  <c r="AE325" i="31"/>
  <c r="AM325" i="31"/>
  <c r="AF325" i="31"/>
  <c r="AH119" i="32"/>
  <c r="AG119" i="32"/>
  <c r="AG406" i="32"/>
  <c r="AH406" i="32"/>
  <c r="AF406" i="31"/>
  <c r="AD406" i="31"/>
  <c r="AM406" i="31"/>
  <c r="AL406" i="31"/>
  <c r="AE406" i="31"/>
  <c r="AD65" i="31"/>
  <c r="AM65" i="31"/>
  <c r="AL65" i="31"/>
  <c r="AE65" i="31"/>
  <c r="AF65" i="31"/>
  <c r="AG247" i="32"/>
  <c r="AH247" i="32"/>
  <c r="AH26" i="32"/>
  <c r="AG26" i="32"/>
  <c r="AF466" i="31"/>
  <c r="AE466" i="31"/>
  <c r="AD466" i="31"/>
  <c r="AL466" i="31"/>
  <c r="AM466" i="31"/>
  <c r="AL560" i="31"/>
  <c r="AD560" i="31"/>
  <c r="AE560" i="31"/>
  <c r="AM560" i="31"/>
  <c r="AF560" i="31"/>
  <c r="AH462" i="32"/>
  <c r="AG462" i="32"/>
  <c r="AH91" i="32"/>
  <c r="AG91" i="32"/>
  <c r="AE21" i="31"/>
  <c r="AD21" i="31"/>
  <c r="AM21" i="31"/>
  <c r="AL21" i="31"/>
  <c r="AF21" i="31"/>
  <c r="AH492" i="32"/>
  <c r="AG492" i="32"/>
  <c r="AH67" i="32"/>
  <c r="AG67" i="32"/>
  <c r="AG186" i="32"/>
  <c r="AH186" i="32"/>
  <c r="AH517" i="32"/>
  <c r="AG517" i="32"/>
  <c r="AE368" i="31"/>
  <c r="AM368" i="31"/>
  <c r="AD368" i="31"/>
  <c r="AL368" i="31"/>
  <c r="AF368" i="31"/>
  <c r="AM514" i="31"/>
  <c r="AL514" i="31"/>
  <c r="AE514" i="31"/>
  <c r="AD514" i="31"/>
  <c r="AF514" i="31"/>
  <c r="AF508" i="31"/>
  <c r="AE508" i="31"/>
  <c r="AM508" i="31"/>
  <c r="AD508" i="31"/>
  <c r="AL508" i="31"/>
  <c r="AE626" i="31"/>
  <c r="AD626" i="31"/>
  <c r="AM626" i="31"/>
  <c r="AL626" i="31"/>
  <c r="AF626" i="31"/>
  <c r="AL402" i="31"/>
  <c r="AE402" i="31"/>
  <c r="AM402" i="31"/>
  <c r="AD402" i="31"/>
  <c r="AF402" i="31"/>
  <c r="AH458" i="32"/>
  <c r="AG458" i="32"/>
  <c r="AH549" i="32"/>
  <c r="AG549" i="32"/>
  <c r="AH605" i="32"/>
  <c r="AG605" i="32"/>
  <c r="AG41" i="32"/>
  <c r="AH41" i="32"/>
  <c r="AH310" i="32"/>
  <c r="AG310" i="32"/>
  <c r="AE53" i="31"/>
  <c r="AD53" i="31"/>
  <c r="AM53" i="31"/>
  <c r="AL53" i="31"/>
  <c r="AF53" i="31"/>
  <c r="AM204" i="31"/>
  <c r="AE204" i="31"/>
  <c r="AL204" i="31"/>
  <c r="AD204" i="31"/>
  <c r="AF204" i="31"/>
  <c r="AE232" i="31"/>
  <c r="AL232" i="31"/>
  <c r="AM232" i="31"/>
  <c r="AD232" i="31"/>
  <c r="AF232" i="31"/>
  <c r="AL279" i="31"/>
  <c r="AE279" i="31"/>
  <c r="AD279" i="31"/>
  <c r="AM279" i="31"/>
  <c r="AF279" i="31"/>
  <c r="AF290" i="31"/>
  <c r="AE290" i="31"/>
  <c r="AD290" i="31"/>
  <c r="AL290" i="31"/>
  <c r="AM290" i="31"/>
  <c r="AD301" i="31"/>
  <c r="AM301" i="31"/>
  <c r="AL301" i="31"/>
  <c r="AX300" i="31" s="1"/>
  <c r="AY300" i="31" s="1"/>
  <c r="AE301" i="31"/>
  <c r="AF301" i="31"/>
  <c r="AL416" i="31"/>
  <c r="AD416" i="31"/>
  <c r="AE416" i="31"/>
  <c r="AM416" i="31"/>
  <c r="AF416" i="31"/>
  <c r="AM505" i="31"/>
  <c r="AD505" i="31"/>
  <c r="AL505" i="31"/>
  <c r="AE505" i="31"/>
  <c r="AF505" i="31"/>
  <c r="AE347" i="31"/>
  <c r="AM347" i="31"/>
  <c r="AD347" i="31"/>
  <c r="AL347" i="31"/>
  <c r="AF347" i="31"/>
  <c r="AL244" i="31"/>
  <c r="AM244" i="31"/>
  <c r="AE244" i="31"/>
  <c r="AD244" i="31"/>
  <c r="AF244" i="31"/>
  <c r="AH63" i="32"/>
  <c r="AG63" i="32"/>
  <c r="AM586" i="31"/>
  <c r="AL586" i="31"/>
  <c r="AD586" i="31"/>
  <c r="AE586" i="31"/>
  <c r="AF586" i="31"/>
  <c r="AF473" i="31"/>
  <c r="AE473" i="31"/>
  <c r="AM473" i="31"/>
  <c r="AD473" i="31"/>
  <c r="AL473" i="31"/>
  <c r="AG393" i="32"/>
  <c r="AH393" i="32"/>
  <c r="AH353" i="32"/>
  <c r="AG353" i="32"/>
  <c r="AH488" i="32"/>
  <c r="AG488" i="32"/>
  <c r="AH474" i="32"/>
  <c r="AG474" i="32"/>
  <c r="AH499" i="32"/>
  <c r="AG499" i="32"/>
  <c r="AG124" i="32"/>
  <c r="AH124" i="32"/>
  <c r="AH60" i="32"/>
  <c r="AG60" i="32"/>
  <c r="AH15" i="32"/>
  <c r="AG15" i="32"/>
  <c r="AH131" i="32"/>
  <c r="AG131" i="32"/>
  <c r="AG516" i="32"/>
  <c r="AH516" i="32"/>
  <c r="AF195" i="31"/>
  <c r="AD195" i="31"/>
  <c r="AL195" i="31"/>
  <c r="AM195" i="31"/>
  <c r="AE195" i="31"/>
  <c r="AF222" i="31"/>
  <c r="AL222" i="31"/>
  <c r="AD222" i="31"/>
  <c r="AM222" i="31"/>
  <c r="AE222" i="31"/>
  <c r="AL254" i="31"/>
  <c r="AE254" i="31"/>
  <c r="AD254" i="31"/>
  <c r="AM254" i="31"/>
  <c r="AF254" i="31"/>
  <c r="AL280" i="31"/>
  <c r="AE280" i="31"/>
  <c r="AM280" i="31"/>
  <c r="AD280" i="31"/>
  <c r="AF280" i="31"/>
  <c r="AD353" i="31"/>
  <c r="AM353" i="31"/>
  <c r="AL353" i="31"/>
  <c r="AE353" i="31"/>
  <c r="AF353" i="31"/>
  <c r="AE382" i="31"/>
  <c r="AD382" i="31"/>
  <c r="AM382" i="31"/>
  <c r="AL382" i="31"/>
  <c r="AF382" i="31"/>
  <c r="AM479" i="31"/>
  <c r="AL479" i="31"/>
  <c r="AX478" i="31" s="1"/>
  <c r="AY478" i="31" s="1"/>
  <c r="AD479" i="31"/>
  <c r="AE479" i="31"/>
  <c r="AF479" i="31"/>
  <c r="AD426" i="31"/>
  <c r="AE426" i="31"/>
  <c r="AM426" i="31"/>
  <c r="AL426" i="31"/>
  <c r="AF426" i="31"/>
  <c r="AD338" i="31"/>
  <c r="AM338" i="31"/>
  <c r="AL338" i="31"/>
  <c r="AE338" i="31"/>
  <c r="AF338" i="31"/>
  <c r="AE332" i="31"/>
  <c r="AD332" i="31"/>
  <c r="AM332" i="31"/>
  <c r="AL332" i="31"/>
  <c r="AF332" i="31"/>
  <c r="AH148" i="32"/>
  <c r="AG148" i="32"/>
  <c r="AF541" i="31"/>
  <c r="AE541" i="31"/>
  <c r="AD541" i="31"/>
  <c r="AM541" i="31"/>
  <c r="AL541" i="31"/>
  <c r="AM275" i="31"/>
  <c r="AL275" i="31"/>
  <c r="AE275" i="31"/>
  <c r="AD275" i="31"/>
  <c r="AF275" i="31"/>
  <c r="AH416" i="32"/>
  <c r="AG416" i="32"/>
  <c r="AH581" i="32"/>
  <c r="AG581" i="32"/>
  <c r="AH514" i="32"/>
  <c r="AG514" i="32"/>
  <c r="AH512" i="32"/>
  <c r="AG512" i="32"/>
  <c r="AH98" i="32"/>
  <c r="AG98" i="32"/>
  <c r="AG169" i="32"/>
  <c r="AH169" i="32"/>
  <c r="AG422" i="32"/>
  <c r="AH422" i="32"/>
  <c r="AH46" i="32"/>
  <c r="AG46" i="32"/>
  <c r="AH136" i="32"/>
  <c r="AG136" i="32"/>
  <c r="AH528" i="32"/>
  <c r="AG528" i="32"/>
  <c r="AE251" i="31"/>
  <c r="AD251" i="31"/>
  <c r="AM251" i="31"/>
  <c r="AL251" i="31"/>
  <c r="AF251" i="31"/>
  <c r="AE369" i="31"/>
  <c r="AM369" i="31"/>
  <c r="AL369" i="31"/>
  <c r="AD369" i="31"/>
  <c r="AF369" i="31"/>
  <c r="AE343" i="31"/>
  <c r="AM343" i="31"/>
  <c r="AD343" i="31"/>
  <c r="AL343" i="31"/>
  <c r="AF343" i="31"/>
  <c r="AF354" i="31"/>
  <c r="AM354" i="31"/>
  <c r="AL354" i="31"/>
  <c r="AE354" i="31"/>
  <c r="AD354" i="31"/>
  <c r="AF358" i="31"/>
  <c r="AL358" i="31"/>
  <c r="AE358" i="31"/>
  <c r="AD358" i="31"/>
  <c r="AM358" i="31"/>
  <c r="AF567" i="31"/>
  <c r="AL567" i="31"/>
  <c r="AM567" i="31"/>
  <c r="AE567" i="31"/>
  <c r="AD567" i="31"/>
  <c r="AH202" i="32"/>
  <c r="AG202" i="32"/>
  <c r="AE54" i="31"/>
  <c r="AD54" i="31"/>
  <c r="AM54" i="31"/>
  <c r="AL54" i="31"/>
  <c r="AF54" i="31"/>
  <c r="AF594" i="31"/>
  <c r="AL594" i="31"/>
  <c r="AE594" i="31"/>
  <c r="AM594" i="31"/>
  <c r="AD594" i="31"/>
  <c r="AF230" i="31"/>
  <c r="AD230" i="31"/>
  <c r="AL230" i="31"/>
  <c r="AM230" i="31"/>
  <c r="AE230" i="31"/>
  <c r="AH555" i="32"/>
  <c r="AG555" i="32"/>
  <c r="AH566" i="32"/>
  <c r="AG566" i="32"/>
  <c r="AG59" i="32"/>
  <c r="AH59" i="32"/>
  <c r="AG196" i="32"/>
  <c r="AH196" i="32"/>
  <c r="AG187" i="32"/>
  <c r="AH187" i="32"/>
  <c r="AH154" i="32"/>
  <c r="AG154" i="32"/>
  <c r="AG213" i="32"/>
  <c r="AH213" i="32"/>
  <c r="AG334" i="32"/>
  <c r="AH334" i="32"/>
  <c r="AH309" i="32"/>
  <c r="AG309" i="32"/>
  <c r="AG143" i="32"/>
  <c r="AH143" i="32"/>
  <c r="AF315" i="31"/>
  <c r="AD315" i="31"/>
  <c r="AM315" i="31"/>
  <c r="AL315" i="31"/>
  <c r="AE315" i="31"/>
  <c r="AD400" i="31"/>
  <c r="AE400" i="31"/>
  <c r="AM400" i="31"/>
  <c r="AL400" i="31"/>
  <c r="AF400" i="31"/>
  <c r="AM375" i="31"/>
  <c r="AD375" i="31"/>
  <c r="AL375" i="31"/>
  <c r="AE375" i="31"/>
  <c r="AF375" i="31"/>
  <c r="AM422" i="31"/>
  <c r="AL422" i="31"/>
  <c r="AX421" i="31" s="1"/>
  <c r="AY421" i="31" s="1"/>
  <c r="AE422" i="31"/>
  <c r="AD422" i="31"/>
  <c r="AF422" i="31"/>
  <c r="AE442" i="31"/>
  <c r="AD442" i="31"/>
  <c r="AM442" i="31"/>
  <c r="AL442" i="31"/>
  <c r="AX441" i="31" s="1"/>
  <c r="AY441" i="31" s="1"/>
  <c r="AF442" i="31"/>
  <c r="AM401" i="31"/>
  <c r="AL401" i="31"/>
  <c r="AD401" i="31"/>
  <c r="AE401" i="31"/>
  <c r="AF401" i="31"/>
  <c r="AF159" i="31"/>
  <c r="AD159" i="31"/>
  <c r="AM159" i="31"/>
  <c r="AL159" i="31"/>
  <c r="AE159" i="31"/>
  <c r="AF176" i="31"/>
  <c r="AE176" i="31"/>
  <c r="AD176" i="31"/>
  <c r="AM176" i="31"/>
  <c r="AL176" i="31"/>
  <c r="AX175" i="31" s="1"/>
  <c r="AY175" i="31" s="1"/>
  <c r="AF588" i="31"/>
  <c r="AM588" i="31"/>
  <c r="AL588" i="31"/>
  <c r="AE588" i="31"/>
  <c r="AD588" i="31"/>
  <c r="AE142" i="31"/>
  <c r="AD142" i="31"/>
  <c r="AM142" i="31"/>
  <c r="AL142" i="31"/>
  <c r="AF142" i="31"/>
  <c r="AG604" i="32"/>
  <c r="AH604" i="32"/>
  <c r="AE44" i="31"/>
  <c r="AD44" i="31"/>
  <c r="AM44" i="31"/>
  <c r="AL44" i="31"/>
  <c r="AX43" i="31" s="1"/>
  <c r="AY43" i="31" s="1"/>
  <c r="AF44" i="31"/>
  <c r="AL381" i="31"/>
  <c r="AD381" i="31"/>
  <c r="AE381" i="31"/>
  <c r="AM381" i="31"/>
  <c r="AF381" i="31"/>
  <c r="AH430" i="32"/>
  <c r="AG430" i="32"/>
  <c r="AH477" i="32"/>
  <c r="AG477" i="32"/>
  <c r="AH526" i="32"/>
  <c r="AG526" i="32"/>
  <c r="AH504" i="32"/>
  <c r="AG504" i="32"/>
  <c r="AG129" i="32"/>
  <c r="AH129" i="32"/>
  <c r="AH282" i="32"/>
  <c r="AG282" i="32"/>
  <c r="AH56" i="32"/>
  <c r="AG56" i="32"/>
  <c r="AH113" i="32"/>
  <c r="AG113" i="32"/>
  <c r="AH180" i="32"/>
  <c r="AG180" i="32"/>
  <c r="AG125" i="32"/>
  <c r="AH125" i="32"/>
  <c r="AE234" i="31"/>
  <c r="AD234" i="31"/>
  <c r="AM234" i="31"/>
  <c r="AL234" i="31"/>
  <c r="AF234" i="31"/>
  <c r="AD270" i="31"/>
  <c r="AM270" i="31"/>
  <c r="AL270" i="31"/>
  <c r="AE270" i="31"/>
  <c r="AF270" i="31"/>
  <c r="AE317" i="31"/>
  <c r="AM317" i="31"/>
  <c r="AD317" i="31"/>
  <c r="AL317" i="31"/>
  <c r="AF317" i="31"/>
  <c r="AL335" i="31"/>
  <c r="AE335" i="31"/>
  <c r="AM335" i="31"/>
  <c r="AD335" i="31"/>
  <c r="AF335" i="31"/>
  <c r="AF345" i="31"/>
  <c r="AE345" i="31"/>
  <c r="AM345" i="31"/>
  <c r="AD345" i="31"/>
  <c r="AL345" i="31"/>
  <c r="AE548" i="31"/>
  <c r="AM548" i="31"/>
  <c r="AD548" i="31"/>
  <c r="AL548" i="31"/>
  <c r="AF548" i="31"/>
  <c r="AE83" i="31"/>
  <c r="AL83" i="31"/>
  <c r="AD83" i="31"/>
  <c r="AM83" i="31"/>
  <c r="AF83" i="31"/>
  <c r="AF226" i="31"/>
  <c r="AM226" i="31"/>
  <c r="AL226" i="31"/>
  <c r="AE226" i="31"/>
  <c r="AD226" i="31"/>
  <c r="AH321" i="32"/>
  <c r="AG321" i="32"/>
  <c r="AG595" i="32"/>
  <c r="AH595" i="32"/>
  <c r="AF52" i="31"/>
  <c r="AE52" i="31"/>
  <c r="AM52" i="31"/>
  <c r="AD52" i="31"/>
  <c r="AL52" i="31"/>
  <c r="AX51" i="31" s="1"/>
  <c r="AY51" i="31" s="1"/>
  <c r="AM238" i="31"/>
  <c r="AL238" i="31"/>
  <c r="AE238" i="31"/>
  <c r="AD238" i="31"/>
  <c r="AF238" i="31"/>
  <c r="AE581" i="31"/>
  <c r="AD581" i="31"/>
  <c r="AM581" i="31"/>
  <c r="AL581" i="31"/>
  <c r="AF581" i="31"/>
  <c r="AH522" i="32"/>
  <c r="AG522" i="32"/>
  <c r="AH490" i="32"/>
  <c r="AG490" i="32"/>
  <c r="AG65" i="32"/>
  <c r="AH65" i="32"/>
  <c r="AH185" i="32"/>
  <c r="AG185" i="32"/>
  <c r="AH177" i="32"/>
  <c r="AG177" i="32"/>
  <c r="AG242" i="32"/>
  <c r="AH242" i="32"/>
  <c r="AG370" i="32"/>
  <c r="AH370" i="32"/>
  <c r="AG489" i="32"/>
  <c r="AH489" i="32"/>
  <c r="AH347" i="32"/>
  <c r="AG347" i="32"/>
  <c r="AG507" i="32"/>
  <c r="AH507" i="32"/>
  <c r="AL303" i="31"/>
  <c r="AE303" i="31"/>
  <c r="AM303" i="31"/>
  <c r="AD303" i="31"/>
  <c r="AF303" i="31"/>
  <c r="AF391" i="31"/>
  <c r="AE391" i="31"/>
  <c r="AD391" i="31"/>
  <c r="AM391" i="31"/>
  <c r="AL391" i="31"/>
  <c r="AF438" i="31"/>
  <c r="AL438" i="31"/>
  <c r="AD438" i="31"/>
  <c r="AE438" i="31"/>
  <c r="AM438" i="31"/>
  <c r="AD455" i="31"/>
  <c r="AM455" i="31"/>
  <c r="AL455" i="31"/>
  <c r="AE455" i="31"/>
  <c r="AF455" i="31"/>
  <c r="AF467" i="31"/>
  <c r="AD467" i="31"/>
  <c r="AM467" i="31"/>
  <c r="AL467" i="31"/>
  <c r="AE467" i="31"/>
  <c r="AF484" i="31"/>
  <c r="AD484" i="31"/>
  <c r="AL484" i="31"/>
  <c r="AM484" i="31"/>
  <c r="AE484" i="31"/>
  <c r="AM349" i="31"/>
  <c r="AE349" i="31"/>
  <c r="AD349" i="31"/>
  <c r="AL349" i="31"/>
  <c r="AF349" i="31"/>
  <c r="AE240" i="31"/>
  <c r="AD240" i="31"/>
  <c r="AM240" i="31"/>
  <c r="AL240" i="31"/>
  <c r="AF240" i="31"/>
  <c r="AG324" i="32"/>
  <c r="AH324" i="32"/>
  <c r="AH390" i="32"/>
  <c r="AG390" i="32"/>
  <c r="AH571" i="32"/>
  <c r="AG571" i="32"/>
  <c r="AG550" i="32"/>
  <c r="AH550" i="32"/>
  <c r="AH592" i="32"/>
  <c r="AG592" i="32"/>
  <c r="AH68" i="32"/>
  <c r="AG68" i="32"/>
  <c r="AG487" i="32"/>
  <c r="AH487" i="32"/>
  <c r="AH483" i="32"/>
  <c r="AG483" i="32"/>
  <c r="AG219" i="32"/>
  <c r="AH219" i="32"/>
  <c r="AM69" i="31"/>
  <c r="AL69" i="31"/>
  <c r="AE69" i="31"/>
  <c r="AD69" i="31"/>
  <c r="AF69" i="31"/>
  <c r="AD90" i="31"/>
  <c r="AM90" i="31"/>
  <c r="AL90" i="31"/>
  <c r="AE90" i="31"/>
  <c r="AF90" i="31"/>
  <c r="AF155" i="31"/>
  <c r="AD155" i="31"/>
  <c r="AM155" i="31"/>
  <c r="AL155" i="31"/>
  <c r="AE155" i="31"/>
  <c r="AF218" i="31"/>
  <c r="AL218" i="31"/>
  <c r="AD218" i="31"/>
  <c r="AE218" i="31"/>
  <c r="AM218" i="31"/>
  <c r="AE231" i="31"/>
  <c r="AL231" i="31"/>
  <c r="AM231" i="31"/>
  <c r="AD231" i="31"/>
  <c r="AF231" i="31"/>
  <c r="AM243" i="31"/>
  <c r="AL243" i="31"/>
  <c r="AE243" i="31"/>
  <c r="AD243" i="31"/>
  <c r="AF243" i="31"/>
  <c r="AE288" i="31"/>
  <c r="AM288" i="31"/>
  <c r="AD288" i="31"/>
  <c r="AL288" i="31"/>
  <c r="AF288" i="31"/>
  <c r="AF329" i="31"/>
  <c r="AE329" i="31"/>
  <c r="AM329" i="31"/>
  <c r="AL329" i="31"/>
  <c r="AD329" i="31"/>
  <c r="AD66" i="31"/>
  <c r="AM66" i="31"/>
  <c r="AE66" i="31"/>
  <c r="AL66" i="31"/>
  <c r="AX65" i="31" s="1"/>
  <c r="AY65" i="31" s="1"/>
  <c r="AF66" i="31"/>
  <c r="AE316" i="31"/>
  <c r="AD316" i="31"/>
  <c r="AM316" i="31"/>
  <c r="AL316" i="31"/>
  <c r="AF316" i="31"/>
  <c r="AE185" i="31"/>
  <c r="AM185" i="31"/>
  <c r="AD185" i="31"/>
  <c r="AL185" i="31"/>
  <c r="AF185" i="31"/>
  <c r="AD139" i="31"/>
  <c r="AE139" i="31"/>
  <c r="AM139" i="31"/>
  <c r="AL139" i="31"/>
  <c r="AF139" i="31"/>
  <c r="AL424" i="31"/>
  <c r="AE424" i="31"/>
  <c r="AD424" i="31"/>
  <c r="AM424" i="31"/>
  <c r="AF424" i="31"/>
  <c r="AH271" i="32"/>
  <c r="AG271" i="32"/>
  <c r="AE459" i="31"/>
  <c r="AD459" i="31"/>
  <c r="AM459" i="31"/>
  <c r="AL459" i="31"/>
  <c r="AF459" i="31"/>
  <c r="AG491" i="32"/>
  <c r="AH491" i="32"/>
  <c r="AG171" i="32"/>
  <c r="AH171" i="32"/>
  <c r="AD362" i="31"/>
  <c r="AM362" i="31"/>
  <c r="AL362" i="31"/>
  <c r="AE362" i="31"/>
  <c r="AF362" i="31"/>
  <c r="AH454" i="32"/>
  <c r="AG454" i="32"/>
  <c r="AG90" i="32"/>
  <c r="AH90" i="32"/>
  <c r="AE284" i="31"/>
  <c r="AM284" i="31"/>
  <c r="AD284" i="31"/>
  <c r="AL284" i="31"/>
  <c r="AF284" i="31"/>
  <c r="AF169" i="31"/>
  <c r="AE169" i="31"/>
  <c r="AD169" i="31"/>
  <c r="AM169" i="31"/>
  <c r="AL169" i="31"/>
  <c r="AD186" i="31"/>
  <c r="AM186" i="31"/>
  <c r="AL186" i="31"/>
  <c r="AE186" i="31"/>
  <c r="AF186" i="31"/>
  <c r="AG58" i="32"/>
  <c r="AH58" i="32"/>
  <c r="AF322" i="31"/>
  <c r="AM322" i="31"/>
  <c r="AL322" i="31"/>
  <c r="AE322" i="31"/>
  <c r="AD322" i="31"/>
  <c r="AH253" i="32"/>
  <c r="AG253" i="32"/>
  <c r="AH296" i="32"/>
  <c r="AG296" i="32"/>
  <c r="AF489" i="31"/>
  <c r="AL489" i="31"/>
  <c r="AE489" i="31"/>
  <c r="AM489" i="31"/>
  <c r="AD489" i="31"/>
  <c r="AH502" i="32"/>
  <c r="AG502" i="32"/>
  <c r="AG440" i="32"/>
  <c r="AH440" i="32"/>
  <c r="AL373" i="31"/>
  <c r="AM373" i="31"/>
  <c r="AE373" i="31"/>
  <c r="AD373" i="31"/>
  <c r="AF373" i="31"/>
  <c r="AM553" i="31"/>
  <c r="AL553" i="31"/>
  <c r="AD553" i="31"/>
  <c r="AE553" i="31"/>
  <c r="AF553" i="31"/>
  <c r="AG525" i="32"/>
  <c r="AH525" i="32"/>
  <c r="AG336" i="32"/>
  <c r="AH336" i="32"/>
  <c r="AG576" i="32"/>
  <c r="AH576" i="32"/>
  <c r="AM522" i="31"/>
  <c r="AL522" i="31"/>
  <c r="AE522" i="31"/>
  <c r="AD522" i="31"/>
  <c r="AF522" i="31"/>
  <c r="AF531" i="31"/>
  <c r="AE531" i="31"/>
  <c r="AD531" i="31"/>
  <c r="AM531" i="31"/>
  <c r="AL531" i="31"/>
  <c r="AX530" i="31" s="1"/>
  <c r="AY530" i="31" s="1"/>
  <c r="AH331" i="32"/>
  <c r="AG331" i="32"/>
  <c r="AG118" i="32"/>
  <c r="AH118" i="32"/>
  <c r="AF205" i="31"/>
  <c r="AL205" i="31"/>
  <c r="AD205" i="31"/>
  <c r="AE205" i="31"/>
  <c r="AM205" i="31"/>
  <c r="AG71" i="32"/>
  <c r="AH71" i="32"/>
  <c r="AH284" i="32"/>
  <c r="AG284" i="32"/>
  <c r="AH570" i="32"/>
  <c r="AG570" i="32"/>
  <c r="AH229" i="32"/>
  <c r="AG229" i="32"/>
  <c r="AF485" i="31"/>
  <c r="AE485" i="31"/>
  <c r="AM485" i="31"/>
  <c r="AD485" i="31"/>
  <c r="AL485" i="31"/>
  <c r="AD547" i="31"/>
  <c r="AL547" i="31"/>
  <c r="AM547" i="31"/>
  <c r="AE547" i="31"/>
  <c r="AF547" i="31"/>
  <c r="AM445" i="31"/>
  <c r="AL445" i="31"/>
  <c r="AE445" i="31"/>
  <c r="AD445" i="31"/>
  <c r="AF445" i="31"/>
  <c r="AM596" i="31"/>
  <c r="AE596" i="31"/>
  <c r="AL596" i="31"/>
  <c r="AD596" i="31"/>
  <c r="AF596" i="31"/>
  <c r="AF383" i="31"/>
  <c r="AE383" i="31"/>
  <c r="AM383" i="31"/>
  <c r="AD383" i="31"/>
  <c r="AL383" i="31"/>
  <c r="AG413" i="32"/>
  <c r="AH413" i="32"/>
  <c r="AG547" i="32"/>
  <c r="AH547" i="32"/>
  <c r="AG31" i="32"/>
  <c r="AH31" i="32"/>
  <c r="AH189" i="32"/>
  <c r="AG189" i="32"/>
  <c r="AG341" i="32"/>
  <c r="AH341" i="32"/>
  <c r="AH273" i="32"/>
  <c r="AG273" i="32"/>
  <c r="AG412" i="32"/>
  <c r="AH412" i="32"/>
  <c r="AG405" i="32"/>
  <c r="AH405" i="32"/>
  <c r="AH409" i="32"/>
  <c r="AG409" i="32"/>
  <c r="AH266" i="32"/>
  <c r="AG266" i="32"/>
  <c r="AH274" i="32"/>
  <c r="AG274" i="32"/>
  <c r="AH162" i="32"/>
  <c r="AG162" i="32"/>
  <c r="AH89" i="32"/>
  <c r="AG89" i="32"/>
  <c r="AD519" i="31"/>
  <c r="AM519" i="31"/>
  <c r="AL519" i="31"/>
  <c r="AE519" i="31"/>
  <c r="AF519" i="31"/>
  <c r="AD606" i="31"/>
  <c r="AL606" i="31"/>
  <c r="AM606" i="31"/>
  <c r="AE606" i="31"/>
  <c r="AF606" i="31"/>
  <c r="AE26" i="31"/>
  <c r="AM26" i="31"/>
  <c r="AD26" i="31"/>
  <c r="AL26" i="31"/>
  <c r="AF26" i="31"/>
  <c r="AE84" i="31"/>
  <c r="AD84" i="31"/>
  <c r="AM84" i="31"/>
  <c r="AL84" i="31"/>
  <c r="AF84" i="31"/>
  <c r="AD23" i="31"/>
  <c r="AL23" i="31"/>
  <c r="AE23" i="31"/>
  <c r="AM23" i="31"/>
  <c r="AF23" i="31"/>
  <c r="AM86" i="31"/>
  <c r="AL86" i="31"/>
  <c r="AE86" i="31"/>
  <c r="AD86" i="31"/>
  <c r="AF86" i="31"/>
  <c r="AM25" i="31"/>
  <c r="AE25" i="31"/>
  <c r="AL25" i="31"/>
  <c r="AD25" i="31"/>
  <c r="AF25" i="31"/>
  <c r="AE27" i="31"/>
  <c r="AD27" i="31"/>
  <c r="AM27" i="31"/>
  <c r="AL27" i="31"/>
  <c r="AF27" i="31"/>
  <c r="AE448" i="31"/>
  <c r="AD448" i="31"/>
  <c r="AM448" i="31"/>
  <c r="AL448" i="31"/>
  <c r="AF448" i="31"/>
  <c r="AE599" i="31"/>
  <c r="AM599" i="31"/>
  <c r="AL599" i="31"/>
  <c r="AD599" i="31"/>
  <c r="AF599" i="31"/>
  <c r="AG157" i="32"/>
  <c r="AH157" i="32"/>
  <c r="AF24" i="31"/>
  <c r="AM24" i="31"/>
  <c r="AL24" i="31"/>
  <c r="AD24" i="31"/>
  <c r="AE24" i="31"/>
  <c r="AF525" i="31"/>
  <c r="AE525" i="31"/>
  <c r="AD525" i="31"/>
  <c r="AM525" i="31"/>
  <c r="AL525" i="31"/>
  <c r="AH156" i="32"/>
  <c r="AG156" i="32"/>
  <c r="AG475" i="32"/>
  <c r="AH475" i="32"/>
  <c r="AH379" i="32"/>
  <c r="AG379" i="32"/>
  <c r="AH350" i="32"/>
  <c r="AG350" i="32"/>
  <c r="AG548" i="32"/>
  <c r="AH548" i="32"/>
  <c r="AH503" i="32"/>
  <c r="AG503" i="32"/>
  <c r="AH308" i="32"/>
  <c r="AG308" i="32"/>
  <c r="AH150" i="32"/>
  <c r="AG150" i="32"/>
  <c r="AH79" i="32"/>
  <c r="AG79" i="32"/>
  <c r="AE482" i="31"/>
  <c r="AM482" i="31"/>
  <c r="AL482" i="31"/>
  <c r="AD482" i="31"/>
  <c r="AF482" i="31"/>
  <c r="AD600" i="31"/>
  <c r="AM600" i="31"/>
  <c r="AL600" i="31"/>
  <c r="AE600" i="31"/>
  <c r="AF600" i="31"/>
  <c r="AD58" i="31"/>
  <c r="AM58" i="31"/>
  <c r="AE58" i="31"/>
  <c r="AL58" i="31"/>
  <c r="AF58" i="31"/>
  <c r="AE18" i="31"/>
  <c r="AD18" i="31"/>
  <c r="AM18" i="31"/>
  <c r="AL18" i="31"/>
  <c r="AF18" i="31"/>
  <c r="AM47" i="31"/>
  <c r="AL47" i="31"/>
  <c r="AE47" i="31"/>
  <c r="AD47" i="31"/>
  <c r="AF47" i="31"/>
  <c r="AE85" i="31"/>
  <c r="AD85" i="31"/>
  <c r="AM85" i="31"/>
  <c r="AL85" i="31"/>
  <c r="AF85" i="31"/>
  <c r="AL59" i="31"/>
  <c r="AD59" i="31"/>
  <c r="AE59" i="31"/>
  <c r="AM59" i="31"/>
  <c r="AF59" i="31"/>
  <c r="AE363" i="31"/>
  <c r="AD363" i="31"/>
  <c r="AM363" i="31"/>
  <c r="AL363" i="31"/>
  <c r="AF363" i="31"/>
  <c r="AM502" i="31"/>
  <c r="AD502" i="31"/>
  <c r="AL502" i="31"/>
  <c r="AE502" i="31"/>
  <c r="AF502" i="31"/>
  <c r="AM526" i="31"/>
  <c r="AE526" i="31"/>
  <c r="AD526" i="31"/>
  <c r="AL526" i="31"/>
  <c r="AF526" i="31"/>
  <c r="AH375" i="32"/>
  <c r="AG375" i="32"/>
  <c r="AG320" i="32"/>
  <c r="AH320" i="32"/>
  <c r="AD203" i="31"/>
  <c r="AM203" i="31"/>
  <c r="AL203" i="31"/>
  <c r="AE203" i="31"/>
  <c r="AF203" i="31"/>
  <c r="AE277" i="31"/>
  <c r="AD277" i="31"/>
  <c r="AM277" i="31"/>
  <c r="AL277" i="31"/>
  <c r="AX276" i="31" s="1"/>
  <c r="AY276" i="31" s="1"/>
  <c r="AF277" i="31"/>
  <c r="AG281" i="32"/>
  <c r="AH281" i="32"/>
  <c r="AH283" i="32"/>
  <c r="AG283" i="32"/>
  <c r="AG319" i="32"/>
  <c r="AH319" i="32"/>
  <c r="AG314" i="32"/>
  <c r="AH314" i="32"/>
  <c r="AH373" i="32"/>
  <c r="AG373" i="32"/>
  <c r="AH434" i="32"/>
  <c r="AG434" i="32"/>
  <c r="AG397" i="32"/>
  <c r="AH397" i="32"/>
  <c r="AG280" i="32"/>
  <c r="AH280" i="32"/>
  <c r="AH44" i="32"/>
  <c r="AG44" i="32"/>
  <c r="AF552" i="31"/>
  <c r="AL552" i="31"/>
  <c r="AE552" i="31"/>
  <c r="AM552" i="31"/>
  <c r="AD552" i="31"/>
  <c r="AE22" i="31"/>
  <c r="AD22" i="31"/>
  <c r="AM22" i="31"/>
  <c r="AL22" i="31"/>
  <c r="AF22" i="31"/>
  <c r="AD31" i="31"/>
  <c r="AM31" i="31"/>
  <c r="AL31" i="31"/>
  <c r="AE31" i="31"/>
  <c r="AF31" i="31"/>
  <c r="AM112" i="31"/>
  <c r="AE112" i="31"/>
  <c r="AD112" i="31"/>
  <c r="AL112" i="31"/>
  <c r="AF112" i="31"/>
  <c r="AE114" i="31"/>
  <c r="AD114" i="31"/>
  <c r="AM114" i="31"/>
  <c r="AL114" i="31"/>
  <c r="AF114" i="31"/>
  <c r="AF200" i="31"/>
  <c r="AE200" i="31"/>
  <c r="AM200" i="31"/>
  <c r="AD200" i="31"/>
  <c r="AL200" i="31"/>
  <c r="AG325" i="32"/>
  <c r="AH325" i="32"/>
  <c r="AE249" i="31"/>
  <c r="AM249" i="31"/>
  <c r="AL249" i="31"/>
  <c r="AD249" i="31"/>
  <c r="AF249" i="31"/>
  <c r="AH388" i="32"/>
  <c r="AG388" i="32"/>
  <c r="AH435" i="32"/>
  <c r="AG435" i="32"/>
  <c r="AG322" i="32"/>
  <c r="AH322" i="32"/>
  <c r="AG318" i="32"/>
  <c r="AH318" i="32"/>
  <c r="AH484" i="32"/>
  <c r="AG484" i="32"/>
  <c r="AG585" i="32"/>
  <c r="AH585" i="32"/>
  <c r="AG562" i="32"/>
  <c r="AH562" i="32"/>
  <c r="AH468" i="32"/>
  <c r="AG468" i="32"/>
  <c r="AH603" i="32"/>
  <c r="AG603" i="32"/>
  <c r="AL605" i="31"/>
  <c r="AD605" i="31"/>
  <c r="AE605" i="31"/>
  <c r="AM605" i="31"/>
  <c r="AF605" i="31"/>
  <c r="AE110" i="31"/>
  <c r="AM110" i="31"/>
  <c r="AL110" i="31"/>
  <c r="AD110" i="31"/>
  <c r="AF110" i="31"/>
  <c r="AL138" i="31"/>
  <c r="AD138" i="31"/>
  <c r="AM138" i="31"/>
  <c r="AE138" i="31"/>
  <c r="AF138" i="31"/>
  <c r="AM156" i="31"/>
  <c r="AL156" i="31"/>
  <c r="AE156" i="31"/>
  <c r="AD156" i="31"/>
  <c r="AF156" i="31"/>
  <c r="AL166" i="31"/>
  <c r="AX165" i="31" s="1"/>
  <c r="AY165" i="31" s="1"/>
  <c r="AD166" i="31"/>
  <c r="AE166" i="31"/>
  <c r="AM166" i="31"/>
  <c r="AF166" i="31"/>
  <c r="AF233" i="31"/>
  <c r="AM233" i="31"/>
  <c r="AL233" i="31"/>
  <c r="AX232" i="31" s="1"/>
  <c r="AY232" i="31" s="1"/>
  <c r="AE233" i="31"/>
  <c r="AD233" i="31"/>
  <c r="AE74" i="31"/>
  <c r="AL74" i="31"/>
  <c r="AM74" i="31"/>
  <c r="AD74" i="31"/>
  <c r="AF74" i="31"/>
  <c r="AF191" i="31"/>
  <c r="AL191" i="31"/>
  <c r="AD191" i="31"/>
  <c r="AM191" i="31"/>
  <c r="AE191" i="31"/>
  <c r="AE323" i="31"/>
  <c r="AD323" i="31"/>
  <c r="AM323" i="31"/>
  <c r="AL323" i="31"/>
  <c r="AF323" i="31"/>
  <c r="AE224" i="31"/>
  <c r="AD224" i="31"/>
  <c r="AM224" i="31"/>
  <c r="AL224" i="31"/>
  <c r="AF224" i="31"/>
  <c r="AE140" i="31"/>
  <c r="AD140" i="31"/>
  <c r="AM140" i="31"/>
  <c r="AL140" i="31"/>
  <c r="AF140" i="31"/>
  <c r="AL623" i="31"/>
  <c r="AE623" i="31"/>
  <c r="AM623" i="31"/>
  <c r="AD623" i="31"/>
  <c r="AF623" i="31"/>
  <c r="AG115" i="32"/>
  <c r="AH115" i="32"/>
  <c r="AH545" i="32"/>
  <c r="AG545" i="32"/>
  <c r="AM440" i="31"/>
  <c r="AL440" i="31"/>
  <c r="AE440" i="31"/>
  <c r="AD440" i="31"/>
  <c r="AF440" i="31"/>
  <c r="AH261" i="32"/>
  <c r="AG261" i="32"/>
  <c r="AG372" i="32"/>
  <c r="AH372" i="32"/>
  <c r="AH345" i="32"/>
  <c r="AG345" i="32"/>
  <c r="AG560" i="32"/>
  <c r="AH560" i="32"/>
  <c r="AG395" i="32"/>
  <c r="AH395" i="32"/>
  <c r="AH257" i="32"/>
  <c r="AG257" i="32"/>
  <c r="AH446" i="32"/>
  <c r="AG446" i="32"/>
  <c r="AG367" i="32"/>
  <c r="AH367" i="32"/>
  <c r="AH386" i="32"/>
  <c r="AG386" i="32"/>
  <c r="AF537" i="31"/>
  <c r="AM537" i="31"/>
  <c r="AE537" i="31"/>
  <c r="AL537" i="31"/>
  <c r="AD537" i="31"/>
  <c r="AL68" i="31"/>
  <c r="AD68" i="31"/>
  <c r="AM68" i="31"/>
  <c r="AE68" i="31"/>
  <c r="AF68" i="31"/>
  <c r="AM79" i="31"/>
  <c r="AL79" i="31"/>
  <c r="AD79" i="31"/>
  <c r="AE79" i="31"/>
  <c r="AF79" i="31"/>
  <c r="AE102" i="31"/>
  <c r="AD102" i="31"/>
  <c r="AM102" i="31"/>
  <c r="AL102" i="31"/>
  <c r="AF102" i="31"/>
  <c r="AM104" i="31"/>
  <c r="AL104" i="31"/>
  <c r="AX103" i="31" s="1"/>
  <c r="AY103" i="31" s="1"/>
  <c r="AE104" i="31"/>
  <c r="AD104" i="31"/>
  <c r="AF104" i="31"/>
  <c r="AE106" i="31"/>
  <c r="AD106" i="31"/>
  <c r="AM106" i="31"/>
  <c r="AL106" i="31"/>
  <c r="AF106" i="31"/>
  <c r="AD228" i="31"/>
  <c r="AM228" i="31"/>
  <c r="AL228" i="31"/>
  <c r="AX227" i="31" s="1"/>
  <c r="AY227" i="31" s="1"/>
  <c r="AE228" i="31"/>
  <c r="AF228" i="31"/>
  <c r="AD143" i="31"/>
  <c r="AM143" i="31"/>
  <c r="AL143" i="31"/>
  <c r="AE143" i="31"/>
  <c r="AF143" i="31"/>
  <c r="AE371" i="31"/>
  <c r="AD371" i="31"/>
  <c r="AM371" i="31"/>
  <c r="AL371" i="31"/>
  <c r="AF371" i="31"/>
  <c r="AH444" i="32"/>
  <c r="AG444" i="32"/>
  <c r="AG579" i="32"/>
  <c r="AH579" i="32"/>
  <c r="AH335" i="32"/>
  <c r="AG335" i="32"/>
  <c r="AE304" i="31"/>
  <c r="AD304" i="31"/>
  <c r="AL304" i="31"/>
  <c r="AM304" i="31"/>
  <c r="AF304" i="31"/>
  <c r="AD591" i="31"/>
  <c r="AL591" i="31"/>
  <c r="AM591" i="31"/>
  <c r="AE591" i="31"/>
  <c r="AF591" i="31"/>
  <c r="AH391" i="32"/>
  <c r="AG391" i="32"/>
  <c r="AH439" i="32"/>
  <c r="AG439" i="32"/>
  <c r="AH500" i="32"/>
  <c r="AG500" i="32"/>
  <c r="AH498" i="32"/>
  <c r="AG498" i="32"/>
  <c r="AG460" i="32"/>
  <c r="AH460" i="32"/>
  <c r="AH36" i="32"/>
  <c r="AG36" i="32"/>
  <c r="AH593" i="32"/>
  <c r="AG593" i="32"/>
  <c r="AG574" i="32"/>
  <c r="AH574" i="32"/>
  <c r="AG235" i="32"/>
  <c r="AH235" i="32"/>
  <c r="AE37" i="31"/>
  <c r="AD37" i="31"/>
  <c r="AM37" i="31"/>
  <c r="AL37" i="31"/>
  <c r="AF37" i="31"/>
  <c r="AE91" i="31"/>
  <c r="AD91" i="31"/>
  <c r="AL91" i="31"/>
  <c r="AM91" i="31"/>
  <c r="AF91" i="31"/>
  <c r="AF172" i="31"/>
  <c r="AD172" i="31"/>
  <c r="AL172" i="31"/>
  <c r="AM172" i="31"/>
  <c r="AE172" i="31"/>
  <c r="AM221" i="31"/>
  <c r="AL221" i="31"/>
  <c r="AE221" i="31"/>
  <c r="AD221" i="31"/>
  <c r="AF221" i="31"/>
  <c r="AD247" i="31"/>
  <c r="AL247" i="31"/>
  <c r="AX246" i="31" s="1"/>
  <c r="AY246" i="31" s="1"/>
  <c r="AM247" i="31"/>
  <c r="AE247" i="31"/>
  <c r="AF247" i="31"/>
  <c r="AL237" i="31"/>
  <c r="AM237" i="31"/>
  <c r="AE237" i="31"/>
  <c r="AD237" i="31"/>
  <c r="AF237" i="31"/>
  <c r="AM266" i="31"/>
  <c r="AL266" i="31"/>
  <c r="AE266" i="31"/>
  <c r="AD266" i="31"/>
  <c r="AF266" i="31"/>
  <c r="AF365" i="31"/>
  <c r="AM365" i="31"/>
  <c r="AL365" i="31"/>
  <c r="AE365" i="31"/>
  <c r="AD365" i="31"/>
  <c r="AG102" i="32"/>
  <c r="AH102" i="32"/>
  <c r="AG153" i="32"/>
  <c r="AH153" i="32"/>
  <c r="AG275" i="32"/>
  <c r="AH275" i="32"/>
  <c r="AH260" i="32"/>
  <c r="AG260" i="32"/>
  <c r="AH262" i="32"/>
  <c r="AG262" i="32"/>
  <c r="AH224" i="32"/>
  <c r="AG224" i="32"/>
  <c r="AG109" i="32"/>
  <c r="AH109" i="32"/>
  <c r="AG50" i="32"/>
  <c r="AH50" i="32"/>
  <c r="AG104" i="32"/>
  <c r="AH104" i="32"/>
  <c r="AE439" i="31"/>
  <c r="AD439" i="31"/>
  <c r="AM439" i="31"/>
  <c r="AL439" i="31"/>
  <c r="AX438" i="31" s="1"/>
  <c r="AY438" i="31" s="1"/>
  <c r="AF439" i="31"/>
  <c r="AF544" i="31"/>
  <c r="AD544" i="31"/>
  <c r="AM544" i="31"/>
  <c r="AL544" i="31"/>
  <c r="AE544" i="31"/>
  <c r="AE578" i="31"/>
  <c r="AD578" i="31"/>
  <c r="AM578" i="31"/>
  <c r="AL578" i="31"/>
  <c r="AF578" i="31"/>
  <c r="AD603" i="31"/>
  <c r="AM603" i="31"/>
  <c r="AL603" i="31"/>
  <c r="AE603" i="31"/>
  <c r="AF603" i="31"/>
  <c r="AD30" i="31"/>
  <c r="AM30" i="31"/>
  <c r="AL30" i="31"/>
  <c r="AE30" i="31"/>
  <c r="AF30" i="31"/>
  <c r="AD609" i="31"/>
  <c r="AL609" i="31"/>
  <c r="AX608" i="31" s="1"/>
  <c r="AY608" i="31" s="1"/>
  <c r="AE609" i="31"/>
  <c r="AM609" i="31"/>
  <c r="AF609" i="31"/>
  <c r="AF189" i="31"/>
  <c r="AL189" i="31"/>
  <c r="AX188" i="31" s="1"/>
  <c r="AY188" i="31" s="1"/>
  <c r="AE189" i="31"/>
  <c r="AD189" i="31"/>
  <c r="AM189" i="31"/>
  <c r="AF554" i="31"/>
  <c r="AL554" i="31"/>
  <c r="AD554" i="31"/>
  <c r="AM554" i="31"/>
  <c r="AE554" i="31"/>
  <c r="AF256" i="31"/>
  <c r="AE256" i="31"/>
  <c r="AD256" i="31"/>
  <c r="AM256" i="31"/>
  <c r="AL256" i="31"/>
  <c r="AM622" i="31"/>
  <c r="AD622" i="31"/>
  <c r="AL622" i="31"/>
  <c r="AE622" i="31"/>
  <c r="AF622" i="31"/>
  <c r="AM264" i="31"/>
  <c r="AD264" i="31"/>
  <c r="AL264" i="31"/>
  <c r="AE264" i="31"/>
  <c r="AF264" i="31"/>
  <c r="AF314" i="31"/>
  <c r="AL314" i="31"/>
  <c r="AX313" i="31" s="1"/>
  <c r="AY313" i="31" s="1"/>
  <c r="AD314" i="31"/>
  <c r="AM314" i="31"/>
  <c r="AE314" i="31"/>
  <c r="AH246" i="32"/>
  <c r="AG246" i="32"/>
  <c r="AE561" i="31"/>
  <c r="AD561" i="31"/>
  <c r="AL561" i="31"/>
  <c r="AX560" i="31" s="1"/>
  <c r="AY560" i="31" s="1"/>
  <c r="AM561" i="31"/>
  <c r="AF561" i="31"/>
  <c r="AF328" i="31"/>
  <c r="AE328" i="31"/>
  <c r="AD328" i="31"/>
  <c r="AM328" i="31"/>
  <c r="AL328" i="31"/>
  <c r="AG294" i="32"/>
  <c r="AH294" i="32"/>
  <c r="AE324" i="31"/>
  <c r="AD324" i="31"/>
  <c r="AL324" i="31"/>
  <c r="AM324" i="31"/>
  <c r="AF324" i="31"/>
  <c r="AE97" i="31"/>
  <c r="AL97" i="31"/>
  <c r="AD97" i="31"/>
  <c r="AM97" i="31"/>
  <c r="AF97" i="31"/>
  <c r="AH123" i="32"/>
  <c r="AG123" i="32"/>
  <c r="AE348" i="31"/>
  <c r="AD348" i="31"/>
  <c r="AM348" i="31"/>
  <c r="AL348" i="31"/>
  <c r="AF348" i="31"/>
  <c r="AE184" i="31"/>
  <c r="AD184" i="31"/>
  <c r="AM184" i="31"/>
  <c r="AL184" i="31"/>
  <c r="AF184" i="31"/>
  <c r="AF460" i="31"/>
  <c r="AE460" i="31"/>
  <c r="AM460" i="31"/>
  <c r="AD460" i="31"/>
  <c r="AL460" i="31"/>
  <c r="AH554" i="32"/>
  <c r="AG554" i="32"/>
  <c r="AH546" i="32"/>
  <c r="AG546" i="32"/>
  <c r="AM480" i="31"/>
  <c r="AE480" i="31"/>
  <c r="AL480" i="31"/>
  <c r="AD480" i="31"/>
  <c r="AF480" i="31"/>
  <c r="AL399" i="31"/>
  <c r="AD399" i="31"/>
  <c r="AE399" i="31"/>
  <c r="AM399" i="31"/>
  <c r="AF399" i="31"/>
  <c r="AG366" i="32"/>
  <c r="AH366" i="32"/>
  <c r="AG126" i="32"/>
  <c r="AH126" i="32"/>
  <c r="AF298" i="31"/>
  <c r="AL298" i="31"/>
  <c r="AD298" i="31"/>
  <c r="AM298" i="31"/>
  <c r="AE298" i="31"/>
  <c r="AE409" i="31"/>
  <c r="AD409" i="31"/>
  <c r="AM409" i="31"/>
  <c r="AL409" i="31"/>
  <c r="AF409" i="31"/>
  <c r="AH419" i="32"/>
  <c r="AG419" i="32"/>
  <c r="AH93" i="32"/>
  <c r="AG93" i="32"/>
  <c r="AH481" i="32"/>
  <c r="AG481" i="32"/>
  <c r="AF500" i="31"/>
  <c r="AM500" i="31"/>
  <c r="AE500" i="31"/>
  <c r="AD500" i="31"/>
  <c r="AL500" i="31"/>
  <c r="AH57" i="32"/>
  <c r="AG57" i="32"/>
  <c r="AH580" i="32"/>
  <c r="AG580" i="32"/>
  <c r="AG589" i="32"/>
  <c r="AH589" i="32"/>
  <c r="AH39" i="32"/>
  <c r="AG39" i="32"/>
  <c r="AG80" i="32"/>
  <c r="AH80" i="32"/>
  <c r="AH77" i="32"/>
  <c r="AG77" i="32"/>
  <c r="AH170" i="32"/>
  <c r="AG170" i="32"/>
  <c r="AH464" i="32"/>
  <c r="AG464" i="32"/>
  <c r="AH369" i="32"/>
  <c r="AG369" i="32"/>
  <c r="AG338" i="32"/>
  <c r="AH338" i="32"/>
  <c r="AG103" i="32"/>
  <c r="AH103" i="32"/>
  <c r="AE361" i="31"/>
  <c r="AD361" i="31"/>
  <c r="AL361" i="31"/>
  <c r="AM361" i="31"/>
  <c r="AF361" i="31"/>
  <c r="AE394" i="31"/>
  <c r="AM394" i="31"/>
  <c r="AD394" i="31"/>
  <c r="AL394" i="31"/>
  <c r="AF394" i="31"/>
  <c r="AM429" i="31"/>
  <c r="AL429" i="31"/>
  <c r="AX428" i="31" s="1"/>
  <c r="AY428" i="31" s="1"/>
  <c r="AE429" i="31"/>
  <c r="AD429" i="31"/>
  <c r="AF429" i="31"/>
  <c r="AM430" i="31"/>
  <c r="AE430" i="31"/>
  <c r="AL430" i="31"/>
  <c r="AD430" i="31"/>
  <c r="AF430" i="31"/>
  <c r="AE492" i="31"/>
  <c r="AD492" i="31"/>
  <c r="AM492" i="31"/>
  <c r="AL492" i="31"/>
  <c r="AF492" i="31"/>
  <c r="AL447" i="31"/>
  <c r="AD447" i="31"/>
  <c r="AM447" i="31"/>
  <c r="AE447" i="31"/>
  <c r="AF447" i="31"/>
  <c r="AM255" i="31"/>
  <c r="AL255" i="31"/>
  <c r="AE255" i="31"/>
  <c r="AD255" i="31"/>
  <c r="AF255" i="31"/>
  <c r="AE198" i="31"/>
  <c r="AD198" i="31"/>
  <c r="AM198" i="31"/>
  <c r="AL198" i="31"/>
  <c r="AF198" i="31"/>
  <c r="AD214" i="31"/>
  <c r="AL214" i="31"/>
  <c r="AM214" i="31"/>
  <c r="AE214" i="31"/>
  <c r="AF214" i="31"/>
  <c r="AF299" i="31"/>
  <c r="AE299" i="31"/>
  <c r="AM299" i="31"/>
  <c r="AD299" i="31"/>
  <c r="AL299" i="31"/>
  <c r="AG55" i="32"/>
  <c r="AH55" i="32"/>
  <c r="AF579" i="31"/>
  <c r="AE579" i="31"/>
  <c r="AM579" i="31"/>
  <c r="AD579" i="31"/>
  <c r="AL579" i="31"/>
  <c r="AG520" i="32"/>
  <c r="AH520" i="32"/>
  <c r="AH540" i="32"/>
  <c r="AG540" i="32"/>
  <c r="AH47" i="32"/>
  <c r="AG47" i="32"/>
  <c r="AH182" i="32"/>
  <c r="AG182" i="32"/>
  <c r="AG160" i="32"/>
  <c r="AH160" i="32"/>
  <c r="AG107" i="32"/>
  <c r="AH107" i="32"/>
  <c r="AH407" i="32"/>
  <c r="AG407" i="32"/>
  <c r="AG394" i="32"/>
  <c r="AH394" i="32"/>
  <c r="AG265" i="32"/>
  <c r="AH265" i="32"/>
  <c r="AH348" i="32"/>
  <c r="AG348" i="32"/>
  <c r="AF292" i="31"/>
  <c r="AE292" i="31"/>
  <c r="AL292" i="31"/>
  <c r="AM292" i="31"/>
  <c r="AD292" i="31"/>
  <c r="AM367" i="31"/>
  <c r="AL367" i="31"/>
  <c r="AX366" i="31" s="1"/>
  <c r="AY366" i="31" s="1"/>
  <c r="AD367" i="31"/>
  <c r="AE367" i="31"/>
  <c r="AF367" i="31"/>
  <c r="AL407" i="31"/>
  <c r="AX406" i="31" s="1"/>
  <c r="AY406" i="31" s="1"/>
  <c r="AE407" i="31"/>
  <c r="AD407" i="31"/>
  <c r="AM407" i="31"/>
  <c r="AF407" i="31"/>
  <c r="AE443" i="31"/>
  <c r="AM443" i="31"/>
  <c r="AD443" i="31"/>
  <c r="AL443" i="31"/>
  <c r="AF443" i="31"/>
  <c r="AD468" i="31"/>
  <c r="AE468" i="31"/>
  <c r="AM468" i="31"/>
  <c r="AL468" i="31"/>
  <c r="AX467" i="31" s="1"/>
  <c r="AY467" i="31" s="1"/>
  <c r="AF468" i="31"/>
  <c r="AF450" i="31"/>
  <c r="AD450" i="31"/>
  <c r="AM450" i="31"/>
  <c r="AL450" i="31"/>
  <c r="AX449" i="31" s="1"/>
  <c r="AY449" i="31" s="1"/>
  <c r="AE450" i="31"/>
  <c r="AF350" i="31"/>
  <c r="AL350" i="31"/>
  <c r="AE350" i="31"/>
  <c r="AM350" i="31"/>
  <c r="AD350" i="31"/>
  <c r="AF180" i="31"/>
  <c r="AM180" i="31"/>
  <c r="AL180" i="31"/>
  <c r="AE180" i="31"/>
  <c r="AD180" i="31"/>
  <c r="AF17" i="31"/>
  <c r="AL17" i="31"/>
  <c r="AD17" i="31"/>
  <c r="AE17" i="31"/>
  <c r="AM17" i="31"/>
  <c r="AD471" i="31"/>
  <c r="AL471" i="31"/>
  <c r="AE471" i="31"/>
  <c r="AM471" i="31"/>
  <c r="AF471" i="31"/>
  <c r="AH122" i="32"/>
  <c r="AG122" i="32"/>
  <c r="AL116" i="31"/>
  <c r="AD116" i="31"/>
  <c r="AE116" i="31"/>
  <c r="AM116" i="31"/>
  <c r="AF116" i="31"/>
  <c r="AD147" i="31"/>
  <c r="AM147" i="31"/>
  <c r="AL147" i="31"/>
  <c r="AX146" i="31" s="1"/>
  <c r="AY146" i="31" s="1"/>
  <c r="AE147" i="31"/>
  <c r="AF147" i="31"/>
  <c r="AH600" i="32"/>
  <c r="AG600" i="32"/>
  <c r="AH43" i="32"/>
  <c r="AG43" i="32"/>
  <c r="AH54" i="32"/>
  <c r="AG54" i="32"/>
  <c r="AH194" i="32"/>
  <c r="AG194" i="32"/>
  <c r="AG192" i="32"/>
  <c r="AH192" i="32"/>
  <c r="AH233" i="32"/>
  <c r="AG233" i="32"/>
  <c r="AG583" i="32"/>
  <c r="AH583" i="32"/>
  <c r="AH532" i="32"/>
  <c r="AG532" i="32"/>
  <c r="AH398" i="32"/>
  <c r="AG398" i="32"/>
  <c r="AG509" i="32"/>
  <c r="AH509" i="32"/>
  <c r="AD356" i="31"/>
  <c r="AM356" i="31"/>
  <c r="AL356" i="31"/>
  <c r="AE356" i="31"/>
  <c r="AF356" i="31"/>
  <c r="AE469" i="31"/>
  <c r="AD469" i="31"/>
  <c r="AL469" i="31"/>
  <c r="AM469" i="31"/>
  <c r="AF469" i="31"/>
  <c r="AE493" i="31"/>
  <c r="AM493" i="31"/>
  <c r="AL493" i="31"/>
  <c r="AD493" i="31"/>
  <c r="AF493" i="31"/>
  <c r="AE490" i="31"/>
  <c r="AD490" i="31"/>
  <c r="AM490" i="31"/>
  <c r="AL490" i="31"/>
  <c r="AF490" i="31"/>
  <c r="AM506" i="31"/>
  <c r="AL506" i="31"/>
  <c r="AD506" i="31"/>
  <c r="AE506" i="31"/>
  <c r="AF506" i="31"/>
  <c r="AE499" i="31"/>
  <c r="AD499" i="31"/>
  <c r="AL499" i="31"/>
  <c r="AX498" i="31" s="1"/>
  <c r="AY498" i="31" s="1"/>
  <c r="AM499" i="31"/>
  <c r="AF499" i="31"/>
  <c r="AG565" i="32"/>
  <c r="AH565" i="32"/>
  <c r="AD513" i="31"/>
  <c r="AM513" i="31"/>
  <c r="AL513" i="31"/>
  <c r="AE513" i="31"/>
  <c r="AF513" i="31"/>
  <c r="AG139" i="32"/>
  <c r="AH139" i="32"/>
  <c r="AG110" i="32"/>
  <c r="AH110" i="32"/>
  <c r="AG207" i="32"/>
  <c r="AH207" i="32"/>
  <c r="AG191" i="32"/>
  <c r="AH191" i="32"/>
  <c r="AH300" i="32"/>
  <c r="AG300" i="32"/>
  <c r="AG45" i="32"/>
  <c r="AH45" i="32"/>
  <c r="AG25" i="32"/>
  <c r="AH25" i="32"/>
  <c r="AH161" i="32"/>
  <c r="AG161" i="32"/>
  <c r="AH606" i="32"/>
  <c r="AG606" i="32"/>
  <c r="AF415" i="31"/>
  <c r="AM415" i="31"/>
  <c r="AE415" i="31"/>
  <c r="AL415" i="31"/>
  <c r="AD415" i="31"/>
  <c r="AF533" i="31"/>
  <c r="AL533" i="31"/>
  <c r="AD533" i="31"/>
  <c r="AE533" i="31"/>
  <c r="AM533" i="31"/>
  <c r="AE540" i="31"/>
  <c r="AD540" i="31"/>
  <c r="AM540" i="31"/>
  <c r="AL540" i="31"/>
  <c r="AF540" i="31"/>
  <c r="AE565" i="31"/>
  <c r="AM565" i="31"/>
  <c r="AL565" i="31"/>
  <c r="AD565" i="31"/>
  <c r="AF565" i="31"/>
  <c r="AM583" i="31"/>
  <c r="AL583" i="31"/>
  <c r="AD583" i="31"/>
  <c r="AE583" i="31"/>
  <c r="AF583" i="31"/>
  <c r="AE569" i="31"/>
  <c r="AD569" i="31"/>
  <c r="AM569" i="31"/>
  <c r="AL569" i="31"/>
  <c r="AF569" i="31"/>
  <c r="AM566" i="31"/>
  <c r="AL566" i="31"/>
  <c r="AE566" i="31"/>
  <c r="AD566" i="31"/>
  <c r="AF566" i="31"/>
  <c r="AL462" i="31"/>
  <c r="AX461" i="31" s="1"/>
  <c r="AY461" i="31" s="1"/>
  <c r="AD462" i="31"/>
  <c r="AE462" i="31"/>
  <c r="AM462" i="31"/>
  <c r="AF462" i="31"/>
  <c r="AE99" i="31"/>
  <c r="AD99" i="31"/>
  <c r="AL99" i="31"/>
  <c r="AM99" i="31"/>
  <c r="AF99" i="31"/>
  <c r="AF376" i="31"/>
  <c r="AE376" i="31"/>
  <c r="AD376" i="31"/>
  <c r="AL376" i="31"/>
  <c r="AM376" i="31"/>
  <c r="AH286" i="32"/>
  <c r="AG286" i="32"/>
  <c r="AG459" i="32"/>
  <c r="AH459" i="32"/>
  <c r="AE158" i="31"/>
  <c r="AM158" i="31"/>
  <c r="AD158" i="31"/>
  <c r="AL158" i="31"/>
  <c r="AF158" i="31"/>
  <c r="AG478" i="32"/>
  <c r="AH478" i="32"/>
  <c r="AH584" i="32"/>
  <c r="AG584" i="32"/>
  <c r="AH183" i="32"/>
  <c r="AG183" i="32"/>
  <c r="AG132" i="32"/>
  <c r="AH132" i="32"/>
  <c r="AH112" i="32"/>
  <c r="AG112" i="32"/>
  <c r="AG203" i="32"/>
  <c r="AH203" i="32"/>
  <c r="AG463" i="32"/>
  <c r="AH463" i="32"/>
  <c r="AH465" i="32"/>
  <c r="AG465" i="32"/>
  <c r="AH445" i="32"/>
  <c r="AG445" i="32"/>
  <c r="AG149" i="32"/>
  <c r="AH149" i="32"/>
  <c r="AF305" i="31"/>
  <c r="AE305" i="31"/>
  <c r="AD305" i="31"/>
  <c r="AM305" i="31"/>
  <c r="AL305" i="31"/>
  <c r="AL408" i="31"/>
  <c r="AE408" i="31"/>
  <c r="AD408" i="31"/>
  <c r="AM408" i="31"/>
  <c r="AF408" i="31"/>
  <c r="AD463" i="31"/>
  <c r="AM463" i="31"/>
  <c r="AE463" i="31"/>
  <c r="AL463" i="31"/>
  <c r="AF463" i="31"/>
  <c r="AF475" i="31"/>
  <c r="AD475" i="31"/>
  <c r="AL475" i="31"/>
  <c r="AX474" i="31" s="1"/>
  <c r="AY474" i="31" s="1"/>
  <c r="AE475" i="31"/>
  <c r="AM475" i="31"/>
  <c r="AE497" i="31"/>
  <c r="AM497" i="31"/>
  <c r="AD497" i="31"/>
  <c r="AL497" i="31"/>
  <c r="AX496" i="31" s="1"/>
  <c r="AY496" i="31" s="1"/>
  <c r="AF497" i="31"/>
  <c r="AL487" i="31"/>
  <c r="AE487" i="31"/>
  <c r="AD487" i="31"/>
  <c r="AM487" i="31"/>
  <c r="AF487" i="31"/>
  <c r="AE337" i="31"/>
  <c r="AD337" i="31"/>
  <c r="AM337" i="31"/>
  <c r="AL337" i="31"/>
  <c r="AX336" i="31" s="1"/>
  <c r="AY336" i="31" s="1"/>
  <c r="AF337" i="31"/>
  <c r="AL137" i="31"/>
  <c r="AE137" i="31"/>
  <c r="AD137" i="31"/>
  <c r="AM137" i="31"/>
  <c r="AF137" i="31"/>
  <c r="AH608" i="32"/>
  <c r="AG608" i="32"/>
  <c r="AH577" i="32"/>
  <c r="AG577" i="32"/>
  <c r="AH96" i="32"/>
  <c r="AG96" i="32"/>
  <c r="AM465" i="31"/>
  <c r="AE465" i="31"/>
  <c r="AL465" i="31"/>
  <c r="AD465" i="31"/>
  <c r="AF465" i="31"/>
  <c r="AF501" i="31"/>
  <c r="AE501" i="31"/>
  <c r="AD501" i="31"/>
  <c r="AM501" i="31"/>
  <c r="AL501" i="31"/>
  <c r="AG480" i="32"/>
  <c r="AH480" i="32"/>
  <c r="AH327" i="32"/>
  <c r="AG327" i="32"/>
  <c r="AH326" i="32"/>
  <c r="AG326" i="32"/>
  <c r="AH302" i="32"/>
  <c r="AG302" i="32"/>
  <c r="AG466" i="32"/>
  <c r="AH466" i="32"/>
  <c r="AH299" i="32"/>
  <c r="AG299" i="32"/>
  <c r="AG152" i="32"/>
  <c r="AH152" i="32"/>
  <c r="AG85" i="32"/>
  <c r="AH85" i="32"/>
  <c r="AG307" i="32"/>
  <c r="AH307" i="32"/>
  <c r="AE454" i="31"/>
  <c r="AD454" i="31"/>
  <c r="AM454" i="31"/>
  <c r="AL454" i="31"/>
  <c r="AF454" i="31"/>
  <c r="AD550" i="31"/>
  <c r="AM550" i="31"/>
  <c r="AL550" i="31"/>
  <c r="AE550" i="31"/>
  <c r="AF550" i="31"/>
  <c r="AM593" i="31"/>
  <c r="AE593" i="31"/>
  <c r="AL593" i="31"/>
  <c r="AD593" i="31"/>
  <c r="AF593" i="31"/>
  <c r="AF604" i="31"/>
  <c r="AD604" i="31"/>
  <c r="AM604" i="31"/>
  <c r="AL604" i="31"/>
  <c r="AE604" i="31"/>
  <c r="AE45" i="31"/>
  <c r="AM45" i="31"/>
  <c r="AL45" i="31"/>
  <c r="AD45" i="31"/>
  <c r="AF45" i="31"/>
  <c r="AE62" i="31"/>
  <c r="AD62" i="31"/>
  <c r="AM62" i="31"/>
  <c r="AL62" i="31"/>
  <c r="AX61" i="31" s="1"/>
  <c r="AY61" i="31" s="1"/>
  <c r="AF62" i="31"/>
  <c r="AD291" i="31"/>
  <c r="AL291" i="31"/>
  <c r="AX290" i="31" s="1"/>
  <c r="AY290" i="31" s="1"/>
  <c r="AM291" i="31"/>
  <c r="AE291" i="31"/>
  <c r="AF291" i="31"/>
  <c r="AF589" i="31"/>
  <c r="AE589" i="31"/>
  <c r="AD589" i="31"/>
  <c r="AM589" i="31"/>
  <c r="AL589" i="31"/>
  <c r="AG362" i="32"/>
  <c r="AH362" i="32"/>
  <c r="AG519" i="32"/>
  <c r="AH519" i="32"/>
  <c r="AH609" i="32"/>
  <c r="AG609" i="32"/>
  <c r="AG49" i="32"/>
  <c r="AH49" i="32"/>
  <c r="AH292" i="32"/>
  <c r="AG292" i="32"/>
  <c r="AH72" i="32"/>
  <c r="AG72" i="32"/>
  <c r="AG221" i="32"/>
  <c r="AH221" i="32"/>
  <c r="AH269" i="32"/>
  <c r="AG269" i="32"/>
  <c r="AG146" i="32"/>
  <c r="AH146" i="32"/>
  <c r="AG392" i="32"/>
  <c r="AH392" i="32"/>
  <c r="AE331" i="31"/>
  <c r="AD331" i="31"/>
  <c r="AM331" i="31"/>
  <c r="AL331" i="31"/>
  <c r="AF331" i="31"/>
  <c r="AE333" i="31"/>
  <c r="AM333" i="31"/>
  <c r="AL333" i="31"/>
  <c r="AD333" i="31"/>
  <c r="AF333" i="31"/>
  <c r="AF364" i="31"/>
  <c r="AD364" i="31"/>
  <c r="AL364" i="31"/>
  <c r="AM364" i="31"/>
  <c r="AE364" i="31"/>
  <c r="AM393" i="31"/>
  <c r="AL393" i="31"/>
  <c r="AE393" i="31"/>
  <c r="AD393" i="31"/>
  <c r="AF393" i="31"/>
  <c r="AE398" i="31"/>
  <c r="AD398" i="31"/>
  <c r="AM398" i="31"/>
  <c r="AL398" i="31"/>
  <c r="AX397" i="31" s="1"/>
  <c r="AY397" i="31" s="1"/>
  <c r="AF398" i="31"/>
  <c r="AF380" i="31"/>
  <c r="AD380" i="31"/>
  <c r="AL380" i="31"/>
  <c r="AM380" i="31"/>
  <c r="AE380" i="31"/>
  <c r="AM98" i="31"/>
  <c r="AL98" i="31"/>
  <c r="AE98" i="31"/>
  <c r="AD98" i="31"/>
  <c r="AF98" i="31"/>
  <c r="AE49" i="31"/>
  <c r="AD49" i="31"/>
  <c r="AM49" i="31"/>
  <c r="AL49" i="31"/>
  <c r="AX48" i="31" s="1"/>
  <c r="AY48" i="31" s="1"/>
  <c r="AF49" i="31"/>
  <c r="AF451" i="31"/>
  <c r="AM451" i="31"/>
  <c r="AE451" i="31"/>
  <c r="AL451" i="31"/>
  <c r="AD451" i="31"/>
  <c r="AE359" i="31"/>
  <c r="AD359" i="31"/>
  <c r="AL359" i="31"/>
  <c r="AM359" i="31"/>
  <c r="AF359" i="31"/>
  <c r="AH40" i="32"/>
  <c r="AG40" i="32"/>
  <c r="AF326" i="31"/>
  <c r="AM326" i="31"/>
  <c r="AE326" i="31"/>
  <c r="AL326" i="31"/>
  <c r="AD326" i="31"/>
  <c r="AD477" i="31"/>
  <c r="AM477" i="31"/>
  <c r="AE477" i="31"/>
  <c r="AL477" i="31"/>
  <c r="AX476" i="31" s="1"/>
  <c r="AY476" i="31" s="1"/>
  <c r="AF477" i="31"/>
  <c r="AG607" i="32"/>
  <c r="AH607" i="32"/>
  <c r="AG147" i="32"/>
  <c r="AH147" i="32"/>
  <c r="AM377" i="31"/>
  <c r="AE377" i="31"/>
  <c r="AD377" i="31"/>
  <c r="AL377" i="31"/>
  <c r="AF377" i="31"/>
  <c r="AD70" i="31"/>
  <c r="AM70" i="31"/>
  <c r="AL70" i="31"/>
  <c r="AE70" i="31"/>
  <c r="AF70" i="31"/>
  <c r="AG544" i="32"/>
  <c r="AH544" i="32"/>
  <c r="AF274" i="31"/>
  <c r="AE274" i="31"/>
  <c r="AM274" i="31"/>
  <c r="AL274" i="31"/>
  <c r="AD274" i="31"/>
  <c r="AH470" i="32"/>
  <c r="AG470" i="32"/>
  <c r="AG432" i="32"/>
  <c r="AH432" i="32"/>
  <c r="AM417" i="31"/>
  <c r="AL417" i="31"/>
  <c r="AX416" i="31" s="1"/>
  <c r="AY416" i="31" s="1"/>
  <c r="AE417" i="31"/>
  <c r="AD417" i="31"/>
  <c r="AF417" i="31"/>
  <c r="AH166" i="32"/>
  <c r="AG166" i="32"/>
  <c r="AF370" i="31"/>
  <c r="AE370" i="31"/>
  <c r="AD370" i="31"/>
  <c r="AM370" i="31"/>
  <c r="AL370" i="31"/>
  <c r="AF257" i="31"/>
  <c r="AE257" i="31"/>
  <c r="AD257" i="31"/>
  <c r="AL257" i="31"/>
  <c r="AM257" i="31"/>
  <c r="AG211" i="32"/>
  <c r="AH211" i="32"/>
  <c r="AH453" i="32"/>
  <c r="AG453" i="32"/>
  <c r="AH534" i="32"/>
  <c r="AG534" i="32"/>
  <c r="AG561" i="32"/>
  <c r="AH561" i="32"/>
  <c r="AH121" i="32"/>
  <c r="AG121" i="32"/>
  <c r="AE162" i="31"/>
  <c r="AD162" i="31"/>
  <c r="AM162" i="31"/>
  <c r="AL162" i="31"/>
  <c r="AF162" i="31"/>
  <c r="AH272" i="32"/>
  <c r="AG272" i="32"/>
  <c r="AG420" i="32"/>
  <c r="AH420" i="32"/>
  <c r="AH511" i="32"/>
  <c r="AG511" i="32"/>
  <c r="AH582" i="32"/>
  <c r="AG582" i="32"/>
  <c r="AG536" i="32"/>
  <c r="AH536" i="32"/>
  <c r="AG527" i="32"/>
  <c r="AH527" i="32"/>
  <c r="AG155" i="32"/>
  <c r="AH155" i="32"/>
  <c r="AF20" i="31"/>
  <c r="AE20" i="31"/>
  <c r="AM20" i="31"/>
  <c r="AD20" i="31"/>
  <c r="AL20" i="31"/>
  <c r="AM96" i="31"/>
  <c r="AL96" i="31"/>
  <c r="AD96" i="31"/>
  <c r="AE96" i="31"/>
  <c r="AF96" i="31"/>
  <c r="AF161" i="31"/>
  <c r="AE161" i="31"/>
  <c r="AM161" i="31"/>
  <c r="AD161" i="31"/>
  <c r="AL161" i="31"/>
  <c r="AX160" i="31" s="1"/>
  <c r="AY160" i="31" s="1"/>
  <c r="AE174" i="31"/>
  <c r="AD174" i="31"/>
  <c r="AM174" i="31"/>
  <c r="AL174" i="31"/>
  <c r="AX173" i="31" s="1"/>
  <c r="AY173" i="31" s="1"/>
  <c r="AF174" i="31"/>
  <c r="AE210" i="31"/>
  <c r="AL210" i="31"/>
  <c r="AM210" i="31"/>
  <c r="AD210" i="31"/>
  <c r="AF210" i="31"/>
  <c r="AE223" i="31"/>
  <c r="AM223" i="31"/>
  <c r="AL223" i="31"/>
  <c r="AD223" i="31"/>
  <c r="AF223" i="31"/>
  <c r="AE259" i="31"/>
  <c r="AD259" i="31"/>
  <c r="AM259" i="31"/>
  <c r="AL259" i="31"/>
  <c r="AX258" i="31" s="1"/>
  <c r="AY258" i="31" s="1"/>
  <c r="AF259" i="31"/>
  <c r="AE340" i="31"/>
  <c r="AM340" i="31"/>
  <c r="AD340" i="31"/>
  <c r="AL340" i="31"/>
  <c r="AX339" i="31" s="1"/>
  <c r="AY339" i="31" s="1"/>
  <c r="AF340" i="31"/>
  <c r="AE262" i="31"/>
  <c r="AM262" i="31"/>
  <c r="AD262" i="31"/>
  <c r="AL262" i="31"/>
  <c r="AF262" i="31"/>
  <c r="AM81" i="31"/>
  <c r="AE81" i="31"/>
  <c r="AL81" i="31"/>
  <c r="AX80" i="31" s="1"/>
  <c r="AY80" i="31" s="1"/>
  <c r="AD81" i="31"/>
  <c r="AF81" i="31"/>
  <c r="AE405" i="31"/>
  <c r="AM405" i="31"/>
  <c r="AD405" i="31"/>
  <c r="AL405" i="31"/>
  <c r="AF405" i="31"/>
  <c r="AH184" i="32"/>
  <c r="AG184" i="32"/>
  <c r="AE378" i="31"/>
  <c r="AM378" i="31"/>
  <c r="AD378" i="31"/>
  <c r="AL378" i="31"/>
  <c r="AF378" i="31"/>
  <c r="AE182" i="31"/>
  <c r="AD182" i="31"/>
  <c r="AM182" i="31"/>
  <c r="AL182" i="31"/>
  <c r="AF182" i="31"/>
  <c r="AF491" i="31"/>
  <c r="AE491" i="31"/>
  <c r="AM491" i="31"/>
  <c r="AD491" i="31"/>
  <c r="AL491" i="31"/>
  <c r="AH442" i="32"/>
  <c r="AG442" i="32"/>
  <c r="AH411" i="32"/>
  <c r="AG411" i="32"/>
  <c r="AH596" i="32"/>
  <c r="AG596" i="32"/>
  <c r="AH594" i="32"/>
  <c r="AG594" i="32"/>
  <c r="AH572" i="32"/>
  <c r="AG572" i="32"/>
  <c r="AH81" i="32"/>
  <c r="AG81" i="32"/>
  <c r="AH22" i="32"/>
  <c r="AG22" i="32"/>
  <c r="AG13" i="32"/>
  <c r="AH13" i="32"/>
  <c r="AG73" i="32"/>
  <c r="AH73" i="32"/>
  <c r="AM16" i="31"/>
  <c r="AE16" i="31"/>
  <c r="AL16" i="31"/>
  <c r="AD16" i="31"/>
  <c r="AF16" i="31"/>
  <c r="AM219" i="31"/>
  <c r="AL219" i="31"/>
  <c r="AE219" i="31"/>
  <c r="AD219" i="31"/>
  <c r="AF219" i="31"/>
  <c r="AM239" i="31"/>
  <c r="AL239" i="31"/>
  <c r="AD239" i="31"/>
  <c r="AE239" i="31"/>
  <c r="AF239" i="31"/>
  <c r="AM253" i="31"/>
  <c r="AL253" i="31"/>
  <c r="AE253" i="31"/>
  <c r="AD253" i="31"/>
  <c r="AF253" i="31"/>
  <c r="AF271" i="31"/>
  <c r="AM271" i="31"/>
  <c r="AL271" i="31"/>
  <c r="AE271" i="31"/>
  <c r="AD271" i="31"/>
  <c r="AE281" i="31"/>
  <c r="AD281" i="31"/>
  <c r="AL281" i="31"/>
  <c r="AM281" i="31"/>
  <c r="AF281" i="31"/>
  <c r="AG200" i="32"/>
  <c r="AH200" i="32"/>
  <c r="AE128" i="31"/>
  <c r="AD128" i="31"/>
  <c r="AM128" i="31"/>
  <c r="AL128" i="31"/>
  <c r="AF128" i="31"/>
  <c r="AE57" i="31"/>
  <c r="AD57" i="31"/>
  <c r="AM57" i="31"/>
  <c r="AL57" i="31"/>
  <c r="AF57" i="31"/>
  <c r="AG355" i="32"/>
  <c r="AH355" i="32"/>
  <c r="AH482" i="32"/>
  <c r="AG482" i="32"/>
  <c r="AH476" i="32"/>
  <c r="AG476" i="32"/>
  <c r="AG447" i="32"/>
  <c r="AH447" i="32"/>
  <c r="AG114" i="32"/>
  <c r="AH114" i="32"/>
  <c r="AG100" i="32"/>
  <c r="AH100" i="32"/>
  <c r="AH83" i="32"/>
  <c r="AG83" i="32"/>
  <c r="AG167" i="32"/>
  <c r="AH167" i="32"/>
  <c r="AG75" i="32"/>
  <c r="AH75" i="32"/>
  <c r="AG471" i="32"/>
  <c r="AH471" i="32"/>
  <c r="AD229" i="31"/>
  <c r="AL229" i="31"/>
  <c r="AM229" i="31"/>
  <c r="AE229" i="31"/>
  <c r="AF229" i="31"/>
  <c r="AE330" i="31"/>
  <c r="AM330" i="31"/>
  <c r="AL330" i="31"/>
  <c r="AD330" i="31"/>
  <c r="AF330" i="31"/>
  <c r="AF334" i="31"/>
  <c r="AM334" i="31"/>
  <c r="AE334" i="31"/>
  <c r="AL334" i="31"/>
  <c r="AD334" i="31"/>
  <c r="AD351" i="31"/>
  <c r="AM351" i="31"/>
  <c r="AL351" i="31"/>
  <c r="AE351" i="31"/>
  <c r="AF351" i="31"/>
  <c r="AF392" i="31"/>
  <c r="AE392" i="31"/>
  <c r="AM392" i="31"/>
  <c r="AL392" i="31"/>
  <c r="AD392" i="31"/>
  <c r="AE546" i="31"/>
  <c r="AD546" i="31"/>
  <c r="AM546" i="31"/>
  <c r="AL546" i="31"/>
  <c r="AF546" i="31"/>
  <c r="AE248" i="31"/>
  <c r="AD248" i="31"/>
  <c r="AL248" i="31"/>
  <c r="AM248" i="31"/>
  <c r="AF248" i="31"/>
  <c r="AM575" i="31"/>
  <c r="AL575" i="31"/>
  <c r="AE575" i="31"/>
  <c r="AD575" i="31"/>
  <c r="AF575" i="31"/>
  <c r="AD386" i="31"/>
  <c r="AM386" i="31"/>
  <c r="AL386" i="31"/>
  <c r="AE386" i="31"/>
  <c r="AF386" i="31"/>
  <c r="AL543" i="31"/>
  <c r="AX542" i="31" s="1"/>
  <c r="AY542" i="31" s="1"/>
  <c r="AE543" i="31"/>
  <c r="AD543" i="31"/>
  <c r="AM543" i="31"/>
  <c r="AF543" i="31"/>
  <c r="AH568" i="32"/>
  <c r="AG568" i="32"/>
  <c r="AH69" i="32"/>
  <c r="AG69" i="32"/>
  <c r="AD278" i="31"/>
  <c r="AM278" i="31"/>
  <c r="AL278" i="31"/>
  <c r="AE278" i="31"/>
  <c r="AF278" i="31"/>
  <c r="AD135" i="31"/>
  <c r="AL135" i="31"/>
  <c r="AE135" i="31"/>
  <c r="AM135" i="31"/>
  <c r="AF135" i="31"/>
  <c r="AH332" i="32"/>
  <c r="AG332" i="32"/>
  <c r="AG428" i="32"/>
  <c r="AH428" i="32"/>
  <c r="AH515" i="32"/>
  <c r="AG515" i="32"/>
  <c r="AH513" i="32"/>
  <c r="AG513" i="32"/>
  <c r="AG612" i="32"/>
  <c r="AH612" i="32"/>
  <c r="AG84" i="32"/>
  <c r="AH84" i="32"/>
  <c r="AG16" i="32"/>
  <c r="AH16" i="32"/>
  <c r="AM613" i="31"/>
  <c r="AL613" i="31"/>
  <c r="AE613" i="31"/>
  <c r="AD613" i="31"/>
  <c r="AF613" i="31"/>
  <c r="AG578" i="32"/>
  <c r="AH578" i="32"/>
  <c r="AG306" i="32"/>
  <c r="AH306" i="32"/>
  <c r="AF153" i="31"/>
  <c r="AE153" i="31"/>
  <c r="AM153" i="31"/>
  <c r="AD153" i="31"/>
  <c r="AL153" i="31"/>
  <c r="AE190" i="31"/>
  <c r="AD190" i="31"/>
  <c r="AM190" i="31"/>
  <c r="AL190" i="31"/>
  <c r="AF190" i="31"/>
  <c r="AF250" i="31"/>
  <c r="AE250" i="31"/>
  <c r="AM250" i="31"/>
  <c r="AL250" i="31"/>
  <c r="AD250" i="31"/>
  <c r="AD245" i="31"/>
  <c r="AE245" i="31"/>
  <c r="AM245" i="31"/>
  <c r="AL245" i="31"/>
  <c r="AF245" i="31"/>
  <c r="AM263" i="31"/>
  <c r="AL263" i="31"/>
  <c r="AE263" i="31"/>
  <c r="AD263" i="31"/>
  <c r="AF263" i="31"/>
  <c r="AE296" i="31"/>
  <c r="AD296" i="31"/>
  <c r="AM296" i="31"/>
  <c r="AL296" i="31"/>
  <c r="AF296" i="31"/>
  <c r="AE433" i="31"/>
  <c r="AD433" i="31"/>
  <c r="AM433" i="31"/>
  <c r="AL433" i="31"/>
  <c r="AF433" i="31"/>
  <c r="AL419" i="31"/>
  <c r="AD419" i="31"/>
  <c r="AE419" i="31"/>
  <c r="AM419" i="31"/>
  <c r="AF419" i="31"/>
  <c r="AG494" i="32"/>
  <c r="AH494" i="32"/>
  <c r="AG208" i="32"/>
  <c r="AH208" i="32"/>
  <c r="AH279" i="32"/>
  <c r="AG279" i="32"/>
  <c r="AE312" i="31"/>
  <c r="AD312" i="31"/>
  <c r="AM312" i="31"/>
  <c r="AL312" i="31"/>
  <c r="AF312" i="31"/>
  <c r="AD551" i="31"/>
  <c r="AL551" i="31"/>
  <c r="AM551" i="31"/>
  <c r="AE551" i="31"/>
  <c r="AF551" i="31"/>
  <c r="AF179" i="31"/>
  <c r="AD179" i="31"/>
  <c r="AM179" i="31"/>
  <c r="AL179" i="31"/>
  <c r="AX178" i="31" s="1"/>
  <c r="AY178" i="31" s="1"/>
  <c r="AE179" i="31"/>
  <c r="AH523" i="32"/>
  <c r="AG523" i="32"/>
  <c r="AH559" i="32"/>
  <c r="AG559" i="32"/>
  <c r="AG21" i="32"/>
  <c r="AH21" i="32"/>
  <c r="AH108" i="32"/>
  <c r="AG108" i="32"/>
  <c r="AH105" i="32"/>
  <c r="AG105" i="32"/>
  <c r="AH142" i="32"/>
  <c r="AG142" i="32"/>
  <c r="AH228" i="32"/>
  <c r="AG228" i="32"/>
  <c r="AG342" i="32"/>
  <c r="AH342" i="32"/>
  <c r="AG239" i="32"/>
  <c r="AH239" i="32"/>
  <c r="AH42" i="32"/>
  <c r="AG42" i="32"/>
  <c r="AE285" i="31"/>
  <c r="AD285" i="31"/>
  <c r="AM285" i="31"/>
  <c r="AL285" i="31"/>
  <c r="AF285" i="31"/>
  <c r="AL287" i="31"/>
  <c r="AX286" i="31" s="1"/>
  <c r="AY286" i="31" s="1"/>
  <c r="AE287" i="31"/>
  <c r="AD287" i="31"/>
  <c r="AM287" i="31"/>
  <c r="AF287" i="31"/>
  <c r="AE411" i="31"/>
  <c r="AD411" i="31"/>
  <c r="AM411" i="31"/>
  <c r="AL411" i="31"/>
  <c r="AX410" i="31" s="1"/>
  <c r="AY410" i="31" s="1"/>
  <c r="AF411" i="31"/>
  <c r="AF396" i="31"/>
  <c r="AM396" i="31"/>
  <c r="AL396" i="31"/>
  <c r="AE396" i="31"/>
  <c r="AD396" i="31"/>
  <c r="AD420" i="31"/>
  <c r="AM420" i="31"/>
  <c r="AL420" i="31"/>
  <c r="AE420" i="31"/>
  <c r="AF420" i="31"/>
  <c r="AL390" i="31"/>
  <c r="AD390" i="31"/>
  <c r="AE390" i="31"/>
  <c r="AM390" i="31"/>
  <c r="AF390" i="31"/>
  <c r="AF192" i="31"/>
  <c r="AD192" i="31"/>
  <c r="AM192" i="31"/>
  <c r="AL192" i="31"/>
  <c r="AE192" i="31"/>
  <c r="AE133" i="31"/>
  <c r="AD133" i="31"/>
  <c r="AM133" i="31"/>
  <c r="AL133" i="31"/>
  <c r="AF133" i="31"/>
  <c r="AH291" i="32"/>
  <c r="AG291" i="32"/>
  <c r="AH270" i="32"/>
  <c r="AG270" i="32"/>
  <c r="AH404" i="32"/>
  <c r="AG404" i="32"/>
  <c r="AG401" i="32"/>
  <c r="AH401" i="32"/>
  <c r="AH339" i="32"/>
  <c r="AG339" i="32"/>
  <c r="AG403" i="32"/>
  <c r="AH403" i="32"/>
  <c r="AH567" i="32"/>
  <c r="AG567" i="32"/>
  <c r="AG396" i="32"/>
  <c r="AH396" i="32"/>
  <c r="AG611" i="32"/>
  <c r="AH611" i="32"/>
  <c r="AL576" i="31"/>
  <c r="AD576" i="31"/>
  <c r="AE576" i="31"/>
  <c r="AM576" i="31"/>
  <c r="AF576" i="31"/>
  <c r="AE60" i="31"/>
  <c r="AD60" i="31"/>
  <c r="AM60" i="31"/>
  <c r="AL60" i="31"/>
  <c r="AF60" i="31"/>
  <c r="AE126" i="31"/>
  <c r="AD126" i="31"/>
  <c r="AL126" i="31"/>
  <c r="AX125" i="31" s="1"/>
  <c r="AY125" i="31" s="1"/>
  <c r="AM126" i="31"/>
  <c r="AF126" i="31"/>
  <c r="AL131" i="31"/>
  <c r="AD131" i="31"/>
  <c r="AE131" i="31"/>
  <c r="AM131" i="31"/>
  <c r="AF131" i="31"/>
  <c r="AF201" i="31"/>
  <c r="AM201" i="31"/>
  <c r="AE201" i="31"/>
  <c r="AD201" i="31"/>
  <c r="AL201" i="31"/>
  <c r="AL187" i="31"/>
  <c r="AX186" i="31" s="1"/>
  <c r="AY186" i="31" s="1"/>
  <c r="AE187" i="31"/>
  <c r="AD187" i="31"/>
  <c r="AM187" i="31"/>
  <c r="AF187" i="31"/>
  <c r="AL130" i="31"/>
  <c r="AD130" i="31"/>
  <c r="AE130" i="31"/>
  <c r="AM130" i="31"/>
  <c r="AF130" i="31"/>
  <c r="AF151" i="31"/>
  <c r="AM151" i="31"/>
  <c r="AL151" i="31"/>
  <c r="AE151" i="31"/>
  <c r="AD151" i="31"/>
  <c r="AE154" i="31"/>
  <c r="AD154" i="31"/>
  <c r="AM154" i="31"/>
  <c r="AL154" i="31"/>
  <c r="AF154" i="31"/>
  <c r="AF352" i="31"/>
  <c r="AL352" i="31"/>
  <c r="AE352" i="31"/>
  <c r="AD352" i="31"/>
  <c r="AM352" i="31"/>
  <c r="AF306" i="31"/>
  <c r="AM306" i="31"/>
  <c r="AL306" i="31"/>
  <c r="AE306" i="31"/>
  <c r="AD306" i="31"/>
  <c r="AD171" i="31"/>
  <c r="AL171" i="31"/>
  <c r="AM171" i="31"/>
  <c r="AE171" i="31"/>
  <c r="AF171" i="31"/>
  <c r="AE36" i="31"/>
  <c r="AD36" i="31"/>
  <c r="AM36" i="31"/>
  <c r="AL36" i="31"/>
  <c r="AF36" i="31"/>
  <c r="AD341" i="31"/>
  <c r="AL341" i="31"/>
  <c r="AE341" i="31"/>
  <c r="AM341" i="31"/>
  <c r="AF341" i="31"/>
  <c r="AG597" i="32"/>
  <c r="AH597" i="32"/>
  <c r="AG168" i="32"/>
  <c r="AH168" i="32"/>
  <c r="AE360" i="31"/>
  <c r="AD360" i="31"/>
  <c r="AM360" i="31"/>
  <c r="AL360" i="31"/>
  <c r="AF360" i="31"/>
  <c r="AH424" i="32"/>
  <c r="AG424" i="32"/>
  <c r="AH164" i="32"/>
  <c r="AG164" i="32"/>
  <c r="AE289" i="31"/>
  <c r="AD289" i="31"/>
  <c r="AM289" i="31"/>
  <c r="AL289" i="31"/>
  <c r="AX288" i="31" s="1"/>
  <c r="AY288" i="31" s="1"/>
  <c r="AF289" i="31"/>
  <c r="AE269" i="31"/>
  <c r="AD269" i="31"/>
  <c r="AM269" i="31"/>
  <c r="AL269" i="31"/>
  <c r="AF269" i="31"/>
  <c r="AH92" i="32"/>
  <c r="AG92" i="32"/>
  <c r="AG289" i="32"/>
  <c r="AH289" i="32"/>
  <c r="AF434" i="31"/>
  <c r="AE434" i="31"/>
  <c r="AD434" i="31"/>
  <c r="AM434" i="31"/>
  <c r="AL434" i="31"/>
  <c r="AH573" i="32"/>
  <c r="AG573" i="32"/>
  <c r="AF418" i="31"/>
  <c r="AL418" i="31"/>
  <c r="AX417" i="31" s="1"/>
  <c r="AY417" i="31" s="1"/>
  <c r="AD418" i="31"/>
  <c r="AE418" i="31"/>
  <c r="AM418" i="31"/>
  <c r="AH195" i="32"/>
  <c r="AG195" i="32"/>
  <c r="AH437" i="32"/>
  <c r="AG437" i="32"/>
  <c r="AH451" i="32"/>
  <c r="AG451" i="32"/>
  <c r="AG508" i="32"/>
  <c r="AH508" i="32"/>
  <c r="AH493" i="32"/>
  <c r="AG493" i="32"/>
  <c r="AH598" i="32"/>
  <c r="AG598" i="32"/>
  <c r="AL89" i="31"/>
  <c r="AD89" i="31"/>
  <c r="AE89" i="31"/>
  <c r="AM89" i="31"/>
  <c r="AF89" i="31"/>
  <c r="AF183" i="31"/>
  <c r="AE183" i="31"/>
  <c r="AD183" i="31"/>
  <c r="AM183" i="31"/>
  <c r="AL183" i="31"/>
  <c r="AD213" i="31"/>
  <c r="AL213" i="31"/>
  <c r="AM213" i="31"/>
  <c r="AE213" i="31"/>
  <c r="AF213" i="31"/>
  <c r="AL267" i="31"/>
  <c r="AD267" i="31"/>
  <c r="AM267" i="31"/>
  <c r="AE267" i="31"/>
  <c r="AF267" i="31"/>
  <c r="AE261" i="31"/>
  <c r="AD261" i="31"/>
  <c r="AM261" i="31"/>
  <c r="AL261" i="31"/>
  <c r="AF261" i="31"/>
  <c r="AL311" i="31"/>
  <c r="AE311" i="31"/>
  <c r="AM311" i="31"/>
  <c r="AD311" i="31"/>
  <c r="AF311" i="31"/>
  <c r="AD534" i="31"/>
  <c r="AM534" i="31"/>
  <c r="AL534" i="31"/>
  <c r="AE534" i="31"/>
  <c r="AF534" i="31"/>
  <c r="AE265" i="31"/>
  <c r="AD265" i="31"/>
  <c r="AL265" i="31"/>
  <c r="AM265" i="31"/>
  <c r="AF265" i="31"/>
  <c r="AH625" i="31"/>
  <c r="AI625" i="31" s="1"/>
  <c r="AG625" i="31"/>
  <c r="F635" i="31" s="1"/>
  <c r="AG599" i="32"/>
  <c r="AH599" i="32"/>
  <c r="AL211" i="31"/>
  <c r="AM211" i="31"/>
  <c r="AE211" i="31"/>
  <c r="AD211" i="31"/>
  <c r="AF211" i="31"/>
  <c r="AE319" i="31"/>
  <c r="AD319" i="31"/>
  <c r="AM319" i="31"/>
  <c r="AL319" i="31"/>
  <c r="AX318" i="31" s="1"/>
  <c r="AY318" i="31" s="1"/>
  <c r="AF319" i="31"/>
  <c r="AH374" i="32"/>
  <c r="AG374" i="32"/>
  <c r="AH415" i="32"/>
  <c r="AG415" i="32"/>
  <c r="AH427" i="32"/>
  <c r="AG427" i="32"/>
  <c r="AG82" i="32"/>
  <c r="AH82" i="32"/>
  <c r="AG232" i="32"/>
  <c r="AH232" i="32"/>
  <c r="AG216" i="32"/>
  <c r="AH216" i="32"/>
  <c r="AG297" i="32"/>
  <c r="AH297" i="32"/>
  <c r="AG140" i="32"/>
  <c r="AH140" i="32"/>
  <c r="AG145" i="32"/>
  <c r="AH145" i="32"/>
  <c r="AG37" i="32"/>
  <c r="AH37" i="32"/>
  <c r="AH51" i="32"/>
  <c r="AG51" i="32"/>
  <c r="AM453" i="31"/>
  <c r="AL453" i="31"/>
  <c r="AE453" i="31"/>
  <c r="AD453" i="31"/>
  <c r="AF453" i="31"/>
  <c r="AF509" i="31"/>
  <c r="AE509" i="31"/>
  <c r="AD509" i="31"/>
  <c r="AM509" i="31"/>
  <c r="AL509" i="31"/>
  <c r="AX508" i="31" s="1"/>
  <c r="AY508" i="31" s="1"/>
  <c r="AE573" i="31"/>
  <c r="AD573" i="31"/>
  <c r="AL573" i="31"/>
  <c r="AX572" i="31" s="1"/>
  <c r="AY572" i="31" s="1"/>
  <c r="AM573" i="31"/>
  <c r="AF573" i="31"/>
  <c r="AL585" i="31"/>
  <c r="AX584" i="31" s="1"/>
  <c r="AY584" i="31" s="1"/>
  <c r="AM585" i="31"/>
  <c r="AE585" i="31"/>
  <c r="AD585" i="31"/>
  <c r="AF585" i="31"/>
  <c r="AF610" i="31"/>
  <c r="AM610" i="31"/>
  <c r="AL610" i="31"/>
  <c r="AD610" i="31"/>
  <c r="AE610" i="31"/>
  <c r="AL602" i="31"/>
  <c r="AD602" i="31"/>
  <c r="AE602" i="31"/>
  <c r="AM602" i="31"/>
  <c r="AF602" i="31"/>
  <c r="AD136" i="31"/>
  <c r="AL136" i="31"/>
  <c r="AE136" i="31"/>
  <c r="AM136" i="31"/>
  <c r="AF136" i="31"/>
  <c r="AL527" i="31"/>
  <c r="AM527" i="31"/>
  <c r="AE527" i="31"/>
  <c r="AD527" i="31"/>
  <c r="AF527" i="31"/>
  <c r="AE107" i="31"/>
  <c r="AD107" i="31"/>
  <c r="AM107" i="31"/>
  <c r="AL107" i="31"/>
  <c r="AF107" i="31"/>
  <c r="AL119" i="31"/>
  <c r="AE119" i="31"/>
  <c r="AD119" i="31"/>
  <c r="AM119" i="31"/>
  <c r="AF119" i="31"/>
  <c r="AH591" i="32"/>
  <c r="AG591" i="32"/>
  <c r="AE216" i="31"/>
  <c r="AD216" i="31"/>
  <c r="AL216" i="31"/>
  <c r="AX215" i="31" s="1"/>
  <c r="AY215" i="31" s="1"/>
  <c r="AM216" i="31"/>
  <c r="AF216" i="31"/>
  <c r="AF282" i="31"/>
  <c r="AE282" i="31"/>
  <c r="AD282" i="31"/>
  <c r="AM282" i="31"/>
  <c r="AL282" i="31"/>
  <c r="AF483" i="31"/>
  <c r="AE483" i="31"/>
  <c r="AD483" i="31"/>
  <c r="AL483" i="31"/>
  <c r="AM483" i="31"/>
  <c r="AH163" i="32"/>
  <c r="AG163" i="32"/>
  <c r="AH222" i="32"/>
  <c r="AG222" i="32"/>
  <c r="AH357" i="32"/>
  <c r="AG357" i="32"/>
  <c r="AG340" i="32"/>
  <c r="AH340" i="32"/>
  <c r="AH237" i="32"/>
  <c r="AG237" i="32"/>
  <c r="AG14" i="32"/>
  <c r="AH14" i="32"/>
  <c r="AG52" i="32"/>
  <c r="AH52" i="32"/>
  <c r="AG23" i="32"/>
  <c r="AH23" i="32"/>
  <c r="AH106" i="32"/>
  <c r="AG106" i="32"/>
  <c r="AE435" i="31"/>
  <c r="AM435" i="31"/>
  <c r="AD435" i="31"/>
  <c r="AL435" i="31"/>
  <c r="AX434" i="31" s="1"/>
  <c r="AY434" i="31" s="1"/>
  <c r="AF435" i="31"/>
  <c r="AF507" i="31"/>
  <c r="AL507" i="31"/>
  <c r="AM507" i="31"/>
  <c r="AD507" i="31"/>
  <c r="AE507" i="31"/>
  <c r="AD558" i="31"/>
  <c r="AM558" i="31"/>
  <c r="AL558" i="31"/>
  <c r="AX557" i="31" s="1"/>
  <c r="AY557" i="31" s="1"/>
  <c r="AE558" i="31"/>
  <c r="AF558" i="31"/>
  <c r="AF570" i="31"/>
  <c r="AE570" i="31"/>
  <c r="AD570" i="31"/>
  <c r="AL570" i="31"/>
  <c r="AM570" i="31"/>
  <c r="AM595" i="31"/>
  <c r="AE595" i="31"/>
  <c r="AD595" i="31"/>
  <c r="AL595" i="31"/>
  <c r="AF595" i="31"/>
  <c r="AM592" i="31"/>
  <c r="AL592" i="31"/>
  <c r="AE592" i="31"/>
  <c r="AD592" i="31"/>
  <c r="AF592" i="31"/>
  <c r="AM14" i="31"/>
  <c r="AL14" i="31"/>
  <c r="AX13" i="31" s="1"/>
  <c r="AE14" i="31"/>
  <c r="AD14" i="31"/>
  <c r="AF14" i="31"/>
  <c r="AL512" i="31"/>
  <c r="AX511" i="31" s="1"/>
  <c r="AY511" i="31" s="1"/>
  <c r="AD512" i="31"/>
  <c r="AM512" i="31"/>
  <c r="AE512" i="31"/>
  <c r="AF512" i="31"/>
  <c r="AM207" i="31"/>
  <c r="AL207" i="31"/>
  <c r="AE207" i="31"/>
  <c r="AD207" i="31"/>
  <c r="AF207" i="31"/>
  <c r="AL628" i="31"/>
  <c r="AD628" i="31"/>
  <c r="AE628" i="31"/>
  <c r="AM628" i="31"/>
  <c r="AF628" i="31"/>
  <c r="AE100" i="31"/>
  <c r="AD100" i="31"/>
  <c r="AM100" i="31"/>
  <c r="AL100" i="31"/>
  <c r="AF100" i="31"/>
  <c r="AE404" i="31"/>
  <c r="AL404" i="31"/>
  <c r="AX403" i="31" s="1"/>
  <c r="AY403" i="31" s="1"/>
  <c r="AM404" i="31"/>
  <c r="AD404" i="31"/>
  <c r="AF404" i="31"/>
  <c r="AG215" i="32"/>
  <c r="AH215" i="32"/>
  <c r="AH201" i="32"/>
  <c r="AG201" i="32"/>
  <c r="AL344" i="31"/>
  <c r="AD344" i="31"/>
  <c r="AE344" i="31"/>
  <c r="AM344" i="31"/>
  <c r="AF344" i="31"/>
  <c r="AH86" i="32"/>
  <c r="AG86" i="32"/>
  <c r="AH236" i="32"/>
  <c r="AG236" i="32"/>
  <c r="AG304" i="32"/>
  <c r="AH304" i="32"/>
  <c r="AH277" i="32"/>
  <c r="AG277" i="32"/>
  <c r="AH417" i="32"/>
  <c r="AG417" i="32"/>
  <c r="AG174" i="32"/>
  <c r="AH174" i="32"/>
  <c r="AH290" i="32"/>
  <c r="AG290" i="32"/>
  <c r="AH190" i="32"/>
  <c r="AG190" i="32"/>
  <c r="AG53" i="32"/>
  <c r="AH53" i="32"/>
  <c r="AF488" i="31"/>
  <c r="AM488" i="31"/>
  <c r="AL488" i="31"/>
  <c r="AD488" i="31"/>
  <c r="AE488" i="31"/>
  <c r="AE590" i="31"/>
  <c r="AM590" i="31"/>
  <c r="AD590" i="31"/>
  <c r="AL590" i="31"/>
  <c r="AF590" i="31"/>
  <c r="AF19" i="31"/>
  <c r="AE19" i="31"/>
  <c r="AM19" i="31"/>
  <c r="AL19" i="31"/>
  <c r="AD19" i="31"/>
  <c r="AL50" i="31"/>
  <c r="AD50" i="31"/>
  <c r="AE50" i="31"/>
  <c r="AM50" i="31"/>
  <c r="AF50" i="31"/>
  <c r="AM40" i="31"/>
  <c r="AL40" i="31"/>
  <c r="AE40" i="31"/>
  <c r="AD40" i="31"/>
  <c r="AF40" i="31"/>
  <c r="AE42" i="31"/>
  <c r="AM42" i="31"/>
  <c r="AD42" i="31"/>
  <c r="AL42" i="31"/>
  <c r="AF42" i="31"/>
  <c r="AG101" i="32"/>
  <c r="AH101" i="32"/>
  <c r="AF414" i="31"/>
  <c r="AE414" i="31"/>
  <c r="AM414" i="31"/>
  <c r="AD414" i="31"/>
  <c r="AL414" i="31"/>
  <c r="AH205" i="32"/>
  <c r="AG205" i="32"/>
  <c r="AG243" i="32"/>
  <c r="AH243" i="32"/>
  <c r="AH426" i="32"/>
  <c r="AG426" i="32"/>
  <c r="AH414" i="32"/>
  <c r="AG414" i="32"/>
  <c r="AG479" i="32"/>
  <c r="AH479" i="32"/>
  <c r="AH449" i="32"/>
  <c r="AG449" i="32"/>
  <c r="AH181" i="32"/>
  <c r="AG181" i="32"/>
  <c r="AH295" i="32"/>
  <c r="AG295" i="32"/>
  <c r="AH469" i="32"/>
  <c r="AG469" i="32"/>
  <c r="AM555" i="31"/>
  <c r="AE555" i="31"/>
  <c r="AD555" i="31"/>
  <c r="AL555" i="31"/>
  <c r="AF555" i="31"/>
  <c r="AE38" i="31"/>
  <c r="AM38" i="31"/>
  <c r="AL38" i="31"/>
  <c r="AD38" i="31"/>
  <c r="AF38" i="31"/>
  <c r="AD55" i="31"/>
  <c r="AM55" i="31"/>
  <c r="AL55" i="31"/>
  <c r="AX54" i="31" s="1"/>
  <c r="AY54" i="31" s="1"/>
  <c r="AE55" i="31"/>
  <c r="AF55" i="31"/>
  <c r="AD111" i="31"/>
  <c r="AL111" i="31"/>
  <c r="AM111" i="31"/>
  <c r="AE111" i="31"/>
  <c r="AF111" i="31"/>
  <c r="AL105" i="31"/>
  <c r="AE105" i="31"/>
  <c r="AD105" i="31"/>
  <c r="AM105" i="31"/>
  <c r="AF105" i="31"/>
  <c r="AE115" i="31"/>
  <c r="AD115" i="31"/>
  <c r="AL115" i="31"/>
  <c r="AM115" i="31"/>
  <c r="AF115" i="31"/>
  <c r="AD41" i="31"/>
  <c r="AM41" i="31"/>
  <c r="AL41" i="31"/>
  <c r="AE41" i="31"/>
  <c r="AF41" i="31"/>
  <c r="AD82" i="31"/>
  <c r="AM82" i="31"/>
  <c r="AL82" i="31"/>
  <c r="AX81" i="31" s="1"/>
  <c r="AY81" i="31" s="1"/>
  <c r="AE82" i="31"/>
  <c r="AF82" i="31"/>
  <c r="AE109" i="31"/>
  <c r="AM109" i="31"/>
  <c r="AD109" i="31"/>
  <c r="AL109" i="31"/>
  <c r="AX108" i="31" s="1"/>
  <c r="AY108" i="31" s="1"/>
  <c r="AF109" i="31"/>
  <c r="AM144" i="31"/>
  <c r="AL144" i="31"/>
  <c r="AE144" i="31"/>
  <c r="AD144" i="31"/>
  <c r="AF144" i="31"/>
  <c r="AE629" i="31"/>
  <c r="AD629" i="31"/>
  <c r="AH518" i="32"/>
  <c r="AG518" i="32"/>
  <c r="AG66" i="32"/>
  <c r="AH66" i="32"/>
  <c r="AD28" i="31"/>
  <c r="AM28" i="31"/>
  <c r="AL28" i="31"/>
  <c r="AE28" i="31"/>
  <c r="AF28" i="31"/>
  <c r="AM342" i="31"/>
  <c r="AL342" i="31"/>
  <c r="AE342" i="31"/>
  <c r="AD342" i="31"/>
  <c r="AF342" i="31"/>
  <c r="AG144" i="32"/>
  <c r="AH144" i="32"/>
  <c r="AG256" i="32"/>
  <c r="AH256" i="32"/>
  <c r="AH245" i="32"/>
  <c r="AG245" i="32"/>
  <c r="AG240" i="32"/>
  <c r="AH240" i="32"/>
  <c r="AG473" i="32"/>
  <c r="AH473" i="32"/>
  <c r="AH116" i="32"/>
  <c r="AG116" i="32"/>
  <c r="AG226" i="32"/>
  <c r="AH226" i="32"/>
  <c r="AG95" i="32"/>
  <c r="AH95" i="32"/>
  <c r="AG425" i="32"/>
  <c r="AH425" i="32"/>
  <c r="AM458" i="31"/>
  <c r="AL458" i="31"/>
  <c r="AX457" i="31" s="1"/>
  <c r="AY457" i="31" s="1"/>
  <c r="AE458" i="31"/>
  <c r="AD458" i="31"/>
  <c r="AF458" i="31"/>
  <c r="AF559" i="31"/>
  <c r="AM559" i="31"/>
  <c r="AE559" i="31"/>
  <c r="AD559" i="31"/>
  <c r="AL559" i="31"/>
  <c r="AM612" i="31"/>
  <c r="AD612" i="31"/>
  <c r="AL612" i="31"/>
  <c r="AE612" i="31"/>
  <c r="AF612" i="31"/>
  <c r="AE75" i="31"/>
  <c r="AM75" i="31"/>
  <c r="AD75" i="31"/>
  <c r="AL75" i="31"/>
  <c r="AF75" i="31"/>
  <c r="AL33" i="31"/>
  <c r="AE33" i="31"/>
  <c r="AD33" i="31"/>
  <c r="AM33" i="31"/>
  <c r="AF33" i="31"/>
  <c r="AE35" i="31"/>
  <c r="AM35" i="31"/>
  <c r="AD35" i="31"/>
  <c r="AL35" i="31"/>
  <c r="AF35" i="31"/>
  <c r="AE355" i="31"/>
  <c r="AM355" i="31"/>
  <c r="AL355" i="31"/>
  <c r="AD355" i="31"/>
  <c r="AF355" i="31"/>
  <c r="AM209" i="31"/>
  <c r="AL209" i="31"/>
  <c r="AX208" i="31" s="1"/>
  <c r="AY208" i="31" s="1"/>
  <c r="AE209" i="31"/>
  <c r="AD209" i="31"/>
  <c r="AF209" i="31"/>
  <c r="AM56" i="31"/>
  <c r="AL56" i="31"/>
  <c r="AE56" i="31"/>
  <c r="AD56" i="31"/>
  <c r="AF56" i="31"/>
  <c r="AG365" i="32"/>
  <c r="AH365" i="32"/>
  <c r="AG204" i="32"/>
  <c r="AH204" i="32"/>
  <c r="AH193" i="32"/>
  <c r="AG193" i="32"/>
  <c r="AL611" i="31"/>
  <c r="AE611" i="31"/>
  <c r="AM611" i="31"/>
  <c r="AD611" i="31"/>
  <c r="AF611" i="31"/>
  <c r="AE425" i="31"/>
  <c r="AD425" i="31"/>
  <c r="AM425" i="31"/>
  <c r="AL425" i="31"/>
  <c r="AF425" i="31"/>
  <c r="AH377" i="32"/>
  <c r="AG377" i="32"/>
  <c r="AH188" i="32"/>
  <c r="AG188" i="32"/>
  <c r="AG316" i="32"/>
  <c r="AH316" i="32"/>
  <c r="AG501" i="32"/>
  <c r="AH501" i="32"/>
  <c r="AH408" i="32"/>
  <c r="AG408" i="32"/>
  <c r="AH337" i="32"/>
  <c r="AG337" i="32"/>
  <c r="AH360" i="32"/>
  <c r="AG360" i="32"/>
  <c r="AH423" i="32"/>
  <c r="AG423" i="32"/>
  <c r="AG227" i="32"/>
  <c r="AH227" i="32"/>
  <c r="AE601" i="31"/>
  <c r="AD601" i="31"/>
  <c r="AL601" i="31"/>
  <c r="AM601" i="31"/>
  <c r="AF601" i="31"/>
  <c r="AH87" i="32"/>
  <c r="AG87" i="32"/>
  <c r="AD127" i="31"/>
  <c r="AM127" i="31"/>
  <c r="AL127" i="31"/>
  <c r="AX126" i="31" s="1"/>
  <c r="AY126" i="31" s="1"/>
  <c r="AE127" i="31"/>
  <c r="AF127" i="31"/>
  <c r="AE235" i="31"/>
  <c r="AD235" i="31"/>
  <c r="AL235" i="31"/>
  <c r="AM235" i="31"/>
  <c r="AF235" i="31"/>
  <c r="AE202" i="31"/>
  <c r="AM202" i="31"/>
  <c r="AD202" i="31"/>
  <c r="AL202" i="31"/>
  <c r="AF202" i="31"/>
  <c r="AL149" i="31"/>
  <c r="AD149" i="31"/>
  <c r="AE149" i="31"/>
  <c r="AM149" i="31"/>
  <c r="AF149" i="31"/>
  <c r="AF145" i="31"/>
  <c r="AL145" i="31"/>
  <c r="AD145" i="31"/>
  <c r="AM145" i="31"/>
  <c r="AE145" i="31"/>
  <c r="AD220" i="31"/>
  <c r="AL220" i="31"/>
  <c r="AM220" i="31"/>
  <c r="AE220" i="31"/>
  <c r="AF220" i="31"/>
  <c r="AG521" i="32"/>
  <c r="AH521" i="32"/>
  <c r="AH127" i="32"/>
  <c r="AG127" i="32"/>
  <c r="AG151" i="32"/>
  <c r="AH151" i="32"/>
  <c r="AG217" i="32"/>
  <c r="AH217" i="32"/>
  <c r="AH210" i="32"/>
  <c r="AG210" i="32"/>
  <c r="AG238" i="32"/>
  <c r="AH238" i="32"/>
  <c r="AH506" i="32"/>
  <c r="AG506" i="32"/>
  <c r="AH538" i="32"/>
  <c r="AG538" i="32"/>
  <c r="AH450" i="32"/>
  <c r="AG450" i="32"/>
  <c r="AH97" i="32"/>
  <c r="AG97" i="32"/>
  <c r="AD395" i="31"/>
  <c r="AL395" i="31"/>
  <c r="AM395" i="31"/>
  <c r="AE395" i="31"/>
  <c r="AF395" i="31"/>
  <c r="AE518" i="31"/>
  <c r="AD518" i="31"/>
  <c r="AM518" i="31"/>
  <c r="AL518" i="31"/>
  <c r="AX517" i="31" s="1"/>
  <c r="AY517" i="31" s="1"/>
  <c r="AF518" i="31"/>
  <c r="AE504" i="31"/>
  <c r="AM504" i="31"/>
  <c r="AL504" i="31"/>
  <c r="AD504" i="31"/>
  <c r="AF504" i="31"/>
  <c r="AM524" i="31"/>
  <c r="AL524" i="31"/>
  <c r="AX523" i="31" s="1"/>
  <c r="AY523" i="31" s="1"/>
  <c r="AE524" i="31"/>
  <c r="AD524" i="31"/>
  <c r="AF524" i="31"/>
  <c r="AD539" i="31"/>
  <c r="AM539" i="31"/>
  <c r="AL539" i="31"/>
  <c r="AX538" i="31" s="1"/>
  <c r="AY538" i="31" s="1"/>
  <c r="AE539" i="31"/>
  <c r="AF539" i="31"/>
  <c r="AL535" i="31"/>
  <c r="AD535" i="31"/>
  <c r="AM535" i="31"/>
  <c r="AE535" i="31"/>
  <c r="AF535" i="31"/>
  <c r="AF464" i="31"/>
  <c r="AL464" i="31"/>
  <c r="AE464" i="31"/>
  <c r="AD464" i="31"/>
  <c r="AM464" i="31"/>
  <c r="AF357" i="31"/>
  <c r="AM357" i="31"/>
  <c r="AL357" i="31"/>
  <c r="AE357" i="31"/>
  <c r="AD357" i="31"/>
  <c r="AE549" i="31"/>
  <c r="AM549" i="31"/>
  <c r="AD549" i="31"/>
  <c r="AL549" i="31"/>
  <c r="AF549" i="31"/>
  <c r="AE307" i="31"/>
  <c r="AD307" i="31"/>
  <c r="AM307" i="31"/>
  <c r="AL307" i="31"/>
  <c r="AX306" i="31" s="1"/>
  <c r="AY306" i="31" s="1"/>
  <c r="AF307" i="31"/>
  <c r="AL197" i="31"/>
  <c r="AX196" i="31" s="1"/>
  <c r="AY196" i="31" s="1"/>
  <c r="AE197" i="31"/>
  <c r="AD197" i="31"/>
  <c r="AM197" i="31"/>
  <c r="AF197" i="31"/>
  <c r="AG400" i="32"/>
  <c r="AH400" i="32"/>
  <c r="AD181" i="31"/>
  <c r="AM181" i="31"/>
  <c r="AL181" i="31"/>
  <c r="AE181" i="31"/>
  <c r="AF181" i="31"/>
  <c r="AL150" i="31"/>
  <c r="AD150" i="31"/>
  <c r="AM150" i="31"/>
  <c r="AE150" i="31"/>
  <c r="AF150" i="31"/>
  <c r="AS132" i="20"/>
  <c r="AS145" i="20"/>
  <c r="AS140" i="20"/>
  <c r="AS135" i="20"/>
  <c r="AS104" i="20"/>
  <c r="AS200" i="20"/>
  <c r="AS106" i="20"/>
  <c r="AS198" i="20"/>
  <c r="AS149" i="20"/>
  <c r="AS148" i="20"/>
  <c r="AS147" i="20"/>
  <c r="AS89" i="20"/>
  <c r="AS207" i="20"/>
  <c r="AS111" i="20"/>
  <c r="AS191" i="20"/>
  <c r="AS79" i="20"/>
  <c r="AS78" i="20"/>
  <c r="AS80" i="20"/>
  <c r="Q16" i="8"/>
  <c r="R16" i="8" s="1"/>
  <c r="E220" i="2" s="1"/>
  <c r="AX599" i="31" l="1"/>
  <c r="AY599" i="31" s="1"/>
  <c r="AX600" i="31"/>
  <c r="AY600" i="31" s="1"/>
  <c r="AX582" i="31"/>
  <c r="AY582" i="31" s="1"/>
  <c r="AX142" i="31"/>
  <c r="AY142" i="31" s="1"/>
  <c r="AX155" i="31"/>
  <c r="AY155" i="31" s="1"/>
  <c r="AX204" i="31"/>
  <c r="AY204" i="31" s="1"/>
  <c r="AX356" i="31"/>
  <c r="AY356" i="31" s="1"/>
  <c r="AX148" i="31"/>
  <c r="AY148" i="31" s="1"/>
  <c r="AX234" i="31"/>
  <c r="AY234" i="31" s="1"/>
  <c r="AX295" i="31"/>
  <c r="AY295" i="31" s="1"/>
  <c r="AX152" i="31"/>
  <c r="AY152" i="31" s="1"/>
  <c r="AX423" i="31"/>
  <c r="AY423" i="31" s="1"/>
  <c r="AX503" i="31"/>
  <c r="AY503" i="31" s="1"/>
  <c r="AX32" i="31"/>
  <c r="AY32" i="31" s="1"/>
  <c r="AX506" i="31"/>
  <c r="AY506" i="31" s="1"/>
  <c r="AX385" i="31"/>
  <c r="AY385" i="31" s="1"/>
  <c r="AX325" i="31"/>
  <c r="AY325" i="31" s="1"/>
  <c r="AX67" i="31"/>
  <c r="AY67" i="31" s="1"/>
  <c r="AX272" i="31"/>
  <c r="AY272" i="31" s="1"/>
  <c r="AX78" i="31"/>
  <c r="AY78" i="31" s="1"/>
  <c r="AX394" i="31"/>
  <c r="AY394" i="31" s="1"/>
  <c r="AX490" i="31"/>
  <c r="AY490" i="31" s="1"/>
  <c r="AX157" i="31"/>
  <c r="AY157" i="31" s="1"/>
  <c r="AX254" i="31"/>
  <c r="AY254" i="31" s="1"/>
  <c r="AX347" i="31"/>
  <c r="AY347" i="31" s="1"/>
  <c r="AX21" i="31"/>
  <c r="AY21" i="31" s="1"/>
  <c r="AX481" i="31"/>
  <c r="AY481" i="31" s="1"/>
  <c r="AX372" i="31"/>
  <c r="AY372" i="31" s="1"/>
  <c r="AX321" i="31"/>
  <c r="AY321" i="31" s="1"/>
  <c r="AX283" i="31"/>
  <c r="AY283" i="31" s="1"/>
  <c r="AX217" i="31"/>
  <c r="AY217" i="31" s="1"/>
  <c r="AX63" i="31"/>
  <c r="AY63" i="31" s="1"/>
  <c r="AX375" i="31"/>
  <c r="AY375" i="31" s="1"/>
  <c r="AX212" i="31"/>
  <c r="AY212" i="31" s="1"/>
  <c r="AX268" i="31"/>
  <c r="AY268" i="31" s="1"/>
  <c r="AX238" i="31"/>
  <c r="AY238" i="31" s="1"/>
  <c r="AX369" i="31"/>
  <c r="AY369" i="31" s="1"/>
  <c r="AX327" i="31"/>
  <c r="AY327" i="31" s="1"/>
  <c r="AX168" i="31"/>
  <c r="AY168" i="31" s="1"/>
  <c r="AX132" i="31"/>
  <c r="AY132" i="31" s="1"/>
  <c r="AX379" i="31"/>
  <c r="AY379" i="31" s="1"/>
  <c r="AX118" i="31"/>
  <c r="AY118" i="31" s="1"/>
  <c r="AX310" i="31"/>
  <c r="AY310" i="31" s="1"/>
  <c r="AX249" i="31"/>
  <c r="AY249" i="31" s="1"/>
  <c r="AX134" i="31"/>
  <c r="AY134" i="31" s="1"/>
  <c r="AX574" i="31"/>
  <c r="AY574" i="31" s="1"/>
  <c r="AX69" i="31"/>
  <c r="AY69" i="31" s="1"/>
  <c r="AX598" i="31"/>
  <c r="AY598" i="31" s="1"/>
  <c r="AX244" i="31"/>
  <c r="AY244" i="31" s="1"/>
  <c r="AX264" i="31"/>
  <c r="AY264" i="31" s="1"/>
  <c r="AX548" i="31"/>
  <c r="AY548" i="31" s="1"/>
  <c r="AX354" i="31"/>
  <c r="AY354" i="31" s="1"/>
  <c r="AX273" i="31"/>
  <c r="AY273" i="31" s="1"/>
  <c r="AX329" i="31"/>
  <c r="AY329" i="31" s="1"/>
  <c r="AX120" i="31"/>
  <c r="AY120" i="31" s="1"/>
  <c r="AX122" i="31"/>
  <c r="AY122" i="31" s="1"/>
  <c r="AX182" i="31"/>
  <c r="AY182" i="31" s="1"/>
  <c r="AX500" i="31"/>
  <c r="AY500" i="31" s="1"/>
  <c r="AX343" i="31"/>
  <c r="AY343" i="31" s="1"/>
  <c r="AX413" i="31"/>
  <c r="AY413" i="31" s="1"/>
  <c r="AX487" i="31"/>
  <c r="AY487" i="31" s="1"/>
  <c r="AX280" i="31"/>
  <c r="AY280" i="31" s="1"/>
  <c r="AX199" i="31"/>
  <c r="AY199" i="31" s="1"/>
  <c r="AX93" i="31"/>
  <c r="AY93" i="31" s="1"/>
  <c r="AX495" i="31"/>
  <c r="AY495" i="31" s="1"/>
  <c r="AX340" i="31"/>
  <c r="AY340" i="31" s="1"/>
  <c r="AX589" i="31"/>
  <c r="AY589" i="31" s="1"/>
  <c r="AX550" i="31"/>
  <c r="AY550" i="31" s="1"/>
  <c r="AX358" i="31"/>
  <c r="AY358" i="31" s="1"/>
  <c r="AX46" i="31"/>
  <c r="AY46" i="31" s="1"/>
  <c r="AX389" i="31"/>
  <c r="AY389" i="31" s="1"/>
  <c r="AX350" i="31"/>
  <c r="AY350" i="31" s="1"/>
  <c r="AX479" i="31"/>
  <c r="AY479" i="31" s="1"/>
  <c r="AX123" i="31"/>
  <c r="AY123" i="31" s="1"/>
  <c r="AX384" i="31"/>
  <c r="AY384" i="31" s="1"/>
  <c r="AX437" i="31"/>
  <c r="AY437" i="31" s="1"/>
  <c r="AX309" i="31"/>
  <c r="AY309" i="31" s="1"/>
  <c r="AX359" i="31"/>
  <c r="AY359" i="31" s="1"/>
  <c r="AX463" i="31"/>
  <c r="AY463" i="31" s="1"/>
  <c r="AX180" i="31"/>
  <c r="AY180" i="31" s="1"/>
  <c r="AX568" i="31"/>
  <c r="AY568" i="31" s="1"/>
  <c r="AX201" i="31"/>
  <c r="AY201" i="31" s="1"/>
  <c r="AX242" i="31"/>
  <c r="AY242" i="31" s="1"/>
  <c r="AX110" i="31"/>
  <c r="AY110" i="31" s="1"/>
  <c r="AX526" i="31"/>
  <c r="AY526" i="31" s="1"/>
  <c r="AX74" i="31"/>
  <c r="AY74" i="31" s="1"/>
  <c r="AX39" i="31"/>
  <c r="AY39" i="31" s="1"/>
  <c r="AX533" i="31"/>
  <c r="AY533" i="31" s="1"/>
  <c r="AX279" i="31"/>
  <c r="AY279" i="31" s="1"/>
  <c r="AX419" i="31"/>
  <c r="AY419" i="31" s="1"/>
  <c r="AX206" i="31"/>
  <c r="AY206" i="31" s="1"/>
  <c r="AX236" i="31"/>
  <c r="AY236" i="31" s="1"/>
  <c r="AX53" i="31"/>
  <c r="AY53" i="31" s="1"/>
  <c r="AX363" i="31"/>
  <c r="AY363" i="31" s="1"/>
  <c r="AX564" i="31"/>
  <c r="AY564" i="31" s="1"/>
  <c r="AX442" i="31"/>
  <c r="AY442" i="31" s="1"/>
  <c r="AX101" i="31"/>
  <c r="AY101" i="31" s="1"/>
  <c r="AX95" i="31"/>
  <c r="AY95" i="31" s="1"/>
  <c r="AX44" i="31"/>
  <c r="AY44" i="31" s="1"/>
  <c r="AX444" i="31"/>
  <c r="AY444" i="31" s="1"/>
  <c r="AX27" i="31"/>
  <c r="AY27" i="31" s="1"/>
  <c r="AX266" i="31"/>
  <c r="AY266" i="31" s="1"/>
  <c r="AX59" i="31"/>
  <c r="AY59" i="31" s="1"/>
  <c r="AX382" i="31"/>
  <c r="AY382" i="31" s="1"/>
  <c r="AX424" i="31"/>
  <c r="AY424" i="31" s="1"/>
  <c r="AX515" i="31"/>
  <c r="AY515" i="31" s="1"/>
  <c r="AX129" i="31"/>
  <c r="AY129" i="31" s="1"/>
  <c r="AX432" i="31"/>
  <c r="AY432" i="31" s="1"/>
  <c r="AX571" i="31"/>
  <c r="AY571" i="31" s="1"/>
  <c r="AX149" i="31"/>
  <c r="AY149" i="31" s="1"/>
  <c r="AX281" i="31"/>
  <c r="AY281" i="31" s="1"/>
  <c r="AX262" i="31"/>
  <c r="AY262" i="31" s="1"/>
  <c r="AX545" i="31"/>
  <c r="AY545" i="31" s="1"/>
  <c r="AX587" i="31"/>
  <c r="AY587" i="31" s="1"/>
  <c r="AX284" i="31"/>
  <c r="AY284" i="31" s="1"/>
  <c r="AX34" i="31"/>
  <c r="AY34" i="31" s="1"/>
  <c r="AX170" i="31"/>
  <c r="AY170" i="31" s="1"/>
  <c r="AX332" i="31"/>
  <c r="AY332" i="31" s="1"/>
  <c r="AX29" i="31"/>
  <c r="AY29" i="31" s="1"/>
  <c r="AX37" i="31"/>
  <c r="AY37" i="31" s="1"/>
  <c r="AX492" i="31"/>
  <c r="AY492" i="31" s="1"/>
  <c r="AX470" i="31"/>
  <c r="AY470" i="31" s="1"/>
  <c r="AX577" i="31"/>
  <c r="AY577" i="31" s="1"/>
  <c r="AX225" i="31"/>
  <c r="AY225" i="31" s="1"/>
  <c r="AX610" i="31"/>
  <c r="AY610" i="31" s="1"/>
  <c r="AX18" i="31"/>
  <c r="AY18" i="31" s="1"/>
  <c r="AX482" i="31"/>
  <c r="AY482" i="31" s="1"/>
  <c r="AX452" i="31"/>
  <c r="AY452" i="31" s="1"/>
  <c r="AX218" i="31"/>
  <c r="AY218" i="31" s="1"/>
  <c r="AX303" i="31"/>
  <c r="AY303" i="31" s="1"/>
  <c r="AX472" i="31"/>
  <c r="AY472" i="31" s="1"/>
  <c r="AX594" i="31"/>
  <c r="AY594" i="31" s="1"/>
  <c r="AX534" i="31"/>
  <c r="AY534" i="31" s="1"/>
  <c r="AX210" i="31"/>
  <c r="AY210" i="31" s="1"/>
  <c r="AX189" i="31"/>
  <c r="AY189" i="31" s="1"/>
  <c r="AX489" i="31"/>
  <c r="AY489" i="31" s="1"/>
  <c r="AX322" i="31"/>
  <c r="AY322" i="31" s="1"/>
  <c r="AX194" i="31"/>
  <c r="AY194" i="31" s="1"/>
  <c r="AX597" i="31"/>
  <c r="AY597" i="31" s="1"/>
  <c r="AX374" i="31"/>
  <c r="AY374" i="31" s="1"/>
  <c r="AX64" i="31"/>
  <c r="AY64" i="31" s="1"/>
  <c r="AX529" i="31"/>
  <c r="AY529" i="31" s="1"/>
  <c r="AX55" i="31"/>
  <c r="AY55" i="31" s="1"/>
  <c r="AX333" i="31"/>
  <c r="AY333" i="31" s="1"/>
  <c r="AX439" i="31"/>
  <c r="AY439" i="31" s="1"/>
  <c r="AX400" i="31"/>
  <c r="AY400" i="31" s="1"/>
  <c r="AX161" i="31"/>
  <c r="AY161" i="31" s="1"/>
  <c r="AX376" i="31"/>
  <c r="AY376" i="31" s="1"/>
  <c r="AX167" i="31"/>
  <c r="AY167" i="31" s="1"/>
  <c r="AX114" i="31"/>
  <c r="AY114" i="31" s="1"/>
  <c r="AX554" i="31"/>
  <c r="AY554" i="31" s="1"/>
  <c r="AX302" i="31"/>
  <c r="AY302" i="31" s="1"/>
  <c r="AX72" i="31"/>
  <c r="AY72" i="31" s="1"/>
  <c r="AX163" i="31"/>
  <c r="AY163" i="31" s="1"/>
  <c r="AX97" i="31"/>
  <c r="AY97" i="31" s="1"/>
  <c r="AX505" i="31"/>
  <c r="AY505" i="31" s="1"/>
  <c r="AX466" i="31"/>
  <c r="AY466" i="31" s="1"/>
  <c r="AX144" i="31"/>
  <c r="AY144" i="31" s="1"/>
  <c r="AX130" i="31"/>
  <c r="AY130" i="31" s="1"/>
  <c r="AX191" i="31"/>
  <c r="AY191" i="31" s="1"/>
  <c r="AX256" i="31"/>
  <c r="AY256" i="31" s="1"/>
  <c r="AX58" i="31"/>
  <c r="AY58" i="31" s="1"/>
  <c r="AX23" i="31"/>
  <c r="AY23" i="31" s="1"/>
  <c r="AX26" i="31"/>
  <c r="AY26" i="31" s="1"/>
  <c r="AX427" i="31"/>
  <c r="AY427" i="31" s="1"/>
  <c r="AX558" i="31"/>
  <c r="AY558" i="31" s="1"/>
  <c r="AX41" i="31"/>
  <c r="AY41" i="31" s="1"/>
  <c r="AX433" i="31"/>
  <c r="AY433" i="31" s="1"/>
  <c r="AX150" i="31"/>
  <c r="AY150" i="31" s="1"/>
  <c r="AX391" i="31"/>
  <c r="AY391" i="31" s="1"/>
  <c r="AX298" i="31"/>
  <c r="AY298" i="31" s="1"/>
  <c r="AX446" i="31"/>
  <c r="AY446" i="31" s="1"/>
  <c r="AX84" i="31"/>
  <c r="AY84" i="31" s="1"/>
  <c r="AX87" i="31"/>
  <c r="AY87" i="31" s="1"/>
  <c r="AX77" i="31"/>
  <c r="AY77" i="31" s="1"/>
  <c r="AX219" i="31"/>
  <c r="AY219" i="31" s="1"/>
  <c r="AX591" i="31"/>
  <c r="AY591" i="31" s="1"/>
  <c r="AX569" i="31"/>
  <c r="AY569" i="31" s="1"/>
  <c r="AX588" i="31"/>
  <c r="AY588" i="31" s="1"/>
  <c r="AX536" i="31"/>
  <c r="AY536" i="31" s="1"/>
  <c r="AX521" i="31"/>
  <c r="AY521" i="31" s="1"/>
  <c r="AX185" i="31"/>
  <c r="AY185" i="31" s="1"/>
  <c r="AX346" i="31"/>
  <c r="AY346" i="31" s="1"/>
  <c r="AX539" i="31"/>
  <c r="AY539" i="31" s="1"/>
  <c r="AX138" i="31"/>
  <c r="AY138" i="31" s="1"/>
  <c r="AX334" i="31"/>
  <c r="AY334" i="31" s="1"/>
  <c r="AX269" i="31"/>
  <c r="AY269" i="31" s="1"/>
  <c r="AX380" i="31"/>
  <c r="AY380" i="31" s="1"/>
  <c r="AX229" i="31"/>
  <c r="AY229" i="31" s="1"/>
  <c r="AX499" i="31"/>
  <c r="AY499" i="31" s="1"/>
  <c r="AX525" i="31"/>
  <c r="AY525" i="31" s="1"/>
  <c r="AX377" i="31"/>
  <c r="AY377" i="31" s="1"/>
  <c r="AX19" i="31"/>
  <c r="AY19" i="31" s="1"/>
  <c r="AX98" i="31"/>
  <c r="AY98" i="31" s="1"/>
  <c r="AX393" i="31"/>
  <c r="AY393" i="31" s="1"/>
  <c r="AX484" i="31"/>
  <c r="AY484" i="31" s="1"/>
  <c r="AX261" i="31"/>
  <c r="AY261" i="31" s="1"/>
  <c r="AX592" i="31"/>
  <c r="AY592" i="31" s="1"/>
  <c r="AX291" i="31"/>
  <c r="AY291" i="31" s="1"/>
  <c r="AX105" i="31"/>
  <c r="AY105" i="31" s="1"/>
  <c r="AX30" i="31"/>
  <c r="AY30" i="31" s="1"/>
  <c r="AX24" i="31"/>
  <c r="AY24" i="31" s="1"/>
  <c r="AX35" i="31"/>
  <c r="AY35" i="31" s="1"/>
  <c r="AX408" i="31"/>
  <c r="AY408" i="31" s="1"/>
  <c r="AX605" i="31"/>
  <c r="AY605" i="31" s="1"/>
  <c r="AX454" i="31"/>
  <c r="AY454" i="31" s="1"/>
  <c r="AX547" i="31"/>
  <c r="AY547" i="31" s="1"/>
  <c r="AX412" i="31"/>
  <c r="AY412" i="31" s="1"/>
  <c r="AX71" i="31"/>
  <c r="AY71" i="31" s="1"/>
  <c r="AX552" i="31"/>
  <c r="AY552" i="31" s="1"/>
  <c r="AX361" i="31"/>
  <c r="AY361" i="31" s="1"/>
  <c r="AX328" i="31"/>
  <c r="AY328" i="31" s="1"/>
  <c r="AX233" i="31"/>
  <c r="AY233" i="31" s="1"/>
  <c r="AX337" i="31"/>
  <c r="AY337" i="31" s="1"/>
  <c r="AX324" i="31"/>
  <c r="AY324" i="31" s="1"/>
  <c r="AX448" i="31"/>
  <c r="AY448" i="31" s="1"/>
  <c r="AX456" i="31"/>
  <c r="AY456" i="31" s="1"/>
  <c r="AX522" i="31"/>
  <c r="AY522" i="31" s="1"/>
  <c r="AX294" i="31"/>
  <c r="AY294" i="31" s="1"/>
  <c r="AX94" i="31"/>
  <c r="AY94" i="31" s="1"/>
  <c r="AX425" i="31"/>
  <c r="AY425" i="31" s="1"/>
  <c r="AX352" i="31"/>
  <c r="AY352" i="31" s="1"/>
  <c r="AX221" i="31"/>
  <c r="AY221" i="31" s="1"/>
  <c r="AX14" i="31"/>
  <c r="AY14" i="31" s="1"/>
  <c r="AX296" i="31"/>
  <c r="AY296" i="31" s="1"/>
  <c r="AX579" i="31"/>
  <c r="AY579" i="31" s="1"/>
  <c r="AX562" i="31"/>
  <c r="AY562" i="31" s="1"/>
  <c r="AX251" i="31"/>
  <c r="AY251" i="31" s="1"/>
  <c r="AX259" i="31"/>
  <c r="AY259" i="31" s="1"/>
  <c r="AX531" i="31"/>
  <c r="AY531" i="31" s="1"/>
  <c r="AX112" i="31"/>
  <c r="AY112" i="31" s="1"/>
  <c r="AX510" i="31"/>
  <c r="AY510" i="31" s="1"/>
  <c r="AX485" i="31"/>
  <c r="AY485" i="31" s="1"/>
  <c r="AG518" i="31"/>
  <c r="AH518" i="31"/>
  <c r="AI518" i="31" s="1"/>
  <c r="AH352" i="31"/>
  <c r="AI352" i="31" s="1"/>
  <c r="AG352" i="31"/>
  <c r="AH179" i="31"/>
  <c r="AI179" i="31" s="1"/>
  <c r="AG179" i="31"/>
  <c r="AG337" i="31"/>
  <c r="AH337" i="31"/>
  <c r="AI337" i="31" s="1"/>
  <c r="AG356" i="31"/>
  <c r="AH356" i="31"/>
  <c r="AI356" i="31" s="1"/>
  <c r="AH480" i="31"/>
  <c r="AI480" i="31" s="1"/>
  <c r="AG480" i="31"/>
  <c r="AH609" i="31"/>
  <c r="AI609" i="31" s="1"/>
  <c r="AG609" i="31"/>
  <c r="AH448" i="31"/>
  <c r="AI448" i="31" s="1"/>
  <c r="AG448" i="31"/>
  <c r="AH467" i="31"/>
  <c r="AI467" i="31" s="1"/>
  <c r="AG467" i="31"/>
  <c r="AX82" i="31"/>
  <c r="AY82" i="31" s="1"/>
  <c r="AH142" i="31"/>
  <c r="AI142" i="31" s="1"/>
  <c r="AG142" i="31"/>
  <c r="AX158" i="31"/>
  <c r="AY158" i="31" s="1"/>
  <c r="AG400" i="31"/>
  <c r="AH400" i="31"/>
  <c r="AI400" i="31" s="1"/>
  <c r="AH358" i="31"/>
  <c r="AI358" i="31" s="1"/>
  <c r="AG358" i="31"/>
  <c r="AG251" i="31"/>
  <c r="AH251" i="31"/>
  <c r="AI251" i="31" s="1"/>
  <c r="AH141" i="31"/>
  <c r="AI141" i="31" s="1"/>
  <c r="AG141" i="31"/>
  <c r="AH523" i="31"/>
  <c r="AI523" i="31" s="1"/>
  <c r="AG523" i="31"/>
  <c r="AG572" i="31"/>
  <c r="AH572" i="31"/>
  <c r="AI572" i="31" s="1"/>
  <c r="AH64" i="31"/>
  <c r="AI64" i="31" s="1"/>
  <c r="AG64" i="31"/>
  <c r="AH516" i="31"/>
  <c r="AI516" i="31" s="1"/>
  <c r="AG516" i="31"/>
  <c r="AH366" i="31"/>
  <c r="AI366" i="31" s="1"/>
  <c r="AG366" i="31"/>
  <c r="AG441" i="31"/>
  <c r="AH441" i="31"/>
  <c r="AI441" i="31" s="1"/>
  <c r="AH474" i="31"/>
  <c r="AI474" i="31" s="1"/>
  <c r="AG474" i="31"/>
  <c r="AH327" i="31"/>
  <c r="AI327" i="31" s="1"/>
  <c r="AG327" i="31"/>
  <c r="AH129" i="31"/>
  <c r="AI129" i="31" s="1"/>
  <c r="AG129" i="31"/>
  <c r="AH437" i="31"/>
  <c r="AI437" i="31" s="1"/>
  <c r="AG437" i="31"/>
  <c r="AX235" i="31"/>
  <c r="AY235" i="31" s="1"/>
  <c r="AH178" i="31"/>
  <c r="AI178" i="31" s="1"/>
  <c r="AG178" i="31"/>
  <c r="AH557" i="31"/>
  <c r="AI557" i="31" s="1"/>
  <c r="AG557" i="31"/>
  <c r="AH515" i="31"/>
  <c r="AI515" i="31" s="1"/>
  <c r="AG515" i="31"/>
  <c r="AG582" i="31"/>
  <c r="AH582" i="31"/>
  <c r="AI582" i="31" s="1"/>
  <c r="AG529" i="31"/>
  <c r="AH529" i="31"/>
  <c r="AI529" i="31" s="1"/>
  <c r="AH276" i="31"/>
  <c r="AI276" i="31" s="1"/>
  <c r="AG276" i="31"/>
  <c r="AG627" i="31"/>
  <c r="AH627" i="31"/>
  <c r="AI627" i="31" s="1"/>
  <c r="AG539" i="31"/>
  <c r="AH539" i="31"/>
  <c r="AI539" i="31" s="1"/>
  <c r="AH33" i="31"/>
  <c r="AI33" i="31" s="1"/>
  <c r="AG33" i="31"/>
  <c r="AG28" i="31"/>
  <c r="AH28" i="31"/>
  <c r="AI28" i="31" s="1"/>
  <c r="AH109" i="31"/>
  <c r="AI109" i="31" s="1"/>
  <c r="AG109" i="31"/>
  <c r="AX104" i="31"/>
  <c r="AY104" i="31" s="1"/>
  <c r="AG555" i="31"/>
  <c r="AH555" i="31"/>
  <c r="AI555" i="31" s="1"/>
  <c r="AH50" i="31"/>
  <c r="AI50" i="31" s="1"/>
  <c r="AG50" i="31"/>
  <c r="AG14" i="31"/>
  <c r="AH14" i="31"/>
  <c r="AI14" i="31" s="1"/>
  <c r="AH527" i="31"/>
  <c r="AI527" i="31" s="1"/>
  <c r="AG527" i="31"/>
  <c r="AX135" i="31"/>
  <c r="AY135" i="31" s="1"/>
  <c r="AH267" i="31"/>
  <c r="AI267" i="31" s="1"/>
  <c r="AG267" i="31"/>
  <c r="AH269" i="31"/>
  <c r="AI269" i="31" s="1"/>
  <c r="AG269" i="31"/>
  <c r="AX305" i="31"/>
  <c r="AY305" i="31" s="1"/>
  <c r="AH154" i="31"/>
  <c r="AI154" i="31" s="1"/>
  <c r="AG154" i="31"/>
  <c r="AH201" i="31"/>
  <c r="AI201" i="31" s="1"/>
  <c r="AG201" i="31"/>
  <c r="AG576" i="31"/>
  <c r="AH576" i="31"/>
  <c r="AI576" i="31" s="1"/>
  <c r="AG192" i="31"/>
  <c r="AH192" i="31"/>
  <c r="AI192" i="31" s="1"/>
  <c r="AG411" i="31"/>
  <c r="AH411" i="31"/>
  <c r="AI411" i="31" s="1"/>
  <c r="AH551" i="31"/>
  <c r="AI551" i="31" s="1"/>
  <c r="AG551" i="31"/>
  <c r="AH419" i="31"/>
  <c r="AI419" i="31" s="1"/>
  <c r="AG419" i="31"/>
  <c r="AH128" i="31"/>
  <c r="AI128" i="31" s="1"/>
  <c r="AG128" i="31"/>
  <c r="AH271" i="31"/>
  <c r="AI271" i="31" s="1"/>
  <c r="AG271" i="31"/>
  <c r="AH16" i="31"/>
  <c r="AI16" i="31" s="1"/>
  <c r="AG16" i="31"/>
  <c r="AG405" i="31"/>
  <c r="AH405" i="31"/>
  <c r="AI405" i="31" s="1"/>
  <c r="AH257" i="31"/>
  <c r="AI257" i="31" s="1"/>
  <c r="AG257" i="31"/>
  <c r="AH417" i="31"/>
  <c r="AI417" i="31" s="1"/>
  <c r="AG417" i="31"/>
  <c r="AH70" i="31"/>
  <c r="AI70" i="31" s="1"/>
  <c r="AG70" i="31"/>
  <c r="AX450" i="31"/>
  <c r="AY450" i="31" s="1"/>
  <c r="AH393" i="31"/>
  <c r="AI393" i="31" s="1"/>
  <c r="AG393" i="31"/>
  <c r="AX330" i="31"/>
  <c r="AY330" i="31" s="1"/>
  <c r="AH604" i="31"/>
  <c r="AI604" i="31" s="1"/>
  <c r="AG604" i="31"/>
  <c r="AX549" i="31"/>
  <c r="AY549" i="31" s="1"/>
  <c r="AX486" i="31"/>
  <c r="AY486" i="31" s="1"/>
  <c r="AH408" i="31"/>
  <c r="AI408" i="31" s="1"/>
  <c r="AG408" i="31"/>
  <c r="AH99" i="31"/>
  <c r="AI99" i="31" s="1"/>
  <c r="AG99" i="31"/>
  <c r="AG490" i="31"/>
  <c r="AH490" i="31"/>
  <c r="AI490" i="31" s="1"/>
  <c r="AH147" i="31"/>
  <c r="AI147" i="31" s="1"/>
  <c r="AG147" i="31"/>
  <c r="AX179" i="31"/>
  <c r="AY179" i="31" s="1"/>
  <c r="AG255" i="31"/>
  <c r="AH255" i="31"/>
  <c r="AI255" i="31" s="1"/>
  <c r="AX360" i="31"/>
  <c r="AY360" i="31" s="1"/>
  <c r="AX459" i="31"/>
  <c r="AY459" i="31" s="1"/>
  <c r="AX323" i="31"/>
  <c r="AY323" i="31" s="1"/>
  <c r="AX263" i="31"/>
  <c r="AY263" i="31" s="1"/>
  <c r="AX255" i="31"/>
  <c r="AY255" i="31" s="1"/>
  <c r="AX553" i="31"/>
  <c r="AY553" i="31" s="1"/>
  <c r="AH439" i="31"/>
  <c r="AI439" i="31" s="1"/>
  <c r="AG439" i="31"/>
  <c r="AG247" i="31"/>
  <c r="AH247" i="31"/>
  <c r="AI247" i="31" s="1"/>
  <c r="AX220" i="31"/>
  <c r="AY220" i="31" s="1"/>
  <c r="AH304" i="31"/>
  <c r="AI304" i="31" s="1"/>
  <c r="AG304" i="31"/>
  <c r="AH143" i="31"/>
  <c r="AI143" i="31" s="1"/>
  <c r="AG143" i="31"/>
  <c r="AX223" i="31"/>
  <c r="AY223" i="31" s="1"/>
  <c r="AH166" i="31"/>
  <c r="AI166" i="31" s="1"/>
  <c r="AG166" i="31"/>
  <c r="AX604" i="31"/>
  <c r="AY604" i="31" s="1"/>
  <c r="AX113" i="31"/>
  <c r="AY113" i="31" s="1"/>
  <c r="AH526" i="31"/>
  <c r="AI526" i="31" s="1"/>
  <c r="AG526" i="31"/>
  <c r="AG18" i="31"/>
  <c r="AH18" i="31"/>
  <c r="AI18" i="31" s="1"/>
  <c r="AX447" i="31"/>
  <c r="AY447" i="31" s="1"/>
  <c r="AG84" i="31"/>
  <c r="AH84" i="31"/>
  <c r="AI84" i="31" s="1"/>
  <c r="AH445" i="31"/>
  <c r="AI445" i="31" s="1"/>
  <c r="AG445" i="31"/>
  <c r="AX546" i="31"/>
  <c r="AY546" i="31" s="1"/>
  <c r="AG553" i="31"/>
  <c r="AH553" i="31"/>
  <c r="AI553" i="31" s="1"/>
  <c r="AH284" i="31"/>
  <c r="AI284" i="31" s="1"/>
  <c r="AG284" i="31"/>
  <c r="AH316" i="31"/>
  <c r="AI316" i="31" s="1"/>
  <c r="AG316" i="31"/>
  <c r="AX287" i="31"/>
  <c r="AY287" i="31" s="1"/>
  <c r="AH90" i="31"/>
  <c r="AI90" i="31" s="1"/>
  <c r="AG90" i="31"/>
  <c r="AX68" i="31"/>
  <c r="AY68" i="31" s="1"/>
  <c r="AX483" i="31"/>
  <c r="AY483" i="31" s="1"/>
  <c r="AH455" i="31"/>
  <c r="AI455" i="31" s="1"/>
  <c r="AG455" i="31"/>
  <c r="AH581" i="31"/>
  <c r="AI581" i="31" s="1"/>
  <c r="AG581" i="31"/>
  <c r="AX237" i="31"/>
  <c r="AY237" i="31" s="1"/>
  <c r="AG317" i="31"/>
  <c r="AH317" i="31"/>
  <c r="AI317" i="31" s="1"/>
  <c r="AG44" i="31"/>
  <c r="AH44" i="31"/>
  <c r="AI44" i="31" s="1"/>
  <c r="AX141" i="31"/>
  <c r="AY141" i="31" s="1"/>
  <c r="AG588" i="31"/>
  <c r="AH588" i="31"/>
  <c r="AI588" i="31" s="1"/>
  <c r="AG442" i="31"/>
  <c r="AH442" i="31"/>
  <c r="AI442" i="31" s="1"/>
  <c r="AX399" i="31"/>
  <c r="AY399" i="31" s="1"/>
  <c r="AH315" i="31"/>
  <c r="AI315" i="31" s="1"/>
  <c r="AG315" i="31"/>
  <c r="AX250" i="31"/>
  <c r="AY250" i="31" s="1"/>
  <c r="AG275" i="31"/>
  <c r="AH275" i="31"/>
  <c r="AI275" i="31" s="1"/>
  <c r="AH382" i="31"/>
  <c r="AI382" i="31" s="1"/>
  <c r="AG382" i="31"/>
  <c r="AH222" i="31"/>
  <c r="AI222" i="31" s="1"/>
  <c r="AG222" i="31"/>
  <c r="AH505" i="31"/>
  <c r="AI505" i="31" s="1"/>
  <c r="AG505" i="31"/>
  <c r="AX289" i="31"/>
  <c r="AY289" i="31" s="1"/>
  <c r="AX278" i="31"/>
  <c r="AY278" i="31" s="1"/>
  <c r="AX203" i="31"/>
  <c r="AY203" i="31" s="1"/>
  <c r="AH508" i="31"/>
  <c r="AI508" i="31" s="1"/>
  <c r="AG508" i="31"/>
  <c r="AX559" i="31"/>
  <c r="AY559" i="31" s="1"/>
  <c r="AX405" i="31"/>
  <c r="AY405" i="31" s="1"/>
  <c r="AG325" i="31"/>
  <c r="AH325" i="31"/>
  <c r="AI325" i="31" s="1"/>
  <c r="AG449" i="31"/>
  <c r="AH449" i="31"/>
  <c r="AI449" i="31" s="1"/>
  <c r="AX211" i="31"/>
  <c r="AY211" i="31" s="1"/>
  <c r="AG15" i="31"/>
  <c r="AH15" i="31"/>
  <c r="AI15" i="31" s="1"/>
  <c r="AH92" i="31"/>
  <c r="AI92" i="31" s="1"/>
  <c r="AG92" i="31"/>
  <c r="AX47" i="31"/>
  <c r="AY47" i="31" s="1"/>
  <c r="AH538" i="31"/>
  <c r="AI538" i="31" s="1"/>
  <c r="AG538" i="31"/>
  <c r="AX409" i="31"/>
  <c r="AY409" i="31" s="1"/>
  <c r="AX460" i="31"/>
  <c r="AY460" i="31" s="1"/>
  <c r="AH43" i="31"/>
  <c r="AI43" i="31" s="1"/>
  <c r="AG43" i="31"/>
  <c r="AX50" i="31"/>
  <c r="AY50" i="31" s="1"/>
  <c r="AX477" i="31"/>
  <c r="AY477" i="31" s="1"/>
  <c r="AX411" i="31"/>
  <c r="AY411" i="31" s="1"/>
  <c r="AX455" i="31"/>
  <c r="AY455" i="31" s="1"/>
  <c r="AH217" i="31"/>
  <c r="AI217" i="31" s="1"/>
  <c r="AG217" i="31"/>
  <c r="AX541" i="31"/>
  <c r="AY541" i="31" s="1"/>
  <c r="AH571" i="31"/>
  <c r="AI571" i="31" s="1"/>
  <c r="AG571" i="31"/>
  <c r="AX365" i="31"/>
  <c r="AY365" i="31" s="1"/>
  <c r="AX497" i="31"/>
  <c r="AY497" i="31" s="1"/>
  <c r="AX440" i="31"/>
  <c r="AY440" i="31" s="1"/>
  <c r="AX473" i="31"/>
  <c r="AY473" i="31" s="1"/>
  <c r="AH427" i="31"/>
  <c r="AI427" i="31" s="1"/>
  <c r="AG427" i="31"/>
  <c r="AH608" i="31"/>
  <c r="AI608" i="31" s="1"/>
  <c r="AG608" i="31"/>
  <c r="AG629" i="31"/>
  <c r="AH629" i="31"/>
  <c r="AI629" i="31" s="1"/>
  <c r="AH87" i="31"/>
  <c r="AI87" i="31" s="1"/>
  <c r="AG87" i="31"/>
  <c r="AX60" i="31"/>
  <c r="AY60" i="31" s="1"/>
  <c r="AH294" i="31"/>
  <c r="AI294" i="31" s="1"/>
  <c r="AG294" i="31"/>
  <c r="AG13" i="31"/>
  <c r="AH13" i="31"/>
  <c r="AI13" i="31" s="1"/>
  <c r="AG117" i="31"/>
  <c r="AH117" i="31"/>
  <c r="AI117" i="31" s="1"/>
  <c r="AX436" i="31"/>
  <c r="AY436" i="31" s="1"/>
  <c r="AX198" i="31"/>
  <c r="AY198" i="31" s="1"/>
  <c r="AX45" i="31"/>
  <c r="AY45" i="31" s="1"/>
  <c r="AH431" i="31"/>
  <c r="AI431" i="31" s="1"/>
  <c r="AG431" i="31"/>
  <c r="AX177" i="31"/>
  <c r="AY177" i="31" s="1"/>
  <c r="AG108" i="31"/>
  <c r="AH108" i="31"/>
  <c r="AI108" i="31" s="1"/>
  <c r="AH188" i="31"/>
  <c r="AI188" i="31" s="1"/>
  <c r="AG188" i="31"/>
  <c r="AH122" i="31"/>
  <c r="AI122" i="31" s="1"/>
  <c r="AG122" i="31"/>
  <c r="AX581" i="31"/>
  <c r="AY581" i="31" s="1"/>
  <c r="AX494" i="31"/>
  <c r="AY494" i="31" s="1"/>
  <c r="AX583" i="31"/>
  <c r="AY583" i="31" s="1"/>
  <c r="AH318" i="31"/>
  <c r="AI318" i="31" s="1"/>
  <c r="AG318" i="31"/>
  <c r="AV317" i="31" s="1"/>
  <c r="AW317" i="31" s="1"/>
  <c r="AX299" i="31"/>
  <c r="AY299" i="31" s="1"/>
  <c r="AX275" i="31"/>
  <c r="AY275" i="31" s="1"/>
  <c r="AH196" i="31"/>
  <c r="AI196" i="31" s="1"/>
  <c r="AG196" i="31"/>
  <c r="AH517" i="31"/>
  <c r="AI517" i="31" s="1"/>
  <c r="AG517" i="31"/>
  <c r="AH404" i="31"/>
  <c r="AI404" i="31" s="1"/>
  <c r="AG404" i="31"/>
  <c r="AH216" i="31"/>
  <c r="AI216" i="31" s="1"/>
  <c r="AG216" i="31"/>
  <c r="AH89" i="31"/>
  <c r="AI89" i="31" s="1"/>
  <c r="AG89" i="31"/>
  <c r="AH575" i="31"/>
  <c r="AI575" i="31" s="1"/>
  <c r="AG575" i="31"/>
  <c r="AH281" i="31"/>
  <c r="AI281" i="31" s="1"/>
  <c r="AG281" i="31"/>
  <c r="AH340" i="31"/>
  <c r="AI340" i="31" s="1"/>
  <c r="AG340" i="31"/>
  <c r="AG533" i="31"/>
  <c r="AH533" i="31"/>
  <c r="AI533" i="31" s="1"/>
  <c r="AG224" i="31"/>
  <c r="AH224" i="31"/>
  <c r="AI224" i="31" s="1"/>
  <c r="AH169" i="31"/>
  <c r="AI169" i="31" s="1"/>
  <c r="AG169" i="31"/>
  <c r="AG303" i="31"/>
  <c r="AH303" i="31"/>
  <c r="AI303" i="31" s="1"/>
  <c r="AH54" i="31"/>
  <c r="AI54" i="31" s="1"/>
  <c r="AG54" i="31"/>
  <c r="AH254" i="31"/>
  <c r="AI254" i="31" s="1"/>
  <c r="AG254" i="31"/>
  <c r="AG586" i="31"/>
  <c r="AH586" i="31"/>
  <c r="AI586" i="31" s="1"/>
  <c r="AH626" i="31"/>
  <c r="AI626" i="31" s="1"/>
  <c r="AG626" i="31"/>
  <c r="F636" i="31" s="1"/>
  <c r="AX367" i="31"/>
  <c r="AY367" i="31" s="1"/>
  <c r="AG346" i="31"/>
  <c r="AH346" i="31"/>
  <c r="AI346" i="31" s="1"/>
  <c r="AG457" i="31"/>
  <c r="AH457" i="31"/>
  <c r="AI457" i="31" s="1"/>
  <c r="AG478" i="31"/>
  <c r="AH478" i="31"/>
  <c r="AI478" i="31" s="1"/>
  <c r="AG295" i="31"/>
  <c r="AH295" i="31"/>
  <c r="AI295" i="31" s="1"/>
  <c r="AH387" i="31"/>
  <c r="AI387" i="31" s="1"/>
  <c r="AG387" i="31"/>
  <c r="AH72" i="31"/>
  <c r="AI72" i="31" s="1"/>
  <c r="AG72" i="31"/>
  <c r="AG235" i="31"/>
  <c r="AH235" i="31"/>
  <c r="AI235" i="31" s="1"/>
  <c r="AG611" i="31"/>
  <c r="AH611" i="31"/>
  <c r="AI611" i="31" s="1"/>
  <c r="AH209" i="31"/>
  <c r="AI209" i="31" s="1"/>
  <c r="AG209" i="31"/>
  <c r="AG111" i="31"/>
  <c r="AH111" i="31"/>
  <c r="AI111" i="31" s="1"/>
  <c r="AH19" i="31"/>
  <c r="AI19" i="31" s="1"/>
  <c r="AG19" i="31"/>
  <c r="AG628" i="31"/>
  <c r="F637" i="31" s="1"/>
  <c r="AH628" i="31"/>
  <c r="AI628" i="31" s="1"/>
  <c r="AH483" i="31"/>
  <c r="AI483" i="31" s="1"/>
  <c r="AG483" i="31"/>
  <c r="AX609" i="31"/>
  <c r="AY609" i="31" s="1"/>
  <c r="AH573" i="31"/>
  <c r="AI573" i="31" s="1"/>
  <c r="AG573" i="31"/>
  <c r="AG534" i="31"/>
  <c r="AH534" i="31"/>
  <c r="AI534" i="31" s="1"/>
  <c r="AH171" i="31"/>
  <c r="AI171" i="31" s="1"/>
  <c r="AG171" i="31"/>
  <c r="AX153" i="31"/>
  <c r="AY153" i="31" s="1"/>
  <c r="AG151" i="31"/>
  <c r="AH151" i="31"/>
  <c r="AI151" i="31" s="1"/>
  <c r="AH131" i="31"/>
  <c r="AI131" i="31" s="1"/>
  <c r="AG131" i="31"/>
  <c r="AH390" i="31"/>
  <c r="AI390" i="31" s="1"/>
  <c r="AG390" i="31"/>
  <c r="AG546" i="31"/>
  <c r="AH546" i="31"/>
  <c r="AI546" i="31" s="1"/>
  <c r="AX127" i="31"/>
  <c r="AY127" i="31" s="1"/>
  <c r="AH253" i="31"/>
  <c r="AI253" i="31" s="1"/>
  <c r="AG253" i="31"/>
  <c r="AG378" i="31"/>
  <c r="AH378" i="31"/>
  <c r="AI378" i="31" s="1"/>
  <c r="AX404" i="31"/>
  <c r="AY404" i="31" s="1"/>
  <c r="AH223" i="31"/>
  <c r="AI223" i="31" s="1"/>
  <c r="AG223" i="31"/>
  <c r="AX209" i="31"/>
  <c r="AY209" i="31" s="1"/>
  <c r="AG98" i="31"/>
  <c r="AH98" i="31"/>
  <c r="AI98" i="31" s="1"/>
  <c r="AH364" i="31"/>
  <c r="AI364" i="31" s="1"/>
  <c r="AG364" i="31"/>
  <c r="AG593" i="31"/>
  <c r="AH593" i="31"/>
  <c r="AI593" i="31" s="1"/>
  <c r="AX464" i="31"/>
  <c r="AY464" i="31" s="1"/>
  <c r="AH497" i="31"/>
  <c r="AI497" i="31" s="1"/>
  <c r="AG497" i="31"/>
  <c r="AH305" i="31"/>
  <c r="AI305" i="31" s="1"/>
  <c r="AG305" i="31"/>
  <c r="AH565" i="31"/>
  <c r="AI565" i="31" s="1"/>
  <c r="AG565" i="31"/>
  <c r="AX414" i="31"/>
  <c r="AY414" i="31" s="1"/>
  <c r="AX512" i="31"/>
  <c r="AY512" i="31" s="1"/>
  <c r="AX355" i="31"/>
  <c r="AY355" i="31" s="1"/>
  <c r="AX115" i="31"/>
  <c r="AY115" i="31" s="1"/>
  <c r="AX213" i="31"/>
  <c r="AY213" i="31" s="1"/>
  <c r="AX429" i="31"/>
  <c r="AY429" i="31" s="1"/>
  <c r="AH394" i="31"/>
  <c r="AI394" i="31" s="1"/>
  <c r="AG394" i="31"/>
  <c r="AH97" i="31"/>
  <c r="AI97" i="31" s="1"/>
  <c r="AG97" i="31"/>
  <c r="AH328" i="31"/>
  <c r="AI328" i="31" s="1"/>
  <c r="AG328" i="31"/>
  <c r="AH554" i="31"/>
  <c r="AI554" i="31" s="1"/>
  <c r="AG554" i="31"/>
  <c r="AH603" i="31"/>
  <c r="AI603" i="31" s="1"/>
  <c r="AG603" i="31"/>
  <c r="AX265" i="31"/>
  <c r="AY265" i="31" s="1"/>
  <c r="AX90" i="31"/>
  <c r="AY90" i="31" s="1"/>
  <c r="AG79" i="31"/>
  <c r="AH79" i="31"/>
  <c r="AI79" i="31" s="1"/>
  <c r="AX73" i="31"/>
  <c r="AY73" i="31" s="1"/>
  <c r="AX109" i="31"/>
  <c r="AY109" i="31" s="1"/>
  <c r="AH31" i="31"/>
  <c r="AI31" i="31" s="1"/>
  <c r="AG31" i="31"/>
  <c r="AX202" i="31"/>
  <c r="AY202" i="31" s="1"/>
  <c r="AX501" i="31"/>
  <c r="AY501" i="31" s="1"/>
  <c r="AH59" i="31"/>
  <c r="AI59" i="31" s="1"/>
  <c r="AG59" i="31"/>
  <c r="AX17" i="31"/>
  <c r="AY17" i="31" s="1"/>
  <c r="AG25" i="31"/>
  <c r="AH25" i="31"/>
  <c r="AI25" i="31" s="1"/>
  <c r="AX85" i="31"/>
  <c r="AY85" i="31" s="1"/>
  <c r="AX83" i="31"/>
  <c r="AY83" i="31" s="1"/>
  <c r="AX518" i="31"/>
  <c r="AY518" i="31" s="1"/>
  <c r="AX488" i="31"/>
  <c r="AY488" i="31" s="1"/>
  <c r="AG362" i="31"/>
  <c r="AH362" i="31"/>
  <c r="AI362" i="31" s="1"/>
  <c r="AH424" i="31"/>
  <c r="AI424" i="31" s="1"/>
  <c r="AG424" i="31"/>
  <c r="AX315" i="31"/>
  <c r="AY315" i="31" s="1"/>
  <c r="AH231" i="31"/>
  <c r="AI231" i="31" s="1"/>
  <c r="AG231" i="31"/>
  <c r="AH349" i="31"/>
  <c r="AI349" i="31" s="1"/>
  <c r="AG349" i="31"/>
  <c r="AH438" i="31"/>
  <c r="AI438" i="31" s="1"/>
  <c r="AG438" i="31"/>
  <c r="AX580" i="31"/>
  <c r="AY580" i="31" s="1"/>
  <c r="AH548" i="31"/>
  <c r="AI548" i="31" s="1"/>
  <c r="AG548" i="31"/>
  <c r="AX316" i="31"/>
  <c r="AY316" i="31" s="1"/>
  <c r="AH230" i="31"/>
  <c r="AI230" i="31" s="1"/>
  <c r="AG230" i="31"/>
  <c r="AX566" i="31"/>
  <c r="AY566" i="31" s="1"/>
  <c r="AG541" i="31"/>
  <c r="AH541" i="31"/>
  <c r="AI541" i="31" s="1"/>
  <c r="AG338" i="31"/>
  <c r="AH338" i="31"/>
  <c r="AI338" i="31" s="1"/>
  <c r="AX381" i="31"/>
  <c r="AY381" i="31" s="1"/>
  <c r="AX415" i="31"/>
  <c r="AY415" i="31" s="1"/>
  <c r="AG232" i="31"/>
  <c r="AH232" i="31"/>
  <c r="AI232" i="31" s="1"/>
  <c r="AH514" i="31"/>
  <c r="AI514" i="31" s="1"/>
  <c r="AG514" i="31"/>
  <c r="AH372" i="31"/>
  <c r="AI372" i="31" s="1"/>
  <c r="AG372" i="31"/>
  <c r="AX345" i="31"/>
  <c r="AY345" i="31" s="1"/>
  <c r="AG39" i="31"/>
  <c r="AH39" i="31"/>
  <c r="AI39" i="31" s="1"/>
  <c r="AX91" i="31"/>
  <c r="AY91" i="31" s="1"/>
  <c r="AG564" i="31"/>
  <c r="AH564" i="31"/>
  <c r="AI564" i="31" s="1"/>
  <c r="AG510" i="31"/>
  <c r="AH510" i="31"/>
  <c r="AI510" i="31" s="1"/>
  <c r="AG32" i="31"/>
  <c r="AH32" i="31"/>
  <c r="AI32" i="31" s="1"/>
  <c r="AX42" i="31"/>
  <c r="AY42" i="31" s="1"/>
  <c r="AH577" i="31"/>
  <c r="AI577" i="31" s="1"/>
  <c r="AG577" i="31"/>
  <c r="AH520" i="31"/>
  <c r="AI520" i="31" s="1"/>
  <c r="AG520" i="31"/>
  <c r="AH397" i="31"/>
  <c r="AI397" i="31" s="1"/>
  <c r="AG397" i="31"/>
  <c r="AH423" i="31"/>
  <c r="AI423" i="31" s="1"/>
  <c r="AG423" i="31"/>
  <c r="AX570" i="31"/>
  <c r="AY570" i="31" s="1"/>
  <c r="AX386" i="31"/>
  <c r="AY386" i="31" s="1"/>
  <c r="AH152" i="31"/>
  <c r="AI152" i="31" s="1"/>
  <c r="AG152" i="31"/>
  <c r="AH124" i="31"/>
  <c r="AI124" i="31" s="1"/>
  <c r="AG124" i="31"/>
  <c r="AG134" i="31"/>
  <c r="AH134" i="31"/>
  <c r="AI134" i="31" s="1"/>
  <c r="AX555" i="31"/>
  <c r="AY555" i="31" s="1"/>
  <c r="AH521" i="31"/>
  <c r="AI521" i="31" s="1"/>
  <c r="AG521" i="31"/>
  <c r="AX293" i="31"/>
  <c r="AY293" i="31" s="1"/>
  <c r="AH258" i="31"/>
  <c r="AI258" i="31" s="1"/>
  <c r="AG258" i="31"/>
  <c r="AH320" i="31"/>
  <c r="AI320" i="31" s="1"/>
  <c r="AG320" i="31"/>
  <c r="AX166" i="31"/>
  <c r="AY166" i="31" s="1"/>
  <c r="AG598" i="31"/>
  <c r="AH598" i="31"/>
  <c r="AI598" i="31" s="1"/>
  <c r="AX586" i="31"/>
  <c r="AY586" i="31" s="1"/>
  <c r="AX224" i="31"/>
  <c r="AY224" i="31" s="1"/>
  <c r="AX214" i="31"/>
  <c r="AY214" i="31" s="1"/>
  <c r="AG272" i="31"/>
  <c r="AH272" i="31"/>
  <c r="AI272" i="31" s="1"/>
  <c r="AH236" i="31"/>
  <c r="AI236" i="31" s="1"/>
  <c r="AG236" i="31"/>
  <c r="AH103" i="31"/>
  <c r="AI103" i="31" s="1"/>
  <c r="AG103" i="31"/>
  <c r="AX567" i="31"/>
  <c r="AY567" i="31" s="1"/>
  <c r="AG193" i="31"/>
  <c r="AH193" i="31"/>
  <c r="AI193" i="31" s="1"/>
  <c r="AX107" i="31"/>
  <c r="AY107" i="31" s="1"/>
  <c r="AX241" i="31"/>
  <c r="AY241" i="31" s="1"/>
  <c r="AH120" i="31"/>
  <c r="AI120" i="31" s="1"/>
  <c r="AG120" i="31"/>
  <c r="AX193" i="31"/>
  <c r="AY193" i="31" s="1"/>
  <c r="AH339" i="31"/>
  <c r="AI339" i="31" s="1"/>
  <c r="AG339" i="31"/>
  <c r="AX596" i="31"/>
  <c r="AY596" i="31" s="1"/>
  <c r="AH115" i="31"/>
  <c r="AI115" i="31" s="1"/>
  <c r="AG115" i="31"/>
  <c r="AH187" i="31"/>
  <c r="AI187" i="31" s="1"/>
  <c r="AG187" i="31"/>
  <c r="AX612" i="31"/>
  <c r="AY612" i="31" s="1"/>
  <c r="AX613" i="31"/>
  <c r="AY613" i="31" s="1"/>
  <c r="AH331" i="31"/>
  <c r="AI331" i="31" s="1"/>
  <c r="AG331" i="31"/>
  <c r="AH513" i="31"/>
  <c r="AI513" i="31" s="1"/>
  <c r="AG513" i="31"/>
  <c r="AH91" i="31"/>
  <c r="AI91" i="31" s="1"/>
  <c r="AG91" i="31"/>
  <c r="AH114" i="31"/>
  <c r="AI114" i="31" s="1"/>
  <c r="AG114" i="31"/>
  <c r="AG502" i="31"/>
  <c r="AH502" i="31"/>
  <c r="AI502" i="31" s="1"/>
  <c r="AH24" i="31"/>
  <c r="AI24" i="31" s="1"/>
  <c r="AG24" i="31"/>
  <c r="AG197" i="31"/>
  <c r="AH197" i="31"/>
  <c r="AI197" i="31" s="1"/>
  <c r="AH41" i="31"/>
  <c r="AI41" i="31" s="1"/>
  <c r="AG41" i="31"/>
  <c r="AH380" i="31"/>
  <c r="AI380" i="31" s="1"/>
  <c r="AG380" i="31"/>
  <c r="AH62" i="31"/>
  <c r="AI62" i="31" s="1"/>
  <c r="AG62" i="31"/>
  <c r="AG137" i="31"/>
  <c r="AH137" i="31"/>
  <c r="AI137" i="31" s="1"/>
  <c r="AG475" i="31"/>
  <c r="AH475" i="31"/>
  <c r="AI475" i="31" s="1"/>
  <c r="AG566" i="31"/>
  <c r="AH566" i="31"/>
  <c r="AI566" i="31" s="1"/>
  <c r="AG469" i="31"/>
  <c r="AH469" i="31"/>
  <c r="AI469" i="31" s="1"/>
  <c r="AH180" i="31"/>
  <c r="AI180" i="31" s="1"/>
  <c r="AG180" i="31"/>
  <c r="AH443" i="31"/>
  <c r="AI443" i="31" s="1"/>
  <c r="AG443" i="31"/>
  <c r="AX578" i="31"/>
  <c r="AY578" i="31" s="1"/>
  <c r="AG492" i="31"/>
  <c r="AH492" i="31"/>
  <c r="AI492" i="31" s="1"/>
  <c r="AG399" i="31"/>
  <c r="AH399" i="31"/>
  <c r="AI399" i="31" s="1"/>
  <c r="AH348" i="31"/>
  <c r="AI348" i="31" s="1"/>
  <c r="AG348" i="31"/>
  <c r="AH561" i="31"/>
  <c r="AI561" i="31" s="1"/>
  <c r="AG561" i="31"/>
  <c r="AH106" i="31"/>
  <c r="AI106" i="31" s="1"/>
  <c r="AG106" i="31"/>
  <c r="AG140" i="31"/>
  <c r="AH140" i="31"/>
  <c r="AI140" i="31" s="1"/>
  <c r="AH138" i="31"/>
  <c r="AI138" i="31" s="1"/>
  <c r="AG138" i="31"/>
  <c r="AH277" i="31"/>
  <c r="AI277" i="31" s="1"/>
  <c r="AG277" i="31"/>
  <c r="AH600" i="31"/>
  <c r="AI600" i="31" s="1"/>
  <c r="AG600" i="31"/>
  <c r="AH525" i="31"/>
  <c r="AI525" i="31" s="1"/>
  <c r="AG525" i="31"/>
  <c r="AH599" i="31"/>
  <c r="AI599" i="31" s="1"/>
  <c r="AG599" i="31"/>
  <c r="AH606" i="31"/>
  <c r="AI606" i="31" s="1"/>
  <c r="AG606" i="31"/>
  <c r="AH383" i="31"/>
  <c r="AI383" i="31" s="1"/>
  <c r="AG383" i="31"/>
  <c r="AG489" i="31"/>
  <c r="AH489" i="31"/>
  <c r="AI489" i="31" s="1"/>
  <c r="AH459" i="31"/>
  <c r="AI459" i="31" s="1"/>
  <c r="AG459" i="31"/>
  <c r="AG218" i="31"/>
  <c r="AH218" i="31"/>
  <c r="AI218" i="31" s="1"/>
  <c r="AX89" i="31"/>
  <c r="AY89" i="31" s="1"/>
  <c r="AX348" i="31"/>
  <c r="AY348" i="31" s="1"/>
  <c r="AG484" i="31"/>
  <c r="AH484" i="31"/>
  <c r="AI484" i="31" s="1"/>
  <c r="AX390" i="31"/>
  <c r="AY390" i="31" s="1"/>
  <c r="AH345" i="31"/>
  <c r="AI345" i="31" s="1"/>
  <c r="AG345" i="31"/>
  <c r="AG234" i="31"/>
  <c r="AH234" i="31"/>
  <c r="AI234" i="31" s="1"/>
  <c r="AG159" i="31"/>
  <c r="AH159" i="31"/>
  <c r="AI159" i="31" s="1"/>
  <c r="AH375" i="31"/>
  <c r="AI375" i="31" s="1"/>
  <c r="AG375" i="31"/>
  <c r="AH567" i="31"/>
  <c r="AI567" i="31" s="1"/>
  <c r="AG567" i="31"/>
  <c r="AX353" i="31"/>
  <c r="AY353" i="31" s="1"/>
  <c r="AG369" i="31"/>
  <c r="AH369" i="31"/>
  <c r="AI369" i="31" s="1"/>
  <c r="AH280" i="31"/>
  <c r="AI280" i="31" s="1"/>
  <c r="AG280" i="31"/>
  <c r="AX585" i="31"/>
  <c r="AY585" i="31" s="1"/>
  <c r="AX243" i="31"/>
  <c r="AY243" i="31" s="1"/>
  <c r="AX504" i="31"/>
  <c r="AY504" i="31" s="1"/>
  <c r="AH301" i="31"/>
  <c r="AI301" i="31" s="1"/>
  <c r="AG301" i="31"/>
  <c r="AG402" i="31"/>
  <c r="AH402" i="31"/>
  <c r="AI402" i="31" s="1"/>
  <c r="AX465" i="31"/>
  <c r="AY465" i="31" s="1"/>
  <c r="AG65" i="31"/>
  <c r="AH65" i="31"/>
  <c r="AI65" i="31" s="1"/>
  <c r="AH530" i="31"/>
  <c r="AI530" i="31" s="1"/>
  <c r="AG530" i="31"/>
  <c r="AH177" i="31"/>
  <c r="AI177" i="31" s="1"/>
  <c r="AG177" i="31"/>
  <c r="AH470" i="31"/>
  <c r="AI470" i="31" s="1"/>
  <c r="AG470" i="31"/>
  <c r="AX435" i="31"/>
  <c r="AY435" i="31" s="1"/>
  <c r="AH29" i="31"/>
  <c r="AI29" i="31" s="1"/>
  <c r="AG29" i="31"/>
  <c r="AH297" i="31"/>
  <c r="AI297" i="31" s="1"/>
  <c r="AG297" i="31"/>
  <c r="AG132" i="31"/>
  <c r="AH132" i="31"/>
  <c r="AI132" i="31" s="1"/>
  <c r="AH562" i="31"/>
  <c r="AI562" i="31" s="1"/>
  <c r="AG562" i="31"/>
  <c r="AX509" i="31"/>
  <c r="AY509" i="31" s="1"/>
  <c r="AG95" i="31"/>
  <c r="AH95" i="31"/>
  <c r="AI95" i="31" s="1"/>
  <c r="AH574" i="31"/>
  <c r="AI574" i="31" s="1"/>
  <c r="AG574" i="31"/>
  <c r="AX519" i="31"/>
  <c r="AY519" i="31" s="1"/>
  <c r="AH428" i="31"/>
  <c r="AI428" i="31" s="1"/>
  <c r="AG428" i="31"/>
  <c r="AV427" i="31" s="1"/>
  <c r="AW427" i="31" s="1"/>
  <c r="AX396" i="31"/>
  <c r="AY396" i="31" s="1"/>
  <c r="AG452" i="31"/>
  <c r="AH452" i="31"/>
  <c r="AI452" i="31" s="1"/>
  <c r="AH321" i="31"/>
  <c r="AI321" i="31" s="1"/>
  <c r="AG321" i="31"/>
  <c r="AX445" i="31"/>
  <c r="AY445" i="31" s="1"/>
  <c r="AH78" i="31"/>
  <c r="AI78" i="31" s="1"/>
  <c r="AG78" i="31"/>
  <c r="AX426" i="31"/>
  <c r="AY426" i="31" s="1"/>
  <c r="AX133" i="31"/>
  <c r="AY133" i="31" s="1"/>
  <c r="AX86" i="31"/>
  <c r="AY86" i="31" s="1"/>
  <c r="AX520" i="31"/>
  <c r="AY520" i="31" s="1"/>
  <c r="AH472" i="31"/>
  <c r="AI472" i="31" s="1"/>
  <c r="AG472" i="31"/>
  <c r="AX79" i="31"/>
  <c r="AY79" i="31" s="1"/>
  <c r="AG168" i="31"/>
  <c r="AH168" i="31"/>
  <c r="AI168" i="31" s="1"/>
  <c r="AX319" i="31"/>
  <c r="AY319" i="31" s="1"/>
  <c r="AG241" i="31"/>
  <c r="AH241" i="31"/>
  <c r="AI241" i="31" s="1"/>
  <c r="AH379" i="31"/>
  <c r="AI379" i="31" s="1"/>
  <c r="AG379" i="31"/>
  <c r="AX245" i="31"/>
  <c r="AY245" i="31" s="1"/>
  <c r="AX226" i="31"/>
  <c r="AY226" i="31" s="1"/>
  <c r="AG175" i="31"/>
  <c r="AH175" i="31"/>
  <c r="AI175" i="31" s="1"/>
  <c r="AX164" i="31"/>
  <c r="AY164" i="31" s="1"/>
  <c r="AH336" i="31"/>
  <c r="AI336" i="31" s="1"/>
  <c r="AG336" i="31"/>
  <c r="AX430" i="31"/>
  <c r="AY430" i="31" s="1"/>
  <c r="AX192" i="31"/>
  <c r="AY192" i="31" s="1"/>
  <c r="AX556" i="31"/>
  <c r="AY556" i="31" s="1"/>
  <c r="AG503" i="31"/>
  <c r="AH503" i="31"/>
  <c r="AI503" i="31" s="1"/>
  <c r="AX119" i="31"/>
  <c r="AY119" i="31" s="1"/>
  <c r="AX121" i="31"/>
  <c r="AY121" i="31" s="1"/>
  <c r="AH77" i="31"/>
  <c r="AI77" i="31" s="1"/>
  <c r="AG77" i="31"/>
  <c r="AG286" i="31"/>
  <c r="AH286" i="31"/>
  <c r="AI286" i="31" s="1"/>
  <c r="AH528" i="31"/>
  <c r="AI528" i="31" s="1"/>
  <c r="AG528" i="31"/>
  <c r="AV527" i="31" s="1"/>
  <c r="AW527" i="31" s="1"/>
  <c r="AX195" i="31"/>
  <c r="AY195" i="31" s="1"/>
  <c r="AX383" i="31"/>
  <c r="AY383" i="31" s="1"/>
  <c r="AX387" i="31"/>
  <c r="AY387" i="31" s="1"/>
  <c r="AH133" i="31"/>
  <c r="AI133" i="31" s="1"/>
  <c r="AG133" i="31"/>
  <c r="AH326" i="31"/>
  <c r="AI326" i="31" s="1"/>
  <c r="AG326" i="31"/>
  <c r="AG407" i="31"/>
  <c r="AH407" i="31"/>
  <c r="AI407" i="31" s="1"/>
  <c r="AG537" i="31"/>
  <c r="AH537" i="31"/>
  <c r="AI537" i="31" s="1"/>
  <c r="AH203" i="31"/>
  <c r="AI203" i="31" s="1"/>
  <c r="AG203" i="31"/>
  <c r="AH519" i="31"/>
  <c r="AI519" i="31" s="1"/>
  <c r="AG519" i="31"/>
  <c r="AV518" i="31" s="1"/>
  <c r="AW518" i="31" s="1"/>
  <c r="AG612" i="31"/>
  <c r="AH612" i="31"/>
  <c r="AI612" i="31" s="1"/>
  <c r="AG590" i="31"/>
  <c r="AH590" i="31"/>
  <c r="AI590" i="31" s="1"/>
  <c r="AG595" i="31"/>
  <c r="AH595" i="31"/>
  <c r="AI595" i="31" s="1"/>
  <c r="AH509" i="31"/>
  <c r="AI509" i="31" s="1"/>
  <c r="AG509" i="31"/>
  <c r="AG386" i="31"/>
  <c r="AH386" i="31"/>
  <c r="AI386" i="31" s="1"/>
  <c r="AG35" i="31"/>
  <c r="AH35" i="31"/>
  <c r="AI35" i="31" s="1"/>
  <c r="AH342" i="31"/>
  <c r="AI342" i="31" s="1"/>
  <c r="AG342" i="31"/>
  <c r="AH38" i="31"/>
  <c r="AI38" i="31" s="1"/>
  <c r="AG38" i="31"/>
  <c r="AG40" i="31"/>
  <c r="AH40" i="31"/>
  <c r="AI40" i="31" s="1"/>
  <c r="AH512" i="31"/>
  <c r="AI512" i="31" s="1"/>
  <c r="AG512" i="31"/>
  <c r="AG570" i="31"/>
  <c r="AH570" i="31"/>
  <c r="AI570" i="31" s="1"/>
  <c r="AH610" i="31"/>
  <c r="AI610" i="31" s="1"/>
  <c r="AG610" i="31"/>
  <c r="AH57" i="31"/>
  <c r="AI57" i="31" s="1"/>
  <c r="AG57" i="31"/>
  <c r="AG219" i="31"/>
  <c r="AH219" i="31"/>
  <c r="AI219" i="31" s="1"/>
  <c r="AG491" i="31"/>
  <c r="AH491" i="31"/>
  <c r="AI491" i="31" s="1"/>
  <c r="AH174" i="31"/>
  <c r="AI174" i="31" s="1"/>
  <c r="AG174" i="31"/>
  <c r="AH398" i="31"/>
  <c r="AI398" i="31" s="1"/>
  <c r="AG398" i="31"/>
  <c r="AH454" i="31"/>
  <c r="AI454" i="31" s="1"/>
  <c r="AG454" i="31"/>
  <c r="AH463" i="31"/>
  <c r="AI463" i="31" s="1"/>
  <c r="AG463" i="31"/>
  <c r="AG376" i="31"/>
  <c r="AH376" i="31"/>
  <c r="AI376" i="31" s="1"/>
  <c r="AX491" i="31"/>
  <c r="AY491" i="31" s="1"/>
  <c r="AH622" i="31"/>
  <c r="AI622" i="31" s="1"/>
  <c r="AG622" i="31"/>
  <c r="F632" i="31" s="1"/>
  <c r="AX602" i="31"/>
  <c r="AY602" i="31" s="1"/>
  <c r="AX364" i="31"/>
  <c r="AY364" i="31" s="1"/>
  <c r="AH237" i="31"/>
  <c r="AI237" i="31" s="1"/>
  <c r="AG237" i="31"/>
  <c r="AH591" i="31"/>
  <c r="AI591" i="31" s="1"/>
  <c r="AG591" i="31"/>
  <c r="AH371" i="31"/>
  <c r="AI371" i="31" s="1"/>
  <c r="AG371" i="31"/>
  <c r="AX139" i="31"/>
  <c r="AY139" i="31" s="1"/>
  <c r="AG249" i="31"/>
  <c r="AH249" i="31"/>
  <c r="AI249" i="31" s="1"/>
  <c r="AH47" i="31"/>
  <c r="AI47" i="31" s="1"/>
  <c r="AG47" i="31"/>
  <c r="AH23" i="31"/>
  <c r="AI23" i="31" s="1"/>
  <c r="AG23" i="31"/>
  <c r="AH596" i="31"/>
  <c r="AI596" i="31" s="1"/>
  <c r="AG596" i="31"/>
  <c r="AH205" i="31"/>
  <c r="AI205" i="31" s="1"/>
  <c r="AG205" i="31"/>
  <c r="AG322" i="31"/>
  <c r="AH322" i="31"/>
  <c r="AI322" i="31" s="1"/>
  <c r="AX458" i="31"/>
  <c r="AY458" i="31" s="1"/>
  <c r="AH185" i="31"/>
  <c r="AI185" i="31" s="1"/>
  <c r="AG185" i="31"/>
  <c r="AH226" i="31"/>
  <c r="AI226" i="31" s="1"/>
  <c r="AG226" i="31"/>
  <c r="AG335" i="31"/>
  <c r="AH335" i="31"/>
  <c r="AI335" i="31" s="1"/>
  <c r="AG381" i="31"/>
  <c r="AH381" i="31"/>
  <c r="AI381" i="31" s="1"/>
  <c r="AH401" i="31"/>
  <c r="AI401" i="31" s="1"/>
  <c r="AG401" i="31"/>
  <c r="AX274" i="31"/>
  <c r="AY274" i="31" s="1"/>
  <c r="AG479" i="31"/>
  <c r="AV478" i="31" s="1"/>
  <c r="AW478" i="31" s="1"/>
  <c r="AH479" i="31"/>
  <c r="AI479" i="31" s="1"/>
  <c r="AX253" i="31"/>
  <c r="AY253" i="31" s="1"/>
  <c r="AH347" i="31"/>
  <c r="AI347" i="31" s="1"/>
  <c r="AG347" i="31"/>
  <c r="AV346" i="31" s="1"/>
  <c r="AW346" i="31" s="1"/>
  <c r="AG290" i="31"/>
  <c r="AH290" i="31"/>
  <c r="AI290" i="31" s="1"/>
  <c r="AG53" i="31"/>
  <c r="AH53" i="31"/>
  <c r="AI53" i="31" s="1"/>
  <c r="AG21" i="31"/>
  <c r="AH21" i="31"/>
  <c r="AI21" i="31" s="1"/>
  <c r="AG406" i="31"/>
  <c r="AH406" i="31"/>
  <c r="AI406" i="31" s="1"/>
  <c r="AX140" i="31"/>
  <c r="AY140" i="31" s="1"/>
  <c r="AH308" i="31"/>
  <c r="AI308" i="31" s="1"/>
  <c r="AG308" i="31"/>
  <c r="AX147" i="31"/>
  <c r="AY147" i="31" s="1"/>
  <c r="AH163" i="31"/>
  <c r="AI163" i="31" s="1"/>
  <c r="AG163" i="31"/>
  <c r="AX469" i="31"/>
  <c r="AY469" i="31" s="1"/>
  <c r="AH302" i="31"/>
  <c r="AI302" i="31" s="1"/>
  <c r="AG302" i="31"/>
  <c r="AX38" i="31"/>
  <c r="AY38" i="31" s="1"/>
  <c r="AG94" i="31"/>
  <c r="AH94" i="31"/>
  <c r="AI94" i="31" s="1"/>
  <c r="AX28" i="31"/>
  <c r="AY28" i="31" s="1"/>
  <c r="AG101" i="31"/>
  <c r="AH101" i="31"/>
  <c r="AI101" i="31" s="1"/>
  <c r="AH444" i="31"/>
  <c r="AI444" i="31" s="1"/>
  <c r="AG444" i="31"/>
  <c r="AX561" i="31"/>
  <c r="AY561" i="31" s="1"/>
  <c r="AG293" i="31"/>
  <c r="AH293" i="31"/>
  <c r="AI293" i="31" s="1"/>
  <c r="AX31" i="31"/>
  <c r="AY31" i="31" s="1"/>
  <c r="AH580" i="31"/>
  <c r="AI580" i="31" s="1"/>
  <c r="AG580" i="31"/>
  <c r="AG76" i="31"/>
  <c r="AH76" i="31"/>
  <c r="AI76" i="31" s="1"/>
  <c r="AX66" i="31"/>
  <c r="AY66" i="31" s="1"/>
  <c r="AX422" i="31"/>
  <c r="AY422" i="31" s="1"/>
  <c r="AH498" i="31"/>
  <c r="AI498" i="31" s="1"/>
  <c r="AG498" i="31"/>
  <c r="AX151" i="31"/>
  <c r="AY151" i="31" s="1"/>
  <c r="AH63" i="31"/>
  <c r="AI63" i="31" s="1"/>
  <c r="AG63" i="31"/>
  <c r="AX326" i="31"/>
  <c r="AY326" i="31" s="1"/>
  <c r="AX257" i="31"/>
  <c r="AY257" i="31" s="1"/>
  <c r="AG206" i="31"/>
  <c r="AH206" i="31"/>
  <c r="AI206" i="31" s="1"/>
  <c r="AH173" i="31"/>
  <c r="AI173" i="31" s="1"/>
  <c r="AG173" i="31"/>
  <c r="AX128" i="31"/>
  <c r="AY128" i="31" s="1"/>
  <c r="AH268" i="31"/>
  <c r="AI268" i="31" s="1"/>
  <c r="AG268" i="31"/>
  <c r="AX174" i="31"/>
  <c r="AY174" i="31" s="1"/>
  <c r="AH165" i="31"/>
  <c r="AI165" i="31" s="1"/>
  <c r="AG165" i="31"/>
  <c r="AG532" i="31"/>
  <c r="AH532" i="31"/>
  <c r="AI532" i="31" s="1"/>
  <c r="AG113" i="31"/>
  <c r="AH113" i="31"/>
  <c r="AI113" i="31" s="1"/>
  <c r="AH421" i="31"/>
  <c r="AI421" i="31" s="1"/>
  <c r="AG421" i="31"/>
  <c r="AX514" i="31"/>
  <c r="AY514" i="31" s="1"/>
  <c r="AG208" i="31"/>
  <c r="AH208" i="31"/>
  <c r="AI208" i="31" s="1"/>
  <c r="AX528" i="31"/>
  <c r="AY528" i="31" s="1"/>
  <c r="AX317" i="31"/>
  <c r="AY317" i="31" s="1"/>
  <c r="AH307" i="31"/>
  <c r="AI307" i="31" s="1"/>
  <c r="AG307" i="31"/>
  <c r="AH149" i="31"/>
  <c r="AI149" i="31" s="1"/>
  <c r="AG149" i="31"/>
  <c r="AH341" i="31"/>
  <c r="AI341" i="31" s="1"/>
  <c r="AG341" i="31"/>
  <c r="AG135" i="31"/>
  <c r="AH135" i="31"/>
  <c r="AI135" i="31" s="1"/>
  <c r="AH350" i="31"/>
  <c r="AI350" i="31" s="1"/>
  <c r="AG350" i="31"/>
  <c r="AH430" i="31"/>
  <c r="AI430" i="31" s="1"/>
  <c r="AG430" i="31"/>
  <c r="AG482" i="31"/>
  <c r="AH482" i="31"/>
  <c r="AI482" i="31" s="1"/>
  <c r="AG306" i="31"/>
  <c r="AH306" i="31"/>
  <c r="AI306" i="31" s="1"/>
  <c r="AH285" i="31"/>
  <c r="AI285" i="31" s="1"/>
  <c r="AG285" i="31"/>
  <c r="AH296" i="31"/>
  <c r="AI296" i="31" s="1"/>
  <c r="AG296" i="31"/>
  <c r="AH229" i="31"/>
  <c r="AI229" i="31" s="1"/>
  <c r="AG229" i="31"/>
  <c r="AH359" i="31"/>
  <c r="AI359" i="31" s="1"/>
  <c r="AG359" i="31"/>
  <c r="AG333" i="31"/>
  <c r="AH333" i="31"/>
  <c r="AI333" i="31" s="1"/>
  <c r="AG559" i="31"/>
  <c r="AH559" i="31"/>
  <c r="AI559" i="31" s="1"/>
  <c r="AH144" i="31"/>
  <c r="AI144" i="31" s="1"/>
  <c r="AG144" i="31"/>
  <c r="AG414" i="31"/>
  <c r="AH414" i="31"/>
  <c r="AI414" i="31" s="1"/>
  <c r="AH488" i="31"/>
  <c r="AI488" i="31" s="1"/>
  <c r="AG488" i="31"/>
  <c r="AY13" i="31"/>
  <c r="AH107" i="31"/>
  <c r="AI107" i="31" s="1"/>
  <c r="AG107" i="31"/>
  <c r="AG453" i="31"/>
  <c r="AH453" i="31"/>
  <c r="AI453" i="31" s="1"/>
  <c r="AG211" i="31"/>
  <c r="AH211" i="31"/>
  <c r="AI211" i="31" s="1"/>
  <c r="AG261" i="31"/>
  <c r="AH261" i="31"/>
  <c r="AI261" i="31" s="1"/>
  <c r="AX88" i="31"/>
  <c r="AY88" i="31" s="1"/>
  <c r="AG434" i="31"/>
  <c r="AH434" i="31"/>
  <c r="AI434" i="31" s="1"/>
  <c r="AH60" i="31"/>
  <c r="AI60" i="31" s="1"/>
  <c r="AG60" i="31"/>
  <c r="AG351" i="31"/>
  <c r="AH351" i="31"/>
  <c r="AI351" i="31" s="1"/>
  <c r="AX222" i="31"/>
  <c r="AY222" i="31" s="1"/>
  <c r="AH451" i="31"/>
  <c r="AI451" i="31" s="1"/>
  <c r="AG451" i="31"/>
  <c r="AX392" i="31"/>
  <c r="AY392" i="31" s="1"/>
  <c r="AG506" i="31"/>
  <c r="AH506" i="31"/>
  <c r="AI506" i="31" s="1"/>
  <c r="AH198" i="31"/>
  <c r="AI198" i="31" s="1"/>
  <c r="AG198" i="31"/>
  <c r="AH549" i="31"/>
  <c r="AI549" i="31" s="1"/>
  <c r="AG549" i="31"/>
  <c r="AH395" i="31"/>
  <c r="AI395" i="31" s="1"/>
  <c r="AG395" i="31"/>
  <c r="AH202" i="31"/>
  <c r="AI202" i="31" s="1"/>
  <c r="AG202" i="31"/>
  <c r="AG425" i="31"/>
  <c r="AH425" i="31"/>
  <c r="AI425" i="31" s="1"/>
  <c r="AH56" i="31"/>
  <c r="AI56" i="31" s="1"/>
  <c r="AG56" i="31"/>
  <c r="AX611" i="31"/>
  <c r="AY611" i="31" s="1"/>
  <c r="AH458" i="31"/>
  <c r="AI458" i="31" s="1"/>
  <c r="AG458" i="31"/>
  <c r="AX40" i="31"/>
  <c r="AY40" i="31" s="1"/>
  <c r="AH105" i="31"/>
  <c r="AI105" i="31" s="1"/>
  <c r="AG105" i="31"/>
  <c r="AX49" i="31"/>
  <c r="AY49" i="31" s="1"/>
  <c r="AG100" i="31"/>
  <c r="AH100" i="31"/>
  <c r="AI100" i="31" s="1"/>
  <c r="AH558" i="31"/>
  <c r="AI558" i="31" s="1"/>
  <c r="AG558" i="31"/>
  <c r="AX106" i="31"/>
  <c r="AY106" i="31" s="1"/>
  <c r="AG585" i="31"/>
  <c r="AH585" i="31"/>
  <c r="AI585" i="31" s="1"/>
  <c r="AH265" i="31"/>
  <c r="AI265" i="31" s="1"/>
  <c r="AG265" i="31"/>
  <c r="AX260" i="31"/>
  <c r="AY260" i="31" s="1"/>
  <c r="AG418" i="31"/>
  <c r="AH418" i="31"/>
  <c r="AI418" i="31" s="1"/>
  <c r="AG36" i="31"/>
  <c r="AH36" i="31"/>
  <c r="AI36" i="31" s="1"/>
  <c r="AX200" i="31"/>
  <c r="AY200" i="31" s="1"/>
  <c r="AX575" i="31"/>
  <c r="AY575" i="31" s="1"/>
  <c r="AX418" i="31"/>
  <c r="AY418" i="31" s="1"/>
  <c r="AH245" i="31"/>
  <c r="AI245" i="31" s="1"/>
  <c r="AG245" i="31"/>
  <c r="AH613" i="31"/>
  <c r="AI613" i="31" s="1"/>
  <c r="AG613" i="31"/>
  <c r="AH278" i="31"/>
  <c r="AI278" i="31" s="1"/>
  <c r="AG278" i="31"/>
  <c r="AV277" i="31" s="1"/>
  <c r="AW277" i="31" s="1"/>
  <c r="AH248" i="31"/>
  <c r="AI248" i="31" s="1"/>
  <c r="AG248" i="31"/>
  <c r="AG334" i="31"/>
  <c r="AH334" i="31"/>
  <c r="AI334" i="31" s="1"/>
  <c r="AX56" i="31"/>
  <c r="AY56" i="31" s="1"/>
  <c r="AX252" i="31"/>
  <c r="AY252" i="31" s="1"/>
  <c r="AH182" i="31"/>
  <c r="AI182" i="31" s="1"/>
  <c r="AG182" i="31"/>
  <c r="AG259" i="31"/>
  <c r="AH259" i="31"/>
  <c r="AI259" i="31" s="1"/>
  <c r="AH161" i="31"/>
  <c r="AI161" i="31" s="1"/>
  <c r="AG161" i="31"/>
  <c r="AH49" i="31"/>
  <c r="AI49" i="31" s="1"/>
  <c r="AG49" i="31"/>
  <c r="AG589" i="31"/>
  <c r="AH589" i="31"/>
  <c r="AI589" i="31" s="1"/>
  <c r="AX453" i="31"/>
  <c r="AY453" i="31" s="1"/>
  <c r="AH487" i="31"/>
  <c r="AI487" i="31" s="1"/>
  <c r="AG487" i="31"/>
  <c r="AX462" i="31"/>
  <c r="AY462" i="31" s="1"/>
  <c r="AX407" i="31"/>
  <c r="AY407" i="31" s="1"/>
  <c r="AG583" i="31"/>
  <c r="AH583" i="31"/>
  <c r="AI583" i="31" s="1"/>
  <c r="AH415" i="31"/>
  <c r="AI415" i="31" s="1"/>
  <c r="AG415" i="31"/>
  <c r="AX468" i="31"/>
  <c r="AY468" i="31" s="1"/>
  <c r="AH471" i="31"/>
  <c r="AI471" i="31" s="1"/>
  <c r="AG471" i="31"/>
  <c r="AX16" i="31"/>
  <c r="AY16" i="31" s="1"/>
  <c r="AG450" i="31"/>
  <c r="AH450" i="31"/>
  <c r="AI450" i="31" s="1"/>
  <c r="AH367" i="31"/>
  <c r="AI367" i="31" s="1"/>
  <c r="AG367" i="31"/>
  <c r="AX197" i="31"/>
  <c r="AY197" i="31" s="1"/>
  <c r="AH429" i="31"/>
  <c r="AI429" i="31" s="1"/>
  <c r="AG429" i="31"/>
  <c r="AH409" i="31"/>
  <c r="AI409" i="31" s="1"/>
  <c r="AG409" i="31"/>
  <c r="AX297" i="31"/>
  <c r="AY297" i="31" s="1"/>
  <c r="AG460" i="31"/>
  <c r="AH460" i="31"/>
  <c r="AI460" i="31" s="1"/>
  <c r="AX96" i="31"/>
  <c r="AY96" i="31" s="1"/>
  <c r="AG256" i="31"/>
  <c r="AV255" i="31" s="1"/>
  <c r="AW255" i="31" s="1"/>
  <c r="AH256" i="31"/>
  <c r="AI256" i="31" s="1"/>
  <c r="AH30" i="31"/>
  <c r="AI30" i="31" s="1"/>
  <c r="AG30" i="31"/>
  <c r="AX543" i="31"/>
  <c r="AY543" i="31" s="1"/>
  <c r="AX171" i="31"/>
  <c r="AY171" i="31" s="1"/>
  <c r="AH37" i="31"/>
  <c r="AI37" i="31" s="1"/>
  <c r="AG37" i="31"/>
  <c r="AX370" i="31"/>
  <c r="AY370" i="31" s="1"/>
  <c r="AG102" i="31"/>
  <c r="AH102" i="31"/>
  <c r="AI102" i="31" s="1"/>
  <c r="AH440" i="31"/>
  <c r="AI440" i="31" s="1"/>
  <c r="AG440" i="31"/>
  <c r="AG323" i="31"/>
  <c r="AH323" i="31"/>
  <c r="AI323" i="31" s="1"/>
  <c r="AX190" i="31"/>
  <c r="AY190" i="31" s="1"/>
  <c r="AH605" i="31"/>
  <c r="AI605" i="31" s="1"/>
  <c r="AG605" i="31"/>
  <c r="AG112" i="31"/>
  <c r="AH112" i="31"/>
  <c r="AI112" i="31" s="1"/>
  <c r="AG363" i="31"/>
  <c r="AH363" i="31"/>
  <c r="AI363" i="31" s="1"/>
  <c r="AH27" i="31"/>
  <c r="AI27" i="31" s="1"/>
  <c r="AG27" i="31"/>
  <c r="AH531" i="31"/>
  <c r="AI531" i="31" s="1"/>
  <c r="AG531" i="31"/>
  <c r="AX184" i="31"/>
  <c r="AY184" i="31" s="1"/>
  <c r="AH243" i="31"/>
  <c r="AI243" i="31" s="1"/>
  <c r="AG243" i="31"/>
  <c r="AX230" i="31"/>
  <c r="AY230" i="31" s="1"/>
  <c r="AX154" i="31"/>
  <c r="AY154" i="31" s="1"/>
  <c r="AG240" i="31"/>
  <c r="AH240" i="31"/>
  <c r="AI240" i="31" s="1"/>
  <c r="AH83" i="31"/>
  <c r="AI83" i="31" s="1"/>
  <c r="AG83" i="31"/>
  <c r="AH354" i="31"/>
  <c r="AI354" i="31" s="1"/>
  <c r="AG354" i="31"/>
  <c r="AX368" i="31"/>
  <c r="AY368" i="31" s="1"/>
  <c r="AH332" i="31"/>
  <c r="AI332" i="31" s="1"/>
  <c r="AG332" i="31"/>
  <c r="AG279" i="31"/>
  <c r="AH279" i="31"/>
  <c r="AI279" i="31" s="1"/>
  <c r="AX231" i="31"/>
  <c r="AY231" i="31" s="1"/>
  <c r="AX52" i="31"/>
  <c r="AY52" i="31" s="1"/>
  <c r="AX507" i="31"/>
  <c r="AY507" i="31" s="1"/>
  <c r="AX513" i="31"/>
  <c r="AY513" i="31" s="1"/>
  <c r="AX20" i="31"/>
  <c r="AY20" i="31" s="1"/>
  <c r="AG560" i="31"/>
  <c r="AH560" i="31"/>
  <c r="AI560" i="31" s="1"/>
  <c r="AX371" i="31"/>
  <c r="AY371" i="31" s="1"/>
  <c r="AX176" i="31"/>
  <c r="AY176" i="31" s="1"/>
  <c r="AH212" i="31"/>
  <c r="AI212" i="31" s="1"/>
  <c r="AG212" i="31"/>
  <c r="AH432" i="31"/>
  <c r="AI432" i="31" s="1"/>
  <c r="AG432" i="31"/>
  <c r="AX537" i="31"/>
  <c r="AY537" i="31" s="1"/>
  <c r="AH536" i="31"/>
  <c r="AI536" i="31" s="1"/>
  <c r="AG536" i="31"/>
  <c r="AH410" i="31"/>
  <c r="AI410" i="31" s="1"/>
  <c r="AG410" i="31"/>
  <c r="AX573" i="31"/>
  <c r="AY573" i="31" s="1"/>
  <c r="AX606" i="31"/>
  <c r="AY606" i="31" s="1"/>
  <c r="AH545" i="31"/>
  <c r="AI545" i="31" s="1"/>
  <c r="AG545" i="31"/>
  <c r="AX75" i="31"/>
  <c r="AY75" i="31" s="1"/>
  <c r="AH67" i="31"/>
  <c r="AI67" i="31" s="1"/>
  <c r="AG67" i="31"/>
  <c r="AX216" i="31"/>
  <c r="AY216" i="31" s="1"/>
  <c r="AX480" i="31"/>
  <c r="AY480" i="31" s="1"/>
  <c r="AH34" i="31"/>
  <c r="AI34" i="31" s="1"/>
  <c r="AG34" i="31"/>
  <c r="AH446" i="31"/>
  <c r="AI446" i="31" s="1"/>
  <c r="AG446" i="31"/>
  <c r="AH374" i="31"/>
  <c r="AI374" i="31" s="1"/>
  <c r="AG374" i="31"/>
  <c r="AX607" i="31"/>
  <c r="AY607" i="31" s="1"/>
  <c r="AG170" i="31"/>
  <c r="AH170" i="31"/>
  <c r="AI170" i="31" s="1"/>
  <c r="AX62" i="31"/>
  <c r="AY62" i="31" s="1"/>
  <c r="AX70" i="31"/>
  <c r="AY70" i="31" s="1"/>
  <c r="AG61" i="31"/>
  <c r="AH61" i="31"/>
  <c r="AI61" i="31" s="1"/>
  <c r="AH309" i="31"/>
  <c r="AI309" i="31" s="1"/>
  <c r="AG309" i="31"/>
  <c r="AX172" i="31"/>
  <c r="AY172" i="31" s="1"/>
  <c r="AH167" i="31"/>
  <c r="AI167" i="31" s="1"/>
  <c r="AG167" i="31"/>
  <c r="AX116" i="31"/>
  <c r="AY116" i="31" s="1"/>
  <c r="AH587" i="31"/>
  <c r="AI587" i="31" s="1"/>
  <c r="AG587" i="31"/>
  <c r="AH225" i="31"/>
  <c r="AI225" i="31" s="1"/>
  <c r="AG225" i="31"/>
  <c r="AG385" i="31"/>
  <c r="AH385" i="31"/>
  <c r="AI385" i="31" s="1"/>
  <c r="AH199" i="31"/>
  <c r="AI199" i="31" s="1"/>
  <c r="AG199" i="31"/>
  <c r="AG160" i="31"/>
  <c r="AH160" i="31"/>
  <c r="AI160" i="31" s="1"/>
  <c r="AX102" i="31"/>
  <c r="AY102" i="31" s="1"/>
  <c r="AX335" i="31"/>
  <c r="AY335" i="31" s="1"/>
  <c r="AG118" i="31"/>
  <c r="AH118" i="31"/>
  <c r="AI118" i="31" s="1"/>
  <c r="AX207" i="31"/>
  <c r="AY207" i="31" s="1"/>
  <c r="AX76" i="31"/>
  <c r="AY76" i="31" s="1"/>
  <c r="AH511" i="31"/>
  <c r="AI511" i="31" s="1"/>
  <c r="AG511" i="31"/>
  <c r="AX338" i="31"/>
  <c r="AY338" i="31" s="1"/>
  <c r="AX285" i="31"/>
  <c r="AY285" i="31" s="1"/>
  <c r="AX527" i="31"/>
  <c r="AY527" i="31" s="1"/>
  <c r="AH384" i="31"/>
  <c r="AI384" i="31" s="1"/>
  <c r="AG384" i="31"/>
  <c r="AX516" i="31"/>
  <c r="AY516" i="31" s="1"/>
  <c r="AH388" i="31"/>
  <c r="AI388" i="31" s="1"/>
  <c r="AG388" i="31"/>
  <c r="AH396" i="31"/>
  <c r="AI396" i="31" s="1"/>
  <c r="AG396" i="31"/>
  <c r="AH153" i="31"/>
  <c r="AI153" i="31" s="1"/>
  <c r="AG153" i="31"/>
  <c r="AH465" i="31"/>
  <c r="AI465" i="31" s="1"/>
  <c r="AG465" i="31"/>
  <c r="AG233" i="31"/>
  <c r="AH233" i="31"/>
  <c r="AI233" i="31" s="1"/>
  <c r="AG552" i="31"/>
  <c r="AH552" i="31"/>
  <c r="AI552" i="31" s="1"/>
  <c r="AH288" i="31"/>
  <c r="AI288" i="31" s="1"/>
  <c r="AG288" i="31"/>
  <c r="AG504" i="31"/>
  <c r="AH504" i="31"/>
  <c r="AI504" i="31" s="1"/>
  <c r="AH602" i="31"/>
  <c r="AI602" i="31" s="1"/>
  <c r="AG602" i="31"/>
  <c r="AH130" i="31"/>
  <c r="AI130" i="31" s="1"/>
  <c r="AG130" i="31"/>
  <c r="AG392" i="31"/>
  <c r="AH392" i="31"/>
  <c r="AI392" i="31" s="1"/>
  <c r="AH535" i="31"/>
  <c r="AI535" i="31" s="1"/>
  <c r="AG535" i="31"/>
  <c r="AG524" i="31"/>
  <c r="AH524" i="31"/>
  <c r="AI524" i="31" s="1"/>
  <c r="AH220" i="31"/>
  <c r="AI220" i="31" s="1"/>
  <c r="AG220" i="31"/>
  <c r="AH75" i="31"/>
  <c r="AI75" i="31" s="1"/>
  <c r="AG75" i="31"/>
  <c r="AG82" i="31"/>
  <c r="AH82" i="31"/>
  <c r="AI82" i="31" s="1"/>
  <c r="AX99" i="31"/>
  <c r="AY99" i="31" s="1"/>
  <c r="AH592" i="31"/>
  <c r="AI592" i="31" s="1"/>
  <c r="AG592" i="31"/>
  <c r="AH507" i="31"/>
  <c r="AI507" i="31" s="1"/>
  <c r="AG507" i="31"/>
  <c r="AG136" i="31"/>
  <c r="AH136" i="31"/>
  <c r="AI136" i="31" s="1"/>
  <c r="AH213" i="31"/>
  <c r="AI213" i="31" s="1"/>
  <c r="AG213" i="31"/>
  <c r="AH289" i="31"/>
  <c r="AI289" i="31" s="1"/>
  <c r="AG289" i="31"/>
  <c r="AX395" i="31"/>
  <c r="AY395" i="31" s="1"/>
  <c r="AH287" i="31"/>
  <c r="AI287" i="31" s="1"/>
  <c r="AG287" i="31"/>
  <c r="AH312" i="31"/>
  <c r="AI312" i="31" s="1"/>
  <c r="AG312" i="31"/>
  <c r="AG433" i="31"/>
  <c r="AH433" i="31"/>
  <c r="AI433" i="31" s="1"/>
  <c r="AG250" i="31"/>
  <c r="AH250" i="31"/>
  <c r="AI250" i="31" s="1"/>
  <c r="AG543" i="31"/>
  <c r="AH543" i="31"/>
  <c r="AI543" i="31" s="1"/>
  <c r="AG330" i="31"/>
  <c r="AH330" i="31"/>
  <c r="AI330" i="31" s="1"/>
  <c r="AX228" i="31"/>
  <c r="AY228" i="31" s="1"/>
  <c r="AX181" i="31"/>
  <c r="AY181" i="31" s="1"/>
  <c r="AH81" i="31"/>
  <c r="AI81" i="31" s="1"/>
  <c r="AG81" i="31"/>
  <c r="AH96" i="31"/>
  <c r="AI96" i="31" s="1"/>
  <c r="AG96" i="31"/>
  <c r="AH162" i="31"/>
  <c r="AI162" i="31" s="1"/>
  <c r="AG162" i="31"/>
  <c r="AH370" i="31"/>
  <c r="AI370" i="31" s="1"/>
  <c r="AG370" i="31"/>
  <c r="AH274" i="31"/>
  <c r="AI274" i="31" s="1"/>
  <c r="AG274" i="31"/>
  <c r="AH377" i="31"/>
  <c r="AI377" i="31" s="1"/>
  <c r="AG377" i="31"/>
  <c r="AH291" i="31"/>
  <c r="AI291" i="31" s="1"/>
  <c r="AG291" i="31"/>
  <c r="AX603" i="31"/>
  <c r="AY603" i="31" s="1"/>
  <c r="AX304" i="31"/>
  <c r="AY304" i="31" s="1"/>
  <c r="AG462" i="31"/>
  <c r="AH462" i="31"/>
  <c r="AI462" i="31" s="1"/>
  <c r="AX565" i="31"/>
  <c r="AY565" i="31" s="1"/>
  <c r="AH493" i="31"/>
  <c r="AI493" i="31" s="1"/>
  <c r="AG493" i="31"/>
  <c r="AV492" i="31" s="1"/>
  <c r="AW492" i="31" s="1"/>
  <c r="AH116" i="31"/>
  <c r="AI116" i="31" s="1"/>
  <c r="AG116" i="31"/>
  <c r="AV115" i="31" s="1"/>
  <c r="AW115" i="31" s="1"/>
  <c r="AH17" i="31"/>
  <c r="AI17" i="31" s="1"/>
  <c r="AG17" i="31"/>
  <c r="AH468" i="31"/>
  <c r="AI468" i="31" s="1"/>
  <c r="AG468" i="31"/>
  <c r="AV467" i="31" s="1"/>
  <c r="AW467" i="31" s="1"/>
  <c r="AG292" i="31"/>
  <c r="AH292" i="31"/>
  <c r="AI292" i="31" s="1"/>
  <c r="AH299" i="31"/>
  <c r="AI299" i="31" s="1"/>
  <c r="AG299" i="31"/>
  <c r="AG447" i="31"/>
  <c r="AH447" i="31"/>
  <c r="AI447" i="31" s="1"/>
  <c r="AH500" i="31"/>
  <c r="AI500" i="31" s="1"/>
  <c r="AG500" i="31"/>
  <c r="AG298" i="31"/>
  <c r="AH298" i="31"/>
  <c r="AI298" i="31" s="1"/>
  <c r="AG184" i="31"/>
  <c r="AH184" i="31"/>
  <c r="AI184" i="31" s="1"/>
  <c r="AG314" i="31"/>
  <c r="AH314" i="31"/>
  <c r="AI314" i="31" s="1"/>
  <c r="AH365" i="31"/>
  <c r="AI365" i="31" s="1"/>
  <c r="AG365" i="31"/>
  <c r="AG221" i="31"/>
  <c r="AH221" i="31"/>
  <c r="AI221" i="31" s="1"/>
  <c r="AX36" i="31"/>
  <c r="AY36" i="31" s="1"/>
  <c r="AG228" i="31"/>
  <c r="AH228" i="31"/>
  <c r="AI228" i="31" s="1"/>
  <c r="AG623" i="31"/>
  <c r="F633" i="31" s="1"/>
  <c r="AH623" i="31"/>
  <c r="AI623" i="31" s="1"/>
  <c r="AG191" i="31"/>
  <c r="AH191" i="31"/>
  <c r="AI191" i="31" s="1"/>
  <c r="AH156" i="31"/>
  <c r="AI156" i="31" s="1"/>
  <c r="AG156" i="31"/>
  <c r="AX248" i="31"/>
  <c r="AY248" i="31" s="1"/>
  <c r="AX111" i="31"/>
  <c r="AY111" i="31" s="1"/>
  <c r="AX362" i="31"/>
  <c r="AY362" i="31" s="1"/>
  <c r="AH58" i="31"/>
  <c r="AI58" i="31" s="1"/>
  <c r="AG58" i="31"/>
  <c r="AH26" i="31"/>
  <c r="AI26" i="31" s="1"/>
  <c r="AG26" i="31"/>
  <c r="AX595" i="31"/>
  <c r="AY595" i="31" s="1"/>
  <c r="AH547" i="31"/>
  <c r="AI547" i="31" s="1"/>
  <c r="AG547" i="31"/>
  <c r="AH522" i="31"/>
  <c r="AI522" i="31" s="1"/>
  <c r="AG522" i="31"/>
  <c r="AH373" i="31"/>
  <c r="AI373" i="31" s="1"/>
  <c r="AG373" i="31"/>
  <c r="AG66" i="31"/>
  <c r="AH66" i="31"/>
  <c r="AI66" i="31" s="1"/>
  <c r="AH69" i="31"/>
  <c r="AI69" i="31" s="1"/>
  <c r="AG69" i="31"/>
  <c r="AX239" i="31"/>
  <c r="AY239" i="31" s="1"/>
  <c r="AH238" i="31"/>
  <c r="AI238" i="31" s="1"/>
  <c r="AG238" i="31"/>
  <c r="AG270" i="31"/>
  <c r="AH270" i="31"/>
  <c r="AI270" i="31" s="1"/>
  <c r="AG176" i="31"/>
  <c r="AH176" i="31"/>
  <c r="AI176" i="31" s="1"/>
  <c r="AG422" i="31"/>
  <c r="AH422" i="31"/>
  <c r="AI422" i="31" s="1"/>
  <c r="AX314" i="31"/>
  <c r="AY314" i="31" s="1"/>
  <c r="AX593" i="31"/>
  <c r="AY593" i="31" s="1"/>
  <c r="AH343" i="31"/>
  <c r="AI343" i="31" s="1"/>
  <c r="AG343" i="31"/>
  <c r="AX540" i="31"/>
  <c r="AY540" i="31" s="1"/>
  <c r="AX331" i="31"/>
  <c r="AY331" i="31" s="1"/>
  <c r="AG353" i="31"/>
  <c r="AH353" i="31"/>
  <c r="AI353" i="31" s="1"/>
  <c r="AH195" i="31"/>
  <c r="AI195" i="31" s="1"/>
  <c r="AG195" i="31"/>
  <c r="AH416" i="31"/>
  <c r="AI416" i="31" s="1"/>
  <c r="AG416" i="31"/>
  <c r="AH466" i="31"/>
  <c r="AI466" i="31" s="1"/>
  <c r="AG466" i="31"/>
  <c r="AH73" i="31"/>
  <c r="AI73" i="31" s="1"/>
  <c r="AG73" i="31"/>
  <c r="AX307" i="31"/>
  <c r="AY307" i="31" s="1"/>
  <c r="AX162" i="31"/>
  <c r="AY162" i="31" s="1"/>
  <c r="AG273" i="31"/>
  <c r="AH273" i="31"/>
  <c r="AI273" i="31" s="1"/>
  <c r="AH436" i="31"/>
  <c r="AI436" i="31" s="1"/>
  <c r="AG436" i="31"/>
  <c r="AG48" i="31"/>
  <c r="AH48" i="31"/>
  <c r="AI48" i="31" s="1"/>
  <c r="AX100" i="31"/>
  <c r="AY100" i="31" s="1"/>
  <c r="AX443" i="31"/>
  <c r="AY443" i="31" s="1"/>
  <c r="AX563" i="31"/>
  <c r="AY563" i="31" s="1"/>
  <c r="AG310" i="31"/>
  <c r="AH310" i="31"/>
  <c r="AI310" i="31" s="1"/>
  <c r="AH51" i="31"/>
  <c r="AI51" i="31" s="1"/>
  <c r="AG51" i="31"/>
  <c r="AX576" i="31"/>
  <c r="AY576" i="31" s="1"/>
  <c r="AX544" i="31"/>
  <c r="AY544" i="31" s="1"/>
  <c r="AH456" i="31"/>
  <c r="AI456" i="31" s="1"/>
  <c r="AG456" i="31"/>
  <c r="AX33" i="31"/>
  <c r="AY33" i="31" s="1"/>
  <c r="AH496" i="31"/>
  <c r="AI496" i="31" s="1"/>
  <c r="AG496" i="31"/>
  <c r="AX451" i="31"/>
  <c r="AY451" i="31" s="1"/>
  <c r="AX373" i="31"/>
  <c r="AY373" i="31" s="1"/>
  <c r="AH403" i="31"/>
  <c r="AI403" i="31" s="1"/>
  <c r="AG403" i="31"/>
  <c r="AX169" i="31"/>
  <c r="AY169" i="31" s="1"/>
  <c r="AH93" i="31"/>
  <c r="AI93" i="31" s="1"/>
  <c r="AG93" i="31"/>
  <c r="AG563" i="31"/>
  <c r="AH563" i="31"/>
  <c r="AI563" i="31" s="1"/>
  <c r="AX471" i="31"/>
  <c r="AY471" i="31" s="1"/>
  <c r="AX205" i="31"/>
  <c r="AY205" i="31" s="1"/>
  <c r="AG80" i="31"/>
  <c r="AH80" i="31"/>
  <c r="AI80" i="31" s="1"/>
  <c r="AH157" i="31"/>
  <c r="AI157" i="31" s="1"/>
  <c r="AG157" i="31"/>
  <c r="AV156" i="31" s="1"/>
  <c r="AW156" i="31" s="1"/>
  <c r="AH494" i="31"/>
  <c r="AI494" i="31" s="1"/>
  <c r="AG494" i="31"/>
  <c r="AH215" i="31"/>
  <c r="AI215" i="31" s="1"/>
  <c r="AG215" i="31"/>
  <c r="AX271" i="31"/>
  <c r="AY271" i="31" s="1"/>
  <c r="AX267" i="31"/>
  <c r="AY267" i="31" s="1"/>
  <c r="AH146" i="31"/>
  <c r="AI146" i="31" s="1"/>
  <c r="AG146" i="31"/>
  <c r="AX159" i="31"/>
  <c r="AY159" i="31" s="1"/>
  <c r="AH568" i="31"/>
  <c r="AI568" i="31" s="1"/>
  <c r="AG568" i="31"/>
  <c r="AG283" i="31"/>
  <c r="AH283" i="31"/>
  <c r="AI283" i="31" s="1"/>
  <c r="AX502" i="31"/>
  <c r="AY502" i="31" s="1"/>
  <c r="AG125" i="31"/>
  <c r="AH125" i="31"/>
  <c r="AI125" i="31" s="1"/>
  <c r="AG584" i="31"/>
  <c r="AH584" i="31"/>
  <c r="AI584" i="31" s="1"/>
  <c r="AG300" i="31"/>
  <c r="AH300" i="31"/>
  <c r="AI300" i="31" s="1"/>
  <c r="AH313" i="31"/>
  <c r="AI313" i="31" s="1"/>
  <c r="AG313" i="31"/>
  <c r="AG476" i="31"/>
  <c r="AH476" i="31"/>
  <c r="AI476" i="31" s="1"/>
  <c r="AG597" i="31"/>
  <c r="AH597" i="31"/>
  <c r="AI597" i="31" s="1"/>
  <c r="AH263" i="31"/>
  <c r="AI263" i="31" s="1"/>
  <c r="AG263" i="31"/>
  <c r="AH45" i="31"/>
  <c r="AI45" i="31" s="1"/>
  <c r="AG45" i="31"/>
  <c r="AH569" i="31"/>
  <c r="AI569" i="31" s="1"/>
  <c r="AG569" i="31"/>
  <c r="AH544" i="31"/>
  <c r="AI544" i="31" s="1"/>
  <c r="AG544" i="31"/>
  <c r="AH104" i="31"/>
  <c r="AI104" i="31" s="1"/>
  <c r="AG104" i="31"/>
  <c r="AV103" i="31" s="1"/>
  <c r="AW103" i="31" s="1"/>
  <c r="AG110" i="31"/>
  <c r="AH110" i="31"/>
  <c r="AI110" i="31" s="1"/>
  <c r="AH155" i="31"/>
  <c r="AI155" i="31" s="1"/>
  <c r="AG155" i="31"/>
  <c r="AH464" i="31"/>
  <c r="AI464" i="31" s="1"/>
  <c r="AG464" i="31"/>
  <c r="AX15" i="31"/>
  <c r="AY15" i="31" s="1"/>
  <c r="AH262" i="31"/>
  <c r="AI262" i="31" s="1"/>
  <c r="AG262" i="31"/>
  <c r="AH181" i="31"/>
  <c r="AI181" i="31" s="1"/>
  <c r="AG181" i="31"/>
  <c r="AH357" i="31"/>
  <c r="AI357" i="31" s="1"/>
  <c r="AG357" i="31"/>
  <c r="AH601" i="31"/>
  <c r="AI601" i="31" s="1"/>
  <c r="AG601" i="31"/>
  <c r="AH150" i="31"/>
  <c r="AI150" i="31" s="1"/>
  <c r="AG150" i="31"/>
  <c r="AG145" i="31"/>
  <c r="AH145" i="31"/>
  <c r="AI145" i="31" s="1"/>
  <c r="AH127" i="31"/>
  <c r="AI127" i="31" s="1"/>
  <c r="AG127" i="31"/>
  <c r="AH355" i="31"/>
  <c r="AI355" i="31" s="1"/>
  <c r="AG355" i="31"/>
  <c r="AX341" i="31"/>
  <c r="AY341" i="31" s="1"/>
  <c r="AX143" i="31"/>
  <c r="AY143" i="31" s="1"/>
  <c r="AH55" i="31"/>
  <c r="AI55" i="31" s="1"/>
  <c r="AG55" i="31"/>
  <c r="AH42" i="31"/>
  <c r="AI42" i="31" s="1"/>
  <c r="AG42" i="31"/>
  <c r="AH344" i="31"/>
  <c r="AI344" i="31" s="1"/>
  <c r="AG344" i="31"/>
  <c r="AG207" i="31"/>
  <c r="AH207" i="31"/>
  <c r="AI207" i="31" s="1"/>
  <c r="AH435" i="31"/>
  <c r="AI435" i="31" s="1"/>
  <c r="AG435" i="31"/>
  <c r="AH282" i="31"/>
  <c r="AI282" i="31" s="1"/>
  <c r="AG282" i="31"/>
  <c r="AV281" i="31" s="1"/>
  <c r="AW281" i="31" s="1"/>
  <c r="AH119" i="31"/>
  <c r="AI119" i="31" s="1"/>
  <c r="AG119" i="31"/>
  <c r="AX601" i="31"/>
  <c r="AY601" i="31" s="1"/>
  <c r="AH319" i="31"/>
  <c r="AI319" i="31" s="1"/>
  <c r="AG319" i="31"/>
  <c r="AH311" i="31"/>
  <c r="AI311" i="31" s="1"/>
  <c r="AG311" i="31"/>
  <c r="AH183" i="31"/>
  <c r="AI183" i="31" s="1"/>
  <c r="AG183" i="31"/>
  <c r="AG360" i="31"/>
  <c r="AH360" i="31"/>
  <c r="AI360" i="31" s="1"/>
  <c r="AX351" i="31"/>
  <c r="AY351" i="31" s="1"/>
  <c r="AH126" i="31"/>
  <c r="AI126" i="31" s="1"/>
  <c r="AG126" i="31"/>
  <c r="AG420" i="31"/>
  <c r="AH420" i="31"/>
  <c r="AI420" i="31" s="1"/>
  <c r="AX311" i="31"/>
  <c r="AY311" i="31" s="1"/>
  <c r="AH190" i="31"/>
  <c r="AI190" i="31" s="1"/>
  <c r="AG190" i="31"/>
  <c r="AX277" i="31"/>
  <c r="AY277" i="31" s="1"/>
  <c r="AX247" i="31"/>
  <c r="AY247" i="31" s="1"/>
  <c r="AX270" i="31"/>
  <c r="AY270" i="31" s="1"/>
  <c r="AG239" i="31"/>
  <c r="AH239" i="31"/>
  <c r="AI239" i="31" s="1"/>
  <c r="AH210" i="31"/>
  <c r="AI210" i="31" s="1"/>
  <c r="AG210" i="31"/>
  <c r="AG20" i="31"/>
  <c r="AH20" i="31"/>
  <c r="AI20" i="31" s="1"/>
  <c r="AH477" i="31"/>
  <c r="AI477" i="31" s="1"/>
  <c r="AG477" i="31"/>
  <c r="AH550" i="31"/>
  <c r="AI550" i="31" s="1"/>
  <c r="AG550" i="31"/>
  <c r="AH501" i="31"/>
  <c r="AI501" i="31" s="1"/>
  <c r="AG501" i="31"/>
  <c r="AX136" i="31"/>
  <c r="AY136" i="31" s="1"/>
  <c r="AG158" i="31"/>
  <c r="AH158" i="31"/>
  <c r="AI158" i="31" s="1"/>
  <c r="AH540" i="31"/>
  <c r="AI540" i="31" s="1"/>
  <c r="AG540" i="31"/>
  <c r="AX532" i="31"/>
  <c r="AY532" i="31" s="1"/>
  <c r="AH499" i="31"/>
  <c r="AI499" i="31" s="1"/>
  <c r="AG499" i="31"/>
  <c r="AX349" i="31"/>
  <c r="AY349" i="31" s="1"/>
  <c r="AG579" i="31"/>
  <c r="AH579" i="31"/>
  <c r="AI579" i="31" s="1"/>
  <c r="AH214" i="31"/>
  <c r="AI214" i="31" s="1"/>
  <c r="AG214" i="31"/>
  <c r="AG361" i="31"/>
  <c r="AH361" i="31"/>
  <c r="AI361" i="31" s="1"/>
  <c r="AX398" i="31"/>
  <c r="AY398" i="31" s="1"/>
  <c r="AX183" i="31"/>
  <c r="AY183" i="31" s="1"/>
  <c r="AH324" i="31"/>
  <c r="AI324" i="31" s="1"/>
  <c r="AG324" i="31"/>
  <c r="AH264" i="31"/>
  <c r="AI264" i="31" s="1"/>
  <c r="AG264" i="31"/>
  <c r="AH189" i="31"/>
  <c r="AI189" i="31" s="1"/>
  <c r="AG189" i="31"/>
  <c r="AH578" i="31"/>
  <c r="AI578" i="31" s="1"/>
  <c r="AG578" i="31"/>
  <c r="AH266" i="31"/>
  <c r="AI266" i="31" s="1"/>
  <c r="AG266" i="31"/>
  <c r="AH172" i="31"/>
  <c r="AI172" i="31" s="1"/>
  <c r="AG172" i="31"/>
  <c r="AX590" i="31"/>
  <c r="AY590" i="31" s="1"/>
  <c r="AH68" i="31"/>
  <c r="AI68" i="31" s="1"/>
  <c r="AG68" i="31"/>
  <c r="AH74" i="31"/>
  <c r="AI74" i="31" s="1"/>
  <c r="AG74" i="31"/>
  <c r="AX137" i="31"/>
  <c r="AY137" i="31" s="1"/>
  <c r="AG200" i="31"/>
  <c r="AH200" i="31"/>
  <c r="AI200" i="31" s="1"/>
  <c r="AH22" i="31"/>
  <c r="AI22" i="31" s="1"/>
  <c r="AG22" i="31"/>
  <c r="AV21" i="31" s="1"/>
  <c r="AW21" i="31" s="1"/>
  <c r="AX551" i="31"/>
  <c r="AY551" i="31" s="1"/>
  <c r="AG85" i="31"/>
  <c r="AV84" i="31" s="1"/>
  <c r="AW84" i="31" s="1"/>
  <c r="AH85" i="31"/>
  <c r="AI85" i="31" s="1"/>
  <c r="AX57" i="31"/>
  <c r="AY57" i="31" s="1"/>
  <c r="AX524" i="31"/>
  <c r="AY524" i="31" s="1"/>
  <c r="AH86" i="31"/>
  <c r="AI86" i="31" s="1"/>
  <c r="AG86" i="31"/>
  <c r="AX22" i="31"/>
  <c r="AY22" i="31" s="1"/>
  <c r="AX25" i="31"/>
  <c r="AY25" i="31" s="1"/>
  <c r="AH485" i="31"/>
  <c r="AI485" i="31" s="1"/>
  <c r="AG485" i="31"/>
  <c r="AH186" i="31"/>
  <c r="AI186" i="31" s="1"/>
  <c r="AG186" i="31"/>
  <c r="AV185" i="31" s="1"/>
  <c r="AW185" i="31" s="1"/>
  <c r="AH139" i="31"/>
  <c r="AI139" i="31" s="1"/>
  <c r="AG139" i="31"/>
  <c r="AH329" i="31"/>
  <c r="AI329" i="31" s="1"/>
  <c r="AG329" i="31"/>
  <c r="AH391" i="31"/>
  <c r="AI391" i="31" s="1"/>
  <c r="AG391" i="31"/>
  <c r="AG52" i="31"/>
  <c r="AH52" i="31"/>
  <c r="AI52" i="31" s="1"/>
  <c r="AX344" i="31"/>
  <c r="AY344" i="31" s="1"/>
  <c r="AG594" i="31"/>
  <c r="AH594" i="31"/>
  <c r="AI594" i="31" s="1"/>
  <c r="AX357" i="31"/>
  <c r="AY357" i="31" s="1"/>
  <c r="AX342" i="31"/>
  <c r="AY342" i="31" s="1"/>
  <c r="AG426" i="31"/>
  <c r="AH426" i="31"/>
  <c r="AI426" i="31" s="1"/>
  <c r="AH473" i="31"/>
  <c r="AI473" i="31" s="1"/>
  <c r="AG473" i="31"/>
  <c r="AG244" i="31"/>
  <c r="AH244" i="31"/>
  <c r="AI244" i="31" s="1"/>
  <c r="AH204" i="31"/>
  <c r="AI204" i="31" s="1"/>
  <c r="AG204" i="31"/>
  <c r="AX401" i="31"/>
  <c r="AY401" i="31" s="1"/>
  <c r="AG368" i="31"/>
  <c r="AH368" i="31"/>
  <c r="AI368" i="31" s="1"/>
  <c r="AG164" i="31"/>
  <c r="AH164" i="31"/>
  <c r="AI164" i="31" s="1"/>
  <c r="AG148" i="31"/>
  <c r="AH148" i="31"/>
  <c r="AI148" i="31" s="1"/>
  <c r="AH389" i="31"/>
  <c r="AI389" i="31" s="1"/>
  <c r="AG389" i="31"/>
  <c r="AX301" i="31"/>
  <c r="AY301" i="31" s="1"/>
  <c r="AH88" i="31"/>
  <c r="AI88" i="31" s="1"/>
  <c r="AG88" i="31"/>
  <c r="AX131" i="31"/>
  <c r="AY131" i="31" s="1"/>
  <c r="AX535" i="31"/>
  <c r="AY535" i="31" s="1"/>
  <c r="AH413" i="31"/>
  <c r="AI413" i="31" s="1"/>
  <c r="AG413" i="31"/>
  <c r="AX292" i="31"/>
  <c r="AY292" i="31" s="1"/>
  <c r="AH461" i="31"/>
  <c r="AI461" i="31" s="1"/>
  <c r="AG461" i="31"/>
  <c r="AH412" i="31"/>
  <c r="AI412" i="31" s="1"/>
  <c r="AG412" i="31"/>
  <c r="AH607" i="31"/>
  <c r="AI607" i="31" s="1"/>
  <c r="AG607" i="31"/>
  <c r="AH481" i="31"/>
  <c r="AI481" i="31" s="1"/>
  <c r="AG481" i="31"/>
  <c r="AH542" i="31"/>
  <c r="AI542" i="31" s="1"/>
  <c r="AG542" i="31"/>
  <c r="AX402" i="31"/>
  <c r="AY402" i="31" s="1"/>
  <c r="AH556" i="31"/>
  <c r="AI556" i="31" s="1"/>
  <c r="AG556" i="31"/>
  <c r="AX92" i="31"/>
  <c r="AY92" i="31" s="1"/>
  <c r="AH71" i="31"/>
  <c r="AI71" i="31" s="1"/>
  <c r="AG71" i="31"/>
  <c r="AX308" i="31"/>
  <c r="AY308" i="31" s="1"/>
  <c r="AG252" i="31"/>
  <c r="AH252" i="31"/>
  <c r="AI252" i="31" s="1"/>
  <c r="AH260" i="31"/>
  <c r="AI260" i="31" s="1"/>
  <c r="AG260" i="31"/>
  <c r="AX156" i="31"/>
  <c r="AY156" i="31" s="1"/>
  <c r="AX240" i="31"/>
  <c r="AY240" i="31" s="1"/>
  <c r="AX493" i="31"/>
  <c r="AY493" i="31" s="1"/>
  <c r="AX378" i="31"/>
  <c r="AY378" i="31" s="1"/>
  <c r="AH246" i="31"/>
  <c r="AI246" i="31" s="1"/>
  <c r="AG246" i="31"/>
  <c r="AX145" i="31"/>
  <c r="AY145" i="31" s="1"/>
  <c r="AH227" i="31"/>
  <c r="AI227" i="31" s="1"/>
  <c r="AG227" i="31"/>
  <c r="AH46" i="31"/>
  <c r="AI46" i="31" s="1"/>
  <c r="AG46" i="31"/>
  <c r="AX282" i="31"/>
  <c r="AY282" i="31" s="1"/>
  <c r="AH121" i="31"/>
  <c r="AI121" i="31" s="1"/>
  <c r="AG121" i="31"/>
  <c r="AX117" i="31"/>
  <c r="AY117" i="31" s="1"/>
  <c r="AH123" i="31"/>
  <c r="AI123" i="31" s="1"/>
  <c r="AG123" i="31"/>
  <c r="AH242" i="31"/>
  <c r="AI242" i="31" s="1"/>
  <c r="AG242" i="31"/>
  <c r="AX420" i="31"/>
  <c r="AY420" i="31" s="1"/>
  <c r="AX187" i="31"/>
  <c r="AY187" i="31" s="1"/>
  <c r="AH194" i="31"/>
  <c r="AI194" i="31" s="1"/>
  <c r="AG194" i="31"/>
  <c r="AX124" i="31"/>
  <c r="AY124" i="31" s="1"/>
  <c r="AH495" i="31"/>
  <c r="AI495" i="31" s="1"/>
  <c r="AG495" i="31"/>
  <c r="AH486" i="31"/>
  <c r="AI486" i="31" s="1"/>
  <c r="AG486" i="31"/>
  <c r="AX312" i="31"/>
  <c r="AY312" i="31" s="1"/>
  <c r="AX475" i="31"/>
  <c r="AY475" i="31" s="1"/>
  <c r="Q17" i="8"/>
  <c r="R17" i="8" s="1"/>
  <c r="E221" i="2" s="1"/>
  <c r="G220" i="2"/>
  <c r="E67" i="1" s="1"/>
  <c r="H220" i="2"/>
  <c r="AV555" i="31" l="1"/>
  <c r="AW555" i="31" s="1"/>
  <c r="AV582" i="31"/>
  <c r="AW582" i="31" s="1"/>
  <c r="AV505" i="31"/>
  <c r="AW505" i="31" s="1"/>
  <c r="AV358" i="31"/>
  <c r="AW358" i="31" s="1"/>
  <c r="AV50" i="31"/>
  <c r="AW50" i="31" s="1"/>
  <c r="AV546" i="31"/>
  <c r="AW546" i="31" s="1"/>
  <c r="AV604" i="31"/>
  <c r="AW604" i="31" s="1"/>
  <c r="AV417" i="31"/>
  <c r="AW417" i="31" s="1"/>
  <c r="AV171" i="31"/>
  <c r="AW171" i="31" s="1"/>
  <c r="AV539" i="31"/>
  <c r="AW539" i="31" s="1"/>
  <c r="AV154" i="31"/>
  <c r="AW154" i="31" s="1"/>
  <c r="AV92" i="31"/>
  <c r="AW92" i="31" s="1"/>
  <c r="AV54" i="31"/>
  <c r="AW54" i="31" s="1"/>
  <c r="AV455" i="31"/>
  <c r="AW455" i="31" s="1"/>
  <c r="AV143" i="31"/>
  <c r="AW143" i="31" s="1"/>
  <c r="AV553" i="31"/>
  <c r="AW553" i="31" s="1"/>
  <c r="AV33" i="31"/>
  <c r="AW33" i="31" s="1"/>
  <c r="AV328" i="31"/>
  <c r="AW328" i="31" s="1"/>
  <c r="AV72" i="31"/>
  <c r="AW72" i="31" s="1"/>
  <c r="AV402" i="31"/>
  <c r="AW402" i="31" s="1"/>
  <c r="AV362" i="31"/>
  <c r="AW362" i="31" s="1"/>
  <c r="AV251" i="31"/>
  <c r="AW251" i="31" s="1"/>
  <c r="AV124" i="31"/>
  <c r="AW124" i="31" s="1"/>
  <c r="AV258" i="31"/>
  <c r="AW258" i="31" s="1"/>
  <c r="B224" i="2"/>
  <c r="B223" i="2"/>
  <c r="AV241" i="31"/>
  <c r="AW241" i="31" s="1"/>
  <c r="AV70" i="31"/>
  <c r="AW70" i="31" s="1"/>
  <c r="AV480" i="31"/>
  <c r="AW480" i="31" s="1"/>
  <c r="AV261" i="31"/>
  <c r="AW261" i="31" s="1"/>
  <c r="AV79" i="31"/>
  <c r="AW79" i="31" s="1"/>
  <c r="AV117" i="31"/>
  <c r="AW117" i="31" s="1"/>
  <c r="AV588" i="31"/>
  <c r="AW588" i="31" s="1"/>
  <c r="AV224" i="31"/>
  <c r="AW224" i="31" s="1"/>
  <c r="AV449" i="31"/>
  <c r="AW449" i="31" s="1"/>
  <c r="AV201" i="31"/>
  <c r="AW201" i="31" s="1"/>
  <c r="AV474" i="31"/>
  <c r="AW474" i="31" s="1"/>
  <c r="AV367" i="31"/>
  <c r="AW367" i="31" s="1"/>
  <c r="AV606" i="31"/>
  <c r="AW606" i="31" s="1"/>
  <c r="AV209" i="31"/>
  <c r="AW209" i="31" s="1"/>
  <c r="AV551" i="31"/>
  <c r="AW551" i="31" s="1"/>
  <c r="AV111" i="31"/>
  <c r="AW111" i="31" s="1"/>
  <c r="AV457" i="31"/>
  <c r="AW457" i="31" s="1"/>
  <c r="AV134" i="31"/>
  <c r="AW134" i="31" s="1"/>
  <c r="AV64" i="31"/>
  <c r="AW64" i="31" s="1"/>
  <c r="AV259" i="31"/>
  <c r="AW259" i="31" s="1"/>
  <c r="AV147" i="31"/>
  <c r="AW147" i="31" s="1"/>
  <c r="AV352" i="31"/>
  <c r="AW352" i="31" s="1"/>
  <c r="AV530" i="31"/>
  <c r="AW530" i="31" s="1"/>
  <c r="AV272" i="31"/>
  <c r="AW272" i="31" s="1"/>
  <c r="AV297" i="31"/>
  <c r="AW297" i="31" s="1"/>
  <c r="AV483" i="31"/>
  <c r="AW483" i="31" s="1"/>
  <c r="AV372" i="31"/>
  <c r="AW372" i="31" s="1"/>
  <c r="AV343" i="31"/>
  <c r="AW343" i="31" s="1"/>
  <c r="AV567" i="31"/>
  <c r="AW567" i="31" s="1"/>
  <c r="AV59" i="31"/>
  <c r="AW59" i="31" s="1"/>
  <c r="AV405" i="31"/>
  <c r="AW405" i="31" s="1"/>
  <c r="AV600" i="31"/>
  <c r="AW600" i="31" s="1"/>
  <c r="AV586" i="31"/>
  <c r="AW586" i="31" s="1"/>
  <c r="AV452" i="31"/>
  <c r="AW452" i="31" s="1"/>
  <c r="AV576" i="31"/>
  <c r="AW576" i="31" s="1"/>
  <c r="AV437" i="31"/>
  <c r="AW437" i="31" s="1"/>
  <c r="AV149" i="31"/>
  <c r="AW149" i="31" s="1"/>
  <c r="AV596" i="31"/>
  <c r="AW596" i="31" s="1"/>
  <c r="AV232" i="31"/>
  <c r="AW232" i="31" s="1"/>
  <c r="AV159" i="31"/>
  <c r="AW159" i="31" s="1"/>
  <c r="AV106" i="31"/>
  <c r="AW106" i="31" s="1"/>
  <c r="AV142" i="31"/>
  <c r="AW142" i="31" s="1"/>
  <c r="AV199" i="31"/>
  <c r="AW199" i="31" s="1"/>
  <c r="AV271" i="31"/>
  <c r="AW271" i="31" s="1"/>
  <c r="AV95" i="31"/>
  <c r="AW95" i="31" s="1"/>
  <c r="AV267" i="31"/>
  <c r="AW267" i="31" s="1"/>
  <c r="AV19" i="31"/>
  <c r="AW19" i="31" s="1"/>
  <c r="AV508" i="31"/>
  <c r="AW508" i="31" s="1"/>
  <c r="AV337" i="31"/>
  <c r="AW337" i="31" s="1"/>
  <c r="AV393" i="31"/>
  <c r="AW393" i="31" s="1"/>
  <c r="AV305" i="31"/>
  <c r="AW305" i="31" s="1"/>
  <c r="AV179" i="31"/>
  <c r="AW179" i="31" s="1"/>
  <c r="AV87" i="31"/>
  <c r="AW87" i="31" s="1"/>
  <c r="AV419" i="31"/>
  <c r="AW419" i="31" s="1"/>
  <c r="AV534" i="31"/>
  <c r="AW534" i="31" s="1"/>
  <c r="AV434" i="31"/>
  <c r="AW434" i="31" s="1"/>
  <c r="AV25" i="31"/>
  <c r="AW25" i="31" s="1"/>
  <c r="AV400" i="31"/>
  <c r="AW400" i="31" s="1"/>
  <c r="AV516" i="31"/>
  <c r="AW516" i="31" s="1"/>
  <c r="AV144" i="31"/>
  <c r="AW144" i="31" s="1"/>
  <c r="AV269" i="31"/>
  <c r="AW269" i="31" s="1"/>
  <c r="AV276" i="31"/>
  <c r="AW276" i="31" s="1"/>
  <c r="AV541" i="31"/>
  <c r="AW541" i="31" s="1"/>
  <c r="AV484" i="31"/>
  <c r="AW484" i="31" s="1"/>
  <c r="AV169" i="31"/>
  <c r="AW169" i="31" s="1"/>
  <c r="AV439" i="31"/>
  <c r="AW439" i="31" s="1"/>
  <c r="AV62" i="31"/>
  <c r="AW62" i="31" s="1"/>
  <c r="AV28" i="31"/>
  <c r="AW28" i="31" s="1"/>
  <c r="AV217" i="31"/>
  <c r="AW217" i="31" s="1"/>
  <c r="AV35" i="31"/>
  <c r="AW35" i="31" s="1"/>
  <c r="AV18" i="31"/>
  <c r="AW18" i="31" s="1"/>
  <c r="AV213" i="31"/>
  <c r="AW213" i="31" s="1"/>
  <c r="AV548" i="31"/>
  <c r="AW548" i="31" s="1"/>
  <c r="AV131" i="31"/>
  <c r="AW131" i="31" s="1"/>
  <c r="AV382" i="31"/>
  <c r="AW382" i="31" s="1"/>
  <c r="AV118" i="31"/>
  <c r="AW118" i="31" s="1"/>
  <c r="AV364" i="31"/>
  <c r="AW364" i="31" s="1"/>
  <c r="AV611" i="31"/>
  <c r="AW611" i="31" s="1"/>
  <c r="AV521" i="31"/>
  <c r="AW521" i="31" s="1"/>
  <c r="AV129" i="31"/>
  <c r="AW129" i="31" s="1"/>
  <c r="AV562" i="31"/>
  <c r="AW562" i="31" s="1"/>
  <c r="AV523" i="31"/>
  <c r="AW523" i="31" s="1"/>
  <c r="AV120" i="31"/>
  <c r="AW120" i="31" s="1"/>
  <c r="AV163" i="31"/>
  <c r="AW163" i="31" s="1"/>
  <c r="AV99" i="31"/>
  <c r="AW99" i="31" s="1"/>
  <c r="AV65" i="31"/>
  <c r="AW65" i="31" s="1"/>
  <c r="AV366" i="31"/>
  <c r="AW366" i="31" s="1"/>
  <c r="AV135" i="31"/>
  <c r="AW135" i="31" s="1"/>
  <c r="AV284" i="31"/>
  <c r="AW284" i="31" s="1"/>
  <c r="AV109" i="31"/>
  <c r="AW109" i="31" s="1"/>
  <c r="AV122" i="31"/>
  <c r="AW122" i="31" s="1"/>
  <c r="AV394" i="31"/>
  <c r="AW394" i="31" s="1"/>
  <c r="AV411" i="31"/>
  <c r="AW411" i="31" s="1"/>
  <c r="AV593" i="31"/>
  <c r="AW593" i="31" s="1"/>
  <c r="AV356" i="31"/>
  <c r="AW356" i="31" s="1"/>
  <c r="AV572" i="31"/>
  <c r="AW572" i="31" s="1"/>
  <c r="AV166" i="31"/>
  <c r="AW166" i="31" s="1"/>
  <c r="AV101" i="31"/>
  <c r="AW101" i="31" s="1"/>
  <c r="AV132" i="31"/>
  <c r="AW132" i="31" s="1"/>
  <c r="AV212" i="31"/>
  <c r="AW212" i="31" s="1"/>
  <c r="AV333" i="31"/>
  <c r="AW333" i="31" s="1"/>
  <c r="AV137" i="31"/>
  <c r="AW137" i="31" s="1"/>
  <c r="AV414" i="31"/>
  <c r="AW414" i="31" s="1"/>
  <c r="AV161" i="31"/>
  <c r="AW161" i="31" s="1"/>
  <c r="AV338" i="31"/>
  <c r="AW338" i="31" s="1"/>
  <c r="AV500" i="31"/>
  <c r="AW500" i="31" s="1"/>
  <c r="AV299" i="31"/>
  <c r="AW299" i="31" s="1"/>
  <c r="AV218" i="31"/>
  <c r="AW218" i="31" s="1"/>
  <c r="AV476" i="31"/>
  <c r="AW476" i="31" s="1"/>
  <c r="AV506" i="31"/>
  <c r="AW506" i="31" s="1"/>
  <c r="AV294" i="31"/>
  <c r="AW294" i="31" s="1"/>
  <c r="AV359" i="31"/>
  <c r="AW359" i="31" s="1"/>
  <c r="AV510" i="31"/>
  <c r="AW510" i="31" s="1"/>
  <c r="AV497" i="31"/>
  <c r="AW497" i="31" s="1"/>
  <c r="AV192" i="31"/>
  <c r="AW192" i="31" s="1"/>
  <c r="AV441" i="31"/>
  <c r="AW441" i="31" s="1"/>
  <c r="AV475" i="31"/>
  <c r="AW475" i="31" s="1"/>
  <c r="AV342" i="31"/>
  <c r="AW342" i="31" s="1"/>
  <c r="AV245" i="31"/>
  <c r="AW245" i="31" s="1"/>
  <c r="AV577" i="31"/>
  <c r="AW577" i="31" s="1"/>
  <c r="AV286" i="31"/>
  <c r="AW286" i="31" s="1"/>
  <c r="AV383" i="31"/>
  <c r="AW383" i="31" s="1"/>
  <c r="AV490" i="31"/>
  <c r="AW490" i="31" s="1"/>
  <c r="AV203" i="31"/>
  <c r="AW203" i="31" s="1"/>
  <c r="AV188" i="31"/>
  <c r="AW188" i="31" s="1"/>
  <c r="AV206" i="31"/>
  <c r="AW206" i="31" s="1"/>
  <c r="AV152" i="31"/>
  <c r="AW152" i="31" s="1"/>
  <c r="AV397" i="31"/>
  <c r="AW397" i="31" s="1"/>
  <c r="AV598" i="31"/>
  <c r="AW598" i="31" s="1"/>
  <c r="AV595" i="31"/>
  <c r="AW595" i="31" s="1"/>
  <c r="AV460" i="31"/>
  <c r="AW460" i="31" s="1"/>
  <c r="AV498" i="31"/>
  <c r="AW498" i="31" s="1"/>
  <c r="AV503" i="31"/>
  <c r="AW503" i="31" s="1"/>
  <c r="AV384" i="31"/>
  <c r="AW384" i="31" s="1"/>
  <c r="AV236" i="31"/>
  <c r="AW236" i="31" s="1"/>
  <c r="AV494" i="31"/>
  <c r="AW494" i="31" s="1"/>
  <c r="AV265" i="31"/>
  <c r="AW265" i="31" s="1"/>
  <c r="AV175" i="31"/>
  <c r="AW175" i="31" s="1"/>
  <c r="AV395" i="31"/>
  <c r="AW395" i="31" s="1"/>
  <c r="AV320" i="31"/>
  <c r="AW320" i="31" s="1"/>
  <c r="AV442" i="31"/>
  <c r="AW442" i="31" s="1"/>
  <c r="AV193" i="31"/>
  <c r="AW193" i="31" s="1"/>
  <c r="AV138" i="31"/>
  <c r="AW138" i="31" s="1"/>
  <c r="AV45" i="31"/>
  <c r="AW45" i="31" s="1"/>
  <c r="AV390" i="31"/>
  <c r="AW390" i="31" s="1"/>
  <c r="AV583" i="31"/>
  <c r="AW583" i="31" s="1"/>
  <c r="AV561" i="31"/>
  <c r="AW561" i="31" s="1"/>
  <c r="AV463" i="31"/>
  <c r="AW463" i="31" s="1"/>
  <c r="AV220" i="31"/>
  <c r="AW220" i="31" s="1"/>
  <c r="AV290" i="31"/>
  <c r="AW290" i="31" s="1"/>
  <c r="AV197" i="31"/>
  <c r="AW197" i="31" s="1"/>
  <c r="AV349" i="31"/>
  <c r="AW349" i="31" s="1"/>
  <c r="AV321" i="31"/>
  <c r="AW321" i="31" s="1"/>
  <c r="AV323" i="31"/>
  <c r="AW323" i="31" s="1"/>
  <c r="AV388" i="31"/>
  <c r="AW388" i="31" s="1"/>
  <c r="AV51" i="31"/>
  <c r="AW51" i="31" s="1"/>
  <c r="AV182" i="31"/>
  <c r="AW182" i="31" s="1"/>
  <c r="AV198" i="31"/>
  <c r="AW198" i="31" s="1"/>
  <c r="AV469" i="31"/>
  <c r="AW469" i="31" s="1"/>
  <c r="AV533" i="31"/>
  <c r="AW533" i="31" s="1"/>
  <c r="AV329" i="31"/>
  <c r="AW329" i="31" s="1"/>
  <c r="AV432" i="31"/>
  <c r="AW432" i="31" s="1"/>
  <c r="AV373" i="31"/>
  <c r="AW373" i="31" s="1"/>
  <c r="AV375" i="31"/>
  <c r="AW375" i="31" s="1"/>
  <c r="AV226" i="31"/>
  <c r="AW226" i="31" s="1"/>
  <c r="AV369" i="31"/>
  <c r="AW369" i="31" s="1"/>
  <c r="AV428" i="31"/>
  <c r="AW428" i="31" s="1"/>
  <c r="AV340" i="31"/>
  <c r="AW340" i="31" s="1"/>
  <c r="AV472" i="31"/>
  <c r="AW472" i="31" s="1"/>
  <c r="AV446" i="31"/>
  <c r="AW446" i="31" s="1"/>
  <c r="AV291" i="31"/>
  <c r="AW291" i="31" s="1"/>
  <c r="AV559" i="31"/>
  <c r="AW559" i="31" s="1"/>
  <c r="AV443" i="31"/>
  <c r="AW443" i="31" s="1"/>
  <c r="AV196" i="31"/>
  <c r="AW196" i="31" s="1"/>
  <c r="AV39" i="31"/>
  <c r="AW39" i="31" s="1"/>
  <c r="AV331" i="31"/>
  <c r="AW331" i="31" s="1"/>
  <c r="AV67" i="31"/>
  <c r="AW67" i="31" s="1"/>
  <c r="AV360" i="31"/>
  <c r="AW360" i="31" s="1"/>
  <c r="AV354" i="31"/>
  <c r="AW354" i="31" s="1"/>
  <c r="AV249" i="31"/>
  <c r="AW249" i="31" s="1"/>
  <c r="AV322" i="31"/>
  <c r="AW322" i="31" s="1"/>
  <c r="AV573" i="31"/>
  <c r="AW573" i="31" s="1"/>
  <c r="AV31" i="31"/>
  <c r="AW31" i="31" s="1"/>
  <c r="AV189" i="31"/>
  <c r="AW189" i="31" s="1"/>
  <c r="AV318" i="31"/>
  <c r="AW318" i="31" s="1"/>
  <c r="AV247" i="31"/>
  <c r="AW247" i="31" s="1"/>
  <c r="AV205" i="31"/>
  <c r="AW205" i="31" s="1"/>
  <c r="AV68" i="31"/>
  <c r="AW68" i="31" s="1"/>
  <c r="AV408" i="31"/>
  <c r="AW408" i="31" s="1"/>
  <c r="AV380" i="31"/>
  <c r="AW380" i="31" s="1"/>
  <c r="AV325" i="31"/>
  <c r="AW325" i="31" s="1"/>
  <c r="AV486" i="31"/>
  <c r="AW486" i="31" s="1"/>
  <c r="AV332" i="31"/>
  <c r="AW332" i="31" s="1"/>
  <c r="AV589" i="31"/>
  <c r="AW589" i="31" s="1"/>
  <c r="AV300" i="31"/>
  <c r="AW300" i="31" s="1"/>
  <c r="AV40" i="31"/>
  <c r="AW40" i="31" s="1"/>
  <c r="AV113" i="31"/>
  <c r="AW113" i="31" s="1"/>
  <c r="AV234" i="31"/>
  <c r="AW234" i="31" s="1"/>
  <c r="AV253" i="31"/>
  <c r="AW253" i="31" s="1"/>
  <c r="AV430" i="31"/>
  <c r="AW430" i="31" s="1"/>
  <c r="AV324" i="31"/>
  <c r="AW324" i="31" s="1"/>
  <c r="AV221" i="31"/>
  <c r="AW221" i="31" s="1"/>
  <c r="AV43" i="31"/>
  <c r="AW43" i="31" s="1"/>
  <c r="AV89" i="31"/>
  <c r="AW89" i="31" s="1"/>
  <c r="AV407" i="31"/>
  <c r="AW407" i="31" s="1"/>
  <c r="AV15" i="31"/>
  <c r="AW15" i="31" s="1"/>
  <c r="AV528" i="31"/>
  <c r="AW528" i="31" s="1"/>
  <c r="AV515" i="31"/>
  <c r="AW515" i="31" s="1"/>
  <c r="AV263" i="31"/>
  <c r="AW263" i="31" s="1"/>
  <c r="AV214" i="31"/>
  <c r="AW214" i="31" s="1"/>
  <c r="AV183" i="31"/>
  <c r="AW183" i="31" s="1"/>
  <c r="AV311" i="31"/>
  <c r="AW311" i="31" s="1"/>
  <c r="AV601" i="31"/>
  <c r="AW601" i="31" s="1"/>
  <c r="AV464" i="31"/>
  <c r="AW464" i="31" s="1"/>
  <c r="AV244" i="31"/>
  <c r="AW244" i="31" s="1"/>
  <c r="AV260" i="31"/>
  <c r="AW260" i="31" s="1"/>
  <c r="AV230" i="31"/>
  <c r="AW230" i="31" s="1"/>
  <c r="AV435" i="31"/>
  <c r="AW435" i="31" s="1"/>
  <c r="AV315" i="31"/>
  <c r="AW315" i="31" s="1"/>
  <c r="AV162" i="31"/>
  <c r="AW162" i="31" s="1"/>
  <c r="AV536" i="31"/>
  <c r="AW536" i="31" s="1"/>
  <c r="AV77" i="31"/>
  <c r="AW77" i="31" s="1"/>
  <c r="AV94" i="31"/>
  <c r="AW94" i="31" s="1"/>
  <c r="AV296" i="31"/>
  <c r="AW296" i="31" s="1"/>
  <c r="AV61" i="31"/>
  <c r="AW61" i="31" s="1"/>
  <c r="AV547" i="31"/>
  <c r="AW547" i="31" s="1"/>
  <c r="AV280" i="31"/>
  <c r="AW280" i="31" s="1"/>
  <c r="AV98" i="31"/>
  <c r="AW98" i="31" s="1"/>
  <c r="AV526" i="31"/>
  <c r="AW526" i="31" s="1"/>
  <c r="AV538" i="31"/>
  <c r="AW538" i="31" s="1"/>
  <c r="AV450" i="31"/>
  <c r="AW450" i="31" s="1"/>
  <c r="AV148" i="31"/>
  <c r="AW148" i="31" s="1"/>
  <c r="AV579" i="31"/>
  <c r="AW579" i="31" s="1"/>
  <c r="AV307" i="31"/>
  <c r="AW307" i="31" s="1"/>
  <c r="AV20" i="31"/>
  <c r="AW20" i="31" s="1"/>
  <c r="AV46" i="31"/>
  <c r="AW46" i="31" s="1"/>
  <c r="AV511" i="31"/>
  <c r="AW511" i="31" s="1"/>
  <c r="AV37" i="31"/>
  <c r="AW37" i="31" s="1"/>
  <c r="AV335" i="31"/>
  <c r="AW335" i="31" s="1"/>
  <c r="AY9" i="31"/>
  <c r="AV150" i="31"/>
  <c r="AW150" i="31" s="1"/>
  <c r="AV110" i="31"/>
  <c r="AW110" i="31" s="1"/>
  <c r="AV580" i="31"/>
  <c r="AW580" i="31" s="1"/>
  <c r="AV246" i="31"/>
  <c r="AW246" i="31" s="1"/>
  <c r="AV326" i="31"/>
  <c r="AW326" i="31" s="1"/>
  <c r="AV578" i="31"/>
  <c r="AW578" i="31" s="1"/>
  <c r="AV550" i="31"/>
  <c r="AW550" i="31" s="1"/>
  <c r="AV549" i="31"/>
  <c r="AW549" i="31" s="1"/>
  <c r="AV41" i="31"/>
  <c r="AW41" i="31" s="1"/>
  <c r="AV126" i="31"/>
  <c r="AW126" i="31" s="1"/>
  <c r="AV495" i="31"/>
  <c r="AW495" i="31" s="1"/>
  <c r="AV309" i="31"/>
  <c r="AW309" i="31" s="1"/>
  <c r="AV415" i="31"/>
  <c r="AW415" i="31" s="1"/>
  <c r="AV194" i="31"/>
  <c r="AW194" i="31" s="1"/>
  <c r="AV543" i="31"/>
  <c r="AW543" i="31" s="1"/>
  <c r="AV542" i="31"/>
  <c r="AW542" i="31" s="1"/>
  <c r="AV591" i="31"/>
  <c r="AW591" i="31" s="1"/>
  <c r="AV60" i="31"/>
  <c r="AW60" i="31" s="1"/>
  <c r="AV66" i="31"/>
  <c r="AW66" i="31" s="1"/>
  <c r="AV431" i="31"/>
  <c r="AW431" i="31" s="1"/>
  <c r="AV353" i="31"/>
  <c r="AW353" i="31" s="1"/>
  <c r="AV584" i="31"/>
  <c r="AW584" i="31" s="1"/>
  <c r="AV558" i="31"/>
  <c r="AW558" i="31" s="1"/>
  <c r="AV557" i="31"/>
  <c r="AW557" i="31" s="1"/>
  <c r="AV487" i="31"/>
  <c r="AW487" i="31" s="1"/>
  <c r="AV306" i="31"/>
  <c r="AW306" i="31" s="1"/>
  <c r="AV301" i="31"/>
  <c r="AW301" i="31" s="1"/>
  <c r="AV52" i="31"/>
  <c r="AW52" i="31" s="1"/>
  <c r="AV334" i="31"/>
  <c r="AW334" i="31" s="1"/>
  <c r="AV57" i="31"/>
  <c r="AW57" i="31" s="1"/>
  <c r="AV56" i="31"/>
  <c r="AW56" i="31" s="1"/>
  <c r="AV341" i="31"/>
  <c r="AW341" i="31" s="1"/>
  <c r="AV202" i="31"/>
  <c r="AW202" i="31" s="1"/>
  <c r="AV285" i="31"/>
  <c r="AW285" i="31" s="1"/>
  <c r="AV240" i="31"/>
  <c r="AW240" i="31" s="1"/>
  <c r="AV176" i="31"/>
  <c r="AW176" i="31" s="1"/>
  <c r="AV524" i="31"/>
  <c r="AW524" i="31" s="1"/>
  <c r="AV468" i="31"/>
  <c r="AW468" i="31" s="1"/>
  <c r="AV102" i="31"/>
  <c r="AW102" i="31" s="1"/>
  <c r="AV597" i="31"/>
  <c r="AW597" i="31" s="1"/>
  <c r="AV151" i="31"/>
  <c r="AW151" i="31" s="1"/>
  <c r="AV396" i="31"/>
  <c r="AW396" i="31" s="1"/>
  <c r="AV509" i="31"/>
  <c r="AW509" i="31" s="1"/>
  <c r="AV602" i="31"/>
  <c r="AW602" i="31" s="1"/>
  <c r="AV496" i="31"/>
  <c r="AW496" i="31" s="1"/>
  <c r="AV223" i="31"/>
  <c r="AW223" i="31" s="1"/>
  <c r="AV187" i="31"/>
  <c r="AW187" i="31" s="1"/>
  <c r="AV293" i="31"/>
  <c r="AW293" i="31" s="1"/>
  <c r="AV83" i="31"/>
  <c r="AW83" i="31" s="1"/>
  <c r="AV165" i="31"/>
  <c r="AW165" i="31" s="1"/>
  <c r="AV489" i="31"/>
  <c r="AW489" i="31" s="1"/>
  <c r="AV191" i="31"/>
  <c r="AW191" i="31" s="1"/>
  <c r="AV268" i="31"/>
  <c r="AW268" i="31" s="1"/>
  <c r="AV13" i="31"/>
  <c r="AW13" i="31" s="1"/>
  <c r="AV440" i="31"/>
  <c r="AW440" i="31" s="1"/>
  <c r="AV571" i="31"/>
  <c r="AW571" i="31" s="1"/>
  <c r="AV399" i="31"/>
  <c r="AW399" i="31" s="1"/>
  <c r="AV155" i="31"/>
  <c r="AW155" i="31" s="1"/>
  <c r="AV398" i="31"/>
  <c r="AW398" i="31" s="1"/>
  <c r="AV304" i="31"/>
  <c r="AW304" i="31" s="1"/>
  <c r="AV303" i="31"/>
  <c r="AW303" i="31" s="1"/>
  <c r="AV256" i="31"/>
  <c r="AW256" i="31" s="1"/>
  <c r="AV609" i="31"/>
  <c r="AW609" i="31" s="1"/>
  <c r="AV608" i="31"/>
  <c r="AW608" i="31" s="1"/>
  <c r="AV425" i="31"/>
  <c r="AW425" i="31" s="1"/>
  <c r="AV44" i="31"/>
  <c r="AW44" i="31" s="1"/>
  <c r="AV493" i="31"/>
  <c r="AW493" i="31" s="1"/>
  <c r="AV376" i="31"/>
  <c r="AW376" i="31" s="1"/>
  <c r="AV219" i="31"/>
  <c r="AW219" i="31" s="1"/>
  <c r="AV288" i="31"/>
  <c r="AW288" i="31" s="1"/>
  <c r="AV287" i="31"/>
  <c r="AW287" i="31" s="1"/>
  <c r="AV535" i="31"/>
  <c r="AW535" i="31" s="1"/>
  <c r="AV239" i="31"/>
  <c r="AW239" i="31" s="1"/>
  <c r="AV26" i="31"/>
  <c r="AW26" i="31" s="1"/>
  <c r="AV48" i="31"/>
  <c r="AW48" i="31" s="1"/>
  <c r="AV160" i="31"/>
  <c r="AW160" i="31" s="1"/>
  <c r="AV264" i="31"/>
  <c r="AW264" i="31" s="1"/>
  <c r="AV211" i="31"/>
  <c r="AW211" i="31" s="1"/>
  <c r="AV210" i="31"/>
  <c r="AW210" i="31" s="1"/>
  <c r="AV207" i="31"/>
  <c r="AW207" i="31" s="1"/>
  <c r="AV172" i="31"/>
  <c r="AW172" i="31" s="1"/>
  <c r="AV225" i="31"/>
  <c r="AW225" i="31" s="1"/>
  <c r="AV248" i="31"/>
  <c r="AW248" i="31" s="1"/>
  <c r="AV370" i="31"/>
  <c r="AW370" i="31" s="1"/>
  <c r="AV385" i="31"/>
  <c r="AW385" i="31" s="1"/>
  <c r="AV406" i="31"/>
  <c r="AW406" i="31" s="1"/>
  <c r="AV368" i="31"/>
  <c r="AW368" i="31" s="1"/>
  <c r="AV374" i="31"/>
  <c r="AW374" i="31" s="1"/>
  <c r="AV488" i="31"/>
  <c r="AW488" i="31" s="1"/>
  <c r="AV90" i="31"/>
  <c r="AW90" i="31" s="1"/>
  <c r="AV330" i="31"/>
  <c r="AW330" i="31" s="1"/>
  <c r="AV119" i="31"/>
  <c r="AW119" i="31" s="1"/>
  <c r="AV520" i="31"/>
  <c r="AW520" i="31" s="1"/>
  <c r="AV38" i="31"/>
  <c r="AW38" i="31" s="1"/>
  <c r="AV371" i="31"/>
  <c r="AW371" i="31" s="1"/>
  <c r="AV363" i="31"/>
  <c r="AW363" i="31" s="1"/>
  <c r="AV170" i="31"/>
  <c r="AW170" i="31" s="1"/>
  <c r="AV610" i="31"/>
  <c r="AW610" i="31" s="1"/>
  <c r="AV168" i="31"/>
  <c r="AW168" i="31" s="1"/>
  <c r="AV339" i="31"/>
  <c r="AW339" i="31" s="1"/>
  <c r="AV88" i="31"/>
  <c r="AW88" i="31" s="1"/>
  <c r="AV195" i="31"/>
  <c r="AW195" i="31" s="1"/>
  <c r="AV116" i="31"/>
  <c r="AW116" i="31" s="1"/>
  <c r="AV607" i="31"/>
  <c r="AW607" i="31" s="1"/>
  <c r="AV570" i="31"/>
  <c r="AW570" i="31" s="1"/>
  <c r="AV91" i="31"/>
  <c r="AW91" i="31" s="1"/>
  <c r="AV381" i="31"/>
  <c r="AW381" i="31" s="1"/>
  <c r="AV445" i="31"/>
  <c r="AW445" i="31" s="1"/>
  <c r="AV444" i="31"/>
  <c r="AW444" i="31" s="1"/>
  <c r="AV603" i="31"/>
  <c r="AW603" i="31" s="1"/>
  <c r="AV69" i="31"/>
  <c r="AW69" i="31" s="1"/>
  <c r="AV270" i="31"/>
  <c r="AW270" i="31" s="1"/>
  <c r="AV27" i="31"/>
  <c r="AW27" i="31" s="1"/>
  <c r="AV128" i="31"/>
  <c r="AW128" i="31" s="1"/>
  <c r="AV140" i="31"/>
  <c r="AW140" i="31" s="1"/>
  <c r="AV466" i="31"/>
  <c r="AW466" i="31" s="1"/>
  <c r="AV479" i="31"/>
  <c r="AW479" i="31" s="1"/>
  <c r="AV569" i="31"/>
  <c r="AW569" i="31" s="1"/>
  <c r="AV568" i="31"/>
  <c r="AW568" i="31" s="1"/>
  <c r="AV471" i="31"/>
  <c r="AW471" i="31" s="1"/>
  <c r="AV470" i="31"/>
  <c r="AW470" i="31" s="1"/>
  <c r="AV164" i="31"/>
  <c r="AW164" i="31" s="1"/>
  <c r="AV243" i="31"/>
  <c r="AW243" i="31" s="1"/>
  <c r="AV74" i="31"/>
  <c r="AW74" i="31" s="1"/>
  <c r="AV73" i="31"/>
  <c r="AW73" i="31" s="1"/>
  <c r="AV85" i="31"/>
  <c r="AW85" i="31" s="1"/>
  <c r="AV157" i="31"/>
  <c r="AW157" i="31" s="1"/>
  <c r="AV180" i="31"/>
  <c r="AW180" i="31" s="1"/>
  <c r="AV465" i="31"/>
  <c r="AW465" i="31" s="1"/>
  <c r="AV190" i="31"/>
  <c r="AW190" i="31" s="1"/>
  <c r="AV227" i="31"/>
  <c r="AW227" i="31" s="1"/>
  <c r="AV298" i="31"/>
  <c r="AW298" i="31" s="1"/>
  <c r="AV461" i="31"/>
  <c r="AW461" i="31" s="1"/>
  <c r="AV81" i="31"/>
  <c r="AW81" i="31" s="1"/>
  <c r="AV391" i="31"/>
  <c r="AW391" i="31" s="1"/>
  <c r="AV278" i="31"/>
  <c r="AW278" i="31" s="1"/>
  <c r="AV82" i="31"/>
  <c r="AW82" i="31" s="1"/>
  <c r="AV295" i="31"/>
  <c r="AW295" i="31" s="1"/>
  <c r="AV112" i="31"/>
  <c r="AW112" i="31" s="1"/>
  <c r="AV93" i="31"/>
  <c r="AW93" i="31" s="1"/>
  <c r="AV289" i="31"/>
  <c r="AW289" i="31" s="1"/>
  <c r="AV204" i="31"/>
  <c r="AW204" i="31" s="1"/>
  <c r="AV23" i="31"/>
  <c r="AW23" i="31" s="1"/>
  <c r="AV22" i="31"/>
  <c r="AW22" i="31" s="1"/>
  <c r="AV462" i="31"/>
  <c r="AW462" i="31" s="1"/>
  <c r="AV173" i="31"/>
  <c r="AW173" i="31" s="1"/>
  <c r="AV502" i="31"/>
  <c r="AW502" i="31" s="1"/>
  <c r="AV174" i="31"/>
  <c r="AW174" i="31" s="1"/>
  <c r="AV233" i="31"/>
  <c r="AW233" i="31" s="1"/>
  <c r="AV560" i="31"/>
  <c r="AW560" i="31" s="1"/>
  <c r="AV566" i="31"/>
  <c r="AW566" i="31" s="1"/>
  <c r="AV565" i="31"/>
  <c r="AW565" i="31" s="1"/>
  <c r="AV136" i="31"/>
  <c r="AW136" i="31" s="1"/>
  <c r="AV235" i="31"/>
  <c r="AW235" i="31" s="1"/>
  <c r="AV319" i="31"/>
  <c r="AW319" i="31" s="1"/>
  <c r="AV563" i="31"/>
  <c r="AW563" i="31" s="1"/>
  <c r="AV348" i="31"/>
  <c r="AW348" i="31" s="1"/>
  <c r="AV564" i="31"/>
  <c r="AW564" i="31" s="1"/>
  <c r="AV377" i="31"/>
  <c r="AW377" i="31" s="1"/>
  <c r="AV389" i="31"/>
  <c r="AW389" i="31" s="1"/>
  <c r="AV387" i="31"/>
  <c r="AW387" i="31" s="1"/>
  <c r="AV386" i="31"/>
  <c r="AW386" i="31" s="1"/>
  <c r="AV283" i="31"/>
  <c r="AW283" i="31" s="1"/>
  <c r="AV438" i="31"/>
  <c r="AW438" i="31" s="1"/>
  <c r="AV575" i="31"/>
  <c r="AW575" i="31" s="1"/>
  <c r="AV554" i="31"/>
  <c r="AW554" i="31" s="1"/>
  <c r="AV556" i="31"/>
  <c r="AW556" i="31" s="1"/>
  <c r="AV141" i="31"/>
  <c r="AW141" i="31" s="1"/>
  <c r="AV242" i="31"/>
  <c r="AW242" i="31" s="1"/>
  <c r="AV413" i="31"/>
  <c r="AW413" i="31" s="1"/>
  <c r="AV412" i="31"/>
  <c r="AW412" i="31" s="1"/>
  <c r="AV273" i="31"/>
  <c r="AW273" i="31" s="1"/>
  <c r="AV29" i="31"/>
  <c r="AW29" i="31" s="1"/>
  <c r="AV590" i="31"/>
  <c r="AW590" i="31" s="1"/>
  <c r="AV379" i="31"/>
  <c r="AW379" i="31" s="1"/>
  <c r="AV378" i="31"/>
  <c r="AW378" i="31" s="1"/>
  <c r="AV167" i="31"/>
  <c r="AW167" i="31" s="1"/>
  <c r="AV344" i="31"/>
  <c r="AW344" i="31" s="1"/>
  <c r="AV186" i="31"/>
  <c r="AW186" i="31" s="1"/>
  <c r="AV424" i="31"/>
  <c r="AW424" i="31" s="1"/>
  <c r="AV423" i="31"/>
  <c r="AW423" i="31" s="1"/>
  <c r="AV252" i="31"/>
  <c r="AW252" i="31" s="1"/>
  <c r="AV477" i="31"/>
  <c r="AW477" i="31" s="1"/>
  <c r="AV456" i="31"/>
  <c r="AW456" i="31" s="1"/>
  <c r="AV215" i="31"/>
  <c r="AW215" i="31" s="1"/>
  <c r="AV504" i="31"/>
  <c r="AW504" i="31" s="1"/>
  <c r="AV454" i="31"/>
  <c r="AW454" i="31" s="1"/>
  <c r="AV127" i="31"/>
  <c r="AW127" i="31" s="1"/>
  <c r="AV418" i="31"/>
  <c r="AW418" i="31" s="1"/>
  <c r="AV200" i="31"/>
  <c r="AW200" i="31" s="1"/>
  <c r="AV49" i="31"/>
  <c r="AW49" i="31" s="1"/>
  <c r="AV522" i="31"/>
  <c r="AW522" i="31" s="1"/>
  <c r="AV447" i="31"/>
  <c r="AW447" i="31" s="1"/>
  <c r="AV145" i="31"/>
  <c r="AW145" i="31" s="1"/>
  <c r="AV55" i="31"/>
  <c r="AW55" i="31" s="1"/>
  <c r="AV125" i="31"/>
  <c r="AW125" i="31" s="1"/>
  <c r="AV237" i="31"/>
  <c r="AW237" i="31" s="1"/>
  <c r="AV499" i="31"/>
  <c r="AW499" i="31" s="1"/>
  <c r="AV16" i="31"/>
  <c r="AW16" i="31" s="1"/>
  <c r="AV350" i="31"/>
  <c r="AW350" i="31" s="1"/>
  <c r="AV433" i="31"/>
  <c r="AW433" i="31" s="1"/>
  <c r="AV429" i="31"/>
  <c r="AW429" i="31" s="1"/>
  <c r="AV531" i="31"/>
  <c r="AW531" i="31" s="1"/>
  <c r="AV292" i="31"/>
  <c r="AW292" i="31" s="1"/>
  <c r="AV453" i="31"/>
  <c r="AW453" i="31" s="1"/>
  <c r="AV529" i="31"/>
  <c r="AW529" i="31" s="1"/>
  <c r="AV401" i="31"/>
  <c r="AW401" i="31" s="1"/>
  <c r="AV279" i="31"/>
  <c r="AW279" i="31" s="1"/>
  <c r="AV158" i="31"/>
  <c r="AW158" i="31" s="1"/>
  <c r="AV605" i="31"/>
  <c r="AW605" i="31" s="1"/>
  <c r="AV599" i="31"/>
  <c r="AW599" i="31" s="1"/>
  <c r="AV105" i="31"/>
  <c r="AW105" i="31" s="1"/>
  <c r="AV347" i="31"/>
  <c r="AW347" i="31" s="1"/>
  <c r="AV257" i="31"/>
  <c r="AW257" i="31" s="1"/>
  <c r="AV231" i="31"/>
  <c r="AW231" i="31" s="1"/>
  <c r="AV58" i="31"/>
  <c r="AW58" i="31" s="1"/>
  <c r="AV30" i="31"/>
  <c r="AW30" i="31" s="1"/>
  <c r="AV327" i="31"/>
  <c r="AW327" i="31" s="1"/>
  <c r="AV97" i="31"/>
  <c r="AW97" i="31" s="1"/>
  <c r="AV130" i="31"/>
  <c r="AW130" i="31" s="1"/>
  <c r="AV482" i="31"/>
  <c r="AW482" i="31" s="1"/>
  <c r="AV71" i="31"/>
  <c r="AW71" i="31" s="1"/>
  <c r="AV216" i="31"/>
  <c r="AW216" i="31" s="1"/>
  <c r="AV42" i="31"/>
  <c r="AW42" i="31" s="1"/>
  <c r="AV537" i="31"/>
  <c r="AW537" i="31" s="1"/>
  <c r="AV14" i="31"/>
  <c r="AW14" i="31" s="1"/>
  <c r="AV274" i="31"/>
  <c r="AW274" i="31" s="1"/>
  <c r="AV587" i="31"/>
  <c r="AW587" i="31" s="1"/>
  <c r="AV404" i="31"/>
  <c r="AW404" i="31" s="1"/>
  <c r="AV266" i="31"/>
  <c r="AW266" i="31" s="1"/>
  <c r="AV108" i="31"/>
  <c r="AW108" i="31" s="1"/>
  <c r="AV32" i="31"/>
  <c r="AW32" i="31" s="1"/>
  <c r="AV275" i="31"/>
  <c r="AW275" i="31" s="1"/>
  <c r="AV178" i="31"/>
  <c r="AW178" i="31" s="1"/>
  <c r="AV177" i="31"/>
  <c r="AW177" i="31" s="1"/>
  <c r="AV250" i="31"/>
  <c r="AW250" i="31" s="1"/>
  <c r="AV355" i="31"/>
  <c r="AW355" i="31" s="1"/>
  <c r="AV262" i="31"/>
  <c r="AW262" i="31" s="1"/>
  <c r="AV308" i="31"/>
  <c r="AW308" i="31" s="1"/>
  <c r="AV481" i="31"/>
  <c r="AW481" i="31" s="1"/>
  <c r="AV420" i="31"/>
  <c r="AW420" i="31" s="1"/>
  <c r="AV485" i="31"/>
  <c r="AW485" i="31" s="1"/>
  <c r="AV238" i="31"/>
  <c r="AW238" i="31" s="1"/>
  <c r="AV310" i="31"/>
  <c r="AW310" i="31" s="1"/>
  <c r="AV312" i="31"/>
  <c r="AW312" i="31" s="1"/>
  <c r="AV282" i="31"/>
  <c r="AW282" i="31" s="1"/>
  <c r="AV47" i="31"/>
  <c r="AW47" i="31" s="1"/>
  <c r="AV421" i="31"/>
  <c r="AW421" i="31" s="1"/>
  <c r="AV313" i="31"/>
  <c r="AW313" i="31" s="1"/>
  <c r="AV80" i="31"/>
  <c r="AW80" i="31" s="1"/>
  <c r="AV544" i="31"/>
  <c r="AW544" i="31" s="1"/>
  <c r="AV409" i="31"/>
  <c r="AW409" i="31" s="1"/>
  <c r="AV36" i="31"/>
  <c r="AW36" i="31" s="1"/>
  <c r="AV181" i="31"/>
  <c r="AW181" i="31" s="1"/>
  <c r="AV613" i="31"/>
  <c r="AV612" i="31"/>
  <c r="AV104" i="31"/>
  <c r="AW104" i="31" s="1"/>
  <c r="AV75" i="31"/>
  <c r="AW75" i="31" s="1"/>
  <c r="AV100" i="31"/>
  <c r="AW100" i="31" s="1"/>
  <c r="AV184" i="31"/>
  <c r="AW184" i="31" s="1"/>
  <c r="AV34" i="31"/>
  <c r="AW34" i="31" s="1"/>
  <c r="AV594" i="31"/>
  <c r="AW594" i="31" s="1"/>
  <c r="AV76" i="31"/>
  <c r="AW76" i="31" s="1"/>
  <c r="AV451" i="31"/>
  <c r="AW451" i="31" s="1"/>
  <c r="AV139" i="31"/>
  <c r="AW139" i="31" s="1"/>
  <c r="AV491" i="31"/>
  <c r="AW491" i="31" s="1"/>
  <c r="AV512" i="31"/>
  <c r="AW512" i="31" s="1"/>
  <c r="AV114" i="31"/>
  <c r="AW114" i="31" s="1"/>
  <c r="AV133" i="31"/>
  <c r="AW133" i="31" s="1"/>
  <c r="AV513" i="31"/>
  <c r="AW513" i="31" s="1"/>
  <c r="AV78" i="31"/>
  <c r="AW78" i="31" s="1"/>
  <c r="AV545" i="31"/>
  <c r="AW545" i="31" s="1"/>
  <c r="AV345" i="31"/>
  <c r="AW345" i="31" s="1"/>
  <c r="AV53" i="31"/>
  <c r="AW53" i="31" s="1"/>
  <c r="AV574" i="31"/>
  <c r="AW574" i="31" s="1"/>
  <c r="AV403" i="31"/>
  <c r="AW403" i="31" s="1"/>
  <c r="AV107" i="31"/>
  <c r="AW107" i="31" s="1"/>
  <c r="AV86" i="31"/>
  <c r="AW86" i="31" s="1"/>
  <c r="AV426" i="31"/>
  <c r="AW426" i="31" s="1"/>
  <c r="AV448" i="31"/>
  <c r="AW448" i="31" s="1"/>
  <c r="AV316" i="31"/>
  <c r="AW316" i="31" s="1"/>
  <c r="AV552" i="31"/>
  <c r="AW552" i="31" s="1"/>
  <c r="AV17" i="31"/>
  <c r="AW17" i="31" s="1"/>
  <c r="AV254" i="31"/>
  <c r="AW254" i="31" s="1"/>
  <c r="AV146" i="31"/>
  <c r="AW146" i="31" s="1"/>
  <c r="AV416" i="31"/>
  <c r="AW416" i="31" s="1"/>
  <c r="AV153" i="31"/>
  <c r="AW153" i="31" s="1"/>
  <c r="AV581" i="31"/>
  <c r="AW581" i="31" s="1"/>
  <c r="AV436" i="31"/>
  <c r="AW436" i="31" s="1"/>
  <c r="AV473" i="31"/>
  <c r="AW473" i="31" s="1"/>
  <c r="AV365" i="31"/>
  <c r="AW365" i="31" s="1"/>
  <c r="AV63" i="31"/>
  <c r="AW63" i="31" s="1"/>
  <c r="AV357" i="31"/>
  <c r="AW357" i="31" s="1"/>
  <c r="AV351" i="31"/>
  <c r="AW351" i="31" s="1"/>
  <c r="AY8" i="31"/>
  <c r="AV229" i="31"/>
  <c r="AW229" i="31" s="1"/>
  <c r="AV228" i="31"/>
  <c r="AW228" i="31" s="1"/>
  <c r="AV459" i="31"/>
  <c r="AW459" i="31" s="1"/>
  <c r="AV458" i="31"/>
  <c r="AW458" i="31" s="1"/>
  <c r="AV501" i="31"/>
  <c r="AW501" i="31" s="1"/>
  <c r="AV123" i="31"/>
  <c r="AW123" i="31" s="1"/>
  <c r="AV422" i="31"/>
  <c r="AW422" i="31" s="1"/>
  <c r="AV519" i="31"/>
  <c r="AW519" i="31" s="1"/>
  <c r="AV540" i="31"/>
  <c r="AW540" i="31" s="1"/>
  <c r="AV361" i="31"/>
  <c r="AW361" i="31" s="1"/>
  <c r="AV24" i="31"/>
  <c r="AW24" i="31" s="1"/>
  <c r="AV96" i="31"/>
  <c r="AW96" i="31" s="1"/>
  <c r="AV592" i="31"/>
  <c r="AW592" i="31" s="1"/>
  <c r="AV222" i="31"/>
  <c r="AW222" i="31" s="1"/>
  <c r="AV208" i="31"/>
  <c r="AW208" i="31" s="1"/>
  <c r="AV585" i="31"/>
  <c r="AW585" i="31" s="1"/>
  <c r="AV302" i="31"/>
  <c r="AW302" i="31" s="1"/>
  <c r="AV532" i="31"/>
  <c r="AW532" i="31" s="1"/>
  <c r="AV121" i="31"/>
  <c r="AW121" i="31" s="1"/>
  <c r="AV507" i="31"/>
  <c r="AW507" i="31" s="1"/>
  <c r="AV314" i="31"/>
  <c r="AW314" i="31" s="1"/>
  <c r="AV525" i="31"/>
  <c r="AW525" i="31" s="1"/>
  <c r="AV392" i="31"/>
  <c r="AW392" i="31" s="1"/>
  <c r="AV410" i="31"/>
  <c r="AW410" i="31" s="1"/>
  <c r="AV514" i="31"/>
  <c r="AW514" i="31" s="1"/>
  <c r="AV336" i="31"/>
  <c r="AW336" i="31" s="1"/>
  <c r="AV517" i="31"/>
  <c r="AW517" i="31" s="1"/>
  <c r="G221" i="2"/>
  <c r="E68" i="1" s="1"/>
  <c r="B476" i="2" s="1"/>
  <c r="H221" i="2"/>
  <c r="C73" i="16" l="1"/>
  <c r="D73" i="16" s="1"/>
  <c r="A476" i="2"/>
  <c r="M78" i="30"/>
  <c r="W18" i="30"/>
  <c r="M43" i="30"/>
  <c r="M35" i="30"/>
  <c r="M59" i="30"/>
  <c r="B3" i="30"/>
  <c r="N4" i="30" s="1"/>
  <c r="N2" i="30" l="1"/>
  <c r="N5" i="30" s="1"/>
  <c r="P3" i="30" l="1"/>
  <c r="P4" i="30" s="1"/>
  <c r="P9" i="30" s="1"/>
  <c r="F2" i="30" s="1"/>
  <c r="T3" i="30"/>
  <c r="R3" i="30"/>
  <c r="R4" i="30" s="1"/>
  <c r="R9" i="30" s="1"/>
  <c r="R2" i="30"/>
  <c r="R8" i="30" s="1"/>
  <c r="F4" i="30" s="1"/>
  <c r="P2" i="30"/>
  <c r="P8" i="30" s="1"/>
  <c r="T2" i="30"/>
  <c r="N6" i="30"/>
  <c r="T5" i="30"/>
  <c r="B45" i="2" l="1"/>
  <c r="E22" i="33"/>
  <c r="AD25" i="30"/>
  <c r="AA27" i="30"/>
  <c r="B46" i="2"/>
  <c r="E20" i="33"/>
  <c r="AE25" i="30"/>
  <c r="AA28" i="30"/>
  <c r="T4" i="30"/>
  <c r="H10" i="30" s="1"/>
  <c r="H16" i="30" s="1"/>
  <c r="H9" i="30"/>
  <c r="H15" i="30" s="1"/>
  <c r="T6" i="30"/>
  <c r="T9" i="30" s="1"/>
  <c r="F3" i="30" s="1"/>
  <c r="H11" i="30"/>
  <c r="H17" i="30" s="1"/>
  <c r="G11" i="30"/>
  <c r="G17" i="30" s="1"/>
  <c r="G9" i="30"/>
  <c r="G15" i="30" s="1"/>
  <c r="AE26" i="30" l="1"/>
  <c r="B47" i="2"/>
  <c r="E21" i="33"/>
  <c r="AA29" i="30"/>
  <c r="AF25" i="30"/>
  <c r="F9" i="30"/>
  <c r="F15" i="30" s="1"/>
  <c r="F11" i="30"/>
  <c r="F10" i="30"/>
  <c r="F16" i="30" s="1"/>
  <c r="G10" i="30"/>
  <c r="G16" i="30" s="1"/>
  <c r="T8" i="30"/>
  <c r="F5" i="30" s="1"/>
  <c r="B44" i="2" l="1"/>
  <c r="B10" i="2" s="1"/>
  <c r="E23" i="33"/>
  <c r="AC25" i="30"/>
  <c r="AA26" i="30"/>
  <c r="AF26" i="30"/>
  <c r="AG26" i="30"/>
  <c r="I80" i="21"/>
  <c r="J80" i="21" s="1"/>
  <c r="AZ80" i="21" s="1"/>
  <c r="I108" i="21"/>
  <c r="J108" i="21" s="1"/>
  <c r="AZ108" i="21" s="1"/>
  <c r="I81" i="21"/>
  <c r="J81" i="21" s="1"/>
  <c r="I50" i="21"/>
  <c r="J50" i="21" s="1"/>
  <c r="I10" i="21"/>
  <c r="J10" i="21" s="1"/>
  <c r="AZ10" i="21" s="1"/>
  <c r="I77" i="21"/>
  <c r="J77" i="21" s="1"/>
  <c r="I106" i="21"/>
  <c r="J106" i="21" s="1"/>
  <c r="I70" i="21"/>
  <c r="J70" i="21" s="1"/>
  <c r="I43" i="21"/>
  <c r="J43" i="21" s="1"/>
  <c r="AZ43" i="21" s="1"/>
  <c r="I87" i="21"/>
  <c r="J87" i="21" s="1"/>
  <c r="I69" i="21"/>
  <c r="J69" i="21" s="1"/>
  <c r="I79" i="21"/>
  <c r="J79" i="21" s="1"/>
  <c r="I105" i="21"/>
  <c r="J105" i="21" s="1"/>
  <c r="I21" i="21"/>
  <c r="J21" i="21" s="1"/>
  <c r="AR21" i="21" s="1"/>
  <c r="I60" i="21"/>
  <c r="J60" i="21" s="1"/>
  <c r="I16" i="21"/>
  <c r="J16" i="21" s="1"/>
  <c r="BB16" i="21" s="1"/>
  <c r="I39" i="21"/>
  <c r="J39" i="21" s="1"/>
  <c r="BB39" i="21" s="1"/>
  <c r="I57" i="21"/>
  <c r="J57" i="21" s="1"/>
  <c r="I12" i="21"/>
  <c r="J12" i="21" s="1"/>
  <c r="I109" i="21"/>
  <c r="J109" i="21" s="1"/>
  <c r="I75" i="21"/>
  <c r="J75" i="21" s="1"/>
  <c r="AR75" i="21" s="1"/>
  <c r="I74" i="21"/>
  <c r="J74" i="21" s="1"/>
  <c r="AZ74" i="21" s="1"/>
  <c r="I19" i="21"/>
  <c r="J19" i="21" s="1"/>
  <c r="I90" i="21"/>
  <c r="J90" i="21" s="1"/>
  <c r="I59" i="21"/>
  <c r="J59" i="21" s="1"/>
  <c r="AR59" i="21" s="1"/>
  <c r="I20" i="21"/>
  <c r="J20" i="21" s="1"/>
  <c r="BF20" i="21" s="1"/>
  <c r="BH20" i="21" s="1"/>
  <c r="I32" i="21"/>
  <c r="J32" i="21" s="1"/>
  <c r="I92" i="21"/>
  <c r="J92" i="21" s="1"/>
  <c r="I65" i="21"/>
  <c r="J65" i="21" s="1"/>
  <c r="BF65" i="21" s="1"/>
  <c r="BH65" i="21" s="1"/>
  <c r="I103" i="21"/>
  <c r="J103" i="21" s="1"/>
  <c r="I63" i="21"/>
  <c r="J63" i="21" s="1"/>
  <c r="I61" i="21"/>
  <c r="J61" i="21" s="1"/>
  <c r="I58" i="21"/>
  <c r="J58" i="21" s="1"/>
  <c r="AZ58" i="21" s="1"/>
  <c r="I54" i="21"/>
  <c r="J54" i="21" s="1"/>
  <c r="I27" i="21"/>
  <c r="J27" i="21" s="1"/>
  <c r="AR27" i="21" s="1"/>
  <c r="I71" i="21"/>
  <c r="J71" i="21" s="1"/>
  <c r="I37" i="21"/>
  <c r="J37" i="21" s="1"/>
  <c r="I72" i="21"/>
  <c r="J72" i="21" s="1"/>
  <c r="BB72" i="21" s="1"/>
  <c r="I89" i="21"/>
  <c r="J89" i="21" s="1"/>
  <c r="I85" i="21"/>
  <c r="J85" i="21" s="1"/>
  <c r="I76" i="21"/>
  <c r="J76" i="21" s="1"/>
  <c r="BF76" i="21" s="1"/>
  <c r="BH76" i="21" s="1"/>
  <c r="I49" i="21"/>
  <c r="J49" i="21" s="1"/>
  <c r="AZ49" i="21" s="1"/>
  <c r="I64" i="21"/>
  <c r="J64" i="21" s="1"/>
  <c r="I104" i="21"/>
  <c r="J104" i="21" s="1"/>
  <c r="BB104" i="21" s="1"/>
  <c r="I45" i="21"/>
  <c r="J45" i="21" s="1"/>
  <c r="BF45" i="21" s="1"/>
  <c r="BH45" i="21" s="1"/>
  <c r="I95" i="21"/>
  <c r="J95" i="21" s="1"/>
  <c r="AR95" i="21" s="1"/>
  <c r="I38" i="21"/>
  <c r="J38" i="21" s="1"/>
  <c r="I11" i="21"/>
  <c r="J11" i="21" s="1"/>
  <c r="I55" i="21"/>
  <c r="J55" i="21" s="1"/>
  <c r="BF55" i="21" s="1"/>
  <c r="BH55" i="21" s="1"/>
  <c r="I94" i="21"/>
  <c r="J94" i="21" s="1"/>
  <c r="AZ94" i="21" s="1"/>
  <c r="I100" i="21"/>
  <c r="J100" i="21" s="1"/>
  <c r="I73" i="21"/>
  <c r="J73" i="21" s="1"/>
  <c r="BF73" i="21" s="1"/>
  <c r="BH73" i="21" s="1"/>
  <c r="I33" i="21"/>
  <c r="J33" i="21" s="1"/>
  <c r="I56" i="21"/>
  <c r="J56" i="21" s="1"/>
  <c r="AR56" i="21" s="1"/>
  <c r="I29" i="21"/>
  <c r="J29" i="21" s="1"/>
  <c r="BF29" i="21" s="1"/>
  <c r="BH29" i="21" s="1"/>
  <c r="I47" i="21"/>
  <c r="J47" i="21" s="1"/>
  <c r="AZ47" i="21" s="1"/>
  <c r="I22" i="21"/>
  <c r="J22" i="21" s="1"/>
  <c r="BF22" i="21" s="1"/>
  <c r="BH22" i="21" s="1"/>
  <c r="I62" i="21"/>
  <c r="J62" i="21" s="1"/>
  <c r="BF62" i="21" s="1"/>
  <c r="BH62" i="21" s="1"/>
  <c r="I84" i="21"/>
  <c r="J84" i="21" s="1"/>
  <c r="AZ84" i="21" s="1"/>
  <c r="I83" i="21"/>
  <c r="J83" i="21" s="1"/>
  <c r="AR83" i="21" s="1"/>
  <c r="I102" i="21"/>
  <c r="J102" i="21" s="1"/>
  <c r="BF102" i="21" s="1"/>
  <c r="BH102" i="21" s="1"/>
  <c r="I48" i="21"/>
  <c r="J48" i="21" s="1"/>
  <c r="I82" i="21"/>
  <c r="J82" i="21" s="1"/>
  <c r="BF82" i="21" s="1"/>
  <c r="BH82" i="21" s="1"/>
  <c r="I67" i="21"/>
  <c r="J67" i="21" s="1"/>
  <c r="I18" i="21"/>
  <c r="J18" i="21" s="1"/>
  <c r="AZ18" i="21" s="1"/>
  <c r="I26" i="21"/>
  <c r="J26" i="21" s="1"/>
  <c r="BF26" i="21" s="1"/>
  <c r="BH26" i="21" s="1"/>
  <c r="I46" i="21"/>
  <c r="J46" i="21" s="1"/>
  <c r="I44" i="21"/>
  <c r="J44" i="21" s="1"/>
  <c r="I17" i="21"/>
  <c r="J17" i="21" s="1"/>
  <c r="BB17" i="21" s="1"/>
  <c r="I53" i="21"/>
  <c r="J53" i="21" s="1"/>
  <c r="I40" i="21"/>
  <c r="J40" i="21" s="1"/>
  <c r="AR40" i="21" s="1"/>
  <c r="I13" i="21"/>
  <c r="J13" i="21" s="1"/>
  <c r="BF13" i="21" s="1"/>
  <c r="BH13" i="21" s="1"/>
  <c r="I15" i="21"/>
  <c r="J15" i="21" s="1"/>
  <c r="I107" i="21"/>
  <c r="J107" i="21" s="1"/>
  <c r="AR107" i="21" s="1"/>
  <c r="I98" i="21"/>
  <c r="J98" i="21" s="1"/>
  <c r="I23" i="21"/>
  <c r="J23" i="21" s="1"/>
  <c r="I14" i="21"/>
  <c r="J14" i="21" s="1"/>
  <c r="BF14" i="21" s="1"/>
  <c r="BH14" i="21" s="1"/>
  <c r="I68" i="21"/>
  <c r="J68" i="21" s="1"/>
  <c r="BF68" i="21" s="1"/>
  <c r="BH68" i="21" s="1"/>
  <c r="I41" i="21"/>
  <c r="J41" i="21" s="1"/>
  <c r="AZ41" i="21" s="1"/>
  <c r="I35" i="21"/>
  <c r="J35" i="21" s="1"/>
  <c r="I31" i="21"/>
  <c r="J31" i="21" s="1"/>
  <c r="I30" i="21"/>
  <c r="J30" i="21" s="1"/>
  <c r="BB30" i="21" s="1"/>
  <c r="I34" i="21"/>
  <c r="J34" i="21" s="1"/>
  <c r="AZ34" i="21" s="1"/>
  <c r="I36" i="21"/>
  <c r="J36" i="21" s="1"/>
  <c r="BF36" i="21" s="1"/>
  <c r="BH36" i="21" s="1"/>
  <c r="I97" i="21"/>
  <c r="J97" i="21" s="1"/>
  <c r="BB97" i="21" s="1"/>
  <c r="I93" i="21"/>
  <c r="J93" i="21" s="1"/>
  <c r="I86" i="21"/>
  <c r="J86" i="21" s="1"/>
  <c r="BB86" i="21" s="1"/>
  <c r="I101" i="21"/>
  <c r="J101" i="21" s="1"/>
  <c r="BB101" i="21" s="1"/>
  <c r="I99" i="21"/>
  <c r="J99" i="21" s="1"/>
  <c r="AZ99" i="21" s="1"/>
  <c r="I28" i="21"/>
  <c r="J28" i="21" s="1"/>
  <c r="AZ28" i="21" s="1"/>
  <c r="I42" i="21"/>
  <c r="J42" i="21" s="1"/>
  <c r="I9" i="21"/>
  <c r="J9" i="21" s="1"/>
  <c r="AR9" i="21" s="1"/>
  <c r="I24" i="21"/>
  <c r="J24" i="21" s="1"/>
  <c r="BB24" i="21" s="1"/>
  <c r="I78" i="21"/>
  <c r="J78" i="21" s="1"/>
  <c r="BF78" i="21" s="1"/>
  <c r="BH78" i="21" s="1"/>
  <c r="I88" i="21"/>
  <c r="J88" i="21" s="1"/>
  <c r="BB88" i="21" s="1"/>
  <c r="I91" i="21"/>
  <c r="J91" i="21" s="1"/>
  <c r="BB91" i="21" s="1"/>
  <c r="I66" i="21"/>
  <c r="J66" i="21" s="1"/>
  <c r="AR66" i="21" s="1"/>
  <c r="I96" i="21"/>
  <c r="J96" i="21" s="1"/>
  <c r="I51" i="21"/>
  <c r="J51" i="21" s="1"/>
  <c r="I52" i="21"/>
  <c r="J52" i="21" s="1"/>
  <c r="I25" i="21"/>
  <c r="J25" i="21" s="1"/>
  <c r="AZ25" i="21" s="1"/>
  <c r="I209" i="20"/>
  <c r="J209" i="20" s="1"/>
  <c r="I119" i="20"/>
  <c r="J119" i="20" s="1"/>
  <c r="R119" i="20" s="1"/>
  <c r="I101" i="20"/>
  <c r="J101" i="20" s="1"/>
  <c r="BF101" i="20" s="1"/>
  <c r="BH101" i="20" s="1"/>
  <c r="I43" i="20"/>
  <c r="J43" i="20" s="1"/>
  <c r="I199" i="20"/>
  <c r="J199" i="20" s="1"/>
  <c r="I157" i="20"/>
  <c r="J157" i="20" s="1"/>
  <c r="I99" i="20"/>
  <c r="J99" i="20" s="1"/>
  <c r="I32" i="20"/>
  <c r="J32" i="20" s="1"/>
  <c r="I166" i="20"/>
  <c r="J166" i="20" s="1"/>
  <c r="AP166" i="20" s="1"/>
  <c r="I155" i="20"/>
  <c r="J155" i="20" s="1"/>
  <c r="BF155" i="20" s="1"/>
  <c r="BH155" i="20" s="1"/>
  <c r="I88" i="20"/>
  <c r="J88" i="20" s="1"/>
  <c r="AR88" i="20" s="1"/>
  <c r="I208" i="20"/>
  <c r="J208" i="20" s="1"/>
  <c r="R208" i="20" s="1"/>
  <c r="I148" i="20"/>
  <c r="J148" i="20" s="1"/>
  <c r="AR148" i="20" s="1"/>
  <c r="I98" i="20"/>
  <c r="J98" i="20" s="1"/>
  <c r="I86" i="20"/>
  <c r="J86" i="20" s="1"/>
  <c r="I52" i="20"/>
  <c r="J52" i="20" s="1"/>
  <c r="I105" i="20"/>
  <c r="J105" i="20" s="1"/>
  <c r="I15" i="20"/>
  <c r="J15" i="20" s="1"/>
  <c r="AZ15" i="20" s="1"/>
  <c r="I138" i="20"/>
  <c r="J138" i="20" s="1"/>
  <c r="I161" i="20"/>
  <c r="J161" i="20" s="1"/>
  <c r="AR161" i="20" s="1"/>
  <c r="I71" i="20"/>
  <c r="J71" i="20" s="1"/>
  <c r="BF71" i="20" s="1"/>
  <c r="BH71" i="20" s="1"/>
  <c r="I53" i="20"/>
  <c r="J53" i="20" s="1"/>
  <c r="I56" i="20"/>
  <c r="J56" i="20" s="1"/>
  <c r="I198" i="20"/>
  <c r="J198" i="20" s="1"/>
  <c r="I179" i="20"/>
  <c r="J179" i="20" s="1"/>
  <c r="I145" i="20"/>
  <c r="J145" i="20" s="1"/>
  <c r="AP145" i="20" s="1"/>
  <c r="I55" i="20"/>
  <c r="J55" i="20" s="1"/>
  <c r="AZ55" i="20" s="1"/>
  <c r="I37" i="20"/>
  <c r="J37" i="20" s="1"/>
  <c r="I201" i="20"/>
  <c r="J201" i="20" s="1"/>
  <c r="AP201" i="20" s="1"/>
  <c r="I111" i="20"/>
  <c r="J111" i="20" s="1"/>
  <c r="I93" i="20"/>
  <c r="J93" i="20" s="1"/>
  <c r="I35" i="20"/>
  <c r="J35" i="20" s="1"/>
  <c r="I175" i="20"/>
  <c r="J175" i="20" s="1"/>
  <c r="AP175" i="20" s="1"/>
  <c r="I149" i="20"/>
  <c r="J149" i="20" s="1"/>
  <c r="AZ149" i="20" s="1"/>
  <c r="I91" i="20"/>
  <c r="J91" i="20" s="1"/>
  <c r="AR91" i="20" s="1"/>
  <c r="I24" i="20"/>
  <c r="J24" i="20" s="1"/>
  <c r="R24" i="20" s="1"/>
  <c r="I205" i="20"/>
  <c r="J205" i="20" s="1"/>
  <c r="I147" i="20"/>
  <c r="J147" i="20" s="1"/>
  <c r="I144" i="20"/>
  <c r="J144" i="20" s="1"/>
  <c r="I22" i="20"/>
  <c r="J22" i="20" s="1"/>
  <c r="I82" i="20"/>
  <c r="J82" i="20" s="1"/>
  <c r="I41" i="20"/>
  <c r="J41" i="20" s="1"/>
  <c r="AR41" i="20" s="1"/>
  <c r="I142" i="20"/>
  <c r="J142" i="20" s="1"/>
  <c r="AW142" i="20" s="1"/>
  <c r="I108" i="20"/>
  <c r="J108" i="20" s="1"/>
  <c r="I97" i="20"/>
  <c r="J97" i="20" s="1"/>
  <c r="I50" i="20"/>
  <c r="J50" i="20" s="1"/>
  <c r="I58" i="20"/>
  <c r="J58" i="20" s="1"/>
  <c r="I90" i="20"/>
  <c r="J90" i="20" s="1"/>
  <c r="I173" i="20"/>
  <c r="J173" i="20" s="1"/>
  <c r="AP173" i="20" s="1"/>
  <c r="I115" i="20"/>
  <c r="J115" i="20" s="1"/>
  <c r="AI115" i="20" s="1"/>
  <c r="I81" i="20"/>
  <c r="J81" i="20" s="1"/>
  <c r="I207" i="20"/>
  <c r="J207" i="20" s="1"/>
  <c r="AZ207" i="20" s="1"/>
  <c r="I156" i="20"/>
  <c r="J156" i="20" s="1"/>
  <c r="R156" i="20" s="1"/>
  <c r="I137" i="20"/>
  <c r="J137" i="20" s="1"/>
  <c r="AR137" i="20" s="1"/>
  <c r="I47" i="20"/>
  <c r="J47" i="20" s="1"/>
  <c r="I29" i="20"/>
  <c r="J29" i="20" s="1"/>
  <c r="I193" i="20"/>
  <c r="J193" i="20" s="1"/>
  <c r="R193" i="20" s="1"/>
  <c r="I103" i="20"/>
  <c r="J103" i="20" s="1"/>
  <c r="BF103" i="20" s="1"/>
  <c r="BH103" i="20" s="1"/>
  <c r="I85" i="20"/>
  <c r="J85" i="20" s="1"/>
  <c r="I27" i="20"/>
  <c r="J27" i="20" s="1"/>
  <c r="I159" i="20"/>
  <c r="J159" i="20" s="1"/>
  <c r="AP159" i="20" s="1"/>
  <c r="I141" i="20"/>
  <c r="J141" i="20" s="1"/>
  <c r="R141" i="20" s="1"/>
  <c r="I83" i="20"/>
  <c r="J83" i="20" s="1"/>
  <c r="I80" i="20"/>
  <c r="J80" i="20" s="1"/>
  <c r="I191" i="20"/>
  <c r="J191" i="20" s="1"/>
  <c r="I203" i="20"/>
  <c r="J203" i="20" s="1"/>
  <c r="AR203" i="20" s="1"/>
  <c r="I42" i="20"/>
  <c r="J42" i="20" s="1"/>
  <c r="I78" i="20"/>
  <c r="J78" i="20" s="1"/>
  <c r="BF78" i="20" s="1"/>
  <c r="BH78" i="20" s="1"/>
  <c r="I44" i="20"/>
  <c r="J44" i="20" s="1"/>
  <c r="AR44" i="20" s="1"/>
  <c r="I33" i="20"/>
  <c r="J33" i="20" s="1"/>
  <c r="I134" i="20"/>
  <c r="J134" i="20" s="1"/>
  <c r="AP134" i="20" s="1"/>
  <c r="I100" i="20"/>
  <c r="J100" i="20" s="1"/>
  <c r="I26" i="20"/>
  <c r="J26" i="20" s="1"/>
  <c r="R26" i="20" s="1"/>
  <c r="I127" i="20"/>
  <c r="J127" i="20" s="1"/>
  <c r="AI127" i="20" s="1"/>
  <c r="I109" i="20"/>
  <c r="J109" i="20" s="1"/>
  <c r="BF109" i="20" s="1"/>
  <c r="BH109" i="20" s="1"/>
  <c r="I51" i="20"/>
  <c r="J51" i="20" s="1"/>
  <c r="AZ51" i="20" s="1"/>
  <c r="I17" i="20"/>
  <c r="J17" i="20" s="1"/>
  <c r="I118" i="20"/>
  <c r="J118" i="20" s="1"/>
  <c r="I84" i="20"/>
  <c r="J84" i="20" s="1"/>
  <c r="I73" i="20"/>
  <c r="J73" i="20" s="1"/>
  <c r="I206" i="20"/>
  <c r="J206" i="20" s="1"/>
  <c r="R206" i="20" s="1"/>
  <c r="I140" i="20"/>
  <c r="J140" i="20" s="1"/>
  <c r="BF140" i="20" s="1"/>
  <c r="BH140" i="20" s="1"/>
  <c r="I129" i="20"/>
  <c r="J129" i="20" s="1"/>
  <c r="AZ129" i="20" s="1"/>
  <c r="I39" i="20"/>
  <c r="J39" i="20" s="1"/>
  <c r="I21" i="20"/>
  <c r="J21" i="20" s="1"/>
  <c r="AZ21" i="20" s="1"/>
  <c r="I185" i="20"/>
  <c r="J185" i="20" s="1"/>
  <c r="I95" i="20"/>
  <c r="J95" i="20" s="1"/>
  <c r="BF95" i="20" s="1"/>
  <c r="BH95" i="20" s="1"/>
  <c r="I77" i="20"/>
  <c r="J77" i="20" s="1"/>
  <c r="I19" i="20"/>
  <c r="J19" i="20" s="1"/>
  <c r="AZ19" i="20" s="1"/>
  <c r="I16" i="20"/>
  <c r="J16" i="20" s="1"/>
  <c r="R16" i="20" s="1"/>
  <c r="I197" i="20"/>
  <c r="J197" i="20" s="1"/>
  <c r="AR197" i="20" s="1"/>
  <c r="I139" i="20"/>
  <c r="J139" i="20" s="1"/>
  <c r="BF139" i="20" s="1"/>
  <c r="BH139" i="20" s="1"/>
  <c r="I136" i="20"/>
  <c r="J136" i="20" s="1"/>
  <c r="AI136" i="20" s="1"/>
  <c r="I14" i="20"/>
  <c r="J14" i="20" s="1"/>
  <c r="I18" i="20"/>
  <c r="J18" i="20" s="1"/>
  <c r="R18" i="20" s="1"/>
  <c r="I192" i="20"/>
  <c r="J192" i="20" s="1"/>
  <c r="R192" i="20" s="1"/>
  <c r="I70" i="20"/>
  <c r="J70" i="20" s="1"/>
  <c r="I36" i="20"/>
  <c r="J36" i="20" s="1"/>
  <c r="BF36" i="20" s="1"/>
  <c r="BH36" i="20" s="1"/>
  <c r="I153" i="20"/>
  <c r="J153" i="20" s="1"/>
  <c r="AI153" i="20" s="1"/>
  <c r="I63" i="20"/>
  <c r="J63" i="20" s="1"/>
  <c r="AZ63" i="20" s="1"/>
  <c r="I45" i="20"/>
  <c r="J45" i="20" s="1"/>
  <c r="I176" i="20"/>
  <c r="J176" i="20" s="1"/>
  <c r="R176" i="20" s="1"/>
  <c r="I54" i="20"/>
  <c r="J54" i="20" s="1"/>
  <c r="I20" i="20"/>
  <c r="J20" i="20" s="1"/>
  <c r="R20" i="20" s="1"/>
  <c r="I9" i="20"/>
  <c r="J9" i="20" s="1"/>
  <c r="R9" i="20" s="1"/>
  <c r="I110" i="20"/>
  <c r="J110" i="20" s="1"/>
  <c r="AR110" i="20" s="1"/>
  <c r="I76" i="20"/>
  <c r="J76" i="20" s="1"/>
  <c r="I65" i="20"/>
  <c r="J65" i="20" s="1"/>
  <c r="AZ65" i="20" s="1"/>
  <c r="I174" i="20"/>
  <c r="J174" i="20" s="1"/>
  <c r="BF174" i="20" s="1"/>
  <c r="BH174" i="20" s="1"/>
  <c r="I132" i="20"/>
  <c r="J132" i="20" s="1"/>
  <c r="AW132" i="20" s="1"/>
  <c r="I121" i="20"/>
  <c r="J121" i="20" s="1"/>
  <c r="R121" i="20" s="1"/>
  <c r="I31" i="20"/>
  <c r="J31" i="20" s="1"/>
  <c r="R31" i="20" s="1"/>
  <c r="I13" i="20"/>
  <c r="J13" i="20" s="1"/>
  <c r="R13" i="20" s="1"/>
  <c r="I154" i="20"/>
  <c r="J154" i="20" s="1"/>
  <c r="R154" i="20" s="1"/>
  <c r="I151" i="20"/>
  <c r="J151" i="20" s="1"/>
  <c r="AI151" i="20" s="1"/>
  <c r="I133" i="20"/>
  <c r="J133" i="20" s="1"/>
  <c r="AR133" i="20" s="1"/>
  <c r="I75" i="20"/>
  <c r="J75" i="20" s="1"/>
  <c r="AZ75" i="20" s="1"/>
  <c r="I72" i="20"/>
  <c r="J72" i="20" s="1"/>
  <c r="I183" i="20"/>
  <c r="J183" i="20" s="1"/>
  <c r="R183" i="20" s="1"/>
  <c r="I195" i="20"/>
  <c r="J195" i="20" s="1"/>
  <c r="AP195" i="20" s="1"/>
  <c r="I128" i="20"/>
  <c r="J128" i="20" s="1"/>
  <c r="AP128" i="20" s="1"/>
  <c r="I194" i="20"/>
  <c r="J194" i="20" s="1"/>
  <c r="R194" i="20" s="1"/>
  <c r="I204" i="20"/>
  <c r="J204" i="20" s="1"/>
  <c r="AZ204" i="20" s="1"/>
  <c r="I89" i="20"/>
  <c r="J89" i="20" s="1"/>
  <c r="BF89" i="20" s="1"/>
  <c r="BH89" i="20" s="1"/>
  <c r="I200" i="20"/>
  <c r="J200" i="20" s="1"/>
  <c r="AP200" i="20" s="1"/>
  <c r="I180" i="20"/>
  <c r="J180" i="20" s="1"/>
  <c r="AR180" i="20" s="1"/>
  <c r="I112" i="20"/>
  <c r="J112" i="20" s="1"/>
  <c r="I114" i="20"/>
  <c r="J114" i="20" s="1"/>
  <c r="AP114" i="20" s="1"/>
  <c r="I188" i="20"/>
  <c r="J188" i="20" s="1"/>
  <c r="R188" i="20" s="1"/>
  <c r="I168" i="20"/>
  <c r="J168" i="20" s="1"/>
  <c r="R168" i="20" s="1"/>
  <c r="I46" i="20"/>
  <c r="J46" i="20" s="1"/>
  <c r="AZ46" i="20" s="1"/>
  <c r="I12" i="20"/>
  <c r="J12" i="20" s="1"/>
  <c r="I186" i="20"/>
  <c r="J186" i="20" s="1"/>
  <c r="AR186" i="20" s="1"/>
  <c r="I102" i="20"/>
  <c r="J102" i="20" s="1"/>
  <c r="BF102" i="20" s="1"/>
  <c r="BH102" i="20" s="1"/>
  <c r="I68" i="20"/>
  <c r="J68" i="20" s="1"/>
  <c r="I57" i="20"/>
  <c r="J57" i="20" s="1"/>
  <c r="I158" i="20"/>
  <c r="J158" i="20" s="1"/>
  <c r="I124" i="20"/>
  <c r="J124" i="20" s="1"/>
  <c r="AZ124" i="20" s="1"/>
  <c r="I177" i="20"/>
  <c r="J177" i="20" s="1"/>
  <c r="AI177" i="20" s="1"/>
  <c r="I87" i="20"/>
  <c r="J87" i="20" s="1"/>
  <c r="I69" i="20"/>
  <c r="J69" i="20" s="1"/>
  <c r="AZ69" i="20" s="1"/>
  <c r="I11" i="20"/>
  <c r="J11" i="20" s="1"/>
  <c r="R11" i="20" s="1"/>
  <c r="I178" i="20"/>
  <c r="J178" i="20" s="1"/>
  <c r="R178" i="20" s="1"/>
  <c r="I189" i="20"/>
  <c r="J189" i="20" s="1"/>
  <c r="AP189" i="20" s="1"/>
  <c r="I131" i="20"/>
  <c r="J131" i="20" s="1"/>
  <c r="AP131" i="20" s="1"/>
  <c r="I64" i="20"/>
  <c r="J64" i="20" s="1"/>
  <c r="AZ64" i="20" s="1"/>
  <c r="I167" i="20"/>
  <c r="J167" i="20" s="1"/>
  <c r="AI167" i="20" s="1"/>
  <c r="I187" i="20"/>
  <c r="J187" i="20" s="1"/>
  <c r="AR187" i="20" s="1"/>
  <c r="I25" i="20"/>
  <c r="J25" i="20" s="1"/>
  <c r="I126" i="20"/>
  <c r="J126" i="20" s="1"/>
  <c r="R126" i="20" s="1"/>
  <c r="I92" i="20"/>
  <c r="J92" i="20" s="1"/>
  <c r="I48" i="20"/>
  <c r="J48" i="20" s="1"/>
  <c r="I190" i="20"/>
  <c r="J190" i="20" s="1"/>
  <c r="R190" i="20" s="1"/>
  <c r="I171" i="20"/>
  <c r="J171" i="20" s="1"/>
  <c r="AR171" i="20" s="1"/>
  <c r="I104" i="20"/>
  <c r="J104" i="20" s="1"/>
  <c r="AZ104" i="20" s="1"/>
  <c r="I74" i="20"/>
  <c r="J74" i="20" s="1"/>
  <c r="I172" i="20"/>
  <c r="J172" i="20" s="1"/>
  <c r="R172" i="20" s="1"/>
  <c r="I160" i="20"/>
  <c r="J160" i="20" s="1"/>
  <c r="AI160" i="20" s="1"/>
  <c r="I38" i="20"/>
  <c r="J38" i="20" s="1"/>
  <c r="I170" i="20"/>
  <c r="J170" i="20" s="1"/>
  <c r="AP170" i="20" s="1"/>
  <c r="I146" i="20"/>
  <c r="J146" i="20" s="1"/>
  <c r="AP146" i="20" s="1"/>
  <c r="I94" i="20"/>
  <c r="J94" i="20" s="1"/>
  <c r="AR94" i="20" s="1"/>
  <c r="I60" i="20"/>
  <c r="J60" i="20" s="1"/>
  <c r="AR60" i="20" s="1"/>
  <c r="I113" i="20"/>
  <c r="J113" i="20" s="1"/>
  <c r="I23" i="20"/>
  <c r="J23" i="20" s="1"/>
  <c r="R23" i="20" s="1"/>
  <c r="I202" i="20"/>
  <c r="J202" i="20" s="1"/>
  <c r="R202" i="20" s="1"/>
  <c r="I106" i="20"/>
  <c r="J106" i="20" s="1"/>
  <c r="I143" i="20"/>
  <c r="J143" i="20" s="1"/>
  <c r="R143" i="20" s="1"/>
  <c r="I125" i="20"/>
  <c r="J125" i="20" s="1"/>
  <c r="AP125" i="20" s="1"/>
  <c r="I67" i="20"/>
  <c r="J67" i="20" s="1"/>
  <c r="AZ67" i="20" s="1"/>
  <c r="I130" i="20"/>
  <c r="J130" i="20" s="1"/>
  <c r="I181" i="20"/>
  <c r="J181" i="20" s="1"/>
  <c r="AZ181" i="20" s="1"/>
  <c r="I123" i="20"/>
  <c r="J123" i="20" s="1"/>
  <c r="AR123" i="20" s="1"/>
  <c r="I184" i="20"/>
  <c r="J184" i="20" s="1"/>
  <c r="R184" i="20" s="1"/>
  <c r="I62" i="20"/>
  <c r="J62" i="20" s="1"/>
  <c r="I28" i="20"/>
  <c r="J28" i="20" s="1"/>
  <c r="R28" i="20" s="1"/>
  <c r="I34" i="20"/>
  <c r="J34" i="20" s="1"/>
  <c r="I165" i="20"/>
  <c r="J165" i="20" s="1"/>
  <c r="AP165" i="20" s="1"/>
  <c r="I107" i="20"/>
  <c r="J107" i="20" s="1"/>
  <c r="AZ107" i="20" s="1"/>
  <c r="I40" i="20"/>
  <c r="J40" i="20" s="1"/>
  <c r="I182" i="20"/>
  <c r="J182" i="20" s="1"/>
  <c r="I163" i="20"/>
  <c r="J163" i="20" s="1"/>
  <c r="R163" i="20" s="1"/>
  <c r="I96" i="20"/>
  <c r="J96" i="20" s="1"/>
  <c r="AZ96" i="20" s="1"/>
  <c r="I10" i="20"/>
  <c r="J10" i="20" s="1"/>
  <c r="BF10" i="20" s="1"/>
  <c r="BH10" i="20" s="1"/>
  <c r="I164" i="20"/>
  <c r="J164" i="20" s="1"/>
  <c r="AP164" i="20" s="1"/>
  <c r="I152" i="20"/>
  <c r="J152" i="20" s="1"/>
  <c r="AR152" i="20" s="1"/>
  <c r="I30" i="20"/>
  <c r="J30" i="20" s="1"/>
  <c r="AR30" i="20" s="1"/>
  <c r="I122" i="20"/>
  <c r="J122" i="20" s="1"/>
  <c r="AP122" i="20" s="1"/>
  <c r="I49" i="20"/>
  <c r="J49" i="20" s="1"/>
  <c r="AZ49" i="20" s="1"/>
  <c r="I150" i="20"/>
  <c r="J150" i="20" s="1"/>
  <c r="AW150" i="20" s="1"/>
  <c r="I116" i="20"/>
  <c r="J116" i="20" s="1"/>
  <c r="R116" i="20" s="1"/>
  <c r="I169" i="20"/>
  <c r="J169" i="20" s="1"/>
  <c r="R169" i="20" s="1"/>
  <c r="I79" i="20"/>
  <c r="J79" i="20" s="1"/>
  <c r="I61" i="20"/>
  <c r="J61" i="20" s="1"/>
  <c r="AZ61" i="20" s="1"/>
  <c r="I66" i="20"/>
  <c r="J66" i="20" s="1"/>
  <c r="I135" i="20"/>
  <c r="J135" i="20" s="1"/>
  <c r="AW135" i="20" s="1"/>
  <c r="I117" i="20"/>
  <c r="J117" i="20" s="1"/>
  <c r="AW117" i="20" s="1"/>
  <c r="I59" i="20"/>
  <c r="J59" i="20" s="1"/>
  <c r="AR59" i="20" s="1"/>
  <c r="I120" i="20"/>
  <c r="J120" i="20" s="1"/>
  <c r="R120" i="20" s="1"/>
  <c r="I162" i="20"/>
  <c r="J162" i="20" s="1"/>
  <c r="AP162" i="20" s="1"/>
  <c r="I196" i="20"/>
  <c r="J196" i="20" s="1"/>
  <c r="AP196" i="20" s="1"/>
  <c r="R157" i="20"/>
  <c r="AP157" i="20"/>
  <c r="R14" i="20"/>
  <c r="R134" i="20"/>
  <c r="R137" i="20"/>
  <c r="AP137" i="20"/>
  <c r="R19" i="20"/>
  <c r="R209" i="20"/>
  <c r="AP209" i="20"/>
  <c r="R166" i="20"/>
  <c r="R203" i="20"/>
  <c r="R173" i="20"/>
  <c r="R185" i="20"/>
  <c r="AP185" i="20"/>
  <c r="R29" i="20"/>
  <c r="R198" i="20"/>
  <c r="AP198" i="20"/>
  <c r="R132" i="20"/>
  <c r="AP132" i="20"/>
  <c r="AP193" i="20"/>
  <c r="AP141" i="20"/>
  <c r="R158" i="20"/>
  <c r="AP158" i="20"/>
  <c r="R175" i="20"/>
  <c r="R33" i="20"/>
  <c r="AP126" i="20"/>
  <c r="R32" i="20"/>
  <c r="R15" i="20"/>
  <c r="R144" i="20"/>
  <c r="AP144" i="20"/>
  <c r="AP206" i="20"/>
  <c r="R147" i="20"/>
  <c r="AP147" i="20"/>
  <c r="AP176" i="20"/>
  <c r="R118" i="20"/>
  <c r="AP118" i="20"/>
  <c r="R131" i="20"/>
  <c r="R191" i="20"/>
  <c r="AP191" i="20"/>
  <c r="R22" i="20"/>
  <c r="R179" i="20"/>
  <c r="AP179" i="20"/>
  <c r="AP127" i="20"/>
  <c r="BF27" i="21"/>
  <c r="BH27" i="21" s="1"/>
  <c r="BF74" i="21"/>
  <c r="BH74" i="21" s="1"/>
  <c r="AR74" i="21"/>
  <c r="BF137" i="20"/>
  <c r="BH137" i="20" s="1"/>
  <c r="AZ137" i="20"/>
  <c r="AW137" i="20"/>
  <c r="AZ95" i="20"/>
  <c r="AR95" i="20"/>
  <c r="AZ29" i="20"/>
  <c r="BF29" i="20"/>
  <c r="BH29" i="20" s="1"/>
  <c r="AR29" i="20"/>
  <c r="AI10" i="20"/>
  <c r="BF19" i="20"/>
  <c r="BH19" i="20" s="1"/>
  <c r="AR19" i="20"/>
  <c r="AR209" i="20"/>
  <c r="AI209" i="20"/>
  <c r="BF209" i="20"/>
  <c r="BH209" i="20" s="1"/>
  <c r="AZ209" i="20"/>
  <c r="AW209" i="20"/>
  <c r="BB45" i="21"/>
  <c r="AZ45" i="21"/>
  <c r="BF104" i="21"/>
  <c r="BH104" i="21" s="1"/>
  <c r="AZ166" i="20"/>
  <c r="AR166" i="20"/>
  <c r="AI166" i="20"/>
  <c r="BF166" i="20"/>
  <c r="BH166" i="20" s="1"/>
  <c r="AR100" i="20"/>
  <c r="AZ100" i="20"/>
  <c r="BF100" i="20"/>
  <c r="BH100" i="20" s="1"/>
  <c r="BB40" i="21"/>
  <c r="AR82" i="21"/>
  <c r="BF119" i="20"/>
  <c r="BH119" i="20" s="1"/>
  <c r="AW119" i="20"/>
  <c r="AZ53" i="20"/>
  <c r="BF53" i="20"/>
  <c r="BH53" i="20" s="1"/>
  <c r="AR53" i="20"/>
  <c r="BF34" i="20"/>
  <c r="BH34" i="20" s="1"/>
  <c r="AZ34" i="20"/>
  <c r="BF203" i="20"/>
  <c r="BH203" i="20" s="1"/>
  <c r="AZ203" i="20"/>
  <c r="AI173" i="20"/>
  <c r="BF173" i="20"/>
  <c r="BH173" i="20" s="1"/>
  <c r="AZ173" i="20"/>
  <c r="AR173" i="20"/>
  <c r="AW173" i="20"/>
  <c r="AW164" i="20"/>
  <c r="AZ72" i="20"/>
  <c r="BF72" i="20"/>
  <c r="BH72" i="20" s="1"/>
  <c r="AR72" i="20"/>
  <c r="BF198" i="20"/>
  <c r="BH198" i="20" s="1"/>
  <c r="AZ198" i="20"/>
  <c r="AR198" i="20"/>
  <c r="AI198" i="20"/>
  <c r="AW198" i="20"/>
  <c r="BF132" i="20"/>
  <c r="BH132" i="20" s="1"/>
  <c r="AZ132" i="20"/>
  <c r="AR132" i="20"/>
  <c r="AI132" i="20"/>
  <c r="AR31" i="20"/>
  <c r="AZ31" i="20"/>
  <c r="BB84" i="21"/>
  <c r="AR84" i="21"/>
  <c r="AZ193" i="20"/>
  <c r="AR193" i="20"/>
  <c r="AI193" i="20"/>
  <c r="BF193" i="20"/>
  <c r="BH193" i="20" s="1"/>
  <c r="AW193" i="20"/>
  <c r="AI195" i="20"/>
  <c r="BF195" i="20"/>
  <c r="BH195" i="20" s="1"/>
  <c r="AR195" i="20"/>
  <c r="AW195" i="20"/>
  <c r="AI141" i="20"/>
  <c r="BF141" i="20"/>
  <c r="BH141" i="20" s="1"/>
  <c r="AZ141" i="20"/>
  <c r="AR141" i="20"/>
  <c r="AW141" i="20"/>
  <c r="AR160" i="20"/>
  <c r="AZ36" i="20"/>
  <c r="AZ65" i="21"/>
  <c r="BB65" i="21"/>
  <c r="AZ158" i="20"/>
  <c r="AR158" i="20"/>
  <c r="AI158" i="20"/>
  <c r="BF158" i="20"/>
  <c r="BH158" i="20" s="1"/>
  <c r="AW158" i="20"/>
  <c r="AZ68" i="21"/>
  <c r="BF55" i="20"/>
  <c r="BH55" i="20" s="1"/>
  <c r="AZ50" i="21"/>
  <c r="BB50" i="21"/>
  <c r="BF50" i="21"/>
  <c r="BH50" i="21" s="1"/>
  <c r="AR50" i="21"/>
  <c r="BF35" i="20"/>
  <c r="BH35" i="20" s="1"/>
  <c r="AR35" i="20"/>
  <c r="AZ35" i="20"/>
  <c r="AI175" i="20"/>
  <c r="BF175" i="20"/>
  <c r="BH175" i="20" s="1"/>
  <c r="AZ175" i="20"/>
  <c r="AR175" i="20"/>
  <c r="AW175" i="20"/>
  <c r="AZ192" i="20"/>
  <c r="AR192" i="20"/>
  <c r="AI192" i="20"/>
  <c r="BF192" i="20"/>
  <c r="BH192" i="20" s="1"/>
  <c r="AW192" i="20"/>
  <c r="AZ134" i="20"/>
  <c r="AR134" i="20"/>
  <c r="AI134" i="20"/>
  <c r="BF134" i="20"/>
  <c r="BH134" i="20" s="1"/>
  <c r="AZ68" i="20"/>
  <c r="BF68" i="20"/>
  <c r="BH68" i="20" s="1"/>
  <c r="AR68" i="20"/>
  <c r="AZ78" i="21"/>
  <c r="BB78" i="21"/>
  <c r="BF9" i="20"/>
  <c r="BH9" i="20" s="1"/>
  <c r="B75" i="20" s="1"/>
  <c r="B76" i="20" s="1"/>
  <c r="AR9" i="20"/>
  <c r="AZ9" i="20"/>
  <c r="AI9" i="20"/>
  <c r="AR190" i="20"/>
  <c r="AI190" i="20"/>
  <c r="BF190" i="20"/>
  <c r="BH190" i="20" s="1"/>
  <c r="AZ190" i="20"/>
  <c r="AW190" i="20"/>
  <c r="AI124" i="20"/>
  <c r="BF124" i="20"/>
  <c r="BH124" i="20" s="1"/>
  <c r="AR72" i="21"/>
  <c r="BF185" i="20"/>
  <c r="BH185" i="20" s="1"/>
  <c r="AZ185" i="20"/>
  <c r="AR185" i="20"/>
  <c r="AI185" i="20"/>
  <c r="AW185" i="20"/>
  <c r="BF143" i="20"/>
  <c r="BH143" i="20" s="1"/>
  <c r="AZ143" i="20"/>
  <c r="AI143" i="20"/>
  <c r="AW143" i="20"/>
  <c r="AR77" i="20"/>
  <c r="AZ77" i="20"/>
  <c r="BF77" i="20"/>
  <c r="BH77" i="20" s="1"/>
  <c r="BF96" i="20"/>
  <c r="BH96" i="20" s="1"/>
  <c r="AR96" i="20"/>
  <c r="BF38" i="20"/>
  <c r="BH38" i="20" s="1"/>
  <c r="AR38" i="20"/>
  <c r="AZ38" i="20"/>
  <c r="BF77" i="21"/>
  <c r="BH77" i="21" s="1"/>
  <c r="AR77" i="21"/>
  <c r="BB77" i="21"/>
  <c r="AZ77" i="21"/>
  <c r="AZ105" i="21"/>
  <c r="BF105" i="21"/>
  <c r="BH105" i="21" s="1"/>
  <c r="AR105" i="21"/>
  <c r="BB105" i="21"/>
  <c r="AR178" i="20"/>
  <c r="AI178" i="20"/>
  <c r="BF178" i="20"/>
  <c r="BH178" i="20" s="1"/>
  <c r="AZ178" i="20"/>
  <c r="AW178" i="20"/>
  <c r="BF28" i="20"/>
  <c r="BH28" i="20" s="1"/>
  <c r="AR28" i="20"/>
  <c r="BF95" i="21"/>
  <c r="BH95" i="21" s="1"/>
  <c r="AZ89" i="21"/>
  <c r="BB89" i="21"/>
  <c r="BF89" i="21"/>
  <c r="BH89" i="21" s="1"/>
  <c r="AR89" i="21"/>
  <c r="BF33" i="20"/>
  <c r="BH33" i="20" s="1"/>
  <c r="AR33" i="20"/>
  <c r="AZ33" i="20"/>
  <c r="AR60" i="21"/>
  <c r="BB60" i="21"/>
  <c r="AZ60" i="21"/>
  <c r="BF60" i="21"/>
  <c r="BH60" i="21" s="1"/>
  <c r="BB9" i="21"/>
  <c r="BF111" i="20"/>
  <c r="BH111" i="20" s="1"/>
  <c r="AZ111" i="20"/>
  <c r="AR111" i="20"/>
  <c r="BF14" i="20"/>
  <c r="BH14" i="20" s="1"/>
  <c r="AR14" i="20"/>
  <c r="AZ14" i="20"/>
  <c r="BF92" i="21"/>
  <c r="BH92" i="21" s="1"/>
  <c r="AR92" i="21"/>
  <c r="AZ92" i="21"/>
  <c r="BB92" i="21"/>
  <c r="BF73" i="20"/>
  <c r="BH73" i="20" s="1"/>
  <c r="AR73" i="20"/>
  <c r="AZ73" i="20"/>
  <c r="AZ188" i="20"/>
  <c r="AR188" i="20"/>
  <c r="AI188" i="20"/>
  <c r="BF188" i="20"/>
  <c r="BH188" i="20" s="1"/>
  <c r="AW188" i="20"/>
  <c r="BF32" i="21"/>
  <c r="BH32" i="21" s="1"/>
  <c r="AR32" i="21"/>
  <c r="AZ32" i="21"/>
  <c r="BB32" i="21"/>
  <c r="AR102" i="20"/>
  <c r="AZ19" i="21"/>
  <c r="BF19" i="21"/>
  <c r="BH19" i="21" s="1"/>
  <c r="AR19" i="21"/>
  <c r="BB19" i="21"/>
  <c r="AZ92" i="20"/>
  <c r="BF92" i="20"/>
  <c r="BH92" i="20" s="1"/>
  <c r="AR92" i="20"/>
  <c r="AZ128" i="20"/>
  <c r="AR128" i="20"/>
  <c r="AI128" i="20"/>
  <c r="BF128" i="20"/>
  <c r="BH128" i="20" s="1"/>
  <c r="AW128" i="20"/>
  <c r="AZ70" i="20"/>
  <c r="BF70" i="20"/>
  <c r="BH70" i="20" s="1"/>
  <c r="AR70" i="20"/>
  <c r="AR81" i="21"/>
  <c r="BB81" i="21"/>
  <c r="AZ81" i="21"/>
  <c r="BF81" i="21"/>
  <c r="BH81" i="21" s="1"/>
  <c r="AR71" i="21"/>
  <c r="BB71" i="21"/>
  <c r="AZ71" i="21"/>
  <c r="BF71" i="21"/>
  <c r="BH71" i="21" s="1"/>
  <c r="AZ59" i="20"/>
  <c r="BF59" i="20"/>
  <c r="BH59" i="20" s="1"/>
  <c r="BF184" i="20"/>
  <c r="BH184" i="20" s="1"/>
  <c r="AZ184" i="20"/>
  <c r="AR184" i="20"/>
  <c r="AI184" i="20"/>
  <c r="BF126" i="20"/>
  <c r="BH126" i="20" s="1"/>
  <c r="AZ126" i="20"/>
  <c r="AR126" i="20"/>
  <c r="AW126" i="20"/>
  <c r="AR65" i="20"/>
  <c r="AZ180" i="20"/>
  <c r="BF180" i="20"/>
  <c r="BH180" i="20" s="1"/>
  <c r="AW180" i="20"/>
  <c r="BB46" i="21"/>
  <c r="BF46" i="21"/>
  <c r="BH46" i="21" s="1"/>
  <c r="AR46" i="21"/>
  <c r="AZ46" i="21"/>
  <c r="BB34" i="21"/>
  <c r="AR34" i="21"/>
  <c r="AZ121" i="20"/>
  <c r="AR121" i="20"/>
  <c r="AI121" i="20"/>
  <c r="BF121" i="20"/>
  <c r="BH121" i="20" s="1"/>
  <c r="AW121" i="20"/>
  <c r="AZ79" i="20"/>
  <c r="BF79" i="20"/>
  <c r="BH79" i="20" s="1"/>
  <c r="AR79" i="20"/>
  <c r="AZ13" i="20"/>
  <c r="BF13" i="20"/>
  <c r="BH13" i="20" s="1"/>
  <c r="AR13" i="20"/>
  <c r="BF109" i="21"/>
  <c r="BH109" i="21" s="1"/>
  <c r="AR109" i="21"/>
  <c r="AZ109" i="21"/>
  <c r="BB109" i="21"/>
  <c r="BF58" i="20"/>
  <c r="BH58" i="20" s="1"/>
  <c r="AR58" i="20"/>
  <c r="AZ58" i="20"/>
  <c r="BF32" i="20"/>
  <c r="BH32" i="20" s="1"/>
  <c r="AR32" i="20"/>
  <c r="AZ32" i="20"/>
  <c r="BF37" i="21"/>
  <c r="BH37" i="21" s="1"/>
  <c r="AR37" i="21"/>
  <c r="AZ37" i="21"/>
  <c r="BB37" i="21"/>
  <c r="AI114" i="20"/>
  <c r="BF114" i="20"/>
  <c r="BH114" i="20" s="1"/>
  <c r="AZ114" i="20"/>
  <c r="AR114" i="20"/>
  <c r="AW114" i="20"/>
  <c r="AZ88" i="21"/>
  <c r="BF44" i="21"/>
  <c r="BH44" i="21" s="1"/>
  <c r="AR44" i="21"/>
  <c r="AZ44" i="21"/>
  <c r="BB44" i="21"/>
  <c r="AI150" i="20"/>
  <c r="BF150" i="20"/>
  <c r="BH150" i="20" s="1"/>
  <c r="AZ150" i="20"/>
  <c r="AR150" i="20"/>
  <c r="BF84" i="20"/>
  <c r="BH84" i="20" s="1"/>
  <c r="AR84" i="20"/>
  <c r="AZ84" i="20"/>
  <c r="AZ23" i="21"/>
  <c r="BB23" i="21"/>
  <c r="BF23" i="21"/>
  <c r="BH23" i="21" s="1"/>
  <c r="AR23" i="21"/>
  <c r="AZ89" i="20"/>
  <c r="AR47" i="20"/>
  <c r="AZ47" i="20"/>
  <c r="BF47" i="20"/>
  <c r="BH47" i="20" s="1"/>
  <c r="AZ93" i="20"/>
  <c r="BF93" i="20"/>
  <c r="BH93" i="20" s="1"/>
  <c r="AR93" i="20"/>
  <c r="AR48" i="20"/>
  <c r="AZ48" i="20"/>
  <c r="BF48" i="20"/>
  <c r="BH48" i="20" s="1"/>
  <c r="B136" i="2"/>
  <c r="K141" i="2" s="1"/>
  <c r="M141" i="2" s="1"/>
  <c r="D141" i="2"/>
  <c r="D136" i="2"/>
  <c r="D158" i="2"/>
  <c r="B158" i="2" s="1"/>
  <c r="B141" i="2"/>
  <c r="D187" i="2"/>
  <c r="B187" i="2" s="1"/>
  <c r="B189" i="2" s="1"/>
  <c r="E58" i="1" s="1"/>
  <c r="D169" i="2"/>
  <c r="B169" i="2" s="1"/>
  <c r="B171" i="2" s="1"/>
  <c r="E49" i="1" s="1"/>
  <c r="AZ57" i="20"/>
  <c r="BF57" i="20"/>
  <c r="BH57" i="20" s="1"/>
  <c r="AR57" i="20"/>
  <c r="BF15" i="20"/>
  <c r="BH15" i="20" s="1"/>
  <c r="AR15" i="20"/>
  <c r="BF63" i="21"/>
  <c r="BH63" i="21" s="1"/>
  <c r="AR63" i="21"/>
  <c r="BB63" i="21"/>
  <c r="AZ63" i="21"/>
  <c r="BF50" i="20"/>
  <c r="BH50" i="20" s="1"/>
  <c r="AR50" i="20"/>
  <c r="AZ50" i="20"/>
  <c r="AI189" i="20"/>
  <c r="BF189" i="20"/>
  <c r="BH189" i="20" s="1"/>
  <c r="AZ189" i="20"/>
  <c r="AR189" i="20"/>
  <c r="AW189" i="20"/>
  <c r="AZ90" i="20"/>
  <c r="BF90" i="20"/>
  <c r="BH90" i="20" s="1"/>
  <c r="AR90" i="20"/>
  <c r="BB52" i="21"/>
  <c r="AZ52" i="21"/>
  <c r="BF52" i="21"/>
  <c r="BH52" i="21" s="1"/>
  <c r="AR52" i="21"/>
  <c r="AI170" i="20"/>
  <c r="BF170" i="20"/>
  <c r="BH170" i="20" s="1"/>
  <c r="AR170" i="20"/>
  <c r="AZ170" i="20"/>
  <c r="AW170" i="20"/>
  <c r="AI144" i="20"/>
  <c r="BF144" i="20"/>
  <c r="BH144" i="20" s="1"/>
  <c r="AZ144" i="20"/>
  <c r="AR144" i="20"/>
  <c r="AW144" i="20"/>
  <c r="BF86" i="20"/>
  <c r="BH86" i="20" s="1"/>
  <c r="AR86" i="20"/>
  <c r="AZ86" i="20"/>
  <c r="BF20" i="20"/>
  <c r="BH20" i="20" s="1"/>
  <c r="AR20" i="20"/>
  <c r="AZ20" i="20"/>
  <c r="BB106" i="21"/>
  <c r="AZ106" i="21"/>
  <c r="BF106" i="21"/>
  <c r="BH106" i="21" s="1"/>
  <c r="AR106" i="21"/>
  <c r="AZ206" i="20"/>
  <c r="AR206" i="20"/>
  <c r="AI206" i="20"/>
  <c r="BF206" i="20"/>
  <c r="BH206" i="20" s="1"/>
  <c r="AW206" i="20"/>
  <c r="AZ105" i="20"/>
  <c r="AR105" i="20"/>
  <c r="BF105" i="20"/>
  <c r="BH105" i="20" s="1"/>
  <c r="AZ93" i="21"/>
  <c r="BB93" i="21"/>
  <c r="BF93" i="21"/>
  <c r="BH93" i="21" s="1"/>
  <c r="AR93" i="21"/>
  <c r="BF64" i="20"/>
  <c r="BH64" i="20" s="1"/>
  <c r="AR64" i="20"/>
  <c r="AR146" i="20"/>
  <c r="AZ146" i="20"/>
  <c r="AI146" i="20"/>
  <c r="BF146" i="20"/>
  <c r="BH146" i="20" s="1"/>
  <c r="AW146" i="20"/>
  <c r="BF62" i="20"/>
  <c r="BH62" i="20" s="1"/>
  <c r="AR62" i="20"/>
  <c r="AZ62" i="20"/>
  <c r="AR116" i="20"/>
  <c r="AI116" i="20"/>
  <c r="BF116" i="20"/>
  <c r="BH116" i="20" s="1"/>
  <c r="AZ116" i="20"/>
  <c r="AW116" i="20"/>
  <c r="AR147" i="20"/>
  <c r="AZ147" i="20"/>
  <c r="AI147" i="20"/>
  <c r="BF147" i="20"/>
  <c r="BH147" i="20" s="1"/>
  <c r="AW147" i="20"/>
  <c r="AR56" i="20"/>
  <c r="AZ56" i="20"/>
  <c r="BF56" i="20"/>
  <c r="BH56" i="20" s="1"/>
  <c r="BF52" i="20"/>
  <c r="BH52" i="20" s="1"/>
  <c r="AR52" i="20"/>
  <c r="AZ52" i="20"/>
  <c r="BF125" i="20"/>
  <c r="BH125" i="20" s="1"/>
  <c r="AZ125" i="20"/>
  <c r="AR125" i="20"/>
  <c r="AI125" i="20"/>
  <c r="AW125" i="20"/>
  <c r="AZ69" i="21"/>
  <c r="BB69" i="21"/>
  <c r="BF69" i="21"/>
  <c r="BH69" i="21" s="1"/>
  <c r="AR69" i="21"/>
  <c r="BF106" i="20"/>
  <c r="BH106" i="20" s="1"/>
  <c r="AR106" i="20"/>
  <c r="AZ106" i="20"/>
  <c r="AR80" i="20"/>
  <c r="AZ80" i="20"/>
  <c r="BF80" i="20"/>
  <c r="BH80" i="20" s="1"/>
  <c r="AR22" i="20"/>
  <c r="AZ22" i="20"/>
  <c r="BF22" i="20"/>
  <c r="BH22" i="20" s="1"/>
  <c r="AZ100" i="21"/>
  <c r="BF100" i="21"/>
  <c r="BH100" i="21" s="1"/>
  <c r="AR100" i="21"/>
  <c r="BB100" i="21"/>
  <c r="AZ179" i="20"/>
  <c r="AR179" i="20"/>
  <c r="AI179" i="20"/>
  <c r="BF179" i="20"/>
  <c r="BH179" i="20" s="1"/>
  <c r="AW179" i="20"/>
  <c r="BF37" i="20"/>
  <c r="BH37" i="20" s="1"/>
  <c r="AR11" i="20"/>
  <c r="AZ11" i="20"/>
  <c r="BF11" i="20"/>
  <c r="BH11" i="20" s="1"/>
  <c r="AI11" i="20"/>
  <c r="AZ64" i="21"/>
  <c r="BB64" i="21"/>
  <c r="BF64" i="21"/>
  <c r="BH64" i="21" s="1"/>
  <c r="AR64" i="21"/>
  <c r="BB103" i="21"/>
  <c r="AZ103" i="21"/>
  <c r="BF103" i="21"/>
  <c r="BH103" i="21" s="1"/>
  <c r="AR103" i="21"/>
  <c r="AZ183" i="20"/>
  <c r="AR183" i="20"/>
  <c r="AI183" i="20"/>
  <c r="BF183" i="20"/>
  <c r="BH183" i="20" s="1"/>
  <c r="AW183" i="20"/>
  <c r="AZ98" i="20"/>
  <c r="BF98" i="20"/>
  <c r="BH98" i="20" s="1"/>
  <c r="AR98" i="20"/>
  <c r="BB51" i="21"/>
  <c r="AZ51" i="21"/>
  <c r="BF51" i="21"/>
  <c r="BH51" i="21" s="1"/>
  <c r="AR51" i="21"/>
  <c r="BF120" i="20"/>
  <c r="BH120" i="20" s="1"/>
  <c r="AZ120" i="20"/>
  <c r="AR120" i="20"/>
  <c r="AI120" i="20"/>
  <c r="AW120" i="20"/>
  <c r="BB48" i="21"/>
  <c r="BF48" i="21"/>
  <c r="BH48" i="21" s="1"/>
  <c r="AR48" i="21"/>
  <c r="AZ48" i="21"/>
  <c r="BB53" i="21"/>
  <c r="AZ53" i="21"/>
  <c r="BF53" i="21"/>
  <c r="BH53" i="21" s="1"/>
  <c r="AR53" i="21"/>
  <c r="AR165" i="20"/>
  <c r="AZ165" i="20"/>
  <c r="AZ82" i="20"/>
  <c r="BF82" i="20"/>
  <c r="BH82" i="20" s="1"/>
  <c r="AR82" i="20"/>
  <c r="AI202" i="20"/>
  <c r="BF202" i="20"/>
  <c r="BH202" i="20" s="1"/>
  <c r="AZ202" i="20"/>
  <c r="AR202" i="20"/>
  <c r="AW202" i="20"/>
  <c r="AI176" i="20"/>
  <c r="BF176" i="20"/>
  <c r="BH176" i="20" s="1"/>
  <c r="AZ176" i="20"/>
  <c r="AR176" i="20"/>
  <c r="AW176" i="20"/>
  <c r="AI118" i="20"/>
  <c r="BF118" i="20"/>
  <c r="BH118" i="20" s="1"/>
  <c r="AZ118" i="20"/>
  <c r="AR118" i="20"/>
  <c r="AW118" i="20"/>
  <c r="AZ79" i="21"/>
  <c r="BF79" i="21"/>
  <c r="BH79" i="21" s="1"/>
  <c r="AR79" i="21"/>
  <c r="BB79" i="21"/>
  <c r="AR131" i="20"/>
  <c r="AZ131" i="20"/>
  <c r="AI131" i="20"/>
  <c r="BF131" i="20"/>
  <c r="BH131" i="20" s="1"/>
  <c r="AW131" i="20"/>
  <c r="BB12" i="21"/>
  <c r="AZ12" i="21"/>
  <c r="BF12" i="21"/>
  <c r="BH12" i="21" s="1"/>
  <c r="AR12" i="21"/>
  <c r="BF33" i="21"/>
  <c r="BH33" i="21" s="1"/>
  <c r="AR33" i="21"/>
  <c r="AZ33" i="21"/>
  <c r="BB33" i="21"/>
  <c r="BF99" i="20"/>
  <c r="BH99" i="20" s="1"/>
  <c r="AR99" i="20"/>
  <c r="AZ99" i="20"/>
  <c r="BF191" i="20"/>
  <c r="BH191" i="20" s="1"/>
  <c r="AZ191" i="20"/>
  <c r="AR191" i="20"/>
  <c r="AI191" i="20"/>
  <c r="AW191" i="20"/>
  <c r="AZ26" i="20"/>
  <c r="BF26" i="20"/>
  <c r="BH26" i="20" s="1"/>
  <c r="AR26" i="20"/>
  <c r="AZ18" i="20"/>
  <c r="BF18" i="20"/>
  <c r="BH18" i="20" s="1"/>
  <c r="AR18" i="20"/>
  <c r="AZ83" i="20"/>
  <c r="BF83" i="20"/>
  <c r="BH83" i="20" s="1"/>
  <c r="AR83" i="20"/>
  <c r="AZ157" i="20"/>
  <c r="AR157" i="20"/>
  <c r="AI157" i="20"/>
  <c r="BF157" i="20"/>
  <c r="BH157" i="20" s="1"/>
  <c r="AW157" i="20"/>
  <c r="AW145" i="20"/>
  <c r="BF86" i="21"/>
  <c r="BH86" i="21" s="1"/>
  <c r="BF112" i="20"/>
  <c r="BH112" i="20" s="1"/>
  <c r="AZ112" i="20"/>
  <c r="AR112" i="20"/>
  <c r="BF54" i="20"/>
  <c r="BH54" i="20" s="1"/>
  <c r="AR54" i="20"/>
  <c r="AZ54" i="20"/>
  <c r="AZ98" i="21"/>
  <c r="BB98" i="21"/>
  <c r="BF98" i="21"/>
  <c r="BH98" i="21" s="1"/>
  <c r="AR98" i="21"/>
  <c r="AZ194" i="20"/>
  <c r="AI194" i="20"/>
  <c r="AW168" i="20"/>
  <c r="AZ110" i="20"/>
  <c r="AZ113" i="20"/>
  <c r="AZ163" i="20"/>
  <c r="AR163" i="20"/>
  <c r="AI163" i="20"/>
  <c r="BF163" i="20"/>
  <c r="BH163" i="20" s="1"/>
  <c r="AW163" i="20"/>
  <c r="AZ169" i="20"/>
  <c r="AR169" i="20"/>
  <c r="AI169" i="20"/>
  <c r="BF169" i="20"/>
  <c r="BH169" i="20" s="1"/>
  <c r="BF61" i="20"/>
  <c r="BH61" i="20" s="1"/>
  <c r="AR61" i="20"/>
  <c r="BB14" i="21"/>
  <c r="AZ42" i="21"/>
  <c r="BB42" i="21"/>
  <c r="BF42" i="21"/>
  <c r="BH42" i="21" s="1"/>
  <c r="AR42" i="21"/>
  <c r="BF16" i="20"/>
  <c r="BH16" i="20" s="1"/>
  <c r="AR16" i="20"/>
  <c r="BF181" i="20"/>
  <c r="BH181" i="20" s="1"/>
  <c r="BF38" i="21"/>
  <c r="BH38" i="21" s="1"/>
  <c r="AR38" i="21"/>
  <c r="BB38" i="21"/>
  <c r="AZ38" i="21"/>
  <c r="AZ162" i="20"/>
  <c r="AR162" i="20"/>
  <c r="AI162" i="20"/>
  <c r="BF162" i="20"/>
  <c r="BH162" i="20" s="1"/>
  <c r="AW162" i="20"/>
  <c r="AZ78" i="20"/>
  <c r="M75" i="30"/>
  <c r="M32" i="30"/>
  <c r="M56" i="30"/>
  <c r="W15" i="30"/>
  <c r="F17" i="30"/>
  <c r="M40" i="30"/>
  <c r="AZ28" i="20" l="1"/>
  <c r="BF31" i="20"/>
  <c r="BH31" i="20" s="1"/>
  <c r="AR143" i="20"/>
  <c r="AZ195" i="20"/>
  <c r="R195" i="20"/>
  <c r="AR24" i="21"/>
  <c r="BF56" i="21"/>
  <c r="BH56" i="21" s="1"/>
  <c r="AZ72" i="21"/>
  <c r="BF21" i="21"/>
  <c r="BH21" i="21" s="1"/>
  <c r="BB10" i="21"/>
  <c r="BF75" i="21"/>
  <c r="BH75" i="21" s="1"/>
  <c r="AZ95" i="21"/>
  <c r="AZ56" i="21"/>
  <c r="BB68" i="21"/>
  <c r="BB21" i="21"/>
  <c r="AR10" i="21"/>
  <c r="AZ102" i="21"/>
  <c r="BB75" i="21"/>
  <c r="BB95" i="21"/>
  <c r="BB56" i="21"/>
  <c r="AR68" i="21"/>
  <c r="AR65" i="21"/>
  <c r="AZ21" i="21"/>
  <c r="BF10" i="21"/>
  <c r="BH10" i="21" s="1"/>
  <c r="BB102" i="21"/>
  <c r="AZ75" i="21"/>
  <c r="AR102" i="21"/>
  <c r="BB74" i="21"/>
  <c r="BF72" i="21"/>
  <c r="BH72" i="21" s="1"/>
  <c r="AR78" i="21"/>
  <c r="AR45" i="21"/>
  <c r="AP169" i="20"/>
  <c r="R189" i="20"/>
  <c r="AZ196" i="20"/>
  <c r="R162" i="20"/>
  <c r="AZ10" i="20"/>
  <c r="R146" i="20"/>
  <c r="AW196" i="20"/>
  <c r="R125" i="20"/>
  <c r="R114" i="20"/>
  <c r="BF41" i="21"/>
  <c r="BH41" i="21" s="1"/>
  <c r="AR154" i="20"/>
  <c r="AR127" i="20"/>
  <c r="BF110" i="20"/>
  <c r="BH110" i="20" s="1"/>
  <c r="AW194" i="20"/>
  <c r="AZ86" i="21"/>
  <c r="AZ171" i="20"/>
  <c r="AR140" i="20"/>
  <c r="BB29" i="21"/>
  <c r="BF94" i="20"/>
  <c r="BH94" i="20" s="1"/>
  <c r="AR36" i="20"/>
  <c r="BF164" i="20"/>
  <c r="BH164" i="20" s="1"/>
  <c r="BF41" i="20"/>
  <c r="BH41" i="20" s="1"/>
  <c r="AR10" i="20"/>
  <c r="AZ155" i="20"/>
  <c r="R170" i="20"/>
  <c r="R128" i="20"/>
  <c r="R145" i="20"/>
  <c r="AI168" i="20"/>
  <c r="AZ145" i="20"/>
  <c r="AZ127" i="20"/>
  <c r="BF194" i="20"/>
  <c r="BH194" i="20" s="1"/>
  <c r="AR86" i="21"/>
  <c r="AW165" i="20"/>
  <c r="AZ140" i="20"/>
  <c r="AZ29" i="21"/>
  <c r="AR88" i="21"/>
  <c r="AR164" i="20"/>
  <c r="AZ41" i="20"/>
  <c r="AP203" i="20"/>
  <c r="AW154" i="20"/>
  <c r="AZ16" i="20"/>
  <c r="AR41" i="21"/>
  <c r="BF168" i="20"/>
  <c r="BH168" i="20" s="1"/>
  <c r="AR194" i="20"/>
  <c r="AR145" i="20"/>
  <c r="AR103" i="20"/>
  <c r="AR124" i="20"/>
  <c r="AW115" i="20"/>
  <c r="AI203" i="20"/>
  <c r="AI119" i="20"/>
  <c r="BF40" i="21"/>
  <c r="BH40" i="21" s="1"/>
  <c r="R127" i="20"/>
  <c r="AP115" i="20"/>
  <c r="AZ103" i="20"/>
  <c r="AR115" i="20"/>
  <c r="AR119" i="20"/>
  <c r="BF149" i="20"/>
  <c r="BH149" i="20" s="1"/>
  <c r="R115" i="20"/>
  <c r="R129" i="20"/>
  <c r="AW127" i="20"/>
  <c r="AW171" i="20"/>
  <c r="AZ154" i="20"/>
  <c r="BF127" i="20"/>
  <c r="BH127" i="20" s="1"/>
  <c r="BB41" i="21"/>
  <c r="AR168" i="20"/>
  <c r="BF145" i="20"/>
  <c r="BH145" i="20" s="1"/>
  <c r="BF171" i="20"/>
  <c r="BH171" i="20" s="1"/>
  <c r="AR29" i="21"/>
  <c r="AZ94" i="20"/>
  <c r="AZ115" i="20"/>
  <c r="AZ119" i="20"/>
  <c r="AI155" i="20"/>
  <c r="AP149" i="20"/>
  <c r="AP155" i="20"/>
  <c r="BF154" i="20"/>
  <c r="BH154" i="20" s="1"/>
  <c r="AI154" i="20"/>
  <c r="AZ168" i="20"/>
  <c r="AI145" i="20"/>
  <c r="AI171" i="20"/>
  <c r="AW140" i="20"/>
  <c r="AR155" i="20"/>
  <c r="R155" i="20"/>
  <c r="AP163" i="20"/>
  <c r="AP150" i="20"/>
  <c r="R165" i="20"/>
  <c r="AP121" i="20"/>
  <c r="R160" i="20"/>
  <c r="R180" i="20"/>
  <c r="AR18" i="21"/>
  <c r="AP124" i="20"/>
  <c r="R171" i="20"/>
  <c r="AR67" i="20"/>
  <c r="AP194" i="20"/>
  <c r="AP140" i="20"/>
  <c r="AW152" i="20"/>
  <c r="AZ152" i="20"/>
  <c r="AP154" i="20"/>
  <c r="BF25" i="21"/>
  <c r="BH25" i="21" s="1"/>
  <c r="AZ97" i="21"/>
  <c r="AZ14" i="21"/>
  <c r="AZ24" i="21"/>
  <c r="AR97" i="21"/>
  <c r="AR14" i="21"/>
  <c r="BF24" i="21"/>
  <c r="BH24" i="21" s="1"/>
  <c r="AR25" i="21"/>
  <c r="AR17" i="21"/>
  <c r="BF97" i="21"/>
  <c r="BH97" i="21" s="1"/>
  <c r="BB25" i="21"/>
  <c r="BF17" i="21"/>
  <c r="BH17" i="21" s="1"/>
  <c r="BB18" i="21"/>
  <c r="BF66" i="21"/>
  <c r="BH66" i="21" s="1"/>
  <c r="BB66" i="21"/>
  <c r="BB55" i="21"/>
  <c r="BF34" i="21"/>
  <c r="BH34" i="21" s="1"/>
  <c r="AZ40" i="21"/>
  <c r="AR104" i="21"/>
  <c r="AZ73" i="21"/>
  <c r="BF88" i="21"/>
  <c r="BH88" i="21" s="1"/>
  <c r="BF84" i="21"/>
  <c r="BH84" i="21" s="1"/>
  <c r="BB82" i="21"/>
  <c r="BB27" i="21"/>
  <c r="AZ82" i="21"/>
  <c r="AZ27" i="21"/>
  <c r="BB36" i="21"/>
  <c r="AR73" i="21"/>
  <c r="AZ36" i="21"/>
  <c r="AZ83" i="21"/>
  <c r="BF83" i="21"/>
  <c r="BH83" i="21" s="1"/>
  <c r="BF9" i="21"/>
  <c r="BH9" i="21" s="1"/>
  <c r="B75" i="21" s="1"/>
  <c r="B76" i="21" s="1"/>
  <c r="BB83" i="21"/>
  <c r="AZ9" i="21"/>
  <c r="AZ104" i="21"/>
  <c r="AZ17" i="21"/>
  <c r="AR36" i="21"/>
  <c r="BB73" i="21"/>
  <c r="R152" i="20"/>
  <c r="AP171" i="20"/>
  <c r="AP180" i="20"/>
  <c r="AP160" i="20"/>
  <c r="AP152" i="20"/>
  <c r="BF142" i="20"/>
  <c r="BH142" i="20" s="1"/>
  <c r="BF167" i="20"/>
  <c r="BH167" i="20" s="1"/>
  <c r="BF165" i="20"/>
  <c r="BH165" i="20" s="1"/>
  <c r="AI140" i="20"/>
  <c r="AI180" i="20"/>
  <c r="AI126" i="20"/>
  <c r="AZ102" i="20"/>
  <c r="BF152" i="20"/>
  <c r="BH152" i="20" s="1"/>
  <c r="AZ160" i="20"/>
  <c r="BF115" i="20"/>
  <c r="BH115" i="20" s="1"/>
  <c r="AW203" i="20"/>
  <c r="BF67" i="20"/>
  <c r="BH67" i="20" s="1"/>
  <c r="AI149" i="20"/>
  <c r="AI137" i="20"/>
  <c r="AW155" i="20"/>
  <c r="R140" i="20"/>
  <c r="R150" i="20"/>
  <c r="AP119" i="20"/>
  <c r="R149" i="20"/>
  <c r="R124" i="20"/>
  <c r="AI165" i="20"/>
  <c r="AW184" i="20"/>
  <c r="AI152" i="20"/>
  <c r="AW124" i="20"/>
  <c r="BF160" i="20"/>
  <c r="BH160" i="20" s="1"/>
  <c r="AR149" i="20"/>
  <c r="AP168" i="20"/>
  <c r="AP202" i="20"/>
  <c r="AP184" i="20"/>
  <c r="AZ201" i="20"/>
  <c r="BF65" i="20"/>
  <c r="BH65" i="20" s="1"/>
  <c r="AR122" i="20"/>
  <c r="AI187" i="20"/>
  <c r="AR117" i="20"/>
  <c r="AW207" i="20"/>
  <c r="BF75" i="20"/>
  <c r="BH75" i="20" s="1"/>
  <c r="AZ148" i="20"/>
  <c r="AP188" i="20"/>
  <c r="BF91" i="20"/>
  <c r="BH91" i="20" s="1"/>
  <c r="AW204" i="20"/>
  <c r="AW151" i="20"/>
  <c r="AZ42" i="20"/>
  <c r="AZ91" i="20"/>
  <c r="AZ109" i="20"/>
  <c r="AR55" i="20"/>
  <c r="AP129" i="20"/>
  <c r="AR13" i="21"/>
  <c r="AI129" i="20"/>
  <c r="AZ16" i="21"/>
  <c r="AR129" i="20"/>
  <c r="AR196" i="20"/>
  <c r="R164" i="20"/>
  <c r="BF104" i="20"/>
  <c r="BH104" i="20" s="1"/>
  <c r="AZ91" i="21"/>
  <c r="AI196" i="20"/>
  <c r="AR182" i="20"/>
  <c r="AI182" i="20"/>
  <c r="BF182" i="20"/>
  <c r="BH182" i="20" s="1"/>
  <c r="R182" i="20"/>
  <c r="AP182" i="20"/>
  <c r="AW182" i="20"/>
  <c r="R25" i="20"/>
  <c r="BF25" i="20"/>
  <c r="BH25" i="20" s="1"/>
  <c r="AI186" i="20"/>
  <c r="BF186" i="20"/>
  <c r="BH186" i="20" s="1"/>
  <c r="AZ186" i="20"/>
  <c r="AR45" i="20"/>
  <c r="AZ45" i="20"/>
  <c r="R17" i="20"/>
  <c r="AI205" i="20"/>
  <c r="BF205" i="20"/>
  <c r="BH205" i="20" s="1"/>
  <c r="AZ205" i="20"/>
  <c r="AR205" i="20"/>
  <c r="AW199" i="20"/>
  <c r="R199" i="20"/>
  <c r="AP199" i="20"/>
  <c r="BF199" i="20"/>
  <c r="BH199" i="20" s="1"/>
  <c r="AZ54" i="21"/>
  <c r="BF54" i="21"/>
  <c r="BH54" i="21" s="1"/>
  <c r="AR54" i="21"/>
  <c r="R135" i="20"/>
  <c r="AP135" i="20"/>
  <c r="AR135" i="20"/>
  <c r="BF74" i="20"/>
  <c r="BH74" i="20" s="1"/>
  <c r="AR74" i="20"/>
  <c r="AZ12" i="20"/>
  <c r="R12" i="20"/>
  <c r="AI12" i="20"/>
  <c r="BF12" i="20"/>
  <c r="BH12" i="20" s="1"/>
  <c r="BF63" i="20"/>
  <c r="BH63" i="20" s="1"/>
  <c r="AR63" i="20"/>
  <c r="BF24" i="20"/>
  <c r="BH24" i="20" s="1"/>
  <c r="AR24" i="20"/>
  <c r="AI24" i="20"/>
  <c r="BB80" i="21"/>
  <c r="AR80" i="21"/>
  <c r="BF80" i="21"/>
  <c r="BH80" i="21" s="1"/>
  <c r="BF18" i="21"/>
  <c r="BH18" i="21" s="1"/>
  <c r="AZ30" i="20"/>
  <c r="AP167" i="20"/>
  <c r="AZ167" i="20"/>
  <c r="AW167" i="20"/>
  <c r="BF177" i="20"/>
  <c r="BH177" i="20" s="1"/>
  <c r="R177" i="20"/>
  <c r="AW177" i="20"/>
  <c r="AP177" i="20"/>
  <c r="AZ76" i="20"/>
  <c r="BF76" i="20"/>
  <c r="BH76" i="20" s="1"/>
  <c r="AR76" i="20"/>
  <c r="AP197" i="20"/>
  <c r="BF197" i="20"/>
  <c r="BH197" i="20" s="1"/>
  <c r="AZ197" i="20"/>
  <c r="AI197" i="20"/>
  <c r="AW197" i="20"/>
  <c r="AR109" i="20"/>
  <c r="AZ85" i="20"/>
  <c r="BF85" i="20"/>
  <c r="BH85" i="20" s="1"/>
  <c r="AR85" i="20"/>
  <c r="AP142" i="20"/>
  <c r="AR142" i="20"/>
  <c r="AI138" i="20"/>
  <c r="AZ138" i="20"/>
  <c r="AR101" i="20"/>
  <c r="AZ101" i="20"/>
  <c r="BF101" i="21"/>
  <c r="BH101" i="21" s="1"/>
  <c r="AR101" i="21"/>
  <c r="AZ101" i="21"/>
  <c r="AR47" i="21"/>
  <c r="BB47" i="21"/>
  <c r="BF47" i="21"/>
  <c r="BH47" i="21" s="1"/>
  <c r="BB85" i="21"/>
  <c r="BF85" i="21"/>
  <c r="BH85" i="21" s="1"/>
  <c r="AR85" i="21"/>
  <c r="BF16" i="21"/>
  <c r="BH16" i="21" s="1"/>
  <c r="AR16" i="21"/>
  <c r="AW138" i="20"/>
  <c r="AR167" i="20"/>
  <c r="AR177" i="20"/>
  <c r="AR108" i="20"/>
  <c r="AI142" i="20"/>
  <c r="AI135" i="20"/>
  <c r="AZ76" i="21"/>
  <c r="BF49" i="20"/>
  <c r="BH49" i="20" s="1"/>
  <c r="BF30" i="20"/>
  <c r="BH30" i="20" s="1"/>
  <c r="BB107" i="21"/>
  <c r="AR17" i="20"/>
  <c r="AR26" i="21"/>
  <c r="BB59" i="21"/>
  <c r="R142" i="20"/>
  <c r="R197" i="20"/>
  <c r="AP208" i="20"/>
  <c r="R205" i="20"/>
  <c r="AP138" i="20"/>
  <c r="AR57" i="21"/>
  <c r="BB57" i="21"/>
  <c r="BF35" i="21"/>
  <c r="BH35" i="21" s="1"/>
  <c r="AR35" i="21"/>
  <c r="AZ67" i="21"/>
  <c r="BF67" i="21"/>
  <c r="BH67" i="21" s="1"/>
  <c r="AZ11" i="21"/>
  <c r="AR11" i="21"/>
  <c r="BF61" i="21"/>
  <c r="BH61" i="21" s="1"/>
  <c r="AR61" i="21"/>
  <c r="AZ61" i="21"/>
  <c r="BF70" i="21"/>
  <c r="BH70" i="21" s="1"/>
  <c r="AR70" i="21"/>
  <c r="BB70" i="21"/>
  <c r="AZ70" i="21"/>
  <c r="BB35" i="21"/>
  <c r="AR138" i="20"/>
  <c r="AZ177" i="20"/>
  <c r="BF159" i="20"/>
  <c r="BH159" i="20" s="1"/>
  <c r="AZ142" i="20"/>
  <c r="AR94" i="21"/>
  <c r="AZ135" i="20"/>
  <c r="BB22" i="21"/>
  <c r="AI199" i="20"/>
  <c r="BB67" i="21"/>
  <c r="AZ88" i="20"/>
  <c r="AZ107" i="21"/>
  <c r="AR46" i="20"/>
  <c r="AW205" i="20"/>
  <c r="R161" i="20"/>
  <c r="R167" i="20"/>
  <c r="AP117" i="20"/>
  <c r="R138" i="20"/>
  <c r="AP172" i="20"/>
  <c r="AI172" i="20"/>
  <c r="BF172" i="20"/>
  <c r="BH172" i="20" s="1"/>
  <c r="AW172" i="20"/>
  <c r="AI200" i="20"/>
  <c r="BF200" i="20"/>
  <c r="BH200" i="20" s="1"/>
  <c r="AW200" i="20"/>
  <c r="AI201" i="20"/>
  <c r="BF201" i="20"/>
  <c r="BH201" i="20" s="1"/>
  <c r="AW201" i="20"/>
  <c r="R201" i="20"/>
  <c r="BB96" i="21"/>
  <c r="AZ96" i="21"/>
  <c r="BF96" i="21"/>
  <c r="BH96" i="21" s="1"/>
  <c r="AZ30" i="21"/>
  <c r="BF30" i="21"/>
  <c r="BH30" i="21" s="1"/>
  <c r="BB62" i="21"/>
  <c r="AZ62" i="21"/>
  <c r="AR62" i="21"/>
  <c r="AZ20" i="21"/>
  <c r="BB20" i="21"/>
  <c r="AR20" i="21"/>
  <c r="R139" i="20"/>
  <c r="AZ139" i="20"/>
  <c r="AP139" i="20"/>
  <c r="AR139" i="20"/>
  <c r="AI139" i="20"/>
  <c r="R207" i="20"/>
  <c r="AP207" i="20"/>
  <c r="BF207" i="20"/>
  <c r="BH207" i="20" s="1"/>
  <c r="AR207" i="20"/>
  <c r="AZ208" i="20"/>
  <c r="AR208" i="20"/>
  <c r="AW208" i="20"/>
  <c r="BF99" i="21"/>
  <c r="BH99" i="21" s="1"/>
  <c r="AR99" i="21"/>
  <c r="BF43" i="21"/>
  <c r="BH43" i="21" s="1"/>
  <c r="AR43" i="21"/>
  <c r="AZ182" i="20"/>
  <c r="BF107" i="21"/>
  <c r="BH107" i="21" s="1"/>
  <c r="BF45" i="20"/>
  <c r="BH45" i="20" s="1"/>
  <c r="AP130" i="20"/>
  <c r="AZ130" i="20"/>
  <c r="AI130" i="20"/>
  <c r="R130" i="20"/>
  <c r="BF130" i="20"/>
  <c r="BH130" i="20" s="1"/>
  <c r="AR130" i="20"/>
  <c r="AW130" i="20"/>
  <c r="AR200" i="20"/>
  <c r="BF94" i="21"/>
  <c r="BH94" i="21" s="1"/>
  <c r="AR22" i="21"/>
  <c r="AR199" i="20"/>
  <c r="AR172" i="20"/>
  <c r="BF58" i="21"/>
  <c r="BH58" i="21" s="1"/>
  <c r="AR67" i="21"/>
  <c r="BF88" i="20"/>
  <c r="BH88" i="20" s="1"/>
  <c r="BB43" i="21"/>
  <c r="BF46" i="20"/>
  <c r="BH46" i="20" s="1"/>
  <c r="AW156" i="20"/>
  <c r="AZ40" i="20"/>
  <c r="AZ85" i="21"/>
  <c r="R136" i="20"/>
  <c r="R200" i="20"/>
  <c r="R30" i="20"/>
  <c r="AP156" i="20"/>
  <c r="BF23" i="20"/>
  <c r="BH23" i="20" s="1"/>
  <c r="AR23" i="20"/>
  <c r="AR69" i="20"/>
  <c r="BF69" i="20"/>
  <c r="BH69" i="20" s="1"/>
  <c r="AZ174" i="20"/>
  <c r="AR174" i="20"/>
  <c r="AI174" i="20"/>
  <c r="AW174" i="20"/>
  <c r="R21" i="20"/>
  <c r="AZ97" i="20"/>
  <c r="BF97" i="20"/>
  <c r="BH97" i="20" s="1"/>
  <c r="AR97" i="20"/>
  <c r="AI148" i="20"/>
  <c r="R148" i="20"/>
  <c r="BF148" i="20"/>
  <c r="BH148" i="20" s="1"/>
  <c r="AP148" i="20"/>
  <c r="AW148" i="20"/>
  <c r="AZ87" i="21"/>
  <c r="BF87" i="21"/>
  <c r="BH87" i="21" s="1"/>
  <c r="AR87" i="21"/>
  <c r="BB87" i="21"/>
  <c r="BF17" i="20"/>
  <c r="BH17" i="20" s="1"/>
  <c r="R122" i="20"/>
  <c r="AI122" i="20"/>
  <c r="BF122" i="20"/>
  <c r="BH122" i="20" s="1"/>
  <c r="AZ122" i="20"/>
  <c r="BF113" i="20"/>
  <c r="BH113" i="20" s="1"/>
  <c r="AZ87" i="20"/>
  <c r="BF87" i="20"/>
  <c r="BH87" i="20" s="1"/>
  <c r="AR87" i="20"/>
  <c r="BF133" i="20"/>
  <c r="BH133" i="20" s="1"/>
  <c r="AZ133" i="20"/>
  <c r="R133" i="20"/>
  <c r="AI133" i="20"/>
  <c r="BF51" i="20"/>
  <c r="BH51" i="20" s="1"/>
  <c r="AR51" i="20"/>
  <c r="BF108" i="20"/>
  <c r="BH108" i="20" s="1"/>
  <c r="AP161" i="20"/>
  <c r="AI161" i="20"/>
  <c r="BF161" i="20"/>
  <c r="BH161" i="20" s="1"/>
  <c r="AW161" i="20"/>
  <c r="AR31" i="21"/>
  <c r="BB31" i="21"/>
  <c r="BF15" i="21"/>
  <c r="BH15" i="21" s="1"/>
  <c r="AR15" i="21"/>
  <c r="BB15" i="21"/>
  <c r="AZ15" i="21"/>
  <c r="BB76" i="21"/>
  <c r="AR76" i="21"/>
  <c r="AR39" i="21"/>
  <c r="AZ39" i="21"/>
  <c r="BF39" i="21"/>
  <c r="BH39" i="21" s="1"/>
  <c r="BF135" i="20"/>
  <c r="BH135" i="20" s="1"/>
  <c r="AZ25" i="20"/>
  <c r="AW133" i="20"/>
  <c r="AR30" i="21"/>
  <c r="AI207" i="20"/>
  <c r="AZ17" i="20"/>
  <c r="AZ74" i="20"/>
  <c r="BF66" i="20"/>
  <c r="BH66" i="20" s="1"/>
  <c r="AR66" i="20"/>
  <c r="AZ66" i="20"/>
  <c r="AR107" i="20"/>
  <c r="AR104" i="20"/>
  <c r="AZ151" i="20"/>
  <c r="AR151" i="20"/>
  <c r="BF151" i="20"/>
  <c r="BH151" i="20" s="1"/>
  <c r="AZ153" i="20"/>
  <c r="BF153" i="20"/>
  <c r="BH153" i="20" s="1"/>
  <c r="R153" i="20"/>
  <c r="AP153" i="20"/>
  <c r="AR153" i="20"/>
  <c r="BF129" i="20"/>
  <c r="BH129" i="20" s="1"/>
  <c r="AW129" i="20"/>
  <c r="AR42" i="20"/>
  <c r="BF81" i="20"/>
  <c r="BH81" i="20" s="1"/>
  <c r="AR81" i="20"/>
  <c r="AZ81" i="20"/>
  <c r="AZ90" i="21"/>
  <c r="BF90" i="21"/>
  <c r="BH90" i="21" s="1"/>
  <c r="AR90" i="21"/>
  <c r="AR12" i="20"/>
  <c r="AZ35" i="21"/>
  <c r="BF44" i="20"/>
  <c r="BH44" i="20" s="1"/>
  <c r="BF138" i="20"/>
  <c r="BH138" i="20" s="1"/>
  <c r="AR78" i="20"/>
  <c r="BF42" i="20"/>
  <c r="BH42" i="20" s="1"/>
  <c r="BF31" i="21"/>
  <c r="BH31" i="21" s="1"/>
  <c r="AZ44" i="20"/>
  <c r="AZ55" i="21"/>
  <c r="AZ200" i="20"/>
  <c r="BB94" i="21"/>
  <c r="AZ13" i="21"/>
  <c r="AZ22" i="21"/>
  <c r="AZ24" i="20"/>
  <c r="AZ199" i="20"/>
  <c r="AZ172" i="20"/>
  <c r="AR91" i="21"/>
  <c r="BF208" i="20"/>
  <c r="BH208" i="20" s="1"/>
  <c r="AZ60" i="20"/>
  <c r="BB11" i="21"/>
  <c r="AR21" i="20"/>
  <c r="AZ161" i="20"/>
  <c r="BF107" i="20"/>
  <c r="BH107" i="20" s="1"/>
  <c r="AR40" i="20"/>
  <c r="AP174" i="20"/>
  <c r="AP151" i="20"/>
  <c r="BF57" i="21"/>
  <c r="BH57" i="21" s="1"/>
  <c r="R117" i="20"/>
  <c r="AZ117" i="20"/>
  <c r="AI117" i="20"/>
  <c r="AP123" i="20"/>
  <c r="BF123" i="20"/>
  <c r="BH123" i="20" s="1"/>
  <c r="AW123" i="20"/>
  <c r="R123" i="20"/>
  <c r="AP136" i="20"/>
  <c r="AZ136" i="20"/>
  <c r="AR136" i="20"/>
  <c r="BF136" i="20"/>
  <c r="BH136" i="20" s="1"/>
  <c r="AZ159" i="20"/>
  <c r="AR159" i="20"/>
  <c r="AI159" i="20"/>
  <c r="AW159" i="20"/>
  <c r="AZ156" i="20"/>
  <c r="AR156" i="20"/>
  <c r="AI156" i="20"/>
  <c r="BF156" i="20"/>
  <c r="BH156" i="20" s="1"/>
  <c r="AZ71" i="20"/>
  <c r="AR71" i="20"/>
  <c r="BB28" i="21"/>
  <c r="BF28" i="21"/>
  <c r="BH28" i="21" s="1"/>
  <c r="AR28" i="21"/>
  <c r="BB26" i="21"/>
  <c r="AZ26" i="21"/>
  <c r="BF49" i="21"/>
  <c r="BH49" i="21" s="1"/>
  <c r="AR49" i="21"/>
  <c r="BB108" i="21"/>
  <c r="BF108" i="21"/>
  <c r="BH108" i="21" s="1"/>
  <c r="AR108" i="21"/>
  <c r="AR25" i="20"/>
  <c r="BB54" i="21"/>
  <c r="AZ123" i="20"/>
  <c r="AZ57" i="21"/>
  <c r="AP186" i="20"/>
  <c r="AP181" i="20"/>
  <c r="AI181" i="20"/>
  <c r="AR181" i="20"/>
  <c r="AW181" i="20"/>
  <c r="R181" i="20"/>
  <c r="BF187" i="20"/>
  <c r="BH187" i="20" s="1"/>
  <c r="R187" i="20"/>
  <c r="AZ187" i="20"/>
  <c r="AP187" i="20"/>
  <c r="AW187" i="20"/>
  <c r="BF39" i="20"/>
  <c r="BH39" i="20" s="1"/>
  <c r="AR39" i="20"/>
  <c r="AZ39" i="20"/>
  <c r="AZ27" i="20"/>
  <c r="BF27" i="20"/>
  <c r="BH27" i="20" s="1"/>
  <c r="R27" i="20"/>
  <c r="AR27" i="20"/>
  <c r="AR37" i="20"/>
  <c r="AZ43" i="20"/>
  <c r="BF43" i="20"/>
  <c r="BH43" i="20" s="1"/>
  <c r="AR43" i="20"/>
  <c r="AR58" i="21"/>
  <c r="BB58" i="21"/>
  <c r="AZ59" i="21"/>
  <c r="BF59" i="21"/>
  <c r="BH59" i="21" s="1"/>
  <c r="AZ108" i="20"/>
  <c r="AR49" i="20"/>
  <c r="AZ66" i="21"/>
  <c r="AP133" i="20"/>
  <c r="R186" i="20"/>
  <c r="AP205" i="20"/>
  <c r="AR204" i="20"/>
  <c r="R204" i="20"/>
  <c r="AI204" i="20"/>
  <c r="AP204" i="20"/>
  <c r="BF204" i="20"/>
  <c r="BH204" i="20" s="1"/>
  <c r="AZ31" i="21"/>
  <c r="AR113" i="20"/>
  <c r="AR55" i="21"/>
  <c r="BB49" i="21"/>
  <c r="AZ37" i="20"/>
  <c r="BB13" i="21"/>
  <c r="AR201" i="20"/>
  <c r="AW139" i="20"/>
  <c r="BF91" i="21"/>
  <c r="BH91" i="21" s="1"/>
  <c r="BF117" i="20"/>
  <c r="BH117" i="20" s="1"/>
  <c r="AR89" i="20"/>
  <c r="AI208" i="20"/>
  <c r="AI123" i="20"/>
  <c r="AZ23" i="20"/>
  <c r="BF60" i="20"/>
  <c r="BH60" i="20" s="1"/>
  <c r="AW186" i="20"/>
  <c r="BF11" i="21"/>
  <c r="BH11" i="21" s="1"/>
  <c r="AW153" i="20"/>
  <c r="AW122" i="20"/>
  <c r="BF21" i="20"/>
  <c r="BH21" i="20" s="1"/>
  <c r="BB61" i="21"/>
  <c r="AR96" i="21"/>
  <c r="BB99" i="21"/>
  <c r="AR75" i="20"/>
  <c r="BB90" i="21"/>
  <c r="BF40" i="20"/>
  <c r="BH40" i="20" s="1"/>
  <c r="R174" i="20"/>
  <c r="R151" i="20"/>
  <c r="R159" i="20"/>
  <c r="AI164" i="20"/>
  <c r="AR34" i="20"/>
  <c r="BF196" i="20"/>
  <c r="BH196" i="20" s="1"/>
  <c r="R10" i="20"/>
  <c r="AZ164" i="20"/>
  <c r="AP190" i="20"/>
  <c r="R196" i="20"/>
  <c r="AP178" i="20"/>
  <c r="AP120" i="20"/>
  <c r="AP116" i="20"/>
  <c r="AP183" i="20"/>
  <c r="U117" i="20"/>
  <c r="T117" i="20"/>
  <c r="BA117" i="20"/>
  <c r="BB117" i="20"/>
  <c r="M117" i="20"/>
  <c r="BA49" i="20"/>
  <c r="BB49" i="20"/>
  <c r="M49" i="20"/>
  <c r="N49" i="20" s="1"/>
  <c r="O49" i="20" s="1"/>
  <c r="U182" i="20"/>
  <c r="T182" i="20"/>
  <c r="BA182" i="20"/>
  <c r="BB182" i="20"/>
  <c r="M182" i="20"/>
  <c r="N182" i="20" s="1"/>
  <c r="U123" i="20"/>
  <c r="T123" i="20"/>
  <c r="BA123" i="20"/>
  <c r="BB123" i="20"/>
  <c r="M123" i="20"/>
  <c r="U23" i="20"/>
  <c r="T23" i="20"/>
  <c r="BA23" i="20"/>
  <c r="BB23" i="20"/>
  <c r="M23" i="20"/>
  <c r="N23" i="20" s="1"/>
  <c r="O23" i="20" s="1"/>
  <c r="U172" i="20"/>
  <c r="T172" i="20"/>
  <c r="BA172" i="20"/>
  <c r="BB172" i="20"/>
  <c r="M172" i="20"/>
  <c r="N172" i="20" s="1"/>
  <c r="O172" i="20" s="1"/>
  <c r="U25" i="20"/>
  <c r="T25" i="20"/>
  <c r="BA25" i="20"/>
  <c r="BB25" i="20"/>
  <c r="M25" i="20"/>
  <c r="P25" i="20" s="1"/>
  <c r="Q25" i="20" s="1"/>
  <c r="BA69" i="20"/>
  <c r="BB69" i="20"/>
  <c r="M69" i="20"/>
  <c r="N69" i="20" s="1"/>
  <c r="T69" i="20" s="1"/>
  <c r="U186" i="20"/>
  <c r="T186" i="20"/>
  <c r="BA186" i="20"/>
  <c r="BB186" i="20"/>
  <c r="M186" i="20"/>
  <c r="N186" i="20" s="1"/>
  <c r="U200" i="20"/>
  <c r="T200" i="20"/>
  <c r="BB200" i="20"/>
  <c r="BA200" i="20"/>
  <c r="M200" i="20"/>
  <c r="N200" i="20" s="1"/>
  <c r="O200" i="20" s="1"/>
  <c r="BA75" i="20"/>
  <c r="BB75" i="20"/>
  <c r="M75" i="20"/>
  <c r="U174" i="20"/>
  <c r="T174" i="20"/>
  <c r="BA174" i="20"/>
  <c r="BB174" i="20"/>
  <c r="M174" i="20"/>
  <c r="P174" i="20" s="1"/>
  <c r="Q174" i="20" s="1"/>
  <c r="BA45" i="20"/>
  <c r="BB45" i="20"/>
  <c r="M45" i="20"/>
  <c r="U136" i="20"/>
  <c r="T136" i="20"/>
  <c r="BB136" i="20"/>
  <c r="BA136" i="20"/>
  <c r="M136" i="20"/>
  <c r="N136" i="20" s="1"/>
  <c r="U21" i="20"/>
  <c r="T21" i="20"/>
  <c r="BA21" i="20"/>
  <c r="BB21" i="20"/>
  <c r="M21" i="20"/>
  <c r="P21" i="20" s="1"/>
  <c r="Q21" i="20" s="1"/>
  <c r="U17" i="20"/>
  <c r="T17" i="20"/>
  <c r="BA17" i="20"/>
  <c r="BB17" i="20"/>
  <c r="M17" i="20"/>
  <c r="BA44" i="20"/>
  <c r="BB44" i="20"/>
  <c r="M44" i="20"/>
  <c r="U159" i="20"/>
  <c r="T159" i="20"/>
  <c r="BA159" i="20"/>
  <c r="BB159" i="20"/>
  <c r="M159" i="20"/>
  <c r="U156" i="20"/>
  <c r="T156" i="20"/>
  <c r="BA156" i="20"/>
  <c r="BB156" i="20"/>
  <c r="M156" i="20"/>
  <c r="N156" i="20" s="1"/>
  <c r="BA97" i="20"/>
  <c r="BB97" i="20"/>
  <c r="M97" i="20"/>
  <c r="U205" i="20"/>
  <c r="T205" i="20"/>
  <c r="BA205" i="20"/>
  <c r="BB205" i="20"/>
  <c r="M205" i="20"/>
  <c r="N205" i="20" s="1"/>
  <c r="O205" i="20" s="1"/>
  <c r="U201" i="20"/>
  <c r="T201" i="20"/>
  <c r="BA201" i="20"/>
  <c r="BB201" i="20"/>
  <c r="M201" i="20"/>
  <c r="N201" i="20" s="1"/>
  <c r="BA71" i="20"/>
  <c r="BB71" i="20"/>
  <c r="M71" i="20"/>
  <c r="U148" i="20"/>
  <c r="T148" i="20"/>
  <c r="BA148" i="20"/>
  <c r="BB148" i="20"/>
  <c r="M148" i="20"/>
  <c r="U199" i="20"/>
  <c r="T199" i="20"/>
  <c r="BA199" i="20"/>
  <c r="BB199" i="20"/>
  <c r="M199" i="20"/>
  <c r="BA96" i="21"/>
  <c r="M96" i="21"/>
  <c r="N96" i="21" s="1"/>
  <c r="T96" i="21" s="1"/>
  <c r="BA28" i="21"/>
  <c r="M28" i="21"/>
  <c r="N28" i="21" s="1"/>
  <c r="BA30" i="21"/>
  <c r="M30" i="21"/>
  <c r="N30" i="21" s="1"/>
  <c r="T30" i="21" s="1"/>
  <c r="BA107" i="21"/>
  <c r="M107" i="21"/>
  <c r="BA26" i="21"/>
  <c r="M26" i="21"/>
  <c r="N26" i="21" s="1"/>
  <c r="T26" i="21" s="1"/>
  <c r="BA62" i="21"/>
  <c r="M62" i="21"/>
  <c r="N62" i="21" s="1"/>
  <c r="BA94" i="21"/>
  <c r="M94" i="21"/>
  <c r="N94" i="21" s="1"/>
  <c r="T94" i="21" s="1"/>
  <c r="BA49" i="21"/>
  <c r="M49" i="21"/>
  <c r="BA54" i="21"/>
  <c r="M54" i="21"/>
  <c r="N54" i="21" s="1"/>
  <c r="T54" i="21" s="1"/>
  <c r="BA20" i="21"/>
  <c r="M20" i="21"/>
  <c r="BA57" i="21"/>
  <c r="M57" i="21"/>
  <c r="N57" i="21" s="1"/>
  <c r="T57" i="21" s="1"/>
  <c r="BA87" i="21"/>
  <c r="M87" i="21"/>
  <c r="BA108" i="21"/>
  <c r="M108" i="21"/>
  <c r="N108" i="21" s="1"/>
  <c r="T108" i="21" s="1"/>
  <c r="AP192" i="20"/>
  <c r="U135" i="20"/>
  <c r="T135" i="20"/>
  <c r="BA135" i="20"/>
  <c r="BB135" i="20"/>
  <c r="M135" i="20"/>
  <c r="N135" i="20" s="1"/>
  <c r="O135" i="20" s="1"/>
  <c r="U122" i="20"/>
  <c r="T122" i="20"/>
  <c r="BA122" i="20"/>
  <c r="BB122" i="20"/>
  <c r="M122" i="20"/>
  <c r="N122" i="20" s="1"/>
  <c r="BB40" i="20"/>
  <c r="BA40" i="20"/>
  <c r="M40" i="20"/>
  <c r="N40" i="20" s="1"/>
  <c r="O40" i="20" s="1"/>
  <c r="U181" i="20"/>
  <c r="T181" i="20"/>
  <c r="BA181" i="20"/>
  <c r="BB181" i="20"/>
  <c r="M181" i="20"/>
  <c r="P181" i="20" s="1"/>
  <c r="Q181" i="20" s="1"/>
  <c r="BA113" i="20"/>
  <c r="BB113" i="20"/>
  <c r="M113" i="20"/>
  <c r="BA74" i="20"/>
  <c r="BB74" i="20"/>
  <c r="M74" i="20"/>
  <c r="U187" i="20"/>
  <c r="T187" i="20"/>
  <c r="BA187" i="20"/>
  <c r="BB187" i="20"/>
  <c r="M187" i="20"/>
  <c r="N187" i="20" s="1"/>
  <c r="BA87" i="20"/>
  <c r="BB87" i="20"/>
  <c r="M87" i="20"/>
  <c r="U12" i="20"/>
  <c r="T12" i="20"/>
  <c r="BA12" i="20"/>
  <c r="BB12" i="20"/>
  <c r="M12" i="20"/>
  <c r="N12" i="20" s="1"/>
  <c r="BA89" i="20"/>
  <c r="BB89" i="20"/>
  <c r="M89" i="20"/>
  <c r="U133" i="20"/>
  <c r="T133" i="20"/>
  <c r="BA133" i="20"/>
  <c r="BB133" i="20"/>
  <c r="M133" i="20"/>
  <c r="P133" i="20" s="1"/>
  <c r="Q133" i="20" s="1"/>
  <c r="BA65" i="20"/>
  <c r="BB65" i="20"/>
  <c r="M65" i="20"/>
  <c r="BA63" i="20"/>
  <c r="BB63" i="20"/>
  <c r="M63" i="20"/>
  <c r="U139" i="20"/>
  <c r="T139" i="20"/>
  <c r="BA139" i="20"/>
  <c r="BB139" i="20"/>
  <c r="M139" i="20"/>
  <c r="BA39" i="20"/>
  <c r="BB39" i="20"/>
  <c r="M39" i="20"/>
  <c r="N39" i="20" s="1"/>
  <c r="T39" i="20" s="1"/>
  <c r="BA51" i="20"/>
  <c r="BB51" i="20"/>
  <c r="M51" i="20"/>
  <c r="N51" i="20" s="1"/>
  <c r="T51" i="20" s="1"/>
  <c r="BA78" i="20"/>
  <c r="BB78" i="20"/>
  <c r="M78" i="20"/>
  <c r="T27" i="20"/>
  <c r="U27" i="20"/>
  <c r="BA27" i="20"/>
  <c r="BB27" i="20"/>
  <c r="M27" i="20"/>
  <c r="P27" i="20" s="1"/>
  <c r="Q27" i="20" s="1"/>
  <c r="T207" i="20"/>
  <c r="U207" i="20"/>
  <c r="BA207" i="20"/>
  <c r="BB207" i="20"/>
  <c r="M207" i="20"/>
  <c r="N207" i="20" s="1"/>
  <c r="O207" i="20" s="1"/>
  <c r="BA108" i="20"/>
  <c r="BB108" i="20"/>
  <c r="M108" i="20"/>
  <c r="N108" i="20" s="1"/>
  <c r="T108" i="20" s="1"/>
  <c r="U24" i="20"/>
  <c r="T24" i="20"/>
  <c r="BB24" i="20"/>
  <c r="BA24" i="20"/>
  <c r="M24" i="20"/>
  <c r="P24" i="20" s="1"/>
  <c r="Q24" i="20" s="1"/>
  <c r="AP24" i="20" s="1"/>
  <c r="BA37" i="20"/>
  <c r="BB37" i="20"/>
  <c r="M37" i="20"/>
  <c r="N37" i="20" s="1"/>
  <c r="T37" i="20" s="1"/>
  <c r="U161" i="20"/>
  <c r="T161" i="20"/>
  <c r="BA161" i="20"/>
  <c r="BB161" i="20"/>
  <c r="M161" i="20"/>
  <c r="N161" i="20" s="1"/>
  <c r="O161" i="20" s="1"/>
  <c r="U208" i="20"/>
  <c r="T208" i="20"/>
  <c r="BB208" i="20"/>
  <c r="BA208" i="20"/>
  <c r="M208" i="20"/>
  <c r="N208" i="20" s="1"/>
  <c r="BA43" i="20"/>
  <c r="BB43" i="20"/>
  <c r="M43" i="20"/>
  <c r="N43" i="20" s="1"/>
  <c r="T43" i="20" s="1"/>
  <c r="BA66" i="21"/>
  <c r="M66" i="21"/>
  <c r="N66" i="21" s="1"/>
  <c r="T66" i="21" s="1"/>
  <c r="BA99" i="21"/>
  <c r="M99" i="21"/>
  <c r="N99" i="21" s="1"/>
  <c r="T99" i="21" s="1"/>
  <c r="BA31" i="21"/>
  <c r="M31" i="21"/>
  <c r="N31" i="21" s="1"/>
  <c r="BA15" i="21"/>
  <c r="M15" i="21"/>
  <c r="N15" i="21" s="1"/>
  <c r="T15" i="21" s="1"/>
  <c r="BA18" i="21"/>
  <c r="M18" i="21"/>
  <c r="BA22" i="21"/>
  <c r="M22" i="21"/>
  <c r="N22" i="21" s="1"/>
  <c r="T22" i="21" s="1"/>
  <c r="BA55" i="21"/>
  <c r="M55" i="21"/>
  <c r="N55" i="21" s="1"/>
  <c r="BA76" i="21"/>
  <c r="M76" i="21"/>
  <c r="N76" i="21" s="1"/>
  <c r="T76" i="21" s="1"/>
  <c r="BA58" i="21"/>
  <c r="M58" i="21"/>
  <c r="N58" i="21" s="1"/>
  <c r="T58" i="21" s="1"/>
  <c r="BA59" i="21"/>
  <c r="M59" i="21"/>
  <c r="N59" i="21" s="1"/>
  <c r="T59" i="21" s="1"/>
  <c r="BA39" i="21"/>
  <c r="M39" i="21"/>
  <c r="N39" i="21" s="1"/>
  <c r="T39" i="21" s="1"/>
  <c r="BA43" i="21"/>
  <c r="M43" i="21"/>
  <c r="N43" i="21" s="1"/>
  <c r="T43" i="21" s="1"/>
  <c r="BA80" i="21"/>
  <c r="M80" i="21"/>
  <c r="N80" i="21" s="1"/>
  <c r="T80" i="21" s="1"/>
  <c r="BA66" i="20"/>
  <c r="BB66" i="20"/>
  <c r="M66" i="20"/>
  <c r="U30" i="20"/>
  <c r="T30" i="20"/>
  <c r="BA30" i="20"/>
  <c r="BB30" i="20"/>
  <c r="M30" i="20"/>
  <c r="P30" i="20" s="1"/>
  <c r="Q30" i="20" s="1"/>
  <c r="BA107" i="20"/>
  <c r="BB107" i="20"/>
  <c r="M107" i="20"/>
  <c r="U130" i="20"/>
  <c r="T130" i="20"/>
  <c r="BA130" i="20"/>
  <c r="BB130" i="20"/>
  <c r="M130" i="20"/>
  <c r="N130" i="20" s="1"/>
  <c r="BA60" i="20"/>
  <c r="BB60" i="20"/>
  <c r="M60" i="20"/>
  <c r="BB104" i="20"/>
  <c r="BA104" i="20"/>
  <c r="M104" i="20"/>
  <c r="N104" i="20" s="1"/>
  <c r="U167" i="20"/>
  <c r="T167" i="20"/>
  <c r="BA167" i="20"/>
  <c r="BB167" i="20"/>
  <c r="M167" i="20"/>
  <c r="U177" i="20"/>
  <c r="T177" i="20"/>
  <c r="BA177" i="20"/>
  <c r="BB177" i="20"/>
  <c r="M177" i="20"/>
  <c r="P177" i="20" s="1"/>
  <c r="Q177" i="20" s="1"/>
  <c r="T46" i="20"/>
  <c r="BA46" i="20"/>
  <c r="BB46" i="20"/>
  <c r="M46" i="20"/>
  <c r="N46" i="20" s="1"/>
  <c r="O46" i="20" s="1"/>
  <c r="U204" i="20"/>
  <c r="T204" i="20"/>
  <c r="BA204" i="20"/>
  <c r="BB204" i="20"/>
  <c r="M204" i="20"/>
  <c r="P204" i="20" s="1"/>
  <c r="Q204" i="20" s="1"/>
  <c r="U151" i="20"/>
  <c r="T151" i="20"/>
  <c r="BA151" i="20"/>
  <c r="BB151" i="20"/>
  <c r="M151" i="20"/>
  <c r="N151" i="20" s="1"/>
  <c r="BA76" i="20"/>
  <c r="BB76" i="20"/>
  <c r="M76" i="20"/>
  <c r="U153" i="20"/>
  <c r="T153" i="20"/>
  <c r="BA153" i="20"/>
  <c r="BB153" i="20"/>
  <c r="M153" i="20"/>
  <c r="P153" i="20" s="1"/>
  <c r="Q153" i="20" s="1"/>
  <c r="T197" i="20"/>
  <c r="U197" i="20"/>
  <c r="BA197" i="20"/>
  <c r="BB197" i="20"/>
  <c r="M197" i="20"/>
  <c r="P197" i="20" s="1"/>
  <c r="Q197" i="20" s="1"/>
  <c r="U129" i="20"/>
  <c r="T129" i="20"/>
  <c r="BA129" i="20"/>
  <c r="BB129" i="20"/>
  <c r="M129" i="20"/>
  <c r="N129" i="20" s="1"/>
  <c r="BA109" i="20"/>
  <c r="BB109" i="20"/>
  <c r="M109" i="20"/>
  <c r="BA42" i="20"/>
  <c r="BB42" i="20"/>
  <c r="M42" i="20"/>
  <c r="BA85" i="20"/>
  <c r="BB85" i="20"/>
  <c r="M85" i="20"/>
  <c r="N85" i="20" s="1"/>
  <c r="BA81" i="20"/>
  <c r="BB81" i="20"/>
  <c r="M81" i="20"/>
  <c r="N81" i="20" s="1"/>
  <c r="U142" i="20"/>
  <c r="T142" i="20"/>
  <c r="BA142" i="20"/>
  <c r="BB142" i="20"/>
  <c r="M142" i="20"/>
  <c r="N142" i="20" s="1"/>
  <c r="BA91" i="20"/>
  <c r="BB91" i="20"/>
  <c r="M91" i="20"/>
  <c r="BA55" i="20"/>
  <c r="BB55" i="20"/>
  <c r="M55" i="20"/>
  <c r="U138" i="20"/>
  <c r="T138" i="20"/>
  <c r="BA138" i="20"/>
  <c r="BB138" i="20"/>
  <c r="M138" i="20"/>
  <c r="P138" i="20" s="1"/>
  <c r="Q138" i="20" s="1"/>
  <c r="BB88" i="20"/>
  <c r="BA88" i="20"/>
  <c r="M88" i="20"/>
  <c r="BA101" i="20"/>
  <c r="BB101" i="20"/>
  <c r="M101" i="20"/>
  <c r="BA91" i="21"/>
  <c r="M91" i="21"/>
  <c r="N91" i="21" s="1"/>
  <c r="BA101" i="21"/>
  <c r="M101" i="21"/>
  <c r="N101" i="21" s="1"/>
  <c r="T101" i="21" s="1"/>
  <c r="BA35" i="21"/>
  <c r="M35" i="21"/>
  <c r="N35" i="21" s="1"/>
  <c r="T35" i="21" s="1"/>
  <c r="BA13" i="21"/>
  <c r="M13" i="21"/>
  <c r="N13" i="21" s="1"/>
  <c r="T13" i="21" s="1"/>
  <c r="BA67" i="21"/>
  <c r="M67" i="21"/>
  <c r="N67" i="21" s="1"/>
  <c r="T67" i="21" s="1"/>
  <c r="BA47" i="21"/>
  <c r="M47" i="21"/>
  <c r="N47" i="21" s="1"/>
  <c r="T47" i="21" s="1"/>
  <c r="BA11" i="21"/>
  <c r="M11" i="21"/>
  <c r="N11" i="21" s="1"/>
  <c r="T11" i="21" s="1"/>
  <c r="BA85" i="21"/>
  <c r="M85" i="21"/>
  <c r="N85" i="21" s="1"/>
  <c r="T85" i="21" s="1"/>
  <c r="BA61" i="21"/>
  <c r="M61" i="21"/>
  <c r="N61" i="21" s="1"/>
  <c r="BA90" i="21"/>
  <c r="M90" i="21"/>
  <c r="N90" i="21" s="1"/>
  <c r="T90" i="21" s="1"/>
  <c r="BA16" i="21"/>
  <c r="M16" i="21"/>
  <c r="BA70" i="21"/>
  <c r="M70" i="21"/>
  <c r="N70" i="21" s="1"/>
  <c r="AP143" i="20"/>
  <c r="BA61" i="20"/>
  <c r="BB61" i="20"/>
  <c r="M61" i="20"/>
  <c r="U152" i="20"/>
  <c r="T152" i="20"/>
  <c r="BB152" i="20"/>
  <c r="BA152" i="20"/>
  <c r="M152" i="20"/>
  <c r="N152" i="20" s="1"/>
  <c r="U165" i="20"/>
  <c r="T165" i="20"/>
  <c r="BA165" i="20"/>
  <c r="BB165" i="20"/>
  <c r="M165" i="20"/>
  <c r="P165" i="20" s="1"/>
  <c r="Q165" i="20" s="1"/>
  <c r="BA67" i="20"/>
  <c r="BB67" i="20"/>
  <c r="M67" i="20"/>
  <c r="BA94" i="20"/>
  <c r="BB94" i="20"/>
  <c r="M94" i="20"/>
  <c r="U171" i="20"/>
  <c r="T171" i="20"/>
  <c r="BA171" i="20"/>
  <c r="BB171" i="20"/>
  <c r="M171" i="20"/>
  <c r="N171" i="20" s="1"/>
  <c r="BB64" i="20"/>
  <c r="BA64" i="20"/>
  <c r="M64" i="20"/>
  <c r="U124" i="20"/>
  <c r="T124" i="20"/>
  <c r="BA124" i="20"/>
  <c r="BB124" i="20"/>
  <c r="M124" i="20"/>
  <c r="N124" i="20" s="1"/>
  <c r="O124" i="20" s="1"/>
  <c r="U168" i="20"/>
  <c r="T168" i="20"/>
  <c r="BB168" i="20"/>
  <c r="BA168" i="20"/>
  <c r="M168" i="20"/>
  <c r="P168" i="20" s="1"/>
  <c r="Q168" i="20" s="1"/>
  <c r="U194" i="20"/>
  <c r="T194" i="20"/>
  <c r="BA194" i="20"/>
  <c r="BB194" i="20"/>
  <c r="M194" i="20"/>
  <c r="P194" i="20" s="1"/>
  <c r="Q194" i="20" s="1"/>
  <c r="U154" i="20"/>
  <c r="T154" i="20"/>
  <c r="BA154" i="20"/>
  <c r="BB154" i="20"/>
  <c r="M154" i="20"/>
  <c r="P154" i="20" s="1"/>
  <c r="Q154" i="20" s="1"/>
  <c r="BA110" i="20"/>
  <c r="BB110" i="20"/>
  <c r="M110" i="20"/>
  <c r="N110" i="20" s="1"/>
  <c r="BA36" i="20"/>
  <c r="BB36" i="20"/>
  <c r="M36" i="20"/>
  <c r="N36" i="20" s="1"/>
  <c r="T36" i="20" s="1"/>
  <c r="U16" i="20"/>
  <c r="T16" i="20"/>
  <c r="BB16" i="20"/>
  <c r="BA16" i="20"/>
  <c r="M16" i="20"/>
  <c r="N16" i="20" s="1"/>
  <c r="U140" i="20"/>
  <c r="T140" i="20"/>
  <c r="BA140" i="20"/>
  <c r="BB140" i="20"/>
  <c r="M140" i="20"/>
  <c r="P140" i="20" s="1"/>
  <c r="Q140" i="20" s="1"/>
  <c r="U127" i="20"/>
  <c r="T127" i="20"/>
  <c r="BA127" i="20"/>
  <c r="BB127" i="20"/>
  <c r="M127" i="20"/>
  <c r="P127" i="20" s="1"/>
  <c r="Q127" i="20" s="1"/>
  <c r="U203" i="20"/>
  <c r="T203" i="20"/>
  <c r="BA203" i="20"/>
  <c r="BB203" i="20"/>
  <c r="M203" i="20"/>
  <c r="P203" i="20" s="1"/>
  <c r="Q203" i="20" s="1"/>
  <c r="BA103" i="20"/>
  <c r="BB103" i="20"/>
  <c r="M103" i="20"/>
  <c r="N103" i="20" s="1"/>
  <c r="U115" i="20"/>
  <c r="T115" i="20"/>
  <c r="BA115" i="20"/>
  <c r="BB115" i="20"/>
  <c r="M115" i="20"/>
  <c r="N115" i="20" s="1"/>
  <c r="BA41" i="20"/>
  <c r="BB41" i="20"/>
  <c r="M41" i="20"/>
  <c r="U149" i="20"/>
  <c r="T149" i="20"/>
  <c r="BA149" i="20"/>
  <c r="BB149" i="20"/>
  <c r="M149" i="20"/>
  <c r="N149" i="20" s="1"/>
  <c r="U145" i="20"/>
  <c r="T145" i="20"/>
  <c r="BA145" i="20"/>
  <c r="BB145" i="20"/>
  <c r="M145" i="20"/>
  <c r="N145" i="20" s="1"/>
  <c r="O145" i="20" s="1"/>
  <c r="U15" i="20"/>
  <c r="T15" i="20"/>
  <c r="BA15" i="20"/>
  <c r="BB15" i="20"/>
  <c r="M15" i="20"/>
  <c r="U155" i="20"/>
  <c r="T155" i="20"/>
  <c r="BA155" i="20"/>
  <c r="BB155" i="20"/>
  <c r="M155" i="20"/>
  <c r="P155" i="20" s="1"/>
  <c r="Q155" i="20" s="1"/>
  <c r="U119" i="20"/>
  <c r="T119" i="20"/>
  <c r="BA119" i="20"/>
  <c r="BB119" i="20"/>
  <c r="M119" i="20"/>
  <c r="N119" i="20" s="1"/>
  <c r="O119" i="20" s="1"/>
  <c r="BA88" i="21"/>
  <c r="M88" i="21"/>
  <c r="BA86" i="21"/>
  <c r="M86" i="21"/>
  <c r="N86" i="21" s="1"/>
  <c r="T86" i="21" s="1"/>
  <c r="BA41" i="21"/>
  <c r="M41" i="21"/>
  <c r="BA40" i="21"/>
  <c r="M40" i="21"/>
  <c r="N40" i="21" s="1"/>
  <c r="T40" i="21" s="1"/>
  <c r="BA82" i="21"/>
  <c r="M82" i="21"/>
  <c r="BA29" i="21"/>
  <c r="M29" i="21"/>
  <c r="N29" i="21" s="1"/>
  <c r="T29" i="21" s="1"/>
  <c r="BA38" i="21"/>
  <c r="M38" i="21"/>
  <c r="N38" i="21" s="1"/>
  <c r="T38" i="21" s="1"/>
  <c r="BA89" i="21"/>
  <c r="M89" i="21"/>
  <c r="N89" i="21" s="1"/>
  <c r="T89" i="21" s="1"/>
  <c r="BA63" i="21"/>
  <c r="M63" i="21"/>
  <c r="BA19" i="21"/>
  <c r="M19" i="21"/>
  <c r="N19" i="21" s="1"/>
  <c r="T19" i="21" s="1"/>
  <c r="BA60" i="21"/>
  <c r="M60" i="21"/>
  <c r="N60" i="21" s="1"/>
  <c r="T60" i="21" s="1"/>
  <c r="BA106" i="21"/>
  <c r="M106" i="21"/>
  <c r="N106" i="21" s="1"/>
  <c r="T106" i="21" s="1"/>
  <c r="U196" i="20"/>
  <c r="T196" i="20"/>
  <c r="BA196" i="20"/>
  <c r="BB196" i="20"/>
  <c r="M196" i="20"/>
  <c r="N196" i="20" s="1"/>
  <c r="BA79" i="20"/>
  <c r="BB79" i="20"/>
  <c r="M79" i="20"/>
  <c r="U164" i="20"/>
  <c r="T164" i="20"/>
  <c r="BA164" i="20"/>
  <c r="BB164" i="20"/>
  <c r="M164" i="20"/>
  <c r="P164" i="20" s="1"/>
  <c r="Q164" i="20" s="1"/>
  <c r="T34" i="20"/>
  <c r="BA34" i="20"/>
  <c r="BB34" i="20"/>
  <c r="M34" i="20"/>
  <c r="N34" i="20" s="1"/>
  <c r="O34" i="20" s="1"/>
  <c r="U125" i="20"/>
  <c r="T125" i="20"/>
  <c r="BA125" i="20"/>
  <c r="BB125" i="20"/>
  <c r="M125" i="20"/>
  <c r="N125" i="20" s="1"/>
  <c r="U146" i="20"/>
  <c r="T146" i="20"/>
  <c r="BA146" i="20"/>
  <c r="BB146" i="20"/>
  <c r="M146" i="20"/>
  <c r="N146" i="20" s="1"/>
  <c r="O146" i="20" s="1"/>
  <c r="T190" i="20"/>
  <c r="U190" i="20"/>
  <c r="BA190" i="20"/>
  <c r="BB190" i="20"/>
  <c r="M190" i="20"/>
  <c r="P190" i="20" s="1"/>
  <c r="Q190" i="20" s="1"/>
  <c r="U131" i="20"/>
  <c r="T131" i="20"/>
  <c r="BA131" i="20"/>
  <c r="BB131" i="20"/>
  <c r="M131" i="20"/>
  <c r="P131" i="20" s="1"/>
  <c r="Q131" i="20" s="1"/>
  <c r="AG131" i="20" s="1"/>
  <c r="U158" i="20"/>
  <c r="T158" i="20"/>
  <c r="BA158" i="20"/>
  <c r="BB158" i="20"/>
  <c r="M158" i="20"/>
  <c r="P158" i="20" s="1"/>
  <c r="Q158" i="20" s="1"/>
  <c r="U188" i="20"/>
  <c r="T188" i="20"/>
  <c r="BA188" i="20"/>
  <c r="BB188" i="20"/>
  <c r="M188" i="20"/>
  <c r="N188" i="20" s="1"/>
  <c r="U128" i="20"/>
  <c r="T128" i="20"/>
  <c r="BB128" i="20"/>
  <c r="BA128" i="20"/>
  <c r="M128" i="20"/>
  <c r="U13" i="20"/>
  <c r="T13" i="20"/>
  <c r="BA13" i="20"/>
  <c r="BB13" i="20"/>
  <c r="M13" i="20"/>
  <c r="P13" i="20" s="1"/>
  <c r="Q13" i="20" s="1"/>
  <c r="T9" i="20"/>
  <c r="U9" i="20"/>
  <c r="BA9" i="20"/>
  <c r="BB9" i="20"/>
  <c r="M9" i="20"/>
  <c r="N9" i="20" s="1"/>
  <c r="BA70" i="20"/>
  <c r="BB70" i="20"/>
  <c r="M70" i="20"/>
  <c r="N70" i="20" s="1"/>
  <c r="T19" i="20"/>
  <c r="U19" i="20"/>
  <c r="BA19" i="20"/>
  <c r="BB19" i="20"/>
  <c r="M19" i="20"/>
  <c r="P19" i="20" s="1"/>
  <c r="Q19" i="20" s="1"/>
  <c r="U206" i="20"/>
  <c r="T206" i="20"/>
  <c r="BA206" i="20"/>
  <c r="BB206" i="20"/>
  <c r="M206" i="20"/>
  <c r="N206" i="20" s="1"/>
  <c r="U26" i="20"/>
  <c r="T26" i="20"/>
  <c r="BA26" i="20"/>
  <c r="BB26" i="20"/>
  <c r="M26" i="20"/>
  <c r="N26" i="20" s="1"/>
  <c r="T191" i="20"/>
  <c r="U191" i="20"/>
  <c r="BA191" i="20"/>
  <c r="BB191" i="20"/>
  <c r="M191" i="20"/>
  <c r="P191" i="20" s="1"/>
  <c r="Q191" i="20" s="1"/>
  <c r="U193" i="20"/>
  <c r="T193" i="20"/>
  <c r="BA193" i="20"/>
  <c r="BB193" i="20"/>
  <c r="M193" i="20"/>
  <c r="P193" i="20" s="1"/>
  <c r="Q193" i="20" s="1"/>
  <c r="U173" i="20"/>
  <c r="T173" i="20"/>
  <c r="BA173" i="20"/>
  <c r="BB173" i="20"/>
  <c r="M173" i="20"/>
  <c r="N173" i="20" s="1"/>
  <c r="BA82" i="20"/>
  <c r="BB82" i="20"/>
  <c r="M82" i="20"/>
  <c r="U175" i="20"/>
  <c r="T175" i="20"/>
  <c r="BA175" i="20"/>
  <c r="BB175" i="20"/>
  <c r="M175" i="20"/>
  <c r="N175" i="20" s="1"/>
  <c r="U179" i="20"/>
  <c r="T179" i="20"/>
  <c r="BA179" i="20"/>
  <c r="BB179" i="20"/>
  <c r="M179" i="20"/>
  <c r="P179" i="20" s="1"/>
  <c r="Q179" i="20" s="1"/>
  <c r="BA105" i="20"/>
  <c r="BB105" i="20"/>
  <c r="M105" i="20"/>
  <c r="U166" i="20"/>
  <c r="T166" i="20"/>
  <c r="BA166" i="20"/>
  <c r="BB166" i="20"/>
  <c r="M166" i="20"/>
  <c r="P166" i="20" s="1"/>
  <c r="Q166" i="20" s="1"/>
  <c r="AG166" i="20" s="1"/>
  <c r="U209" i="20"/>
  <c r="T209" i="20"/>
  <c r="BA209" i="20"/>
  <c r="BB209" i="20"/>
  <c r="M209" i="20"/>
  <c r="P209" i="20" s="1"/>
  <c r="Q209" i="20" s="1"/>
  <c r="BA78" i="21"/>
  <c r="M78" i="21"/>
  <c r="N78" i="21" s="1"/>
  <c r="T78" i="21" s="1"/>
  <c r="BA93" i="21"/>
  <c r="M93" i="21"/>
  <c r="N93" i="21" s="1"/>
  <c r="T93" i="21" s="1"/>
  <c r="BA68" i="21"/>
  <c r="M68" i="21"/>
  <c r="N68" i="21" s="1"/>
  <c r="T68" i="21" s="1"/>
  <c r="BA53" i="21"/>
  <c r="M53" i="21"/>
  <c r="N53" i="21" s="1"/>
  <c r="T53" i="21" s="1"/>
  <c r="BA48" i="21"/>
  <c r="M48" i="21"/>
  <c r="N48" i="21" s="1"/>
  <c r="T48" i="21" s="1"/>
  <c r="BA56" i="21"/>
  <c r="M56" i="21"/>
  <c r="N56" i="21" s="1"/>
  <c r="T56" i="21" s="1"/>
  <c r="BA95" i="21"/>
  <c r="M95" i="21"/>
  <c r="N95" i="21" s="1"/>
  <c r="T95" i="21" s="1"/>
  <c r="BA72" i="21"/>
  <c r="M72" i="21"/>
  <c r="N72" i="21" s="1"/>
  <c r="T72" i="21" s="1"/>
  <c r="BA103" i="21"/>
  <c r="M103" i="21"/>
  <c r="N103" i="21" s="1"/>
  <c r="T103" i="21" s="1"/>
  <c r="BA74" i="21"/>
  <c r="M74" i="21"/>
  <c r="N74" i="21" s="1"/>
  <c r="T74" i="21" s="1"/>
  <c r="BA21" i="21"/>
  <c r="M21" i="21"/>
  <c r="N21" i="21" s="1"/>
  <c r="T21" i="21" s="1"/>
  <c r="BA77" i="21"/>
  <c r="M77" i="21"/>
  <c r="N77" i="21" s="1"/>
  <c r="T77" i="21" s="1"/>
  <c r="U162" i="20"/>
  <c r="T162" i="20"/>
  <c r="BA162" i="20"/>
  <c r="BB162" i="20"/>
  <c r="M162" i="20"/>
  <c r="N162" i="20" s="1"/>
  <c r="U169" i="20"/>
  <c r="T169" i="20"/>
  <c r="BA169" i="20"/>
  <c r="BB169" i="20"/>
  <c r="M169" i="20"/>
  <c r="N169" i="20" s="1"/>
  <c r="T10" i="20"/>
  <c r="U10" i="20"/>
  <c r="BA10" i="20"/>
  <c r="BB10" i="20"/>
  <c r="M10" i="20"/>
  <c r="P10" i="20" s="1"/>
  <c r="Q10" i="20" s="1"/>
  <c r="AP10" i="20" s="1"/>
  <c r="U28" i="20"/>
  <c r="T28" i="20"/>
  <c r="BA28" i="20"/>
  <c r="BB28" i="20"/>
  <c r="M28" i="20"/>
  <c r="N28" i="20" s="1"/>
  <c r="U143" i="20"/>
  <c r="T143" i="20"/>
  <c r="BA143" i="20"/>
  <c r="BB143" i="20"/>
  <c r="M143" i="20"/>
  <c r="N143" i="20" s="1"/>
  <c r="U170" i="20"/>
  <c r="T170" i="20"/>
  <c r="BA170" i="20"/>
  <c r="BB170" i="20"/>
  <c r="M170" i="20"/>
  <c r="N170" i="20" s="1"/>
  <c r="BB48" i="20"/>
  <c r="BA48" i="20"/>
  <c r="M48" i="20"/>
  <c r="N48" i="20" s="1"/>
  <c r="T48" i="20" s="1"/>
  <c r="T189" i="20"/>
  <c r="U189" i="20"/>
  <c r="BA189" i="20"/>
  <c r="BB189" i="20"/>
  <c r="M189" i="20"/>
  <c r="N189" i="20" s="1"/>
  <c r="BA57" i="20"/>
  <c r="BB57" i="20"/>
  <c r="M57" i="20"/>
  <c r="N57" i="20" s="1"/>
  <c r="U114" i="20"/>
  <c r="T114" i="20"/>
  <c r="BA114" i="20"/>
  <c r="BB114" i="20"/>
  <c r="M114" i="20"/>
  <c r="N114" i="20" s="1"/>
  <c r="U195" i="20"/>
  <c r="T195" i="20"/>
  <c r="BA195" i="20"/>
  <c r="BB195" i="20"/>
  <c r="M195" i="20"/>
  <c r="P195" i="20" s="1"/>
  <c r="Q195" i="20" s="1"/>
  <c r="U31" i="20"/>
  <c r="T31" i="20"/>
  <c r="BA31" i="20"/>
  <c r="BB31" i="20"/>
  <c r="M31" i="20"/>
  <c r="N31" i="20" s="1"/>
  <c r="U20" i="20"/>
  <c r="T20" i="20"/>
  <c r="BA20" i="20"/>
  <c r="BB20" i="20"/>
  <c r="M20" i="20"/>
  <c r="N20" i="20" s="1"/>
  <c r="U192" i="20"/>
  <c r="T192" i="20"/>
  <c r="BB192" i="20"/>
  <c r="BA192" i="20"/>
  <c r="M192" i="20"/>
  <c r="N192" i="20" s="1"/>
  <c r="BA77" i="20"/>
  <c r="BB77" i="20"/>
  <c r="M77" i="20"/>
  <c r="N77" i="20" s="1"/>
  <c r="BA73" i="20"/>
  <c r="BB73" i="20"/>
  <c r="M73" i="20"/>
  <c r="N73" i="20" s="1"/>
  <c r="BA100" i="20"/>
  <c r="BB100" i="20"/>
  <c r="M100" i="20"/>
  <c r="BB80" i="20"/>
  <c r="BA80" i="20"/>
  <c r="M80" i="20"/>
  <c r="N80" i="20" s="1"/>
  <c r="U29" i="20"/>
  <c r="T29" i="20"/>
  <c r="BA29" i="20"/>
  <c r="BB29" i="20"/>
  <c r="M29" i="20"/>
  <c r="N29" i="20" s="1"/>
  <c r="BA90" i="20"/>
  <c r="BB90" i="20"/>
  <c r="M90" i="20"/>
  <c r="N90" i="20" s="1"/>
  <c r="U22" i="20"/>
  <c r="T22" i="20"/>
  <c r="BA22" i="20"/>
  <c r="BB22" i="20"/>
  <c r="M22" i="20"/>
  <c r="N22" i="20" s="1"/>
  <c r="BA35" i="20"/>
  <c r="BB35" i="20"/>
  <c r="M35" i="20"/>
  <c r="T198" i="20"/>
  <c r="U198" i="20"/>
  <c r="BA198" i="20"/>
  <c r="BB198" i="20"/>
  <c r="M198" i="20"/>
  <c r="P198" i="20" s="1"/>
  <c r="Q198" i="20" s="1"/>
  <c r="BA52" i="20"/>
  <c r="BB52" i="20"/>
  <c r="M52" i="20"/>
  <c r="N52" i="20" s="1"/>
  <c r="T52" i="20" s="1"/>
  <c r="U32" i="20"/>
  <c r="T32" i="20"/>
  <c r="BB32" i="20"/>
  <c r="BA32" i="20"/>
  <c r="M32" i="20"/>
  <c r="N32" i="20" s="1"/>
  <c r="BA25" i="21"/>
  <c r="M25" i="21"/>
  <c r="N25" i="21" s="1"/>
  <c r="T25" i="21" s="1"/>
  <c r="BA24" i="21"/>
  <c r="M24" i="21"/>
  <c r="N24" i="21" s="1"/>
  <c r="T24" i="21" s="1"/>
  <c r="BA97" i="21"/>
  <c r="M97" i="21"/>
  <c r="N97" i="21" s="1"/>
  <c r="T97" i="21" s="1"/>
  <c r="BA14" i="21"/>
  <c r="M14" i="21"/>
  <c r="N14" i="21" s="1"/>
  <c r="T14" i="21" s="1"/>
  <c r="BA17" i="21"/>
  <c r="M17" i="21"/>
  <c r="N17" i="21" s="1"/>
  <c r="T17" i="21" s="1"/>
  <c r="BA102" i="21"/>
  <c r="M102" i="21"/>
  <c r="N102" i="21" s="1"/>
  <c r="T102" i="21" s="1"/>
  <c r="BA33" i="21"/>
  <c r="M33" i="21"/>
  <c r="N33" i="21" s="1"/>
  <c r="T33" i="21" s="1"/>
  <c r="BA45" i="21"/>
  <c r="M45" i="21"/>
  <c r="N45" i="21" s="1"/>
  <c r="T45" i="21" s="1"/>
  <c r="BA37" i="21"/>
  <c r="M37" i="21"/>
  <c r="N37" i="21" s="1"/>
  <c r="T37" i="21" s="1"/>
  <c r="BA65" i="21"/>
  <c r="M65" i="21"/>
  <c r="N65" i="21" s="1"/>
  <c r="T65" i="21" s="1"/>
  <c r="BA75" i="21"/>
  <c r="M75" i="21"/>
  <c r="N75" i="21" s="1"/>
  <c r="T75" i="21" s="1"/>
  <c r="BA105" i="21"/>
  <c r="M105" i="21"/>
  <c r="N105" i="21" s="1"/>
  <c r="T105" i="21" s="1"/>
  <c r="BA10" i="21"/>
  <c r="M10" i="21"/>
  <c r="N10" i="21" s="1"/>
  <c r="T10" i="21" s="1"/>
  <c r="AC26" i="30"/>
  <c r="AD26" i="30"/>
  <c r="U120" i="20"/>
  <c r="T120" i="20"/>
  <c r="BB120" i="20"/>
  <c r="BA120" i="20"/>
  <c r="M120" i="20"/>
  <c r="P120" i="20" s="1"/>
  <c r="Q120" i="20" s="1"/>
  <c r="U116" i="20"/>
  <c r="T116" i="20"/>
  <c r="BA116" i="20"/>
  <c r="BB116" i="20"/>
  <c r="M116" i="20"/>
  <c r="N116" i="20" s="1"/>
  <c r="BB96" i="20"/>
  <c r="BA96" i="20"/>
  <c r="M96" i="20"/>
  <c r="N96" i="20" s="1"/>
  <c r="BA62" i="20"/>
  <c r="BB62" i="20"/>
  <c r="M62" i="20"/>
  <c r="N62" i="20" s="1"/>
  <c r="BA106" i="20"/>
  <c r="BB106" i="20"/>
  <c r="M106" i="20"/>
  <c r="N106" i="20" s="1"/>
  <c r="T106" i="20" s="1"/>
  <c r="BA38" i="20"/>
  <c r="BB38" i="20"/>
  <c r="M38" i="20"/>
  <c r="N38" i="20" s="1"/>
  <c r="P38" i="20" s="1"/>
  <c r="Q38" i="20" s="1"/>
  <c r="R38" i="20" s="1"/>
  <c r="BA92" i="20"/>
  <c r="BB92" i="20"/>
  <c r="M92" i="20"/>
  <c r="N92" i="20" s="1"/>
  <c r="U178" i="20"/>
  <c r="T178" i="20"/>
  <c r="BA178" i="20"/>
  <c r="BB178" i="20"/>
  <c r="M178" i="20"/>
  <c r="P178" i="20" s="1"/>
  <c r="Q178" i="20" s="1"/>
  <c r="BA68" i="20"/>
  <c r="BB68" i="20"/>
  <c r="M68" i="20"/>
  <c r="BB112" i="20"/>
  <c r="BA112" i="20"/>
  <c r="M112" i="20"/>
  <c r="N112" i="20" s="1"/>
  <c r="T112" i="20" s="1"/>
  <c r="T183" i="20"/>
  <c r="U183" i="20"/>
  <c r="BA183" i="20"/>
  <c r="BB183" i="20"/>
  <c r="M183" i="20"/>
  <c r="N183" i="20" s="1"/>
  <c r="O183" i="20" s="1"/>
  <c r="U121" i="20"/>
  <c r="T121" i="20"/>
  <c r="BA121" i="20"/>
  <c r="BB121" i="20"/>
  <c r="M121" i="20"/>
  <c r="N121" i="20" s="1"/>
  <c r="BA54" i="20"/>
  <c r="BB54" i="20"/>
  <c r="M54" i="20"/>
  <c r="U18" i="20"/>
  <c r="T18" i="20"/>
  <c r="BA18" i="20"/>
  <c r="BB18" i="20"/>
  <c r="M18" i="20"/>
  <c r="N18" i="20" s="1"/>
  <c r="BA95" i="20"/>
  <c r="BB95" i="20"/>
  <c r="M95" i="20"/>
  <c r="BA84" i="20"/>
  <c r="BB84" i="20"/>
  <c r="M84" i="20"/>
  <c r="N84" i="20" s="1"/>
  <c r="T84" i="20" s="1"/>
  <c r="U134" i="20"/>
  <c r="T134" i="20"/>
  <c r="BA134" i="20"/>
  <c r="BB134" i="20"/>
  <c r="M134" i="20"/>
  <c r="N134" i="20" s="1"/>
  <c r="BA83" i="20"/>
  <c r="BB83" i="20"/>
  <c r="M83" i="20"/>
  <c r="N83" i="20" s="1"/>
  <c r="T83" i="20" s="1"/>
  <c r="T47" i="20"/>
  <c r="BA47" i="20"/>
  <c r="BB47" i="20"/>
  <c r="M47" i="20"/>
  <c r="N47" i="20" s="1"/>
  <c r="BA58" i="20"/>
  <c r="BB58" i="20"/>
  <c r="M58" i="20"/>
  <c r="U144" i="20"/>
  <c r="T144" i="20"/>
  <c r="BB144" i="20"/>
  <c r="BA144" i="20"/>
  <c r="M144" i="20"/>
  <c r="N144" i="20" s="1"/>
  <c r="BA93" i="20"/>
  <c r="BB93" i="20"/>
  <c r="M93" i="20"/>
  <c r="N93" i="20" s="1"/>
  <c r="T93" i="20" s="1"/>
  <c r="BB56" i="20"/>
  <c r="BA56" i="20"/>
  <c r="M56" i="20"/>
  <c r="N56" i="20" s="1"/>
  <c r="T56" i="20" s="1"/>
  <c r="BA86" i="20"/>
  <c r="BB86" i="20"/>
  <c r="M86" i="20"/>
  <c r="N86" i="20" s="1"/>
  <c r="BA99" i="20"/>
  <c r="BB99" i="20"/>
  <c r="M99" i="20"/>
  <c r="N99" i="20" s="1"/>
  <c r="BA52" i="21"/>
  <c r="M52" i="21"/>
  <c r="N52" i="21" s="1"/>
  <c r="T52" i="21" s="1"/>
  <c r="BA9" i="21"/>
  <c r="M9" i="21"/>
  <c r="N9" i="21" s="1"/>
  <c r="T9" i="21" s="1"/>
  <c r="BA36" i="21"/>
  <c r="M36" i="21"/>
  <c r="N36" i="21" s="1"/>
  <c r="T36" i="21" s="1"/>
  <c r="BA23" i="21"/>
  <c r="M23" i="21"/>
  <c r="N23" i="21" s="1"/>
  <c r="T23" i="21" s="1"/>
  <c r="BA44" i="21"/>
  <c r="M44" i="21"/>
  <c r="N44" i="21" s="1"/>
  <c r="T44" i="21" s="1"/>
  <c r="BA83" i="21"/>
  <c r="M83" i="21"/>
  <c r="N83" i="21" s="1"/>
  <c r="T83" i="21" s="1"/>
  <c r="BA73" i="21"/>
  <c r="M73" i="21"/>
  <c r="N73" i="21" s="1"/>
  <c r="T73" i="21" s="1"/>
  <c r="BA104" i="21"/>
  <c r="M104" i="21"/>
  <c r="N104" i="21" s="1"/>
  <c r="T104" i="21" s="1"/>
  <c r="BA71" i="21"/>
  <c r="M71" i="21"/>
  <c r="N71" i="21" s="1"/>
  <c r="T71" i="21" s="1"/>
  <c r="BA92" i="21"/>
  <c r="M92" i="21"/>
  <c r="N92" i="21" s="1"/>
  <c r="T92" i="21" s="1"/>
  <c r="BA109" i="21"/>
  <c r="M109" i="21"/>
  <c r="N109" i="21" s="1"/>
  <c r="T109" i="21" s="1"/>
  <c r="BA79" i="21"/>
  <c r="M79" i="21"/>
  <c r="N79" i="21" s="1"/>
  <c r="T79" i="21" s="1"/>
  <c r="BA50" i="21"/>
  <c r="M50" i="21"/>
  <c r="N50" i="21" s="1"/>
  <c r="T50" i="21" s="1"/>
  <c r="BA59" i="20"/>
  <c r="BB59" i="20"/>
  <c r="M59" i="20"/>
  <c r="U150" i="20"/>
  <c r="T150" i="20"/>
  <c r="BA150" i="20"/>
  <c r="BB150" i="20"/>
  <c r="M150" i="20"/>
  <c r="N150" i="20" s="1"/>
  <c r="O150" i="20" s="1"/>
  <c r="U163" i="20"/>
  <c r="T163" i="20"/>
  <c r="BA163" i="20"/>
  <c r="BB163" i="20"/>
  <c r="M163" i="20"/>
  <c r="N163" i="20" s="1"/>
  <c r="U184" i="20"/>
  <c r="T184" i="20"/>
  <c r="BB184" i="20"/>
  <c r="BA184" i="20"/>
  <c r="M184" i="20"/>
  <c r="N184" i="20" s="1"/>
  <c r="O184" i="20" s="1"/>
  <c r="U202" i="20"/>
  <c r="T202" i="20"/>
  <c r="BA202" i="20"/>
  <c r="BB202" i="20"/>
  <c r="M202" i="20"/>
  <c r="N202" i="20" s="1"/>
  <c r="U160" i="20"/>
  <c r="T160" i="20"/>
  <c r="BB160" i="20"/>
  <c r="BA160" i="20"/>
  <c r="M160" i="20"/>
  <c r="P160" i="20" s="1"/>
  <c r="Q160" i="20" s="1"/>
  <c r="U126" i="20"/>
  <c r="T126" i="20"/>
  <c r="BA126" i="20"/>
  <c r="BB126" i="20"/>
  <c r="M126" i="20"/>
  <c r="P126" i="20" s="1"/>
  <c r="Q126" i="20" s="1"/>
  <c r="T11" i="20"/>
  <c r="U11" i="20"/>
  <c r="BA11" i="20"/>
  <c r="BB11" i="20"/>
  <c r="M11" i="20"/>
  <c r="P11" i="20" s="1"/>
  <c r="Q11" i="20" s="1"/>
  <c r="BA102" i="20"/>
  <c r="BB102" i="20"/>
  <c r="M102" i="20"/>
  <c r="N102" i="20" s="1"/>
  <c r="U180" i="20"/>
  <c r="T180" i="20"/>
  <c r="BA180" i="20"/>
  <c r="BB180" i="20"/>
  <c r="M180" i="20"/>
  <c r="P180" i="20" s="1"/>
  <c r="Q180" i="20" s="1"/>
  <c r="BB72" i="20"/>
  <c r="BA72" i="20"/>
  <c r="M72" i="20"/>
  <c r="N72" i="20" s="1"/>
  <c r="U132" i="20"/>
  <c r="T132" i="20"/>
  <c r="BA132" i="20"/>
  <c r="BB132" i="20"/>
  <c r="M132" i="20"/>
  <c r="N132" i="20" s="1"/>
  <c r="O132" i="20" s="1"/>
  <c r="U176" i="20"/>
  <c r="T176" i="20"/>
  <c r="BB176" i="20"/>
  <c r="BA176" i="20"/>
  <c r="M176" i="20"/>
  <c r="P176" i="20" s="1"/>
  <c r="Q176" i="20" s="1"/>
  <c r="U14" i="20"/>
  <c r="T14" i="20"/>
  <c r="BA14" i="20"/>
  <c r="BB14" i="20"/>
  <c r="M14" i="20"/>
  <c r="P14" i="20" s="1"/>
  <c r="Q14" i="20" s="1"/>
  <c r="AP14" i="20" s="1"/>
  <c r="U185" i="20"/>
  <c r="T185" i="20"/>
  <c r="BA185" i="20"/>
  <c r="BB185" i="20"/>
  <c r="M185" i="20"/>
  <c r="N185" i="20" s="1"/>
  <c r="U118" i="20"/>
  <c r="T118" i="20"/>
  <c r="BA118" i="20"/>
  <c r="BB118" i="20"/>
  <c r="M118" i="20"/>
  <c r="N118" i="20" s="1"/>
  <c r="U33" i="20"/>
  <c r="T33" i="20"/>
  <c r="BA33" i="20"/>
  <c r="BB33" i="20"/>
  <c r="M33" i="20"/>
  <c r="N33" i="20" s="1"/>
  <c r="U141" i="20"/>
  <c r="T141" i="20"/>
  <c r="BA141" i="20"/>
  <c r="BB141" i="20"/>
  <c r="M141" i="20"/>
  <c r="P141" i="20" s="1"/>
  <c r="Q141" i="20" s="1"/>
  <c r="U137" i="20"/>
  <c r="T137" i="20"/>
  <c r="BA137" i="20"/>
  <c r="BB137" i="20"/>
  <c r="M137" i="20"/>
  <c r="N137" i="20" s="1"/>
  <c r="BA50" i="20"/>
  <c r="BB50" i="20"/>
  <c r="M50" i="20"/>
  <c r="N50" i="20" s="1"/>
  <c r="T50" i="20" s="1"/>
  <c r="U147" i="20"/>
  <c r="T147" i="20"/>
  <c r="BA147" i="20"/>
  <c r="BB147" i="20"/>
  <c r="M147" i="20"/>
  <c r="N147" i="20" s="1"/>
  <c r="T111" i="20"/>
  <c r="BA111" i="20"/>
  <c r="BB111" i="20"/>
  <c r="M111" i="20"/>
  <c r="N111" i="20" s="1"/>
  <c r="BA53" i="20"/>
  <c r="BB53" i="20"/>
  <c r="M53" i="20"/>
  <c r="N53" i="20" s="1"/>
  <c r="BA98" i="20"/>
  <c r="BB98" i="20"/>
  <c r="M98" i="20"/>
  <c r="N98" i="20" s="1"/>
  <c r="U157" i="20"/>
  <c r="T157" i="20"/>
  <c r="BA157" i="20"/>
  <c r="BB157" i="20"/>
  <c r="M157" i="20"/>
  <c r="N157" i="20" s="1"/>
  <c r="BA51" i="21"/>
  <c r="M51" i="21"/>
  <c r="N51" i="21" s="1"/>
  <c r="T51" i="21" s="1"/>
  <c r="BA42" i="21"/>
  <c r="M42" i="21"/>
  <c r="N42" i="21" s="1"/>
  <c r="T42" i="21" s="1"/>
  <c r="BA34" i="21"/>
  <c r="M34" i="21"/>
  <c r="N34" i="21" s="1"/>
  <c r="T34" i="21" s="1"/>
  <c r="BA98" i="21"/>
  <c r="M98" i="21"/>
  <c r="N98" i="21" s="1"/>
  <c r="T98" i="21" s="1"/>
  <c r="BA46" i="21"/>
  <c r="M46" i="21"/>
  <c r="N46" i="21" s="1"/>
  <c r="T46" i="21" s="1"/>
  <c r="BA84" i="21"/>
  <c r="M84" i="21"/>
  <c r="N84" i="21" s="1"/>
  <c r="T84" i="21" s="1"/>
  <c r="BA100" i="21"/>
  <c r="M100" i="21"/>
  <c r="N100" i="21" s="1"/>
  <c r="T100" i="21" s="1"/>
  <c r="BA64" i="21"/>
  <c r="M64" i="21"/>
  <c r="N64" i="21" s="1"/>
  <c r="T64" i="21" s="1"/>
  <c r="BA27" i="21"/>
  <c r="M27" i="21"/>
  <c r="N27" i="21" s="1"/>
  <c r="T27" i="21" s="1"/>
  <c r="BA32" i="21"/>
  <c r="M32" i="21"/>
  <c r="N32" i="21" s="1"/>
  <c r="T32" i="21" s="1"/>
  <c r="BA12" i="21"/>
  <c r="M12" i="21"/>
  <c r="N12" i="21" s="1"/>
  <c r="T12" i="21" s="1"/>
  <c r="BA69" i="21"/>
  <c r="M69" i="21"/>
  <c r="N69" i="21" s="1"/>
  <c r="T69" i="21" s="1"/>
  <c r="BA81" i="21"/>
  <c r="M81" i="21"/>
  <c r="N81" i="21" s="1"/>
  <c r="T81" i="21" s="1"/>
  <c r="N107" i="21"/>
  <c r="T107" i="21" s="1"/>
  <c r="N20" i="21"/>
  <c r="N49" i="21"/>
  <c r="T49" i="21" s="1"/>
  <c r="N82" i="21"/>
  <c r="N87" i="21"/>
  <c r="T87" i="21" s="1"/>
  <c r="N18" i="21"/>
  <c r="T18" i="21" s="1"/>
  <c r="N88" i="21"/>
  <c r="N41" i="21"/>
  <c r="T41" i="21" s="1"/>
  <c r="N63" i="21"/>
  <c r="T63" i="21" s="1"/>
  <c r="N16" i="21"/>
  <c r="T16" i="21" s="1"/>
  <c r="N42" i="20"/>
  <c r="T42" i="20" s="1"/>
  <c r="P116" i="20"/>
  <c r="Q116" i="20" s="1"/>
  <c r="N45" i="20"/>
  <c r="T45" i="20" s="1"/>
  <c r="P152" i="20"/>
  <c r="Q152" i="20" s="1"/>
  <c r="N54" i="20"/>
  <c r="Y7" i="30"/>
  <c r="N66" i="20"/>
  <c r="P182" i="20"/>
  <c r="Q182" i="20" s="1"/>
  <c r="P128" i="20"/>
  <c r="Q128" i="20" s="1"/>
  <c r="P103" i="20"/>
  <c r="Q103" i="20" s="1"/>
  <c r="R103" i="20" s="1"/>
  <c r="P159" i="20"/>
  <c r="Q159" i="20" s="1"/>
  <c r="P186" i="20"/>
  <c r="Q186" i="20" s="1"/>
  <c r="P123" i="20"/>
  <c r="Q123" i="20" s="1"/>
  <c r="N41" i="20"/>
  <c r="T41" i="20" s="1"/>
  <c r="P149" i="20"/>
  <c r="Q149" i="20" s="1"/>
  <c r="P169" i="20"/>
  <c r="Q169" i="20" s="1"/>
  <c r="N101" i="20"/>
  <c r="N82" i="20"/>
  <c r="P17" i="20"/>
  <c r="Q17" i="20" s="1"/>
  <c r="N199" i="20"/>
  <c r="P199" i="20"/>
  <c r="Q199" i="20" s="1"/>
  <c r="AG199" i="20" s="1"/>
  <c r="P151" i="20"/>
  <c r="Q151" i="20" s="1"/>
  <c r="N148" i="20"/>
  <c r="O148" i="20" s="1"/>
  <c r="P148" i="20"/>
  <c r="Q148" i="20" s="1"/>
  <c r="N100" i="20"/>
  <c r="N78" i="20"/>
  <c r="P167" i="20"/>
  <c r="Q167" i="20" s="1"/>
  <c r="P139" i="20"/>
  <c r="Q139" i="20" s="1"/>
  <c r="N61" i="20"/>
  <c r="T61" i="20" s="1"/>
  <c r="N139" i="20"/>
  <c r="N65" i="20"/>
  <c r="T65" i="20" s="1"/>
  <c r="N87" i="20"/>
  <c r="T87" i="20" s="1"/>
  <c r="N154" i="20"/>
  <c r="N58" i="20"/>
  <c r="T58" i="20" s="1"/>
  <c r="N67" i="20"/>
  <c r="P117" i="20"/>
  <c r="Q117" i="20" s="1"/>
  <c r="N60" i="20"/>
  <c r="T60" i="20" s="1"/>
  <c r="N75" i="20"/>
  <c r="P175" i="20"/>
  <c r="Q175" i="20" s="1"/>
  <c r="P201" i="20"/>
  <c r="Q201" i="20" s="1"/>
  <c r="N15" i="20"/>
  <c r="P15" i="20"/>
  <c r="Q15" i="20" s="1"/>
  <c r="N105" i="20"/>
  <c r="P105" i="20" s="1"/>
  <c r="Q105" i="20" s="1"/>
  <c r="R105" i="20" s="1"/>
  <c r="P205" i="20"/>
  <c r="Q205" i="20" s="1"/>
  <c r="N95" i="20"/>
  <c r="N71" i="20"/>
  <c r="N63" i="20"/>
  <c r="N140" i="20"/>
  <c r="N64" i="20"/>
  <c r="N79" i="20"/>
  <c r="N59" i="20"/>
  <c r="N74" i="20"/>
  <c r="N88" i="20"/>
  <c r="N55" i="20"/>
  <c r="N21" i="20"/>
  <c r="AL21" i="20" s="1"/>
  <c r="N91" i="20"/>
  <c r="N198" i="20"/>
  <c r="N159" i="20"/>
  <c r="N123" i="20"/>
  <c r="N19" i="20"/>
  <c r="AL19" i="20" s="1"/>
  <c r="N131" i="20"/>
  <c r="N35" i="20"/>
  <c r="P35" i="20" s="1"/>
  <c r="Q35" i="20" s="1"/>
  <c r="R35" i="20" s="1"/>
  <c r="N97" i="20"/>
  <c r="T97" i="20" s="1"/>
  <c r="N24" i="20"/>
  <c r="AL24" i="20" s="1"/>
  <c r="N17" i="20"/>
  <c r="N117" i="20"/>
  <c r="N181" i="20"/>
  <c r="N89" i="20"/>
  <c r="T89" i="20" s="1"/>
  <c r="N128" i="20"/>
  <c r="N94" i="20"/>
  <c r="T94" i="20" s="1"/>
  <c r="N107" i="20"/>
  <c r="T107" i="20" s="1"/>
  <c r="N166" i="20"/>
  <c r="N167" i="20"/>
  <c r="N160" i="20"/>
  <c r="AS83" i="20"/>
  <c r="AS98" i="20"/>
  <c r="AI18" i="20"/>
  <c r="AS180" i="20"/>
  <c r="AI26" i="20"/>
  <c r="AI13" i="20"/>
  <c r="AW169" i="20"/>
  <c r="AS81" i="20"/>
  <c r="AI32" i="20"/>
  <c r="AI14" i="20"/>
  <c r="AI16" i="20"/>
  <c r="AI22" i="20"/>
  <c r="AW149" i="20"/>
  <c r="AI28" i="20"/>
  <c r="AS77" i="20"/>
  <c r="AS87" i="20"/>
  <c r="AW166" i="20"/>
  <c r="E39" i="1"/>
  <c r="H141" i="2"/>
  <c r="AI30" i="20"/>
  <c r="AI33" i="20"/>
  <c r="AI21" i="20"/>
  <c r="AI31" i="20"/>
  <c r="AI25" i="20"/>
  <c r="AI23" i="20"/>
  <c r="AI27" i="20"/>
  <c r="AI19" i="20"/>
  <c r="AI29" i="20"/>
  <c r="AS155" i="20"/>
  <c r="AI20" i="20"/>
  <c r="AI15" i="20"/>
  <c r="B145" i="2"/>
  <c r="D61" i="16" s="1"/>
  <c r="B143" i="2"/>
  <c r="E33" i="1" s="1"/>
  <c r="AW134" i="20"/>
  <c r="AI17" i="20"/>
  <c r="AS143" i="20"/>
  <c r="W16" i="30"/>
  <c r="M33" i="30"/>
  <c r="M34" i="30" s="1"/>
  <c r="M41" i="30"/>
  <c r="M42" i="30" s="1"/>
  <c r="M57" i="30"/>
  <c r="M58" i="30" s="1"/>
  <c r="M76" i="30"/>
  <c r="M77" i="30" s="1"/>
  <c r="N204" i="20" l="1"/>
  <c r="P129" i="20"/>
  <c r="Q129" i="20" s="1"/>
  <c r="N30" i="20"/>
  <c r="AL30" i="20" s="1"/>
  <c r="P31" i="20"/>
  <c r="Q31" i="20" s="1"/>
  <c r="P135" i="20"/>
  <c r="Q135" i="20" s="1"/>
  <c r="N177" i="20"/>
  <c r="AL177" i="20" s="1"/>
  <c r="N179" i="20"/>
  <c r="N138" i="20"/>
  <c r="AU138" i="20" s="1"/>
  <c r="P108" i="20"/>
  <c r="Q108" i="20" s="1"/>
  <c r="R108" i="20" s="1"/>
  <c r="N165" i="20"/>
  <c r="P118" i="20"/>
  <c r="Q118" i="20" s="1"/>
  <c r="P32" i="20"/>
  <c r="Q32" i="20" s="1"/>
  <c r="P184" i="20"/>
  <c r="Q184" i="20" s="1"/>
  <c r="AL31" i="20"/>
  <c r="P122" i="20"/>
  <c r="Q122" i="20" s="1"/>
  <c r="N194" i="20"/>
  <c r="O194" i="20" s="1"/>
  <c r="N164" i="20"/>
  <c r="AL164" i="20" s="1"/>
  <c r="P172" i="20"/>
  <c r="Q172" i="20" s="1"/>
  <c r="P147" i="20"/>
  <c r="Q147" i="20" s="1"/>
  <c r="P196" i="20"/>
  <c r="Q196" i="20" s="1"/>
  <c r="N191" i="20"/>
  <c r="W191" i="20" s="1"/>
  <c r="P192" i="20"/>
  <c r="Q192" i="20" s="1"/>
  <c r="N141" i="20"/>
  <c r="N178" i="20"/>
  <c r="AU178" i="20" s="1"/>
  <c r="AL17" i="20"/>
  <c r="P121" i="20"/>
  <c r="Q121" i="20" s="1"/>
  <c r="AL15" i="20"/>
  <c r="P163" i="20"/>
  <c r="Q163" i="20" s="1"/>
  <c r="O33" i="20"/>
  <c r="T82" i="21"/>
  <c r="T88" i="21"/>
  <c r="T70" i="21"/>
  <c r="T91" i="21"/>
  <c r="T20" i="21"/>
  <c r="T28" i="21"/>
  <c r="T55" i="21"/>
  <c r="T61" i="21"/>
  <c r="T62" i="21"/>
  <c r="T31" i="21"/>
  <c r="P143" i="20"/>
  <c r="Q143" i="20" s="1"/>
  <c r="T57" i="20"/>
  <c r="P146" i="20"/>
  <c r="Q146" i="20" s="1"/>
  <c r="N176" i="20"/>
  <c r="AL176" i="20" s="1"/>
  <c r="P42" i="20"/>
  <c r="Q42" i="20" s="1"/>
  <c r="R42" i="20" s="1"/>
  <c r="T59" i="20"/>
  <c r="P206" i="20"/>
  <c r="Q206" i="20" s="1"/>
  <c r="N155" i="20"/>
  <c r="AL155" i="20" s="1"/>
  <c r="P171" i="20"/>
  <c r="Q171" i="20" s="1"/>
  <c r="P36" i="20"/>
  <c r="Q36" i="20" s="1"/>
  <c r="R36" i="20" s="1"/>
  <c r="T35" i="20"/>
  <c r="P41" i="20"/>
  <c r="Q41" i="20" s="1"/>
  <c r="R41" i="20" s="1"/>
  <c r="T49" i="20"/>
  <c r="U34" i="20"/>
  <c r="T40" i="20"/>
  <c r="U49" i="20"/>
  <c r="U40" i="20"/>
  <c r="T38" i="20"/>
  <c r="P37" i="20"/>
  <c r="Q37" i="20" s="1"/>
  <c r="R37" i="20" s="1"/>
  <c r="U46" i="20"/>
  <c r="T105" i="20"/>
  <c r="P202" i="20"/>
  <c r="Q202" i="20" s="1"/>
  <c r="N153" i="20"/>
  <c r="P189" i="20"/>
  <c r="Q189" i="20" s="1"/>
  <c r="P150" i="20"/>
  <c r="Q150" i="20" s="1"/>
  <c r="P173" i="20"/>
  <c r="Q173" i="20" s="1"/>
  <c r="AL173" i="20" s="1"/>
  <c r="N14" i="20"/>
  <c r="AL14" i="20" s="1"/>
  <c r="N209" i="20"/>
  <c r="T91" i="20"/>
  <c r="T80" i="20"/>
  <c r="P162" i="20"/>
  <c r="Q162" i="20" s="1"/>
  <c r="P12" i="20"/>
  <c r="Q12" i="20" s="1"/>
  <c r="W12" i="20" s="1"/>
  <c r="AG12" i="20" s="1"/>
  <c r="P114" i="20"/>
  <c r="Q114" i="20" s="1"/>
  <c r="W114" i="20" s="1"/>
  <c r="P185" i="20"/>
  <c r="Q185" i="20" s="1"/>
  <c r="P208" i="20"/>
  <c r="Q208" i="20" s="1"/>
  <c r="P144" i="20"/>
  <c r="Q144" i="20" s="1"/>
  <c r="P119" i="20"/>
  <c r="Q119" i="20" s="1"/>
  <c r="AG119" i="20" s="1"/>
  <c r="P207" i="20"/>
  <c r="Q207" i="20" s="1"/>
  <c r="P157" i="20"/>
  <c r="Q157" i="20" s="1"/>
  <c r="AL157" i="20" s="1"/>
  <c r="T81" i="20"/>
  <c r="P22" i="20"/>
  <c r="Q22" i="20" s="1"/>
  <c r="AP108" i="20"/>
  <c r="N197" i="20"/>
  <c r="AU197" i="20" s="1"/>
  <c r="N203" i="20"/>
  <c r="AL203" i="20" s="1"/>
  <c r="O103" i="20"/>
  <c r="U103" i="20" s="1"/>
  <c r="AP103" i="20"/>
  <c r="U111" i="20"/>
  <c r="T104" i="20"/>
  <c r="AP112" i="20"/>
  <c r="N11" i="20"/>
  <c r="AL11" i="20" s="1"/>
  <c r="N174" i="20"/>
  <c r="O174" i="20" s="1"/>
  <c r="P125" i="20"/>
  <c r="Q125" i="20" s="1"/>
  <c r="T55" i="20"/>
  <c r="P28" i="20"/>
  <c r="Q28" i="20" s="1"/>
  <c r="O157" i="20"/>
  <c r="N27" i="20"/>
  <c r="AL27" i="20" s="1"/>
  <c r="T79" i="20"/>
  <c r="P9" i="20"/>
  <c r="Q9" i="20" s="1"/>
  <c r="AP9" i="20" s="1"/>
  <c r="P132" i="20"/>
  <c r="Q132" i="20" s="1"/>
  <c r="P106" i="20"/>
  <c r="Q106" i="20" s="1"/>
  <c r="R106" i="20" s="1"/>
  <c r="P18" i="20"/>
  <c r="Q18" i="20" s="1"/>
  <c r="T110" i="20"/>
  <c r="P110" i="20"/>
  <c r="Q110" i="20" s="1"/>
  <c r="N168" i="20"/>
  <c r="W168" i="20" s="1"/>
  <c r="T88" i="20"/>
  <c r="P200" i="20"/>
  <c r="Q200" i="20" s="1"/>
  <c r="P112" i="20"/>
  <c r="Q112" i="20" s="1"/>
  <c r="R112" i="20" s="1"/>
  <c r="O106" i="20"/>
  <c r="U106" i="20" s="1"/>
  <c r="P188" i="20"/>
  <c r="Q188" i="20" s="1"/>
  <c r="P113" i="20"/>
  <c r="Q113" i="20" s="1"/>
  <c r="R113" i="20" s="1"/>
  <c r="N120" i="20"/>
  <c r="AP105" i="20"/>
  <c r="P107" i="20"/>
  <c r="Q107" i="20" s="1"/>
  <c r="R107" i="20" s="1"/>
  <c r="O111" i="20"/>
  <c r="AP111" i="20"/>
  <c r="T103" i="20"/>
  <c r="P33" i="20"/>
  <c r="Q33" i="20" s="1"/>
  <c r="P130" i="20"/>
  <c r="Q130" i="20" s="1"/>
  <c r="AG130" i="20" s="1"/>
  <c r="N180" i="20"/>
  <c r="AL180" i="20" s="1"/>
  <c r="P104" i="20"/>
  <c r="Q104" i="20" s="1"/>
  <c r="R104" i="20" s="1"/>
  <c r="P40" i="20"/>
  <c r="Q40" i="20" s="1"/>
  <c r="P142" i="20"/>
  <c r="Q142" i="20" s="1"/>
  <c r="P29" i="20"/>
  <c r="Q29" i="20" s="1"/>
  <c r="N190" i="20"/>
  <c r="O190" i="20" s="1"/>
  <c r="N109" i="20"/>
  <c r="O109" i="20" s="1"/>
  <c r="N195" i="20"/>
  <c r="AU195" i="20" s="1"/>
  <c r="P145" i="20"/>
  <c r="Q145" i="20" s="1"/>
  <c r="P161" i="20"/>
  <c r="Q161" i="20" s="1"/>
  <c r="P16" i="20"/>
  <c r="Q16" i="20" s="1"/>
  <c r="AP16" i="20" s="1"/>
  <c r="T100" i="20"/>
  <c r="P23" i="20"/>
  <c r="Q23" i="20" s="1"/>
  <c r="P26" i="20"/>
  <c r="Q26" i="20" s="1"/>
  <c r="T63" i="20"/>
  <c r="N158" i="20"/>
  <c r="AL158" i="20" s="1"/>
  <c r="N127" i="20"/>
  <c r="AL127" i="20" s="1"/>
  <c r="N10" i="20"/>
  <c r="AL10" i="20" s="1"/>
  <c r="P124" i="20"/>
  <c r="Q124" i="20" s="1"/>
  <c r="P187" i="20"/>
  <c r="Q187" i="20" s="1"/>
  <c r="P115" i="20"/>
  <c r="Q115" i="20" s="1"/>
  <c r="P39" i="20"/>
  <c r="Q39" i="20" s="1"/>
  <c r="R39" i="20" s="1"/>
  <c r="P111" i="20"/>
  <c r="Q111" i="20" s="1"/>
  <c r="R111" i="20" s="1"/>
  <c r="T70" i="20"/>
  <c r="N126" i="20"/>
  <c r="AL126" i="20" s="1"/>
  <c r="N133" i="20"/>
  <c r="W133" i="20" s="1"/>
  <c r="N113" i="20"/>
  <c r="O113" i="20" s="1"/>
  <c r="U113" i="20" s="1"/>
  <c r="P156" i="20"/>
  <c r="Q156" i="20" s="1"/>
  <c r="T101" i="20"/>
  <c r="P20" i="20"/>
  <c r="Q20" i="20" s="1"/>
  <c r="T66" i="20"/>
  <c r="P43" i="20"/>
  <c r="Q43" i="20" s="1"/>
  <c r="R43" i="20" s="1"/>
  <c r="T72" i="20"/>
  <c r="N13" i="20"/>
  <c r="AL13" i="20" s="1"/>
  <c r="T71" i="20"/>
  <c r="P34" i="20"/>
  <c r="Q34" i="20" s="1"/>
  <c r="R34" i="20" s="1"/>
  <c r="P183" i="20"/>
  <c r="Q183" i="20" s="1"/>
  <c r="T67" i="20"/>
  <c r="P170" i="20"/>
  <c r="Q170" i="20" s="1"/>
  <c r="T78" i="20"/>
  <c r="T86" i="20"/>
  <c r="P137" i="20"/>
  <c r="Q137" i="20" s="1"/>
  <c r="N25" i="20"/>
  <c r="T75" i="20"/>
  <c r="P136" i="20"/>
  <c r="Q136" i="20" s="1"/>
  <c r="P134" i="20"/>
  <c r="Q134" i="20" s="1"/>
  <c r="N193" i="20"/>
  <c r="AL193" i="20" s="1"/>
  <c r="T102" i="20"/>
  <c r="T95" i="20"/>
  <c r="T82" i="20"/>
  <c r="T54" i="20"/>
  <c r="P92" i="20"/>
  <c r="Q92" i="20" s="1"/>
  <c r="R92" i="20" s="1"/>
  <c r="AP92" i="20" s="1"/>
  <c r="T92" i="20"/>
  <c r="O77" i="20"/>
  <c r="U77" i="20" s="1"/>
  <c r="T77" i="20"/>
  <c r="O62" i="20"/>
  <c r="U62" i="20" s="1"/>
  <c r="T62" i="20"/>
  <c r="P98" i="20"/>
  <c r="Q98" i="20" s="1"/>
  <c r="R98" i="20" s="1"/>
  <c r="T98" i="20"/>
  <c r="P90" i="20"/>
  <c r="Q90" i="20" s="1"/>
  <c r="R90" i="20" s="1"/>
  <c r="T90" i="20"/>
  <c r="O85" i="20"/>
  <c r="U85" i="20" s="1"/>
  <c r="T85" i="20"/>
  <c r="O74" i="20"/>
  <c r="U74" i="20" s="1"/>
  <c r="T74" i="20"/>
  <c r="P96" i="20"/>
  <c r="Q96" i="20" s="1"/>
  <c r="R96" i="20" s="1"/>
  <c r="T96" i="20"/>
  <c r="O73" i="20"/>
  <c r="U73" i="20" s="1"/>
  <c r="T73" i="20"/>
  <c r="P99" i="20"/>
  <c r="Q99" i="20" s="1"/>
  <c r="R99" i="20" s="1"/>
  <c r="T99" i="20"/>
  <c r="O53" i="20"/>
  <c r="U53" i="20" s="1"/>
  <c r="T53" i="20"/>
  <c r="O64" i="20"/>
  <c r="U64" i="20" s="1"/>
  <c r="T64" i="20"/>
  <c r="AL204" i="20"/>
  <c r="AL159" i="20"/>
  <c r="P97" i="20"/>
  <c r="Q97" i="20" s="1"/>
  <c r="R97" i="20" s="1"/>
  <c r="O87" i="20"/>
  <c r="U87" i="20" s="1"/>
  <c r="O84" i="20"/>
  <c r="U84" i="20" s="1"/>
  <c r="O83" i="20"/>
  <c r="U83" i="20" s="1"/>
  <c r="AL128" i="20"/>
  <c r="AU123" i="20"/>
  <c r="P100" i="20"/>
  <c r="Q100" i="20" s="1"/>
  <c r="R100" i="20" s="1"/>
  <c r="P95" i="20"/>
  <c r="Q95" i="20" s="1"/>
  <c r="R95" i="20" s="1"/>
  <c r="W206" i="20"/>
  <c r="P102" i="20"/>
  <c r="Q102" i="20" s="1"/>
  <c r="R102" i="20" s="1"/>
  <c r="AL169" i="20"/>
  <c r="P101" i="20"/>
  <c r="Q101" i="20" s="1"/>
  <c r="R101" i="20" s="1"/>
  <c r="O80" i="20"/>
  <c r="U80" i="20" s="1"/>
  <c r="AU141" i="20"/>
  <c r="AL160" i="20"/>
  <c r="O89" i="20"/>
  <c r="U89" i="20" s="1"/>
  <c r="O99" i="20"/>
  <c r="U99" i="20" s="1"/>
  <c r="O88" i="20"/>
  <c r="U88" i="20" s="1"/>
  <c r="O95" i="20"/>
  <c r="U95" i="20" s="1"/>
  <c r="O98" i="20"/>
  <c r="U98" i="20" s="1"/>
  <c r="P93" i="20"/>
  <c r="Q93" i="20" s="1"/>
  <c r="R93" i="20" s="1"/>
  <c r="P89" i="20"/>
  <c r="Q89" i="20" s="1"/>
  <c r="R89" i="20" s="1"/>
  <c r="P94" i="20"/>
  <c r="Q94" i="20" s="1"/>
  <c r="R94" i="20" s="1"/>
  <c r="P91" i="20"/>
  <c r="Q91" i="20" s="1"/>
  <c r="R91" i="20" s="1"/>
  <c r="AL166" i="20"/>
  <c r="AG139" i="20"/>
  <c r="W175" i="20"/>
  <c r="O48" i="20"/>
  <c r="U48" i="20" s="1"/>
  <c r="AL153" i="20"/>
  <c r="AG194" i="20"/>
  <c r="AU15" i="20"/>
  <c r="O65" i="20"/>
  <c r="U65" i="20" s="1"/>
  <c r="O71" i="20"/>
  <c r="U71" i="20" s="1"/>
  <c r="AL167" i="20"/>
  <c r="O63" i="20"/>
  <c r="U63" i="20" s="1"/>
  <c r="O61" i="20"/>
  <c r="U61" i="20" s="1"/>
  <c r="O50" i="20"/>
  <c r="U50" i="20" s="1"/>
  <c r="W198" i="20"/>
  <c r="AL174" i="20"/>
  <c r="AU120" i="20"/>
  <c r="AG155" i="20"/>
  <c r="O60" i="20"/>
  <c r="U60" i="20" s="1"/>
  <c r="O81" i="20"/>
  <c r="U81" i="20" s="1"/>
  <c r="AU117" i="20"/>
  <c r="AU19" i="20"/>
  <c r="W116" i="20"/>
  <c r="O47" i="20"/>
  <c r="U47" i="20" s="1"/>
  <c r="O38" i="20"/>
  <c r="W38" i="20" s="1"/>
  <c r="AG38" i="20" s="1"/>
  <c r="AG181" i="20"/>
  <c r="W181" i="20"/>
  <c r="O27" i="21"/>
  <c r="U27" i="21" s="1"/>
  <c r="P27" i="21"/>
  <c r="O56" i="21"/>
  <c r="U56" i="21" s="1"/>
  <c r="P56" i="21"/>
  <c r="O53" i="21"/>
  <c r="U53" i="21" s="1"/>
  <c r="P53" i="21"/>
  <c r="O25" i="21"/>
  <c r="U25" i="21" s="1"/>
  <c r="P25" i="21"/>
  <c r="P97" i="21"/>
  <c r="P103" i="21"/>
  <c r="O22" i="21"/>
  <c r="U22" i="21" s="1"/>
  <c r="P22" i="21"/>
  <c r="O99" i="21"/>
  <c r="U99" i="21" s="1"/>
  <c r="O73" i="21"/>
  <c r="U73" i="21" s="1"/>
  <c r="P73" i="21"/>
  <c r="O65" i="21"/>
  <c r="U65" i="21" s="1"/>
  <c r="P65" i="21"/>
  <c r="O49" i="21"/>
  <c r="U49" i="21" s="1"/>
  <c r="P49" i="21"/>
  <c r="P20" i="21"/>
  <c r="P11" i="21"/>
  <c r="O11" i="21"/>
  <c r="U11" i="21" s="1"/>
  <c r="O102" i="21"/>
  <c r="U102" i="21" s="1"/>
  <c r="P102" i="21"/>
  <c r="O37" i="21"/>
  <c r="U37" i="21" s="1"/>
  <c r="P37" i="21"/>
  <c r="O86" i="21"/>
  <c r="U86" i="21" s="1"/>
  <c r="P86" i="21"/>
  <c r="O83" i="21"/>
  <c r="U83" i="21" s="1"/>
  <c r="P83" i="21"/>
  <c r="P109" i="21"/>
  <c r="O104" i="21"/>
  <c r="U104" i="21" s="1"/>
  <c r="P104" i="21"/>
  <c r="O63" i="21"/>
  <c r="U63" i="21" s="1"/>
  <c r="P63" i="21"/>
  <c r="O45" i="21"/>
  <c r="U45" i="21" s="1"/>
  <c r="P45" i="21"/>
  <c r="O95" i="21"/>
  <c r="U95" i="21" s="1"/>
  <c r="O97" i="21"/>
  <c r="U97" i="21" s="1"/>
  <c r="O64" i="21"/>
  <c r="U64" i="21" s="1"/>
  <c r="P64" i="21"/>
  <c r="O76" i="21"/>
  <c r="U76" i="21" s="1"/>
  <c r="P76" i="21"/>
  <c r="P40" i="21"/>
  <c r="O15" i="21"/>
  <c r="U15" i="21" s="1"/>
  <c r="O46" i="21"/>
  <c r="U46" i="21" s="1"/>
  <c r="O79" i="21"/>
  <c r="U79" i="21" s="1"/>
  <c r="P79" i="21"/>
  <c r="O20" i="21"/>
  <c r="U20" i="21" s="1"/>
  <c r="O74" i="21"/>
  <c r="U74" i="21" s="1"/>
  <c r="P74" i="21"/>
  <c r="O42" i="21"/>
  <c r="U42" i="21" s="1"/>
  <c r="O57" i="21"/>
  <c r="U57" i="21" s="1"/>
  <c r="P57" i="21"/>
  <c r="P44" i="21"/>
  <c r="AU189" i="20"/>
  <c r="AG169" i="20"/>
  <c r="P95" i="21"/>
  <c r="O69" i="21"/>
  <c r="U69" i="21" s="1"/>
  <c r="P69" i="21"/>
  <c r="O58" i="21"/>
  <c r="U58" i="21" s="1"/>
  <c r="P58" i="21"/>
  <c r="O26" i="21"/>
  <c r="U26" i="21" s="1"/>
  <c r="P26" i="21"/>
  <c r="O71" i="21"/>
  <c r="U71" i="21" s="1"/>
  <c r="P71" i="21"/>
  <c r="O103" i="21"/>
  <c r="U103" i="21" s="1"/>
  <c r="O72" i="21"/>
  <c r="U72" i="21" s="1"/>
  <c r="P72" i="21"/>
  <c r="O91" i="21"/>
  <c r="U91" i="21" s="1"/>
  <c r="P91" i="21"/>
  <c r="O82" i="21"/>
  <c r="U82" i="21" s="1"/>
  <c r="P82" i="21"/>
  <c r="O12" i="21"/>
  <c r="U12" i="21" s="1"/>
  <c r="P12" i="21"/>
  <c r="P93" i="21"/>
  <c r="O107" i="21"/>
  <c r="U107" i="21" s="1"/>
  <c r="O62" i="21"/>
  <c r="U62" i="21" s="1"/>
  <c r="P62" i="21"/>
  <c r="O168" i="20"/>
  <c r="AG162" i="20"/>
  <c r="O51" i="21"/>
  <c r="U51" i="21" s="1"/>
  <c r="P51" i="21"/>
  <c r="O94" i="21"/>
  <c r="U94" i="21" s="1"/>
  <c r="P94" i="21"/>
  <c r="O92" i="21"/>
  <c r="U92" i="21" s="1"/>
  <c r="P92" i="21"/>
  <c r="O43" i="21"/>
  <c r="U43" i="21" s="1"/>
  <c r="P43" i="21"/>
  <c r="O18" i="21"/>
  <c r="U18" i="21" s="1"/>
  <c r="P18" i="21"/>
  <c r="O87" i="21"/>
  <c r="U87" i="21" s="1"/>
  <c r="P87" i="21"/>
  <c r="O105" i="21"/>
  <c r="U105" i="21" s="1"/>
  <c r="O47" i="21"/>
  <c r="U47" i="21" s="1"/>
  <c r="P47" i="21"/>
  <c r="O40" i="21"/>
  <c r="U40" i="21" s="1"/>
  <c r="P54" i="21"/>
  <c r="O54" i="21"/>
  <c r="U54" i="21" s="1"/>
  <c r="O85" i="21"/>
  <c r="U85" i="21" s="1"/>
  <c r="P85" i="21"/>
  <c r="P15" i="21"/>
  <c r="O106" i="21"/>
  <c r="U106" i="21" s="1"/>
  <c r="P106" i="21"/>
  <c r="P32" i="21"/>
  <c r="O29" i="21"/>
  <c r="U29" i="21" s="1"/>
  <c r="P29" i="21"/>
  <c r="P31" i="21"/>
  <c r="AG158" i="20"/>
  <c r="O84" i="21"/>
  <c r="U84" i="21" s="1"/>
  <c r="P84" i="21"/>
  <c r="O109" i="21"/>
  <c r="U109" i="21" s="1"/>
  <c r="O41" i="21"/>
  <c r="U41" i="21" s="1"/>
  <c r="P41" i="21"/>
  <c r="O10" i="21"/>
  <c r="U10" i="21" s="1"/>
  <c r="P10" i="21"/>
  <c r="O100" i="21"/>
  <c r="U100" i="21" s="1"/>
  <c r="P100" i="21"/>
  <c r="P34" i="21"/>
  <c r="O33" i="21"/>
  <c r="U33" i="21" s="1"/>
  <c r="P33" i="21"/>
  <c r="O70" i="21"/>
  <c r="U70" i="21" s="1"/>
  <c r="P70" i="21"/>
  <c r="O80" i="21"/>
  <c r="U80" i="21" s="1"/>
  <c r="P80" i="21"/>
  <c r="O36" i="21"/>
  <c r="U36" i="21" s="1"/>
  <c r="O9" i="21"/>
  <c r="U9" i="21" s="1"/>
  <c r="P9" i="21"/>
  <c r="P101" i="21"/>
  <c r="O52" i="21"/>
  <c r="U52" i="21" s="1"/>
  <c r="P52" i="21"/>
  <c r="O101" i="21"/>
  <c r="U101" i="21" s="1"/>
  <c r="O90" i="21"/>
  <c r="U90" i="21" s="1"/>
  <c r="P90" i="21"/>
  <c r="O16" i="21"/>
  <c r="U16" i="21" s="1"/>
  <c r="P16" i="21"/>
  <c r="O32" i="21"/>
  <c r="U32" i="21" s="1"/>
  <c r="P42" i="21"/>
  <c r="O96" i="21"/>
  <c r="U96" i="21" s="1"/>
  <c r="P96" i="21"/>
  <c r="O30" i="21"/>
  <c r="U30" i="21" s="1"/>
  <c r="P30" i="21"/>
  <c r="Q30" i="21" s="1"/>
  <c r="R30" i="21" s="1"/>
  <c r="V30" i="21" s="1"/>
  <c r="AJ30" i="21" s="1"/>
  <c r="P99" i="21"/>
  <c r="O88" i="21"/>
  <c r="U88" i="21" s="1"/>
  <c r="P88" i="21"/>
  <c r="P105" i="21"/>
  <c r="O17" i="21"/>
  <c r="U17" i="21" s="1"/>
  <c r="P17" i="21"/>
  <c r="P46" i="21"/>
  <c r="O35" i="21"/>
  <c r="U35" i="21" s="1"/>
  <c r="P35" i="21"/>
  <c r="O31" i="21"/>
  <c r="U31" i="21" s="1"/>
  <c r="P13" i="21"/>
  <c r="O93" i="21"/>
  <c r="U93" i="21" s="1"/>
  <c r="AL199" i="20"/>
  <c r="AG180" i="20"/>
  <c r="O66" i="21"/>
  <c r="U66" i="21" s="1"/>
  <c r="P66" i="21"/>
  <c r="O21" i="21"/>
  <c r="U21" i="21" s="1"/>
  <c r="P21" i="21"/>
  <c r="O44" i="21"/>
  <c r="U44" i="21" s="1"/>
  <c r="O67" i="21"/>
  <c r="U67" i="21" s="1"/>
  <c r="P67" i="21"/>
  <c r="O98" i="21"/>
  <c r="U98" i="21" s="1"/>
  <c r="P98" i="21"/>
  <c r="O61" i="21"/>
  <c r="U61" i="21" s="1"/>
  <c r="P61" i="21"/>
  <c r="O81" i="21"/>
  <c r="U81" i="21" s="1"/>
  <c r="P81" i="21"/>
  <c r="O14" i="21"/>
  <c r="U14" i="21" s="1"/>
  <c r="P14" i="21"/>
  <c r="P38" i="21"/>
  <c r="P107" i="21"/>
  <c r="P36" i="21"/>
  <c r="O60" i="21"/>
  <c r="U60" i="21" s="1"/>
  <c r="P60" i="21"/>
  <c r="O55" i="21"/>
  <c r="U55" i="21" s="1"/>
  <c r="P55" i="21"/>
  <c r="O77" i="21"/>
  <c r="U77" i="21" s="1"/>
  <c r="P77" i="21"/>
  <c r="O13" i="21"/>
  <c r="U13" i="21" s="1"/>
  <c r="P78" i="21"/>
  <c r="AL140" i="20"/>
  <c r="AG157" i="20"/>
  <c r="AP15" i="20"/>
  <c r="AU130" i="20"/>
  <c r="O59" i="21"/>
  <c r="U59" i="21" s="1"/>
  <c r="P59" i="21"/>
  <c r="O50" i="21"/>
  <c r="U50" i="21" s="1"/>
  <c r="P50" i="21"/>
  <c r="O23" i="21"/>
  <c r="U23" i="21" s="1"/>
  <c r="P23" i="21"/>
  <c r="O108" i="21"/>
  <c r="U108" i="21" s="1"/>
  <c r="P108" i="21"/>
  <c r="O68" i="21"/>
  <c r="U68" i="21" s="1"/>
  <c r="P68" i="21"/>
  <c r="O24" i="21"/>
  <c r="U24" i="21" s="1"/>
  <c r="P24" i="21"/>
  <c r="O75" i="21"/>
  <c r="U75" i="21" s="1"/>
  <c r="P75" i="21"/>
  <c r="O34" i="21"/>
  <c r="U34" i="21" s="1"/>
  <c r="P19" i="21"/>
  <c r="O28" i="21"/>
  <c r="U28" i="21" s="1"/>
  <c r="P28" i="21"/>
  <c r="O19" i="21"/>
  <c r="U19" i="21" s="1"/>
  <c r="O48" i="21"/>
  <c r="U48" i="21" s="1"/>
  <c r="P48" i="21"/>
  <c r="O38" i="21"/>
  <c r="U38" i="21" s="1"/>
  <c r="O89" i="21"/>
  <c r="U89" i="21" s="1"/>
  <c r="P89" i="21"/>
  <c r="O39" i="21"/>
  <c r="U39" i="21" s="1"/>
  <c r="P39" i="21"/>
  <c r="O78" i="21"/>
  <c r="U78" i="21" s="1"/>
  <c r="O55" i="20"/>
  <c r="U55" i="20" s="1"/>
  <c r="AL179" i="20"/>
  <c r="AG184" i="20"/>
  <c r="AG175" i="20"/>
  <c r="AP29" i="20"/>
  <c r="AU122" i="20"/>
  <c r="AV122" i="20" s="1"/>
  <c r="AX122" i="20" s="1"/>
  <c r="BU122" i="20" s="1"/>
  <c r="W151" i="20"/>
  <c r="AG174" i="20"/>
  <c r="AU31" i="20"/>
  <c r="AU196" i="20"/>
  <c r="O45" i="20"/>
  <c r="U45" i="20" s="1"/>
  <c r="AG195" i="20"/>
  <c r="AU17" i="20"/>
  <c r="AU21" i="20"/>
  <c r="O66" i="20"/>
  <c r="U66" i="20" s="1"/>
  <c r="O72" i="20"/>
  <c r="U72" i="20" s="1"/>
  <c r="AG182" i="20"/>
  <c r="O101" i="20"/>
  <c r="U101" i="20" s="1"/>
  <c r="AL182" i="20"/>
  <c r="AL131" i="20"/>
  <c r="AL175" i="20"/>
  <c r="O57" i="20"/>
  <c r="U57" i="20" s="1"/>
  <c r="AG126" i="20"/>
  <c r="AP34" i="20"/>
  <c r="AP27" i="20"/>
  <c r="AP42" i="20"/>
  <c r="AU201" i="20"/>
  <c r="W32" i="20"/>
  <c r="AG32" i="20" s="1"/>
  <c r="AL186" i="20"/>
  <c r="AU140" i="20"/>
  <c r="AG117" i="20"/>
  <c r="O78" i="20"/>
  <c r="U78" i="20" s="1"/>
  <c r="AU149" i="20"/>
  <c r="AP12" i="20"/>
  <c r="O54" i="20"/>
  <c r="U54" i="20" s="1"/>
  <c r="O82" i="20"/>
  <c r="U82" i="20" s="1"/>
  <c r="O70" i="20"/>
  <c r="U70" i="20" s="1"/>
  <c r="W123" i="20"/>
  <c r="AG133" i="20"/>
  <c r="AP13" i="20"/>
  <c r="AP35" i="20"/>
  <c r="N44" i="20"/>
  <c r="AG185" i="20"/>
  <c r="AG147" i="20"/>
  <c r="AL148" i="20"/>
  <c r="AP17" i="20"/>
  <c r="AG153" i="20"/>
  <c r="O86" i="20"/>
  <c r="U86" i="20" s="1"/>
  <c r="O28" i="20"/>
  <c r="O67" i="20"/>
  <c r="U67" i="20" s="1"/>
  <c r="O140" i="20"/>
  <c r="O159" i="20"/>
  <c r="AG105" i="20"/>
  <c r="W15" i="20"/>
  <c r="AG15" i="20" s="1"/>
  <c r="AU175" i="20"/>
  <c r="W117" i="20"/>
  <c r="AG193" i="20"/>
  <c r="AL141" i="20"/>
  <c r="AU144" i="20"/>
  <c r="W19" i="20"/>
  <c r="AG19" i="20" s="1"/>
  <c r="AU127" i="20"/>
  <c r="AP33" i="20"/>
  <c r="W165" i="20"/>
  <c r="W160" i="20"/>
  <c r="AL149" i="20"/>
  <c r="W103" i="20"/>
  <c r="AU18" i="20"/>
  <c r="W196" i="20"/>
  <c r="O22" i="20"/>
  <c r="O56" i="20"/>
  <c r="U56" i="20" s="1"/>
  <c r="O141" i="20"/>
  <c r="O69" i="20"/>
  <c r="U69" i="20" s="1"/>
  <c r="O52" i="20"/>
  <c r="U52" i="20" s="1"/>
  <c r="AL209" i="20"/>
  <c r="W155" i="20"/>
  <c r="AU157" i="20"/>
  <c r="AL143" i="20"/>
  <c r="N68" i="20"/>
  <c r="AU126" i="20"/>
  <c r="AL139" i="20"/>
  <c r="AU166" i="20"/>
  <c r="AG122" i="20"/>
  <c r="AG144" i="20"/>
  <c r="W149" i="20"/>
  <c r="W22" i="20"/>
  <c r="AG22" i="20" s="1"/>
  <c r="O58" i="20"/>
  <c r="U58" i="20" s="1"/>
  <c r="AG148" i="20"/>
  <c r="O31" i="20"/>
  <c r="O166" i="20"/>
  <c r="AU24" i="20"/>
  <c r="AU30" i="20"/>
  <c r="W176" i="20"/>
  <c r="W166" i="20"/>
  <c r="W122" i="20"/>
  <c r="AL197" i="20"/>
  <c r="AU174" i="20"/>
  <c r="AG196" i="20"/>
  <c r="W21" i="20"/>
  <c r="AG21" i="20" s="1"/>
  <c r="O197" i="20"/>
  <c r="O122" i="20"/>
  <c r="O191" i="20"/>
  <c r="O208" i="20"/>
  <c r="O79" i="20"/>
  <c r="U79" i="20" s="1"/>
  <c r="O165" i="20"/>
  <c r="S165" i="20" s="1"/>
  <c r="AU38" i="20"/>
  <c r="AL154" i="20"/>
  <c r="AG165" i="20"/>
  <c r="AU167" i="20"/>
  <c r="W162" i="20"/>
  <c r="N76" i="20"/>
  <c r="T76" i="20" s="1"/>
  <c r="AG203" i="20"/>
  <c r="W197" i="20"/>
  <c r="AU169" i="20"/>
  <c r="AP41" i="20"/>
  <c r="AP38" i="20"/>
  <c r="AG209" i="20"/>
  <c r="AL196" i="20"/>
  <c r="O152" i="20"/>
  <c r="AL152" i="20"/>
  <c r="W30" i="20"/>
  <c r="AG30" i="20" s="1"/>
  <c r="W143" i="20"/>
  <c r="AG118" i="20"/>
  <c r="W145" i="20"/>
  <c r="AU181" i="20"/>
  <c r="P73" i="20"/>
  <c r="Q73" i="20" s="1"/>
  <c r="R73" i="20" s="1"/>
  <c r="AG73" i="20" s="1"/>
  <c r="P52" i="20"/>
  <c r="Q52" i="20" s="1"/>
  <c r="R52" i="20" s="1"/>
  <c r="W141" i="20"/>
  <c r="W120" i="20"/>
  <c r="W131" i="20"/>
  <c r="AU203" i="20"/>
  <c r="AU148" i="20"/>
  <c r="W199" i="20"/>
  <c r="P78" i="20"/>
  <c r="Q78" i="20" s="1"/>
  <c r="R78" i="20" s="1"/>
  <c r="W209" i="20"/>
  <c r="P87" i="20"/>
  <c r="Q87" i="20" s="1"/>
  <c r="R87" i="20" s="1"/>
  <c r="AU180" i="20"/>
  <c r="P45" i="20"/>
  <c r="Q45" i="20" s="1"/>
  <c r="R45" i="20" s="1"/>
  <c r="AU32" i="20"/>
  <c r="AU155" i="20"/>
  <c r="AP30" i="20"/>
  <c r="W157" i="20"/>
  <c r="AL205" i="20"/>
  <c r="P49" i="20"/>
  <c r="Q49" i="20" s="1"/>
  <c r="R49" i="20" s="1"/>
  <c r="W118" i="20"/>
  <c r="AG145" i="20"/>
  <c r="P67" i="20"/>
  <c r="Q67" i="20" s="1"/>
  <c r="R67" i="20" s="1"/>
  <c r="W126" i="20"/>
  <c r="AG141" i="20"/>
  <c r="P84" i="20"/>
  <c r="Q84" i="20" s="1"/>
  <c r="R84" i="20" s="1"/>
  <c r="AU131" i="20"/>
  <c r="AU151" i="20"/>
  <c r="W174" i="20"/>
  <c r="AL103" i="20"/>
  <c r="AU194" i="20"/>
  <c r="AU159" i="20"/>
  <c r="AU209" i="20"/>
  <c r="AU103" i="20"/>
  <c r="P50" i="20"/>
  <c r="Q50" i="20" s="1"/>
  <c r="R50" i="20" s="1"/>
  <c r="AG177" i="20"/>
  <c r="P61" i="20"/>
  <c r="Q61" i="20" s="1"/>
  <c r="R61" i="20" s="1"/>
  <c r="P70" i="20"/>
  <c r="Q70" i="20" s="1"/>
  <c r="R70" i="20" s="1"/>
  <c r="AP43" i="20"/>
  <c r="W24" i="20"/>
  <c r="AG24" i="20" s="1"/>
  <c r="AG179" i="20"/>
  <c r="P83" i="20"/>
  <c r="Q83" i="20" s="1"/>
  <c r="R83" i="20" s="1"/>
  <c r="O201" i="20"/>
  <c r="S201" i="20" s="1"/>
  <c r="AL201" i="20"/>
  <c r="P48" i="20"/>
  <c r="Q48" i="20" s="1"/>
  <c r="R48" i="20" s="1"/>
  <c r="AU205" i="20"/>
  <c r="P53" i="20"/>
  <c r="Q53" i="20" s="1"/>
  <c r="R53" i="20" s="1"/>
  <c r="P75" i="20"/>
  <c r="Q75" i="20" s="1"/>
  <c r="R75" i="20" s="1"/>
  <c r="P56" i="20"/>
  <c r="Q56" i="20" s="1"/>
  <c r="R56" i="20" s="1"/>
  <c r="W159" i="20"/>
  <c r="AU154" i="20"/>
  <c r="AL185" i="20"/>
  <c r="AL198" i="20"/>
  <c r="AG164" i="20"/>
  <c r="P64" i="20"/>
  <c r="Q64" i="20" s="1"/>
  <c r="R64" i="20" s="1"/>
  <c r="W140" i="20"/>
  <c r="AL200" i="20"/>
  <c r="W205" i="20"/>
  <c r="AU198" i="20"/>
  <c r="AL118" i="20"/>
  <c r="P77" i="20"/>
  <c r="Q77" i="20" s="1"/>
  <c r="R77" i="20" s="1"/>
  <c r="AG138" i="20"/>
  <c r="AG98" i="20"/>
  <c r="AL122" i="20"/>
  <c r="W139" i="20"/>
  <c r="P63" i="20"/>
  <c r="Q63" i="20" s="1"/>
  <c r="R63" i="20" s="1"/>
  <c r="AG197" i="20"/>
  <c r="AG151" i="20"/>
  <c r="P86" i="20"/>
  <c r="Q86" i="20" s="1"/>
  <c r="R86" i="20" s="1"/>
  <c r="AU106" i="20"/>
  <c r="AP37" i="20"/>
  <c r="AG149" i="20"/>
  <c r="AG173" i="20"/>
  <c r="AG123" i="20"/>
  <c r="AL194" i="20"/>
  <c r="AG159" i="20"/>
  <c r="AH159" i="20" s="1"/>
  <c r="AG103" i="20"/>
  <c r="AG178" i="20"/>
  <c r="AG128" i="20"/>
  <c r="W25" i="20"/>
  <c r="AG25" i="20" s="1"/>
  <c r="AU12" i="20"/>
  <c r="AP11" i="20"/>
  <c r="AP21" i="20"/>
  <c r="AG116" i="20"/>
  <c r="AU206" i="20"/>
  <c r="W179" i="20"/>
  <c r="AL123" i="20"/>
  <c r="P57" i="20"/>
  <c r="Q57" i="20" s="1"/>
  <c r="R57" i="20" s="1"/>
  <c r="AG140" i="20"/>
  <c r="AG176" i="20"/>
  <c r="AG205" i="20"/>
  <c r="AG198" i="20"/>
  <c r="AP28" i="20"/>
  <c r="AL117" i="20"/>
  <c r="W147" i="20"/>
  <c r="AG191" i="20"/>
  <c r="AU190" i="20"/>
  <c r="P51" i="20"/>
  <c r="Q51" i="20" s="1"/>
  <c r="R51" i="20" s="1"/>
  <c r="AU139" i="20"/>
  <c r="AU165" i="20"/>
  <c r="AL125" i="20"/>
  <c r="AL162" i="20"/>
  <c r="W27" i="20"/>
  <c r="AG27" i="20" s="1"/>
  <c r="AG160" i="20"/>
  <c r="AL151" i="20"/>
  <c r="AG106" i="20"/>
  <c r="P55" i="20"/>
  <c r="Q55" i="20" s="1"/>
  <c r="R55" i="20" s="1"/>
  <c r="AU153" i="20"/>
  <c r="P47" i="20"/>
  <c r="Q47" i="20" s="1"/>
  <c r="R47" i="20" s="1"/>
  <c r="AP26" i="20"/>
  <c r="AL178" i="20"/>
  <c r="W128" i="20"/>
  <c r="AG114" i="20"/>
  <c r="AP25" i="20"/>
  <c r="AP22" i="20"/>
  <c r="P66" i="20"/>
  <c r="Q66" i="20" s="1"/>
  <c r="R66" i="20" s="1"/>
  <c r="W152" i="20"/>
  <c r="AU179" i="20"/>
  <c r="AG136" i="20"/>
  <c r="O125" i="20"/>
  <c r="O102" i="20"/>
  <c r="U102" i="20" s="1"/>
  <c r="O134" i="20"/>
  <c r="O75" i="20"/>
  <c r="U75" i="20" s="1"/>
  <c r="AL145" i="20"/>
  <c r="AL120" i="20"/>
  <c r="P74" i="20"/>
  <c r="Q74" i="20" s="1"/>
  <c r="R74" i="20" s="1"/>
  <c r="AL189" i="20"/>
  <c r="P58" i="20"/>
  <c r="Q58" i="20" s="1"/>
  <c r="R58" i="20" s="1"/>
  <c r="AU147" i="20"/>
  <c r="P71" i="20"/>
  <c r="Q71" i="20" s="1"/>
  <c r="R71" i="20" s="1"/>
  <c r="W190" i="20"/>
  <c r="P85" i="20"/>
  <c r="Q85" i="20" s="1"/>
  <c r="R85" i="20" s="1"/>
  <c r="AU125" i="20"/>
  <c r="W163" i="20"/>
  <c r="P72" i="20"/>
  <c r="Q72" i="20" s="1"/>
  <c r="R72" i="20" s="1"/>
  <c r="P62" i="20"/>
  <c r="Q62" i="20" s="1"/>
  <c r="R62" i="20" s="1"/>
  <c r="W17" i="20"/>
  <c r="AG17" i="20" s="1"/>
  <c r="P54" i="20"/>
  <c r="Q54" i="20" s="1"/>
  <c r="R54" i="20" s="1"/>
  <c r="W153" i="20"/>
  <c r="W186" i="20"/>
  <c r="AU128" i="20"/>
  <c r="W204" i="20"/>
  <c r="AU182" i="20"/>
  <c r="W31" i="20"/>
  <c r="AG31" i="20" s="1"/>
  <c r="AL168" i="20"/>
  <c r="AU152" i="20"/>
  <c r="AG121" i="20"/>
  <c r="AG206" i="20"/>
  <c r="O128" i="20"/>
  <c r="O59" i="20"/>
  <c r="U59" i="20" s="1"/>
  <c r="O9" i="20"/>
  <c r="W185" i="20"/>
  <c r="P59" i="20"/>
  <c r="Q59" i="20" s="1"/>
  <c r="R59" i="20" s="1"/>
  <c r="AU176" i="20"/>
  <c r="W16" i="20"/>
  <c r="AG16" i="20" s="1"/>
  <c r="W184" i="20"/>
  <c r="W201" i="20"/>
  <c r="X201" i="20" s="1"/>
  <c r="W154" i="20"/>
  <c r="P60" i="20"/>
  <c r="Q60" i="20" s="1"/>
  <c r="R60" i="20" s="1"/>
  <c r="W167" i="20"/>
  <c r="AU163" i="20"/>
  <c r="AU160" i="20"/>
  <c r="AL106" i="20"/>
  <c r="AU129" i="20"/>
  <c r="W23" i="20"/>
  <c r="AG23" i="20" s="1"/>
  <c r="AU186" i="20"/>
  <c r="AU133" i="20"/>
  <c r="AG108" i="20"/>
  <c r="W26" i="20"/>
  <c r="AG26" i="20" s="1"/>
  <c r="W127" i="20"/>
  <c r="AU204" i="20"/>
  <c r="W182" i="20"/>
  <c r="AG168" i="20"/>
  <c r="P88" i="20"/>
  <c r="Q88" i="20" s="1"/>
  <c r="R88" i="20" s="1"/>
  <c r="AU116" i="20"/>
  <c r="O171" i="20"/>
  <c r="O206" i="20"/>
  <c r="AL206" i="20"/>
  <c r="AU137" i="20"/>
  <c r="P79" i="20"/>
  <c r="Q79" i="20" s="1"/>
  <c r="R79" i="20" s="1"/>
  <c r="AG189" i="20"/>
  <c r="P69" i="20"/>
  <c r="Q69" i="20" s="1"/>
  <c r="R69" i="20" s="1"/>
  <c r="AU16" i="20"/>
  <c r="AU183" i="20"/>
  <c r="AU184" i="20"/>
  <c r="AG201" i="20"/>
  <c r="AU118" i="20"/>
  <c r="AU145" i="20"/>
  <c r="AL181" i="20"/>
  <c r="AG154" i="20"/>
  <c r="AG190" i="20"/>
  <c r="AP32" i="20"/>
  <c r="AG120" i="20"/>
  <c r="W144" i="20"/>
  <c r="AL165" i="20"/>
  <c r="AG125" i="20"/>
  <c r="AG167" i="20"/>
  <c r="AP19" i="20"/>
  <c r="W203" i="20"/>
  <c r="W148" i="20"/>
  <c r="P65" i="20"/>
  <c r="Q65" i="20" s="1"/>
  <c r="R65" i="20" s="1"/>
  <c r="AU199" i="20"/>
  <c r="P82" i="20"/>
  <c r="Q82" i="20" s="1"/>
  <c r="R82" i="20" s="1"/>
  <c r="P46" i="20"/>
  <c r="Q46" i="20" s="1"/>
  <c r="R46" i="20" s="1"/>
  <c r="W169" i="20"/>
  <c r="W14" i="20"/>
  <c r="AG14" i="20" s="1"/>
  <c r="W129" i="20"/>
  <c r="AG186" i="20"/>
  <c r="P80" i="20"/>
  <c r="Q80" i="20" s="1"/>
  <c r="R80" i="20" s="1"/>
  <c r="AU26" i="20"/>
  <c r="AG127" i="20"/>
  <c r="W180" i="20"/>
  <c r="AG204" i="20"/>
  <c r="AP31" i="20"/>
  <c r="AG152" i="20"/>
  <c r="P81" i="20"/>
  <c r="Q81" i="20" s="1"/>
  <c r="R81" i="20" s="1"/>
  <c r="AL116" i="20"/>
  <c r="AP36" i="20"/>
  <c r="AL144" i="20"/>
  <c r="V141" i="20"/>
  <c r="V155" i="20"/>
  <c r="V125" i="20"/>
  <c r="AD125" i="20" s="1"/>
  <c r="AE125" i="20" s="1"/>
  <c r="AF125" i="20" s="1"/>
  <c r="V190" i="20"/>
  <c r="V193" i="20"/>
  <c r="AD193" i="20" s="1"/>
  <c r="AE193" i="20" s="1"/>
  <c r="AF193" i="20" s="1"/>
  <c r="O167" i="20"/>
  <c r="O198" i="20"/>
  <c r="O139" i="20"/>
  <c r="O163" i="20"/>
  <c r="O169" i="20"/>
  <c r="O16" i="20"/>
  <c r="V21" i="20"/>
  <c r="O118" i="20"/>
  <c r="O51" i="20"/>
  <c r="U51" i="20" s="1"/>
  <c r="O127" i="20"/>
  <c r="O105" i="20"/>
  <c r="W105" i="20" s="1"/>
  <c r="O131" i="20"/>
  <c r="S131" i="20" s="1"/>
  <c r="O142" i="20"/>
  <c r="O192" i="20"/>
  <c r="V197" i="20"/>
  <c r="AN197" i="20" s="1"/>
  <c r="O17" i="20"/>
  <c r="O196" i="20"/>
  <c r="O189" i="20"/>
  <c r="O181" i="20"/>
  <c r="O93" i="20"/>
  <c r="U93" i="20" s="1"/>
  <c r="O151" i="20"/>
  <c r="O199" i="20"/>
  <c r="O90" i="20"/>
  <c r="U90" i="20" s="1"/>
  <c r="O162" i="20"/>
  <c r="AQ162" i="20" s="1"/>
  <c r="AT162" i="20" s="1"/>
  <c r="BT162" i="20" s="1"/>
  <c r="O24" i="20"/>
  <c r="V196" i="20"/>
  <c r="O130" i="20"/>
  <c r="O160" i="20"/>
  <c r="O117" i="20"/>
  <c r="O164" i="20"/>
  <c r="O149" i="20"/>
  <c r="O14" i="20"/>
  <c r="O138" i="20"/>
  <c r="O204" i="20"/>
  <c r="O137" i="20"/>
  <c r="V10" i="20"/>
  <c r="O182" i="20"/>
  <c r="O91" i="20"/>
  <c r="U91" i="20" s="1"/>
  <c r="O12" i="20"/>
  <c r="O29" i="20"/>
  <c r="O39" i="20"/>
  <c r="O187" i="20"/>
  <c r="O26" i="20"/>
  <c r="V151" i="20"/>
  <c r="AN151" i="20" s="1"/>
  <c r="O154" i="20"/>
  <c r="V31" i="20"/>
  <c r="O144" i="20"/>
  <c r="O112" i="20"/>
  <c r="U112" i="20" s="1"/>
  <c r="O158" i="20"/>
  <c r="O30" i="20"/>
  <c r="O20" i="20"/>
  <c r="O209" i="20"/>
  <c r="O21" i="20"/>
  <c r="O121" i="20"/>
  <c r="O43" i="20"/>
  <c r="O179" i="20"/>
  <c r="O42" i="20"/>
  <c r="W42" i="20" s="1"/>
  <c r="AG42" i="20" s="1"/>
  <c r="V162" i="20"/>
  <c r="O96" i="20"/>
  <c r="U96" i="20" s="1"/>
  <c r="O15" i="20"/>
  <c r="O175" i="20"/>
  <c r="O173" i="20"/>
  <c r="O180" i="20"/>
  <c r="O156" i="20"/>
  <c r="O94" i="20"/>
  <c r="U94" i="20" s="1"/>
  <c r="O92" i="20"/>
  <c r="U92" i="20" s="1"/>
  <c r="O19" i="20"/>
  <c r="O203" i="20"/>
  <c r="O153" i="20"/>
  <c r="O108" i="20"/>
  <c r="U108" i="20" s="1"/>
  <c r="O115" i="20"/>
  <c r="O32" i="20"/>
  <c r="O120" i="20"/>
  <c r="O18" i="20"/>
  <c r="O11" i="20"/>
  <c r="O123" i="20"/>
  <c r="O186" i="20"/>
  <c r="V205" i="20"/>
  <c r="AD205" i="20" s="1"/>
  <c r="AE205" i="20" s="1"/>
  <c r="AF205" i="20" s="1"/>
  <c r="S184" i="20"/>
  <c r="O104" i="20"/>
  <c r="V16" i="20"/>
  <c r="O107" i="20"/>
  <c r="U107" i="20" s="1"/>
  <c r="O116" i="20"/>
  <c r="O36" i="20"/>
  <c r="O202" i="20"/>
  <c r="O195" i="20"/>
  <c r="AQ183" i="20"/>
  <c r="AT183" i="20" s="1"/>
  <c r="BT183" i="20" s="1"/>
  <c r="O185" i="20"/>
  <c r="O188" i="20"/>
  <c r="AQ146" i="20"/>
  <c r="AT146" i="20" s="1"/>
  <c r="BT146" i="20" s="1"/>
  <c r="S146" i="20"/>
  <c r="O170" i="20"/>
  <c r="O35" i="20"/>
  <c r="AU35" i="20" s="1"/>
  <c r="O143" i="20"/>
  <c r="O126" i="20"/>
  <c r="O110" i="20"/>
  <c r="U110" i="20" s="1"/>
  <c r="O136" i="20"/>
  <c r="O37" i="20"/>
  <c r="AU37" i="20" s="1"/>
  <c r="O41" i="20"/>
  <c r="W41" i="20" s="1"/>
  <c r="AG41" i="20" s="1"/>
  <c r="O114" i="20"/>
  <c r="O97" i="20"/>
  <c r="U97" i="20" s="1"/>
  <c r="O100" i="20"/>
  <c r="U100" i="20" s="1"/>
  <c r="O129" i="20"/>
  <c r="O147" i="20"/>
  <c r="W17" i="30"/>
  <c r="Y8" i="30" s="1"/>
  <c r="Y6" i="30"/>
  <c r="AA11" i="30" s="1"/>
  <c r="AS96" i="20"/>
  <c r="AS88" i="20"/>
  <c r="AS103" i="20"/>
  <c r="AW136" i="20"/>
  <c r="AS138" i="20"/>
  <c r="AW160" i="20"/>
  <c r="AS86" i="20"/>
  <c r="AS82" i="20"/>
  <c r="AS76" i="20"/>
  <c r="AS175" i="20"/>
  <c r="AS85" i="20"/>
  <c r="Y3" i="30"/>
  <c r="W134" i="20" l="1"/>
  <c r="O176" i="20"/>
  <c r="S176" i="20" s="1"/>
  <c r="AL129" i="20"/>
  <c r="AG129" i="20"/>
  <c r="AL147" i="20"/>
  <c r="AL104" i="20"/>
  <c r="W188" i="20"/>
  <c r="AL138" i="20"/>
  <c r="AU158" i="20"/>
  <c r="W138" i="20"/>
  <c r="AG99" i="20"/>
  <c r="AL195" i="20"/>
  <c r="AL191" i="20"/>
  <c r="W194" i="20"/>
  <c r="AL192" i="20"/>
  <c r="AU43" i="20"/>
  <c r="W195" i="20"/>
  <c r="W119" i="20"/>
  <c r="AU119" i="20"/>
  <c r="AU135" i="20"/>
  <c r="AU202" i="20"/>
  <c r="AL119" i="20"/>
  <c r="AU168" i="20"/>
  <c r="AU191" i="20"/>
  <c r="AL184" i="20"/>
  <c r="O27" i="20"/>
  <c r="O177" i="20"/>
  <c r="S177" i="20" s="1"/>
  <c r="AG135" i="20"/>
  <c r="AG163" i="20"/>
  <c r="AH163" i="20" s="1"/>
  <c r="W158" i="20"/>
  <c r="W177" i="20"/>
  <c r="AL135" i="20"/>
  <c r="AG104" i="20"/>
  <c r="AU28" i="20"/>
  <c r="AU177" i="20"/>
  <c r="V99" i="20"/>
  <c r="AU33" i="20"/>
  <c r="AV33" i="20" s="1"/>
  <c r="W130" i="20"/>
  <c r="W189" i="20"/>
  <c r="W178" i="20"/>
  <c r="O178" i="20"/>
  <c r="W135" i="20"/>
  <c r="AL130" i="20"/>
  <c r="AU27" i="20"/>
  <c r="AL32" i="20"/>
  <c r="AL39" i="20"/>
  <c r="V200" i="20"/>
  <c r="AD200" i="20" s="1"/>
  <c r="AE200" i="20" s="1"/>
  <c r="AF200" i="20" s="1"/>
  <c r="AL172" i="20"/>
  <c r="AU200" i="20"/>
  <c r="AL36" i="20"/>
  <c r="AU185" i="20"/>
  <c r="AG200" i="20"/>
  <c r="AH200" i="20" s="1"/>
  <c r="W173" i="20"/>
  <c r="AU173" i="20"/>
  <c r="AU172" i="20"/>
  <c r="W172" i="20"/>
  <c r="AG172" i="20"/>
  <c r="W11" i="20"/>
  <c r="AG11" i="20" s="1"/>
  <c r="W200" i="20"/>
  <c r="O155" i="20"/>
  <c r="S155" i="20" s="1"/>
  <c r="W146" i="20"/>
  <c r="X146" i="20" s="1"/>
  <c r="AU11" i="20"/>
  <c r="AG207" i="20"/>
  <c r="AL202" i="20"/>
  <c r="AL171" i="20"/>
  <c r="W10" i="20"/>
  <c r="AG10" i="20" s="1"/>
  <c r="O10" i="20"/>
  <c r="S10" i="20" s="1"/>
  <c r="AL133" i="20"/>
  <c r="AL150" i="20"/>
  <c r="AG171" i="20"/>
  <c r="AG192" i="20"/>
  <c r="AL207" i="20"/>
  <c r="V113" i="20"/>
  <c r="O133" i="20"/>
  <c r="S161" i="20"/>
  <c r="AU192" i="20"/>
  <c r="AV192" i="20" s="1"/>
  <c r="AX192" i="20" s="1"/>
  <c r="BU192" i="20" s="1"/>
  <c r="AU10" i="20"/>
  <c r="AV10" i="20" s="1"/>
  <c r="V161" i="20"/>
  <c r="AN161" i="20" s="1"/>
  <c r="AL114" i="20"/>
  <c r="AU193" i="20"/>
  <c r="W161" i="20"/>
  <c r="W202" i="20"/>
  <c r="AU164" i="20"/>
  <c r="AG113" i="20"/>
  <c r="W171" i="20"/>
  <c r="X171" i="20" s="1"/>
  <c r="W125" i="20"/>
  <c r="X125" i="20" s="1"/>
  <c r="W164" i="20"/>
  <c r="AU150" i="20"/>
  <c r="AU143" i="20"/>
  <c r="AG161" i="20"/>
  <c r="W192" i="20"/>
  <c r="W137" i="20"/>
  <c r="AG143" i="20"/>
  <c r="W28" i="20"/>
  <c r="AG28" i="20" s="1"/>
  <c r="AH28" i="20" s="1"/>
  <c r="AL137" i="20"/>
  <c r="AU207" i="20"/>
  <c r="AU114" i="20"/>
  <c r="W13" i="20"/>
  <c r="AG13" i="20" s="1"/>
  <c r="W150" i="20"/>
  <c r="O13" i="20"/>
  <c r="S13" i="20" s="1"/>
  <c r="AU171" i="20"/>
  <c r="AV171" i="20" s="1"/>
  <c r="AX171" i="20" s="1"/>
  <c r="BU171" i="20" s="1"/>
  <c r="S150" i="20"/>
  <c r="V150" i="20"/>
  <c r="AN150" i="20" s="1"/>
  <c r="W207" i="20"/>
  <c r="AG97" i="20"/>
  <c r="AG202" i="20"/>
  <c r="AU13" i="20"/>
  <c r="AV13" i="20" s="1"/>
  <c r="AG150" i="20"/>
  <c r="W33" i="20"/>
  <c r="AG33" i="20" s="1"/>
  <c r="AG132" i="20"/>
  <c r="AH132" i="20" s="1"/>
  <c r="S34" i="20"/>
  <c r="AI34" i="20" s="1"/>
  <c r="AG146" i="20"/>
  <c r="AL208" i="20"/>
  <c r="AU162" i="20"/>
  <c r="AL146" i="20"/>
  <c r="AM146" i="20" s="1"/>
  <c r="AU132" i="20"/>
  <c r="W187" i="20"/>
  <c r="AG112" i="20"/>
  <c r="AU161" i="20"/>
  <c r="AG107" i="20"/>
  <c r="AG142" i="20"/>
  <c r="AG208" i="20"/>
  <c r="AL187" i="20"/>
  <c r="AL121" i="20"/>
  <c r="W208" i="20"/>
  <c r="AY208" i="20" s="1"/>
  <c r="W121" i="20"/>
  <c r="AU208" i="20"/>
  <c r="AU34" i="20"/>
  <c r="W156" i="20"/>
  <c r="AU156" i="20"/>
  <c r="W34" i="20"/>
  <c r="AG34" i="20" s="1"/>
  <c r="W132" i="20"/>
  <c r="AL132" i="20"/>
  <c r="AU187" i="20"/>
  <c r="AU121" i="20"/>
  <c r="AG137" i="20"/>
  <c r="AU146" i="20"/>
  <c r="AL142" i="20"/>
  <c r="AL163" i="20"/>
  <c r="AL190" i="20"/>
  <c r="AU14" i="20"/>
  <c r="AG188" i="20"/>
  <c r="AL9" i="20"/>
  <c r="AL23" i="20"/>
  <c r="AA16" i="20"/>
  <c r="AB16" i="20" s="1"/>
  <c r="AC16" i="20" s="1"/>
  <c r="AJ16" i="20"/>
  <c r="AN16" i="20"/>
  <c r="AS31" i="20"/>
  <c r="AJ31" i="20"/>
  <c r="AN31" i="20"/>
  <c r="AL29" i="20"/>
  <c r="AL20" i="20"/>
  <c r="AL22" i="20"/>
  <c r="AL12" i="20"/>
  <c r="AL28" i="20"/>
  <c r="AL26" i="20"/>
  <c r="AD10" i="20"/>
  <c r="AE10" i="20" s="1"/>
  <c r="AF10" i="20" s="1"/>
  <c r="AJ10" i="20"/>
  <c r="AN10" i="20"/>
  <c r="AL33" i="20"/>
  <c r="AL16" i="20"/>
  <c r="AJ21" i="20"/>
  <c r="AN21" i="20"/>
  <c r="O25" i="20"/>
  <c r="AL25" i="20"/>
  <c r="AL18" i="20"/>
  <c r="W37" i="20"/>
  <c r="AG37" i="20" s="1"/>
  <c r="AL161" i="20"/>
  <c r="AL34" i="20"/>
  <c r="AU41" i="20"/>
  <c r="AL43" i="20"/>
  <c r="U43" i="20"/>
  <c r="W36" i="20"/>
  <c r="AG36" i="20" s="1"/>
  <c r="U36" i="20"/>
  <c r="W43" i="20"/>
  <c r="AG43" i="20" s="1"/>
  <c r="AU42" i="20"/>
  <c r="U39" i="20"/>
  <c r="S38" i="20"/>
  <c r="AI38" i="20" s="1"/>
  <c r="U38" i="20"/>
  <c r="AL38" i="20"/>
  <c r="BC38" i="20" s="1"/>
  <c r="BV38" i="20" s="1"/>
  <c r="AU22" i="20"/>
  <c r="AV22" i="20" s="1"/>
  <c r="R40" i="20"/>
  <c r="W40" i="20" s="1"/>
  <c r="AG40" i="20" s="1"/>
  <c r="U41" i="20"/>
  <c r="AL41" i="20"/>
  <c r="AL35" i="20"/>
  <c r="U35" i="20"/>
  <c r="W35" i="20"/>
  <c r="AG35" i="20" s="1"/>
  <c r="AU36" i="20"/>
  <c r="O44" i="20"/>
  <c r="U44" i="20" s="1"/>
  <c r="T44" i="20"/>
  <c r="U37" i="20"/>
  <c r="AL37" i="20"/>
  <c r="AL42" i="20"/>
  <c r="U42" i="20"/>
  <c r="P44" i="20"/>
  <c r="Q44" i="20" s="1"/>
  <c r="R44" i="20" s="1"/>
  <c r="AP104" i="20"/>
  <c r="U105" i="20"/>
  <c r="AU105" i="20"/>
  <c r="W108" i="20"/>
  <c r="AG115" i="20"/>
  <c r="AL183" i="20"/>
  <c r="W113" i="20"/>
  <c r="AL136" i="20"/>
  <c r="U104" i="20"/>
  <c r="U109" i="20"/>
  <c r="AL113" i="20"/>
  <c r="AP113" i="20"/>
  <c r="T113" i="20"/>
  <c r="AU29" i="20"/>
  <c r="AU104" i="20"/>
  <c r="W124" i="20"/>
  <c r="X124" i="20" s="1"/>
  <c r="AU112" i="20"/>
  <c r="AU25" i="20"/>
  <c r="W106" i="20"/>
  <c r="X106" i="20" s="1"/>
  <c r="AL105" i="20"/>
  <c r="AP18" i="20"/>
  <c r="AG92" i="20"/>
  <c r="W18" i="20"/>
  <c r="AG18" i="20" s="1"/>
  <c r="AL115" i="20"/>
  <c r="AP23" i="20"/>
  <c r="AU23" i="20"/>
  <c r="AV23" i="20" s="1"/>
  <c r="AU124" i="20"/>
  <c r="AV124" i="20" s="1"/>
  <c r="AX124" i="20" s="1"/>
  <c r="BU124" i="20" s="1"/>
  <c r="AU188" i="20"/>
  <c r="AU113" i="20"/>
  <c r="AU107" i="20"/>
  <c r="AL156" i="20"/>
  <c r="AL124" i="20"/>
  <c r="BC124" i="20" s="1"/>
  <c r="BV124" i="20" s="1"/>
  <c r="AG183" i="20"/>
  <c r="AH183" i="20" s="1"/>
  <c r="AG187" i="20"/>
  <c r="AL107" i="20"/>
  <c r="AW113" i="20"/>
  <c r="AL112" i="20"/>
  <c r="W104" i="20"/>
  <c r="W115" i="20"/>
  <c r="AU142" i="20"/>
  <c r="AG96" i="20"/>
  <c r="AU40" i="20"/>
  <c r="AG124" i="20"/>
  <c r="AP98" i="20"/>
  <c r="T109" i="20"/>
  <c r="W183" i="20"/>
  <c r="X183" i="20" s="1"/>
  <c r="W112" i="20"/>
  <c r="V34" i="20"/>
  <c r="AJ34" i="20" s="1"/>
  <c r="AG156" i="20"/>
  <c r="W29" i="20"/>
  <c r="AG29" i="20" s="1"/>
  <c r="W107" i="20"/>
  <c r="AU108" i="20"/>
  <c r="AG90" i="20"/>
  <c r="W136" i="20"/>
  <c r="AU115" i="20"/>
  <c r="AL188" i="20"/>
  <c r="W142" i="20"/>
  <c r="AU136" i="20"/>
  <c r="AL108" i="20"/>
  <c r="P109" i="20"/>
  <c r="AP106" i="20"/>
  <c r="R110" i="20"/>
  <c r="AP107" i="20"/>
  <c r="AG170" i="20"/>
  <c r="W20" i="20"/>
  <c r="AG20" i="20" s="1"/>
  <c r="AG111" i="20"/>
  <c r="AY38" i="20"/>
  <c r="AU111" i="20"/>
  <c r="AV111" i="20" s="1"/>
  <c r="AL111" i="20"/>
  <c r="AU134" i="20"/>
  <c r="AL134" i="20"/>
  <c r="AP39" i="20"/>
  <c r="AU170" i="20"/>
  <c r="O193" i="20"/>
  <c r="S193" i="20" s="1"/>
  <c r="AG134" i="20"/>
  <c r="AL170" i="20"/>
  <c r="W39" i="20"/>
  <c r="AG39" i="20" s="1"/>
  <c r="W193" i="20"/>
  <c r="AU39" i="20"/>
  <c r="AP20" i="20"/>
  <c r="W170" i="20"/>
  <c r="W111" i="20"/>
  <c r="AU20" i="20"/>
  <c r="AP90" i="20"/>
  <c r="AP99" i="20"/>
  <c r="AP97" i="20"/>
  <c r="O68" i="20"/>
  <c r="U68" i="20" s="1"/>
  <c r="T68" i="20"/>
  <c r="AP96" i="20"/>
  <c r="AD99" i="20"/>
  <c r="AE99" i="20" s="1"/>
  <c r="AF99" i="20" s="1"/>
  <c r="AG100" i="20"/>
  <c r="AG101" i="20"/>
  <c r="AH101" i="20" s="1"/>
  <c r="AP100" i="20"/>
  <c r="AL99" i="20"/>
  <c r="W98" i="20"/>
  <c r="AL98" i="20"/>
  <c r="AU98" i="20"/>
  <c r="AP95" i="20"/>
  <c r="AG95" i="20"/>
  <c r="AG102" i="20"/>
  <c r="AP102" i="20"/>
  <c r="AU101" i="20"/>
  <c r="AV101" i="20" s="1"/>
  <c r="AL101" i="20"/>
  <c r="AM101" i="20" s="1"/>
  <c r="AP101" i="20"/>
  <c r="AQ101" i="20" s="1"/>
  <c r="AT101" i="20" s="1"/>
  <c r="BT101" i="20" s="1"/>
  <c r="W89" i="20"/>
  <c r="AG94" i="20"/>
  <c r="AL89" i="20"/>
  <c r="S89" i="20"/>
  <c r="AI89" i="20" s="1"/>
  <c r="AG93" i="20"/>
  <c r="AG89" i="20"/>
  <c r="AU89" i="20"/>
  <c r="Y1" i="30"/>
  <c r="Y5" i="30" s="1"/>
  <c r="W95" i="20"/>
  <c r="AP91" i="20"/>
  <c r="AL95" i="20"/>
  <c r="AU95" i="20"/>
  <c r="W99" i="20"/>
  <c r="AU92" i="20"/>
  <c r="AU99" i="20"/>
  <c r="AU97" i="20"/>
  <c r="AL102" i="20"/>
  <c r="AG91" i="20"/>
  <c r="AL96" i="20"/>
  <c r="AL100" i="20"/>
  <c r="AU102" i="20"/>
  <c r="W102" i="20"/>
  <c r="W96" i="20"/>
  <c r="AW99" i="20"/>
  <c r="AU96" i="20"/>
  <c r="AU100" i="20"/>
  <c r="AU90" i="20"/>
  <c r="W101" i="20"/>
  <c r="X101" i="20" s="1"/>
  <c r="AP94" i="20"/>
  <c r="W92" i="20"/>
  <c r="W100" i="20"/>
  <c r="W90" i="20"/>
  <c r="AU91" i="20"/>
  <c r="W91" i="20"/>
  <c r="AL94" i="20"/>
  <c r="AL91" i="20"/>
  <c r="AP93" i="20"/>
  <c r="AU94" i="20"/>
  <c r="W93" i="20"/>
  <c r="AU93" i="20"/>
  <c r="W97" i="20"/>
  <c r="AL97" i="20"/>
  <c r="AP89" i="20"/>
  <c r="AQ89" i="20" s="1"/>
  <c r="AT89" i="20" s="1"/>
  <c r="BT89" i="20" s="1"/>
  <c r="AL90" i="20"/>
  <c r="AL93" i="20"/>
  <c r="W94" i="20"/>
  <c r="AL92" i="20"/>
  <c r="P76" i="20"/>
  <c r="Q76" i="20" s="1"/>
  <c r="R76" i="20" s="1"/>
  <c r="W30" i="21"/>
  <c r="AU79" i="20"/>
  <c r="AU88" i="20"/>
  <c r="AV88" i="20" s="1"/>
  <c r="S30" i="21"/>
  <c r="AI30" i="21" s="1"/>
  <c r="AG66" i="20"/>
  <c r="AG88" i="20"/>
  <c r="Q94" i="21"/>
  <c r="R94" i="21" s="1"/>
  <c r="V94" i="21" s="1"/>
  <c r="AJ94" i="21" s="1"/>
  <c r="Q79" i="21"/>
  <c r="R79" i="21" s="1"/>
  <c r="Q49" i="21"/>
  <c r="R49" i="21" s="1"/>
  <c r="V49" i="21" s="1"/>
  <c r="AJ49" i="21" s="1"/>
  <c r="Q78" i="21"/>
  <c r="R78" i="21" s="1"/>
  <c r="Q55" i="21"/>
  <c r="R55" i="21" s="1"/>
  <c r="Q90" i="21"/>
  <c r="Q100" i="21"/>
  <c r="Q72" i="21"/>
  <c r="R72" i="21" s="1"/>
  <c r="V72" i="21" s="1"/>
  <c r="AJ72" i="21" s="1"/>
  <c r="Q40" i="21"/>
  <c r="R40" i="21" s="1"/>
  <c r="Q25" i="21"/>
  <c r="R25" i="21" s="1"/>
  <c r="Q38" i="21"/>
  <c r="R38" i="21" s="1"/>
  <c r="Q32" i="21"/>
  <c r="R32" i="21" s="1"/>
  <c r="Q69" i="21"/>
  <c r="R69" i="21" s="1"/>
  <c r="Q97" i="21"/>
  <c r="R97" i="21" s="1"/>
  <c r="Q19" i="21"/>
  <c r="Q50" i="21"/>
  <c r="Q36" i="21"/>
  <c r="R36" i="21" s="1"/>
  <c r="V36" i="21" s="1"/>
  <c r="AJ36" i="21" s="1"/>
  <c r="Q13" i="21"/>
  <c r="Q46" i="21"/>
  <c r="R46" i="21" s="1"/>
  <c r="Q88" i="21"/>
  <c r="Q101" i="21"/>
  <c r="R101" i="21" s="1"/>
  <c r="Q31" i="21"/>
  <c r="Q47" i="21"/>
  <c r="R47" i="21" s="1"/>
  <c r="Q87" i="21"/>
  <c r="R87" i="21" s="1"/>
  <c r="Q43" i="21"/>
  <c r="R43" i="21" s="1"/>
  <c r="Q82" i="21"/>
  <c r="R82" i="21" s="1"/>
  <c r="Q76" i="21"/>
  <c r="R76" i="21" s="1"/>
  <c r="V76" i="21" s="1"/>
  <c r="AJ76" i="21" s="1"/>
  <c r="Q109" i="21"/>
  <c r="Q37" i="21"/>
  <c r="R37" i="21" s="1"/>
  <c r="W37" i="21" s="1"/>
  <c r="Q65" i="21"/>
  <c r="Q56" i="21"/>
  <c r="Q45" i="21"/>
  <c r="R45" i="21" s="1"/>
  <c r="S45" i="21" s="1"/>
  <c r="AI45" i="21" s="1"/>
  <c r="P68" i="20"/>
  <c r="Q68" i="20" s="1"/>
  <c r="R68" i="20" s="1"/>
  <c r="Q24" i="21"/>
  <c r="R24" i="21" s="1"/>
  <c r="S24" i="21" s="1"/>
  <c r="AI24" i="21" s="1"/>
  <c r="Q108" i="21"/>
  <c r="Q21" i="21"/>
  <c r="R21" i="21" s="1"/>
  <c r="Q96" i="21"/>
  <c r="Q16" i="21"/>
  <c r="Q9" i="21"/>
  <c r="Q33" i="21"/>
  <c r="Q106" i="21"/>
  <c r="Q26" i="21"/>
  <c r="R26" i="21" s="1"/>
  <c r="Q74" i="21"/>
  <c r="R74" i="21" s="1"/>
  <c r="Q63" i="21"/>
  <c r="Q22" i="21"/>
  <c r="R22" i="21" s="1"/>
  <c r="V22" i="21" s="1"/>
  <c r="AJ22" i="21" s="1"/>
  <c r="Q105" i="21"/>
  <c r="R105" i="21" s="1"/>
  <c r="Q85" i="21"/>
  <c r="R85" i="21" s="1"/>
  <c r="AU65" i="20"/>
  <c r="AV65" i="20" s="1"/>
  <c r="O76" i="20"/>
  <c r="U76" i="20" s="1"/>
  <c r="Q39" i="21"/>
  <c r="Q14" i="21"/>
  <c r="Q61" i="21"/>
  <c r="Q17" i="21"/>
  <c r="Q10" i="21"/>
  <c r="R10" i="21" s="1"/>
  <c r="Q29" i="21"/>
  <c r="R29" i="21" s="1"/>
  <c r="S29" i="21" s="1"/>
  <c r="AI29" i="21" s="1"/>
  <c r="Q62" i="21"/>
  <c r="Q93" i="21"/>
  <c r="Q95" i="21"/>
  <c r="R95" i="21" s="1"/>
  <c r="Q44" i="21"/>
  <c r="Q11" i="21"/>
  <c r="Q66" i="21"/>
  <c r="R66" i="21" s="1"/>
  <c r="V66" i="21" s="1"/>
  <c r="AJ66" i="21" s="1"/>
  <c r="Q86" i="21"/>
  <c r="R86" i="21" s="1"/>
  <c r="AG65" i="20"/>
  <c r="Q28" i="21"/>
  <c r="R28" i="21" s="1"/>
  <c r="V28" i="21" s="1"/>
  <c r="AJ28" i="21" s="1"/>
  <c r="Q23" i="21"/>
  <c r="R23" i="21" s="1"/>
  <c r="S23" i="21" s="1"/>
  <c r="AI23" i="21" s="1"/>
  <c r="Q59" i="21"/>
  <c r="R59" i="21" s="1"/>
  <c r="Q77" i="21"/>
  <c r="R77" i="21" s="1"/>
  <c r="Q67" i="21"/>
  <c r="R67" i="21" s="1"/>
  <c r="S67" i="21" s="1"/>
  <c r="AI67" i="21" s="1"/>
  <c r="Q99" i="21"/>
  <c r="R99" i="21" s="1"/>
  <c r="Q80" i="21"/>
  <c r="R80" i="21" s="1"/>
  <c r="V80" i="21" s="1"/>
  <c r="AJ80" i="21" s="1"/>
  <c r="Q84" i="21"/>
  <c r="R84" i="21" s="1"/>
  <c r="Q92" i="21"/>
  <c r="R92" i="21" s="1"/>
  <c r="V92" i="21" s="1"/>
  <c r="AJ92" i="21" s="1"/>
  <c r="Q51" i="21"/>
  <c r="R51" i="21" s="1"/>
  <c r="Q12" i="21"/>
  <c r="R12" i="21" s="1"/>
  <c r="Q91" i="21"/>
  <c r="R91" i="21" s="1"/>
  <c r="Q83" i="21"/>
  <c r="R83" i="21" s="1"/>
  <c r="Q102" i="21"/>
  <c r="R102" i="21" s="1"/>
  <c r="W102" i="21" s="1"/>
  <c r="Q73" i="21"/>
  <c r="R73" i="21" s="1"/>
  <c r="W73" i="21" s="1"/>
  <c r="Q27" i="21"/>
  <c r="R27" i="21" s="1"/>
  <c r="Q70" i="21"/>
  <c r="R70" i="21" s="1"/>
  <c r="Q48" i="21"/>
  <c r="R48" i="21" s="1"/>
  <c r="Q68" i="21"/>
  <c r="Q60" i="21"/>
  <c r="Q107" i="21"/>
  <c r="R107" i="21" s="1"/>
  <c r="Q42" i="21"/>
  <c r="Q52" i="21"/>
  <c r="Q15" i="21"/>
  <c r="Q54" i="21"/>
  <c r="R54" i="21" s="1"/>
  <c r="V54" i="21" s="1"/>
  <c r="AJ54" i="21" s="1"/>
  <c r="Q58" i="21"/>
  <c r="Q57" i="21"/>
  <c r="Q64" i="21"/>
  <c r="Q104" i="21"/>
  <c r="Q20" i="21"/>
  <c r="Q103" i="21"/>
  <c r="Q81" i="21"/>
  <c r="R81" i="21" s="1"/>
  <c r="V81" i="21" s="1"/>
  <c r="AJ81" i="21" s="1"/>
  <c r="AU70" i="20"/>
  <c r="Q89" i="21"/>
  <c r="Q75" i="21"/>
  <c r="Q98" i="21"/>
  <c r="Q35" i="21"/>
  <c r="R35" i="21" s="1"/>
  <c r="Q34" i="21"/>
  <c r="Q41" i="21"/>
  <c r="Q18" i="21"/>
  <c r="Q71" i="21"/>
  <c r="Q53" i="21"/>
  <c r="AU74" i="20"/>
  <c r="AV74" i="20" s="1"/>
  <c r="AU59" i="20"/>
  <c r="AU80" i="20"/>
  <c r="S9" i="20"/>
  <c r="AU48" i="20"/>
  <c r="AG67" i="20"/>
  <c r="AU73" i="20"/>
  <c r="AU72" i="20"/>
  <c r="AU46" i="20"/>
  <c r="AG79" i="20"/>
  <c r="AU85" i="20"/>
  <c r="AU86" i="20"/>
  <c r="AU63" i="20"/>
  <c r="AU56" i="20"/>
  <c r="AU84" i="20"/>
  <c r="AU49" i="20"/>
  <c r="AU45" i="20"/>
  <c r="V9" i="20"/>
  <c r="AU69" i="20"/>
  <c r="AG72" i="20"/>
  <c r="AG85" i="20"/>
  <c r="AH85" i="20" s="1"/>
  <c r="AU57" i="20"/>
  <c r="AG86" i="20"/>
  <c r="AU75" i="20"/>
  <c r="AV75" i="20" s="1"/>
  <c r="AU83" i="20"/>
  <c r="AG84" i="20"/>
  <c r="AU87" i="20"/>
  <c r="AU78" i="20"/>
  <c r="AU52" i="20"/>
  <c r="AG69" i="20"/>
  <c r="AU55" i="20"/>
  <c r="AG64" i="20"/>
  <c r="AG75" i="20"/>
  <c r="AG83" i="20"/>
  <c r="AG70" i="20"/>
  <c r="AU50" i="20"/>
  <c r="AV50" i="20" s="1"/>
  <c r="AG87" i="20"/>
  <c r="AH87" i="20" s="1"/>
  <c r="AG81" i="20"/>
  <c r="AU61" i="20"/>
  <c r="AU62" i="20"/>
  <c r="AU71" i="20"/>
  <c r="AV71" i="20" s="1"/>
  <c r="AU77" i="20"/>
  <c r="AU64" i="20"/>
  <c r="AU82" i="20"/>
  <c r="AU60" i="20"/>
  <c r="AU54" i="20"/>
  <c r="AU47" i="20"/>
  <c r="AU51" i="20"/>
  <c r="AG77" i="20"/>
  <c r="AU9" i="20"/>
  <c r="AV9" i="20" s="1"/>
  <c r="AU81" i="20"/>
  <c r="AG80" i="20"/>
  <c r="AG82" i="20"/>
  <c r="AG71" i="20"/>
  <c r="AU58" i="20"/>
  <c r="AG74" i="20"/>
  <c r="AH74" i="20" s="1"/>
  <c r="AU66" i="20"/>
  <c r="AU53" i="20"/>
  <c r="AU67" i="20"/>
  <c r="AG78" i="20"/>
  <c r="W9" i="20"/>
  <c r="AG9" i="20" s="1"/>
  <c r="AH9" i="20" s="1"/>
  <c r="AL79" i="20"/>
  <c r="W79" i="20"/>
  <c r="AY79" i="20" s="1"/>
  <c r="AP79" i="20"/>
  <c r="AQ79" i="20" s="1"/>
  <c r="AT79" i="20" s="1"/>
  <c r="BT79" i="20" s="1"/>
  <c r="W52" i="20"/>
  <c r="AG52" i="20" s="1"/>
  <c r="AH52" i="20" s="1"/>
  <c r="AP52" i="20"/>
  <c r="AL52" i="20"/>
  <c r="W85" i="20"/>
  <c r="AY85" i="20" s="1"/>
  <c r="AP85" i="20"/>
  <c r="AL85" i="20"/>
  <c r="AL47" i="20"/>
  <c r="W47" i="20"/>
  <c r="AG47" i="20" s="1"/>
  <c r="AP47" i="20"/>
  <c r="W83" i="20"/>
  <c r="AY83" i="20" s="1"/>
  <c r="AP83" i="20"/>
  <c r="AL83" i="20"/>
  <c r="AM83" i="20" s="1"/>
  <c r="AL70" i="20"/>
  <c r="W70" i="20"/>
  <c r="AY70" i="20" s="1"/>
  <c r="AP70" i="20"/>
  <c r="W75" i="20"/>
  <c r="AY75" i="20" s="1"/>
  <c r="AP75" i="20"/>
  <c r="AL75" i="20"/>
  <c r="W67" i="20"/>
  <c r="AY67" i="20" s="1"/>
  <c r="AP67" i="20"/>
  <c r="AL67" i="20"/>
  <c r="W53" i="20"/>
  <c r="AG53" i="20" s="1"/>
  <c r="AP53" i="20"/>
  <c r="AL53" i="20"/>
  <c r="AP74" i="20"/>
  <c r="AQ74" i="20" s="1"/>
  <c r="AL74" i="20"/>
  <c r="AM74" i="20" s="1"/>
  <c r="W74" i="20"/>
  <c r="AP58" i="20"/>
  <c r="AL58" i="20"/>
  <c r="W58" i="20"/>
  <c r="AY58" i="20" s="1"/>
  <c r="W61" i="20"/>
  <c r="AY61" i="20" s="1"/>
  <c r="AP61" i="20"/>
  <c r="AL61" i="20"/>
  <c r="S88" i="20"/>
  <c r="AI88" i="20" s="1"/>
  <c r="AP88" i="20"/>
  <c r="AL88" i="20"/>
  <c r="W88" i="20"/>
  <c r="AY88" i="20" s="1"/>
  <c r="V82" i="20"/>
  <c r="AD82" i="20" s="1"/>
  <c r="AE82" i="20" s="1"/>
  <c r="AF82" i="20" s="1"/>
  <c r="AP82" i="20"/>
  <c r="AL82" i="20"/>
  <c r="W82" i="20"/>
  <c r="AY82" i="20" s="1"/>
  <c r="AL71" i="20"/>
  <c r="W71" i="20"/>
  <c r="AY71" i="20" s="1"/>
  <c r="AP71" i="20"/>
  <c r="W69" i="20"/>
  <c r="AY69" i="20" s="1"/>
  <c r="AP69" i="20"/>
  <c r="AL69" i="20"/>
  <c r="V50" i="20"/>
  <c r="AP50" i="20"/>
  <c r="AL50" i="20"/>
  <c r="W50" i="20"/>
  <c r="AG50" i="20" s="1"/>
  <c r="S65" i="20"/>
  <c r="AI65" i="20" s="1"/>
  <c r="AP65" i="20"/>
  <c r="AL65" i="20"/>
  <c r="W65" i="20"/>
  <c r="AY65" i="20" s="1"/>
  <c r="AP66" i="20"/>
  <c r="AL66" i="20"/>
  <c r="W66" i="20"/>
  <c r="W77" i="20"/>
  <c r="AY77" i="20" s="1"/>
  <c r="AP77" i="20"/>
  <c r="AL77" i="20"/>
  <c r="AP57" i="20"/>
  <c r="AL57" i="20"/>
  <c r="W57" i="20"/>
  <c r="X57" i="20" s="1"/>
  <c r="S49" i="20"/>
  <c r="AI49" i="20" s="1"/>
  <c r="AP49" i="20"/>
  <c r="AL49" i="20"/>
  <c r="AM49" i="20" s="1"/>
  <c r="W49" i="20"/>
  <c r="AG49" i="20" s="1"/>
  <c r="V87" i="20"/>
  <c r="AD87" i="20" s="1"/>
  <c r="AE87" i="20" s="1"/>
  <c r="AF87" i="20" s="1"/>
  <c r="AL87" i="20"/>
  <c r="W87" i="20"/>
  <c r="AY87" i="20" s="1"/>
  <c r="AP87" i="20"/>
  <c r="AL55" i="20"/>
  <c r="W55" i="20"/>
  <c r="AP55" i="20"/>
  <c r="W59" i="20"/>
  <c r="AY59" i="20" s="1"/>
  <c r="AP59" i="20"/>
  <c r="AL59" i="20"/>
  <c r="V86" i="20"/>
  <c r="AA86" i="20" s="1"/>
  <c r="AB86" i="20" s="1"/>
  <c r="AC86" i="20" s="1"/>
  <c r="AL86" i="20"/>
  <c r="W86" i="20"/>
  <c r="AY86" i="20" s="1"/>
  <c r="AP86" i="20"/>
  <c r="S80" i="20"/>
  <c r="AI80" i="20" s="1"/>
  <c r="AP80" i="20"/>
  <c r="AL80" i="20"/>
  <c r="AM80" i="20" s="1"/>
  <c r="W80" i="20"/>
  <c r="AY80" i="20" s="1"/>
  <c r="AL63" i="20"/>
  <c r="W63" i="20"/>
  <c r="X63" i="20" s="1"/>
  <c r="AP63" i="20"/>
  <c r="S162" i="20"/>
  <c r="S124" i="20"/>
  <c r="S141" i="20"/>
  <c r="S157" i="20"/>
  <c r="V89" i="20"/>
  <c r="AN89" i="20" s="1"/>
  <c r="X197" i="20"/>
  <c r="BC9" i="20"/>
  <c r="BV9" i="20" s="1"/>
  <c r="AY192" i="20"/>
  <c r="AQ106" i="20"/>
  <c r="AT106" i="20" s="1"/>
  <c r="BT106" i="20" s="1"/>
  <c r="V184" i="20"/>
  <c r="AD184" i="20" s="1"/>
  <c r="AE184" i="20" s="1"/>
  <c r="AF184" i="20" s="1"/>
  <c r="V194" i="20"/>
  <c r="V114" i="20"/>
  <c r="V209" i="20"/>
  <c r="AD209" i="20" s="1"/>
  <c r="AE209" i="20" s="1"/>
  <c r="AF209" i="20" s="1"/>
  <c r="V123" i="20"/>
  <c r="V116" i="20"/>
  <c r="V104" i="20"/>
  <c r="AW104" i="20" s="1"/>
  <c r="S134" i="20"/>
  <c r="S172" i="20"/>
  <c r="S208" i="20"/>
  <c r="V179" i="20"/>
  <c r="AJ179" i="20" s="1"/>
  <c r="S160" i="20"/>
  <c r="V188" i="20"/>
  <c r="V136" i="20"/>
  <c r="S115" i="20"/>
  <c r="V143" i="20"/>
  <c r="AH146" i="20"/>
  <c r="V124" i="20"/>
  <c r="AN124" i="20" s="1"/>
  <c r="S189" i="20"/>
  <c r="V208" i="20"/>
  <c r="S120" i="20"/>
  <c r="S195" i="20"/>
  <c r="V121" i="20"/>
  <c r="S204" i="20"/>
  <c r="S103" i="20"/>
  <c r="AI103" i="20" s="1"/>
  <c r="AM139" i="20"/>
  <c r="S33" i="20"/>
  <c r="S190" i="20"/>
  <c r="V199" i="20"/>
  <c r="AD199" i="20" s="1"/>
  <c r="AE199" i="20" s="1"/>
  <c r="AF199" i="20" s="1"/>
  <c r="V117" i="20"/>
  <c r="V147" i="20"/>
  <c r="V170" i="20"/>
  <c r="X103" i="20"/>
  <c r="V118" i="20"/>
  <c r="AN118" i="20" s="1"/>
  <c r="V132" i="20"/>
  <c r="Y132" i="20" s="1"/>
  <c r="S145" i="20"/>
  <c r="V111" i="20"/>
  <c r="S144" i="20"/>
  <c r="V138" i="20"/>
  <c r="V187" i="20"/>
  <c r="V175" i="20"/>
  <c r="V43" i="20"/>
  <c r="S151" i="20"/>
  <c r="V158" i="20"/>
  <c r="V133" i="20"/>
  <c r="AH180" i="20"/>
  <c r="AV178" i="20"/>
  <c r="AX178" i="20" s="1"/>
  <c r="BU178" i="20" s="1"/>
  <c r="V186" i="20"/>
  <c r="V100" i="20"/>
  <c r="AW100" i="20" s="1"/>
  <c r="V137" i="20"/>
  <c r="Y10" i="20"/>
  <c r="AS10" i="20"/>
  <c r="AY122" i="20"/>
  <c r="X122" i="20"/>
  <c r="AM9" i="20"/>
  <c r="AV135" i="20"/>
  <c r="AX135" i="20" s="1"/>
  <c r="BU135" i="20" s="1"/>
  <c r="V168" i="20"/>
  <c r="AD168" i="20" s="1"/>
  <c r="AE168" i="20" s="1"/>
  <c r="AF168" i="20" s="1"/>
  <c r="S17" i="20"/>
  <c r="AV167" i="20"/>
  <c r="AX167" i="20" s="1"/>
  <c r="BU167" i="20" s="1"/>
  <c r="AV20" i="20"/>
  <c r="AQ105" i="20"/>
  <c r="AT105" i="20" s="1"/>
  <c r="BT105" i="20" s="1"/>
  <c r="AM148" i="20"/>
  <c r="AM43" i="20"/>
  <c r="AV127" i="20"/>
  <c r="AX127" i="20" s="1"/>
  <c r="BU127" i="20" s="1"/>
  <c r="V148" i="20"/>
  <c r="AA148" i="20" s="1"/>
  <c r="AB148" i="20" s="1"/>
  <c r="AC148" i="20" s="1"/>
  <c r="S148" i="20"/>
  <c r="AY201" i="20"/>
  <c r="V198" i="20"/>
  <c r="AD198" i="20" s="1"/>
  <c r="AE198" i="20" s="1"/>
  <c r="AF198" i="20" s="1"/>
  <c r="V174" i="20"/>
  <c r="AA174" i="20" s="1"/>
  <c r="AB174" i="20" s="1"/>
  <c r="AC174" i="20" s="1"/>
  <c r="S169" i="20"/>
  <c r="S22" i="20"/>
  <c r="X169" i="20"/>
  <c r="AH117" i="20"/>
  <c r="S128" i="20"/>
  <c r="S135" i="20"/>
  <c r="V142" i="20"/>
  <c r="AJ142" i="20" s="1"/>
  <c r="Y200" i="20"/>
  <c r="AY24" i="20"/>
  <c r="AA200" i="20"/>
  <c r="AB200" i="20" s="1"/>
  <c r="AC200" i="20" s="1"/>
  <c r="V22" i="20"/>
  <c r="S192" i="20"/>
  <c r="AN200" i="20"/>
  <c r="AJ200" i="20"/>
  <c r="AV146" i="20"/>
  <c r="AX146" i="20" s="1"/>
  <c r="BU146" i="20" s="1"/>
  <c r="Y2" i="30"/>
  <c r="Y12" i="30" s="1"/>
  <c r="S111" i="20"/>
  <c r="AI111" i="20" s="1"/>
  <c r="AQ38" i="20"/>
  <c r="Y113" i="20"/>
  <c r="X38" i="20"/>
  <c r="AM38" i="20"/>
  <c r="AM183" i="20"/>
  <c r="AV183" i="20"/>
  <c r="AX183" i="20" s="1"/>
  <c r="BU183" i="20" s="1"/>
  <c r="AD31" i="20"/>
  <c r="AE31" i="20" s="1"/>
  <c r="AF31" i="20" s="1"/>
  <c r="AW21" i="20"/>
  <c r="AS21" i="20"/>
  <c r="X127" i="20"/>
  <c r="AA10" i="20"/>
  <c r="AB10" i="20" s="1"/>
  <c r="AC10" i="20" s="1"/>
  <c r="AM122" i="20"/>
  <c r="AH151" i="20"/>
  <c r="V165" i="20"/>
  <c r="AA165" i="20" s="1"/>
  <c r="AB165" i="20" s="1"/>
  <c r="AC165" i="20" s="1"/>
  <c r="AY183" i="20"/>
  <c r="AQ201" i="20"/>
  <c r="AT201" i="20" s="1"/>
  <c r="BT201" i="20" s="1"/>
  <c r="AH124" i="20"/>
  <c r="AN205" i="20"/>
  <c r="AH122" i="20"/>
  <c r="V157" i="20"/>
  <c r="AJ157" i="20" s="1"/>
  <c r="V183" i="20"/>
  <c r="Y183" i="20" s="1"/>
  <c r="S69" i="20"/>
  <c r="AI69" i="20" s="1"/>
  <c r="V167" i="20"/>
  <c r="V33" i="20"/>
  <c r="S53" i="20"/>
  <c r="AI53" i="20" s="1"/>
  <c r="S191" i="20"/>
  <c r="AM127" i="20"/>
  <c r="AN99" i="20"/>
  <c r="AN113" i="20"/>
  <c r="BC201" i="20"/>
  <c r="BV201" i="20" s="1"/>
  <c r="AQ122" i="20"/>
  <c r="AT122" i="20" s="1"/>
  <c r="BT122" i="20" s="1"/>
  <c r="Y99" i="20"/>
  <c r="AJ113" i="20"/>
  <c r="AH201" i="20"/>
  <c r="AQ124" i="20"/>
  <c r="AT124" i="20" s="1"/>
  <c r="BT124" i="20" s="1"/>
  <c r="AW10" i="20"/>
  <c r="Y205" i="20"/>
  <c r="AH24" i="20"/>
  <c r="Y193" i="20"/>
  <c r="S58" i="20"/>
  <c r="AI58" i="20" s="1"/>
  <c r="V57" i="20"/>
  <c r="S205" i="20"/>
  <c r="V181" i="20"/>
  <c r="AN181" i="20" s="1"/>
  <c r="S168" i="20"/>
  <c r="S74" i="20"/>
  <c r="AI74" i="20" s="1"/>
  <c r="V24" i="20"/>
  <c r="AV201" i="20"/>
  <c r="AX201" i="20" s="1"/>
  <c r="BU201" i="20" s="1"/>
  <c r="AJ205" i="20"/>
  <c r="AA113" i="20"/>
  <c r="AB113" i="20" s="1"/>
  <c r="AC113" i="20" s="1"/>
  <c r="AA205" i="20"/>
  <c r="AB205" i="20" s="1"/>
  <c r="AC205" i="20" s="1"/>
  <c r="S132" i="20"/>
  <c r="S24" i="20"/>
  <c r="V131" i="20"/>
  <c r="AD131" i="20" s="1"/>
  <c r="AE131" i="20" s="1"/>
  <c r="AF131" i="20" s="1"/>
  <c r="S127" i="20"/>
  <c r="V65" i="20"/>
  <c r="AJ99" i="20"/>
  <c r="AN125" i="20"/>
  <c r="AW31" i="20"/>
  <c r="AA99" i="20"/>
  <c r="AB99" i="20" s="1"/>
  <c r="AC99" i="20" s="1"/>
  <c r="Y125" i="20"/>
  <c r="AJ125" i="20"/>
  <c r="AA125" i="20"/>
  <c r="AB125" i="20" s="1"/>
  <c r="AC125" i="20" s="1"/>
  <c r="AN193" i="20"/>
  <c r="AJ193" i="20"/>
  <c r="AA193" i="20"/>
  <c r="AB193" i="20" s="1"/>
  <c r="AC193" i="20" s="1"/>
  <c r="S113" i="20"/>
  <c r="AI113" i="20" s="1"/>
  <c r="S163" i="20"/>
  <c r="V201" i="20"/>
  <c r="AJ201" i="20" s="1"/>
  <c r="S198" i="20"/>
  <c r="V75" i="20"/>
  <c r="AS75" i="20" s="1"/>
  <c r="S200" i="20"/>
  <c r="V67" i="20"/>
  <c r="AS67" i="20" s="1"/>
  <c r="S21" i="20"/>
  <c r="S142" i="20"/>
  <c r="V28" i="20"/>
  <c r="V74" i="20"/>
  <c r="AS74" i="20" s="1"/>
  <c r="AW16" i="20"/>
  <c r="AD16" i="20"/>
  <c r="AE16" i="20" s="1"/>
  <c r="AF16" i="20" s="1"/>
  <c r="V163" i="20"/>
  <c r="AD163" i="20" s="1"/>
  <c r="AE163" i="20" s="1"/>
  <c r="AF163" i="20" s="1"/>
  <c r="S159" i="20"/>
  <c r="Y16" i="20"/>
  <c r="Y197" i="20"/>
  <c r="V103" i="20"/>
  <c r="AW103" i="20" s="1"/>
  <c r="V140" i="20"/>
  <c r="AJ140" i="20" s="1"/>
  <c r="S122" i="20"/>
  <c r="V159" i="20"/>
  <c r="S43" i="20"/>
  <c r="AI43" i="20" s="1"/>
  <c r="V145" i="20"/>
  <c r="AS16" i="20"/>
  <c r="S105" i="20"/>
  <c r="AI105" i="20" s="1"/>
  <c r="S83" i="20"/>
  <c r="AI83" i="20" s="1"/>
  <c r="S20" i="20"/>
  <c r="S63" i="20"/>
  <c r="AI63" i="20" s="1"/>
  <c r="S101" i="20"/>
  <c r="AI101" i="20" s="1"/>
  <c r="S183" i="20"/>
  <c r="S197" i="20"/>
  <c r="V105" i="20"/>
  <c r="AW105" i="20" s="1"/>
  <c r="S167" i="20"/>
  <c r="V83" i="20"/>
  <c r="V20" i="20"/>
  <c r="S70" i="20"/>
  <c r="AI70" i="20" s="1"/>
  <c r="S152" i="20"/>
  <c r="S75" i="20"/>
  <c r="AI75" i="20" s="1"/>
  <c r="S16" i="20"/>
  <c r="S85" i="20"/>
  <c r="AI85" i="20" s="1"/>
  <c r="S206" i="20"/>
  <c r="V17" i="20"/>
  <c r="S87" i="20"/>
  <c r="AI87" i="20" s="1"/>
  <c r="AA21" i="20"/>
  <c r="AB21" i="20" s="1"/>
  <c r="AC21" i="20" s="1"/>
  <c r="AD21" i="20"/>
  <c r="AE21" i="20" s="1"/>
  <c r="AF21" i="20" s="1"/>
  <c r="Y21" i="20"/>
  <c r="AY23" i="20"/>
  <c r="AH23" i="20"/>
  <c r="AM23" i="20"/>
  <c r="X23" i="20"/>
  <c r="AA31" i="20"/>
  <c r="AB31" i="20" s="1"/>
  <c r="AC31" i="20" s="1"/>
  <c r="Y31" i="20"/>
  <c r="Y151" i="20"/>
  <c r="AJ151" i="20"/>
  <c r="AD151" i="20"/>
  <c r="AE151" i="20" s="1"/>
  <c r="AF151" i="20" s="1"/>
  <c r="AA151" i="20"/>
  <c r="AB151" i="20" s="1"/>
  <c r="AC151" i="20" s="1"/>
  <c r="AN141" i="20"/>
  <c r="AD141" i="20"/>
  <c r="AE141" i="20" s="1"/>
  <c r="AF141" i="20" s="1"/>
  <c r="AA141" i="20"/>
  <c r="AB141" i="20" s="1"/>
  <c r="AC141" i="20" s="1"/>
  <c r="AJ141" i="20"/>
  <c r="Y141" i="20"/>
  <c r="AJ150" i="20"/>
  <c r="AD150" i="20"/>
  <c r="AE150" i="20" s="1"/>
  <c r="AF150" i="20" s="1"/>
  <c r="AA150" i="20"/>
  <c r="AB150" i="20" s="1"/>
  <c r="AC150" i="20" s="1"/>
  <c r="Y150" i="20"/>
  <c r="AV38" i="20"/>
  <c r="AH38" i="20"/>
  <c r="AJ190" i="20"/>
  <c r="AN190" i="20"/>
  <c r="AA190" i="20"/>
  <c r="AB190" i="20" s="1"/>
  <c r="AC190" i="20" s="1"/>
  <c r="AD190" i="20"/>
  <c r="AE190" i="20" s="1"/>
  <c r="AF190" i="20" s="1"/>
  <c r="Y190" i="20"/>
  <c r="AY140" i="20"/>
  <c r="AV140" i="20"/>
  <c r="AX140" i="20" s="1"/>
  <c r="BU140" i="20" s="1"/>
  <c r="AH140" i="20"/>
  <c r="X140" i="20"/>
  <c r="AQ140" i="20"/>
  <c r="AT140" i="20" s="1"/>
  <c r="BT140" i="20" s="1"/>
  <c r="BC140" i="20"/>
  <c r="BV140" i="20" s="1"/>
  <c r="AN155" i="20"/>
  <c r="AA155" i="20"/>
  <c r="AB155" i="20" s="1"/>
  <c r="AC155" i="20" s="1"/>
  <c r="Y155" i="20"/>
  <c r="AJ155" i="20"/>
  <c r="AD155" i="20"/>
  <c r="AE155" i="20" s="1"/>
  <c r="AF155" i="20" s="1"/>
  <c r="Y196" i="20"/>
  <c r="AJ196" i="20"/>
  <c r="AA196" i="20"/>
  <c r="AB196" i="20" s="1"/>
  <c r="AC196" i="20" s="1"/>
  <c r="AN196" i="20"/>
  <c r="AD196" i="20"/>
  <c r="AE196" i="20" s="1"/>
  <c r="AF196" i="20" s="1"/>
  <c r="AV165" i="20"/>
  <c r="AX165" i="20" s="1"/>
  <c r="BU165" i="20" s="1"/>
  <c r="AY165" i="20"/>
  <c r="X165" i="20"/>
  <c r="AH165" i="20"/>
  <c r="AQ165" i="20"/>
  <c r="AT165" i="20" s="1"/>
  <c r="BT165" i="20" s="1"/>
  <c r="AY162" i="20"/>
  <c r="AV162" i="20"/>
  <c r="AX162" i="20" s="1"/>
  <c r="BU162" i="20" s="1"/>
  <c r="X162" i="20"/>
  <c r="AH162" i="20"/>
  <c r="AM162" i="20"/>
  <c r="AH206" i="20"/>
  <c r="AQ206" i="20"/>
  <c r="AT206" i="20" s="1"/>
  <c r="BT206" i="20" s="1"/>
  <c r="X206" i="20"/>
  <c r="AV206" i="20"/>
  <c r="AX206" i="20" s="1"/>
  <c r="BU206" i="20" s="1"/>
  <c r="AY206" i="20"/>
  <c r="X157" i="20"/>
  <c r="AQ157" i="20"/>
  <c r="AT157" i="20" s="1"/>
  <c r="BT157" i="20" s="1"/>
  <c r="AH157" i="20"/>
  <c r="AY157" i="20"/>
  <c r="AV157" i="20"/>
  <c r="AX157" i="20" s="1"/>
  <c r="BU157" i="20" s="1"/>
  <c r="S36" i="20"/>
  <c r="AI36" i="20" s="1"/>
  <c r="S14" i="20"/>
  <c r="AV32" i="20"/>
  <c r="S32" i="20"/>
  <c r="V12" i="20"/>
  <c r="S147" i="20"/>
  <c r="S149" i="20"/>
  <c r="V164" i="20"/>
  <c r="AY145" i="20"/>
  <c r="AV16" i="20"/>
  <c r="AH168" i="20"/>
  <c r="V119" i="20"/>
  <c r="V13" i="20"/>
  <c r="V52" i="20"/>
  <c r="AJ52" i="20" s="1"/>
  <c r="V176" i="20"/>
  <c r="V61" i="20"/>
  <c r="AS61" i="20" s="1"/>
  <c r="V134" i="20"/>
  <c r="V47" i="20"/>
  <c r="S173" i="20"/>
  <c r="V189" i="20"/>
  <c r="AN162" i="20"/>
  <c r="AJ162" i="20"/>
  <c r="AA162" i="20"/>
  <c r="AB162" i="20" s="1"/>
  <c r="AC162" i="20" s="1"/>
  <c r="Y162" i="20"/>
  <c r="AD162" i="20"/>
  <c r="AE162" i="20" s="1"/>
  <c r="AF162" i="20" s="1"/>
  <c r="V192" i="20"/>
  <c r="V37" i="20"/>
  <c r="AV31" i="20"/>
  <c r="AY99" i="20"/>
  <c r="BC118" i="20"/>
  <c r="BV118" i="20" s="1"/>
  <c r="V135" i="20"/>
  <c r="V39" i="20"/>
  <c r="S39" i="20"/>
  <c r="AI39" i="20" s="1"/>
  <c r="S66" i="20"/>
  <c r="AI66" i="20" s="1"/>
  <c r="V107" i="20"/>
  <c r="AW107" i="20" s="1"/>
  <c r="V152" i="20"/>
  <c r="S106" i="20"/>
  <c r="AI106" i="20" s="1"/>
  <c r="AY186" i="20"/>
  <c r="S59" i="20"/>
  <c r="AI59" i="20" s="1"/>
  <c r="S139" i="20"/>
  <c r="V85" i="20"/>
  <c r="V18" i="20"/>
  <c r="S99" i="20"/>
  <c r="AI99" i="20" s="1"/>
  <c r="V153" i="20"/>
  <c r="S23" i="20"/>
  <c r="V206" i="20"/>
  <c r="X131" i="20"/>
  <c r="AV189" i="20"/>
  <c r="AX189" i="20" s="1"/>
  <c r="BU189" i="20" s="1"/>
  <c r="V204" i="20"/>
  <c r="V35" i="20"/>
  <c r="S71" i="20"/>
  <c r="AI71" i="20" s="1"/>
  <c r="S140" i="20"/>
  <c r="V66" i="20"/>
  <c r="AS66" i="20" s="1"/>
  <c r="S79" i="20"/>
  <c r="AI79" i="20" s="1"/>
  <c r="S118" i="20"/>
  <c r="V101" i="20"/>
  <c r="AW101" i="20" s="1"/>
  <c r="S77" i="20"/>
  <c r="AI77" i="20" s="1"/>
  <c r="S125" i="20"/>
  <c r="V106" i="20"/>
  <c r="AW106" i="20" s="1"/>
  <c r="V59" i="20"/>
  <c r="AS59" i="20" s="1"/>
  <c r="V139" i="20"/>
  <c r="S67" i="20"/>
  <c r="AI67" i="20" s="1"/>
  <c r="S174" i="20"/>
  <c r="S207" i="20"/>
  <c r="S27" i="20"/>
  <c r="V80" i="20"/>
  <c r="V23" i="20"/>
  <c r="S166" i="20"/>
  <c r="V38" i="20"/>
  <c r="V154" i="20"/>
  <c r="S28" i="20"/>
  <c r="V191" i="20"/>
  <c r="S55" i="20"/>
  <c r="AI55" i="20" s="1"/>
  <c r="V203" i="20"/>
  <c r="AY203" i="20"/>
  <c r="V130" i="20"/>
  <c r="S15" i="20"/>
  <c r="V29" i="20"/>
  <c r="S29" i="20"/>
  <c r="S30" i="20"/>
  <c r="AV193" i="20"/>
  <c r="AX193" i="20" s="1"/>
  <c r="BU193" i="20" s="1"/>
  <c r="V71" i="20"/>
  <c r="AS71" i="20" s="1"/>
  <c r="V79" i="20"/>
  <c r="V77" i="20"/>
  <c r="S11" i="20"/>
  <c r="V207" i="20"/>
  <c r="V19" i="20"/>
  <c r="V166" i="20"/>
  <c r="V55" i="20"/>
  <c r="AJ55" i="20" s="1"/>
  <c r="AH67" i="20"/>
  <c r="V185" i="20"/>
  <c r="V146" i="20"/>
  <c r="V58" i="20"/>
  <c r="AS58" i="20" s="1"/>
  <c r="V69" i="20"/>
  <c r="AS69" i="20" s="1"/>
  <c r="S196" i="20"/>
  <c r="V25" i="20"/>
  <c r="V49" i="20"/>
  <c r="S86" i="20"/>
  <c r="AI86" i="20" s="1"/>
  <c r="V156" i="20"/>
  <c r="V122" i="20"/>
  <c r="S180" i="20"/>
  <c r="V172" i="20"/>
  <c r="V169" i="20"/>
  <c r="S171" i="20"/>
  <c r="V127" i="20"/>
  <c r="S31" i="20"/>
  <c r="V70" i="20"/>
  <c r="AS70" i="20" s="1"/>
  <c r="V88" i="20"/>
  <c r="V129" i="20"/>
  <c r="V178" i="20"/>
  <c r="AV17" i="20"/>
  <c r="AH82" i="20"/>
  <c r="S119" i="20"/>
  <c r="AJ197" i="20"/>
  <c r="AD197" i="20"/>
  <c r="AE197" i="20" s="1"/>
  <c r="AF197" i="20" s="1"/>
  <c r="AA197" i="20"/>
  <c r="AB197" i="20" s="1"/>
  <c r="AC197" i="20" s="1"/>
  <c r="S52" i="20"/>
  <c r="AI52" i="20" s="1"/>
  <c r="S57" i="20"/>
  <c r="AI57" i="20" s="1"/>
  <c r="S61" i="20"/>
  <c r="AI61" i="20" s="1"/>
  <c r="S50" i="20"/>
  <c r="AI50" i="20" s="1"/>
  <c r="S47" i="20"/>
  <c r="AI47" i="20" s="1"/>
  <c r="V42" i="20"/>
  <c r="V53" i="20"/>
  <c r="AJ53" i="20" s="1"/>
  <c r="V171" i="20"/>
  <c r="V26" i="20"/>
  <c r="V63" i="20"/>
  <c r="AS63" i="20" s="1"/>
  <c r="S112" i="20"/>
  <c r="AI112" i="20" s="1"/>
  <c r="V41" i="20"/>
  <c r="V128" i="20"/>
  <c r="S82" i="20"/>
  <c r="AI82" i="20" s="1"/>
  <c r="X24" i="20"/>
  <c r="AM24" i="20"/>
  <c r="AQ24" i="20"/>
  <c r="AH171" i="20"/>
  <c r="AQ171" i="20"/>
  <c r="AT171" i="20" s="1"/>
  <c r="BT171" i="20" s="1"/>
  <c r="AM159" i="20"/>
  <c r="X159" i="20"/>
  <c r="AY159" i="20"/>
  <c r="AV159" i="20"/>
  <c r="AX159" i="20" s="1"/>
  <c r="BU159" i="20" s="1"/>
  <c r="AQ159" i="20"/>
  <c r="AT159" i="20" s="1"/>
  <c r="BT159" i="20" s="1"/>
  <c r="X166" i="20"/>
  <c r="AH166" i="20"/>
  <c r="AY166" i="20"/>
  <c r="AQ166" i="20"/>
  <c r="AT166" i="20" s="1"/>
  <c r="BT166" i="20" s="1"/>
  <c r="AV166" i="20"/>
  <c r="AX166" i="20" s="1"/>
  <c r="BU166" i="20" s="1"/>
  <c r="AY172" i="20"/>
  <c r="AV172" i="20"/>
  <c r="AX172" i="20" s="1"/>
  <c r="BU172" i="20" s="1"/>
  <c r="AH172" i="20"/>
  <c r="X172" i="20"/>
  <c r="AQ172" i="20"/>
  <c r="AT172" i="20" s="1"/>
  <c r="BT172" i="20" s="1"/>
  <c r="X22" i="20"/>
  <c r="AM124" i="20"/>
  <c r="AY53" i="20"/>
  <c r="AH128" i="20"/>
  <c r="AQ128" i="20"/>
  <c r="AT128" i="20" s="1"/>
  <c r="BT128" i="20" s="1"/>
  <c r="X128" i="20"/>
  <c r="AV128" i="20"/>
  <c r="AX128" i="20" s="1"/>
  <c r="BU128" i="20" s="1"/>
  <c r="AY128" i="20"/>
  <c r="AY119" i="20"/>
  <c r="AH119" i="20"/>
  <c r="AV119" i="20"/>
  <c r="AX119" i="20" s="1"/>
  <c r="BU119" i="20" s="1"/>
  <c r="X119" i="20"/>
  <c r="AQ119" i="20"/>
  <c r="AT119" i="20" s="1"/>
  <c r="BT119" i="20" s="1"/>
  <c r="AH205" i="20"/>
  <c r="AQ205" i="20"/>
  <c r="AT205" i="20" s="1"/>
  <c r="BT205" i="20" s="1"/>
  <c r="X205" i="20"/>
  <c r="AV205" i="20"/>
  <c r="AX205" i="20" s="1"/>
  <c r="BU205" i="20" s="1"/>
  <c r="AY205" i="20"/>
  <c r="AY198" i="20"/>
  <c r="AH198" i="20"/>
  <c r="X198" i="20"/>
  <c r="AV198" i="20"/>
  <c r="AX198" i="20" s="1"/>
  <c r="BU198" i="20" s="1"/>
  <c r="AQ198" i="20"/>
  <c r="AT198" i="20" s="1"/>
  <c r="BT198" i="20" s="1"/>
  <c r="AM28" i="20"/>
  <c r="AV28" i="20"/>
  <c r="X152" i="20"/>
  <c r="AV152" i="20"/>
  <c r="AX152" i="20" s="1"/>
  <c r="BU152" i="20" s="1"/>
  <c r="AH152" i="20"/>
  <c r="AQ152" i="20"/>
  <c r="AT152" i="20" s="1"/>
  <c r="BT152" i="20" s="1"/>
  <c r="AY152" i="20"/>
  <c r="X13" i="20"/>
  <c r="AH13" i="20"/>
  <c r="AM13" i="20"/>
  <c r="AY13" i="20"/>
  <c r="X113" i="20"/>
  <c r="AV113" i="20"/>
  <c r="AX113" i="20" s="1"/>
  <c r="BU113" i="20" s="1"/>
  <c r="AH113" i="20"/>
  <c r="AQ113" i="20"/>
  <c r="AT113" i="20" s="1"/>
  <c r="BT113" i="20" s="1"/>
  <c r="AY113" i="20"/>
  <c r="AH106" i="20"/>
  <c r="AM10" i="20"/>
  <c r="AH10" i="20"/>
  <c r="X10" i="20"/>
  <c r="AY10" i="20"/>
  <c r="AU44" i="20" l="1"/>
  <c r="AY171" i="20"/>
  <c r="AD113" i="20"/>
  <c r="AE113" i="20" s="1"/>
  <c r="AF113" i="20" s="1"/>
  <c r="AY146" i="20"/>
  <c r="Y34" i="20"/>
  <c r="AJ161" i="20"/>
  <c r="AY28" i="20"/>
  <c r="AY33" i="20"/>
  <c r="AA161" i="20"/>
  <c r="AB161" i="20" s="1"/>
  <c r="AC161" i="20" s="1"/>
  <c r="Y161" i="20"/>
  <c r="X28" i="20"/>
  <c r="AD161" i="20"/>
  <c r="AE161" i="20" s="1"/>
  <c r="AF161" i="20" s="1"/>
  <c r="AY101" i="20"/>
  <c r="S40" i="20"/>
  <c r="AI40" i="20" s="1"/>
  <c r="AK10" i="20"/>
  <c r="BR10" i="20" s="1"/>
  <c r="AO10" i="20"/>
  <c r="BS10" i="20" s="1"/>
  <c r="AN41" i="20"/>
  <c r="AJ41" i="20"/>
  <c r="AJ23" i="20"/>
  <c r="AK23" i="20" s="1"/>
  <c r="BR23" i="20" s="1"/>
  <c r="AN23" i="20"/>
  <c r="AO23" i="20" s="1"/>
  <c r="BS23" i="20" s="1"/>
  <c r="AJ13" i="20"/>
  <c r="AK13" i="20" s="1"/>
  <c r="BR13" i="20" s="1"/>
  <c r="AN13" i="20"/>
  <c r="AO13" i="20" s="1"/>
  <c r="BS13" i="20" s="1"/>
  <c r="AJ17" i="20"/>
  <c r="AN17" i="20"/>
  <c r="AJ28" i="20"/>
  <c r="AK28" i="20" s="1"/>
  <c r="BR28" i="20" s="1"/>
  <c r="AN28" i="20"/>
  <c r="AO28" i="20" s="1"/>
  <c r="BS28" i="20" s="1"/>
  <c r="AJ25" i="20"/>
  <c r="AN25" i="20"/>
  <c r="AN35" i="20"/>
  <c r="AJ35" i="20"/>
  <c r="AJ12" i="20"/>
  <c r="AN12" i="20"/>
  <c r="AJ18" i="20"/>
  <c r="AN18" i="20"/>
  <c r="AN37" i="20"/>
  <c r="AJ37" i="20"/>
  <c r="AW9" i="20"/>
  <c r="AX9" i="20" s="1"/>
  <c r="AJ9" i="20"/>
  <c r="AK9" i="20" s="1"/>
  <c r="BR9" i="20" s="1"/>
  <c r="AN9" i="20"/>
  <c r="AO9" i="20" s="1"/>
  <c r="BS9" i="20" s="1"/>
  <c r="AJ26" i="20"/>
  <c r="AN26" i="20"/>
  <c r="AJ19" i="20"/>
  <c r="AN19" i="20"/>
  <c r="AJ24" i="20"/>
  <c r="AN24" i="20"/>
  <c r="AO24" i="20" s="1"/>
  <c r="BS24" i="20" s="1"/>
  <c r="AJ33" i="20"/>
  <c r="AN33" i="20"/>
  <c r="AJ29" i="20"/>
  <c r="AN29" i="20"/>
  <c r="AN39" i="20"/>
  <c r="AJ39" i="20"/>
  <c r="AK24" i="20"/>
  <c r="BR24" i="20" s="1"/>
  <c r="AN38" i="20"/>
  <c r="AO38" i="20" s="1"/>
  <c r="BS38" i="20" s="1"/>
  <c r="AJ38" i="20"/>
  <c r="AK38" i="20" s="1"/>
  <c r="BR38" i="20" s="1"/>
  <c r="AS22" i="20"/>
  <c r="AJ22" i="20"/>
  <c r="AN22" i="20"/>
  <c r="Y20" i="20"/>
  <c r="AJ20" i="20"/>
  <c r="AN20" i="20"/>
  <c r="AN42" i="20"/>
  <c r="AJ42" i="20"/>
  <c r="AL40" i="20"/>
  <c r="AM40" i="20" s="1"/>
  <c r="AA50" i="20"/>
  <c r="AB50" i="20" s="1"/>
  <c r="AC50" i="20" s="1"/>
  <c r="AJ50" i="20"/>
  <c r="AA34" i="20"/>
  <c r="AB34" i="20" s="1"/>
  <c r="AC34" i="20" s="1"/>
  <c r="AN34" i="20"/>
  <c r="AN49" i="20"/>
  <c r="AJ49" i="20"/>
  <c r="AP40" i="20"/>
  <c r="AD43" i="20"/>
  <c r="AE43" i="20" s="1"/>
  <c r="AF43" i="20" s="1"/>
  <c r="AN43" i="20"/>
  <c r="AO43" i="20" s="1"/>
  <c r="BS43" i="20" s="1"/>
  <c r="AJ43" i="20"/>
  <c r="V40" i="20"/>
  <c r="AJ40" i="20" s="1"/>
  <c r="AN47" i="20"/>
  <c r="AJ47" i="20"/>
  <c r="AG59" i="20"/>
  <c r="AH59" i="20" s="1"/>
  <c r="AG57" i="20"/>
  <c r="AH57" i="20" s="1"/>
  <c r="AG63" i="20"/>
  <c r="AH63" i="20" s="1"/>
  <c r="AT74" i="20"/>
  <c r="BT74" i="20" s="1"/>
  <c r="AG58" i="20"/>
  <c r="AG61" i="20"/>
  <c r="AH61" i="20" s="1"/>
  <c r="AL110" i="20"/>
  <c r="W110" i="20"/>
  <c r="AU110" i="20"/>
  <c r="AG110" i="20"/>
  <c r="Y111" i="20"/>
  <c r="AW111" i="20"/>
  <c r="AX111" i="20" s="1"/>
  <c r="BU111" i="20" s="1"/>
  <c r="AD34" i="20"/>
  <c r="AE34" i="20" s="1"/>
  <c r="AF34" i="20" s="1"/>
  <c r="AY124" i="20"/>
  <c r="Q109" i="20"/>
  <c r="AS34" i="20"/>
  <c r="S110" i="20"/>
  <c r="AI110" i="20" s="1"/>
  <c r="AW34" i="20"/>
  <c r="AP110" i="20"/>
  <c r="AY49" i="20"/>
  <c r="AU68" i="20"/>
  <c r="AV68" i="20" s="1"/>
  <c r="AG68" i="20"/>
  <c r="AH68" i="20" s="1"/>
  <c r="W38" i="21"/>
  <c r="AY38" i="21" s="1"/>
  <c r="AY50" i="20"/>
  <c r="W32" i="21"/>
  <c r="W69" i="21"/>
  <c r="AY69" i="21" s="1"/>
  <c r="AY47" i="20"/>
  <c r="V76" i="20"/>
  <c r="AN76" i="20" s="1"/>
  <c r="W49" i="21"/>
  <c r="AG49" i="21" s="1"/>
  <c r="AH49" i="21" s="1"/>
  <c r="V21" i="21"/>
  <c r="AN21" i="21" s="1"/>
  <c r="AW89" i="20"/>
  <c r="W94" i="21"/>
  <c r="AY94" i="21" s="1"/>
  <c r="W40" i="21"/>
  <c r="X40" i="21" s="1"/>
  <c r="AG76" i="20"/>
  <c r="AH76" i="20" s="1"/>
  <c r="AN87" i="20"/>
  <c r="AL76" i="20"/>
  <c r="AM76" i="20" s="1"/>
  <c r="AU76" i="20"/>
  <c r="AV76" i="20" s="1"/>
  <c r="AP76" i="20"/>
  <c r="AQ76" i="20" s="1"/>
  <c r="AT76" i="20" s="1"/>
  <c r="BT76" i="20" s="1"/>
  <c r="W76" i="20"/>
  <c r="X76" i="20" s="1"/>
  <c r="W82" i="21"/>
  <c r="S76" i="20"/>
  <c r="AI76" i="20" s="1"/>
  <c r="S107" i="21"/>
  <c r="AI107" i="21" s="1"/>
  <c r="S80" i="21"/>
  <c r="AI80" i="21" s="1"/>
  <c r="W43" i="21"/>
  <c r="AU43" i="21" s="1"/>
  <c r="AV43" i="21" s="1"/>
  <c r="S47" i="21"/>
  <c r="AI47" i="21" s="1"/>
  <c r="W23" i="21"/>
  <c r="AG23" i="21" s="1"/>
  <c r="AH23" i="21" s="1"/>
  <c r="W72" i="21"/>
  <c r="AY9" i="20"/>
  <c r="W79" i="21"/>
  <c r="AY79" i="21" s="1"/>
  <c r="Y209" i="20"/>
  <c r="W28" i="21"/>
  <c r="W48" i="21"/>
  <c r="S101" i="21"/>
  <c r="AI101" i="21" s="1"/>
  <c r="S97" i="21"/>
  <c r="AI97" i="21" s="1"/>
  <c r="V107" i="21"/>
  <c r="S73" i="21"/>
  <c r="AI73" i="21" s="1"/>
  <c r="S28" i="21"/>
  <c r="AI28" i="21" s="1"/>
  <c r="W66" i="21"/>
  <c r="AY66" i="21" s="1"/>
  <c r="S86" i="21"/>
  <c r="AI86" i="21" s="1"/>
  <c r="V38" i="21"/>
  <c r="AJ38" i="21" s="1"/>
  <c r="AD50" i="20"/>
  <c r="AE50" i="20" s="1"/>
  <c r="AF50" i="20" s="1"/>
  <c r="W45" i="21"/>
  <c r="AY45" i="21" s="1"/>
  <c r="S51" i="21"/>
  <c r="AI51" i="21" s="1"/>
  <c r="V77" i="21"/>
  <c r="W77" i="21"/>
  <c r="AP77" i="21" s="1"/>
  <c r="AQ77" i="21" s="1"/>
  <c r="AS50" i="20"/>
  <c r="W74" i="21"/>
  <c r="S85" i="21"/>
  <c r="AI85" i="21" s="1"/>
  <c r="V102" i="21"/>
  <c r="AJ102" i="21" s="1"/>
  <c r="W47" i="21"/>
  <c r="AU47" i="21" s="1"/>
  <c r="AV47" i="21" s="1"/>
  <c r="S37" i="21"/>
  <c r="AI37" i="21" s="1"/>
  <c r="V82" i="21"/>
  <c r="AJ82" i="21" s="1"/>
  <c r="S72" i="21"/>
  <c r="AI72" i="21" s="1"/>
  <c r="V37" i="21"/>
  <c r="S69" i="21"/>
  <c r="AI69" i="21" s="1"/>
  <c r="V48" i="21"/>
  <c r="AJ48" i="21" s="1"/>
  <c r="Y50" i="20"/>
  <c r="S54" i="21"/>
  <c r="AI54" i="21" s="1"/>
  <c r="V83" i="21"/>
  <c r="S59" i="21"/>
  <c r="AI59" i="21" s="1"/>
  <c r="V86" i="21"/>
  <c r="AJ86" i="21" s="1"/>
  <c r="S105" i="21"/>
  <c r="AI105" i="21" s="1"/>
  <c r="V46" i="21"/>
  <c r="AJ46" i="21" s="1"/>
  <c r="V97" i="21"/>
  <c r="AJ97" i="21" s="1"/>
  <c r="S49" i="21"/>
  <c r="AI49" i="21" s="1"/>
  <c r="V59" i="21"/>
  <c r="AJ59" i="21" s="1"/>
  <c r="V105" i="21"/>
  <c r="AJ105" i="21" s="1"/>
  <c r="W87" i="21"/>
  <c r="AY87" i="21" s="1"/>
  <c r="W86" i="21"/>
  <c r="AY86" i="21" s="1"/>
  <c r="V73" i="21"/>
  <c r="AJ73" i="21" s="1"/>
  <c r="W46" i="21"/>
  <c r="S10" i="21"/>
  <c r="AI10" i="21" s="1"/>
  <c r="W36" i="21"/>
  <c r="AY36" i="21" s="1"/>
  <c r="S36" i="21"/>
  <c r="AI36" i="21" s="1"/>
  <c r="V69" i="21"/>
  <c r="W29" i="21"/>
  <c r="W83" i="21"/>
  <c r="AY83" i="21" s="1"/>
  <c r="W12" i="21"/>
  <c r="AY12" i="21" s="1"/>
  <c r="S48" i="21"/>
  <c r="AI48" i="21" s="1"/>
  <c r="S102" i="21"/>
  <c r="AI102" i="21" s="1"/>
  <c r="V51" i="21"/>
  <c r="AJ51" i="21" s="1"/>
  <c r="S77" i="21"/>
  <c r="AI77" i="21" s="1"/>
  <c r="W21" i="21"/>
  <c r="AG21" i="21" s="1"/>
  <c r="AH21" i="21" s="1"/>
  <c r="W107" i="21"/>
  <c r="AG107" i="21" s="1"/>
  <c r="AH107" i="21" s="1"/>
  <c r="W105" i="21"/>
  <c r="AU105" i="21" s="1"/>
  <c r="AV105" i="21" s="1"/>
  <c r="V26" i="21"/>
  <c r="R57" i="21"/>
  <c r="R11" i="21"/>
  <c r="W11" i="21" s="1"/>
  <c r="AL11" i="21" s="1"/>
  <c r="AM11" i="21" s="1"/>
  <c r="R17" i="21"/>
  <c r="S17" i="21" s="1"/>
  <c r="AI17" i="21" s="1"/>
  <c r="R14" i="21"/>
  <c r="V14" i="21" s="1"/>
  <c r="AJ14" i="21" s="1"/>
  <c r="S26" i="21"/>
  <c r="AI26" i="21" s="1"/>
  <c r="R16" i="21"/>
  <c r="S16" i="21" s="1"/>
  <c r="AI16" i="21" s="1"/>
  <c r="R65" i="21"/>
  <c r="S65" i="21" s="1"/>
  <c r="AI65" i="21" s="1"/>
  <c r="W92" i="21"/>
  <c r="W24" i="21"/>
  <c r="AY24" i="21" s="1"/>
  <c r="R63" i="21"/>
  <c r="W63" i="21" s="1"/>
  <c r="AY63" i="21" s="1"/>
  <c r="R58" i="21"/>
  <c r="V58" i="21" s="1"/>
  <c r="AJ58" i="21" s="1"/>
  <c r="S91" i="21"/>
  <c r="AI91" i="21" s="1"/>
  <c r="S99" i="21"/>
  <c r="AI99" i="21" s="1"/>
  <c r="S95" i="21"/>
  <c r="AI95" i="21" s="1"/>
  <c r="R39" i="21"/>
  <c r="W39" i="21" s="1"/>
  <c r="V85" i="21"/>
  <c r="AJ85" i="21" s="1"/>
  <c r="S76" i="21"/>
  <c r="AI76" i="21" s="1"/>
  <c r="V47" i="21"/>
  <c r="V101" i="21"/>
  <c r="AJ101" i="21" s="1"/>
  <c r="R19" i="21"/>
  <c r="S19" i="21" s="1"/>
  <c r="AI19" i="21" s="1"/>
  <c r="S25" i="21"/>
  <c r="AI25" i="21" s="1"/>
  <c r="S55" i="21"/>
  <c r="AI55" i="21" s="1"/>
  <c r="W97" i="21"/>
  <c r="AL97" i="21" s="1"/>
  <c r="AM97" i="21" s="1"/>
  <c r="W10" i="21"/>
  <c r="AY10" i="21" s="1"/>
  <c r="R33" i="21"/>
  <c r="S33" i="21" s="1"/>
  <c r="AI33" i="21" s="1"/>
  <c r="S35" i="21"/>
  <c r="AI35" i="21" s="1"/>
  <c r="S81" i="21"/>
  <c r="AI81" i="21" s="1"/>
  <c r="R104" i="21"/>
  <c r="R68" i="21"/>
  <c r="W68" i="21" s="1"/>
  <c r="AY68" i="21" s="1"/>
  <c r="S70" i="21"/>
  <c r="AI70" i="21" s="1"/>
  <c r="V91" i="21"/>
  <c r="AJ91" i="21" s="1"/>
  <c r="S92" i="21"/>
  <c r="AI92" i="21" s="1"/>
  <c r="V99" i="21"/>
  <c r="AJ99" i="21" s="1"/>
  <c r="W95" i="21"/>
  <c r="V95" i="21"/>
  <c r="AJ95" i="21" s="1"/>
  <c r="V29" i="21"/>
  <c r="AJ29" i="21" s="1"/>
  <c r="R96" i="21"/>
  <c r="W96" i="21" s="1"/>
  <c r="V45" i="21"/>
  <c r="S43" i="21"/>
  <c r="AI43" i="21" s="1"/>
  <c r="W85" i="21"/>
  <c r="R88" i="21"/>
  <c r="W88" i="21" s="1"/>
  <c r="AG88" i="21" s="1"/>
  <c r="AH88" i="21" s="1"/>
  <c r="S32" i="21"/>
  <c r="AI32" i="21" s="1"/>
  <c r="V25" i="21"/>
  <c r="R100" i="21"/>
  <c r="V100" i="21" s="1"/>
  <c r="AJ100" i="21" s="1"/>
  <c r="V55" i="21"/>
  <c r="AJ55" i="21" s="1"/>
  <c r="W67" i="21"/>
  <c r="W26" i="21"/>
  <c r="AU26" i="21" s="1"/>
  <c r="AV26" i="21" s="1"/>
  <c r="R71" i="21"/>
  <c r="S71" i="21" s="1"/>
  <c r="AI71" i="21" s="1"/>
  <c r="R108" i="21"/>
  <c r="V108" i="21" s="1"/>
  <c r="AJ108" i="21" s="1"/>
  <c r="R53" i="21"/>
  <c r="S53" i="21" s="1"/>
  <c r="AI53" i="21" s="1"/>
  <c r="R34" i="21"/>
  <c r="V34" i="21" s="1"/>
  <c r="AJ34" i="21" s="1"/>
  <c r="V35" i="21"/>
  <c r="AJ35" i="21" s="1"/>
  <c r="R103" i="21"/>
  <c r="S103" i="21" s="1"/>
  <c r="AI103" i="21" s="1"/>
  <c r="W91" i="21"/>
  <c r="AU91" i="21" s="1"/>
  <c r="AV91" i="21" s="1"/>
  <c r="R52" i="21"/>
  <c r="W52" i="21" s="1"/>
  <c r="AY52" i="21" s="1"/>
  <c r="V70" i="21"/>
  <c r="AJ70" i="21" s="1"/>
  <c r="R93" i="21"/>
  <c r="S93" i="21" s="1"/>
  <c r="AI93" i="21" s="1"/>
  <c r="R61" i="21"/>
  <c r="S61" i="21" s="1"/>
  <c r="AI61" i="21" s="1"/>
  <c r="W76" i="21"/>
  <c r="AY76" i="21" s="1"/>
  <c r="R9" i="21"/>
  <c r="R56" i="21"/>
  <c r="S56" i="21" s="1"/>
  <c r="AI56" i="21" s="1"/>
  <c r="V43" i="21"/>
  <c r="AJ43" i="21" s="1"/>
  <c r="R31" i="21"/>
  <c r="W31" i="21" s="1"/>
  <c r="AY31" i="21" s="1"/>
  <c r="V32" i="21"/>
  <c r="AJ32" i="21" s="1"/>
  <c r="W99" i="21"/>
  <c r="AY99" i="21" s="1"/>
  <c r="W78" i="21"/>
  <c r="S79" i="21"/>
  <c r="AI79" i="21" s="1"/>
  <c r="W27" i="21"/>
  <c r="AP27" i="21" s="1"/>
  <c r="AQ27" i="21" s="1"/>
  <c r="W59" i="21"/>
  <c r="R13" i="21"/>
  <c r="V13" i="21" s="1"/>
  <c r="AJ13" i="21" s="1"/>
  <c r="S12" i="21"/>
  <c r="AI12" i="21" s="1"/>
  <c r="S84" i="21"/>
  <c r="AI84" i="21" s="1"/>
  <c r="W35" i="21"/>
  <c r="X35" i="21" s="1"/>
  <c r="V79" i="21"/>
  <c r="AJ79" i="21" s="1"/>
  <c r="W51" i="21"/>
  <c r="W22" i="21"/>
  <c r="AY22" i="21" s="1"/>
  <c r="R75" i="21"/>
  <c r="V75" i="21" s="1"/>
  <c r="AJ75" i="21" s="1"/>
  <c r="R15" i="21"/>
  <c r="W15" i="21" s="1"/>
  <c r="AY15" i="21" s="1"/>
  <c r="W70" i="21"/>
  <c r="AY70" i="21" s="1"/>
  <c r="R98" i="21"/>
  <c r="V98" i="21" s="1"/>
  <c r="R89" i="21"/>
  <c r="V89" i="21" s="1"/>
  <c r="AJ89" i="21" s="1"/>
  <c r="R64" i="21"/>
  <c r="S64" i="21" s="1"/>
  <c r="AI64" i="21" s="1"/>
  <c r="R60" i="21"/>
  <c r="V60" i="21" s="1"/>
  <c r="AJ60" i="21" s="1"/>
  <c r="S27" i="21"/>
  <c r="AI27" i="21" s="1"/>
  <c r="V12" i="21"/>
  <c r="V84" i="21"/>
  <c r="AJ84" i="21" s="1"/>
  <c r="V67" i="21"/>
  <c r="AJ67" i="21" s="1"/>
  <c r="R44" i="21"/>
  <c r="V44" i="21" s="1"/>
  <c r="AJ44" i="21" s="1"/>
  <c r="V10" i="21"/>
  <c r="S74" i="21"/>
  <c r="AI74" i="21" s="1"/>
  <c r="V24" i="21"/>
  <c r="R109" i="21"/>
  <c r="V109" i="21" s="1"/>
  <c r="AJ109" i="21" s="1"/>
  <c r="S87" i="21"/>
  <c r="AI87" i="21" s="1"/>
  <c r="W55" i="21"/>
  <c r="S40" i="21"/>
  <c r="AI40" i="21" s="1"/>
  <c r="R90" i="21"/>
  <c r="V90" i="21" s="1"/>
  <c r="S78" i="21"/>
  <c r="AI78" i="21" s="1"/>
  <c r="W54" i="21"/>
  <c r="W84" i="21"/>
  <c r="AY84" i="21" s="1"/>
  <c r="R41" i="21"/>
  <c r="S41" i="21" s="1"/>
  <c r="AI41" i="21" s="1"/>
  <c r="R18" i="21"/>
  <c r="W18" i="21" s="1"/>
  <c r="R20" i="21"/>
  <c r="W20" i="21" s="1"/>
  <c r="R42" i="21"/>
  <c r="W42" i="21" s="1"/>
  <c r="AY42" i="21" s="1"/>
  <c r="V27" i="21"/>
  <c r="AJ27" i="21" s="1"/>
  <c r="S83" i="21"/>
  <c r="AI83" i="21" s="1"/>
  <c r="V23" i="21"/>
  <c r="AJ23" i="21" s="1"/>
  <c r="S66" i="21"/>
  <c r="AI66" i="21" s="1"/>
  <c r="R62" i="21"/>
  <c r="W62" i="21" s="1"/>
  <c r="AY62" i="21" s="1"/>
  <c r="S22" i="21"/>
  <c r="AI22" i="21" s="1"/>
  <c r="V74" i="21"/>
  <c r="AJ74" i="21" s="1"/>
  <c r="R106" i="21"/>
  <c r="W106" i="21" s="1"/>
  <c r="AY106" i="21" s="1"/>
  <c r="W101" i="21"/>
  <c r="AY101" i="21" s="1"/>
  <c r="S21" i="21"/>
  <c r="AI21" i="21" s="1"/>
  <c r="W25" i="21"/>
  <c r="AY25" i="21" s="1"/>
  <c r="S82" i="21"/>
  <c r="AI82" i="21" s="1"/>
  <c r="V87" i="21"/>
  <c r="AJ87" i="21" s="1"/>
  <c r="S46" i="21"/>
  <c r="AI46" i="21" s="1"/>
  <c r="R50" i="21"/>
  <c r="W50" i="21" s="1"/>
  <c r="S38" i="21"/>
  <c r="AI38" i="21" s="1"/>
  <c r="V40" i="21"/>
  <c r="V78" i="21"/>
  <c r="AJ78" i="21" s="1"/>
  <c r="S94" i="21"/>
  <c r="AI94" i="21" s="1"/>
  <c r="W81" i="21"/>
  <c r="AP81" i="21" s="1"/>
  <c r="AQ81" i="21" s="1"/>
  <c r="W80" i="21"/>
  <c r="AA87" i="20"/>
  <c r="AB87" i="20" s="1"/>
  <c r="AC87" i="20" s="1"/>
  <c r="Y87" i="20"/>
  <c r="AJ87" i="20"/>
  <c r="AK87" i="20" s="1"/>
  <c r="BR87" i="20" s="1"/>
  <c r="AW87" i="20"/>
  <c r="AN50" i="20"/>
  <c r="AW50" i="20"/>
  <c r="AX50" i="20" s="1"/>
  <c r="AD9" i="20"/>
  <c r="AE9" i="20" s="1"/>
  <c r="AF9" i="20" s="1"/>
  <c r="X74" i="20"/>
  <c r="AY74" i="20"/>
  <c r="AS9" i="20"/>
  <c r="AY63" i="20"/>
  <c r="AY57" i="20"/>
  <c r="Y9" i="20"/>
  <c r="AP37" i="21"/>
  <c r="AQ37" i="21" s="1"/>
  <c r="AA9" i="20"/>
  <c r="AB9" i="20" s="1"/>
  <c r="AC9" i="20" s="1"/>
  <c r="AL37" i="21"/>
  <c r="AM37" i="21" s="1"/>
  <c r="AY37" i="21"/>
  <c r="X9" i="20"/>
  <c r="AY55" i="20"/>
  <c r="AG55" i="20"/>
  <c r="AH55" i="20" s="1"/>
  <c r="AK55" i="20" s="1"/>
  <c r="BR55" i="20" s="1"/>
  <c r="X66" i="20"/>
  <c r="AY66" i="20"/>
  <c r="AA80" i="21"/>
  <c r="AB80" i="21" s="1"/>
  <c r="AC80" i="21" s="1"/>
  <c r="AS76" i="21"/>
  <c r="AN76" i="21"/>
  <c r="AD76" i="21"/>
  <c r="AE76" i="21" s="1"/>
  <c r="AF76" i="21" s="1"/>
  <c r="Y76" i="21"/>
  <c r="AW76" i="21"/>
  <c r="AY102" i="21"/>
  <c r="AA76" i="21"/>
  <c r="AB76" i="21" s="1"/>
  <c r="AC76" i="21" s="1"/>
  <c r="AS81" i="21"/>
  <c r="Y81" i="21"/>
  <c r="AA81" i="21"/>
  <c r="AB81" i="21" s="1"/>
  <c r="AC81" i="21" s="1"/>
  <c r="AW81" i="21"/>
  <c r="AN81" i="21"/>
  <c r="AD81" i="21"/>
  <c r="AE81" i="21" s="1"/>
  <c r="AF81" i="21" s="1"/>
  <c r="AY73" i="21"/>
  <c r="AD36" i="21"/>
  <c r="AE36" i="21" s="1"/>
  <c r="AF36" i="21" s="1"/>
  <c r="Y36" i="21"/>
  <c r="AW36" i="21"/>
  <c r="AN36" i="21"/>
  <c r="AS36" i="21"/>
  <c r="AW80" i="21"/>
  <c r="AS80" i="21"/>
  <c r="AN80" i="21"/>
  <c r="AD80" i="21"/>
  <c r="AE80" i="21" s="1"/>
  <c r="AF80" i="21" s="1"/>
  <c r="Y80" i="21"/>
  <c r="AY30" i="21"/>
  <c r="AW49" i="21"/>
  <c r="AS49" i="21"/>
  <c r="AN49" i="21"/>
  <c r="AA49" i="21"/>
  <c r="AB49" i="21" s="1"/>
  <c r="AC49" i="21" s="1"/>
  <c r="Y49" i="21"/>
  <c r="AD49" i="21"/>
  <c r="AE49" i="21" s="1"/>
  <c r="AF49" i="21" s="1"/>
  <c r="AA36" i="21"/>
  <c r="AB36" i="21" s="1"/>
  <c r="AC36" i="21" s="1"/>
  <c r="AA89" i="20"/>
  <c r="AB89" i="20" s="1"/>
  <c r="AC89" i="20" s="1"/>
  <c r="AK200" i="20"/>
  <c r="BR200" i="20" s="1"/>
  <c r="AJ82" i="20"/>
  <c r="AK82" i="20" s="1"/>
  <c r="BR82" i="20" s="1"/>
  <c r="AN82" i="20"/>
  <c r="AW82" i="20"/>
  <c r="Y82" i="20"/>
  <c r="AA82" i="20"/>
  <c r="AB82" i="20" s="1"/>
  <c r="AC82" i="20" s="1"/>
  <c r="AA111" i="20"/>
  <c r="AB111" i="20" s="1"/>
  <c r="AC111" i="20" s="1"/>
  <c r="S62" i="20"/>
  <c r="AI62" i="20" s="1"/>
  <c r="AL62" i="20"/>
  <c r="W62" i="20"/>
  <c r="AP62" i="20"/>
  <c r="AP48" i="20"/>
  <c r="AQ48" i="20" s="1"/>
  <c r="AV48" i="20"/>
  <c r="AL48" i="20"/>
  <c r="AM48" i="20" s="1"/>
  <c r="W48" i="20"/>
  <c r="AY48" i="20" s="1"/>
  <c r="S72" i="20"/>
  <c r="AI72" i="20" s="1"/>
  <c r="AP72" i="20"/>
  <c r="AL72" i="20"/>
  <c r="W72" i="20"/>
  <c r="V44" i="20"/>
  <c r="W44" i="20"/>
  <c r="AG44" i="20" s="1"/>
  <c r="AP44" i="20"/>
  <c r="AL44" i="20"/>
  <c r="AW86" i="20"/>
  <c r="AL46" i="20"/>
  <c r="AM46" i="20" s="1"/>
  <c r="W46" i="20"/>
  <c r="AY46" i="20" s="1"/>
  <c r="AP46" i="20"/>
  <c r="AQ46" i="20" s="1"/>
  <c r="AV46" i="20"/>
  <c r="S81" i="20"/>
  <c r="AI81" i="20" s="1"/>
  <c r="AP81" i="20"/>
  <c r="AL81" i="20"/>
  <c r="W81" i="20"/>
  <c r="AY81" i="20" s="1"/>
  <c r="AP64" i="20"/>
  <c r="AQ64" i="20" s="1"/>
  <c r="AV64" i="20"/>
  <c r="AL64" i="20"/>
  <c r="AM64" i="20" s="1"/>
  <c r="W64" i="20"/>
  <c r="S51" i="20"/>
  <c r="AI51" i="20" s="1"/>
  <c r="W51" i="20"/>
  <c r="AG51" i="20" s="1"/>
  <c r="AP51" i="20"/>
  <c r="AL51" i="20"/>
  <c r="V54" i="20"/>
  <c r="AL54" i="20"/>
  <c r="W54" i="20"/>
  <c r="AP54" i="20"/>
  <c r="Y86" i="20"/>
  <c r="V45" i="20"/>
  <c r="W45" i="20"/>
  <c r="AG45" i="20" s="1"/>
  <c r="AP45" i="20"/>
  <c r="AL45" i="20"/>
  <c r="S78" i="20"/>
  <c r="AI78" i="20" s="1"/>
  <c r="AL78" i="20"/>
  <c r="W78" i="20"/>
  <c r="AY78" i="20" s="1"/>
  <c r="AP78" i="20"/>
  <c r="V73" i="20"/>
  <c r="AP73" i="20"/>
  <c r="AL73" i="20"/>
  <c r="W73" i="20"/>
  <c r="AY73" i="20" s="1"/>
  <c r="AP56" i="20"/>
  <c r="AQ56" i="20" s="1"/>
  <c r="AV56" i="20"/>
  <c r="AL56" i="20"/>
  <c r="AM56" i="20" s="1"/>
  <c r="W56" i="20"/>
  <c r="AG56" i="20" s="1"/>
  <c r="AH56" i="20" s="1"/>
  <c r="W60" i="20"/>
  <c r="AG60" i="20" s="1"/>
  <c r="AH60" i="20" s="1"/>
  <c r="AP60" i="20"/>
  <c r="AQ60" i="20" s="1"/>
  <c r="AV60" i="20"/>
  <c r="AL60" i="20"/>
  <c r="AM60" i="20" s="1"/>
  <c r="AN86" i="20"/>
  <c r="V84" i="20"/>
  <c r="AW84" i="20" s="1"/>
  <c r="W84" i="20"/>
  <c r="AY84" i="20" s="1"/>
  <c r="AP84" i="20"/>
  <c r="AL84" i="20"/>
  <c r="AJ86" i="20"/>
  <c r="AD86" i="20"/>
  <c r="AE86" i="20" s="1"/>
  <c r="AF86" i="20" s="1"/>
  <c r="W68" i="20"/>
  <c r="AY68" i="20" s="1"/>
  <c r="AP68" i="20"/>
  <c r="AQ68" i="20" s="1"/>
  <c r="AL68" i="20"/>
  <c r="AM68" i="20" s="1"/>
  <c r="AN174" i="20"/>
  <c r="AD174" i="20"/>
  <c r="AE174" i="20" s="1"/>
  <c r="AF174" i="20" s="1"/>
  <c r="Y174" i="20"/>
  <c r="AJ174" i="20"/>
  <c r="Y148" i="20"/>
  <c r="AD132" i="20"/>
  <c r="AE132" i="20" s="1"/>
  <c r="AF132" i="20" s="1"/>
  <c r="X105" i="20"/>
  <c r="AQ197" i="20"/>
  <c r="AT197" i="20" s="1"/>
  <c r="BT197" i="20" s="1"/>
  <c r="AY135" i="20"/>
  <c r="BC148" i="20"/>
  <c r="BV148" i="20" s="1"/>
  <c r="AQ9" i="20"/>
  <c r="Y89" i="20"/>
  <c r="AQ52" i="20"/>
  <c r="Z10" i="20"/>
  <c r="AY169" i="20"/>
  <c r="AA184" i="20"/>
  <c r="AB184" i="20" s="1"/>
  <c r="AC184" i="20" s="1"/>
  <c r="AD89" i="20"/>
  <c r="AE89" i="20" s="1"/>
  <c r="AF89" i="20" s="1"/>
  <c r="AJ89" i="20"/>
  <c r="X147" i="20"/>
  <c r="AD111" i="20"/>
  <c r="AE111" i="20" s="1"/>
  <c r="AF111" i="20" s="1"/>
  <c r="AH148" i="20"/>
  <c r="V95" i="20"/>
  <c r="AW95" i="20" s="1"/>
  <c r="X132" i="20"/>
  <c r="Z132" i="20" s="1"/>
  <c r="AH207" i="20"/>
  <c r="BC32" i="20"/>
  <c r="BV32" i="20" s="1"/>
  <c r="BC139" i="20"/>
  <c r="BV139" i="20" s="1"/>
  <c r="BC146" i="20"/>
  <c r="BV146" i="20" s="1"/>
  <c r="X207" i="20"/>
  <c r="AY139" i="20"/>
  <c r="S95" i="20"/>
  <c r="AI95" i="20" s="1"/>
  <c r="AN168" i="20"/>
  <c r="X199" i="20"/>
  <c r="V97" i="20"/>
  <c r="AW97" i="20" s="1"/>
  <c r="AV197" i="20"/>
  <c r="AX197" i="20" s="1"/>
  <c r="BU197" i="20" s="1"/>
  <c r="AV105" i="20"/>
  <c r="AX105" i="20" s="1"/>
  <c r="BU105" i="20" s="1"/>
  <c r="AV207" i="20"/>
  <c r="AX207" i="20" s="1"/>
  <c r="BU207" i="20" s="1"/>
  <c r="AJ168" i="20"/>
  <c r="AK168" i="20" s="1"/>
  <c r="BR168" i="20" s="1"/>
  <c r="AA168" i="20"/>
  <c r="AB168" i="20" s="1"/>
  <c r="AC168" i="20" s="1"/>
  <c r="AV24" i="20"/>
  <c r="AQ95" i="20"/>
  <c r="AT95" i="20" s="1"/>
  <c r="BT95" i="20" s="1"/>
  <c r="AY207" i="20"/>
  <c r="AY22" i="20"/>
  <c r="AH33" i="20"/>
  <c r="AK33" i="20" s="1"/>
  <c r="BR33" i="20" s="1"/>
  <c r="X139" i="20"/>
  <c r="AV143" i="20"/>
  <c r="AX143" i="20" s="1"/>
  <c r="BU143" i="20" s="1"/>
  <c r="S117" i="20"/>
  <c r="S179" i="20"/>
  <c r="Y168" i="20"/>
  <c r="AQ207" i="20"/>
  <c r="AT207" i="20" s="1"/>
  <c r="BT207" i="20" s="1"/>
  <c r="AQ33" i="20"/>
  <c r="AQ139" i="20"/>
  <c r="AT139" i="20" s="1"/>
  <c r="BT139" i="20" s="1"/>
  <c r="S143" i="20"/>
  <c r="AH139" i="20"/>
  <c r="AM103" i="20"/>
  <c r="AV139" i="20"/>
  <c r="AX139" i="20" s="1"/>
  <c r="BU139" i="20" s="1"/>
  <c r="V182" i="20"/>
  <c r="AJ182" i="20" s="1"/>
  <c r="AH169" i="20"/>
  <c r="V92" i="20"/>
  <c r="AW92" i="20" s="1"/>
  <c r="AK205" i="20"/>
  <c r="BR205" i="20" s="1"/>
  <c r="AQ125" i="20"/>
  <c r="AT125" i="20" s="1"/>
  <c r="BT125" i="20" s="1"/>
  <c r="AH22" i="20"/>
  <c r="AM33" i="20"/>
  <c r="S102" i="20"/>
  <c r="AI102" i="20" s="1"/>
  <c r="V91" i="20"/>
  <c r="AW91" i="20" s="1"/>
  <c r="AY105" i="20"/>
  <c r="AH105" i="20"/>
  <c r="AM22" i="20"/>
  <c r="X33" i="20"/>
  <c r="BC162" i="20"/>
  <c r="BV162" i="20" s="1"/>
  <c r="AY197" i="20"/>
  <c r="AM105" i="20"/>
  <c r="AM201" i="20"/>
  <c r="Y184" i="20"/>
  <c r="V98" i="20"/>
  <c r="AJ98" i="20" s="1"/>
  <c r="AJ184" i="20"/>
  <c r="S199" i="20"/>
  <c r="AQ169" i="20"/>
  <c r="AT169" i="20" s="1"/>
  <c r="BT169" i="20" s="1"/>
  <c r="AY179" i="20"/>
  <c r="AN184" i="20"/>
  <c r="V94" i="20"/>
  <c r="V93" i="20"/>
  <c r="AW93" i="20" s="1"/>
  <c r="S90" i="20"/>
  <c r="AI90" i="20" s="1"/>
  <c r="AY103" i="20"/>
  <c r="S94" i="20"/>
  <c r="AI94" i="20" s="1"/>
  <c r="S93" i="20"/>
  <c r="AI93" i="20" s="1"/>
  <c r="V90" i="20"/>
  <c r="AW90" i="20" s="1"/>
  <c r="AY90" i="20"/>
  <c r="AY94" i="20"/>
  <c r="AH103" i="20"/>
  <c r="Z197" i="20"/>
  <c r="AQ103" i="20"/>
  <c r="AT103" i="20" s="1"/>
  <c r="BT103" i="20" s="1"/>
  <c r="AV103" i="20"/>
  <c r="AX103" i="20" s="1"/>
  <c r="BU103" i="20" s="1"/>
  <c r="AH197" i="20"/>
  <c r="AK197" i="20" s="1"/>
  <c r="BR197" i="20" s="1"/>
  <c r="S209" i="20"/>
  <c r="AA209" i="20"/>
  <c r="AB209" i="20" s="1"/>
  <c r="AC209" i="20" s="1"/>
  <c r="AQ192" i="20"/>
  <c r="AT192" i="20" s="1"/>
  <c r="BT192" i="20" s="1"/>
  <c r="X43" i="20"/>
  <c r="BC192" i="20"/>
  <c r="BV192" i="20" s="1"/>
  <c r="V56" i="20"/>
  <c r="AS56" i="20" s="1"/>
  <c r="AN209" i="20"/>
  <c r="Y43" i="20"/>
  <c r="AQ127" i="20"/>
  <c r="AT127" i="20" s="1"/>
  <c r="BT127" i="20" s="1"/>
  <c r="X192" i="20"/>
  <c r="AJ209" i="20"/>
  <c r="AS43" i="20"/>
  <c r="AA43" i="20"/>
  <c r="AB43" i="20" s="1"/>
  <c r="AC43" i="20" s="1"/>
  <c r="AH192" i="20"/>
  <c r="AA118" i="20"/>
  <c r="AB118" i="20" s="1"/>
  <c r="AC118" i="20" s="1"/>
  <c r="Y118" i="20"/>
  <c r="AH209" i="20"/>
  <c r="S138" i="20"/>
  <c r="AD118" i="20"/>
  <c r="AE118" i="20" s="1"/>
  <c r="AF118" i="20" s="1"/>
  <c r="AJ118" i="20"/>
  <c r="AW43" i="20"/>
  <c r="S96" i="20"/>
  <c r="AI96" i="20" s="1"/>
  <c r="AH181" i="20"/>
  <c r="AV181" i="20"/>
  <c r="AX181" i="20" s="1"/>
  <c r="BU181" i="20" s="1"/>
  <c r="AY181" i="20"/>
  <c r="AM181" i="20"/>
  <c r="AO181" i="20" s="1"/>
  <c r="BS181" i="20" s="1"/>
  <c r="AQ181" i="20"/>
  <c r="AT181" i="20" s="1"/>
  <c r="BT181" i="20" s="1"/>
  <c r="X181" i="20"/>
  <c r="AJ148" i="20"/>
  <c r="Y198" i="20"/>
  <c r="Z198" i="20" s="1"/>
  <c r="AQ208" i="20"/>
  <c r="AT208" i="20" s="1"/>
  <c r="BT208" i="20" s="1"/>
  <c r="AV204" i="20"/>
  <c r="AX204" i="20" s="1"/>
  <c r="BU204" i="20" s="1"/>
  <c r="S181" i="20"/>
  <c r="AN198" i="20"/>
  <c r="AQ117" i="20"/>
  <c r="AT117" i="20" s="1"/>
  <c r="BT117" i="20" s="1"/>
  <c r="AN132" i="20"/>
  <c r="AY106" i="20"/>
  <c r="X145" i="20"/>
  <c r="S98" i="20"/>
  <c r="AI98" i="20" s="1"/>
  <c r="AY98" i="20"/>
  <c r="AD148" i="20"/>
  <c r="AE148" i="20" s="1"/>
  <c r="AF148" i="20" s="1"/>
  <c r="V102" i="20"/>
  <c r="AW102" i="20" s="1"/>
  <c r="AJ111" i="20"/>
  <c r="AJ132" i="20"/>
  <c r="AK132" i="20" s="1"/>
  <c r="BR132" i="20" s="1"/>
  <c r="AA132" i="20"/>
  <c r="AB132" i="20" s="1"/>
  <c r="AC132" i="20" s="1"/>
  <c r="AV117" i="20"/>
  <c r="AX117" i="20" s="1"/>
  <c r="BU117" i="20" s="1"/>
  <c r="X20" i="20"/>
  <c r="AV106" i="20"/>
  <c r="AX106" i="20" s="1"/>
  <c r="BU106" i="20" s="1"/>
  <c r="V180" i="20"/>
  <c r="AN180" i="20" s="1"/>
  <c r="AN148" i="20"/>
  <c r="AO148" i="20" s="1"/>
  <c r="BS148" i="20" s="1"/>
  <c r="AJ124" i="20"/>
  <c r="AK124" i="20" s="1"/>
  <c r="BR124" i="20" s="1"/>
  <c r="AN111" i="20"/>
  <c r="AK201" i="20"/>
  <c r="BR201" i="20" s="1"/>
  <c r="AM106" i="20"/>
  <c r="AY132" i="20"/>
  <c r="AN183" i="20"/>
  <c r="AO183" i="20" s="1"/>
  <c r="BS183" i="20" s="1"/>
  <c r="AA124" i="20"/>
  <c r="AB124" i="20" s="1"/>
  <c r="AC124" i="20" s="1"/>
  <c r="AY167" i="20"/>
  <c r="Y124" i="20"/>
  <c r="Z124" i="20" s="1"/>
  <c r="AD124" i="20"/>
  <c r="AE124" i="20" s="1"/>
  <c r="AF124" i="20" s="1"/>
  <c r="AJ208" i="20"/>
  <c r="Y208" i="20"/>
  <c r="AA208" i="20"/>
  <c r="AB208" i="20" s="1"/>
  <c r="AC208" i="20" s="1"/>
  <c r="AN208" i="20"/>
  <c r="AD208" i="20"/>
  <c r="AE208" i="20" s="1"/>
  <c r="AF208" i="20" s="1"/>
  <c r="AK52" i="20"/>
  <c r="BR52" i="20" s="1"/>
  <c r="AH167" i="20"/>
  <c r="X167" i="20"/>
  <c r="X86" i="20"/>
  <c r="AQ148" i="20"/>
  <c r="AT148" i="20" s="1"/>
  <c r="BT148" i="20" s="1"/>
  <c r="X148" i="20"/>
  <c r="AQ86" i="20"/>
  <c r="AT86" i="20" s="1"/>
  <c r="BT86" i="20" s="1"/>
  <c r="AH86" i="20"/>
  <c r="AY148" i="20"/>
  <c r="AM69" i="20"/>
  <c r="AM52" i="20"/>
  <c r="AX31" i="20"/>
  <c r="AV148" i="20"/>
  <c r="AX148" i="20" s="1"/>
  <c r="BU148" i="20" s="1"/>
  <c r="AM180" i="20"/>
  <c r="AQ132" i="20"/>
  <c r="AT132" i="20" s="1"/>
  <c r="BT132" i="20" s="1"/>
  <c r="S64" i="20"/>
  <c r="AI64" i="20" s="1"/>
  <c r="AV180" i="20"/>
  <c r="AX180" i="20" s="1"/>
  <c r="BU180" i="20" s="1"/>
  <c r="AM132" i="20"/>
  <c r="AH32" i="20"/>
  <c r="AV132" i="20"/>
  <c r="AX132" i="20" s="1"/>
  <c r="BU132" i="20" s="1"/>
  <c r="AH69" i="20"/>
  <c r="AQ180" i="20"/>
  <c r="AT180" i="20" s="1"/>
  <c r="BT180" i="20" s="1"/>
  <c r="X32" i="20"/>
  <c r="X69" i="20"/>
  <c r="AQ53" i="20"/>
  <c r="AY180" i="20"/>
  <c r="Z183" i="20"/>
  <c r="AY31" i="20"/>
  <c r="X180" i="20"/>
  <c r="AV69" i="20"/>
  <c r="AY32" i="20"/>
  <c r="AH208" i="20"/>
  <c r="AH186" i="20"/>
  <c r="AV43" i="20"/>
  <c r="AH125" i="20"/>
  <c r="AK125" i="20" s="1"/>
  <c r="BR125" i="20" s="1"/>
  <c r="AH20" i="20"/>
  <c r="X135" i="20"/>
  <c r="AQ135" i="20"/>
  <c r="AT135" i="20" s="1"/>
  <c r="BT135" i="20" s="1"/>
  <c r="AV200" i="20"/>
  <c r="AX200" i="20" s="1"/>
  <c r="BU200" i="20" s="1"/>
  <c r="AH75" i="20"/>
  <c r="AY131" i="20"/>
  <c r="AD47" i="20"/>
  <c r="AE47" i="20" s="1"/>
  <c r="AF47" i="20" s="1"/>
  <c r="AQ43" i="20"/>
  <c r="AT43" i="20" s="1"/>
  <c r="AM20" i="20"/>
  <c r="AM75" i="20"/>
  <c r="AM135" i="20"/>
  <c r="BC20" i="20"/>
  <c r="BV20" i="20" s="1"/>
  <c r="AQ167" i="20"/>
  <c r="AT167" i="20" s="1"/>
  <c r="BT167" i="20" s="1"/>
  <c r="AQ200" i="20"/>
  <c r="AT200" i="20" s="1"/>
  <c r="BT200" i="20" s="1"/>
  <c r="AH131" i="20"/>
  <c r="AA47" i="20"/>
  <c r="AB47" i="20" s="1"/>
  <c r="AC47" i="20" s="1"/>
  <c r="X200" i="20"/>
  <c r="Z200" i="20" s="1"/>
  <c r="X150" i="20"/>
  <c r="Z150" i="20" s="1"/>
  <c r="AW47" i="20"/>
  <c r="AY20" i="20"/>
  <c r="AQ191" i="20"/>
  <c r="AT191" i="20" s="1"/>
  <c r="BT191" i="20" s="1"/>
  <c r="AY191" i="20"/>
  <c r="AV191" i="20"/>
  <c r="AX191" i="20" s="1"/>
  <c r="BU191" i="20" s="1"/>
  <c r="AH191" i="20"/>
  <c r="X191" i="20"/>
  <c r="AM125" i="20"/>
  <c r="AO125" i="20" s="1"/>
  <c r="BS125" i="20" s="1"/>
  <c r="AY43" i="20"/>
  <c r="AH150" i="20"/>
  <c r="AK150" i="20" s="1"/>
  <c r="BR150" i="20" s="1"/>
  <c r="AA142" i="20"/>
  <c r="AB142" i="20" s="1"/>
  <c r="AC142" i="20" s="1"/>
  <c r="AH135" i="20"/>
  <c r="AM200" i="20"/>
  <c r="AO200" i="20" s="1"/>
  <c r="BS200" i="20" s="1"/>
  <c r="AQ199" i="20"/>
  <c r="AT199" i="20" s="1"/>
  <c r="BT199" i="20" s="1"/>
  <c r="AH43" i="20"/>
  <c r="AK43" i="20" s="1"/>
  <c r="BR43" i="20" s="1"/>
  <c r="AY125" i="20"/>
  <c r="Y47" i="20"/>
  <c r="X83" i="20"/>
  <c r="AA22" i="20"/>
  <c r="AB22" i="20" s="1"/>
  <c r="AC22" i="20" s="1"/>
  <c r="AN179" i="20"/>
  <c r="Y142" i="20"/>
  <c r="AD142" i="20"/>
  <c r="AE142" i="20" s="1"/>
  <c r="AF142" i="20" s="1"/>
  <c r="X58" i="20"/>
  <c r="X59" i="20"/>
  <c r="AY189" i="20"/>
  <c r="BC122" i="20"/>
  <c r="BV122" i="20" s="1"/>
  <c r="AV186" i="20"/>
  <c r="AX186" i="20" s="1"/>
  <c r="BU186" i="20" s="1"/>
  <c r="X94" i="21"/>
  <c r="AQ50" i="20"/>
  <c r="AV125" i="20"/>
  <c r="AX125" i="20" s="1"/>
  <c r="BU125" i="20" s="1"/>
  <c r="AS47" i="20"/>
  <c r="AH71" i="20"/>
  <c r="AD183" i="20"/>
  <c r="AE183" i="20" s="1"/>
  <c r="AF183" i="20" s="1"/>
  <c r="AN142" i="20"/>
  <c r="Y179" i="20"/>
  <c r="AW22" i="20"/>
  <c r="AX22" i="20" s="1"/>
  <c r="AD22" i="20"/>
  <c r="AE22" i="20" s="1"/>
  <c r="AF22" i="20" s="1"/>
  <c r="Y22" i="20"/>
  <c r="Z22" i="20" s="1"/>
  <c r="X117" i="20"/>
  <c r="AY117" i="20"/>
  <c r="BC101" i="20"/>
  <c r="BV101" i="20" s="1"/>
  <c r="AM199" i="20"/>
  <c r="AG94" i="21"/>
  <c r="AH94" i="21" s="1"/>
  <c r="AH50" i="20"/>
  <c r="AK50" i="20" s="1"/>
  <c r="BR50" i="20" s="1"/>
  <c r="AX101" i="20"/>
  <c r="BU101" i="20" s="1"/>
  <c r="AV169" i="20"/>
  <c r="AX169" i="20" s="1"/>
  <c r="BU169" i="20" s="1"/>
  <c r="AA198" i="20"/>
  <c r="AB198" i="20" s="1"/>
  <c r="AC198" i="20" s="1"/>
  <c r="AJ198" i="20"/>
  <c r="AK198" i="20" s="1"/>
  <c r="BR198" i="20" s="1"/>
  <c r="AY200" i="20"/>
  <c r="AQ85" i="20"/>
  <c r="AT85" i="20" s="1"/>
  <c r="BT85" i="20" s="1"/>
  <c r="AM87" i="20"/>
  <c r="AQ163" i="20"/>
  <c r="AT163" i="20" s="1"/>
  <c r="BT163" i="20" s="1"/>
  <c r="X163" i="20"/>
  <c r="AV163" i="20"/>
  <c r="AX163" i="20" s="1"/>
  <c r="BU163" i="20" s="1"/>
  <c r="AY163" i="20"/>
  <c r="AY127" i="20"/>
  <c r="AH127" i="20"/>
  <c r="AJ65" i="20"/>
  <c r="AS65" i="20"/>
  <c r="AD57" i="20"/>
  <c r="AE57" i="20" s="1"/>
  <c r="AF57" i="20" s="1"/>
  <c r="AS57" i="20"/>
  <c r="AV58" i="20"/>
  <c r="AM168" i="20"/>
  <c r="AW57" i="20"/>
  <c r="AH58" i="20"/>
  <c r="AQ58" i="20"/>
  <c r="AT58" i="20" s="1"/>
  <c r="AM151" i="20"/>
  <c r="AO151" i="20" s="1"/>
  <c r="BS151" i="20" s="1"/>
  <c r="AY151" i="20"/>
  <c r="AQ59" i="20"/>
  <c r="AT59" i="20" s="1"/>
  <c r="AV59" i="20"/>
  <c r="Y11" i="30"/>
  <c r="Y13" i="30" s="1"/>
  <c r="Y16" i="30" s="1"/>
  <c r="AM59" i="20"/>
  <c r="AS49" i="20"/>
  <c r="AH88" i="20"/>
  <c r="AQ88" i="20"/>
  <c r="AT88" i="20" s="1"/>
  <c r="BT88" i="20" s="1"/>
  <c r="AV52" i="20"/>
  <c r="AY52" i="20"/>
  <c r="AW65" i="20"/>
  <c r="AX65" i="20" s="1"/>
  <c r="BU65" i="20" s="1"/>
  <c r="AQ57" i="20"/>
  <c r="S60" i="20"/>
  <c r="AI60" i="20" s="1"/>
  <c r="AH17" i="20"/>
  <c r="AH21" i="20"/>
  <c r="AK21" i="20" s="1"/>
  <c r="BR21" i="20" s="1"/>
  <c r="AH65" i="20"/>
  <c r="AV21" i="20"/>
  <c r="AX21" i="20" s="1"/>
  <c r="AK157" i="20"/>
  <c r="BR157" i="20" s="1"/>
  <c r="Z113" i="20"/>
  <c r="AK151" i="20"/>
  <c r="BR151" i="20" s="1"/>
  <c r="AQ65" i="20"/>
  <c r="X88" i="20"/>
  <c r="X75" i="20"/>
  <c r="AV79" i="20"/>
  <c r="X50" i="20"/>
  <c r="AV168" i="20"/>
  <c r="AX168" i="20" s="1"/>
  <c r="BU168" i="20" s="1"/>
  <c r="Y57" i="20"/>
  <c r="Z57" i="20" s="1"/>
  <c r="Y65" i="20"/>
  <c r="AM65" i="20"/>
  <c r="AY168" i="20"/>
  <c r="AM88" i="20"/>
  <c r="AQ75" i="20"/>
  <c r="AT75" i="20" s="1"/>
  <c r="BT75" i="20" s="1"/>
  <c r="X79" i="20"/>
  <c r="AM50" i="20"/>
  <c r="AM17" i="20"/>
  <c r="AO17" i="20" s="1"/>
  <c r="BS17" i="20" s="1"/>
  <c r="X168" i="20"/>
  <c r="AY193" i="20"/>
  <c r="AQ193" i="20"/>
  <c r="AT193" i="20" s="1"/>
  <c r="BT193" i="20" s="1"/>
  <c r="BC79" i="20"/>
  <c r="BV79" i="20" s="1"/>
  <c r="AY17" i="20"/>
  <c r="AQ151" i="20"/>
  <c r="AT151" i="20" s="1"/>
  <c r="BT151" i="20" s="1"/>
  <c r="Z205" i="20"/>
  <c r="X17" i="20"/>
  <c r="AV151" i="20"/>
  <c r="AX151" i="20" s="1"/>
  <c r="BU151" i="20" s="1"/>
  <c r="AM193" i="20"/>
  <c r="AO193" i="20" s="1"/>
  <c r="BS193" i="20" s="1"/>
  <c r="AH193" i="20"/>
  <c r="AK193" i="20" s="1"/>
  <c r="AV67" i="20"/>
  <c r="BC17" i="20"/>
  <c r="BV17" i="20" s="1"/>
  <c r="AQ168" i="20"/>
  <c r="AT168" i="20" s="1"/>
  <c r="BT168" i="20" s="1"/>
  <c r="X151" i="20"/>
  <c r="Z151" i="20" s="1"/>
  <c r="X118" i="20"/>
  <c r="AH203" i="20"/>
  <c r="X65" i="20"/>
  <c r="X193" i="20"/>
  <c r="Z193" i="20" s="1"/>
  <c r="X53" i="20"/>
  <c r="AV55" i="20"/>
  <c r="AY118" i="20"/>
  <c r="AH118" i="20"/>
  <c r="AD157" i="20"/>
  <c r="AE157" i="20" s="1"/>
  <c r="AF157" i="20" s="1"/>
  <c r="AK140" i="20"/>
  <c r="BR140" i="20" s="1"/>
  <c r="AV118" i="20"/>
  <c r="AX118" i="20" s="1"/>
  <c r="BU118" i="20" s="1"/>
  <c r="AH80" i="20"/>
  <c r="Y165" i="20"/>
  <c r="Z165" i="20" s="1"/>
  <c r="Y157" i="20"/>
  <c r="Z157" i="20" s="1"/>
  <c r="BC183" i="20"/>
  <c r="BV183" i="20" s="1"/>
  <c r="AV82" i="20"/>
  <c r="AM16" i="20"/>
  <c r="AO16" i="20" s="1"/>
  <c r="BS16" i="20" s="1"/>
  <c r="AQ80" i="20"/>
  <c r="AT80" i="20" s="1"/>
  <c r="BT80" i="20" s="1"/>
  <c r="X111" i="20"/>
  <c r="AN165" i="20"/>
  <c r="AN157" i="20"/>
  <c r="X82" i="20"/>
  <c r="AQ118" i="20"/>
  <c r="AT118" i="20" s="1"/>
  <c r="BT118" i="20" s="1"/>
  <c r="AJ165" i="20"/>
  <c r="AK165" i="20" s="1"/>
  <c r="BR165" i="20" s="1"/>
  <c r="AA157" i="20"/>
  <c r="AB157" i="20" s="1"/>
  <c r="AC157" i="20" s="1"/>
  <c r="Y199" i="20"/>
  <c r="AY178" i="20"/>
  <c r="X55" i="20"/>
  <c r="AJ57" i="20"/>
  <c r="AQ82" i="20"/>
  <c r="AT82" i="20" s="1"/>
  <c r="BT82" i="20" s="1"/>
  <c r="AQ178" i="20"/>
  <c r="AT178" i="20" s="1"/>
  <c r="BT178" i="20" s="1"/>
  <c r="AQ55" i="20"/>
  <c r="AM118" i="20"/>
  <c r="AO118" i="20" s="1"/>
  <c r="BS118" i="20" s="1"/>
  <c r="AN57" i="20"/>
  <c r="AQ63" i="20"/>
  <c r="AT63" i="20" s="1"/>
  <c r="X178" i="20"/>
  <c r="AH89" i="20"/>
  <c r="AJ131" i="20"/>
  <c r="AD201" i="20"/>
  <c r="AE201" i="20" s="1"/>
  <c r="AF201" i="20" s="1"/>
  <c r="Y201" i="20"/>
  <c r="Z201" i="20" s="1"/>
  <c r="AX10" i="20"/>
  <c r="AA201" i="20"/>
  <c r="AB201" i="20" s="1"/>
  <c r="AC201" i="20" s="1"/>
  <c r="AN201" i="20"/>
  <c r="AN163" i="20"/>
  <c r="AS20" i="20"/>
  <c r="AA163" i="20"/>
  <c r="AB163" i="20" s="1"/>
  <c r="AC163" i="20" s="1"/>
  <c r="AW20" i="20"/>
  <c r="AX20" i="20" s="1"/>
  <c r="BU20" i="20" s="1"/>
  <c r="AN131" i="20"/>
  <c r="AJ163" i="20"/>
  <c r="AK163" i="20" s="1"/>
  <c r="BR163" i="20" s="1"/>
  <c r="AA20" i="20"/>
  <c r="AB20" i="20" s="1"/>
  <c r="AC20" i="20" s="1"/>
  <c r="Y163" i="20"/>
  <c r="AD20" i="20"/>
  <c r="AE20" i="20" s="1"/>
  <c r="AF20" i="20" s="1"/>
  <c r="X29" i="20"/>
  <c r="AQ29" i="20"/>
  <c r="AN167" i="20"/>
  <c r="AD167" i="20"/>
  <c r="AE167" i="20" s="1"/>
  <c r="AF167" i="20" s="1"/>
  <c r="AK113" i="20"/>
  <c r="BR113" i="20" s="1"/>
  <c r="AV85" i="20"/>
  <c r="AM186" i="20"/>
  <c r="AV208" i="20"/>
  <c r="AX208" i="20" s="1"/>
  <c r="BU208" i="20" s="1"/>
  <c r="AV57" i="20"/>
  <c r="AH178" i="20"/>
  <c r="X61" i="20"/>
  <c r="AM131" i="20"/>
  <c r="AY150" i="20"/>
  <c r="X21" i="20"/>
  <c r="Z21" i="20" s="1"/>
  <c r="X89" i="20"/>
  <c r="BC127" i="20"/>
  <c r="BV127" i="20" s="1"/>
  <c r="V112" i="20"/>
  <c r="AJ183" i="20"/>
  <c r="AK183" i="20" s="1"/>
  <c r="S175" i="20"/>
  <c r="AQ111" i="20"/>
  <c r="AT111" i="20" s="1"/>
  <c r="BT111" i="20" s="1"/>
  <c r="AY111" i="20"/>
  <c r="AH189" i="20"/>
  <c r="AQ186" i="20"/>
  <c r="AT186" i="20" s="1"/>
  <c r="BT186" i="20" s="1"/>
  <c r="X208" i="20"/>
  <c r="AM57" i="20"/>
  <c r="AM67" i="20"/>
  <c r="AH99" i="20"/>
  <c r="AK99" i="20" s="1"/>
  <c r="BR99" i="20" s="1"/>
  <c r="AV53" i="20"/>
  <c r="AM178" i="20"/>
  <c r="AV131" i="20"/>
  <c r="AX131" i="20" s="1"/>
  <c r="BU131" i="20" s="1"/>
  <c r="AQ150" i="20"/>
  <c r="AT150" i="20" s="1"/>
  <c r="BT150" i="20" s="1"/>
  <c r="BC31" i="20"/>
  <c r="BV31" i="20" s="1"/>
  <c r="AY89" i="20"/>
  <c r="X71" i="20"/>
  <c r="AV145" i="20"/>
  <c r="AX145" i="20" s="1"/>
  <c r="BU145" i="20" s="1"/>
  <c r="X80" i="20"/>
  <c r="AQ145" i="20"/>
  <c r="AT145" i="20" s="1"/>
  <c r="BT145" i="20" s="1"/>
  <c r="V108" i="20"/>
  <c r="V62" i="20"/>
  <c r="AV114" i="20"/>
  <c r="AX114" i="20" s="1"/>
  <c r="BU114" i="20" s="1"/>
  <c r="AH111" i="20"/>
  <c r="S158" i="20"/>
  <c r="AH144" i="20"/>
  <c r="S126" i="20"/>
  <c r="AA181" i="20"/>
  <c r="AB181" i="20" s="1"/>
  <c r="AC181" i="20" s="1"/>
  <c r="V36" i="20"/>
  <c r="AJ36" i="20" s="1"/>
  <c r="AA65" i="20"/>
  <c r="AB65" i="20" s="1"/>
  <c r="AC65" i="20" s="1"/>
  <c r="AN65" i="20"/>
  <c r="AJ199" i="20"/>
  <c r="AN199" i="20"/>
  <c r="X189" i="20"/>
  <c r="X186" i="20"/>
  <c r="AV150" i="20"/>
  <c r="AX150" i="20" s="1"/>
  <c r="BU150" i="20" s="1"/>
  <c r="AM89" i="20"/>
  <c r="AO89" i="20" s="1"/>
  <c r="BS89" i="20" s="1"/>
  <c r="S44" i="20"/>
  <c r="AI44" i="20" s="1"/>
  <c r="V11" i="20"/>
  <c r="V64" i="20"/>
  <c r="AJ64" i="20" s="1"/>
  <c r="Y181" i="20"/>
  <c r="AA167" i="20"/>
  <c r="AB167" i="20" s="1"/>
  <c r="AC167" i="20" s="1"/>
  <c r="AD65" i="20"/>
  <c r="AE65" i="20" s="1"/>
  <c r="AF65" i="20" s="1"/>
  <c r="AM85" i="20"/>
  <c r="AQ131" i="20"/>
  <c r="AT131" i="20" s="1"/>
  <c r="BT131" i="20" s="1"/>
  <c r="AH145" i="20"/>
  <c r="X67" i="20"/>
  <c r="AH53" i="20"/>
  <c r="AK53" i="20" s="1"/>
  <c r="BR53" i="20" s="1"/>
  <c r="AQ71" i="20"/>
  <c r="AT71" i="20" s="1"/>
  <c r="BT71" i="20" s="1"/>
  <c r="AY154" i="20"/>
  <c r="AQ189" i="20"/>
  <c r="AT189" i="20" s="1"/>
  <c r="BT189" i="20" s="1"/>
  <c r="AM82" i="20"/>
  <c r="AM32" i="20"/>
  <c r="AV86" i="20"/>
  <c r="X85" i="20"/>
  <c r="AH79" i="20"/>
  <c r="AQ67" i="20"/>
  <c r="AT67" i="20" s="1"/>
  <c r="BT67" i="20" s="1"/>
  <c r="X99" i="20"/>
  <c r="Z99" i="20" s="1"/>
  <c r="AM21" i="20"/>
  <c r="AO21" i="20" s="1"/>
  <c r="BS21" i="20" s="1"/>
  <c r="AH31" i="20"/>
  <c r="AK31" i="20" s="1"/>
  <c r="BR31" i="20" s="1"/>
  <c r="X52" i="20"/>
  <c r="BC74" i="20"/>
  <c r="BV74" i="20" s="1"/>
  <c r="AM145" i="20"/>
  <c r="AM140" i="20"/>
  <c r="V60" i="20"/>
  <c r="AQ115" i="20"/>
  <c r="AT115" i="20" s="1"/>
  <c r="BT115" i="20" s="1"/>
  <c r="AD165" i="20"/>
  <c r="AE165" i="20" s="1"/>
  <c r="AF165" i="20" s="1"/>
  <c r="V110" i="20"/>
  <c r="S154" i="20"/>
  <c r="S136" i="20"/>
  <c r="V126" i="20"/>
  <c r="AD126" i="20" s="1"/>
  <c r="AE126" i="20" s="1"/>
  <c r="AF126" i="20" s="1"/>
  <c r="AD181" i="20"/>
  <c r="AE181" i="20" s="1"/>
  <c r="AF181" i="20" s="1"/>
  <c r="AA57" i="20"/>
  <c r="AB57" i="20" s="1"/>
  <c r="AC57" i="20" s="1"/>
  <c r="AA199" i="20"/>
  <c r="AB199" i="20" s="1"/>
  <c r="AC199" i="20" s="1"/>
  <c r="Y131" i="20"/>
  <c r="Z131" i="20" s="1"/>
  <c r="AA131" i="20"/>
  <c r="AB131" i="20" s="1"/>
  <c r="AC131" i="20" s="1"/>
  <c r="AS24" i="20"/>
  <c r="AT24" i="20" s="1"/>
  <c r="AA24" i="20"/>
  <c r="AB24" i="20" s="1"/>
  <c r="AC24" i="20" s="1"/>
  <c r="AD24" i="20"/>
  <c r="AE24" i="20" s="1"/>
  <c r="AF24" i="20" s="1"/>
  <c r="Y24" i="20"/>
  <c r="Z24" i="20" s="1"/>
  <c r="AW24" i="20"/>
  <c r="AD179" i="20"/>
  <c r="AE179" i="20" s="1"/>
  <c r="AF179" i="20" s="1"/>
  <c r="AA179" i="20"/>
  <c r="AB179" i="20" s="1"/>
  <c r="AC179" i="20" s="1"/>
  <c r="AV89" i="20"/>
  <c r="AV99" i="20"/>
  <c r="AX99" i="20" s="1"/>
  <c r="BU99" i="20" s="1"/>
  <c r="X31" i="20"/>
  <c r="Z31" i="20" s="1"/>
  <c r="AA183" i="20"/>
  <c r="AB183" i="20" s="1"/>
  <c r="AC183" i="20" s="1"/>
  <c r="S56" i="20"/>
  <c r="AI56" i="20" s="1"/>
  <c r="AJ181" i="20"/>
  <c r="AM189" i="20"/>
  <c r="AQ99" i="20"/>
  <c r="AT99" i="20" s="1"/>
  <c r="BT99" i="20" s="1"/>
  <c r="AY21" i="20"/>
  <c r="AM31" i="20"/>
  <c r="AO31" i="20" s="1"/>
  <c r="BS31" i="20" s="1"/>
  <c r="AV80" i="20"/>
  <c r="AM99" i="20"/>
  <c r="AO99" i="20" s="1"/>
  <c r="BS99" i="20" s="1"/>
  <c r="AM71" i="20"/>
  <c r="AQ112" i="20"/>
  <c r="AT112" i="20" s="1"/>
  <c r="BT112" i="20" s="1"/>
  <c r="AV54" i="20"/>
  <c r="S202" i="20"/>
  <c r="V115" i="20"/>
  <c r="Y115" i="20" s="1"/>
  <c r="AH12" i="20"/>
  <c r="AJ167" i="20"/>
  <c r="Y167" i="20"/>
  <c r="AA33" i="20"/>
  <c r="AB33" i="20" s="1"/>
  <c r="AC33" i="20" s="1"/>
  <c r="AW33" i="20"/>
  <c r="AX33" i="20" s="1"/>
  <c r="AD33" i="20"/>
  <c r="AE33" i="20" s="1"/>
  <c r="AF33" i="20" s="1"/>
  <c r="Y33" i="20"/>
  <c r="AS33" i="20"/>
  <c r="Z125" i="20"/>
  <c r="AD140" i="20"/>
  <c r="AE140" i="20" s="1"/>
  <c r="AF140" i="20" s="1"/>
  <c r="AX16" i="20"/>
  <c r="AA140" i="20"/>
  <c r="AB140" i="20" s="1"/>
  <c r="AC140" i="20" s="1"/>
  <c r="AA49" i="20"/>
  <c r="AB49" i="20" s="1"/>
  <c r="AC49" i="20" s="1"/>
  <c r="AW49" i="20"/>
  <c r="AO49" i="20"/>
  <c r="BS49" i="20" s="1"/>
  <c r="AD49" i="20"/>
  <c r="AE49" i="20" s="1"/>
  <c r="AF49" i="20" s="1"/>
  <c r="Y49" i="20"/>
  <c r="AM126" i="20"/>
  <c r="AY126" i="20"/>
  <c r="AQ126" i="20"/>
  <c r="AT126" i="20" s="1"/>
  <c r="BT126" i="20" s="1"/>
  <c r="AH126" i="20"/>
  <c r="X126" i="20"/>
  <c r="AV126" i="20"/>
  <c r="AX126" i="20" s="1"/>
  <c r="BU126" i="20" s="1"/>
  <c r="AH83" i="20"/>
  <c r="AV29" i="20"/>
  <c r="AY16" i="20"/>
  <c r="X203" i="20"/>
  <c r="AH29" i="20"/>
  <c r="AQ16" i="20"/>
  <c r="AT16" i="20" s="1"/>
  <c r="AM203" i="20"/>
  <c r="AV61" i="20"/>
  <c r="X87" i="20"/>
  <c r="S108" i="20"/>
  <c r="AI108" i="20" s="1"/>
  <c r="V195" i="20"/>
  <c r="Y195" i="20" s="1"/>
  <c r="V30" i="20"/>
  <c r="V15" i="20"/>
  <c r="X116" i="20"/>
  <c r="AH40" i="20"/>
  <c r="AV40" i="20"/>
  <c r="X40" i="20"/>
  <c r="AY40" i="20"/>
  <c r="AA105" i="20"/>
  <c r="AB105" i="20" s="1"/>
  <c r="AC105" i="20" s="1"/>
  <c r="AJ105" i="20"/>
  <c r="Y105" i="20"/>
  <c r="AN105" i="20"/>
  <c r="AD105" i="20"/>
  <c r="AE105" i="20" s="1"/>
  <c r="AF105" i="20" s="1"/>
  <c r="Y140" i="20"/>
  <c r="Z140" i="20" s="1"/>
  <c r="AN140" i="20"/>
  <c r="AM63" i="20"/>
  <c r="X16" i="20"/>
  <c r="Z16" i="20" s="1"/>
  <c r="AQ203" i="20"/>
  <c r="AT203" i="20" s="1"/>
  <c r="BT203" i="20" s="1"/>
  <c r="AM61" i="20"/>
  <c r="AV83" i="20"/>
  <c r="S182" i="20"/>
  <c r="AD17" i="20"/>
  <c r="AE17" i="20" s="1"/>
  <c r="AF17" i="20" s="1"/>
  <c r="AS17" i="20"/>
  <c r="Y17" i="20"/>
  <c r="AW17" i="20"/>
  <c r="AX17" i="20" s="1"/>
  <c r="AA17" i="20"/>
  <c r="AB17" i="20" s="1"/>
  <c r="AC17" i="20" s="1"/>
  <c r="AJ145" i="20"/>
  <c r="Y145" i="20"/>
  <c r="AD145" i="20"/>
  <c r="AE145" i="20" s="1"/>
  <c r="AF145" i="20" s="1"/>
  <c r="AN145" i="20"/>
  <c r="AA145" i="20"/>
  <c r="AB145" i="20" s="1"/>
  <c r="AC145" i="20" s="1"/>
  <c r="AA74" i="20"/>
  <c r="AB74" i="20" s="1"/>
  <c r="AC74" i="20" s="1"/>
  <c r="AN74" i="20"/>
  <c r="AO74" i="20" s="1"/>
  <c r="BS74" i="20" s="1"/>
  <c r="Y74" i="20"/>
  <c r="AJ74" i="20"/>
  <c r="AK74" i="20" s="1"/>
  <c r="BR74" i="20" s="1"/>
  <c r="AW74" i="20"/>
  <c r="AX74" i="20" s="1"/>
  <c r="BU74" i="20" s="1"/>
  <c r="AD74" i="20"/>
  <c r="AE74" i="20" s="1"/>
  <c r="AF74" i="20" s="1"/>
  <c r="Y103" i="20"/>
  <c r="Z103" i="20" s="1"/>
  <c r="AJ103" i="20"/>
  <c r="AA103" i="20"/>
  <c r="AB103" i="20" s="1"/>
  <c r="AC103" i="20" s="1"/>
  <c r="AN103" i="20"/>
  <c r="AD103" i="20"/>
  <c r="AE103" i="20" s="1"/>
  <c r="AF103" i="20" s="1"/>
  <c r="AD67" i="20"/>
  <c r="AE67" i="20" s="1"/>
  <c r="AF67" i="20" s="1"/>
  <c r="Y67" i="20"/>
  <c r="AA67" i="20"/>
  <c r="AB67" i="20" s="1"/>
  <c r="AC67" i="20" s="1"/>
  <c r="AJ67" i="20"/>
  <c r="AK67" i="20" s="1"/>
  <c r="BR67" i="20" s="1"/>
  <c r="AW67" i="20"/>
  <c r="AN67" i="20"/>
  <c r="AV63" i="20"/>
  <c r="AH16" i="20"/>
  <c r="AK16" i="20" s="1"/>
  <c r="BR16" i="20" s="1"/>
  <c r="AV203" i="20"/>
  <c r="AX203" i="20" s="1"/>
  <c r="BU203" i="20" s="1"/>
  <c r="AQ61" i="20"/>
  <c r="AT61" i="20" s="1"/>
  <c r="AM66" i="20"/>
  <c r="V202" i="20"/>
  <c r="Y202" i="20" s="1"/>
  <c r="V78" i="20"/>
  <c r="AA78" i="20" s="1"/>
  <c r="AB78" i="20" s="1"/>
  <c r="AC78" i="20" s="1"/>
  <c r="V144" i="20"/>
  <c r="AA144" i="20" s="1"/>
  <c r="AB144" i="20" s="1"/>
  <c r="AC144" i="20" s="1"/>
  <c r="S107" i="20"/>
  <c r="AI107" i="20" s="1"/>
  <c r="V14" i="20"/>
  <c r="AA28" i="20"/>
  <c r="AB28" i="20" s="1"/>
  <c r="AC28" i="20" s="1"/>
  <c r="AD28" i="20"/>
  <c r="AE28" i="20" s="1"/>
  <c r="AF28" i="20" s="1"/>
  <c r="Y28" i="20"/>
  <c r="AS28" i="20"/>
  <c r="AW28" i="20"/>
  <c r="AX28" i="20" s="1"/>
  <c r="AD75" i="20"/>
  <c r="AE75" i="20" s="1"/>
  <c r="AF75" i="20" s="1"/>
  <c r="AJ75" i="20"/>
  <c r="AA75" i="20"/>
  <c r="AB75" i="20" s="1"/>
  <c r="AC75" i="20" s="1"/>
  <c r="Y75" i="20"/>
  <c r="AN75" i="20"/>
  <c r="AW75" i="20"/>
  <c r="AX75" i="20" s="1"/>
  <c r="BU75" i="20" s="1"/>
  <c r="AO124" i="20"/>
  <c r="BS124" i="20" s="1"/>
  <c r="AQ87" i="20"/>
  <c r="AT87" i="20" s="1"/>
  <c r="BT87" i="20" s="1"/>
  <c r="AQ83" i="20"/>
  <c r="AT83" i="20" s="1"/>
  <c r="BT83" i="20" s="1"/>
  <c r="AV42" i="20"/>
  <c r="S185" i="20"/>
  <c r="S19" i="20"/>
  <c r="AV11" i="20"/>
  <c r="X123" i="20"/>
  <c r="AQ188" i="20"/>
  <c r="AT188" i="20" s="1"/>
  <c r="BT188" i="20" s="1"/>
  <c r="AN159" i="20"/>
  <c r="AO159" i="20" s="1"/>
  <c r="BS159" i="20" s="1"/>
  <c r="AJ159" i="20"/>
  <c r="AK159" i="20" s="1"/>
  <c r="AA159" i="20"/>
  <c r="AB159" i="20" s="1"/>
  <c r="AC159" i="20" s="1"/>
  <c r="AD159" i="20"/>
  <c r="AE159" i="20" s="1"/>
  <c r="AF159" i="20" s="1"/>
  <c r="Y159" i="20"/>
  <c r="Z159" i="20" s="1"/>
  <c r="X161" i="20"/>
  <c r="AQ161" i="20"/>
  <c r="AT161" i="20" s="1"/>
  <c r="BT161" i="20" s="1"/>
  <c r="AY161" i="20"/>
  <c r="AV161" i="20"/>
  <c r="AX161" i="20" s="1"/>
  <c r="BU161" i="20" s="1"/>
  <c r="AH161" i="20"/>
  <c r="AK161" i="20" s="1"/>
  <c r="BR161" i="20" s="1"/>
  <c r="AY29" i="20"/>
  <c r="AM29" i="20"/>
  <c r="AO29" i="20" s="1"/>
  <c r="BS29" i="20" s="1"/>
  <c r="AV87" i="20"/>
  <c r="S42" i="20"/>
  <c r="AI42" i="20" s="1"/>
  <c r="X194" i="20"/>
  <c r="AM15" i="20"/>
  <c r="V51" i="20"/>
  <c r="V27" i="20"/>
  <c r="S123" i="20"/>
  <c r="S188" i="20"/>
  <c r="V177" i="20"/>
  <c r="AN177" i="20" s="1"/>
  <c r="S153" i="20"/>
  <c r="AY187" i="20"/>
  <c r="AJ83" i="20"/>
  <c r="AN83" i="20"/>
  <c r="AO83" i="20" s="1"/>
  <c r="BS83" i="20" s="1"/>
  <c r="AA83" i="20"/>
  <c r="AB83" i="20" s="1"/>
  <c r="AC83" i="20" s="1"/>
  <c r="AW83" i="20"/>
  <c r="AD83" i="20"/>
  <c r="AE83" i="20" s="1"/>
  <c r="AF83" i="20" s="1"/>
  <c r="Y83" i="20"/>
  <c r="AH66" i="20"/>
  <c r="S25" i="20"/>
  <c r="X130" i="20"/>
  <c r="V72" i="20"/>
  <c r="AA26" i="20"/>
  <c r="AB26" i="20" s="1"/>
  <c r="AC26" i="20" s="1"/>
  <c r="Y26" i="20"/>
  <c r="AD26" i="20"/>
  <c r="AE26" i="20" s="1"/>
  <c r="AF26" i="20" s="1"/>
  <c r="AS26" i="20"/>
  <c r="AW26" i="20"/>
  <c r="AD178" i="20"/>
  <c r="AE178" i="20" s="1"/>
  <c r="AF178" i="20" s="1"/>
  <c r="AA178" i="20"/>
  <c r="AB178" i="20" s="1"/>
  <c r="AC178" i="20" s="1"/>
  <c r="AJ178" i="20"/>
  <c r="Y178" i="20"/>
  <c r="AN178" i="20"/>
  <c r="AN158" i="20"/>
  <c r="Y158" i="20"/>
  <c r="AA158" i="20"/>
  <c r="AB158" i="20" s="1"/>
  <c r="AC158" i="20" s="1"/>
  <c r="AJ158" i="20"/>
  <c r="AD158" i="20"/>
  <c r="AE158" i="20" s="1"/>
  <c r="AF158" i="20" s="1"/>
  <c r="AW35" i="20"/>
  <c r="AD35" i="20"/>
  <c r="AE35" i="20" s="1"/>
  <c r="AF35" i="20" s="1"/>
  <c r="AS35" i="20"/>
  <c r="AA35" i="20"/>
  <c r="AB35" i="20" s="1"/>
  <c r="AC35" i="20" s="1"/>
  <c r="Y35" i="20"/>
  <c r="AA18" i="20"/>
  <c r="AB18" i="20" s="1"/>
  <c r="AC18" i="20" s="1"/>
  <c r="AD18" i="20"/>
  <c r="AE18" i="20" s="1"/>
  <c r="AF18" i="20" s="1"/>
  <c r="Y18" i="20"/>
  <c r="AW18" i="20"/>
  <c r="AS18" i="20"/>
  <c r="AA147" i="20"/>
  <c r="AB147" i="20" s="1"/>
  <c r="AC147" i="20" s="1"/>
  <c r="AJ147" i="20"/>
  <c r="AN147" i="20"/>
  <c r="AD147" i="20"/>
  <c r="AE147" i="20" s="1"/>
  <c r="AF147" i="20" s="1"/>
  <c r="Y147" i="20"/>
  <c r="AM36" i="20"/>
  <c r="X36" i="20"/>
  <c r="AY36" i="20"/>
  <c r="AH36" i="20"/>
  <c r="AV36" i="20"/>
  <c r="AA129" i="20"/>
  <c r="AB129" i="20" s="1"/>
  <c r="AC129" i="20" s="1"/>
  <c r="AD129" i="20"/>
  <c r="AE129" i="20" s="1"/>
  <c r="AF129" i="20" s="1"/>
  <c r="Y129" i="20"/>
  <c r="AN129" i="20"/>
  <c r="AJ129" i="20"/>
  <c r="AA137" i="20"/>
  <c r="AB137" i="20" s="1"/>
  <c r="AC137" i="20" s="1"/>
  <c r="AJ137" i="20"/>
  <c r="AD137" i="20"/>
  <c r="AE137" i="20" s="1"/>
  <c r="AF137" i="20" s="1"/>
  <c r="AN137" i="20"/>
  <c r="Y137" i="20"/>
  <c r="AN133" i="20"/>
  <c r="Y133" i="20"/>
  <c r="AA133" i="20"/>
  <c r="AB133" i="20" s="1"/>
  <c r="AC133" i="20" s="1"/>
  <c r="AD133" i="20"/>
  <c r="AE133" i="20" s="1"/>
  <c r="AF133" i="20" s="1"/>
  <c r="AJ133" i="20"/>
  <c r="AA116" i="20"/>
  <c r="AB116" i="20" s="1"/>
  <c r="AC116" i="20" s="1"/>
  <c r="AN116" i="20"/>
  <c r="Y116" i="20"/>
  <c r="AD116" i="20"/>
  <c r="AE116" i="20" s="1"/>
  <c r="AF116" i="20" s="1"/>
  <c r="AJ116" i="20"/>
  <c r="AY108" i="20"/>
  <c r="AH108" i="20"/>
  <c r="AV108" i="20"/>
  <c r="AQ108" i="20"/>
  <c r="AT108" i="20" s="1"/>
  <c r="BT108" i="20" s="1"/>
  <c r="X108" i="20"/>
  <c r="AA114" i="20"/>
  <c r="AB114" i="20" s="1"/>
  <c r="AC114" i="20" s="1"/>
  <c r="AD114" i="20"/>
  <c r="AE114" i="20" s="1"/>
  <c r="AF114" i="20" s="1"/>
  <c r="Y114" i="20"/>
  <c r="AJ114" i="20"/>
  <c r="AN114" i="20"/>
  <c r="AD203" i="20"/>
  <c r="AE203" i="20" s="1"/>
  <c r="AF203" i="20" s="1"/>
  <c r="AJ203" i="20"/>
  <c r="Y203" i="20"/>
  <c r="AA203" i="20"/>
  <c r="AB203" i="20" s="1"/>
  <c r="AC203" i="20" s="1"/>
  <c r="AN203" i="20"/>
  <c r="Y138" i="20"/>
  <c r="AN138" i="20"/>
  <c r="AJ138" i="20"/>
  <c r="AA138" i="20"/>
  <c r="AB138" i="20" s="1"/>
  <c r="AC138" i="20" s="1"/>
  <c r="AD138" i="20"/>
  <c r="AE138" i="20" s="1"/>
  <c r="AF138" i="20" s="1"/>
  <c r="AD136" i="20"/>
  <c r="AE136" i="20" s="1"/>
  <c r="AF136" i="20" s="1"/>
  <c r="AJ136" i="20"/>
  <c r="AN136" i="20"/>
  <c r="Y136" i="20"/>
  <c r="AA136" i="20"/>
  <c r="AB136" i="20" s="1"/>
  <c r="AC136" i="20" s="1"/>
  <c r="AW39" i="20"/>
  <c r="Y39" i="20"/>
  <c r="AA39" i="20"/>
  <c r="AB39" i="20" s="1"/>
  <c r="AC39" i="20" s="1"/>
  <c r="AS39" i="20"/>
  <c r="AD39" i="20"/>
  <c r="AE39" i="20" s="1"/>
  <c r="AF39" i="20" s="1"/>
  <c r="AS37" i="20"/>
  <c r="Y37" i="20"/>
  <c r="AD37" i="20"/>
  <c r="AE37" i="20" s="1"/>
  <c r="AF37" i="20" s="1"/>
  <c r="AW37" i="20"/>
  <c r="AA37" i="20"/>
  <c r="AB37" i="20" s="1"/>
  <c r="AC37" i="20" s="1"/>
  <c r="AA12" i="20"/>
  <c r="AB12" i="20" s="1"/>
  <c r="AC12" i="20" s="1"/>
  <c r="AD12" i="20"/>
  <c r="AE12" i="20" s="1"/>
  <c r="AF12" i="20" s="1"/>
  <c r="AS12" i="20"/>
  <c r="Y12" i="20"/>
  <c r="AW12" i="20"/>
  <c r="AD100" i="20"/>
  <c r="AE100" i="20" s="1"/>
  <c r="AF100" i="20" s="1"/>
  <c r="AA100" i="20"/>
  <c r="AB100" i="20" s="1"/>
  <c r="AC100" i="20" s="1"/>
  <c r="AJ100" i="20"/>
  <c r="Y100" i="20"/>
  <c r="AN100" i="20"/>
  <c r="AJ204" i="20"/>
  <c r="AA204" i="20"/>
  <c r="AB204" i="20" s="1"/>
  <c r="AC204" i="20" s="1"/>
  <c r="AN204" i="20"/>
  <c r="AD204" i="20"/>
  <c r="AE204" i="20" s="1"/>
  <c r="AF204" i="20" s="1"/>
  <c r="Y204" i="20"/>
  <c r="X173" i="20"/>
  <c r="AQ173" i="20"/>
  <c r="AT173" i="20" s="1"/>
  <c r="BT173" i="20" s="1"/>
  <c r="AY173" i="20"/>
  <c r="AH173" i="20"/>
  <c r="AV173" i="20"/>
  <c r="AX173" i="20" s="1"/>
  <c r="BU173" i="20" s="1"/>
  <c r="AJ164" i="20"/>
  <c r="AA164" i="20"/>
  <c r="AB164" i="20" s="1"/>
  <c r="AC164" i="20" s="1"/>
  <c r="Y164" i="20"/>
  <c r="AD164" i="20"/>
  <c r="AE164" i="20" s="1"/>
  <c r="AF164" i="20" s="1"/>
  <c r="AN164" i="20"/>
  <c r="AQ202" i="20"/>
  <c r="AT202" i="20" s="1"/>
  <c r="BT202" i="20" s="1"/>
  <c r="X202" i="20"/>
  <c r="AH202" i="20"/>
  <c r="AV202" i="20"/>
  <c r="AX202" i="20" s="1"/>
  <c r="BU202" i="20" s="1"/>
  <c r="AY202" i="20"/>
  <c r="AN121" i="20"/>
  <c r="AJ121" i="20"/>
  <c r="AA121" i="20"/>
  <c r="AB121" i="20" s="1"/>
  <c r="AC121" i="20" s="1"/>
  <c r="Y121" i="20"/>
  <c r="AD121" i="20"/>
  <c r="AE121" i="20" s="1"/>
  <c r="AF121" i="20" s="1"/>
  <c r="AN104" i="20"/>
  <c r="Y104" i="20"/>
  <c r="AJ104" i="20"/>
  <c r="AA104" i="20"/>
  <c r="AB104" i="20" s="1"/>
  <c r="AC104" i="20" s="1"/>
  <c r="AD104" i="20"/>
  <c r="AE104" i="20" s="1"/>
  <c r="AF104" i="20" s="1"/>
  <c r="AD175" i="20"/>
  <c r="AE175" i="20" s="1"/>
  <c r="AF175" i="20" s="1"/>
  <c r="Y175" i="20"/>
  <c r="AN175" i="20"/>
  <c r="AJ175" i="20"/>
  <c r="AA175" i="20"/>
  <c r="AB175" i="20" s="1"/>
  <c r="AC175" i="20" s="1"/>
  <c r="AD186" i="20"/>
  <c r="AE186" i="20" s="1"/>
  <c r="AF186" i="20" s="1"/>
  <c r="AJ186" i="20"/>
  <c r="AN186" i="20"/>
  <c r="AA186" i="20"/>
  <c r="AB186" i="20" s="1"/>
  <c r="AC186" i="20" s="1"/>
  <c r="Y186" i="20"/>
  <c r="AH64" i="20"/>
  <c r="AW41" i="20"/>
  <c r="AD41" i="20"/>
  <c r="AE41" i="20" s="1"/>
  <c r="AF41" i="20" s="1"/>
  <c r="AS41" i="20"/>
  <c r="AA41" i="20"/>
  <c r="AB41" i="20" s="1"/>
  <c r="AC41" i="20" s="1"/>
  <c r="Y41" i="20"/>
  <c r="AA42" i="20"/>
  <c r="AB42" i="20" s="1"/>
  <c r="AC42" i="20" s="1"/>
  <c r="AS42" i="20"/>
  <c r="AD42" i="20"/>
  <c r="AE42" i="20" s="1"/>
  <c r="AF42" i="20" s="1"/>
  <c r="AW42" i="20"/>
  <c r="Y42" i="20"/>
  <c r="AA156" i="20"/>
  <c r="AB156" i="20" s="1"/>
  <c r="AC156" i="20" s="1"/>
  <c r="AJ156" i="20"/>
  <c r="Y156" i="20"/>
  <c r="AN156" i="20"/>
  <c r="AD156" i="20"/>
  <c r="AE156" i="20" s="1"/>
  <c r="AF156" i="20" s="1"/>
  <c r="AN194" i="20"/>
  <c r="Y194" i="20"/>
  <c r="AA194" i="20"/>
  <c r="AB194" i="20" s="1"/>
  <c r="AC194" i="20" s="1"/>
  <c r="AJ194" i="20"/>
  <c r="AD194" i="20"/>
  <c r="AE194" i="20" s="1"/>
  <c r="AF194" i="20" s="1"/>
  <c r="AJ188" i="20"/>
  <c r="Y188" i="20"/>
  <c r="AD188" i="20"/>
  <c r="AE188" i="20" s="1"/>
  <c r="AF188" i="20" s="1"/>
  <c r="AN188" i="20"/>
  <c r="AA188" i="20"/>
  <c r="AB188" i="20" s="1"/>
  <c r="AC188" i="20" s="1"/>
  <c r="AJ153" i="20"/>
  <c r="AN153" i="20"/>
  <c r="AD153" i="20"/>
  <c r="AE153" i="20" s="1"/>
  <c r="AF153" i="20" s="1"/>
  <c r="Y153" i="20"/>
  <c r="AA153" i="20"/>
  <c r="AB153" i="20" s="1"/>
  <c r="AC153" i="20" s="1"/>
  <c r="Y187" i="20"/>
  <c r="AJ187" i="20"/>
  <c r="AN187" i="20"/>
  <c r="AD187" i="20"/>
  <c r="AE187" i="20" s="1"/>
  <c r="AF187" i="20" s="1"/>
  <c r="AA187" i="20"/>
  <c r="AB187" i="20" s="1"/>
  <c r="AC187" i="20" s="1"/>
  <c r="AA25" i="20"/>
  <c r="AB25" i="20" s="1"/>
  <c r="AC25" i="20" s="1"/>
  <c r="Y25" i="20"/>
  <c r="AD25" i="20"/>
  <c r="AE25" i="20" s="1"/>
  <c r="AF25" i="20" s="1"/>
  <c r="AS25" i="20"/>
  <c r="AW25" i="20"/>
  <c r="AD170" i="20"/>
  <c r="AE170" i="20" s="1"/>
  <c r="AF170" i="20" s="1"/>
  <c r="AN170" i="20"/>
  <c r="AA170" i="20"/>
  <c r="AB170" i="20" s="1"/>
  <c r="AC170" i="20" s="1"/>
  <c r="Y170" i="20"/>
  <c r="AJ170" i="20"/>
  <c r="AN130" i="20"/>
  <c r="AD130" i="20"/>
  <c r="AE130" i="20" s="1"/>
  <c r="AF130" i="20" s="1"/>
  <c r="AJ130" i="20"/>
  <c r="Y130" i="20"/>
  <c r="AA130" i="20"/>
  <c r="AB130" i="20" s="1"/>
  <c r="AC130" i="20" s="1"/>
  <c r="AJ128" i="20"/>
  <c r="AK128" i="20" s="1"/>
  <c r="BR128" i="20" s="1"/>
  <c r="AD128" i="20"/>
  <c r="AE128" i="20" s="1"/>
  <c r="AF128" i="20" s="1"/>
  <c r="Y128" i="20"/>
  <c r="Z128" i="20" s="1"/>
  <c r="AN128" i="20"/>
  <c r="AA128" i="20"/>
  <c r="AB128" i="20" s="1"/>
  <c r="AC128" i="20" s="1"/>
  <c r="AJ122" i="20"/>
  <c r="AK122" i="20" s="1"/>
  <c r="BR122" i="20" s="1"/>
  <c r="AN122" i="20"/>
  <c r="AO122" i="20" s="1"/>
  <c r="BS122" i="20" s="1"/>
  <c r="AD122" i="20"/>
  <c r="AE122" i="20" s="1"/>
  <c r="AF122" i="20" s="1"/>
  <c r="Y122" i="20"/>
  <c r="Z122" i="20" s="1"/>
  <c r="AA122" i="20"/>
  <c r="AB122" i="20" s="1"/>
  <c r="AC122" i="20" s="1"/>
  <c r="AA23" i="20"/>
  <c r="AB23" i="20" s="1"/>
  <c r="AC23" i="20" s="1"/>
  <c r="AW23" i="20"/>
  <c r="AX23" i="20" s="1"/>
  <c r="AS23" i="20"/>
  <c r="Y23" i="20"/>
  <c r="Z23" i="20" s="1"/>
  <c r="AD23" i="20"/>
  <c r="AE23" i="20" s="1"/>
  <c r="AF23" i="20" s="1"/>
  <c r="X35" i="20"/>
  <c r="AY35" i="20"/>
  <c r="AV35" i="20"/>
  <c r="AM35" i="20"/>
  <c r="AH35" i="20"/>
  <c r="AN134" i="20"/>
  <c r="AJ134" i="20"/>
  <c r="AD134" i="20"/>
  <c r="AE134" i="20" s="1"/>
  <c r="AF134" i="20" s="1"/>
  <c r="Y134" i="20"/>
  <c r="AA134" i="20"/>
  <c r="AB134" i="20" s="1"/>
  <c r="AC134" i="20" s="1"/>
  <c r="V160" i="20"/>
  <c r="V120" i="20"/>
  <c r="AN127" i="20"/>
  <c r="AO127" i="20" s="1"/>
  <c r="BS127" i="20" s="1"/>
  <c r="AD127" i="20"/>
  <c r="AE127" i="20" s="1"/>
  <c r="AF127" i="20" s="1"/>
  <c r="AJ127" i="20"/>
  <c r="Y127" i="20"/>
  <c r="Z127" i="20" s="1"/>
  <c r="AA127" i="20"/>
  <c r="AB127" i="20" s="1"/>
  <c r="AC127" i="20" s="1"/>
  <c r="AA69" i="20"/>
  <c r="AB69" i="20" s="1"/>
  <c r="AC69" i="20" s="1"/>
  <c r="AD69" i="20"/>
  <c r="AE69" i="20" s="1"/>
  <c r="AF69" i="20" s="1"/>
  <c r="Y69" i="20"/>
  <c r="AN69" i="20"/>
  <c r="AW69" i="20"/>
  <c r="AJ69" i="20"/>
  <c r="AN146" i="20"/>
  <c r="AO146" i="20" s="1"/>
  <c r="BS146" i="20" s="1"/>
  <c r="AJ146" i="20"/>
  <c r="AK146" i="20" s="1"/>
  <c r="AA146" i="20"/>
  <c r="AB146" i="20" s="1"/>
  <c r="AC146" i="20" s="1"/>
  <c r="AD146" i="20"/>
  <c r="AE146" i="20" s="1"/>
  <c r="AF146" i="20" s="1"/>
  <c r="Y146" i="20"/>
  <c r="Z146" i="20" s="1"/>
  <c r="AD185" i="20"/>
  <c r="AE185" i="20" s="1"/>
  <c r="AF185" i="20" s="1"/>
  <c r="AA185" i="20"/>
  <c r="AB185" i="20" s="1"/>
  <c r="AC185" i="20" s="1"/>
  <c r="AJ185" i="20"/>
  <c r="Y185" i="20"/>
  <c r="AN185" i="20"/>
  <c r="S97" i="20"/>
  <c r="AI97" i="20" s="1"/>
  <c r="AY176" i="20"/>
  <c r="AH176" i="20"/>
  <c r="AQ176" i="20"/>
  <c r="AT176" i="20" s="1"/>
  <c r="BT176" i="20" s="1"/>
  <c r="X176" i="20"/>
  <c r="AV176" i="20"/>
  <c r="AX176" i="20" s="1"/>
  <c r="BU176" i="20" s="1"/>
  <c r="S91" i="20"/>
  <c r="AI91" i="20" s="1"/>
  <c r="AN154" i="20"/>
  <c r="AJ154" i="20"/>
  <c r="AA154" i="20"/>
  <c r="AB154" i="20" s="1"/>
  <c r="AC154" i="20" s="1"/>
  <c r="AD154" i="20"/>
  <c r="AE154" i="20" s="1"/>
  <c r="AF154" i="20" s="1"/>
  <c r="Y154" i="20"/>
  <c r="AJ80" i="20"/>
  <c r="AA80" i="20"/>
  <c r="AB80" i="20" s="1"/>
  <c r="AC80" i="20" s="1"/>
  <c r="AN80" i="20"/>
  <c r="AO80" i="20" s="1"/>
  <c r="BS80" i="20" s="1"/>
  <c r="Y80" i="20"/>
  <c r="AD80" i="20"/>
  <c r="AE80" i="20" s="1"/>
  <c r="AF80" i="20" s="1"/>
  <c r="AW80" i="20"/>
  <c r="AN139" i="20"/>
  <c r="AO139" i="20" s="1"/>
  <c r="BS139" i="20" s="1"/>
  <c r="Y139" i="20"/>
  <c r="AD139" i="20"/>
  <c r="AE139" i="20" s="1"/>
  <c r="AF139" i="20" s="1"/>
  <c r="AA139" i="20"/>
  <c r="AB139" i="20" s="1"/>
  <c r="AC139" i="20" s="1"/>
  <c r="AJ139" i="20"/>
  <c r="AN66" i="20"/>
  <c r="AW66" i="20"/>
  <c r="AA66" i="20"/>
  <c r="AB66" i="20" s="1"/>
  <c r="AC66" i="20" s="1"/>
  <c r="AD66" i="20"/>
  <c r="AE66" i="20" s="1"/>
  <c r="AF66" i="20" s="1"/>
  <c r="Y66" i="20"/>
  <c r="AJ66" i="20"/>
  <c r="S35" i="20"/>
  <c r="AI35" i="20" s="1"/>
  <c r="AD206" i="20"/>
  <c r="AE206" i="20" s="1"/>
  <c r="AF206" i="20" s="1"/>
  <c r="AJ206" i="20"/>
  <c r="AK206" i="20" s="1"/>
  <c r="BR206" i="20" s="1"/>
  <c r="AA206" i="20"/>
  <c r="AB206" i="20" s="1"/>
  <c r="AC206" i="20" s="1"/>
  <c r="Y206" i="20"/>
  <c r="Z206" i="20" s="1"/>
  <c r="AN206" i="20"/>
  <c r="S186" i="20"/>
  <c r="AQ179" i="20"/>
  <c r="AT179" i="20" s="1"/>
  <c r="BT179" i="20" s="1"/>
  <c r="S187" i="20"/>
  <c r="AD189" i="20"/>
  <c r="AE189" i="20" s="1"/>
  <c r="AF189" i="20" s="1"/>
  <c r="AA189" i="20"/>
  <c r="AB189" i="20" s="1"/>
  <c r="AC189" i="20" s="1"/>
  <c r="Y189" i="20"/>
  <c r="AJ189" i="20"/>
  <c r="AN189" i="20"/>
  <c r="AN61" i="20"/>
  <c r="AJ61" i="20"/>
  <c r="Y61" i="20"/>
  <c r="AD61" i="20"/>
  <c r="AE61" i="20" s="1"/>
  <c r="AF61" i="20" s="1"/>
  <c r="AA61" i="20"/>
  <c r="AB61" i="20" s="1"/>
  <c r="AC61" i="20" s="1"/>
  <c r="AW61" i="20"/>
  <c r="Y119" i="20"/>
  <c r="Z119" i="20" s="1"/>
  <c r="AN119" i="20"/>
  <c r="AA119" i="20"/>
  <c r="AB119" i="20" s="1"/>
  <c r="AC119" i="20" s="1"/>
  <c r="AJ119" i="20"/>
  <c r="AK119" i="20" s="1"/>
  <c r="BR119" i="20" s="1"/>
  <c r="AD119" i="20"/>
  <c r="AE119" i="20" s="1"/>
  <c r="AF119" i="20" s="1"/>
  <c r="V149" i="20"/>
  <c r="S12" i="20"/>
  <c r="V96" i="20"/>
  <c r="AW96" i="20" s="1"/>
  <c r="AM157" i="20"/>
  <c r="BC157" i="20"/>
  <c r="BV157" i="20" s="1"/>
  <c r="V81" i="20"/>
  <c r="S41" i="20"/>
  <c r="AI41" i="20" s="1"/>
  <c r="AN171" i="20"/>
  <c r="Y171" i="20"/>
  <c r="Z171" i="20" s="1"/>
  <c r="AA171" i="20"/>
  <c r="AB171" i="20" s="1"/>
  <c r="AC171" i="20" s="1"/>
  <c r="AJ171" i="20"/>
  <c r="AK171" i="20" s="1"/>
  <c r="BR171" i="20" s="1"/>
  <c r="AD171" i="20"/>
  <c r="AE171" i="20" s="1"/>
  <c r="AF171" i="20" s="1"/>
  <c r="S129" i="20"/>
  <c r="S156" i="20"/>
  <c r="AN58" i="20"/>
  <c r="AD58" i="20"/>
  <c r="AE58" i="20" s="1"/>
  <c r="AF58" i="20" s="1"/>
  <c r="AA58" i="20"/>
  <c r="AB58" i="20" s="1"/>
  <c r="AC58" i="20" s="1"/>
  <c r="AJ58" i="20"/>
  <c r="AW58" i="20"/>
  <c r="Y58" i="20"/>
  <c r="AA166" i="20"/>
  <c r="AB166" i="20" s="1"/>
  <c r="AC166" i="20" s="1"/>
  <c r="AJ166" i="20"/>
  <c r="AK166" i="20" s="1"/>
  <c r="BR166" i="20" s="1"/>
  <c r="AD166" i="20"/>
  <c r="AE166" i="20" s="1"/>
  <c r="AF166" i="20" s="1"/>
  <c r="Y166" i="20"/>
  <c r="Z166" i="20" s="1"/>
  <c r="AN166" i="20"/>
  <c r="S170" i="20"/>
  <c r="AQ70" i="20"/>
  <c r="AT70" i="20" s="1"/>
  <c r="BT70" i="20" s="1"/>
  <c r="AV70" i="20"/>
  <c r="X70" i="20"/>
  <c r="AH70" i="20"/>
  <c r="S92" i="20"/>
  <c r="AI92" i="20" s="1"/>
  <c r="V68" i="20"/>
  <c r="AS68" i="20" s="1"/>
  <c r="S68" i="20"/>
  <c r="AI68" i="20" s="1"/>
  <c r="AN59" i="20"/>
  <c r="AA59" i="20"/>
  <c r="AB59" i="20" s="1"/>
  <c r="AC59" i="20" s="1"/>
  <c r="AJ59" i="20"/>
  <c r="AK59" i="20" s="1"/>
  <c r="BR59" i="20" s="1"/>
  <c r="Y59" i="20"/>
  <c r="AD59" i="20"/>
  <c r="AE59" i="20" s="1"/>
  <c r="AF59" i="20" s="1"/>
  <c r="AW59" i="20"/>
  <c r="AQ184" i="20"/>
  <c r="AT184" i="20" s="1"/>
  <c r="BT184" i="20" s="1"/>
  <c r="AY184" i="20"/>
  <c r="X184" i="20"/>
  <c r="AV184" i="20"/>
  <c r="AX184" i="20" s="1"/>
  <c r="BU184" i="20" s="1"/>
  <c r="AH184" i="20"/>
  <c r="S18" i="20"/>
  <c r="V173" i="20"/>
  <c r="AD176" i="20"/>
  <c r="AE176" i="20" s="1"/>
  <c r="AF176" i="20" s="1"/>
  <c r="AN176" i="20"/>
  <c r="AJ176" i="20"/>
  <c r="Y176" i="20"/>
  <c r="AA176" i="20"/>
  <c r="AB176" i="20" s="1"/>
  <c r="AC176" i="20" s="1"/>
  <c r="V32" i="20"/>
  <c r="AM165" i="20"/>
  <c r="BC165" i="20"/>
  <c r="BV165" i="20" s="1"/>
  <c r="S73" i="20"/>
  <c r="AI73" i="20" s="1"/>
  <c r="S100" i="20"/>
  <c r="AI100" i="20" s="1"/>
  <c r="S26" i="20"/>
  <c r="AA53" i="20"/>
  <c r="AB53" i="20" s="1"/>
  <c r="AC53" i="20" s="1"/>
  <c r="AN53" i="20"/>
  <c r="AS53" i="20"/>
  <c r="AD53" i="20"/>
  <c r="AE53" i="20" s="1"/>
  <c r="AF53" i="20" s="1"/>
  <c r="Y53" i="20"/>
  <c r="AW53" i="20"/>
  <c r="AN207" i="20"/>
  <c r="AD207" i="20"/>
  <c r="AE207" i="20" s="1"/>
  <c r="AF207" i="20" s="1"/>
  <c r="Y207" i="20"/>
  <c r="AA207" i="20"/>
  <c r="AB207" i="20" s="1"/>
  <c r="AC207" i="20" s="1"/>
  <c r="AJ207" i="20"/>
  <c r="AA29" i="20"/>
  <c r="AB29" i="20" s="1"/>
  <c r="AC29" i="20" s="1"/>
  <c r="AS29" i="20"/>
  <c r="AD29" i="20"/>
  <c r="AE29" i="20" s="1"/>
  <c r="AF29" i="20" s="1"/>
  <c r="Y29" i="20"/>
  <c r="AW29" i="20"/>
  <c r="S137" i="20"/>
  <c r="V46" i="20"/>
  <c r="AJ46" i="20" s="1"/>
  <c r="S46" i="20"/>
  <c r="AI46" i="20" s="1"/>
  <c r="Y38" i="20"/>
  <c r="Z38" i="20" s="1"/>
  <c r="AW38" i="20"/>
  <c r="AX38" i="20" s="1"/>
  <c r="AS38" i="20"/>
  <c r="AT38" i="20" s="1"/>
  <c r="AD38" i="20"/>
  <c r="AE38" i="20" s="1"/>
  <c r="AF38" i="20" s="1"/>
  <c r="AA38" i="20"/>
  <c r="AB38" i="20" s="1"/>
  <c r="AC38" i="20" s="1"/>
  <c r="AD106" i="20"/>
  <c r="AE106" i="20" s="1"/>
  <c r="AF106" i="20" s="1"/>
  <c r="Y106" i="20"/>
  <c r="Z106" i="20" s="1"/>
  <c r="AJ106" i="20"/>
  <c r="AK106" i="20" s="1"/>
  <c r="BR106" i="20" s="1"/>
  <c r="AN106" i="20"/>
  <c r="AA106" i="20"/>
  <c r="AB106" i="20" s="1"/>
  <c r="AC106" i="20" s="1"/>
  <c r="X142" i="20"/>
  <c r="AY142" i="20"/>
  <c r="AV142" i="20"/>
  <c r="AX142" i="20" s="1"/>
  <c r="BU142" i="20" s="1"/>
  <c r="AQ142" i="20"/>
  <c r="AT142" i="20" s="1"/>
  <c r="BT142" i="20" s="1"/>
  <c r="AH142" i="20"/>
  <c r="AK142" i="20" s="1"/>
  <c r="BR142" i="20" s="1"/>
  <c r="AJ107" i="20"/>
  <c r="AN107" i="20"/>
  <c r="AA107" i="20"/>
  <c r="AB107" i="20" s="1"/>
  <c r="AC107" i="20" s="1"/>
  <c r="Y107" i="20"/>
  <c r="AD107" i="20"/>
  <c r="AE107" i="20" s="1"/>
  <c r="AF107" i="20" s="1"/>
  <c r="AN135" i="20"/>
  <c r="AA135" i="20"/>
  <c r="AB135" i="20" s="1"/>
  <c r="AC135" i="20" s="1"/>
  <c r="AD135" i="20"/>
  <c r="AE135" i="20" s="1"/>
  <c r="AF135" i="20" s="1"/>
  <c r="AJ135" i="20"/>
  <c r="Y135" i="20"/>
  <c r="S37" i="20"/>
  <c r="AI37" i="20" s="1"/>
  <c r="S164" i="20"/>
  <c r="AQ182" i="20"/>
  <c r="AT182" i="20" s="1"/>
  <c r="BT182" i="20" s="1"/>
  <c r="AV182" i="20"/>
  <c r="AX182" i="20" s="1"/>
  <c r="BU182" i="20" s="1"/>
  <c r="AH182" i="20"/>
  <c r="X182" i="20"/>
  <c r="AY182" i="20"/>
  <c r="AO162" i="20"/>
  <c r="BS162" i="20" s="1"/>
  <c r="S84" i="20"/>
  <c r="AI84" i="20" s="1"/>
  <c r="AV66" i="20"/>
  <c r="AQ66" i="20"/>
  <c r="AT66" i="20" s="1"/>
  <c r="BT66" i="20" s="1"/>
  <c r="AN169" i="20"/>
  <c r="AD169" i="20"/>
  <c r="AE169" i="20" s="1"/>
  <c r="AF169" i="20" s="1"/>
  <c r="Y169" i="20"/>
  <c r="Z169" i="20" s="1"/>
  <c r="AJ169" i="20"/>
  <c r="AA169" i="20"/>
  <c r="AB169" i="20" s="1"/>
  <c r="AC169" i="20" s="1"/>
  <c r="AD77" i="20"/>
  <c r="AE77" i="20" s="1"/>
  <c r="AF77" i="20" s="1"/>
  <c r="AJ77" i="20"/>
  <c r="AW77" i="20"/>
  <c r="AA77" i="20"/>
  <c r="AB77" i="20" s="1"/>
  <c r="AC77" i="20" s="1"/>
  <c r="AN77" i="20"/>
  <c r="Y77" i="20"/>
  <c r="AY155" i="20"/>
  <c r="AV155" i="20"/>
  <c r="AX155" i="20" s="1"/>
  <c r="BU155" i="20" s="1"/>
  <c r="AQ155" i="20"/>
  <c r="AT155" i="20" s="1"/>
  <c r="BT155" i="20" s="1"/>
  <c r="AH155" i="20"/>
  <c r="AK155" i="20" s="1"/>
  <c r="BR155" i="20" s="1"/>
  <c r="X155" i="20"/>
  <c r="Z155" i="20" s="1"/>
  <c r="S104" i="20"/>
  <c r="AI104" i="20" s="1"/>
  <c r="S133" i="20"/>
  <c r="AW13" i="20"/>
  <c r="AX13" i="20" s="1"/>
  <c r="AD13" i="20"/>
  <c r="AE13" i="20" s="1"/>
  <c r="AF13" i="20" s="1"/>
  <c r="AS13" i="20"/>
  <c r="AA13" i="20"/>
  <c r="AB13" i="20" s="1"/>
  <c r="AC13" i="20" s="1"/>
  <c r="Y13" i="20"/>
  <c r="Z13" i="20" s="1"/>
  <c r="AM206" i="20"/>
  <c r="BC206" i="20"/>
  <c r="BV206" i="20" s="1"/>
  <c r="AK162" i="20"/>
  <c r="AV77" i="20"/>
  <c r="AQ77" i="20"/>
  <c r="AT77" i="20" s="1"/>
  <c r="BT77" i="20" s="1"/>
  <c r="AH77" i="20"/>
  <c r="X77" i="20"/>
  <c r="AD88" i="20"/>
  <c r="AE88" i="20" s="1"/>
  <c r="AF88" i="20" s="1"/>
  <c r="AJ88" i="20"/>
  <c r="Y88" i="20"/>
  <c r="AA88" i="20"/>
  <c r="AB88" i="20" s="1"/>
  <c r="AC88" i="20" s="1"/>
  <c r="AN88" i="20"/>
  <c r="AW88" i="20"/>
  <c r="AX88" i="20" s="1"/>
  <c r="BU88" i="20" s="1"/>
  <c r="Y172" i="20"/>
  <c r="Z172" i="20" s="1"/>
  <c r="AJ172" i="20"/>
  <c r="AK172" i="20" s="1"/>
  <c r="BR172" i="20" s="1"/>
  <c r="AD172" i="20"/>
  <c r="AE172" i="20" s="1"/>
  <c r="AF172" i="20" s="1"/>
  <c r="AA172" i="20"/>
  <c r="AB172" i="20" s="1"/>
  <c r="AC172" i="20" s="1"/>
  <c r="AN172" i="20"/>
  <c r="AA19" i="20"/>
  <c r="AB19" i="20" s="1"/>
  <c r="AC19" i="20" s="1"/>
  <c r="AS19" i="20"/>
  <c r="AD19" i="20"/>
  <c r="AE19" i="20" s="1"/>
  <c r="AF19" i="20" s="1"/>
  <c r="Y19" i="20"/>
  <c r="AW19" i="20"/>
  <c r="AA79" i="20"/>
  <c r="AB79" i="20" s="1"/>
  <c r="AC79" i="20" s="1"/>
  <c r="AN79" i="20"/>
  <c r="AW79" i="20"/>
  <c r="AD79" i="20"/>
  <c r="AE79" i="20" s="1"/>
  <c r="AF79" i="20" s="1"/>
  <c r="AJ79" i="20"/>
  <c r="Y79" i="20"/>
  <c r="V48" i="20"/>
  <c r="AJ48" i="20" s="1"/>
  <c r="S48" i="20"/>
  <c r="AI48" i="20" s="1"/>
  <c r="AA123" i="20"/>
  <c r="AB123" i="20" s="1"/>
  <c r="AC123" i="20" s="1"/>
  <c r="Y123" i="20"/>
  <c r="AJ123" i="20"/>
  <c r="AN123" i="20"/>
  <c r="AD123" i="20"/>
  <c r="AE123" i="20" s="1"/>
  <c r="AF123" i="20" s="1"/>
  <c r="AD85" i="20"/>
  <c r="AE85" i="20" s="1"/>
  <c r="AF85" i="20" s="1"/>
  <c r="AW85" i="20"/>
  <c r="AN85" i="20"/>
  <c r="Y85" i="20"/>
  <c r="AA85" i="20"/>
  <c r="AB85" i="20" s="1"/>
  <c r="AC85" i="20" s="1"/>
  <c r="AJ85" i="20"/>
  <c r="AK85" i="20" s="1"/>
  <c r="BR85" i="20" s="1"/>
  <c r="AV174" i="20"/>
  <c r="AX174" i="20" s="1"/>
  <c r="BU174" i="20" s="1"/>
  <c r="AH174" i="20"/>
  <c r="X174" i="20"/>
  <c r="AQ174" i="20"/>
  <c r="AT174" i="20" s="1"/>
  <c r="BT174" i="20" s="1"/>
  <c r="AY174" i="20"/>
  <c r="S45" i="20"/>
  <c r="AI45" i="20" s="1"/>
  <c r="Z162" i="20"/>
  <c r="AW63" i="20"/>
  <c r="AA63" i="20"/>
  <c r="AB63" i="20" s="1"/>
  <c r="AC63" i="20" s="1"/>
  <c r="AJ63" i="20"/>
  <c r="AD63" i="20"/>
  <c r="AE63" i="20" s="1"/>
  <c r="AF63" i="20" s="1"/>
  <c r="Y63" i="20"/>
  <c r="Z63" i="20" s="1"/>
  <c r="AN63" i="20"/>
  <c r="S178" i="20"/>
  <c r="AN70" i="20"/>
  <c r="AW70" i="20"/>
  <c r="AD70" i="20"/>
  <c r="AE70" i="20" s="1"/>
  <c r="AF70" i="20" s="1"/>
  <c r="AJ70" i="20"/>
  <c r="Y70" i="20"/>
  <c r="AA70" i="20"/>
  <c r="AB70" i="20" s="1"/>
  <c r="AC70" i="20" s="1"/>
  <c r="S194" i="20"/>
  <c r="AA55" i="20"/>
  <c r="AB55" i="20" s="1"/>
  <c r="AC55" i="20" s="1"/>
  <c r="AD55" i="20"/>
  <c r="AE55" i="20" s="1"/>
  <c r="AF55" i="20" s="1"/>
  <c r="Y55" i="20"/>
  <c r="AW55" i="20"/>
  <c r="AS55" i="20"/>
  <c r="AN55" i="20"/>
  <c r="S114" i="20"/>
  <c r="AD71" i="20"/>
  <c r="AE71" i="20" s="1"/>
  <c r="AF71" i="20" s="1"/>
  <c r="Y71" i="20"/>
  <c r="AJ71" i="20"/>
  <c r="AA71" i="20"/>
  <c r="AB71" i="20" s="1"/>
  <c r="AC71" i="20" s="1"/>
  <c r="AN71" i="20"/>
  <c r="AW71" i="20"/>
  <c r="AX71" i="20" s="1"/>
  <c r="BU71" i="20" s="1"/>
  <c r="S130" i="20"/>
  <c r="S203" i="20"/>
  <c r="Y191" i="20"/>
  <c r="AN191" i="20"/>
  <c r="AA191" i="20"/>
  <c r="AB191" i="20" s="1"/>
  <c r="AC191" i="20" s="1"/>
  <c r="AJ191" i="20"/>
  <c r="AD191" i="20"/>
  <c r="AE191" i="20" s="1"/>
  <c r="AF191" i="20" s="1"/>
  <c r="S121" i="20"/>
  <c r="AN101" i="20"/>
  <c r="AO101" i="20" s="1"/>
  <c r="BS101" i="20" s="1"/>
  <c r="AA101" i="20"/>
  <c r="AB101" i="20" s="1"/>
  <c r="AC101" i="20" s="1"/>
  <c r="AD101" i="20"/>
  <c r="AE101" i="20" s="1"/>
  <c r="AF101" i="20" s="1"/>
  <c r="Y101" i="20"/>
  <c r="Z101" i="20" s="1"/>
  <c r="AJ101" i="20"/>
  <c r="AK101" i="20" s="1"/>
  <c r="BR101" i="20" s="1"/>
  <c r="S116" i="20"/>
  <c r="AY134" i="20"/>
  <c r="AQ134" i="20"/>
  <c r="AT134" i="20" s="1"/>
  <c r="BT134" i="20" s="1"/>
  <c r="AV134" i="20"/>
  <c r="AX134" i="20" s="1"/>
  <c r="BU134" i="20" s="1"/>
  <c r="X134" i="20"/>
  <c r="AH134" i="20"/>
  <c r="S54" i="20"/>
  <c r="AI54" i="20" s="1"/>
  <c r="AA117" i="20"/>
  <c r="AB117" i="20" s="1"/>
  <c r="AC117" i="20" s="1"/>
  <c r="AJ117" i="20"/>
  <c r="AK117" i="20" s="1"/>
  <c r="BR117" i="20" s="1"/>
  <c r="AN117" i="20"/>
  <c r="AD117" i="20"/>
  <c r="AE117" i="20" s="1"/>
  <c r="AF117" i="20" s="1"/>
  <c r="Y117" i="20"/>
  <c r="X34" i="20"/>
  <c r="Z34" i="20" s="1"/>
  <c r="AH34" i="20"/>
  <c r="AK34" i="20" s="1"/>
  <c r="BR34" i="20" s="1"/>
  <c r="AV34" i="20"/>
  <c r="AY34" i="20"/>
  <c r="AM34" i="20"/>
  <c r="AQ190" i="20"/>
  <c r="AT190" i="20" s="1"/>
  <c r="BT190" i="20" s="1"/>
  <c r="AV190" i="20"/>
  <c r="AX190" i="20" s="1"/>
  <c r="BU190" i="20" s="1"/>
  <c r="X190" i="20"/>
  <c r="Z190" i="20" s="1"/>
  <c r="AH190" i="20"/>
  <c r="AK190" i="20" s="1"/>
  <c r="BR190" i="20" s="1"/>
  <c r="AY190" i="20"/>
  <c r="AV141" i="20"/>
  <c r="AX141" i="20" s="1"/>
  <c r="BU141" i="20" s="1"/>
  <c r="AH141" i="20"/>
  <c r="AK141" i="20" s="1"/>
  <c r="BR141" i="20" s="1"/>
  <c r="AQ141" i="20"/>
  <c r="AT141" i="20" s="1"/>
  <c r="BT141" i="20" s="1"/>
  <c r="AY141" i="20"/>
  <c r="X141" i="20"/>
  <c r="Z141" i="20" s="1"/>
  <c r="AH158" i="20"/>
  <c r="AN143" i="20"/>
  <c r="AJ143" i="20"/>
  <c r="AA143" i="20"/>
  <c r="AB143" i="20" s="1"/>
  <c r="AC143" i="20" s="1"/>
  <c r="AD143" i="20"/>
  <c r="AE143" i="20" s="1"/>
  <c r="AF143" i="20" s="1"/>
  <c r="Y143" i="20"/>
  <c r="AD152" i="20"/>
  <c r="AE152" i="20" s="1"/>
  <c r="AF152" i="20" s="1"/>
  <c r="AJ152" i="20"/>
  <c r="AK152" i="20" s="1"/>
  <c r="BR152" i="20" s="1"/>
  <c r="Y152" i="20"/>
  <c r="Z152" i="20" s="1"/>
  <c r="AA152" i="20"/>
  <c r="AB152" i="20" s="1"/>
  <c r="AC152" i="20" s="1"/>
  <c r="AN152" i="20"/>
  <c r="AN192" i="20"/>
  <c r="AD192" i="20"/>
  <c r="AE192" i="20" s="1"/>
  <c r="AF192" i="20" s="1"/>
  <c r="AA192" i="20"/>
  <c r="AB192" i="20" s="1"/>
  <c r="AC192" i="20" s="1"/>
  <c r="Y192" i="20"/>
  <c r="AJ192" i="20"/>
  <c r="AN52" i="20"/>
  <c r="Y52" i="20"/>
  <c r="AA52" i="20"/>
  <c r="AB52" i="20" s="1"/>
  <c r="AC52" i="20" s="1"/>
  <c r="AS52" i="20"/>
  <c r="AW52" i="20"/>
  <c r="AD52" i="20"/>
  <c r="AE52" i="20" s="1"/>
  <c r="AF52" i="20" s="1"/>
  <c r="X196" i="20"/>
  <c r="Z196" i="20" s="1"/>
  <c r="AV196" i="20"/>
  <c r="AX196" i="20" s="1"/>
  <c r="BU196" i="20" s="1"/>
  <c r="AH196" i="20"/>
  <c r="AK196" i="20" s="1"/>
  <c r="BR196" i="20" s="1"/>
  <c r="AY196" i="20"/>
  <c r="AQ196" i="20"/>
  <c r="AT196" i="20" s="1"/>
  <c r="BT196" i="20" s="1"/>
  <c r="BC23" i="20"/>
  <c r="BV23" i="20" s="1"/>
  <c r="AQ23" i="20"/>
  <c r="BC24" i="20"/>
  <c r="BV24" i="20" s="1"/>
  <c r="BC171" i="20"/>
  <c r="BV171" i="20" s="1"/>
  <c r="AM171" i="20"/>
  <c r="X49" i="20"/>
  <c r="AV49" i="20"/>
  <c r="BC159" i="20"/>
  <c r="BV159" i="20" s="1"/>
  <c r="AQ49" i="20"/>
  <c r="AH49" i="20"/>
  <c r="AK49" i="20" s="1"/>
  <c r="BR49" i="20" s="1"/>
  <c r="AM192" i="20"/>
  <c r="AQ47" i="20"/>
  <c r="AV47" i="20"/>
  <c r="X47" i="20"/>
  <c r="AH47" i="20"/>
  <c r="AM166" i="20"/>
  <c r="BC166" i="20"/>
  <c r="BV166" i="20" s="1"/>
  <c r="AM150" i="20"/>
  <c r="AO150" i="20" s="1"/>
  <c r="BS150" i="20" s="1"/>
  <c r="BC150" i="20"/>
  <c r="BV150" i="20" s="1"/>
  <c r="AQ21" i="20"/>
  <c r="AT21" i="20" s="1"/>
  <c r="BC21" i="20"/>
  <c r="BV21" i="20" s="1"/>
  <c r="AQ22" i="20"/>
  <c r="AT22" i="20" s="1"/>
  <c r="BC22" i="20"/>
  <c r="BV22" i="20" s="1"/>
  <c r="AM172" i="20"/>
  <c r="BC172" i="20"/>
  <c r="BV172" i="20" s="1"/>
  <c r="AM198" i="20"/>
  <c r="BC198" i="20"/>
  <c r="BV198" i="20" s="1"/>
  <c r="AM86" i="20"/>
  <c r="AQ13" i="20"/>
  <c r="BC13" i="20"/>
  <c r="BV13" i="20" s="1"/>
  <c r="AM55" i="20"/>
  <c r="AQ28" i="20"/>
  <c r="BC28" i="20"/>
  <c r="BV28" i="20" s="1"/>
  <c r="AM119" i="20"/>
  <c r="BC119" i="20"/>
  <c r="BV119" i="20" s="1"/>
  <c r="AQ10" i="20"/>
  <c r="AT10" i="20" s="1"/>
  <c r="BC10" i="20"/>
  <c r="BV10" i="20" s="1"/>
  <c r="AM128" i="20"/>
  <c r="BC128" i="20"/>
  <c r="BV128" i="20" s="1"/>
  <c r="AM58" i="20"/>
  <c r="AM208" i="20"/>
  <c r="BC208" i="20"/>
  <c r="BV208" i="20" s="1"/>
  <c r="AM113" i="20"/>
  <c r="AO113" i="20" s="1"/>
  <c r="BS113" i="20" s="1"/>
  <c r="BC113" i="20"/>
  <c r="BV113" i="20" s="1"/>
  <c r="AQ69" i="20"/>
  <c r="AT69" i="20" s="1"/>
  <c r="BT69" i="20" s="1"/>
  <c r="AM53" i="20"/>
  <c r="AM207" i="20"/>
  <c r="BC207" i="20"/>
  <c r="BV207" i="20" s="1"/>
  <c r="AM152" i="20"/>
  <c r="BC152" i="20"/>
  <c r="BV152" i="20" s="1"/>
  <c r="AM205" i="20"/>
  <c r="AO205" i="20" s="1"/>
  <c r="BS205" i="20" s="1"/>
  <c r="BC205" i="20"/>
  <c r="BV205" i="20" s="1"/>
  <c r="AK29" i="20" l="1"/>
  <c r="BR29" i="20" s="1"/>
  <c r="AK22" i="20"/>
  <c r="BR22" i="20" s="1"/>
  <c r="Z28" i="20"/>
  <c r="AK40" i="20"/>
  <c r="BR40" i="20" s="1"/>
  <c r="Z161" i="20"/>
  <c r="BL10" i="20"/>
  <c r="AO35" i="20"/>
  <c r="BS35" i="20" s="1"/>
  <c r="AO20" i="20"/>
  <c r="BS20" i="20" s="1"/>
  <c r="AK36" i="20"/>
  <c r="BR36" i="20" s="1"/>
  <c r="AO33" i="20"/>
  <c r="BS33" i="20" s="1"/>
  <c r="AK12" i="20"/>
  <c r="BR12" i="20" s="1"/>
  <c r="Z111" i="20"/>
  <c r="BP111" i="20" s="1"/>
  <c r="AK20" i="20"/>
  <c r="BR20" i="20" s="1"/>
  <c r="AY76" i="20"/>
  <c r="AK61" i="20"/>
  <c r="BR61" i="20" s="1"/>
  <c r="AO22" i="20"/>
  <c r="BS22" i="20" s="1"/>
  <c r="AK17" i="20"/>
  <c r="BR17" i="20" s="1"/>
  <c r="Z20" i="20"/>
  <c r="BL24" i="20"/>
  <c r="BM9" i="20"/>
  <c r="BL38" i="20"/>
  <c r="BM31" i="20"/>
  <c r="BL16" i="20"/>
  <c r="AJ32" i="20"/>
  <c r="AK32" i="20" s="1"/>
  <c r="BR32" i="20" s="1"/>
  <c r="AN32" i="20"/>
  <c r="AO32" i="20" s="1"/>
  <c r="BS32" i="20" s="1"/>
  <c r="Y14" i="20"/>
  <c r="AJ14" i="20"/>
  <c r="AN14" i="20"/>
  <c r="AW15" i="20"/>
  <c r="AJ15" i="20"/>
  <c r="AN15" i="20"/>
  <c r="AO15" i="20" s="1"/>
  <c r="BS15" i="20" s="1"/>
  <c r="Y27" i="20"/>
  <c r="AJ27" i="20"/>
  <c r="AN27" i="20"/>
  <c r="AD30" i="20"/>
  <c r="AE30" i="20" s="1"/>
  <c r="AF30" i="20" s="1"/>
  <c r="AJ30" i="20"/>
  <c r="AN30" i="20"/>
  <c r="AW11" i="20"/>
  <c r="AX11" i="20" s="1"/>
  <c r="AJ11" i="20"/>
  <c r="AN11" i="20"/>
  <c r="AK47" i="20"/>
  <c r="BR47" i="20" s="1"/>
  <c r="AO34" i="20"/>
  <c r="BS34" i="20" s="1"/>
  <c r="AK35" i="20"/>
  <c r="BR35" i="20" s="1"/>
  <c r="Y44" i="20"/>
  <c r="AJ44" i="20"/>
  <c r="AN51" i="20"/>
  <c r="AJ51" i="20"/>
  <c r="AA40" i="20"/>
  <c r="AB40" i="20" s="1"/>
  <c r="AC40" i="20" s="1"/>
  <c r="AN40" i="20"/>
  <c r="AO40" i="20" s="1"/>
  <c r="BS40" i="20" s="1"/>
  <c r="AW40" i="20"/>
  <c r="AX40" i="20" s="1"/>
  <c r="AS40" i="20"/>
  <c r="AD40" i="20"/>
  <c r="AE40" i="20" s="1"/>
  <c r="AF40" i="20" s="1"/>
  <c r="Y40" i="20"/>
  <c r="Z40" i="20" s="1"/>
  <c r="BP40" i="20" s="1"/>
  <c r="AA54" i="20"/>
  <c r="AB54" i="20" s="1"/>
  <c r="AC54" i="20" s="1"/>
  <c r="AJ54" i="20"/>
  <c r="AS36" i="20"/>
  <c r="AN36" i="20"/>
  <c r="AO36" i="20" s="1"/>
  <c r="BS36" i="20" s="1"/>
  <c r="AD45" i="20"/>
  <c r="AE45" i="20" s="1"/>
  <c r="AF45" i="20" s="1"/>
  <c r="AJ45" i="20"/>
  <c r="BL43" i="20"/>
  <c r="AD73" i="20"/>
  <c r="AE73" i="20" s="1"/>
  <c r="AF73" i="20" s="1"/>
  <c r="AS73" i="20"/>
  <c r="AJ72" i="20"/>
  <c r="AS72" i="20"/>
  <c r="AT68" i="20"/>
  <c r="BT68" i="20" s="1"/>
  <c r="AY62" i="20"/>
  <c r="AG62" i="20"/>
  <c r="AJ112" i="20"/>
  <c r="AW112" i="20"/>
  <c r="AX34" i="20"/>
  <c r="BU34" i="20" s="1"/>
  <c r="AA108" i="20"/>
  <c r="AB108" i="20" s="1"/>
  <c r="AC108" i="20" s="1"/>
  <c r="AW108" i="20"/>
  <c r="AX108" i="20" s="1"/>
  <c r="BU108" i="20" s="1"/>
  <c r="R109" i="20"/>
  <c r="S109" i="20" s="1"/>
  <c r="AI109" i="20" s="1"/>
  <c r="Y110" i="20"/>
  <c r="AW110" i="20"/>
  <c r="AL107" i="21"/>
  <c r="AM107" i="21" s="1"/>
  <c r="X107" i="21"/>
  <c r="AL77" i="21"/>
  <c r="AM77" i="21" s="1"/>
  <c r="BQ162" i="20"/>
  <c r="BR162" i="20"/>
  <c r="BQ146" i="20"/>
  <c r="BR146" i="20"/>
  <c r="BQ159" i="20"/>
  <c r="BR159" i="20"/>
  <c r="BQ183" i="20"/>
  <c r="BR183" i="20"/>
  <c r="BQ193" i="20"/>
  <c r="BR193" i="20"/>
  <c r="BQ125" i="20"/>
  <c r="BQ99" i="20"/>
  <c r="BQ124" i="20"/>
  <c r="BQ101" i="20"/>
  <c r="BQ122" i="20"/>
  <c r="BQ21" i="20"/>
  <c r="BQ150" i="20"/>
  <c r="BL197" i="20"/>
  <c r="BQ200" i="20"/>
  <c r="BQ10" i="20"/>
  <c r="BQ16" i="20"/>
  <c r="BL198" i="20"/>
  <c r="BQ205" i="20"/>
  <c r="BQ38" i="20"/>
  <c r="BQ74" i="20"/>
  <c r="BQ113" i="20"/>
  <c r="BQ151" i="20"/>
  <c r="BL146" i="20"/>
  <c r="BL159" i="20"/>
  <c r="BL85" i="20"/>
  <c r="BL82" i="20"/>
  <c r="BL161" i="20"/>
  <c r="BL141" i="20"/>
  <c r="BL101" i="20"/>
  <c r="BL122" i="20"/>
  <c r="BL67" i="20"/>
  <c r="BT58" i="20"/>
  <c r="BL150" i="20"/>
  <c r="BL168" i="20"/>
  <c r="BL200" i="20"/>
  <c r="BL117" i="20"/>
  <c r="BL155" i="20"/>
  <c r="BL119" i="20"/>
  <c r="BL193" i="20"/>
  <c r="BL162" i="20"/>
  <c r="BL87" i="20"/>
  <c r="BL172" i="20"/>
  <c r="BL166" i="20"/>
  <c r="BT61" i="20"/>
  <c r="BT63" i="20"/>
  <c r="BL205" i="20"/>
  <c r="BL190" i="20"/>
  <c r="BL74" i="20"/>
  <c r="BL113" i="20"/>
  <c r="BL140" i="20"/>
  <c r="BL151" i="20"/>
  <c r="BL201" i="20"/>
  <c r="BL206" i="20"/>
  <c r="BL183" i="20"/>
  <c r="BT22" i="20"/>
  <c r="BL22" i="20"/>
  <c r="BL196" i="20"/>
  <c r="BL106" i="20"/>
  <c r="BL163" i="20"/>
  <c r="BL125" i="20"/>
  <c r="BL132" i="20"/>
  <c r="BT21" i="20"/>
  <c r="BL21" i="20"/>
  <c r="BL152" i="20"/>
  <c r="BL142" i="20"/>
  <c r="BL171" i="20"/>
  <c r="BL128" i="20"/>
  <c r="BL99" i="20"/>
  <c r="BL165" i="20"/>
  <c r="BL157" i="20"/>
  <c r="BT59" i="20"/>
  <c r="BL59" i="20"/>
  <c r="BL124" i="20"/>
  <c r="BP171" i="20"/>
  <c r="BP127" i="20"/>
  <c r="BP24" i="20"/>
  <c r="BP10" i="20"/>
  <c r="BI10" i="20"/>
  <c r="BK10" i="20" s="1"/>
  <c r="BO10" i="20" s="1"/>
  <c r="BP162" i="20"/>
  <c r="BI162" i="20"/>
  <c r="BP155" i="20"/>
  <c r="BP166" i="20"/>
  <c r="BP103" i="20"/>
  <c r="BP140" i="20"/>
  <c r="BP125" i="20"/>
  <c r="BP31" i="20"/>
  <c r="BP13" i="20"/>
  <c r="BP28" i="20"/>
  <c r="BP193" i="20"/>
  <c r="BP101" i="20"/>
  <c r="BI101" i="20"/>
  <c r="BK101" i="20" s="1"/>
  <c r="BO101" i="20" s="1"/>
  <c r="BP161" i="20"/>
  <c r="BP21" i="20"/>
  <c r="BI21" i="20"/>
  <c r="BK21" i="20" s="1"/>
  <c r="BO21" i="20" s="1"/>
  <c r="BP150" i="20"/>
  <c r="BI150" i="20"/>
  <c r="BK150" i="20" s="1"/>
  <c r="BO150" i="20" s="1"/>
  <c r="BP198" i="20"/>
  <c r="BP132" i="20"/>
  <c r="BP34" i="20"/>
  <c r="BP63" i="20"/>
  <c r="BP172" i="20"/>
  <c r="BP38" i="20"/>
  <c r="BI38" i="20"/>
  <c r="BK38" i="20" s="1"/>
  <c r="BO38" i="20" s="1"/>
  <c r="BP146" i="20"/>
  <c r="BI146" i="20"/>
  <c r="BK146" i="20" s="1"/>
  <c r="BO146" i="20" s="1"/>
  <c r="BP128" i="20"/>
  <c r="BP159" i="20"/>
  <c r="BI159" i="20"/>
  <c r="BP200" i="20"/>
  <c r="BP197" i="20"/>
  <c r="BP152" i="20"/>
  <c r="BP119" i="20"/>
  <c r="BP131" i="20"/>
  <c r="BP57" i="20"/>
  <c r="BP113" i="20"/>
  <c r="BI113" i="20"/>
  <c r="BP22" i="20"/>
  <c r="BP183" i="20"/>
  <c r="BI183" i="20"/>
  <c r="BK183" i="20" s="1"/>
  <c r="BO183" i="20" s="1"/>
  <c r="BP196" i="20"/>
  <c r="BP141" i="20"/>
  <c r="BP169" i="20"/>
  <c r="BP106" i="20"/>
  <c r="BP122" i="20"/>
  <c r="BI122" i="20"/>
  <c r="BP16" i="20"/>
  <c r="BP99" i="20"/>
  <c r="BP201" i="20"/>
  <c r="BP151" i="20"/>
  <c r="BP205" i="20"/>
  <c r="BI205" i="20"/>
  <c r="BK205" i="20" s="1"/>
  <c r="BO205" i="20" s="1"/>
  <c r="BP124" i="20"/>
  <c r="BI124" i="20"/>
  <c r="BK124" i="20" s="1"/>
  <c r="BO124" i="20" s="1"/>
  <c r="S52" i="21"/>
  <c r="AI52" i="21" s="1"/>
  <c r="AG77" i="21"/>
  <c r="AH77" i="21" s="1"/>
  <c r="AL79" i="21"/>
  <c r="AM79" i="21" s="1"/>
  <c r="X79" i="21"/>
  <c r="AU107" i="21"/>
  <c r="AV107" i="21" s="1"/>
  <c r="AU77" i="21"/>
  <c r="AV77" i="21" s="1"/>
  <c r="AU40" i="21"/>
  <c r="AV40" i="21" s="1"/>
  <c r="AP40" i="21"/>
  <c r="AQ40" i="21" s="1"/>
  <c r="AG40" i="21"/>
  <c r="AH40" i="21" s="1"/>
  <c r="AL91" i="21"/>
  <c r="AM91" i="21" s="1"/>
  <c r="AY51" i="20"/>
  <c r="AY45" i="20"/>
  <c r="Y76" i="20"/>
  <c r="Z76" i="20" s="1"/>
  <c r="AA40" i="21"/>
  <c r="AB40" i="21" s="1"/>
  <c r="AC40" i="21" s="1"/>
  <c r="AJ40" i="21"/>
  <c r="AN90" i="21"/>
  <c r="AJ90" i="21"/>
  <c r="AW98" i="21"/>
  <c r="AJ98" i="21"/>
  <c r="AD76" i="20"/>
  <c r="AE76" i="20" s="1"/>
  <c r="AF76" i="20" s="1"/>
  <c r="AS26" i="21"/>
  <c r="AJ26" i="21"/>
  <c r="AA37" i="21"/>
  <c r="AB37" i="21" s="1"/>
  <c r="AC37" i="21" s="1"/>
  <c r="AJ37" i="21"/>
  <c r="AA12" i="21"/>
  <c r="AB12" i="21" s="1"/>
  <c r="AC12" i="21" s="1"/>
  <c r="AJ12" i="21"/>
  <c r="AW45" i="21"/>
  <c r="AJ45" i="21"/>
  <c r="AW76" i="20"/>
  <c r="AX76" i="20" s="1"/>
  <c r="BU76" i="20" s="1"/>
  <c r="AS77" i="21"/>
  <c r="AT77" i="21" s="1"/>
  <c r="AJ77" i="21"/>
  <c r="AJ76" i="20"/>
  <c r="AK76" i="20" s="1"/>
  <c r="BR76" i="20" s="1"/>
  <c r="AW24" i="21"/>
  <c r="AJ24" i="21"/>
  <c r="AD69" i="21"/>
  <c r="AE69" i="21" s="1"/>
  <c r="AF69" i="21" s="1"/>
  <c r="AJ69" i="21"/>
  <c r="AA83" i="21"/>
  <c r="AB83" i="21" s="1"/>
  <c r="AC83" i="21" s="1"/>
  <c r="AJ83" i="21"/>
  <c r="AA107" i="21"/>
  <c r="AB107" i="21" s="1"/>
  <c r="AC107" i="21" s="1"/>
  <c r="AJ107" i="21"/>
  <c r="AK107" i="21" s="1"/>
  <c r="BR107" i="21" s="1"/>
  <c r="AA76" i="20"/>
  <c r="AB76" i="20" s="1"/>
  <c r="AC76" i="20" s="1"/>
  <c r="AD25" i="21"/>
  <c r="AE25" i="21" s="1"/>
  <c r="AF25" i="21" s="1"/>
  <c r="AJ25" i="21"/>
  <c r="AD21" i="21"/>
  <c r="AE21" i="21" s="1"/>
  <c r="AF21" i="21" s="1"/>
  <c r="AJ21" i="21"/>
  <c r="AK21" i="21" s="1"/>
  <c r="BR21" i="21" s="1"/>
  <c r="AS10" i="21"/>
  <c r="AJ10" i="21"/>
  <c r="AN47" i="21"/>
  <c r="AJ47" i="21"/>
  <c r="AP97" i="21"/>
  <c r="AQ97" i="21" s="1"/>
  <c r="AG97" i="21"/>
  <c r="AH97" i="21" s="1"/>
  <c r="AK97" i="21" s="1"/>
  <c r="BR97" i="21" s="1"/>
  <c r="X68" i="20"/>
  <c r="AU97" i="21"/>
  <c r="AV97" i="21" s="1"/>
  <c r="AG91" i="21"/>
  <c r="AH91" i="21" s="1"/>
  <c r="AK91" i="21" s="1"/>
  <c r="BR91" i="21" s="1"/>
  <c r="AP91" i="21"/>
  <c r="AQ91" i="21" s="1"/>
  <c r="AO87" i="20"/>
  <c r="BS87" i="20" s="1"/>
  <c r="AY49" i="21"/>
  <c r="AK94" i="21"/>
  <c r="BR94" i="21" s="1"/>
  <c r="AX89" i="20"/>
  <c r="BU89" i="20" s="1"/>
  <c r="Y21" i="21"/>
  <c r="AK49" i="21"/>
  <c r="BR49" i="21" s="1"/>
  <c r="AL49" i="21"/>
  <c r="AM49" i="21" s="1"/>
  <c r="AO49" i="21" s="1"/>
  <c r="BS49" i="21" s="1"/>
  <c r="X49" i="21"/>
  <c r="Z49" i="21" s="1"/>
  <c r="AP70" i="21"/>
  <c r="AQ70" i="21" s="1"/>
  <c r="AP49" i="21"/>
  <c r="AQ49" i="21" s="1"/>
  <c r="AT49" i="21" s="1"/>
  <c r="Z66" i="20"/>
  <c r="AT50" i="20"/>
  <c r="BL50" i="20" s="1"/>
  <c r="AO82" i="20"/>
  <c r="BS82" i="20" s="1"/>
  <c r="AP36" i="21"/>
  <c r="AQ36" i="21" s="1"/>
  <c r="AT36" i="21" s="1"/>
  <c r="AA21" i="21"/>
  <c r="AB21" i="21" s="1"/>
  <c r="AC21" i="21" s="1"/>
  <c r="AW21" i="21"/>
  <c r="AS21" i="21"/>
  <c r="AL43" i="21"/>
  <c r="AM43" i="21" s="1"/>
  <c r="AP43" i="21"/>
  <c r="AQ43" i="21" s="1"/>
  <c r="AG43" i="21"/>
  <c r="AH43" i="21" s="1"/>
  <c r="AK43" i="21" s="1"/>
  <c r="BR43" i="21" s="1"/>
  <c r="V52" i="21"/>
  <c r="AO50" i="20"/>
  <c r="BS50" i="20" s="1"/>
  <c r="AU49" i="21"/>
  <c r="AV49" i="21" s="1"/>
  <c r="AX49" i="21" s="1"/>
  <c r="Z50" i="20"/>
  <c r="AU11" i="21"/>
  <c r="AV11" i="21" s="1"/>
  <c r="AY11" i="21"/>
  <c r="X47" i="21"/>
  <c r="AG36" i="21"/>
  <c r="AH36" i="21" s="1"/>
  <c r="AK36" i="21" s="1"/>
  <c r="BR36" i="21" s="1"/>
  <c r="AS25" i="21"/>
  <c r="AW98" i="20"/>
  <c r="AP47" i="21"/>
  <c r="AQ47" i="21" s="1"/>
  <c r="AP23" i="21"/>
  <c r="AQ23" i="21" s="1"/>
  <c r="AL36" i="21"/>
  <c r="AM36" i="21" s="1"/>
  <c r="AO36" i="21" s="1"/>
  <c r="BS36" i="21" s="1"/>
  <c r="AL23" i="21"/>
  <c r="AM23" i="21" s="1"/>
  <c r="AU36" i="21"/>
  <c r="AV36" i="21" s="1"/>
  <c r="AX36" i="21" s="1"/>
  <c r="BU36" i="21" s="1"/>
  <c r="AL47" i="21"/>
  <c r="AM47" i="21" s="1"/>
  <c r="X36" i="21"/>
  <c r="Z36" i="21" s="1"/>
  <c r="AL40" i="21"/>
  <c r="AM40" i="21" s="1"/>
  <c r="AY40" i="21"/>
  <c r="AG47" i="21"/>
  <c r="AH47" i="21" s="1"/>
  <c r="AY47" i="21"/>
  <c r="AD94" i="20"/>
  <c r="AE94" i="20" s="1"/>
  <c r="AF94" i="20" s="1"/>
  <c r="AW94" i="20"/>
  <c r="V56" i="21"/>
  <c r="AN56" i="21" s="1"/>
  <c r="AP26" i="21"/>
  <c r="AQ26" i="21" s="1"/>
  <c r="AY26" i="21"/>
  <c r="X97" i="21"/>
  <c r="AY97" i="21"/>
  <c r="AY81" i="21"/>
  <c r="S90" i="21"/>
  <c r="AI90" i="21" s="1"/>
  <c r="AP107" i="21"/>
  <c r="AY107" i="21"/>
  <c r="X77" i="21"/>
  <c r="AY77" i="21"/>
  <c r="BU9" i="20"/>
  <c r="AS47" i="21"/>
  <c r="AX82" i="20"/>
  <c r="BU82" i="20" s="1"/>
  <c r="AW90" i="21"/>
  <c r="AD47" i="21"/>
  <c r="AE47" i="21" s="1"/>
  <c r="AF47" i="21" s="1"/>
  <c r="AD40" i="21"/>
  <c r="AE40" i="21" s="1"/>
  <c r="AF40" i="21" s="1"/>
  <c r="AW40" i="21"/>
  <c r="AS90" i="21"/>
  <c r="AW77" i="21"/>
  <c r="AN26" i="21"/>
  <c r="AS40" i="21"/>
  <c r="AD90" i="21"/>
  <c r="AE90" i="21" s="1"/>
  <c r="AF90" i="21" s="1"/>
  <c r="Y26" i="21"/>
  <c r="AO168" i="20"/>
  <c r="BS168" i="20" s="1"/>
  <c r="AS83" i="21"/>
  <c r="AA26" i="21"/>
  <c r="AB26" i="21" s="1"/>
  <c r="AC26" i="21" s="1"/>
  <c r="AA90" i="21"/>
  <c r="AB90" i="21" s="1"/>
  <c r="AC90" i="21" s="1"/>
  <c r="Y40" i="21"/>
  <c r="Z40" i="21" s="1"/>
  <c r="Y90" i="21"/>
  <c r="AN40" i="21"/>
  <c r="AW37" i="21"/>
  <c r="AA45" i="21"/>
  <c r="AB45" i="21" s="1"/>
  <c r="AC45" i="21" s="1"/>
  <c r="AN37" i="21"/>
  <c r="AO37" i="21" s="1"/>
  <c r="BS37" i="21" s="1"/>
  <c r="AD45" i="21"/>
  <c r="AE45" i="21" s="1"/>
  <c r="AF45" i="21" s="1"/>
  <c r="AW26" i="21"/>
  <c r="AX26" i="21" s="1"/>
  <c r="Y45" i="21"/>
  <c r="AS45" i="21"/>
  <c r="AD26" i="21"/>
  <c r="AE26" i="21" s="1"/>
  <c r="AF26" i="21" s="1"/>
  <c r="AL81" i="21"/>
  <c r="AM81" i="21" s="1"/>
  <c r="AO81" i="21" s="1"/>
  <c r="BS81" i="21" s="1"/>
  <c r="V9" i="21"/>
  <c r="AN9" i="21" s="1"/>
  <c r="V65" i="21"/>
  <c r="AN65" i="21" s="1"/>
  <c r="AN45" i="21"/>
  <c r="V39" i="21"/>
  <c r="AW83" i="21"/>
  <c r="AN69" i="21"/>
  <c r="Y77" i="21"/>
  <c r="AN25" i="21"/>
  <c r="V53" i="21"/>
  <c r="AA77" i="21"/>
  <c r="AB77" i="21" s="1"/>
  <c r="AC77" i="21" s="1"/>
  <c r="AW12" i="21"/>
  <c r="AN83" i="21"/>
  <c r="Y47" i="21"/>
  <c r="Y25" i="21"/>
  <c r="Y12" i="21"/>
  <c r="AW47" i="21"/>
  <c r="AX47" i="21" s="1"/>
  <c r="Y24" i="21"/>
  <c r="AW25" i="21"/>
  <c r="AS12" i="21"/>
  <c r="AN12" i="21"/>
  <c r="AA25" i="21"/>
  <c r="AB25" i="21" s="1"/>
  <c r="AC25" i="21" s="1"/>
  <c r="AD77" i="21"/>
  <c r="AE77" i="21" s="1"/>
  <c r="AF77" i="21" s="1"/>
  <c r="BC37" i="21"/>
  <c r="BV37" i="21" s="1"/>
  <c r="Z87" i="20"/>
  <c r="AD12" i="21"/>
  <c r="AE12" i="21" s="1"/>
  <c r="AF12" i="21" s="1"/>
  <c r="Y83" i="21"/>
  <c r="AA47" i="21"/>
  <c r="AB47" i="21" s="1"/>
  <c r="AC47" i="21" s="1"/>
  <c r="AN77" i="21"/>
  <c r="AD83" i="21"/>
  <c r="AE83" i="21" s="1"/>
  <c r="AF83" i="21" s="1"/>
  <c r="AP62" i="21"/>
  <c r="AQ62" i="21" s="1"/>
  <c r="AG62" i="21"/>
  <c r="AH62" i="21" s="1"/>
  <c r="AL62" i="21"/>
  <c r="AM62" i="21" s="1"/>
  <c r="AN98" i="21"/>
  <c r="AT9" i="20"/>
  <c r="BQ9" i="20" s="1"/>
  <c r="AS98" i="21"/>
  <c r="AS107" i="21"/>
  <c r="X26" i="21"/>
  <c r="V33" i="21"/>
  <c r="AO86" i="20"/>
  <c r="BS86" i="20" s="1"/>
  <c r="AD98" i="21"/>
  <c r="AE98" i="21" s="1"/>
  <c r="AF98" i="21" s="1"/>
  <c r="V64" i="21"/>
  <c r="AJ64" i="21" s="1"/>
  <c r="V61" i="21"/>
  <c r="AN61" i="21" s="1"/>
  <c r="S58" i="21"/>
  <c r="AI58" i="21" s="1"/>
  <c r="V17" i="21"/>
  <c r="AJ17" i="21" s="1"/>
  <c r="AD107" i="21"/>
  <c r="AE107" i="21" s="1"/>
  <c r="AF107" i="21" s="1"/>
  <c r="W108" i="21"/>
  <c r="AY108" i="21" s="1"/>
  <c r="AN107" i="21"/>
  <c r="V103" i="21"/>
  <c r="AJ103" i="21" s="1"/>
  <c r="W103" i="21"/>
  <c r="AY103" i="21" s="1"/>
  <c r="X42" i="21"/>
  <c r="AG42" i="21"/>
  <c r="AH42" i="21" s="1"/>
  <c r="AP42" i="21"/>
  <c r="AQ42" i="21" s="1"/>
  <c r="AL42" i="21"/>
  <c r="AM42" i="21" s="1"/>
  <c r="AU42" i="21"/>
  <c r="AV42" i="21" s="1"/>
  <c r="X96" i="21"/>
  <c r="AU96" i="21"/>
  <c r="AV96" i="21" s="1"/>
  <c r="V19" i="21"/>
  <c r="AN19" i="21" s="1"/>
  <c r="W65" i="21"/>
  <c r="AY65" i="21" s="1"/>
  <c r="S109" i="21"/>
  <c r="AI109" i="21" s="1"/>
  <c r="S44" i="21"/>
  <c r="AI44" i="21" s="1"/>
  <c r="W44" i="21"/>
  <c r="AY44" i="21" s="1"/>
  <c r="X45" i="21"/>
  <c r="AU45" i="21"/>
  <c r="AV45" i="21" s="1"/>
  <c r="AL45" i="21"/>
  <c r="AP45" i="21"/>
  <c r="AQ45" i="21" s="1"/>
  <c r="AG45" i="21"/>
  <c r="AH45" i="21" s="1"/>
  <c r="AL52" i="21"/>
  <c r="AM52" i="21" s="1"/>
  <c r="AU52" i="21"/>
  <c r="AV52" i="21" s="1"/>
  <c r="X52" i="21"/>
  <c r="AP52" i="21"/>
  <c r="AQ52" i="21" s="1"/>
  <c r="AU39" i="21"/>
  <c r="AV39" i="21" s="1"/>
  <c r="X39" i="21"/>
  <c r="AG39" i="21"/>
  <c r="AH39" i="21" s="1"/>
  <c r="X50" i="21"/>
  <c r="AG50" i="21"/>
  <c r="AH50" i="21" s="1"/>
  <c r="AP50" i="21"/>
  <c r="AQ50" i="21" s="1"/>
  <c r="AU50" i="21"/>
  <c r="AV50" i="21" s="1"/>
  <c r="AA34" i="21"/>
  <c r="AB34" i="21" s="1"/>
  <c r="AC34" i="21" s="1"/>
  <c r="Y34" i="21"/>
  <c r="AU63" i="21"/>
  <c r="AV63" i="21" s="1"/>
  <c r="X63" i="21"/>
  <c r="AL63" i="21"/>
  <c r="AM63" i="21" s="1"/>
  <c r="AP63" i="21"/>
  <c r="AQ63" i="21" s="1"/>
  <c r="AG63" i="21"/>
  <c r="AH63" i="21" s="1"/>
  <c r="W61" i="21"/>
  <c r="AY61" i="21" s="1"/>
  <c r="V63" i="21"/>
  <c r="Y98" i="21"/>
  <c r="S98" i="21"/>
  <c r="AI98" i="21" s="1"/>
  <c r="S34" i="21"/>
  <c r="AI34" i="21" s="1"/>
  <c r="S39" i="21"/>
  <c r="AI39" i="21" s="1"/>
  <c r="V16" i="21"/>
  <c r="AJ16" i="21" s="1"/>
  <c r="W75" i="21"/>
  <c r="AL75" i="21" s="1"/>
  <c r="AM75" i="21" s="1"/>
  <c r="W56" i="21"/>
  <c r="W34" i="21"/>
  <c r="S63" i="21"/>
  <c r="AI63" i="21" s="1"/>
  <c r="S15" i="21"/>
  <c r="AI15" i="21" s="1"/>
  <c r="W16" i="21"/>
  <c r="AU16" i="21" s="1"/>
  <c r="AV16" i="21" s="1"/>
  <c r="AP12" i="21"/>
  <c r="AQ12" i="21" s="1"/>
  <c r="AL12" i="21"/>
  <c r="X12" i="21"/>
  <c r="AU12" i="21"/>
  <c r="AV12" i="21" s="1"/>
  <c r="AG12" i="21"/>
  <c r="AH12" i="21" s="1"/>
  <c r="AA98" i="21"/>
  <c r="AB98" i="21" s="1"/>
  <c r="AC98" i="21" s="1"/>
  <c r="W9" i="21"/>
  <c r="S60" i="21"/>
  <c r="AI60" i="21" s="1"/>
  <c r="S100" i="21"/>
  <c r="AI100" i="21" s="1"/>
  <c r="AP9" i="21"/>
  <c r="AQ9" i="21" s="1"/>
  <c r="W53" i="21"/>
  <c r="AY53" i="21" s="1"/>
  <c r="W13" i="21"/>
  <c r="AL13" i="21" s="1"/>
  <c r="AM13" i="21" s="1"/>
  <c r="AN13" i="21"/>
  <c r="Y13" i="21"/>
  <c r="X106" i="21"/>
  <c r="AU106" i="21"/>
  <c r="AV106" i="21" s="1"/>
  <c r="AG106" i="21"/>
  <c r="AH106" i="21" s="1"/>
  <c r="AP106" i="21"/>
  <c r="AQ106" i="21" s="1"/>
  <c r="AL106" i="21"/>
  <c r="AP15" i="21"/>
  <c r="AQ15" i="21" s="1"/>
  <c r="AL15" i="21"/>
  <c r="AM15" i="21" s="1"/>
  <c r="AU15" i="21"/>
  <c r="AV15" i="21" s="1"/>
  <c r="X15" i="21"/>
  <c r="AG15" i="21"/>
  <c r="AH15" i="21" s="1"/>
  <c r="V50" i="21"/>
  <c r="AJ50" i="21" s="1"/>
  <c r="S50" i="21"/>
  <c r="AI50" i="21" s="1"/>
  <c r="S62" i="21"/>
  <c r="AI62" i="21" s="1"/>
  <c r="V62" i="21"/>
  <c r="AJ62" i="21" s="1"/>
  <c r="V18" i="21"/>
  <c r="AA18" i="21" s="1"/>
  <c r="AB18" i="21" s="1"/>
  <c r="AC18" i="21" s="1"/>
  <c r="S18" i="21"/>
  <c r="AI18" i="21" s="1"/>
  <c r="V104" i="21"/>
  <c r="S104" i="21"/>
  <c r="AI104" i="21" s="1"/>
  <c r="S108" i="21"/>
  <c r="AI108" i="21" s="1"/>
  <c r="V57" i="21"/>
  <c r="S57" i="21"/>
  <c r="AI57" i="21" s="1"/>
  <c r="V42" i="21"/>
  <c r="AJ42" i="21" s="1"/>
  <c r="S42" i="21"/>
  <c r="AI42" i="21" s="1"/>
  <c r="W41" i="21"/>
  <c r="AY41" i="21" s="1"/>
  <c r="W89" i="21"/>
  <c r="AG89" i="21" s="1"/>
  <c r="AH89" i="21" s="1"/>
  <c r="W93" i="21"/>
  <c r="W71" i="21"/>
  <c r="X71" i="21" s="1"/>
  <c r="V96" i="21"/>
  <c r="S96" i="21"/>
  <c r="AI96" i="21" s="1"/>
  <c r="W19" i="21"/>
  <c r="AY19" i="21" s="1"/>
  <c r="W14" i="21"/>
  <c r="AL14" i="21" s="1"/>
  <c r="V106" i="21"/>
  <c r="AN106" i="21" s="1"/>
  <c r="S106" i="21"/>
  <c r="AI106" i="21" s="1"/>
  <c r="AP24" i="21"/>
  <c r="AQ24" i="21" s="1"/>
  <c r="X24" i="21"/>
  <c r="AU24" i="21"/>
  <c r="AV24" i="21" s="1"/>
  <c r="AL24" i="21"/>
  <c r="AG24" i="21"/>
  <c r="AH24" i="21" s="1"/>
  <c r="V71" i="21"/>
  <c r="AN71" i="21" s="1"/>
  <c r="AW34" i="21"/>
  <c r="W109" i="21"/>
  <c r="AL109" i="21" s="1"/>
  <c r="V93" i="21"/>
  <c r="AJ93" i="21" s="1"/>
  <c r="W60" i="21"/>
  <c r="AG60" i="21" s="1"/>
  <c r="AH60" i="21" s="1"/>
  <c r="W98" i="21"/>
  <c r="AL98" i="21" s="1"/>
  <c r="AM98" i="21" s="1"/>
  <c r="AL26" i="21"/>
  <c r="AG26" i="21"/>
  <c r="AH26" i="21" s="1"/>
  <c r="W33" i="21"/>
  <c r="AY33" i="21" s="1"/>
  <c r="S13" i="21"/>
  <c r="AI13" i="21" s="1"/>
  <c r="W58" i="21"/>
  <c r="W17" i="21"/>
  <c r="AY17" i="21" s="1"/>
  <c r="AN34" i="21"/>
  <c r="S14" i="21"/>
  <c r="AI14" i="21" s="1"/>
  <c r="V20" i="21"/>
  <c r="S20" i="21"/>
  <c r="AI20" i="21" s="1"/>
  <c r="AU9" i="21"/>
  <c r="AV9" i="21" s="1"/>
  <c r="AL9" i="21"/>
  <c r="AM9" i="21" s="1"/>
  <c r="S9" i="21"/>
  <c r="AI9" i="21" s="1"/>
  <c r="V88" i="21"/>
  <c r="S88" i="21"/>
  <c r="AI88" i="21" s="1"/>
  <c r="V15" i="21"/>
  <c r="AJ15" i="21" s="1"/>
  <c r="AS34" i="21"/>
  <c r="S89" i="21"/>
  <c r="AI89" i="21" s="1"/>
  <c r="AG31" i="21"/>
  <c r="AH31" i="21" s="1"/>
  <c r="AL31" i="21"/>
  <c r="X31" i="21"/>
  <c r="AP31" i="21"/>
  <c r="AQ31" i="21" s="1"/>
  <c r="AU31" i="21"/>
  <c r="AV31" i="21" s="1"/>
  <c r="X76" i="21"/>
  <c r="Z76" i="21" s="1"/>
  <c r="AG76" i="21"/>
  <c r="AH76" i="21" s="1"/>
  <c r="AK76" i="21" s="1"/>
  <c r="BR76" i="21" s="1"/>
  <c r="AU76" i="21"/>
  <c r="AV76" i="21" s="1"/>
  <c r="AX76" i="21" s="1"/>
  <c r="AP76" i="21"/>
  <c r="AQ76" i="21" s="1"/>
  <c r="AT76" i="21" s="1"/>
  <c r="AL76" i="21"/>
  <c r="V68" i="21"/>
  <c r="AN68" i="21" s="1"/>
  <c r="S68" i="21"/>
  <c r="AI68" i="21" s="1"/>
  <c r="S75" i="21"/>
  <c r="AI75" i="21" s="1"/>
  <c r="V41" i="21"/>
  <c r="AD34" i="21"/>
  <c r="AE34" i="21" s="1"/>
  <c r="AF34" i="21" s="1"/>
  <c r="W90" i="21"/>
  <c r="AY90" i="21" s="1"/>
  <c r="W64" i="21"/>
  <c r="AY64" i="21" s="1"/>
  <c r="V31" i="21"/>
  <c r="S31" i="21"/>
  <c r="AI31" i="21" s="1"/>
  <c r="W100" i="21"/>
  <c r="AY100" i="21" s="1"/>
  <c r="S11" i="21"/>
  <c r="AI11" i="21" s="1"/>
  <c r="V11" i="21"/>
  <c r="X62" i="21"/>
  <c r="AU62" i="21"/>
  <c r="AV62" i="21" s="1"/>
  <c r="W104" i="21"/>
  <c r="AY104" i="21" s="1"/>
  <c r="W57" i="21"/>
  <c r="AY57" i="21" s="1"/>
  <c r="AY51" i="21"/>
  <c r="AG51" i="21"/>
  <c r="AH51" i="21" s="1"/>
  <c r="AL51" i="21"/>
  <c r="AU51" i="21"/>
  <c r="AV51" i="21" s="1"/>
  <c r="AP51" i="21"/>
  <c r="AQ51" i="21" s="1"/>
  <c r="X51" i="21"/>
  <c r="AY28" i="21"/>
  <c r="AP28" i="21"/>
  <c r="AQ28" i="21" s="1"/>
  <c r="AL28" i="21"/>
  <c r="AM28" i="21" s="1"/>
  <c r="AG28" i="21"/>
  <c r="AH28" i="21" s="1"/>
  <c r="AK28" i="21" s="1"/>
  <c r="BR28" i="21" s="1"/>
  <c r="X54" i="21"/>
  <c r="AP54" i="21"/>
  <c r="AQ54" i="21" s="1"/>
  <c r="AU54" i="21"/>
  <c r="AV54" i="21" s="1"/>
  <c r="AG54" i="21"/>
  <c r="AH54" i="21" s="1"/>
  <c r="AK54" i="21" s="1"/>
  <c r="BR54" i="21" s="1"/>
  <c r="AN24" i="21"/>
  <c r="AA13" i="21"/>
  <c r="AB13" i="21" s="1"/>
  <c r="AC13" i="21" s="1"/>
  <c r="AK23" i="21"/>
  <c r="BR23" i="21" s="1"/>
  <c r="AL87" i="21"/>
  <c r="AM87" i="21" s="1"/>
  <c r="AG70" i="21"/>
  <c r="AH70" i="21" s="1"/>
  <c r="AK70" i="21" s="1"/>
  <c r="BR70" i="21" s="1"/>
  <c r="AP88" i="21"/>
  <c r="AQ88" i="21" s="1"/>
  <c r="AL88" i="21"/>
  <c r="AT81" i="21"/>
  <c r="AA51" i="21"/>
  <c r="AB51" i="21" s="1"/>
  <c r="AC51" i="21" s="1"/>
  <c r="AS24" i="21"/>
  <c r="AN10" i="21"/>
  <c r="AY48" i="21"/>
  <c r="AU37" i="21"/>
  <c r="AV37" i="21" s="1"/>
  <c r="X37" i="21"/>
  <c r="AG37" i="21"/>
  <c r="AH37" i="21" s="1"/>
  <c r="Z181" i="20"/>
  <c r="AU87" i="21"/>
  <c r="AV87" i="21" s="1"/>
  <c r="AG87" i="21"/>
  <c r="AH87" i="21" s="1"/>
  <c r="AK87" i="21" s="1"/>
  <c r="BR87" i="21" s="1"/>
  <c r="X87" i="21"/>
  <c r="AG35" i="21"/>
  <c r="AH35" i="21" s="1"/>
  <c r="AU35" i="21"/>
  <c r="AV35" i="21" s="1"/>
  <c r="AP35" i="21"/>
  <c r="AQ35" i="21" s="1"/>
  <c r="AD10" i="21"/>
  <c r="AE10" i="21" s="1"/>
  <c r="AF10" i="21" s="1"/>
  <c r="AP25" i="21"/>
  <c r="AQ25" i="21" s="1"/>
  <c r="X25" i="21"/>
  <c r="AL25" i="21"/>
  <c r="AG25" i="21"/>
  <c r="AH25" i="21" s="1"/>
  <c r="AU25" i="21"/>
  <c r="AV25" i="21" s="1"/>
  <c r="AP87" i="21"/>
  <c r="AQ87" i="21" s="1"/>
  <c r="AK86" i="20"/>
  <c r="X88" i="21"/>
  <c r="AG27" i="21"/>
  <c r="AH27" i="21" s="1"/>
  <c r="AK27" i="21" s="1"/>
  <c r="BR27" i="21" s="1"/>
  <c r="AL27" i="21"/>
  <c r="AM27" i="21" s="1"/>
  <c r="AS13" i="21"/>
  <c r="Y10" i="21"/>
  <c r="AX87" i="20"/>
  <c r="BU87" i="20" s="1"/>
  <c r="Z74" i="20"/>
  <c r="AU27" i="21"/>
  <c r="AV27" i="21" s="1"/>
  <c r="AD13" i="21"/>
  <c r="AE13" i="21" s="1"/>
  <c r="AF13" i="21" s="1"/>
  <c r="AW10" i="21"/>
  <c r="AU94" i="21"/>
  <c r="AV94" i="21" s="1"/>
  <c r="AP94" i="21"/>
  <c r="AQ94" i="21" s="1"/>
  <c r="AL94" i="21"/>
  <c r="X81" i="21"/>
  <c r="Z81" i="21" s="1"/>
  <c r="AU81" i="21"/>
  <c r="AV81" i="21" s="1"/>
  <c r="AX81" i="21" s="1"/>
  <c r="AG81" i="21"/>
  <c r="AH81" i="21" s="1"/>
  <c r="AK81" i="21" s="1"/>
  <c r="BR81" i="21" s="1"/>
  <c r="AA10" i="21"/>
  <c r="AB10" i="21" s="1"/>
  <c r="AC10" i="21" s="1"/>
  <c r="AA24" i="21"/>
  <c r="AB24" i="21" s="1"/>
  <c r="AC24" i="21" s="1"/>
  <c r="AD24" i="21"/>
  <c r="AE24" i="21" s="1"/>
  <c r="AF24" i="21" s="1"/>
  <c r="AW13" i="21"/>
  <c r="Z9" i="20"/>
  <c r="AX86" i="20"/>
  <c r="BU86" i="20" s="1"/>
  <c r="AK174" i="20"/>
  <c r="BR174" i="20" s="1"/>
  <c r="AJ97" i="20"/>
  <c r="AP21" i="21"/>
  <c r="X64" i="20"/>
  <c r="AY64" i="20"/>
  <c r="X105" i="21"/>
  <c r="AY105" i="21"/>
  <c r="AL50" i="21"/>
  <c r="AY50" i="21"/>
  <c r="AL54" i="21"/>
  <c r="AM54" i="21" s="1"/>
  <c r="AY54" i="21"/>
  <c r="X92" i="21"/>
  <c r="AG92" i="21"/>
  <c r="AH92" i="21" s="1"/>
  <c r="AK92" i="21" s="1"/>
  <c r="BR92" i="21" s="1"/>
  <c r="AY92" i="21"/>
  <c r="AU92" i="21"/>
  <c r="AV92" i="21" s="1"/>
  <c r="AP92" i="21"/>
  <c r="AL92" i="21"/>
  <c r="AM92" i="21" s="1"/>
  <c r="AU23" i="21"/>
  <c r="AV23" i="21" s="1"/>
  <c r="AP105" i="21"/>
  <c r="AG105" i="21"/>
  <c r="AH105" i="21" s="1"/>
  <c r="AK105" i="21" s="1"/>
  <c r="BR105" i="21" s="1"/>
  <c r="AY54" i="20"/>
  <c r="AG54" i="20"/>
  <c r="AH54" i="20" s="1"/>
  <c r="AK54" i="20" s="1"/>
  <c r="BR54" i="20" s="1"/>
  <c r="X72" i="20"/>
  <c r="AY72" i="20"/>
  <c r="AA69" i="21"/>
  <c r="AB69" i="21" s="1"/>
  <c r="AC69" i="21" s="1"/>
  <c r="AS37" i="21"/>
  <c r="AT37" i="21" s="1"/>
  <c r="X56" i="20"/>
  <c r="AY56" i="20"/>
  <c r="AG96" i="21"/>
  <c r="AH96" i="21" s="1"/>
  <c r="AY96" i="21"/>
  <c r="AL82" i="21"/>
  <c r="AM82" i="21" s="1"/>
  <c r="AP96" i="21"/>
  <c r="X46" i="20"/>
  <c r="AG46" i="20"/>
  <c r="AH46" i="20" s="1"/>
  <c r="AK46" i="20" s="1"/>
  <c r="BR46" i="20" s="1"/>
  <c r="X43" i="21"/>
  <c r="AY43" i="21"/>
  <c r="AW69" i="21"/>
  <c r="Y107" i="21"/>
  <c r="Z107" i="21" s="1"/>
  <c r="AL35" i="21"/>
  <c r="AY35" i="21"/>
  <c r="AL96" i="21"/>
  <c r="AM96" i="21" s="1"/>
  <c r="X23" i="21"/>
  <c r="AY23" i="21"/>
  <c r="AY21" i="21"/>
  <c r="AU21" i="21"/>
  <c r="AV21" i="21" s="1"/>
  <c r="Y69" i="21"/>
  <c r="Y37" i="21"/>
  <c r="AL80" i="21"/>
  <c r="AM80" i="21" s="1"/>
  <c r="AO80" i="21" s="1"/>
  <c r="BS80" i="21" s="1"/>
  <c r="AU80" i="21"/>
  <c r="AV80" i="21" s="1"/>
  <c r="AX80" i="21" s="1"/>
  <c r="AY80" i="21"/>
  <c r="AP80" i="21"/>
  <c r="AG80" i="21"/>
  <c r="AH80" i="21" s="1"/>
  <c r="AK80" i="21" s="1"/>
  <c r="BR80" i="21" s="1"/>
  <c r="X80" i="21"/>
  <c r="Z80" i="21" s="1"/>
  <c r="AG52" i="21"/>
  <c r="AH52" i="21" s="1"/>
  <c r="X21" i="21"/>
  <c r="AL105" i="21"/>
  <c r="AM105" i="21" s="1"/>
  <c r="X48" i="20"/>
  <c r="AG48" i="20"/>
  <c r="AH48" i="20" s="1"/>
  <c r="AK48" i="20" s="1"/>
  <c r="BR48" i="20" s="1"/>
  <c r="X27" i="21"/>
  <c r="AY27" i="21"/>
  <c r="AS69" i="21"/>
  <c r="AD37" i="21"/>
  <c r="AE37" i="21" s="1"/>
  <c r="AF37" i="21" s="1"/>
  <c r="AW107" i="21"/>
  <c r="AL20" i="21"/>
  <c r="AM20" i="21" s="1"/>
  <c r="AG20" i="21"/>
  <c r="AH20" i="21" s="1"/>
  <c r="AP20" i="21"/>
  <c r="AU20" i="21"/>
  <c r="AV20" i="21" s="1"/>
  <c r="AY20" i="21"/>
  <c r="X20" i="21"/>
  <c r="AY44" i="20"/>
  <c r="AL21" i="21"/>
  <c r="AM21" i="21" s="1"/>
  <c r="AO21" i="21" s="1"/>
  <c r="BS21" i="21" s="1"/>
  <c r="X82" i="21"/>
  <c r="X60" i="20"/>
  <c r="AY60" i="20"/>
  <c r="AS91" i="21"/>
  <c r="AU88" i="21"/>
  <c r="AV88" i="21" s="1"/>
  <c r="AY88" i="21"/>
  <c r="X91" i="21"/>
  <c r="AY91" i="21"/>
  <c r="AL39" i="21"/>
  <c r="AM39" i="21" s="1"/>
  <c r="AY39" i="21"/>
  <c r="AP39" i="21"/>
  <c r="AU84" i="21"/>
  <c r="AV84" i="21" s="1"/>
  <c r="AL84" i="21"/>
  <c r="AM84" i="21" s="1"/>
  <c r="AG84" i="21"/>
  <c r="AH84" i="21" s="1"/>
  <c r="X84" i="21"/>
  <c r="AP84" i="21"/>
  <c r="AQ84" i="21" s="1"/>
  <c r="AS87" i="21"/>
  <c r="AD87" i="21"/>
  <c r="AE87" i="21" s="1"/>
  <c r="AF87" i="21" s="1"/>
  <c r="Y87" i="21"/>
  <c r="AW87" i="21"/>
  <c r="AN87" i="21"/>
  <c r="AA87" i="21"/>
  <c r="AB87" i="21" s="1"/>
  <c r="AC87" i="21" s="1"/>
  <c r="AW73" i="21"/>
  <c r="AN73" i="21"/>
  <c r="Y73" i="21"/>
  <c r="AD73" i="21"/>
  <c r="AE73" i="21" s="1"/>
  <c r="AF73" i="21" s="1"/>
  <c r="AS73" i="21"/>
  <c r="AA73" i="21"/>
  <c r="AB73" i="21" s="1"/>
  <c r="AC73" i="21" s="1"/>
  <c r="AW109" i="21"/>
  <c r="AN109" i="21"/>
  <c r="AS109" i="21"/>
  <c r="AD109" i="21"/>
  <c r="AE109" i="21" s="1"/>
  <c r="AF109" i="21" s="1"/>
  <c r="Y109" i="21"/>
  <c r="AA109" i="21"/>
  <c r="AB109" i="21" s="1"/>
  <c r="AC109" i="21" s="1"/>
  <c r="AA29" i="21"/>
  <c r="AB29" i="21" s="1"/>
  <c r="AC29" i="21" s="1"/>
  <c r="AS29" i="21"/>
  <c r="AW29" i="21"/>
  <c r="AN29" i="21"/>
  <c r="Y29" i="21"/>
  <c r="AD29" i="21"/>
  <c r="AE29" i="21" s="1"/>
  <c r="AF29" i="21" s="1"/>
  <c r="X102" i="21"/>
  <c r="AG102" i="21"/>
  <c r="AH102" i="21" s="1"/>
  <c r="AL102" i="21"/>
  <c r="AU102" i="21"/>
  <c r="AV102" i="21" s="1"/>
  <c r="AP102" i="21"/>
  <c r="AQ102" i="21" s="1"/>
  <c r="X22" i="21"/>
  <c r="AP22" i="21"/>
  <c r="AQ22" i="21" s="1"/>
  <c r="AU22" i="21"/>
  <c r="AV22" i="21" s="1"/>
  <c r="AG22" i="21"/>
  <c r="AH22" i="21" s="1"/>
  <c r="AL22" i="21"/>
  <c r="AM22" i="21" s="1"/>
  <c r="AW82" i="21"/>
  <c r="Y82" i="21"/>
  <c r="AS82" i="21"/>
  <c r="AN82" i="21"/>
  <c r="AD82" i="21"/>
  <c r="AE82" i="21" s="1"/>
  <c r="AF82" i="21" s="1"/>
  <c r="AA82" i="21"/>
  <c r="AB82" i="21" s="1"/>
  <c r="AC82" i="21" s="1"/>
  <c r="AD67" i="21"/>
  <c r="AE67" i="21" s="1"/>
  <c r="AF67" i="21" s="1"/>
  <c r="AS67" i="21"/>
  <c r="AA67" i="21"/>
  <c r="AB67" i="21" s="1"/>
  <c r="AC67" i="21" s="1"/>
  <c r="AW67" i="21"/>
  <c r="Y67" i="21"/>
  <c r="AN67" i="21"/>
  <c r="AP38" i="21"/>
  <c r="AQ38" i="21" s="1"/>
  <c r="X38" i="21"/>
  <c r="AG38" i="21"/>
  <c r="AH38" i="21" s="1"/>
  <c r="AL38" i="21"/>
  <c r="AU38" i="21"/>
  <c r="AV38" i="21" s="1"/>
  <c r="AP30" i="21"/>
  <c r="AQ30" i="21" s="1"/>
  <c r="X30" i="21"/>
  <c r="AG30" i="21"/>
  <c r="AH30" i="21" s="1"/>
  <c r="AU30" i="21"/>
  <c r="AV30" i="21" s="1"/>
  <c r="AL30" i="21"/>
  <c r="AD46" i="21"/>
  <c r="AE46" i="21" s="1"/>
  <c r="AF46" i="21" s="1"/>
  <c r="AW46" i="21"/>
  <c r="Y46" i="21"/>
  <c r="AS46" i="21"/>
  <c r="AN46" i="21"/>
  <c r="AA46" i="21"/>
  <c r="AB46" i="21" s="1"/>
  <c r="AC46" i="21" s="1"/>
  <c r="AU83" i="21"/>
  <c r="AV83" i="21" s="1"/>
  <c r="X83" i="21"/>
  <c r="AL83" i="21"/>
  <c r="AP83" i="21"/>
  <c r="AQ83" i="21" s="1"/>
  <c r="AG83" i="21"/>
  <c r="AH83" i="21" s="1"/>
  <c r="AU28" i="21"/>
  <c r="AV28" i="21" s="1"/>
  <c r="X28" i="21"/>
  <c r="AL86" i="21"/>
  <c r="AU86" i="21"/>
  <c r="AV86" i="21" s="1"/>
  <c r="X86" i="21"/>
  <c r="AP86" i="21"/>
  <c r="AQ86" i="21" s="1"/>
  <c r="AG86" i="21"/>
  <c r="AH86" i="21" s="1"/>
  <c r="AK86" i="21" s="1"/>
  <c r="BR86" i="21" s="1"/>
  <c r="AW51" i="21"/>
  <c r="AA105" i="21"/>
  <c r="AB105" i="21" s="1"/>
  <c r="AC105" i="21" s="1"/>
  <c r="Y105" i="21"/>
  <c r="AS105" i="21"/>
  <c r="AD105" i="21"/>
  <c r="AE105" i="21" s="1"/>
  <c r="AF105" i="21" s="1"/>
  <c r="AN105" i="21"/>
  <c r="AW105" i="21"/>
  <c r="AX105" i="21" s="1"/>
  <c r="BU105" i="21" s="1"/>
  <c r="AW23" i="21"/>
  <c r="AD23" i="21"/>
  <c r="AE23" i="21" s="1"/>
  <c r="AF23" i="21" s="1"/>
  <c r="AN23" i="21"/>
  <c r="Y23" i="21"/>
  <c r="AS23" i="21"/>
  <c r="AA23" i="21"/>
  <c r="AB23" i="21" s="1"/>
  <c r="AC23" i="21" s="1"/>
  <c r="AY74" i="21"/>
  <c r="AY59" i="21"/>
  <c r="AY18" i="21"/>
  <c r="AY29" i="21"/>
  <c r="AG82" i="21"/>
  <c r="AH82" i="21" s="1"/>
  <c r="AK82" i="21" s="1"/>
  <c r="BR82" i="21" s="1"/>
  <c r="AU82" i="21"/>
  <c r="AV82" i="21" s="1"/>
  <c r="AU55" i="21"/>
  <c r="AV55" i="21" s="1"/>
  <c r="AD27" i="21"/>
  <c r="AE27" i="21" s="1"/>
  <c r="AF27" i="21" s="1"/>
  <c r="AW27" i="21"/>
  <c r="AN27" i="21"/>
  <c r="AS27" i="21"/>
  <c r="AT27" i="21" s="1"/>
  <c r="Y27" i="21"/>
  <c r="AA27" i="21"/>
  <c r="AB27" i="21" s="1"/>
  <c r="AC27" i="21" s="1"/>
  <c r="AA74" i="21"/>
  <c r="AB74" i="21" s="1"/>
  <c r="AC74" i="21" s="1"/>
  <c r="AW74" i="21"/>
  <c r="AN74" i="21"/>
  <c r="Y74" i="21"/>
  <c r="AD74" i="21"/>
  <c r="AE74" i="21" s="1"/>
  <c r="AF74" i="21" s="1"/>
  <c r="AS74" i="21"/>
  <c r="AU70" i="21"/>
  <c r="AV70" i="21" s="1"/>
  <c r="AL70" i="21"/>
  <c r="X70" i="21"/>
  <c r="AS59" i="21"/>
  <c r="AA59" i="21"/>
  <c r="AB59" i="21" s="1"/>
  <c r="AC59" i="21" s="1"/>
  <c r="AW59" i="21"/>
  <c r="AN59" i="21"/>
  <c r="Y59" i="21"/>
  <c r="AD59" i="21"/>
  <c r="AE59" i="21" s="1"/>
  <c r="AF59" i="21" s="1"/>
  <c r="AL48" i="21"/>
  <c r="AP48" i="21"/>
  <c r="AQ48" i="21" s="1"/>
  <c r="AG48" i="21"/>
  <c r="AH48" i="21" s="1"/>
  <c r="AK48" i="21" s="1"/>
  <c r="BR48" i="21" s="1"/>
  <c r="AU48" i="21"/>
  <c r="AV48" i="21" s="1"/>
  <c r="X48" i="21"/>
  <c r="AN38" i="21"/>
  <c r="AD38" i="21"/>
  <c r="AE38" i="21" s="1"/>
  <c r="AF38" i="21" s="1"/>
  <c r="AS38" i="21"/>
  <c r="AW38" i="21"/>
  <c r="Y38" i="21"/>
  <c r="AA38" i="21"/>
  <c r="AB38" i="21" s="1"/>
  <c r="AC38" i="21" s="1"/>
  <c r="AD91" i="21"/>
  <c r="AE91" i="21" s="1"/>
  <c r="AF91" i="21" s="1"/>
  <c r="AN91" i="21"/>
  <c r="Y91" i="21"/>
  <c r="AA91" i="21"/>
  <c r="AB91" i="21" s="1"/>
  <c r="AC91" i="21" s="1"/>
  <c r="AW94" i="21"/>
  <c r="Y94" i="21"/>
  <c r="Z94" i="21" s="1"/>
  <c r="AD94" i="21"/>
  <c r="AE94" i="21" s="1"/>
  <c r="AF94" i="21" s="1"/>
  <c r="AS94" i="21"/>
  <c r="AN94" i="21"/>
  <c r="AA94" i="21"/>
  <c r="AB94" i="21" s="1"/>
  <c r="AC94" i="21" s="1"/>
  <c r="AN70" i="21"/>
  <c r="AW70" i="21"/>
  <c r="AD70" i="21"/>
  <c r="AE70" i="21" s="1"/>
  <c r="AF70" i="21" s="1"/>
  <c r="AS70" i="21"/>
  <c r="Y70" i="21"/>
  <c r="AA70" i="21"/>
  <c r="AB70" i="21" s="1"/>
  <c r="AC70" i="21" s="1"/>
  <c r="AG101" i="21"/>
  <c r="AH101" i="21" s="1"/>
  <c r="AK101" i="21" s="1"/>
  <c r="BR101" i="21" s="1"/>
  <c r="X101" i="21"/>
  <c r="AP101" i="21"/>
  <c r="AQ101" i="21" s="1"/>
  <c r="AL101" i="21"/>
  <c r="AU101" i="21"/>
  <c r="AV101" i="21" s="1"/>
  <c r="Y86" i="21"/>
  <c r="AS86" i="21"/>
  <c r="AD86" i="21"/>
  <c r="AE86" i="21" s="1"/>
  <c r="AF86" i="21" s="1"/>
  <c r="AN86" i="21"/>
  <c r="AW86" i="21"/>
  <c r="AA86" i="21"/>
  <c r="AB86" i="21" s="1"/>
  <c r="AC86" i="21" s="1"/>
  <c r="AY85" i="21"/>
  <c r="AY32" i="21"/>
  <c r="Y101" i="21"/>
  <c r="AS101" i="21"/>
  <c r="AN101" i="21"/>
  <c r="AD101" i="21"/>
  <c r="AE101" i="21" s="1"/>
  <c r="AF101" i="21" s="1"/>
  <c r="AW101" i="21"/>
  <c r="AA101" i="21"/>
  <c r="AB101" i="21" s="1"/>
  <c r="AC101" i="21" s="1"/>
  <c r="AA92" i="21"/>
  <c r="AB92" i="21" s="1"/>
  <c r="AC92" i="21" s="1"/>
  <c r="AN92" i="21"/>
  <c r="Y92" i="21"/>
  <c r="AW92" i="21"/>
  <c r="AS92" i="21"/>
  <c r="AD92" i="21"/>
  <c r="AE92" i="21" s="1"/>
  <c r="AF92" i="21" s="1"/>
  <c r="AG11" i="21"/>
  <c r="AH11" i="21" s="1"/>
  <c r="X11" i="21"/>
  <c r="AP11" i="21"/>
  <c r="AQ11" i="21" s="1"/>
  <c r="Y43" i="21"/>
  <c r="AW43" i="21"/>
  <c r="AX43" i="21" s="1"/>
  <c r="AD43" i="21"/>
  <c r="AE43" i="21" s="1"/>
  <c r="AF43" i="21" s="1"/>
  <c r="AS43" i="21"/>
  <c r="AN43" i="21"/>
  <c r="AA43" i="21"/>
  <c r="AB43" i="21" s="1"/>
  <c r="AC43" i="21" s="1"/>
  <c r="AN53" i="21"/>
  <c r="AA79" i="21"/>
  <c r="AB79" i="21" s="1"/>
  <c r="AC79" i="21" s="1"/>
  <c r="AN79" i="21"/>
  <c r="AW79" i="21"/>
  <c r="AS79" i="21"/>
  <c r="Y79" i="21"/>
  <c r="AD79" i="21"/>
  <c r="AE79" i="21" s="1"/>
  <c r="AF79" i="21" s="1"/>
  <c r="Y60" i="21"/>
  <c r="AD60" i="21"/>
  <c r="AE60" i="21" s="1"/>
  <c r="AF60" i="21" s="1"/>
  <c r="AS60" i="21"/>
  <c r="AN60" i="21"/>
  <c r="AW60" i="21"/>
  <c r="AA60" i="21"/>
  <c r="AB60" i="21" s="1"/>
  <c r="AC60" i="21" s="1"/>
  <c r="AN75" i="21"/>
  <c r="AD75" i="21"/>
  <c r="AE75" i="21" s="1"/>
  <c r="AF75" i="21" s="1"/>
  <c r="AS75" i="21"/>
  <c r="AW75" i="21"/>
  <c r="Y75" i="21"/>
  <c r="AA75" i="21"/>
  <c r="AB75" i="21" s="1"/>
  <c r="AC75" i="21" s="1"/>
  <c r="AA48" i="21"/>
  <c r="AB48" i="21" s="1"/>
  <c r="AC48" i="21" s="1"/>
  <c r="Y48" i="21"/>
  <c r="AW48" i="21"/>
  <c r="AD48" i="21"/>
  <c r="AE48" i="21" s="1"/>
  <c r="AF48" i="21" s="1"/>
  <c r="AS48" i="21"/>
  <c r="AN48" i="21"/>
  <c r="AG66" i="21"/>
  <c r="AH66" i="21" s="1"/>
  <c r="AP66" i="21"/>
  <c r="AQ66" i="21" s="1"/>
  <c r="X66" i="21"/>
  <c r="AU66" i="21"/>
  <c r="AV66" i="21" s="1"/>
  <c r="AL66" i="21"/>
  <c r="AU68" i="21"/>
  <c r="AV68" i="21" s="1"/>
  <c r="X68" i="21"/>
  <c r="AG68" i="21"/>
  <c r="AH68" i="21" s="1"/>
  <c r="AP68" i="21"/>
  <c r="AQ68" i="21" s="1"/>
  <c r="AL68" i="21"/>
  <c r="AA108" i="21"/>
  <c r="AB108" i="21" s="1"/>
  <c r="AC108" i="21" s="1"/>
  <c r="Y108" i="21"/>
  <c r="AN108" i="21"/>
  <c r="AD108" i="21"/>
  <c r="AE108" i="21" s="1"/>
  <c r="AF108" i="21" s="1"/>
  <c r="AS108" i="21"/>
  <c r="AW108" i="21"/>
  <c r="AN100" i="21"/>
  <c r="AD100" i="21"/>
  <c r="AE100" i="21" s="1"/>
  <c r="AF100" i="21" s="1"/>
  <c r="AS100" i="21"/>
  <c r="AW100" i="21"/>
  <c r="Y100" i="21"/>
  <c r="AA100" i="21"/>
  <c r="AB100" i="21" s="1"/>
  <c r="AC100" i="21" s="1"/>
  <c r="AG99" i="21"/>
  <c r="AH99" i="21" s="1"/>
  <c r="AK99" i="21" s="1"/>
  <c r="BR99" i="21" s="1"/>
  <c r="AU99" i="21"/>
  <c r="AV99" i="21" s="1"/>
  <c r="AL99" i="21"/>
  <c r="AP99" i="21"/>
  <c r="AQ99" i="21" s="1"/>
  <c r="X99" i="21"/>
  <c r="AG69" i="21"/>
  <c r="AH69" i="21" s="1"/>
  <c r="AL69" i="21"/>
  <c r="AP69" i="21"/>
  <c r="AQ69" i="21" s="1"/>
  <c r="AU69" i="21"/>
  <c r="AV69" i="21" s="1"/>
  <c r="X69" i="21"/>
  <c r="AN89" i="21"/>
  <c r="Y89" i="21"/>
  <c r="AS89" i="21"/>
  <c r="AA89" i="21"/>
  <c r="AB89" i="21" s="1"/>
  <c r="AC89" i="21" s="1"/>
  <c r="AW89" i="21"/>
  <c r="AD89" i="21"/>
  <c r="AE89" i="21" s="1"/>
  <c r="AF89" i="21" s="1"/>
  <c r="AU79" i="21"/>
  <c r="AV79" i="21" s="1"/>
  <c r="AG79" i="21"/>
  <c r="AH79" i="21" s="1"/>
  <c r="AK79" i="21" s="1"/>
  <c r="BR79" i="21" s="1"/>
  <c r="AP79" i="21"/>
  <c r="AP73" i="21"/>
  <c r="AQ73" i="21" s="1"/>
  <c r="X73" i="21"/>
  <c r="AL73" i="21"/>
  <c r="AG73" i="21"/>
  <c r="AH73" i="21" s="1"/>
  <c r="AK73" i="21" s="1"/>
  <c r="BR73" i="21" s="1"/>
  <c r="AU73" i="21"/>
  <c r="AV73" i="21" s="1"/>
  <c r="AL10" i="21"/>
  <c r="AG10" i="21"/>
  <c r="AH10" i="21" s="1"/>
  <c r="X10" i="21"/>
  <c r="AU10" i="21"/>
  <c r="AV10" i="21" s="1"/>
  <c r="AP10" i="21"/>
  <c r="AQ10" i="21" s="1"/>
  <c r="AA95" i="21"/>
  <c r="AB95" i="21" s="1"/>
  <c r="AC95" i="21" s="1"/>
  <c r="AN95" i="21"/>
  <c r="AD95" i="21"/>
  <c r="AE95" i="21" s="1"/>
  <c r="AF95" i="21" s="1"/>
  <c r="Y95" i="21"/>
  <c r="AS95" i="21"/>
  <c r="AW95" i="21"/>
  <c r="AY67" i="21"/>
  <c r="AY72" i="21"/>
  <c r="AA97" i="21"/>
  <c r="AB97" i="21" s="1"/>
  <c r="AC97" i="21" s="1"/>
  <c r="AD97" i="21"/>
  <c r="AE97" i="21" s="1"/>
  <c r="AF97" i="21" s="1"/>
  <c r="Y97" i="21"/>
  <c r="AS97" i="21"/>
  <c r="AW97" i="21"/>
  <c r="AN97" i="21"/>
  <c r="AO97" i="21" s="1"/>
  <c r="BS97" i="21" s="1"/>
  <c r="AY46" i="21"/>
  <c r="AD78" i="21"/>
  <c r="AE78" i="21" s="1"/>
  <c r="AF78" i="21" s="1"/>
  <c r="AA78" i="21"/>
  <c r="AB78" i="21" s="1"/>
  <c r="AC78" i="21" s="1"/>
  <c r="AW78" i="21"/>
  <c r="Y78" i="21"/>
  <c r="AS78" i="21"/>
  <c r="AN78" i="21"/>
  <c r="AN14" i="21"/>
  <c r="AW14" i="21"/>
  <c r="AD14" i="21"/>
  <c r="AE14" i="21" s="1"/>
  <c r="AF14" i="21" s="1"/>
  <c r="Y14" i="21"/>
  <c r="AS14" i="21"/>
  <c r="AA14" i="21"/>
  <c r="AB14" i="21" s="1"/>
  <c r="AC14" i="21" s="1"/>
  <c r="Z82" i="20"/>
  <c r="AT52" i="20"/>
  <c r="BL52" i="20" s="1"/>
  <c r="Y45" i="20"/>
  <c r="AD84" i="20"/>
  <c r="AE84" i="20" s="1"/>
  <c r="AF84" i="20" s="1"/>
  <c r="AA45" i="20"/>
  <c r="AB45" i="20" s="1"/>
  <c r="AC45" i="20" s="1"/>
  <c r="AN95" i="20"/>
  <c r="AA95" i="20"/>
  <c r="AB95" i="20" s="1"/>
  <c r="AC95" i="20" s="1"/>
  <c r="Z86" i="20"/>
  <c r="AA11" i="20"/>
  <c r="AB11" i="20" s="1"/>
  <c r="AC11" i="20" s="1"/>
  <c r="AK139" i="20"/>
  <c r="Y95" i="20"/>
  <c r="AJ95" i="20"/>
  <c r="AD95" i="20"/>
  <c r="AE95" i="20" s="1"/>
  <c r="AF95" i="20" s="1"/>
  <c r="AN45" i="20"/>
  <c r="AS45" i="20"/>
  <c r="AN84" i="20"/>
  <c r="Y84" i="20"/>
  <c r="AA84" i="20"/>
  <c r="AB84" i="20" s="1"/>
  <c r="AC84" i="20" s="1"/>
  <c r="AJ84" i="20"/>
  <c r="Z69" i="20"/>
  <c r="Z174" i="20"/>
  <c r="AW45" i="20"/>
  <c r="AD44" i="20"/>
  <c r="AE44" i="20" s="1"/>
  <c r="AF44" i="20" s="1"/>
  <c r="AW73" i="20"/>
  <c r="AJ56" i="20"/>
  <c r="AK56" i="20" s="1"/>
  <c r="BR56" i="20" s="1"/>
  <c r="AN44" i="20"/>
  <c r="AD54" i="20"/>
  <c r="AE54" i="20" s="1"/>
  <c r="AF54" i="20" s="1"/>
  <c r="Y54" i="20"/>
  <c r="AA73" i="20"/>
  <c r="AB73" i="20" s="1"/>
  <c r="AC73" i="20" s="1"/>
  <c r="AS54" i="20"/>
  <c r="AA44" i="20"/>
  <c r="AB44" i="20" s="1"/>
  <c r="AC44" i="20" s="1"/>
  <c r="AJ73" i="20"/>
  <c r="AS44" i="20"/>
  <c r="Y73" i="20"/>
  <c r="Z33" i="20"/>
  <c r="AW54" i="20"/>
  <c r="AX54" i="20" s="1"/>
  <c r="AW44" i="20"/>
  <c r="AN73" i="20"/>
  <c r="AN54" i="20"/>
  <c r="AK118" i="20"/>
  <c r="Z148" i="20"/>
  <c r="AK89" i="20"/>
  <c r="AK169" i="20"/>
  <c r="AO132" i="20"/>
  <c r="BS132" i="20" s="1"/>
  <c r="BC86" i="20"/>
  <c r="BV86" i="20" s="1"/>
  <c r="AA56" i="20"/>
  <c r="AB56" i="20" s="1"/>
  <c r="AC56" i="20" s="1"/>
  <c r="AJ90" i="20"/>
  <c r="Z83" i="20"/>
  <c r="Z105" i="20"/>
  <c r="Z168" i="20"/>
  <c r="Z59" i="20"/>
  <c r="BC151" i="20"/>
  <c r="BV151" i="20" s="1"/>
  <c r="AA92" i="20"/>
  <c r="AB92" i="20" s="1"/>
  <c r="AC92" i="20" s="1"/>
  <c r="Z89" i="20"/>
  <c r="AH147" i="20"/>
  <c r="AK147" i="20" s="1"/>
  <c r="BR147" i="20" s="1"/>
  <c r="BC168" i="20"/>
  <c r="BV168" i="20" s="1"/>
  <c r="BC181" i="20"/>
  <c r="BV181" i="20" s="1"/>
  <c r="BC105" i="20"/>
  <c r="BV105" i="20" s="1"/>
  <c r="AQ32" i="20"/>
  <c r="AA182" i="20"/>
  <c r="AB182" i="20" s="1"/>
  <c r="AC182" i="20" s="1"/>
  <c r="BC106" i="20"/>
  <c r="BV106" i="20" s="1"/>
  <c r="Y182" i="20"/>
  <c r="Z182" i="20" s="1"/>
  <c r="AD182" i="20"/>
  <c r="AE182" i="20" s="1"/>
  <c r="AF182" i="20" s="1"/>
  <c r="BC29" i="20"/>
  <c r="BV29" i="20" s="1"/>
  <c r="AN182" i="20"/>
  <c r="Y97" i="20"/>
  <c r="AN97" i="20"/>
  <c r="AD97" i="20"/>
  <c r="AE97" i="20" s="1"/>
  <c r="AF97" i="20" s="1"/>
  <c r="AA97" i="20"/>
  <c r="AB97" i="20" s="1"/>
  <c r="AC97" i="20" s="1"/>
  <c r="AN92" i="20"/>
  <c r="AK103" i="20"/>
  <c r="BR103" i="20" s="1"/>
  <c r="AY147" i="20"/>
  <c r="AV147" i="20"/>
  <c r="AX147" i="20" s="1"/>
  <c r="BU147" i="20" s="1"/>
  <c r="AN93" i="20"/>
  <c r="Z139" i="20"/>
  <c r="AD92" i="20"/>
  <c r="AE92" i="20" s="1"/>
  <c r="AF92" i="20" s="1"/>
  <c r="AM147" i="20"/>
  <c r="AO147" i="20" s="1"/>
  <c r="BS147" i="20" s="1"/>
  <c r="AA93" i="20"/>
  <c r="AB93" i="20" s="1"/>
  <c r="AC93" i="20" s="1"/>
  <c r="Y92" i="20"/>
  <c r="Z184" i="20"/>
  <c r="BC33" i="20"/>
  <c r="BV33" i="20" s="1"/>
  <c r="AJ93" i="20"/>
  <c r="AM116" i="20"/>
  <c r="AO116" i="20" s="1"/>
  <c r="BS116" i="20" s="1"/>
  <c r="Z147" i="20"/>
  <c r="AJ92" i="20"/>
  <c r="Y93" i="20"/>
  <c r="AK145" i="20"/>
  <c r="BR145" i="20" s="1"/>
  <c r="BC53" i="20"/>
  <c r="BV53" i="20" s="1"/>
  <c r="AD93" i="20"/>
  <c r="AE93" i="20" s="1"/>
  <c r="AF93" i="20" s="1"/>
  <c r="AQ147" i="20"/>
  <c r="AT147" i="20" s="1"/>
  <c r="BT147" i="20" s="1"/>
  <c r="AO198" i="20"/>
  <c r="BS198" i="20" s="1"/>
  <c r="Z192" i="20"/>
  <c r="AT53" i="20"/>
  <c r="BL53" i="20" s="1"/>
  <c r="AQ143" i="20"/>
  <c r="AT143" i="20" s="1"/>
  <c r="BT143" i="20" s="1"/>
  <c r="Z207" i="20"/>
  <c r="Z58" i="20"/>
  <c r="AJ180" i="20"/>
  <c r="AK180" i="20" s="1"/>
  <c r="BR180" i="20" s="1"/>
  <c r="Y98" i="20"/>
  <c r="AD98" i="20"/>
  <c r="AE98" i="20" s="1"/>
  <c r="AF98" i="20" s="1"/>
  <c r="BC69" i="20"/>
  <c r="BV69" i="20" s="1"/>
  <c r="AK105" i="20"/>
  <c r="BR105" i="20" s="1"/>
  <c r="AK148" i="20"/>
  <c r="BC132" i="20"/>
  <c r="BV132" i="20" s="1"/>
  <c r="Z199" i="20"/>
  <c r="AV158" i="20"/>
  <c r="AX158" i="20" s="1"/>
  <c r="BU158" i="20" s="1"/>
  <c r="AW56" i="20"/>
  <c r="AX56" i="20" s="1"/>
  <c r="BU56" i="20" s="1"/>
  <c r="AQ116" i="20"/>
  <c r="AT116" i="20" s="1"/>
  <c r="BT116" i="20" s="1"/>
  <c r="AV199" i="20"/>
  <c r="AX199" i="20" s="1"/>
  <c r="BU199" i="20" s="1"/>
  <c r="AV95" i="20"/>
  <c r="AX95" i="20" s="1"/>
  <c r="BU95" i="20" s="1"/>
  <c r="BC135" i="20"/>
  <c r="BV135" i="20" s="1"/>
  <c r="BC179" i="20"/>
  <c r="BV179" i="20" s="1"/>
  <c r="AY95" i="20"/>
  <c r="Z191" i="20"/>
  <c r="Y90" i="20"/>
  <c r="AY158" i="20"/>
  <c r="AA90" i="20"/>
  <c r="AB90" i="20" s="1"/>
  <c r="AC90" i="20" s="1"/>
  <c r="AA110" i="20"/>
  <c r="AB110" i="20" s="1"/>
  <c r="AC110" i="20" s="1"/>
  <c r="AH179" i="20"/>
  <c r="AK179" i="20" s="1"/>
  <c r="BR179" i="20" s="1"/>
  <c r="AY199" i="20"/>
  <c r="AH199" i="20"/>
  <c r="AK199" i="20" s="1"/>
  <c r="BR199" i="20" s="1"/>
  <c r="BC98" i="20"/>
  <c r="BV98" i="20" s="1"/>
  <c r="AK192" i="20"/>
  <c r="BR192" i="20" s="1"/>
  <c r="AQ158" i="20"/>
  <c r="AT158" i="20" s="1"/>
  <c r="BT158" i="20" s="1"/>
  <c r="AN56" i="20"/>
  <c r="AO56" i="20" s="1"/>
  <c r="BS56" i="20" s="1"/>
  <c r="AD90" i="20"/>
  <c r="AE90" i="20" s="1"/>
  <c r="AF90" i="20" s="1"/>
  <c r="X179" i="20"/>
  <c r="Z179" i="20" s="1"/>
  <c r="AD91" i="20"/>
  <c r="AE91" i="20" s="1"/>
  <c r="AF91" i="20" s="1"/>
  <c r="AT56" i="20"/>
  <c r="AK209" i="20"/>
  <c r="BR209" i="20" s="1"/>
  <c r="X158" i="20"/>
  <c r="Z158" i="20" s="1"/>
  <c r="Y56" i="20"/>
  <c r="AN90" i="20"/>
  <c r="AK207" i="20"/>
  <c r="BR207" i="20" s="1"/>
  <c r="AV179" i="20"/>
  <c r="AX179" i="20" s="1"/>
  <c r="BU179" i="20" s="1"/>
  <c r="Z208" i="20"/>
  <c r="BC199" i="20"/>
  <c r="BV199" i="20" s="1"/>
  <c r="AD56" i="20"/>
  <c r="AE56" i="20" s="1"/>
  <c r="AF56" i="20" s="1"/>
  <c r="AK191" i="20"/>
  <c r="BR191" i="20" s="1"/>
  <c r="AY143" i="20"/>
  <c r="AX24" i="20"/>
  <c r="BM24" i="20" s="1"/>
  <c r="BC103" i="20"/>
  <c r="BV103" i="20" s="1"/>
  <c r="AH143" i="20"/>
  <c r="AK143" i="20" s="1"/>
  <c r="AK111" i="20"/>
  <c r="BR111" i="20" s="1"/>
  <c r="AA98" i="20"/>
  <c r="AB98" i="20" s="1"/>
  <c r="AC98" i="20" s="1"/>
  <c r="AM143" i="20"/>
  <c r="AO143" i="20" s="1"/>
  <c r="BS143" i="20" s="1"/>
  <c r="BU31" i="20"/>
  <c r="X143" i="20"/>
  <c r="Z143" i="20" s="1"/>
  <c r="AX29" i="20"/>
  <c r="BM29" i="20" s="1"/>
  <c r="AK184" i="20"/>
  <c r="BR184" i="20" s="1"/>
  <c r="Z75" i="20"/>
  <c r="AN98" i="20"/>
  <c r="AH95" i="20"/>
  <c r="X95" i="20"/>
  <c r="BC88" i="20"/>
  <c r="BV88" i="20" s="1"/>
  <c r="AO201" i="20"/>
  <c r="BS201" i="20" s="1"/>
  <c r="AM90" i="20"/>
  <c r="AX43" i="20"/>
  <c r="BM43" i="20" s="1"/>
  <c r="BC131" i="20"/>
  <c r="BV131" i="20" s="1"/>
  <c r="AK69" i="20"/>
  <c r="BR69" i="20" s="1"/>
  <c r="AN91" i="20"/>
  <c r="AV94" i="20"/>
  <c r="AQ90" i="20"/>
  <c r="AT90" i="20" s="1"/>
  <c r="BT90" i="20" s="1"/>
  <c r="Y91" i="20"/>
  <c r="AK181" i="20"/>
  <c r="AV90" i="20"/>
  <c r="AX90" i="20" s="1"/>
  <c r="BU90" i="20" s="1"/>
  <c r="X90" i="20"/>
  <c r="Y94" i="20"/>
  <c r="AT33" i="20"/>
  <c r="BQ33" i="20" s="1"/>
  <c r="AA91" i="20"/>
  <c r="AB91" i="20" s="1"/>
  <c r="AC91" i="20" s="1"/>
  <c r="AH90" i="20"/>
  <c r="AN94" i="20"/>
  <c r="AA94" i="20"/>
  <c r="AB94" i="20" s="1"/>
  <c r="AC94" i="20" s="1"/>
  <c r="AJ91" i="20"/>
  <c r="AK167" i="20"/>
  <c r="BR167" i="20" s="1"/>
  <c r="AT57" i="20"/>
  <c r="AJ94" i="20"/>
  <c r="AY93" i="20"/>
  <c r="AV93" i="20"/>
  <c r="AX93" i="20" s="1"/>
  <c r="BU93" i="20" s="1"/>
  <c r="AH93" i="20"/>
  <c r="X93" i="20"/>
  <c r="AQ93" i="20"/>
  <c r="AT93" i="20" s="1"/>
  <c r="BT93" i="20" s="1"/>
  <c r="BC197" i="20"/>
  <c r="BV197" i="20" s="1"/>
  <c r="AM197" i="20"/>
  <c r="AO197" i="20" s="1"/>
  <c r="Z71" i="20"/>
  <c r="Z61" i="20"/>
  <c r="AY209" i="20"/>
  <c r="BC94" i="20"/>
  <c r="BV94" i="20" s="1"/>
  <c r="AH194" i="20"/>
  <c r="AK194" i="20" s="1"/>
  <c r="BR194" i="20" s="1"/>
  <c r="AM42" i="20"/>
  <c r="AO42" i="20" s="1"/>
  <c r="BS42" i="20" s="1"/>
  <c r="X209" i="20"/>
  <c r="Z209" i="20" s="1"/>
  <c r="Z47" i="20"/>
  <c r="AX55" i="20"/>
  <c r="AA14" i="20"/>
  <c r="AB14" i="20" s="1"/>
  <c r="AC14" i="20" s="1"/>
  <c r="AO157" i="20"/>
  <c r="BS157" i="20" s="1"/>
  <c r="AK178" i="20"/>
  <c r="BR178" i="20" s="1"/>
  <c r="X204" i="20"/>
  <c r="Z204" i="20" s="1"/>
  <c r="AQ204" i="20"/>
  <c r="AT204" i="20" s="1"/>
  <c r="BT204" i="20" s="1"/>
  <c r="AH94" i="20"/>
  <c r="AM209" i="20"/>
  <c r="AO209" i="20" s="1"/>
  <c r="BS209" i="20" s="1"/>
  <c r="Z145" i="20"/>
  <c r="AQ209" i="20"/>
  <c r="AT209" i="20" s="1"/>
  <c r="BT209" i="20" s="1"/>
  <c r="AQ94" i="20"/>
  <c r="AT94" i="20" s="1"/>
  <c r="BT94" i="20" s="1"/>
  <c r="X94" i="20"/>
  <c r="AA64" i="20"/>
  <c r="AB64" i="20" s="1"/>
  <c r="AC64" i="20" s="1"/>
  <c r="AV72" i="20"/>
  <c r="AV209" i="20"/>
  <c r="AX209" i="20" s="1"/>
  <c r="BU209" i="20" s="1"/>
  <c r="AK208" i="20"/>
  <c r="BR208" i="20" s="1"/>
  <c r="Y11" i="20"/>
  <c r="AM204" i="20"/>
  <c r="AO204" i="20" s="1"/>
  <c r="BS204" i="20" s="1"/>
  <c r="AS11" i="20"/>
  <c r="Z167" i="20"/>
  <c r="AD11" i="20"/>
  <c r="AE11" i="20" s="1"/>
  <c r="AF11" i="20" s="1"/>
  <c r="AY204" i="20"/>
  <c r="Z43" i="20"/>
  <c r="AH204" i="20"/>
  <c r="AK204" i="20" s="1"/>
  <c r="BR204" i="20" s="1"/>
  <c r="Z118" i="20"/>
  <c r="BC99" i="20"/>
  <c r="BV99" i="20" s="1"/>
  <c r="AM115" i="20"/>
  <c r="AD180" i="20"/>
  <c r="AE180" i="20" s="1"/>
  <c r="AF180" i="20" s="1"/>
  <c r="AH98" i="20"/>
  <c r="AK98" i="20" s="1"/>
  <c r="BR98" i="20" s="1"/>
  <c r="X98" i="20"/>
  <c r="AQ98" i="20"/>
  <c r="AT98" i="20" s="1"/>
  <c r="BT98" i="20" s="1"/>
  <c r="AV98" i="20"/>
  <c r="AM79" i="20"/>
  <c r="AO79" i="20" s="1"/>
  <c r="BS79" i="20" s="1"/>
  <c r="AN102" i="20"/>
  <c r="AA180" i="20"/>
  <c r="AB180" i="20" s="1"/>
  <c r="AC180" i="20" s="1"/>
  <c r="AO69" i="20"/>
  <c r="BS69" i="20" s="1"/>
  <c r="AM117" i="20"/>
  <c r="AO117" i="20" s="1"/>
  <c r="BC117" i="20"/>
  <c r="BV117" i="20" s="1"/>
  <c r="Y180" i="20"/>
  <c r="Z180" i="20" s="1"/>
  <c r="BC59" i="20"/>
  <c r="BV59" i="20" s="1"/>
  <c r="BC52" i="20"/>
  <c r="BV52" i="20" s="1"/>
  <c r="AD102" i="20"/>
  <c r="AE102" i="20" s="1"/>
  <c r="AF102" i="20" s="1"/>
  <c r="AK65" i="20"/>
  <c r="BR65" i="20" s="1"/>
  <c r="AX58" i="20"/>
  <c r="BU58" i="20" s="1"/>
  <c r="AO208" i="20"/>
  <c r="BS208" i="20" s="1"/>
  <c r="AJ102" i="20"/>
  <c r="AT65" i="20"/>
  <c r="AA102" i="20"/>
  <c r="AB102" i="20" s="1"/>
  <c r="AC102" i="20" s="1"/>
  <c r="Y102" i="20"/>
  <c r="X11" i="20"/>
  <c r="AK57" i="20"/>
  <c r="BR57" i="20" s="1"/>
  <c r="AO135" i="20"/>
  <c r="BS135" i="20" s="1"/>
  <c r="Z163" i="20"/>
  <c r="AY102" i="20"/>
  <c r="AV102" i="20"/>
  <c r="AX102" i="20" s="1"/>
  <c r="BU102" i="20" s="1"/>
  <c r="AQ102" i="20"/>
  <c r="AT102" i="20" s="1"/>
  <c r="BT102" i="20" s="1"/>
  <c r="X102" i="20"/>
  <c r="AH102" i="20"/>
  <c r="AM95" i="20"/>
  <c r="BC95" i="20"/>
  <c r="BV95" i="20" s="1"/>
  <c r="AK186" i="20"/>
  <c r="BR186" i="20" s="1"/>
  <c r="AY42" i="20"/>
  <c r="Z142" i="20"/>
  <c r="AO61" i="20"/>
  <c r="BS61" i="20" s="1"/>
  <c r="BC180" i="20"/>
  <c r="BV180" i="20" s="1"/>
  <c r="X115" i="20"/>
  <c r="Z115" i="20" s="1"/>
  <c r="AO59" i="20"/>
  <c r="BS59" i="20" s="1"/>
  <c r="AO199" i="20"/>
  <c r="BS199" i="20" s="1"/>
  <c r="AH115" i="20"/>
  <c r="AV115" i="20"/>
  <c r="AX115" i="20" s="1"/>
  <c r="BU115" i="20" s="1"/>
  <c r="AQ12" i="20"/>
  <c r="AT12" i="20" s="1"/>
  <c r="BL12" i="20" s="1"/>
  <c r="AX69" i="20"/>
  <c r="BU69" i="20" s="1"/>
  <c r="BM183" i="20"/>
  <c r="AY115" i="20"/>
  <c r="AX47" i="20"/>
  <c r="BU47" i="20" s="1"/>
  <c r="Z117" i="20"/>
  <c r="AQ11" i="20"/>
  <c r="X12" i="20"/>
  <c r="Z12" i="20" s="1"/>
  <c r="BC125" i="20"/>
  <c r="BV125" i="20" s="1"/>
  <c r="AT47" i="20"/>
  <c r="AA72" i="20"/>
  <c r="AB72" i="20" s="1"/>
  <c r="AC72" i="20" s="1"/>
  <c r="AY11" i="20"/>
  <c r="AQ20" i="20"/>
  <c r="AT20" i="20" s="1"/>
  <c r="AK58" i="20"/>
  <c r="BR58" i="20" s="1"/>
  <c r="BC75" i="20"/>
  <c r="BV75" i="20" s="1"/>
  <c r="BC15" i="20"/>
  <c r="BV15" i="20" s="1"/>
  <c r="BC61" i="20"/>
  <c r="BV61" i="20" s="1"/>
  <c r="BC57" i="20"/>
  <c r="BV57" i="20" s="1"/>
  <c r="AX57" i="20"/>
  <c r="BU57" i="20" s="1"/>
  <c r="AK71" i="20"/>
  <c r="BR71" i="20" s="1"/>
  <c r="AH130" i="20"/>
  <c r="AK130" i="20" s="1"/>
  <c r="BR130" i="20" s="1"/>
  <c r="AK75" i="20"/>
  <c r="BR75" i="20" s="1"/>
  <c r="Z65" i="20"/>
  <c r="AK79" i="20"/>
  <c r="BR79" i="20" s="1"/>
  <c r="AM154" i="20"/>
  <c r="AO154" i="20" s="1"/>
  <c r="BS154" i="20" s="1"/>
  <c r="BC130" i="20"/>
  <c r="BV130" i="20" s="1"/>
  <c r="Z88" i="20"/>
  <c r="BC76" i="20"/>
  <c r="BV76" i="20" s="1"/>
  <c r="BC43" i="20"/>
  <c r="BV43" i="20" s="1"/>
  <c r="AV154" i="20"/>
  <c r="AX154" i="20" s="1"/>
  <c r="BU154" i="20" s="1"/>
  <c r="Z55" i="20"/>
  <c r="AY114" i="20"/>
  <c r="AK88" i="20"/>
  <c r="BR88" i="20" s="1"/>
  <c r="AM30" i="20"/>
  <c r="Z135" i="20"/>
  <c r="AK131" i="20"/>
  <c r="BR131" i="20" s="1"/>
  <c r="X114" i="20"/>
  <c r="Z114" i="20" s="1"/>
  <c r="AH30" i="20"/>
  <c r="AK135" i="20"/>
  <c r="BR135" i="20" s="1"/>
  <c r="BC187" i="20"/>
  <c r="BV187" i="20" s="1"/>
  <c r="AM191" i="20"/>
  <c r="AO191" i="20" s="1"/>
  <c r="BS191" i="20" s="1"/>
  <c r="BC191" i="20"/>
  <c r="BV191" i="20" s="1"/>
  <c r="AQ31" i="20"/>
  <c r="AT31" i="20" s="1"/>
  <c r="BQ31" i="20" s="1"/>
  <c r="AH154" i="20"/>
  <c r="AK154" i="20" s="1"/>
  <c r="BC89" i="20"/>
  <c r="BV89" i="20" s="1"/>
  <c r="X154" i="20"/>
  <c r="Z154" i="20" s="1"/>
  <c r="AM114" i="20"/>
  <c r="AO114" i="20" s="1"/>
  <c r="BS114" i="20" s="1"/>
  <c r="AO165" i="20"/>
  <c r="BS165" i="20" s="1"/>
  <c r="AK80" i="20"/>
  <c r="BR80" i="20" s="1"/>
  <c r="AH187" i="20"/>
  <c r="AK187" i="20" s="1"/>
  <c r="BR187" i="20" s="1"/>
  <c r="Z17" i="20"/>
  <c r="BC167" i="20"/>
  <c r="BV167" i="20" s="1"/>
  <c r="AM167" i="20"/>
  <c r="AO167" i="20" s="1"/>
  <c r="BS167" i="20" s="1"/>
  <c r="BC65" i="20"/>
  <c r="BV65" i="20" s="1"/>
  <c r="BC85" i="20"/>
  <c r="BV85" i="20" s="1"/>
  <c r="BC200" i="20"/>
  <c r="BV200" i="20" s="1"/>
  <c r="AO128" i="20"/>
  <c r="BS128" i="20" s="1"/>
  <c r="AQ154" i="20"/>
  <c r="AT154" i="20" s="1"/>
  <c r="BT154" i="20" s="1"/>
  <c r="AQ114" i="20"/>
  <c r="AT114" i="20" s="1"/>
  <c r="BT114" i="20" s="1"/>
  <c r="AA115" i="20"/>
  <c r="AB115" i="20" s="1"/>
  <c r="AC115" i="20" s="1"/>
  <c r="AV187" i="20"/>
  <c r="AX187" i="20" s="1"/>
  <c r="BU187" i="20" s="1"/>
  <c r="AY12" i="20"/>
  <c r="AH114" i="20"/>
  <c r="AK114" i="20" s="1"/>
  <c r="BR114" i="20" s="1"/>
  <c r="AX59" i="20"/>
  <c r="BU59" i="20" s="1"/>
  <c r="X187" i="20"/>
  <c r="Z187" i="20" s="1"/>
  <c r="BC67" i="20"/>
  <c r="BV67" i="20" s="1"/>
  <c r="BC60" i="20"/>
  <c r="BV60" i="20" s="1"/>
  <c r="AX52" i="20"/>
  <c r="BU52" i="20" s="1"/>
  <c r="AQ187" i="20"/>
  <c r="AT187" i="20" s="1"/>
  <c r="BT187" i="20" s="1"/>
  <c r="AO140" i="20"/>
  <c r="BS140" i="20" s="1"/>
  <c r="AN64" i="20"/>
  <c r="AO64" i="20" s="1"/>
  <c r="BS64" i="20" s="1"/>
  <c r="AY188" i="20"/>
  <c r="AD202" i="20"/>
  <c r="AE202" i="20" s="1"/>
  <c r="AF202" i="20" s="1"/>
  <c r="AY39" i="20"/>
  <c r="BC58" i="20"/>
  <c r="BV58" i="20" s="1"/>
  <c r="AV39" i="20"/>
  <c r="AX39" i="20" s="1"/>
  <c r="BC169" i="20"/>
  <c r="BV169" i="20" s="1"/>
  <c r="AM169" i="20"/>
  <c r="AO169" i="20" s="1"/>
  <c r="BS169" i="20" s="1"/>
  <c r="BC16" i="20"/>
  <c r="BV16" i="20" s="1"/>
  <c r="AO57" i="20"/>
  <c r="BS57" i="20" s="1"/>
  <c r="AQ17" i="20"/>
  <c r="AT17" i="20" s="1"/>
  <c r="AM39" i="20"/>
  <c r="AO39" i="20" s="1"/>
  <c r="BS39" i="20" s="1"/>
  <c r="Z80" i="20"/>
  <c r="AH39" i="20"/>
  <c r="AK39" i="20" s="1"/>
  <c r="BR39" i="20" s="1"/>
  <c r="AX85" i="20"/>
  <c r="BU85" i="20" s="1"/>
  <c r="Z189" i="20"/>
  <c r="AK127" i="20"/>
  <c r="BC189" i="20"/>
  <c r="BV189" i="20" s="1"/>
  <c r="X39" i="20"/>
  <c r="Z39" i="20" s="1"/>
  <c r="Z53" i="20"/>
  <c r="BC163" i="20"/>
  <c r="BV163" i="20" s="1"/>
  <c r="AM163" i="20"/>
  <c r="AO163" i="20" s="1"/>
  <c r="AD64" i="20"/>
  <c r="AE64" i="20" s="1"/>
  <c r="AF64" i="20" s="1"/>
  <c r="AD110" i="20"/>
  <c r="AE110" i="20" s="1"/>
  <c r="AF110" i="20" s="1"/>
  <c r="X144" i="20"/>
  <c r="BM148" i="20"/>
  <c r="AM12" i="20"/>
  <c r="AO12" i="20" s="1"/>
  <c r="BS12" i="20" s="1"/>
  <c r="AJ60" i="20"/>
  <c r="AK60" i="20" s="1"/>
  <c r="BR60" i="20" s="1"/>
  <c r="AS60" i="20"/>
  <c r="AT60" i="20" s="1"/>
  <c r="AT49" i="20"/>
  <c r="BL49" i="20" s="1"/>
  <c r="Z49" i="20"/>
  <c r="AS15" i="20"/>
  <c r="AN62" i="20"/>
  <c r="AS62" i="20"/>
  <c r="BC83" i="20"/>
  <c r="BV83" i="20" s="1"/>
  <c r="AD15" i="20"/>
  <c r="AE15" i="20" s="1"/>
  <c r="AF15" i="20" s="1"/>
  <c r="AN110" i="20"/>
  <c r="AV12" i="20"/>
  <c r="AX12" i="20" s="1"/>
  <c r="AT13" i="20"/>
  <c r="AJ110" i="20"/>
  <c r="AO75" i="20"/>
  <c r="BS75" i="20" s="1"/>
  <c r="AO71" i="20"/>
  <c r="BS71" i="20" s="1"/>
  <c r="Y64" i="20"/>
  <c r="AS64" i="20"/>
  <c r="AT64" i="20" s="1"/>
  <c r="Z203" i="20"/>
  <c r="AO58" i="20"/>
  <c r="BS58" i="20" s="1"/>
  <c r="AK203" i="20"/>
  <c r="BR203" i="20" s="1"/>
  <c r="AX79" i="20"/>
  <c r="BU79" i="20" s="1"/>
  <c r="AQ84" i="20"/>
  <c r="AT84" i="20" s="1"/>
  <c r="BT84" i="20" s="1"/>
  <c r="Z178" i="20"/>
  <c r="AV84" i="20"/>
  <c r="AX84" i="20" s="1"/>
  <c r="BU84" i="20" s="1"/>
  <c r="BC82" i="20"/>
  <c r="BV82" i="20" s="1"/>
  <c r="AK63" i="20"/>
  <c r="BR63" i="20" s="1"/>
  <c r="X84" i="20"/>
  <c r="Z130" i="20"/>
  <c r="BC193" i="20"/>
  <c r="BV193" i="20" s="1"/>
  <c r="AH84" i="20"/>
  <c r="BM118" i="20"/>
  <c r="AN78" i="20"/>
  <c r="AO53" i="20"/>
  <c r="BS53" i="20" s="1"/>
  <c r="AY116" i="20"/>
  <c r="AW72" i="20"/>
  <c r="AQ130" i="20"/>
  <c r="AT130" i="20" s="1"/>
  <c r="BT130" i="20" s="1"/>
  <c r="AW78" i="20"/>
  <c r="AX67" i="20"/>
  <c r="BU67" i="20" s="1"/>
  <c r="BC55" i="20"/>
  <c r="BV55" i="20" s="1"/>
  <c r="AN72" i="20"/>
  <c r="AV130" i="20"/>
  <c r="AX130" i="20" s="1"/>
  <c r="BU130" i="20" s="1"/>
  <c r="AD78" i="20"/>
  <c r="AE78" i="20" s="1"/>
  <c r="AF78" i="20" s="1"/>
  <c r="AO145" i="20"/>
  <c r="BS145" i="20" s="1"/>
  <c r="Y72" i="20"/>
  <c r="AO55" i="20"/>
  <c r="BS55" i="20" s="1"/>
  <c r="AK70" i="20"/>
  <c r="BR70" i="20" s="1"/>
  <c r="Z79" i="20"/>
  <c r="AV112" i="20"/>
  <c r="AH123" i="20"/>
  <c r="AK123" i="20" s="1"/>
  <c r="AN202" i="20"/>
  <c r="AV116" i="20"/>
  <c r="AX116" i="20" s="1"/>
  <c r="BU116" i="20" s="1"/>
  <c r="AS14" i="20"/>
  <c r="AQ123" i="20"/>
  <c r="AT123" i="20" s="1"/>
  <c r="BT123" i="20" s="1"/>
  <c r="AX61" i="20"/>
  <c r="BU61" i="20" s="1"/>
  <c r="AA202" i="20"/>
  <c r="AB202" i="20" s="1"/>
  <c r="AC202" i="20" s="1"/>
  <c r="Z186" i="20"/>
  <c r="BC203" i="20"/>
  <c r="BV203" i="20" s="1"/>
  <c r="AX63" i="20"/>
  <c r="BU63" i="20" s="1"/>
  <c r="AH116" i="20"/>
  <c r="AK116" i="20" s="1"/>
  <c r="BR116" i="20" s="1"/>
  <c r="AD72" i="20"/>
  <c r="AE72" i="20" s="1"/>
  <c r="AF72" i="20" s="1"/>
  <c r="AY130" i="20"/>
  <c r="AW14" i="20"/>
  <c r="AH188" i="20"/>
  <c r="AK188" i="20" s="1"/>
  <c r="BR188" i="20" s="1"/>
  <c r="AD108" i="20"/>
  <c r="AE108" i="20" s="1"/>
  <c r="AF108" i="20" s="1"/>
  <c r="AJ202" i="20"/>
  <c r="AK202" i="20" s="1"/>
  <c r="BR202" i="20" s="1"/>
  <c r="BC48" i="20"/>
  <c r="BV48" i="20" s="1"/>
  <c r="BC50" i="20"/>
  <c r="BV50" i="20" s="1"/>
  <c r="BC71" i="20"/>
  <c r="BV71" i="20" s="1"/>
  <c r="AT55" i="20"/>
  <c r="BL55" i="20" s="1"/>
  <c r="AD14" i="20"/>
  <c r="AE14" i="20" s="1"/>
  <c r="AF14" i="20" s="1"/>
  <c r="X188" i="20"/>
  <c r="Z188" i="20" s="1"/>
  <c r="BC178" i="20"/>
  <c r="BV178" i="20" s="1"/>
  <c r="AT28" i="20"/>
  <c r="BQ28" i="20" s="1"/>
  <c r="BC145" i="20"/>
  <c r="BV145" i="20" s="1"/>
  <c r="AJ177" i="20"/>
  <c r="AQ42" i="20"/>
  <c r="AT42" i="20" s="1"/>
  <c r="AW36" i="20"/>
  <c r="AX36" i="20" s="1"/>
  <c r="AQ72" i="20"/>
  <c r="BC80" i="20"/>
  <c r="BV80" i="20" s="1"/>
  <c r="Z85" i="20"/>
  <c r="AY112" i="20"/>
  <c r="AA177" i="20"/>
  <c r="AB177" i="20" s="1"/>
  <c r="AC177" i="20" s="1"/>
  <c r="Y36" i="20"/>
  <c r="Z36" i="20" s="1"/>
  <c r="AH72" i="20"/>
  <c r="Y108" i="20"/>
  <c r="Z108" i="20" s="1"/>
  <c r="AM112" i="20"/>
  <c r="Y177" i="20"/>
  <c r="AD36" i="20"/>
  <c r="AE36" i="20" s="1"/>
  <c r="AF36" i="20" s="1"/>
  <c r="AH112" i="20"/>
  <c r="AD177" i="20"/>
  <c r="AE177" i="20" s="1"/>
  <c r="AF177" i="20" s="1"/>
  <c r="X42" i="20"/>
  <c r="Z42" i="20" s="1"/>
  <c r="AA36" i="20"/>
  <c r="AB36" i="20" s="1"/>
  <c r="AC36" i="20" s="1"/>
  <c r="AJ108" i="20"/>
  <c r="AK108" i="20" s="1"/>
  <c r="BR108" i="20" s="1"/>
  <c r="BC63" i="20"/>
  <c r="BV63" i="20" s="1"/>
  <c r="X112" i="20"/>
  <c r="AH42" i="20"/>
  <c r="AK42" i="20" s="1"/>
  <c r="BR42" i="20" s="1"/>
  <c r="AN108" i="20"/>
  <c r="AM54" i="20"/>
  <c r="BC56" i="20"/>
  <c r="BV56" i="20" s="1"/>
  <c r="AK189" i="20"/>
  <c r="BR189" i="20" s="1"/>
  <c r="BM28" i="20"/>
  <c r="BU28" i="20"/>
  <c r="BU33" i="20"/>
  <c r="AN60" i="20"/>
  <c r="AO60" i="20" s="1"/>
  <c r="BS60" i="20" s="1"/>
  <c r="BM21" i="20"/>
  <c r="BU21" i="20"/>
  <c r="AO65" i="20"/>
  <c r="BS65" i="20" s="1"/>
  <c r="BM124" i="20"/>
  <c r="BM23" i="20"/>
  <c r="BU23" i="20"/>
  <c r="AW60" i="20"/>
  <c r="AX60" i="20" s="1"/>
  <c r="BU60" i="20" s="1"/>
  <c r="BM13" i="20"/>
  <c r="BU13" i="20"/>
  <c r="BM38" i="20"/>
  <c r="BU38" i="20"/>
  <c r="AA60" i="20"/>
  <c r="AB60" i="20" s="1"/>
  <c r="AC60" i="20" s="1"/>
  <c r="BM16" i="20"/>
  <c r="BU16" i="20"/>
  <c r="BM22" i="20"/>
  <c r="BU22" i="20"/>
  <c r="BM10" i="20"/>
  <c r="BU10" i="20"/>
  <c r="AO131" i="20"/>
  <c r="BS131" i="20" s="1"/>
  <c r="BM17" i="20"/>
  <c r="BU17" i="20"/>
  <c r="BU50" i="20"/>
  <c r="AA195" i="20"/>
  <c r="AB195" i="20" s="1"/>
  <c r="AC195" i="20" s="1"/>
  <c r="AJ195" i="20"/>
  <c r="AN195" i="20"/>
  <c r="AD195" i="20"/>
  <c r="AE195" i="20" s="1"/>
  <c r="AF195" i="20" s="1"/>
  <c r="Y112" i="20"/>
  <c r="AW62" i="20"/>
  <c r="AX49" i="20"/>
  <c r="AD62" i="20"/>
  <c r="AE62" i="20" s="1"/>
  <c r="AF62" i="20" s="1"/>
  <c r="AO180" i="20"/>
  <c r="BS180" i="20" s="1"/>
  <c r="AN112" i="20"/>
  <c r="AA62" i="20"/>
  <c r="AB62" i="20" s="1"/>
  <c r="AC62" i="20" s="1"/>
  <c r="AA112" i="20"/>
  <c r="AB112" i="20" s="1"/>
  <c r="AC112" i="20" s="1"/>
  <c r="AO186" i="20"/>
  <c r="BS186" i="20" s="1"/>
  <c r="AJ62" i="20"/>
  <c r="AA126" i="20"/>
  <c r="AB126" i="20" s="1"/>
  <c r="AC126" i="20" s="1"/>
  <c r="AN126" i="20"/>
  <c r="AO126" i="20" s="1"/>
  <c r="BS126" i="20" s="1"/>
  <c r="AJ126" i="20"/>
  <c r="AK126" i="20" s="1"/>
  <c r="AX80" i="20"/>
  <c r="BU80" i="20" s="1"/>
  <c r="Y62" i="20"/>
  <c r="Y126" i="20"/>
  <c r="Z126" i="20" s="1"/>
  <c r="AD112" i="20"/>
  <c r="AE112" i="20" s="1"/>
  <c r="AF112" i="20" s="1"/>
  <c r="Z67" i="20"/>
  <c r="AQ144" i="20"/>
  <c r="AT144" i="20" s="1"/>
  <c r="BT144" i="20" s="1"/>
  <c r="AV188" i="20"/>
  <c r="AX188" i="20" s="1"/>
  <c r="BU188" i="20" s="1"/>
  <c r="AX53" i="20"/>
  <c r="AY144" i="20"/>
  <c r="AO189" i="20"/>
  <c r="BS189" i="20" s="1"/>
  <c r="BC186" i="20"/>
  <c r="BV186" i="20" s="1"/>
  <c r="AA51" i="20"/>
  <c r="AB51" i="20" s="1"/>
  <c r="AC51" i="20" s="1"/>
  <c r="AQ44" i="20"/>
  <c r="AV44" i="20"/>
  <c r="X44" i="20"/>
  <c r="Z44" i="20" s="1"/>
  <c r="AH44" i="20"/>
  <c r="AJ115" i="20"/>
  <c r="Y15" i="20"/>
  <c r="AW64" i="20"/>
  <c r="AX64" i="20" s="1"/>
  <c r="BU64" i="20" s="1"/>
  <c r="AH11" i="20"/>
  <c r="AK11" i="20" s="1"/>
  <c r="BR11" i="20" s="1"/>
  <c r="AM123" i="20"/>
  <c r="AO123" i="20" s="1"/>
  <c r="BS123" i="20" s="1"/>
  <c r="Y78" i="20"/>
  <c r="AN115" i="20"/>
  <c r="AD60" i="20"/>
  <c r="AE60" i="20" s="1"/>
  <c r="AF60" i="20" s="1"/>
  <c r="BT24" i="20"/>
  <c r="AV144" i="20"/>
  <c r="AX144" i="20" s="1"/>
  <c r="BU144" i="20" s="1"/>
  <c r="AV123" i="20"/>
  <c r="AX123" i="20" s="1"/>
  <c r="BU123" i="20" s="1"/>
  <c r="AO119" i="20"/>
  <c r="BS119" i="20" s="1"/>
  <c r="AO63" i="20"/>
  <c r="BS63" i="20" s="1"/>
  <c r="BC126" i="20"/>
  <c r="BV126" i="20" s="1"/>
  <c r="AA15" i="20"/>
  <c r="AB15" i="20" s="1"/>
  <c r="AC15" i="20" s="1"/>
  <c r="AM188" i="20"/>
  <c r="AO188" i="20" s="1"/>
  <c r="BS188" i="20" s="1"/>
  <c r="AM11" i="20"/>
  <c r="AO11" i="20" s="1"/>
  <c r="BS11" i="20" s="1"/>
  <c r="AY123" i="20"/>
  <c r="AJ78" i="20"/>
  <c r="AD115" i="20"/>
  <c r="AE115" i="20" s="1"/>
  <c r="AF115" i="20" s="1"/>
  <c r="Y60" i="20"/>
  <c r="AM111" i="20"/>
  <c r="AO111" i="20" s="1"/>
  <c r="BS111" i="20" s="1"/>
  <c r="BC111" i="20"/>
  <c r="BV111" i="20" s="1"/>
  <c r="BC87" i="20"/>
  <c r="BV87" i="20" s="1"/>
  <c r="BC68" i="20"/>
  <c r="BV68" i="20" s="1"/>
  <c r="Z52" i="20"/>
  <c r="Z29" i="20"/>
  <c r="AK66" i="20"/>
  <c r="BR66" i="20" s="1"/>
  <c r="X54" i="20"/>
  <c r="Z134" i="20"/>
  <c r="Y51" i="20"/>
  <c r="AD51" i="20"/>
  <c r="AE51" i="20" s="1"/>
  <c r="AF51" i="20" s="1"/>
  <c r="AS51" i="20"/>
  <c r="Z116" i="20"/>
  <c r="AO171" i="20"/>
  <c r="BS171" i="20" s="1"/>
  <c r="AT23" i="20"/>
  <c r="AK158" i="20"/>
  <c r="BR158" i="20" s="1"/>
  <c r="AW51" i="20"/>
  <c r="AO178" i="20"/>
  <c r="BS178" i="20" s="1"/>
  <c r="BT38" i="20"/>
  <c r="AN144" i="20"/>
  <c r="AO88" i="20"/>
  <c r="BS88" i="20" s="1"/>
  <c r="AO103" i="20"/>
  <c r="BS103" i="20" s="1"/>
  <c r="AO203" i="20"/>
  <c r="BS203" i="20" s="1"/>
  <c r="BT10" i="20"/>
  <c r="AO105" i="20"/>
  <c r="BS105" i="20" s="1"/>
  <c r="AX35" i="20"/>
  <c r="BM80" i="20"/>
  <c r="Z194" i="20"/>
  <c r="AO206" i="20"/>
  <c r="BS206" i="20" s="1"/>
  <c r="AO207" i="20"/>
  <c r="BS207" i="20" s="1"/>
  <c r="AO85" i="20"/>
  <c r="BS85" i="20" s="1"/>
  <c r="AO76" i="20"/>
  <c r="BS76" i="20" s="1"/>
  <c r="BT16" i="20"/>
  <c r="BT43" i="20"/>
  <c r="AO166" i="20"/>
  <c r="BS166" i="20" s="1"/>
  <c r="AA30" i="20"/>
  <c r="AB30" i="20" s="1"/>
  <c r="AC30" i="20" s="1"/>
  <c r="AW27" i="20"/>
  <c r="AS27" i="20"/>
  <c r="AD27" i="20"/>
  <c r="AE27" i="20" s="1"/>
  <c r="AF27" i="20" s="1"/>
  <c r="AA27" i="20"/>
  <c r="AB27" i="20" s="1"/>
  <c r="AC27" i="20" s="1"/>
  <c r="AO67" i="20"/>
  <c r="BS67" i="20" s="1"/>
  <c r="BK162" i="20"/>
  <c r="BO162" i="20" s="1"/>
  <c r="AO152" i="20"/>
  <c r="BS152" i="20" s="1"/>
  <c r="Z77" i="20"/>
  <c r="AK77" i="20"/>
  <c r="BR77" i="20" s="1"/>
  <c r="AO66" i="20"/>
  <c r="BS66" i="20" s="1"/>
  <c r="AO106" i="20"/>
  <c r="BS106" i="20" s="1"/>
  <c r="BM159" i="20"/>
  <c r="BM83" i="20"/>
  <c r="AW30" i="20"/>
  <c r="AX70" i="20"/>
  <c r="BU70" i="20" s="1"/>
  <c r="X30" i="20"/>
  <c r="AY30" i="20"/>
  <c r="AV30" i="20"/>
  <c r="AY153" i="20"/>
  <c r="AH153" i="20"/>
  <c r="AK153" i="20" s="1"/>
  <c r="BR153" i="20" s="1"/>
  <c r="AQ153" i="20"/>
  <c r="AT153" i="20" s="1"/>
  <c r="BT153" i="20" s="1"/>
  <c r="X153" i="20"/>
  <c r="Z153" i="20" s="1"/>
  <c r="AV153" i="20"/>
  <c r="AX153" i="20" s="1"/>
  <c r="BU153" i="20" s="1"/>
  <c r="AH121" i="20"/>
  <c r="AK121" i="20" s="1"/>
  <c r="BR121" i="20" s="1"/>
  <c r="AY121" i="20"/>
  <c r="AQ121" i="20"/>
  <c r="AT121" i="20" s="1"/>
  <c r="BT121" i="20" s="1"/>
  <c r="AV121" i="20"/>
  <c r="AX121" i="20" s="1"/>
  <c r="BU121" i="20" s="1"/>
  <c r="X121" i="20"/>
  <c r="Z121" i="20" s="1"/>
  <c r="AX83" i="20"/>
  <c r="BU83" i="20" s="1"/>
  <c r="X78" i="20"/>
  <c r="AH78" i="20"/>
  <c r="AQ78" i="20"/>
  <c r="AT78" i="20" s="1"/>
  <c r="BT78" i="20" s="1"/>
  <c r="AV78" i="20"/>
  <c r="AQ107" i="20"/>
  <c r="AT107" i="20" s="1"/>
  <c r="BT107" i="20" s="1"/>
  <c r="AV107" i="20"/>
  <c r="AX107" i="20" s="1"/>
  <c r="BU107" i="20" s="1"/>
  <c r="AH107" i="20"/>
  <c r="AK107" i="20" s="1"/>
  <c r="BR107" i="20" s="1"/>
  <c r="AY107" i="20"/>
  <c r="X107" i="20"/>
  <c r="Z107" i="20" s="1"/>
  <c r="BC49" i="20"/>
  <c r="BV49" i="20" s="1"/>
  <c r="AT29" i="20"/>
  <c r="BL29" i="20" s="1"/>
  <c r="AV91" i="20"/>
  <c r="AX91" i="20" s="1"/>
  <c r="BU91" i="20" s="1"/>
  <c r="AQ91" i="20"/>
  <c r="AT91" i="20" s="1"/>
  <c r="BT91" i="20" s="1"/>
  <c r="X91" i="20"/>
  <c r="AH91" i="20"/>
  <c r="AY91" i="20"/>
  <c r="AM161" i="20"/>
  <c r="AO161" i="20" s="1"/>
  <c r="BS161" i="20" s="1"/>
  <c r="BC161" i="20"/>
  <c r="BV161" i="20" s="1"/>
  <c r="AQ194" i="20"/>
  <c r="AT194" i="20" s="1"/>
  <c r="AY194" i="20"/>
  <c r="AV194" i="20"/>
  <c r="AX194" i="20" s="1"/>
  <c r="BU194" i="20" s="1"/>
  <c r="AV97" i="20"/>
  <c r="AX97" i="20" s="1"/>
  <c r="BU97" i="20" s="1"/>
  <c r="AY97" i="20"/>
  <c r="AH97" i="20"/>
  <c r="AQ97" i="20"/>
  <c r="AT97" i="20" s="1"/>
  <c r="BT97" i="20" s="1"/>
  <c r="X97" i="20"/>
  <c r="BM74" i="20"/>
  <c r="X15" i="20"/>
  <c r="AH15" i="20"/>
  <c r="AY15" i="20"/>
  <c r="AV15" i="20"/>
  <c r="AX15" i="20" s="1"/>
  <c r="AO172" i="20"/>
  <c r="BS172" i="20" s="1"/>
  <c r="AJ144" i="20"/>
  <c r="AK144" i="20" s="1"/>
  <c r="BR144" i="20" s="1"/>
  <c r="AH25" i="20"/>
  <c r="AK25" i="20" s="1"/>
  <c r="BR25" i="20" s="1"/>
  <c r="AY25" i="20"/>
  <c r="AV25" i="20"/>
  <c r="AX25" i="20" s="1"/>
  <c r="AM25" i="20"/>
  <c r="AO25" i="20" s="1"/>
  <c r="BS25" i="20" s="1"/>
  <c r="X25" i="20"/>
  <c r="Z25" i="20" s="1"/>
  <c r="AY19" i="20"/>
  <c r="AM19" i="20"/>
  <c r="AO19" i="20" s="1"/>
  <c r="BS19" i="20" s="1"/>
  <c r="AV19" i="20"/>
  <c r="AX19" i="20" s="1"/>
  <c r="AH19" i="20"/>
  <c r="AK19" i="20" s="1"/>
  <c r="BR19" i="20" s="1"/>
  <c r="X19" i="20"/>
  <c r="Z19" i="20" s="1"/>
  <c r="BC66" i="20"/>
  <c r="BV66" i="20" s="1"/>
  <c r="Y30" i="20"/>
  <c r="Y144" i="20"/>
  <c r="Z35" i="20"/>
  <c r="AV185" i="20"/>
  <c r="AX185" i="20" s="1"/>
  <c r="BU185" i="20" s="1"/>
  <c r="AH185" i="20"/>
  <c r="AK185" i="20" s="1"/>
  <c r="BR185" i="20" s="1"/>
  <c r="AQ185" i="20"/>
  <c r="AT185" i="20" s="1"/>
  <c r="BT185" i="20" s="1"/>
  <c r="AY185" i="20"/>
  <c r="X185" i="20"/>
  <c r="Z185" i="20" s="1"/>
  <c r="AY136" i="20"/>
  <c r="AV136" i="20"/>
  <c r="AX136" i="20" s="1"/>
  <c r="BU136" i="20" s="1"/>
  <c r="X136" i="20"/>
  <c r="Z136" i="20" s="1"/>
  <c r="AQ136" i="20"/>
  <c r="AT136" i="20" s="1"/>
  <c r="BT136" i="20" s="1"/>
  <c r="AH136" i="20"/>
  <c r="AK136" i="20" s="1"/>
  <c r="BR136" i="20" s="1"/>
  <c r="AH45" i="20"/>
  <c r="AK45" i="20" s="1"/>
  <c r="BR45" i="20" s="1"/>
  <c r="AV45" i="20"/>
  <c r="X45" i="20"/>
  <c r="AQ45" i="20"/>
  <c r="BC64" i="20"/>
  <c r="BV64" i="20" s="1"/>
  <c r="AO52" i="20"/>
  <c r="BS52" i="20" s="1"/>
  <c r="AS30" i="20"/>
  <c r="AX77" i="20"/>
  <c r="BU77" i="20" s="1"/>
  <c r="AD144" i="20"/>
  <c r="AE144" i="20" s="1"/>
  <c r="AF144" i="20" s="1"/>
  <c r="AQ138" i="20"/>
  <c r="AT138" i="20" s="1"/>
  <c r="BT138" i="20" s="1"/>
  <c r="AY138" i="20"/>
  <c r="X138" i="20"/>
  <c r="Z138" i="20" s="1"/>
  <c r="AV138" i="20"/>
  <c r="AX138" i="20" s="1"/>
  <c r="BU138" i="20" s="1"/>
  <c r="AH138" i="20"/>
  <c r="AK138" i="20" s="1"/>
  <c r="BR138" i="20" s="1"/>
  <c r="AK83" i="20"/>
  <c r="BC40" i="20"/>
  <c r="BV40" i="20" s="1"/>
  <c r="AQ40" i="20"/>
  <c r="AT40" i="20" s="1"/>
  <c r="BM146" i="20"/>
  <c r="BM122" i="20"/>
  <c r="BK122" i="20"/>
  <c r="BO122" i="20" s="1"/>
  <c r="BM139" i="20"/>
  <c r="BM101" i="20"/>
  <c r="AM174" i="20"/>
  <c r="AO174" i="20" s="1"/>
  <c r="BS174" i="20" s="1"/>
  <c r="BC174" i="20"/>
  <c r="BV174" i="20" s="1"/>
  <c r="AN46" i="20"/>
  <c r="AO46" i="20" s="1"/>
  <c r="BS46" i="20" s="1"/>
  <c r="AS46" i="20"/>
  <c r="AT46" i="20" s="1"/>
  <c r="Y46" i="20"/>
  <c r="AD46" i="20"/>
  <c r="AE46" i="20" s="1"/>
  <c r="AF46" i="20" s="1"/>
  <c r="AA46" i="20"/>
  <c r="AB46" i="20" s="1"/>
  <c r="AC46" i="20" s="1"/>
  <c r="AW46" i="20"/>
  <c r="AX46" i="20" s="1"/>
  <c r="AQ177" i="20"/>
  <c r="AT177" i="20" s="1"/>
  <c r="BT177" i="20" s="1"/>
  <c r="AY177" i="20"/>
  <c r="X177" i="20"/>
  <c r="AH177" i="20"/>
  <c r="AV177" i="20"/>
  <c r="AX177" i="20" s="1"/>
  <c r="BU177" i="20" s="1"/>
  <c r="AH137" i="20"/>
  <c r="AK137" i="20" s="1"/>
  <c r="BR137" i="20" s="1"/>
  <c r="X137" i="20"/>
  <c r="Z137" i="20" s="1"/>
  <c r="AY137" i="20"/>
  <c r="AQ137" i="20"/>
  <c r="AT137" i="20" s="1"/>
  <c r="BT137" i="20" s="1"/>
  <c r="AV137" i="20"/>
  <c r="AX137" i="20" s="1"/>
  <c r="BU137" i="20" s="1"/>
  <c r="AW81" i="20"/>
  <c r="Y81" i="20"/>
  <c r="AA81" i="20"/>
  <c r="AB81" i="20" s="1"/>
  <c r="AC81" i="20" s="1"/>
  <c r="AN81" i="20"/>
  <c r="AD81" i="20"/>
  <c r="AE81" i="20" s="1"/>
  <c r="AF81" i="20" s="1"/>
  <c r="AJ81" i="20"/>
  <c r="AX66" i="20"/>
  <c r="BU66" i="20" s="1"/>
  <c r="AK176" i="20"/>
  <c r="BR176" i="20" s="1"/>
  <c r="AM108" i="20"/>
  <c r="BC108" i="20"/>
  <c r="BV108" i="20" s="1"/>
  <c r="AM158" i="20"/>
  <c r="AO158" i="20" s="1"/>
  <c r="BS158" i="20" s="1"/>
  <c r="BC158" i="20"/>
  <c r="BV158" i="20" s="1"/>
  <c r="AM84" i="20"/>
  <c r="AM182" i="20"/>
  <c r="BC182" i="20"/>
  <c r="BV182" i="20" s="1"/>
  <c r="AM142" i="20"/>
  <c r="AO142" i="20" s="1"/>
  <c r="BS142" i="20" s="1"/>
  <c r="BC142" i="20"/>
  <c r="BV142" i="20" s="1"/>
  <c r="AH81" i="20"/>
  <c r="X81" i="20"/>
  <c r="AQ81" i="20"/>
  <c r="AT81" i="20" s="1"/>
  <c r="BT81" i="20" s="1"/>
  <c r="AV81" i="20"/>
  <c r="AH62" i="20"/>
  <c r="X62" i="20"/>
  <c r="AV62" i="20"/>
  <c r="AQ62" i="20"/>
  <c r="BP206" i="20"/>
  <c r="AH14" i="20"/>
  <c r="AK14" i="20" s="1"/>
  <c r="BR14" i="20" s="1"/>
  <c r="X14" i="20"/>
  <c r="Z14" i="20" s="1"/>
  <c r="AY14" i="20"/>
  <c r="AM14" i="20"/>
  <c r="AO14" i="20" s="1"/>
  <c r="BS14" i="20" s="1"/>
  <c r="AV14" i="20"/>
  <c r="BM127" i="20"/>
  <c r="AK64" i="20"/>
  <c r="BR64" i="20" s="1"/>
  <c r="BC202" i="20"/>
  <c r="BV202" i="20" s="1"/>
  <c r="AM202" i="20"/>
  <c r="AO192" i="20"/>
  <c r="BS192" i="20" s="1"/>
  <c r="AH73" i="20"/>
  <c r="X73" i="20"/>
  <c r="AQ73" i="20"/>
  <c r="AV73" i="20"/>
  <c r="BC134" i="20"/>
  <c r="BV134" i="20" s="1"/>
  <c r="AM134" i="20"/>
  <c r="AO134" i="20" s="1"/>
  <c r="BS134" i="20" s="1"/>
  <c r="BC30" i="20"/>
  <c r="BV30" i="20" s="1"/>
  <c r="AQ30" i="20"/>
  <c r="AM184" i="20"/>
  <c r="AO184" i="20" s="1"/>
  <c r="BS184" i="20" s="1"/>
  <c r="BC184" i="20"/>
  <c r="BV184" i="20" s="1"/>
  <c r="AN96" i="20"/>
  <c r="AD96" i="20"/>
  <c r="AE96" i="20" s="1"/>
  <c r="AF96" i="20" s="1"/>
  <c r="Y96" i="20"/>
  <c r="AA96" i="20"/>
  <c r="AB96" i="20" s="1"/>
  <c r="AC96" i="20" s="1"/>
  <c r="AJ96" i="20"/>
  <c r="X110" i="20"/>
  <c r="AV110" i="20"/>
  <c r="AX110" i="20" s="1"/>
  <c r="BU110" i="20" s="1"/>
  <c r="AH110" i="20"/>
  <c r="AQ110" i="20"/>
  <c r="AT110" i="20" s="1"/>
  <c r="BT110" i="20" s="1"/>
  <c r="AY110" i="20"/>
  <c r="AY129" i="20"/>
  <c r="AH129" i="20"/>
  <c r="AK129" i="20" s="1"/>
  <c r="BR129" i="20" s="1"/>
  <c r="X129" i="20"/>
  <c r="Z129" i="20" s="1"/>
  <c r="AQ129" i="20"/>
  <c r="AT129" i="20" s="1"/>
  <c r="BT129" i="20" s="1"/>
  <c r="AV129" i="20"/>
  <c r="AX129" i="20" s="1"/>
  <c r="BU129" i="20" s="1"/>
  <c r="AY41" i="20"/>
  <c r="AM41" i="20"/>
  <c r="AO41" i="20" s="1"/>
  <c r="BS41" i="20" s="1"/>
  <c r="AH41" i="20"/>
  <c r="AK41" i="20" s="1"/>
  <c r="BR41" i="20" s="1"/>
  <c r="AV41" i="20"/>
  <c r="AX41" i="20" s="1"/>
  <c r="X41" i="20"/>
  <c r="Z41" i="20" s="1"/>
  <c r="AQ36" i="20"/>
  <c r="BC36" i="20"/>
  <c r="BV36" i="20" s="1"/>
  <c r="AQ39" i="20"/>
  <c r="AT39" i="20" s="1"/>
  <c r="BC39" i="20"/>
  <c r="BV39" i="20" s="1"/>
  <c r="AM141" i="20"/>
  <c r="AO141" i="20" s="1"/>
  <c r="BS141" i="20" s="1"/>
  <c r="BC141" i="20"/>
  <c r="BV141" i="20" s="1"/>
  <c r="X120" i="20"/>
  <c r="AV120" i="20"/>
  <c r="AX120" i="20" s="1"/>
  <c r="BU120" i="20" s="1"/>
  <c r="AH120" i="20"/>
  <c r="AQ120" i="20"/>
  <c r="AT120" i="20" s="1"/>
  <c r="BT120" i="20" s="1"/>
  <c r="AY120" i="20"/>
  <c r="AN48" i="20"/>
  <c r="AO48" i="20" s="1"/>
  <c r="BS48" i="20" s="1"/>
  <c r="Y48" i="20"/>
  <c r="AD48" i="20"/>
  <c r="AE48" i="20" s="1"/>
  <c r="AF48" i="20" s="1"/>
  <c r="AS48" i="20"/>
  <c r="AT48" i="20" s="1"/>
  <c r="AW48" i="20"/>
  <c r="AX48" i="20" s="1"/>
  <c r="AA48" i="20"/>
  <c r="AB48" i="20" s="1"/>
  <c r="AC48" i="20" s="1"/>
  <c r="BP20" i="20"/>
  <c r="AQ133" i="20"/>
  <c r="AT133" i="20" s="1"/>
  <c r="BT133" i="20" s="1"/>
  <c r="AH133" i="20"/>
  <c r="AK133" i="20" s="1"/>
  <c r="BR133" i="20" s="1"/>
  <c r="AY133" i="20"/>
  <c r="AV133" i="20"/>
  <c r="AX133" i="20" s="1"/>
  <c r="BU133" i="20" s="1"/>
  <c r="X133" i="20"/>
  <c r="Z133" i="20" s="1"/>
  <c r="AY92" i="20"/>
  <c r="AV92" i="20"/>
  <c r="AX92" i="20" s="1"/>
  <c r="BU92" i="20" s="1"/>
  <c r="AH92" i="20"/>
  <c r="AQ92" i="20"/>
  <c r="AT92" i="20" s="1"/>
  <c r="BT92" i="20" s="1"/>
  <c r="X92" i="20"/>
  <c r="AN120" i="20"/>
  <c r="AA120" i="20"/>
  <c r="AB120" i="20" s="1"/>
  <c r="AC120" i="20" s="1"/>
  <c r="AJ120" i="20"/>
  <c r="AD120" i="20"/>
  <c r="AE120" i="20" s="1"/>
  <c r="AF120" i="20" s="1"/>
  <c r="Y120" i="20"/>
  <c r="BP165" i="20"/>
  <c r="AQ34" i="20"/>
  <c r="AT34" i="20" s="1"/>
  <c r="BC34" i="20"/>
  <c r="BV34" i="20" s="1"/>
  <c r="AH160" i="20"/>
  <c r="AY160" i="20"/>
  <c r="AQ160" i="20"/>
  <c r="AT160" i="20" s="1"/>
  <c r="BT160" i="20" s="1"/>
  <c r="AV160" i="20"/>
  <c r="AX160" i="20" s="1"/>
  <c r="BU160" i="20" s="1"/>
  <c r="X160" i="20"/>
  <c r="AM77" i="20"/>
  <c r="AO77" i="20" s="1"/>
  <c r="BS77" i="20" s="1"/>
  <c r="BC77" i="20"/>
  <c r="BV77" i="20" s="1"/>
  <c r="BM162" i="20"/>
  <c r="AV104" i="20"/>
  <c r="AX104" i="20" s="1"/>
  <c r="BU104" i="20" s="1"/>
  <c r="AH104" i="20"/>
  <c r="AK104" i="20" s="1"/>
  <c r="BR104" i="20" s="1"/>
  <c r="X104" i="20"/>
  <c r="Z104" i="20" s="1"/>
  <c r="AQ104" i="20"/>
  <c r="AT104" i="20" s="1"/>
  <c r="BT104" i="20" s="1"/>
  <c r="AY104" i="20"/>
  <c r="BM20" i="20"/>
  <c r="Z70" i="20"/>
  <c r="X26" i="20"/>
  <c r="Z26" i="20" s="1"/>
  <c r="AV26" i="20"/>
  <c r="AX26" i="20" s="1"/>
  <c r="AM26" i="20"/>
  <c r="AO26" i="20" s="1"/>
  <c r="BS26" i="20" s="1"/>
  <c r="AH26" i="20"/>
  <c r="AK26" i="20" s="1"/>
  <c r="BR26" i="20" s="1"/>
  <c r="AY26" i="20"/>
  <c r="AN149" i="20"/>
  <c r="AA149" i="20"/>
  <c r="AB149" i="20" s="1"/>
  <c r="AC149" i="20" s="1"/>
  <c r="AJ149" i="20"/>
  <c r="Y149" i="20"/>
  <c r="AD149" i="20"/>
  <c r="AE149" i="20" s="1"/>
  <c r="AF149" i="20" s="1"/>
  <c r="AY156" i="20"/>
  <c r="AQ156" i="20"/>
  <c r="AT156" i="20" s="1"/>
  <c r="BT156" i="20" s="1"/>
  <c r="AV156" i="20"/>
  <c r="AX156" i="20" s="1"/>
  <c r="BU156" i="20" s="1"/>
  <c r="AH156" i="20"/>
  <c r="AK156" i="20" s="1"/>
  <c r="BR156" i="20" s="1"/>
  <c r="X156" i="20"/>
  <c r="Z156" i="20" s="1"/>
  <c r="AD160" i="20"/>
  <c r="AE160" i="20" s="1"/>
  <c r="AF160" i="20" s="1"/>
  <c r="Y160" i="20"/>
  <c r="AJ160" i="20"/>
  <c r="AA160" i="20"/>
  <c r="AB160" i="20" s="1"/>
  <c r="AC160" i="20" s="1"/>
  <c r="AN160" i="20"/>
  <c r="AQ35" i="20"/>
  <c r="AT35" i="20" s="1"/>
  <c r="BC35" i="20"/>
  <c r="BV35" i="20" s="1"/>
  <c r="AX42" i="20"/>
  <c r="BP190" i="20"/>
  <c r="AY96" i="20"/>
  <c r="X96" i="20"/>
  <c r="AQ96" i="20"/>
  <c r="AT96" i="20" s="1"/>
  <c r="BT96" i="20" s="1"/>
  <c r="AH96" i="20"/>
  <c r="AV96" i="20"/>
  <c r="AX96" i="20" s="1"/>
  <c r="BU96" i="20" s="1"/>
  <c r="BP23" i="20"/>
  <c r="AS32" i="20"/>
  <c r="AA32" i="20"/>
  <c r="AB32" i="20" s="1"/>
  <c r="AC32" i="20" s="1"/>
  <c r="AW32" i="20"/>
  <c r="AX32" i="20" s="1"/>
  <c r="Y32" i="20"/>
  <c r="Z32" i="20" s="1"/>
  <c r="AD32" i="20"/>
  <c r="AE32" i="20" s="1"/>
  <c r="AF32" i="20" s="1"/>
  <c r="AN173" i="20"/>
  <c r="AA173" i="20"/>
  <c r="AB173" i="20" s="1"/>
  <c r="AC173" i="20" s="1"/>
  <c r="AJ173" i="20"/>
  <c r="AK173" i="20" s="1"/>
  <c r="BR173" i="20" s="1"/>
  <c r="Y173" i="20"/>
  <c r="Z173" i="20" s="1"/>
  <c r="AD173" i="20"/>
  <c r="AE173" i="20" s="1"/>
  <c r="AF173" i="20" s="1"/>
  <c r="AH27" i="20"/>
  <c r="AV27" i="20"/>
  <c r="AM27" i="20"/>
  <c r="AO27" i="20" s="1"/>
  <c r="BS27" i="20" s="1"/>
  <c r="AY27" i="20"/>
  <c r="X27" i="20"/>
  <c r="AM70" i="20"/>
  <c r="AO70" i="20" s="1"/>
  <c r="BS70" i="20" s="1"/>
  <c r="BC70" i="20"/>
  <c r="BV70" i="20" s="1"/>
  <c r="AY100" i="20"/>
  <c r="X100" i="20"/>
  <c r="Z100" i="20" s="1"/>
  <c r="AV100" i="20"/>
  <c r="AX100" i="20" s="1"/>
  <c r="BU100" i="20" s="1"/>
  <c r="AH100" i="20"/>
  <c r="AK100" i="20" s="1"/>
  <c r="BR100" i="20" s="1"/>
  <c r="AQ100" i="20"/>
  <c r="AT100" i="20" s="1"/>
  <c r="BT100" i="20" s="1"/>
  <c r="AM18" i="20"/>
  <c r="AO18" i="20" s="1"/>
  <c r="BS18" i="20" s="1"/>
  <c r="AY18" i="20"/>
  <c r="AH18" i="20"/>
  <c r="AK18" i="20" s="1"/>
  <c r="BR18" i="20" s="1"/>
  <c r="AV18" i="20"/>
  <c r="AX18" i="20" s="1"/>
  <c r="X18" i="20"/>
  <c r="Z18" i="20" s="1"/>
  <c r="Z176" i="20"/>
  <c r="AV170" i="20"/>
  <c r="AX170" i="20" s="1"/>
  <c r="BU170" i="20" s="1"/>
  <c r="AQ170" i="20"/>
  <c r="AT170" i="20" s="1"/>
  <c r="BT170" i="20" s="1"/>
  <c r="AH170" i="20"/>
  <c r="AK170" i="20" s="1"/>
  <c r="BR170" i="20" s="1"/>
  <c r="X170" i="20"/>
  <c r="Z170" i="20" s="1"/>
  <c r="AY170" i="20"/>
  <c r="AK134" i="20"/>
  <c r="AM196" i="20"/>
  <c r="AO196" i="20" s="1"/>
  <c r="BS196" i="20" s="1"/>
  <c r="BC196" i="20"/>
  <c r="BV196" i="20" s="1"/>
  <c r="AM190" i="20"/>
  <c r="AO190" i="20" s="1"/>
  <c r="BS190" i="20" s="1"/>
  <c r="BC190" i="20"/>
  <c r="BV190" i="20" s="1"/>
  <c r="AY149" i="20"/>
  <c r="AH149" i="20"/>
  <c r="X149" i="20"/>
  <c r="AQ149" i="20"/>
  <c r="AT149" i="20" s="1"/>
  <c r="BT149" i="20" s="1"/>
  <c r="AV149" i="20"/>
  <c r="AX149" i="20" s="1"/>
  <c r="BU149" i="20" s="1"/>
  <c r="Z123" i="20"/>
  <c r="AH175" i="20"/>
  <c r="AK175" i="20" s="1"/>
  <c r="BR175" i="20" s="1"/>
  <c r="X175" i="20"/>
  <c r="Z175" i="20" s="1"/>
  <c r="AY175" i="20"/>
  <c r="AQ175" i="20"/>
  <c r="AT175" i="20" s="1"/>
  <c r="BT175" i="20" s="1"/>
  <c r="AV175" i="20"/>
  <c r="AX175" i="20" s="1"/>
  <c r="BU175" i="20" s="1"/>
  <c r="AH37" i="20"/>
  <c r="AK37" i="20" s="1"/>
  <c r="BR37" i="20" s="1"/>
  <c r="X37" i="20"/>
  <c r="Z37" i="20" s="1"/>
  <c r="AM37" i="20"/>
  <c r="AO37" i="20" s="1"/>
  <c r="BS37" i="20" s="1"/>
  <c r="AV37" i="20"/>
  <c r="AX37" i="20" s="1"/>
  <c r="AY37" i="20"/>
  <c r="BM181" i="20"/>
  <c r="BC176" i="20"/>
  <c r="BV176" i="20" s="1"/>
  <c r="AM176" i="20"/>
  <c r="AO176" i="20" s="1"/>
  <c r="BS176" i="20" s="1"/>
  <c r="AV51" i="20"/>
  <c r="AQ51" i="20"/>
  <c r="X51" i="20"/>
  <c r="AH51" i="20"/>
  <c r="AK51" i="20" s="1"/>
  <c r="BR51" i="20" s="1"/>
  <c r="BP157" i="20"/>
  <c r="BC155" i="20"/>
  <c r="BV155" i="20" s="1"/>
  <c r="AM155" i="20"/>
  <c r="AO155" i="20" s="1"/>
  <c r="BS155" i="20" s="1"/>
  <c r="AK182" i="20"/>
  <c r="BR182" i="20" s="1"/>
  <c r="AQ164" i="20"/>
  <c r="AT164" i="20" s="1"/>
  <c r="BT164" i="20" s="1"/>
  <c r="AH164" i="20"/>
  <c r="AK164" i="20" s="1"/>
  <c r="BR164" i="20" s="1"/>
  <c r="AY164" i="20"/>
  <c r="AV164" i="20"/>
  <c r="AX164" i="20" s="1"/>
  <c r="BU164" i="20" s="1"/>
  <c r="X164" i="20"/>
  <c r="Z164" i="20" s="1"/>
  <c r="AW68" i="20"/>
  <c r="AX68" i="20" s="1"/>
  <c r="BU68" i="20" s="1"/>
  <c r="Y68" i="20"/>
  <c r="AN68" i="20"/>
  <c r="AO68" i="20" s="1"/>
  <c r="BS68" i="20" s="1"/>
  <c r="AA68" i="20"/>
  <c r="AB68" i="20" s="1"/>
  <c r="AC68" i="20" s="1"/>
  <c r="AD68" i="20"/>
  <c r="AE68" i="20" s="1"/>
  <c r="AF68" i="20" s="1"/>
  <c r="AJ68" i="20"/>
  <c r="AK68" i="20" s="1"/>
  <c r="BR68" i="20" s="1"/>
  <c r="AH195" i="20"/>
  <c r="AY195" i="20"/>
  <c r="AV195" i="20"/>
  <c r="AX195" i="20" s="1"/>
  <c r="BU195" i="20" s="1"/>
  <c r="AQ195" i="20"/>
  <c r="AT195" i="20" s="1"/>
  <c r="BT195" i="20" s="1"/>
  <c r="X195" i="20"/>
  <c r="Z195" i="20" s="1"/>
  <c r="Z202" i="20"/>
  <c r="AM173" i="20"/>
  <c r="BC173" i="20"/>
  <c r="BV173" i="20" s="1"/>
  <c r="BK159" i="20"/>
  <c r="BO159" i="20" s="1"/>
  <c r="BC46" i="20"/>
  <c r="BV46" i="20" s="1"/>
  <c r="BK113" i="20"/>
  <c r="BO113" i="20" s="1"/>
  <c r="AM47" i="20"/>
  <c r="AO47" i="20" s="1"/>
  <c r="BS47" i="20" s="1"/>
  <c r="BC47" i="20"/>
  <c r="BV47" i="20" s="1"/>
  <c r="BM89" i="20"/>
  <c r="BM151" i="20"/>
  <c r="Y14" i="30"/>
  <c r="B111" i="2"/>
  <c r="BM150" i="20"/>
  <c r="BM205" i="20"/>
  <c r="BM125" i="20"/>
  <c r="BM99" i="20"/>
  <c r="BM200" i="20"/>
  <c r="BM113" i="20"/>
  <c r="BM193" i="20"/>
  <c r="BM34" i="20" l="1"/>
  <c r="BQ17" i="20"/>
  <c r="BM33" i="20"/>
  <c r="BQ20" i="20"/>
  <c r="BL46" i="20"/>
  <c r="AK44" i="20"/>
  <c r="BR44" i="20" s="1"/>
  <c r="AO30" i="20"/>
  <c r="BS30" i="20" s="1"/>
  <c r="BL48" i="20"/>
  <c r="AX112" i="20"/>
  <c r="BU112" i="20" s="1"/>
  <c r="AK112" i="20"/>
  <c r="BR112" i="20" s="1"/>
  <c r="BI22" i="20"/>
  <c r="BK22" i="20" s="1"/>
  <c r="BO22" i="20" s="1"/>
  <c r="AK30" i="20"/>
  <c r="BR30" i="20" s="1"/>
  <c r="BL61" i="20"/>
  <c r="BQ22" i="20"/>
  <c r="BQ34" i="20"/>
  <c r="AK15" i="20"/>
  <c r="BR15" i="20" s="1"/>
  <c r="Z46" i="20"/>
  <c r="AO77" i="21"/>
  <c r="BS77" i="21" s="1"/>
  <c r="AX97" i="21"/>
  <c r="AK27" i="20"/>
  <c r="BR27" i="20" s="1"/>
  <c r="AT73" i="20"/>
  <c r="BT73" i="20" s="1"/>
  <c r="BM50" i="20"/>
  <c r="AX107" i="21"/>
  <c r="BU107" i="21" s="1"/>
  <c r="BC77" i="21"/>
  <c r="BV77" i="21" s="1"/>
  <c r="AT72" i="20"/>
  <c r="BT72" i="20" s="1"/>
  <c r="Z27" i="20"/>
  <c r="AT36" i="20"/>
  <c r="BI36" i="20" s="1"/>
  <c r="BK36" i="20" s="1"/>
  <c r="BO36" i="20" s="1"/>
  <c r="BM12" i="20"/>
  <c r="BL27" i="21"/>
  <c r="AO107" i="21"/>
  <c r="BS107" i="21" s="1"/>
  <c r="AN18" i="21"/>
  <c r="AK72" i="20"/>
  <c r="BR72" i="20" s="1"/>
  <c r="BM40" i="20"/>
  <c r="BU40" i="20"/>
  <c r="BQ40" i="20"/>
  <c r="BL58" i="20"/>
  <c r="BL63" i="20"/>
  <c r="BM55" i="20"/>
  <c r="AP109" i="20"/>
  <c r="AQ109" i="20" s="1"/>
  <c r="AT109" i="20" s="1"/>
  <c r="BT109" i="20" s="1"/>
  <c r="Z110" i="20"/>
  <c r="BP110" i="20" s="1"/>
  <c r="AP19" i="21"/>
  <c r="AQ19" i="21" s="1"/>
  <c r="AL109" i="20"/>
  <c r="V109" i="20"/>
  <c r="W109" i="20"/>
  <c r="AU109" i="20"/>
  <c r="AV109" i="20" s="1"/>
  <c r="AG109" i="20"/>
  <c r="AH109" i="20" s="1"/>
  <c r="Z64" i="20"/>
  <c r="BP64" i="20" s="1"/>
  <c r="AO79" i="21"/>
  <c r="BS79" i="21" s="1"/>
  <c r="Z79" i="21"/>
  <c r="AT43" i="21"/>
  <c r="BL43" i="21" s="1"/>
  <c r="AO91" i="21"/>
  <c r="BS91" i="21" s="1"/>
  <c r="AX77" i="21"/>
  <c r="AK77" i="21"/>
  <c r="BR77" i="21" s="1"/>
  <c r="AG64" i="21"/>
  <c r="AH64" i="21" s="1"/>
  <c r="AK64" i="21" s="1"/>
  <c r="BR64" i="21" s="1"/>
  <c r="BI16" i="20"/>
  <c r="BK16" i="20" s="1"/>
  <c r="BO16" i="20" s="1"/>
  <c r="BI193" i="20"/>
  <c r="BK193" i="20" s="1"/>
  <c r="BO193" i="20" s="1"/>
  <c r="BI151" i="20"/>
  <c r="BK151" i="20" s="1"/>
  <c r="BO151" i="20" s="1"/>
  <c r="BI200" i="20"/>
  <c r="BK200" i="20" s="1"/>
  <c r="BO200" i="20" s="1"/>
  <c r="BI99" i="20"/>
  <c r="BK99" i="20" s="1"/>
  <c r="BO99" i="20" s="1"/>
  <c r="BI125" i="20"/>
  <c r="BP49" i="21"/>
  <c r="BP76" i="21"/>
  <c r="BP81" i="21"/>
  <c r="BP36" i="21"/>
  <c r="BP79" i="21"/>
  <c r="BP107" i="21"/>
  <c r="BP80" i="21"/>
  <c r="BP40" i="21"/>
  <c r="BQ81" i="21"/>
  <c r="BQ49" i="21"/>
  <c r="BQ36" i="21"/>
  <c r="BT77" i="21"/>
  <c r="BT36" i="21"/>
  <c r="BL36" i="21"/>
  <c r="BT81" i="21"/>
  <c r="BL81" i="21"/>
  <c r="BT76" i="21"/>
  <c r="BL76" i="21"/>
  <c r="BT49" i="21"/>
  <c r="BL49" i="21"/>
  <c r="BQ163" i="20"/>
  <c r="BS163" i="20"/>
  <c r="BQ35" i="20"/>
  <c r="BI197" i="20"/>
  <c r="BK197" i="20" s="1"/>
  <c r="BO197" i="20" s="1"/>
  <c r="BS197" i="20"/>
  <c r="BQ117" i="20"/>
  <c r="BS117" i="20"/>
  <c r="BQ83" i="20"/>
  <c r="BR83" i="20"/>
  <c r="BQ143" i="20"/>
  <c r="BR143" i="20"/>
  <c r="BQ148" i="20"/>
  <c r="BR148" i="20"/>
  <c r="BQ87" i="20"/>
  <c r="BQ127" i="20"/>
  <c r="BR127" i="20"/>
  <c r="BQ134" i="20"/>
  <c r="BR134" i="20"/>
  <c r="BQ181" i="20"/>
  <c r="BR181" i="20"/>
  <c r="BQ165" i="20"/>
  <c r="BQ169" i="20"/>
  <c r="BR169" i="20"/>
  <c r="BQ154" i="20"/>
  <c r="BR154" i="20"/>
  <c r="BQ89" i="20"/>
  <c r="BR89" i="20"/>
  <c r="BQ139" i="20"/>
  <c r="BR139" i="20"/>
  <c r="BQ86" i="20"/>
  <c r="BR86" i="20"/>
  <c r="BQ126" i="20"/>
  <c r="BR126" i="20"/>
  <c r="BQ123" i="20"/>
  <c r="BR123" i="20"/>
  <c r="BQ118" i="20"/>
  <c r="BR118" i="20"/>
  <c r="BQ59" i="20"/>
  <c r="BQ198" i="20"/>
  <c r="BQ42" i="20"/>
  <c r="BQ60" i="20"/>
  <c r="BQ131" i="20"/>
  <c r="BQ71" i="20"/>
  <c r="BQ191" i="20"/>
  <c r="BQ192" i="20"/>
  <c r="BQ48" i="20"/>
  <c r="BQ46" i="20"/>
  <c r="BQ76" i="20"/>
  <c r="BQ43" i="20"/>
  <c r="BQ190" i="20"/>
  <c r="BQ61" i="20"/>
  <c r="BQ52" i="20"/>
  <c r="BQ68" i="20"/>
  <c r="BQ188" i="20"/>
  <c r="BQ209" i="20"/>
  <c r="BQ180" i="20"/>
  <c r="BQ56" i="20"/>
  <c r="BQ174" i="20"/>
  <c r="BQ47" i="20"/>
  <c r="BQ206" i="20"/>
  <c r="BQ168" i="20"/>
  <c r="BQ12" i="20"/>
  <c r="BQ82" i="20"/>
  <c r="BQ128" i="20"/>
  <c r="BQ63" i="20"/>
  <c r="BQ65" i="20"/>
  <c r="BQ158" i="20"/>
  <c r="BQ70" i="20"/>
  <c r="BQ80" i="20"/>
  <c r="BQ204" i="20"/>
  <c r="BL208" i="20"/>
  <c r="BQ208" i="20"/>
  <c r="BQ199" i="20"/>
  <c r="BQ55" i="20"/>
  <c r="BQ29" i="20"/>
  <c r="BQ119" i="20"/>
  <c r="BQ53" i="20"/>
  <c r="BQ50" i="20"/>
  <c r="BQ171" i="20"/>
  <c r="BI23" i="20"/>
  <c r="BK23" i="20" s="1"/>
  <c r="BO23" i="20" s="1"/>
  <c r="BQ23" i="20"/>
  <c r="BQ66" i="20"/>
  <c r="BQ88" i="20"/>
  <c r="BQ69" i="20"/>
  <c r="BQ111" i="20"/>
  <c r="BQ145" i="20"/>
  <c r="BQ103" i="20"/>
  <c r="BL147" i="20"/>
  <c r="BQ147" i="20"/>
  <c r="BQ140" i="20"/>
  <c r="BQ155" i="20"/>
  <c r="BQ67" i="20"/>
  <c r="BQ142" i="20"/>
  <c r="BQ189" i="20"/>
  <c r="BQ114" i="20"/>
  <c r="BQ135" i="20"/>
  <c r="BQ79" i="20"/>
  <c r="BQ167" i="20"/>
  <c r="BQ49" i="20"/>
  <c r="BQ197" i="20"/>
  <c r="BQ85" i="20"/>
  <c r="BQ161" i="20"/>
  <c r="BQ152" i="20"/>
  <c r="BQ64" i="20"/>
  <c r="BQ77" i="20"/>
  <c r="BQ116" i="20"/>
  <c r="BQ203" i="20"/>
  <c r="BL13" i="20"/>
  <c r="BQ13" i="20"/>
  <c r="BQ186" i="20"/>
  <c r="BL98" i="20"/>
  <c r="BQ184" i="20"/>
  <c r="BQ207" i="20"/>
  <c r="BQ105" i="20"/>
  <c r="BQ201" i="20"/>
  <c r="BQ166" i="20"/>
  <c r="BQ132" i="20"/>
  <c r="BQ57" i="20"/>
  <c r="BQ176" i="20"/>
  <c r="BQ39" i="20"/>
  <c r="BQ75" i="20"/>
  <c r="BQ58" i="20"/>
  <c r="BQ178" i="20"/>
  <c r="BQ172" i="20"/>
  <c r="BQ24" i="20"/>
  <c r="BQ141" i="20"/>
  <c r="BQ196" i="20"/>
  <c r="BQ157" i="20"/>
  <c r="BQ106" i="20"/>
  <c r="BT35" i="20"/>
  <c r="BL35" i="20"/>
  <c r="BL199" i="20"/>
  <c r="BL108" i="20"/>
  <c r="BL127" i="20"/>
  <c r="BL88" i="20"/>
  <c r="BT65" i="20"/>
  <c r="BL65" i="20"/>
  <c r="BT57" i="20"/>
  <c r="BL57" i="20"/>
  <c r="BL69" i="20"/>
  <c r="BL111" i="20"/>
  <c r="BL145" i="20"/>
  <c r="BL103" i="20"/>
  <c r="BL9" i="20"/>
  <c r="BI206" i="20"/>
  <c r="BK206" i="20" s="1"/>
  <c r="BO206" i="20" s="1"/>
  <c r="BI132" i="20"/>
  <c r="BL80" i="20"/>
  <c r="BL68" i="20"/>
  <c r="BL100" i="20"/>
  <c r="BL104" i="20"/>
  <c r="BL133" i="20"/>
  <c r="BL189" i="20"/>
  <c r="BT42" i="20"/>
  <c r="BL42" i="20"/>
  <c r="BL114" i="20"/>
  <c r="BL135" i="20"/>
  <c r="BL79" i="20"/>
  <c r="BL167" i="20"/>
  <c r="BL143" i="20"/>
  <c r="BL179" i="20"/>
  <c r="BL148" i="20"/>
  <c r="BL170" i="20"/>
  <c r="BL204" i="20"/>
  <c r="BL175" i="20"/>
  <c r="BL116" i="20"/>
  <c r="BL203" i="20"/>
  <c r="BL186" i="20"/>
  <c r="BL194" i="20"/>
  <c r="BL184" i="20"/>
  <c r="BL207" i="20"/>
  <c r="BL105" i="20"/>
  <c r="BL70" i="20"/>
  <c r="BL164" i="20"/>
  <c r="BT40" i="20"/>
  <c r="BL40" i="20"/>
  <c r="BL121" i="20"/>
  <c r="BL126" i="20"/>
  <c r="BL75" i="20"/>
  <c r="BL178" i="20"/>
  <c r="BL181" i="20"/>
  <c r="BL176" i="20"/>
  <c r="BL153" i="20"/>
  <c r="BT33" i="20"/>
  <c r="BL33" i="20"/>
  <c r="BT39" i="20"/>
  <c r="BL39" i="20"/>
  <c r="BL182" i="20"/>
  <c r="BL134" i="20"/>
  <c r="BI70" i="20"/>
  <c r="BK70" i="20" s="1"/>
  <c r="BO70" i="20" s="1"/>
  <c r="BL36" i="20"/>
  <c r="BL136" i="20"/>
  <c r="BL185" i="20"/>
  <c r="BL144" i="20"/>
  <c r="BL112" i="20"/>
  <c r="BL28" i="20"/>
  <c r="BL202" i="20"/>
  <c r="BL123" i="20"/>
  <c r="BT60" i="20"/>
  <c r="BL60" i="20"/>
  <c r="BL154" i="20"/>
  <c r="BL130" i="20"/>
  <c r="BL20" i="20"/>
  <c r="BL169" i="20"/>
  <c r="BI169" i="20"/>
  <c r="BK169" i="20" s="1"/>
  <c r="BO169" i="20" s="1"/>
  <c r="BT56" i="20"/>
  <c r="BL56" i="20"/>
  <c r="BL129" i="20"/>
  <c r="BL83" i="20"/>
  <c r="BL158" i="20"/>
  <c r="BT64" i="20"/>
  <c r="BL64" i="20"/>
  <c r="BT31" i="20"/>
  <c r="BL31" i="20"/>
  <c r="BL131" i="20"/>
  <c r="BL71" i="20"/>
  <c r="BL191" i="20"/>
  <c r="BL192" i="20"/>
  <c r="BL89" i="20"/>
  <c r="BL139" i="20"/>
  <c r="BL86" i="20"/>
  <c r="BL107" i="20"/>
  <c r="BL66" i="20"/>
  <c r="BT47" i="20"/>
  <c r="BL47" i="20"/>
  <c r="BL118" i="20"/>
  <c r="BL137" i="20"/>
  <c r="BI34" i="20"/>
  <c r="BK34" i="20" s="1"/>
  <c r="BO34" i="20" s="1"/>
  <c r="BL34" i="20"/>
  <c r="BL173" i="20"/>
  <c r="BL156" i="20"/>
  <c r="BL138" i="20"/>
  <c r="BL77" i="20"/>
  <c r="BT23" i="20"/>
  <c r="BL23" i="20"/>
  <c r="BL188" i="20"/>
  <c r="BT17" i="20"/>
  <c r="BL17" i="20"/>
  <c r="BL187" i="20"/>
  <c r="BL209" i="20"/>
  <c r="BL180" i="20"/>
  <c r="BL174" i="20"/>
  <c r="BL76" i="20"/>
  <c r="BP83" i="20"/>
  <c r="BI83" i="20"/>
  <c r="BK83" i="20" s="1"/>
  <c r="BO83" i="20" s="1"/>
  <c r="BI176" i="20"/>
  <c r="BK176" i="20" s="1"/>
  <c r="BO176" i="20" s="1"/>
  <c r="BP32" i="20"/>
  <c r="BP121" i="20"/>
  <c r="BP77" i="20"/>
  <c r="BI77" i="20"/>
  <c r="BP85" i="20"/>
  <c r="BI85" i="20"/>
  <c r="BK85" i="20" s="1"/>
  <c r="BO85" i="20" s="1"/>
  <c r="BP186" i="20"/>
  <c r="BI186" i="20"/>
  <c r="BK186" i="20" s="1"/>
  <c r="BO186" i="20" s="1"/>
  <c r="BP189" i="20"/>
  <c r="BI189" i="20"/>
  <c r="BK189" i="20" s="1"/>
  <c r="BO189" i="20" s="1"/>
  <c r="BP115" i="20"/>
  <c r="BP61" i="20"/>
  <c r="BI61" i="20"/>
  <c r="BK61" i="20" s="1"/>
  <c r="BO61" i="20" s="1"/>
  <c r="BP9" i="20"/>
  <c r="BI9" i="20"/>
  <c r="BK9" i="20" s="1"/>
  <c r="BO9" i="20" s="1"/>
  <c r="B507" i="2" s="1"/>
  <c r="BI119" i="20"/>
  <c r="BK119" i="20" s="1"/>
  <c r="BO119" i="20" s="1"/>
  <c r="BI28" i="20"/>
  <c r="BK28" i="20" s="1"/>
  <c r="BO28" i="20" s="1"/>
  <c r="BI166" i="20"/>
  <c r="BI157" i="20"/>
  <c r="BK157" i="20" s="1"/>
  <c r="BO157" i="20" s="1"/>
  <c r="BP37" i="20"/>
  <c r="BP179" i="20"/>
  <c r="BP195" i="20"/>
  <c r="BP18" i="20"/>
  <c r="BP26" i="20"/>
  <c r="BP137" i="20"/>
  <c r="BP188" i="20"/>
  <c r="BP79" i="20"/>
  <c r="BI79" i="20"/>
  <c r="BK79" i="20" s="1"/>
  <c r="BO79" i="20" s="1"/>
  <c r="BP203" i="20"/>
  <c r="BI203" i="20"/>
  <c r="BK203" i="20" s="1"/>
  <c r="BO203" i="20" s="1"/>
  <c r="BP49" i="20"/>
  <c r="BI49" i="20"/>
  <c r="BK49" i="20" s="1"/>
  <c r="BO49" i="20" s="1"/>
  <c r="BP118" i="20"/>
  <c r="BI118" i="20"/>
  <c r="BK118" i="20" s="1"/>
  <c r="BO118" i="20" s="1"/>
  <c r="BP145" i="20"/>
  <c r="BI145" i="20"/>
  <c r="BK145" i="20" s="1"/>
  <c r="BO145" i="20" s="1"/>
  <c r="BP71" i="20"/>
  <c r="BI71" i="20"/>
  <c r="BK71" i="20" s="1"/>
  <c r="BO71" i="20" s="1"/>
  <c r="BP89" i="20"/>
  <c r="BI89" i="20"/>
  <c r="BI141" i="20"/>
  <c r="BK141" i="20" s="1"/>
  <c r="BO141" i="20" s="1"/>
  <c r="BI172" i="20"/>
  <c r="BK172" i="20" s="1"/>
  <c r="BO172" i="20" s="1"/>
  <c r="BI198" i="20"/>
  <c r="BK198" i="20" s="1"/>
  <c r="BO198" i="20" s="1"/>
  <c r="BI161" i="20"/>
  <c r="BK161" i="20" s="1"/>
  <c r="BO161" i="20" s="1"/>
  <c r="BI40" i="20"/>
  <c r="BK40" i="20" s="1"/>
  <c r="BO40" i="20" s="1"/>
  <c r="BI24" i="20"/>
  <c r="BK24" i="20" s="1"/>
  <c r="BO24" i="20" s="1"/>
  <c r="BP88" i="20"/>
  <c r="BI88" i="20"/>
  <c r="BP75" i="20"/>
  <c r="BI75" i="20"/>
  <c r="BK75" i="20" s="1"/>
  <c r="BO75" i="20" s="1"/>
  <c r="BP14" i="20"/>
  <c r="BP19" i="20"/>
  <c r="BP178" i="20"/>
  <c r="BI178" i="20"/>
  <c r="BK178" i="20" s="1"/>
  <c r="BO178" i="20" s="1"/>
  <c r="BP154" i="20"/>
  <c r="BP55" i="20"/>
  <c r="BI55" i="20"/>
  <c r="BK55" i="20" s="1"/>
  <c r="BO55" i="20" s="1"/>
  <c r="BP47" i="20"/>
  <c r="BI47" i="20"/>
  <c r="BK47" i="20" s="1"/>
  <c r="BO47" i="20" s="1"/>
  <c r="BP192" i="20"/>
  <c r="BI192" i="20"/>
  <c r="BK192" i="20" s="1"/>
  <c r="BO192" i="20" s="1"/>
  <c r="BP147" i="20"/>
  <c r="BP174" i="20"/>
  <c r="BI174" i="20"/>
  <c r="BK174" i="20" s="1"/>
  <c r="BO174" i="20" s="1"/>
  <c r="BP87" i="20"/>
  <c r="BI87" i="20"/>
  <c r="BK87" i="20" s="1"/>
  <c r="BO87" i="20" s="1"/>
  <c r="BP76" i="20"/>
  <c r="BI76" i="20"/>
  <c r="BK76" i="20" s="1"/>
  <c r="BO76" i="20" s="1"/>
  <c r="BI190" i="20"/>
  <c r="BK190" i="20" s="1"/>
  <c r="BO190" i="20" s="1"/>
  <c r="BI13" i="20"/>
  <c r="BK13" i="20" s="1"/>
  <c r="BO13" i="20" s="1"/>
  <c r="BI155" i="20"/>
  <c r="BK155" i="20" s="1"/>
  <c r="BO155" i="20" s="1"/>
  <c r="BP25" i="20"/>
  <c r="BP86" i="20"/>
  <c r="BI86" i="20"/>
  <c r="BK86" i="20" s="1"/>
  <c r="BO86" i="20" s="1"/>
  <c r="BP129" i="20"/>
  <c r="BP46" i="20"/>
  <c r="BI46" i="20"/>
  <c r="BK46" i="20" s="1"/>
  <c r="BO46" i="20" s="1"/>
  <c r="BP194" i="20"/>
  <c r="BP42" i="20"/>
  <c r="BP80" i="20"/>
  <c r="BI80" i="20"/>
  <c r="BK80" i="20" s="1"/>
  <c r="BO80" i="20" s="1"/>
  <c r="BP65" i="20"/>
  <c r="BI65" i="20"/>
  <c r="BK65" i="20" s="1"/>
  <c r="BO65" i="20" s="1"/>
  <c r="BP142" i="20"/>
  <c r="BI142" i="20"/>
  <c r="BK142" i="20" s="1"/>
  <c r="BO142" i="20" s="1"/>
  <c r="BP180" i="20"/>
  <c r="BI180" i="20"/>
  <c r="BP43" i="20"/>
  <c r="BI43" i="20"/>
  <c r="BK43" i="20" s="1"/>
  <c r="BO43" i="20" s="1"/>
  <c r="BP209" i="20"/>
  <c r="BP158" i="20"/>
  <c r="BI158" i="20"/>
  <c r="BK158" i="20" s="1"/>
  <c r="BO158" i="20" s="1"/>
  <c r="BP139" i="20"/>
  <c r="BI139" i="20"/>
  <c r="BK139" i="20" s="1"/>
  <c r="BO139" i="20" s="1"/>
  <c r="BP69" i="20"/>
  <c r="BI69" i="20"/>
  <c r="BK69" i="20" s="1"/>
  <c r="BO69" i="20" s="1"/>
  <c r="BP181" i="20"/>
  <c r="BI181" i="20"/>
  <c r="BK181" i="20" s="1"/>
  <c r="BO181" i="20" s="1"/>
  <c r="BP66" i="20"/>
  <c r="BI66" i="20"/>
  <c r="BK66" i="20" s="1"/>
  <c r="BO66" i="20" s="1"/>
  <c r="BI196" i="20"/>
  <c r="BI57" i="20"/>
  <c r="BK57" i="20" s="1"/>
  <c r="BO57" i="20" s="1"/>
  <c r="BI152" i="20"/>
  <c r="BK152" i="20" s="1"/>
  <c r="BO152" i="20" s="1"/>
  <c r="BI128" i="20"/>
  <c r="BK128" i="20" s="1"/>
  <c r="BO128" i="20" s="1"/>
  <c r="BI63" i="20"/>
  <c r="BK63" i="20" s="1"/>
  <c r="BO63" i="20" s="1"/>
  <c r="BI140" i="20"/>
  <c r="BK140" i="20" s="1"/>
  <c r="BO140" i="20" s="1"/>
  <c r="BI127" i="20"/>
  <c r="BK127" i="20" s="1"/>
  <c r="BO127" i="20" s="1"/>
  <c r="BP116" i="20"/>
  <c r="BP134" i="20"/>
  <c r="BI134" i="20"/>
  <c r="BK134" i="20" s="1"/>
  <c r="BO134" i="20" s="1"/>
  <c r="BP175" i="20"/>
  <c r="BP170" i="20"/>
  <c r="BP67" i="20"/>
  <c r="BI67" i="20"/>
  <c r="BK67" i="20" s="1"/>
  <c r="BO67" i="20" s="1"/>
  <c r="BP53" i="20"/>
  <c r="BI53" i="20"/>
  <c r="BK53" i="20" s="1"/>
  <c r="BO53" i="20" s="1"/>
  <c r="BP114" i="20"/>
  <c r="BP12" i="20"/>
  <c r="BP191" i="20"/>
  <c r="BI191" i="20"/>
  <c r="BK191" i="20" s="1"/>
  <c r="BO191" i="20" s="1"/>
  <c r="BP59" i="20"/>
  <c r="BI59" i="20"/>
  <c r="BK59" i="20" s="1"/>
  <c r="BO59" i="20" s="1"/>
  <c r="BP33" i="20"/>
  <c r="BI33" i="20"/>
  <c r="BK33" i="20" s="1"/>
  <c r="BO33" i="20" s="1"/>
  <c r="BI165" i="20"/>
  <c r="BK165" i="20" s="1"/>
  <c r="BO165" i="20" s="1"/>
  <c r="BP187" i="20"/>
  <c r="BP207" i="20"/>
  <c r="BI207" i="20"/>
  <c r="BK207" i="20" s="1"/>
  <c r="BO207" i="20" s="1"/>
  <c r="BP27" i="20"/>
  <c r="BP29" i="20"/>
  <c r="BI29" i="20"/>
  <c r="BK29" i="20" s="1"/>
  <c r="BO29" i="20" s="1"/>
  <c r="BP130" i="20"/>
  <c r="BP39" i="20"/>
  <c r="BI39" i="20"/>
  <c r="BK39" i="20" s="1"/>
  <c r="BO39" i="20" s="1"/>
  <c r="BP17" i="20"/>
  <c r="BI17" i="20"/>
  <c r="BK17" i="20" s="1"/>
  <c r="BO17" i="20" s="1"/>
  <c r="BP163" i="20"/>
  <c r="BI163" i="20"/>
  <c r="BK163" i="20" s="1"/>
  <c r="BO163" i="20" s="1"/>
  <c r="BP204" i="20"/>
  <c r="BP168" i="20"/>
  <c r="BI168" i="20"/>
  <c r="BK168" i="20" s="1"/>
  <c r="BO168" i="20" s="1"/>
  <c r="BI201" i="20"/>
  <c r="BK201" i="20" s="1"/>
  <c r="BO201" i="20" s="1"/>
  <c r="BI106" i="20"/>
  <c r="BK106" i="20" s="1"/>
  <c r="BO106" i="20" s="1"/>
  <c r="BI131" i="20"/>
  <c r="BI111" i="20"/>
  <c r="BK111" i="20" s="1"/>
  <c r="BO111" i="20" s="1"/>
  <c r="BI20" i="20"/>
  <c r="BK20" i="20" s="1"/>
  <c r="BO20" i="20" s="1"/>
  <c r="BI31" i="20"/>
  <c r="BK31" i="20" s="1"/>
  <c r="BO31" i="20" s="1"/>
  <c r="BI103" i="20"/>
  <c r="BK103" i="20" s="1"/>
  <c r="BO103" i="20" s="1"/>
  <c r="BI171" i="20"/>
  <c r="BK171" i="20" s="1"/>
  <c r="BO171" i="20" s="1"/>
  <c r="BP104" i="20"/>
  <c r="BP136" i="20"/>
  <c r="BP35" i="20"/>
  <c r="BI35" i="20"/>
  <c r="BK35" i="20" s="1"/>
  <c r="BO35" i="20" s="1"/>
  <c r="BP107" i="20"/>
  <c r="BP153" i="20"/>
  <c r="BP52" i="20"/>
  <c r="BI52" i="20"/>
  <c r="BK52" i="20" s="1"/>
  <c r="BO52" i="20" s="1"/>
  <c r="BP126" i="20"/>
  <c r="BI126" i="20"/>
  <c r="BK126" i="20" s="1"/>
  <c r="BO126" i="20" s="1"/>
  <c r="BP135" i="20"/>
  <c r="BI135" i="20"/>
  <c r="BK135" i="20" s="1"/>
  <c r="BO135" i="20" s="1"/>
  <c r="BP117" i="20"/>
  <c r="BI117" i="20"/>
  <c r="BK117" i="20" s="1"/>
  <c r="BO117" i="20" s="1"/>
  <c r="BP167" i="20"/>
  <c r="BI167" i="20"/>
  <c r="BK167" i="20" s="1"/>
  <c r="BO167" i="20" s="1"/>
  <c r="BP208" i="20"/>
  <c r="BI208" i="20"/>
  <c r="BK208" i="20" s="1"/>
  <c r="BO208" i="20" s="1"/>
  <c r="BP199" i="20"/>
  <c r="BI199" i="20"/>
  <c r="BK199" i="20" s="1"/>
  <c r="BO199" i="20" s="1"/>
  <c r="BP58" i="20"/>
  <c r="BI58" i="20"/>
  <c r="BK58" i="20" s="1"/>
  <c r="BO58" i="20" s="1"/>
  <c r="BP184" i="20"/>
  <c r="BI184" i="20"/>
  <c r="BK184" i="20" s="1"/>
  <c r="BO184" i="20" s="1"/>
  <c r="BP105" i="20"/>
  <c r="BI105" i="20"/>
  <c r="BK105" i="20" s="1"/>
  <c r="BO105" i="20" s="1"/>
  <c r="BP148" i="20"/>
  <c r="BI148" i="20"/>
  <c r="BK148" i="20" s="1"/>
  <c r="BO148" i="20" s="1"/>
  <c r="BP82" i="20"/>
  <c r="BI82" i="20"/>
  <c r="BK82" i="20" s="1"/>
  <c r="BO82" i="20" s="1"/>
  <c r="BP74" i="20"/>
  <c r="BI74" i="20"/>
  <c r="BK74" i="20" s="1"/>
  <c r="BO74" i="20" s="1"/>
  <c r="BP50" i="20"/>
  <c r="BI50" i="20"/>
  <c r="BK50" i="20" s="1"/>
  <c r="BO50" i="20" s="1"/>
  <c r="AK83" i="21"/>
  <c r="BR83" i="21" s="1"/>
  <c r="Z21" i="21"/>
  <c r="AT10" i="21"/>
  <c r="AK26" i="21"/>
  <c r="BR26" i="21" s="1"/>
  <c r="BC40" i="21"/>
  <c r="BV40" i="21" s="1"/>
  <c r="AT91" i="21"/>
  <c r="AX40" i="21"/>
  <c r="BU40" i="21" s="1"/>
  <c r="AK10" i="21"/>
  <c r="BR10" i="21" s="1"/>
  <c r="AO23" i="21"/>
  <c r="BS23" i="21" s="1"/>
  <c r="Z68" i="20"/>
  <c r="Z56" i="20"/>
  <c r="AT40" i="21"/>
  <c r="AK40" i="21"/>
  <c r="BR40" i="21" s="1"/>
  <c r="AT97" i="21"/>
  <c r="BQ97" i="21" s="1"/>
  <c r="Z97" i="21"/>
  <c r="BC97" i="21"/>
  <c r="BV97" i="21" s="1"/>
  <c r="AT23" i="21"/>
  <c r="BL23" i="21" s="1"/>
  <c r="AO47" i="21"/>
  <c r="BS47" i="21" s="1"/>
  <c r="AT70" i="21"/>
  <c r="BL70" i="21" s="1"/>
  <c r="BC47" i="21"/>
  <c r="BV47" i="21" s="1"/>
  <c r="AT47" i="21"/>
  <c r="BC91" i="21"/>
  <c r="BV91" i="21" s="1"/>
  <c r="AK37" i="21"/>
  <c r="BR37" i="21" s="1"/>
  <c r="AK25" i="21"/>
  <c r="BR25" i="21" s="1"/>
  <c r="AX45" i="21"/>
  <c r="BU45" i="21" s="1"/>
  <c r="AK47" i="21"/>
  <c r="BR47" i="21" s="1"/>
  <c r="AX24" i="21"/>
  <c r="BU24" i="21" s="1"/>
  <c r="BM87" i="20"/>
  <c r="AK45" i="21"/>
  <c r="BR45" i="21" s="1"/>
  <c r="AK12" i="21"/>
  <c r="BR12" i="21" s="1"/>
  <c r="AK24" i="21"/>
  <c r="BR24" i="21" s="1"/>
  <c r="AK69" i="21"/>
  <c r="BR69" i="21" s="1"/>
  <c r="BT50" i="20"/>
  <c r="AW88" i="21"/>
  <c r="AX88" i="21" s="1"/>
  <c r="BU88" i="21" s="1"/>
  <c r="AJ88" i="21"/>
  <c r="AK88" i="21" s="1"/>
  <c r="BR88" i="21" s="1"/>
  <c r="AA68" i="21"/>
  <c r="AB68" i="21" s="1"/>
  <c r="AC68" i="21" s="1"/>
  <c r="AJ68" i="21"/>
  <c r="AK68" i="21" s="1"/>
  <c r="BR68" i="21" s="1"/>
  <c r="AW104" i="21"/>
  <c r="AJ104" i="21"/>
  <c r="Y19" i="21"/>
  <c r="AJ19" i="21"/>
  <c r="AA61" i="21"/>
  <c r="AB61" i="21" s="1"/>
  <c r="AC61" i="21" s="1"/>
  <c r="AJ61" i="21"/>
  <c r="AS39" i="21"/>
  <c r="AJ39" i="21"/>
  <c r="AK39" i="21" s="1"/>
  <c r="BR39" i="21" s="1"/>
  <c r="Y31" i="21"/>
  <c r="Z31" i="21" s="1"/>
  <c r="AJ31" i="21"/>
  <c r="AK31" i="21" s="1"/>
  <c r="BR31" i="21" s="1"/>
  <c r="AW106" i="21"/>
  <c r="AX106" i="21" s="1"/>
  <c r="BU106" i="21" s="1"/>
  <c r="AJ106" i="21"/>
  <c r="AK106" i="21" s="1"/>
  <c r="BR106" i="21" s="1"/>
  <c r="AD71" i="21"/>
  <c r="AE71" i="21" s="1"/>
  <c r="AF71" i="21" s="1"/>
  <c r="AJ71" i="21"/>
  <c r="AW18" i="21"/>
  <c r="AJ18" i="21"/>
  <c r="AA65" i="21"/>
  <c r="AB65" i="21" s="1"/>
  <c r="AC65" i="21" s="1"/>
  <c r="AJ65" i="21"/>
  <c r="Y63" i="21"/>
  <c r="Z63" i="21" s="1"/>
  <c r="AJ63" i="21"/>
  <c r="AK63" i="21" s="1"/>
  <c r="BR63" i="21" s="1"/>
  <c r="Y53" i="21"/>
  <c r="AJ53" i="21"/>
  <c r="AS9" i="21"/>
  <c r="AT9" i="21" s="1"/>
  <c r="AJ9" i="21"/>
  <c r="AT26" i="21"/>
  <c r="AW20" i="21"/>
  <c r="AX20" i="21" s="1"/>
  <c r="BU20" i="21" s="1"/>
  <c r="AJ20" i="21"/>
  <c r="AK20" i="21" s="1"/>
  <c r="BR20" i="21" s="1"/>
  <c r="AA56" i="21"/>
  <c r="AB56" i="21" s="1"/>
  <c r="AC56" i="21" s="1"/>
  <c r="AJ56" i="21"/>
  <c r="AX94" i="21"/>
  <c r="AA11" i="21"/>
  <c r="AB11" i="21" s="1"/>
  <c r="AC11" i="21" s="1"/>
  <c r="AJ11" i="21"/>
  <c r="AK11" i="21" s="1"/>
  <c r="BR11" i="21" s="1"/>
  <c r="AN41" i="21"/>
  <c r="AJ41" i="21"/>
  <c r="AN96" i="21"/>
  <c r="AO96" i="21" s="1"/>
  <c r="BS96" i="21" s="1"/>
  <c r="AJ96" i="21"/>
  <c r="AK96" i="21" s="1"/>
  <c r="BR96" i="21" s="1"/>
  <c r="AD57" i="21"/>
  <c r="AE57" i="21" s="1"/>
  <c r="AF57" i="21" s="1"/>
  <c r="AJ57" i="21"/>
  <c r="AW33" i="21"/>
  <c r="AJ33" i="21"/>
  <c r="AJ52" i="21"/>
  <c r="AK52" i="21" s="1"/>
  <c r="BR52" i="21" s="1"/>
  <c r="AN52" i="21"/>
  <c r="AO52" i="21" s="1"/>
  <c r="BS52" i="21" s="1"/>
  <c r="X19" i="21"/>
  <c r="AU33" i="21"/>
  <c r="AV33" i="21" s="1"/>
  <c r="AA71" i="21"/>
  <c r="AB71" i="21" s="1"/>
  <c r="AC71" i="21" s="1"/>
  <c r="AU64" i="21"/>
  <c r="AV64" i="21" s="1"/>
  <c r="Y18" i="21"/>
  <c r="AP33" i="21"/>
  <c r="AQ33" i="21" s="1"/>
  <c r="AW71" i="21"/>
  <c r="AL64" i="21"/>
  <c r="AM64" i="21" s="1"/>
  <c r="AD18" i="21"/>
  <c r="AE18" i="21" s="1"/>
  <c r="AF18" i="21" s="1"/>
  <c r="BC49" i="21"/>
  <c r="BV49" i="21" s="1"/>
  <c r="AL33" i="21"/>
  <c r="AM33" i="21" s="1"/>
  <c r="X33" i="21"/>
  <c r="Y71" i="21"/>
  <c r="Z71" i="21" s="1"/>
  <c r="AS71" i="21"/>
  <c r="AG33" i="21"/>
  <c r="AH33" i="21" s="1"/>
  <c r="AP64" i="21"/>
  <c r="AQ64" i="21" s="1"/>
  <c r="AS18" i="21"/>
  <c r="AK62" i="21"/>
  <c r="BR62" i="21" s="1"/>
  <c r="AO43" i="21"/>
  <c r="BM43" i="21" s="1"/>
  <c r="AX98" i="20"/>
  <c r="BU98" i="20" s="1"/>
  <c r="AY13" i="21"/>
  <c r="BC36" i="21"/>
  <c r="BV36" i="21" s="1"/>
  <c r="AX83" i="21"/>
  <c r="AT94" i="21"/>
  <c r="AP60" i="21"/>
  <c r="AQ60" i="21" s="1"/>
  <c r="AT60" i="21" s="1"/>
  <c r="BM82" i="20"/>
  <c r="AA19" i="21"/>
  <c r="AB19" i="21" s="1"/>
  <c r="AC19" i="21" s="1"/>
  <c r="X64" i="21"/>
  <c r="AY14" i="21"/>
  <c r="Z72" i="20"/>
  <c r="AP14" i="21"/>
  <c r="AQ14" i="21" s="1"/>
  <c r="AT14" i="21" s="1"/>
  <c r="AW31" i="21"/>
  <c r="AX31" i="21" s="1"/>
  <c r="BU31" i="21" s="1"/>
  <c r="Z47" i="21"/>
  <c r="AW65" i="21"/>
  <c r="Z10" i="21"/>
  <c r="AD53" i="21"/>
  <c r="AE53" i="21" s="1"/>
  <c r="AF53" i="21" s="1"/>
  <c r="AT25" i="21"/>
  <c r="X75" i="21"/>
  <c r="Z75" i="21" s="1"/>
  <c r="AX21" i="21"/>
  <c r="BU21" i="21" s="1"/>
  <c r="Z69" i="21"/>
  <c r="AP90" i="21"/>
  <c r="AQ90" i="21" s="1"/>
  <c r="AT90" i="21" s="1"/>
  <c r="AG19" i="21"/>
  <c r="AH19" i="21" s="1"/>
  <c r="AU90" i="21"/>
  <c r="AV90" i="21" s="1"/>
  <c r="AX90" i="21" s="1"/>
  <c r="BU90" i="21" s="1"/>
  <c r="AL19" i="21"/>
  <c r="AM19" i="21" s="1"/>
  <c r="AO19" i="21" s="1"/>
  <c r="BS19" i="21" s="1"/>
  <c r="BC43" i="21"/>
  <c r="BV43" i="21" s="1"/>
  <c r="AU19" i="21"/>
  <c r="AV19" i="21" s="1"/>
  <c r="AY60" i="21"/>
  <c r="AS33" i="21"/>
  <c r="BC23" i="21"/>
  <c r="BV23" i="21" s="1"/>
  <c r="AL60" i="21"/>
  <c r="AM60" i="21" s="1"/>
  <c r="AO60" i="21" s="1"/>
  <c r="BS60" i="21" s="1"/>
  <c r="AG75" i="21"/>
  <c r="AH75" i="21" s="1"/>
  <c r="AK75" i="21" s="1"/>
  <c r="BR75" i="21" s="1"/>
  <c r="AO82" i="21"/>
  <c r="BS82" i="21" s="1"/>
  <c r="AU60" i="21"/>
  <c r="AV60" i="21" s="1"/>
  <c r="AX60" i="21" s="1"/>
  <c r="AD9" i="21"/>
  <c r="AE9" i="21" s="1"/>
  <c r="AF9" i="21" s="1"/>
  <c r="Y52" i="21"/>
  <c r="Z52" i="21" s="1"/>
  <c r="AD52" i="21"/>
  <c r="AE52" i="21" s="1"/>
  <c r="AF52" i="21" s="1"/>
  <c r="AS52" i="21"/>
  <c r="AT52" i="21" s="1"/>
  <c r="AW52" i="21"/>
  <c r="AX52" i="21" s="1"/>
  <c r="BU52" i="21" s="1"/>
  <c r="AA52" i="21"/>
  <c r="AB52" i="21" s="1"/>
  <c r="AC52" i="21" s="1"/>
  <c r="AO75" i="21"/>
  <c r="BS75" i="21" s="1"/>
  <c r="AP75" i="21"/>
  <c r="AQ75" i="21" s="1"/>
  <c r="AT75" i="21" s="1"/>
  <c r="X60" i="21"/>
  <c r="Z60" i="21" s="1"/>
  <c r="BU49" i="21"/>
  <c r="BM49" i="21"/>
  <c r="BU26" i="21"/>
  <c r="AL90" i="21"/>
  <c r="AO40" i="21"/>
  <c r="BS40" i="21" s="1"/>
  <c r="X90" i="21"/>
  <c r="Z90" i="21" s="1"/>
  <c r="AG90" i="21"/>
  <c r="AH90" i="21" s="1"/>
  <c r="AK90" i="21" s="1"/>
  <c r="BR90" i="21" s="1"/>
  <c r="AY98" i="21"/>
  <c r="BM168" i="20"/>
  <c r="Y56" i="21"/>
  <c r="AW56" i="21"/>
  <c r="Y104" i="21"/>
  <c r="AS56" i="21"/>
  <c r="AD56" i="21"/>
  <c r="AE56" i="21" s="1"/>
  <c r="AF56" i="21" s="1"/>
  <c r="BM36" i="21"/>
  <c r="AP41" i="21"/>
  <c r="AQ41" i="21" s="1"/>
  <c r="AL103" i="21"/>
  <c r="AM103" i="21" s="1"/>
  <c r="AG100" i="21"/>
  <c r="AH100" i="21" s="1"/>
  <c r="AK100" i="21" s="1"/>
  <c r="BR100" i="21" s="1"/>
  <c r="AL41" i="21"/>
  <c r="AM41" i="21" s="1"/>
  <c r="AG103" i="21"/>
  <c r="AH103" i="21" s="1"/>
  <c r="AK103" i="21" s="1"/>
  <c r="BR103" i="21" s="1"/>
  <c r="AG41" i="21"/>
  <c r="AH41" i="21" s="1"/>
  <c r="AX94" i="20"/>
  <c r="BU94" i="20" s="1"/>
  <c r="X41" i="21"/>
  <c r="AS106" i="21"/>
  <c r="AT106" i="21" s="1"/>
  <c r="AA106" i="21"/>
  <c r="AB106" i="21" s="1"/>
  <c r="AC106" i="21" s="1"/>
  <c r="Z92" i="21"/>
  <c r="Y106" i="21"/>
  <c r="Z106" i="21" s="1"/>
  <c r="AW19" i="21"/>
  <c r="AD61" i="21"/>
  <c r="AE61" i="21" s="1"/>
  <c r="AF61" i="21" s="1"/>
  <c r="AD19" i="21"/>
  <c r="AE19" i="21" s="1"/>
  <c r="AF19" i="21" s="1"/>
  <c r="Y61" i="21"/>
  <c r="AA104" i="21"/>
  <c r="AB104" i="21" s="1"/>
  <c r="AC104" i="21" s="1"/>
  <c r="AL89" i="21"/>
  <c r="AM89" i="21" s="1"/>
  <c r="AO89" i="21" s="1"/>
  <c r="BS89" i="21" s="1"/>
  <c r="Y9" i="21"/>
  <c r="Z77" i="21"/>
  <c r="AS19" i="21"/>
  <c r="AT19" i="21" s="1"/>
  <c r="AP89" i="21"/>
  <c r="AL16" i="21"/>
  <c r="AM16" i="21" s="1"/>
  <c r="AA9" i="21"/>
  <c r="AB9" i="21" s="1"/>
  <c r="AC9" i="21" s="1"/>
  <c r="X103" i="21"/>
  <c r="AT83" i="21"/>
  <c r="AY89" i="21"/>
  <c r="X16" i="21"/>
  <c r="AD106" i="21"/>
  <c r="AE106" i="21" s="1"/>
  <c r="AF106" i="21" s="1"/>
  <c r="AW61" i="21"/>
  <c r="AP16" i="21"/>
  <c r="AQ16" i="21" s="1"/>
  <c r="AO92" i="21"/>
  <c r="BS92" i="21" s="1"/>
  <c r="AP103" i="21"/>
  <c r="AQ103" i="21" s="1"/>
  <c r="AS61" i="21"/>
  <c r="AG16" i="21"/>
  <c r="AH16" i="21" s="1"/>
  <c r="AK16" i="21" s="1"/>
  <c r="BR16" i="21" s="1"/>
  <c r="AW9" i="21"/>
  <c r="AX9" i="21" s="1"/>
  <c r="AU41" i="21"/>
  <c r="AV41" i="21" s="1"/>
  <c r="AU103" i="21"/>
  <c r="AV103" i="21" s="1"/>
  <c r="AY16" i="21"/>
  <c r="AK60" i="21"/>
  <c r="BR60" i="21" s="1"/>
  <c r="AK42" i="21"/>
  <c r="BR42" i="21" s="1"/>
  <c r="Z26" i="21"/>
  <c r="BU47" i="21"/>
  <c r="AU93" i="21"/>
  <c r="AV93" i="21" s="1"/>
  <c r="AY93" i="21"/>
  <c r="X100" i="21"/>
  <c r="Z100" i="21" s="1"/>
  <c r="Y65" i="21"/>
  <c r="AL58" i="21"/>
  <c r="AM58" i="21" s="1"/>
  <c r="AY58" i="21"/>
  <c r="AK89" i="21"/>
  <c r="BR89" i="21" s="1"/>
  <c r="BC22" i="21"/>
  <c r="BV22" i="21" s="1"/>
  <c r="AP100" i="21"/>
  <c r="AQ100" i="21" s="1"/>
  <c r="AT100" i="21" s="1"/>
  <c r="AA53" i="21"/>
  <c r="AB53" i="21" s="1"/>
  <c r="AC53" i="21" s="1"/>
  <c r="X9" i="21"/>
  <c r="AY9" i="21"/>
  <c r="AX37" i="21"/>
  <c r="BU37" i="21" s="1"/>
  <c r="AQ107" i="21"/>
  <c r="AT107" i="21" s="1"/>
  <c r="BL107" i="21" s="1"/>
  <c r="BC107" i="21"/>
  <c r="BV107" i="21" s="1"/>
  <c r="AU100" i="21"/>
  <c r="AV100" i="21" s="1"/>
  <c r="AX100" i="21" s="1"/>
  <c r="AS53" i="21"/>
  <c r="AG9" i="21"/>
  <c r="AH9" i="21" s="1"/>
  <c r="AL100" i="21"/>
  <c r="AM100" i="21" s="1"/>
  <c r="AO100" i="21" s="1"/>
  <c r="BS100" i="21" s="1"/>
  <c r="AW53" i="21"/>
  <c r="AD65" i="21"/>
  <c r="AE65" i="21" s="1"/>
  <c r="AF65" i="21" s="1"/>
  <c r="AP93" i="21"/>
  <c r="AQ93" i="21" s="1"/>
  <c r="AL34" i="21"/>
  <c r="AM34" i="21" s="1"/>
  <c r="AO34" i="21" s="1"/>
  <c r="BS34" i="21" s="1"/>
  <c r="AY34" i="21"/>
  <c r="AS65" i="21"/>
  <c r="AT87" i="21"/>
  <c r="AG56" i="21"/>
  <c r="AH56" i="21" s="1"/>
  <c r="AY56" i="21"/>
  <c r="AU71" i="21"/>
  <c r="AV71" i="21" s="1"/>
  <c r="AY71" i="21"/>
  <c r="AU75" i="21"/>
  <c r="AV75" i="21" s="1"/>
  <c r="AX75" i="21" s="1"/>
  <c r="AY75" i="21"/>
  <c r="BU77" i="21"/>
  <c r="BM77" i="21"/>
  <c r="AD88" i="21"/>
  <c r="AE88" i="21" s="1"/>
  <c r="AF88" i="21" s="1"/>
  <c r="AA39" i="21"/>
  <c r="AB39" i="21" s="1"/>
  <c r="AC39" i="21" s="1"/>
  <c r="AN39" i="21"/>
  <c r="AO39" i="21" s="1"/>
  <c r="BS39" i="21" s="1"/>
  <c r="AA41" i="21"/>
  <c r="AB41" i="21" s="1"/>
  <c r="AC41" i="21" s="1"/>
  <c r="AD39" i="21"/>
  <c r="AE39" i="21" s="1"/>
  <c r="AF39" i="21" s="1"/>
  <c r="AW96" i="21"/>
  <c r="AX96" i="21" s="1"/>
  <c r="BU96" i="21" s="1"/>
  <c r="AT69" i="21"/>
  <c r="BL69" i="21" s="1"/>
  <c r="AW39" i="21"/>
  <c r="AX39" i="21" s="1"/>
  <c r="BU39" i="21" s="1"/>
  <c r="Y39" i="21"/>
  <c r="Z39" i="21" s="1"/>
  <c r="AK97" i="20"/>
  <c r="BR97" i="20" s="1"/>
  <c r="Z45" i="21"/>
  <c r="AO98" i="21"/>
  <c r="BS98" i="21" s="1"/>
  <c r="AA20" i="21"/>
  <c r="AB20" i="21" s="1"/>
  <c r="AC20" i="21" s="1"/>
  <c r="Z24" i="21"/>
  <c r="Z12" i="21"/>
  <c r="Y20" i="21"/>
  <c r="Z20" i="21" s="1"/>
  <c r="AX73" i="21"/>
  <c r="BU73" i="21" s="1"/>
  <c r="AS20" i="21"/>
  <c r="AD20" i="21"/>
  <c r="AE20" i="21" s="1"/>
  <c r="AF20" i="21" s="1"/>
  <c r="AN20" i="21"/>
  <c r="AO20" i="21" s="1"/>
  <c r="BS20" i="21" s="1"/>
  <c r="AW41" i="21"/>
  <c r="AD96" i="21"/>
  <c r="AE96" i="21" s="1"/>
  <c r="AF96" i="21" s="1"/>
  <c r="Z83" i="21"/>
  <c r="AX87" i="21"/>
  <c r="AP98" i="21"/>
  <c r="AQ98" i="21" s="1"/>
  <c r="AT98" i="21" s="1"/>
  <c r="BC81" i="21"/>
  <c r="BV81" i="21" s="1"/>
  <c r="AS41" i="21"/>
  <c r="AS57" i="21"/>
  <c r="Y96" i="21"/>
  <c r="Z96" i="21" s="1"/>
  <c r="AG13" i="21"/>
  <c r="AH13" i="21" s="1"/>
  <c r="AK13" i="21" s="1"/>
  <c r="BR13" i="21" s="1"/>
  <c r="AG98" i="21"/>
  <c r="AH98" i="21" s="1"/>
  <c r="AK98" i="21" s="1"/>
  <c r="BR98" i="21" s="1"/>
  <c r="AD41" i="21"/>
  <c r="AE41" i="21" s="1"/>
  <c r="AF41" i="21" s="1"/>
  <c r="AS96" i="21"/>
  <c r="AP56" i="21"/>
  <c r="AQ56" i="21" s="1"/>
  <c r="AU98" i="21"/>
  <c r="AV98" i="21" s="1"/>
  <c r="AX98" i="21" s="1"/>
  <c r="BU98" i="21" s="1"/>
  <c r="AT12" i="21"/>
  <c r="Y41" i="21"/>
  <c r="AX69" i="21"/>
  <c r="BU69" i="21" s="1"/>
  <c r="X56" i="21"/>
  <c r="X98" i="21"/>
  <c r="Z98" i="21" s="1"/>
  <c r="AT45" i="21"/>
  <c r="BM86" i="20"/>
  <c r="BC54" i="21"/>
  <c r="BV54" i="21" s="1"/>
  <c r="AX51" i="21"/>
  <c r="BU51" i="21" s="1"/>
  <c r="AL56" i="21"/>
  <c r="AM56" i="21" s="1"/>
  <c r="AO56" i="21" s="1"/>
  <c r="BS56" i="21" s="1"/>
  <c r="BC42" i="21"/>
  <c r="BV42" i="21" s="1"/>
  <c r="Z25" i="21"/>
  <c r="Z87" i="21"/>
  <c r="AA96" i="21"/>
  <c r="AB96" i="21" s="1"/>
  <c r="AC96" i="21" s="1"/>
  <c r="AS11" i="21"/>
  <c r="AT11" i="21" s="1"/>
  <c r="AU56" i="21"/>
  <c r="AV56" i="21" s="1"/>
  <c r="AW11" i="21"/>
  <c r="AX11" i="21" s="1"/>
  <c r="BU11" i="21" s="1"/>
  <c r="X93" i="21"/>
  <c r="AN104" i="21"/>
  <c r="AX92" i="21"/>
  <c r="BU92" i="21" s="1"/>
  <c r="AL93" i="21"/>
  <c r="AM93" i="21" s="1"/>
  <c r="X89" i="21"/>
  <c r="Z89" i="21" s="1"/>
  <c r="Y33" i="21"/>
  <c r="AT24" i="21"/>
  <c r="AN33" i="21"/>
  <c r="Z45" i="20"/>
  <c r="AA33" i="21"/>
  <c r="AB33" i="21" s="1"/>
  <c r="AC33" i="21" s="1"/>
  <c r="BC87" i="21"/>
  <c r="BV87" i="21" s="1"/>
  <c r="BC27" i="21"/>
  <c r="BV27" i="21" s="1"/>
  <c r="AD104" i="21"/>
  <c r="AE104" i="21" s="1"/>
  <c r="AF104" i="21" s="1"/>
  <c r="Z43" i="21"/>
  <c r="AU58" i="21"/>
  <c r="AV58" i="21" s="1"/>
  <c r="AU89" i="21"/>
  <c r="AV89" i="21" s="1"/>
  <c r="AX89" i="21" s="1"/>
  <c r="BT52" i="20"/>
  <c r="AS104" i="21"/>
  <c r="X58" i="21"/>
  <c r="Z27" i="21"/>
  <c r="AS31" i="21"/>
  <c r="AT31" i="21" s="1"/>
  <c r="BL31" i="21" s="1"/>
  <c r="AP58" i="21"/>
  <c r="AQ58" i="21" s="1"/>
  <c r="AD33" i="21"/>
  <c r="AE33" i="21" s="1"/>
  <c r="AF33" i="21" s="1"/>
  <c r="AD31" i="21"/>
  <c r="AE31" i="21" s="1"/>
  <c r="AF31" i="21" s="1"/>
  <c r="AX25" i="21"/>
  <c r="BU25" i="21" s="1"/>
  <c r="AO9" i="21"/>
  <c r="BS9" i="21" s="1"/>
  <c r="BC62" i="21"/>
  <c r="BV62" i="21" s="1"/>
  <c r="AO27" i="21"/>
  <c r="BS27" i="21" s="1"/>
  <c r="AG93" i="21"/>
  <c r="AH93" i="21" s="1"/>
  <c r="AK93" i="21" s="1"/>
  <c r="BR93" i="21" s="1"/>
  <c r="AG109" i="21"/>
  <c r="AH109" i="21" s="1"/>
  <c r="AK109" i="21" s="1"/>
  <c r="BR109" i="21" s="1"/>
  <c r="AK50" i="21"/>
  <c r="BR50" i="21" s="1"/>
  <c r="AX12" i="21"/>
  <c r="BU12" i="21" s="1"/>
  <c r="BC63" i="21"/>
  <c r="BV63" i="21" s="1"/>
  <c r="AK95" i="20"/>
  <c r="BR95" i="20" s="1"/>
  <c r="AP71" i="21"/>
  <c r="AQ71" i="21" s="1"/>
  <c r="Y88" i="21"/>
  <c r="Z88" i="21" s="1"/>
  <c r="AW57" i="21"/>
  <c r="X34" i="21"/>
  <c r="Z34" i="21" s="1"/>
  <c r="AL71" i="21"/>
  <c r="AM71" i="21" s="1"/>
  <c r="AO71" i="21" s="1"/>
  <c r="BS71" i="21" s="1"/>
  <c r="AS88" i="21"/>
  <c r="AT88" i="21" s="1"/>
  <c r="Y57" i="21"/>
  <c r="AW68" i="21"/>
  <c r="AX68" i="21" s="1"/>
  <c r="BU68" i="21" s="1"/>
  <c r="AO13" i="21"/>
  <c r="BS13" i="21" s="1"/>
  <c r="AA103" i="21"/>
  <c r="AB103" i="21" s="1"/>
  <c r="AC103" i="21" s="1"/>
  <c r="AW103" i="21"/>
  <c r="AD103" i="21"/>
  <c r="AE103" i="21" s="1"/>
  <c r="AF103" i="21" s="1"/>
  <c r="Y103" i="21"/>
  <c r="AS103" i="21"/>
  <c r="AN103" i="21"/>
  <c r="AN88" i="21"/>
  <c r="AX27" i="21"/>
  <c r="BU27" i="21" s="1"/>
  <c r="AN57" i="21"/>
  <c r="Y68" i="21"/>
  <c r="Z68" i="21" s="1"/>
  <c r="AD68" i="21"/>
  <c r="AE68" i="21" s="1"/>
  <c r="AF68" i="21" s="1"/>
  <c r="AG108" i="21"/>
  <c r="AH108" i="21" s="1"/>
  <c r="AK108" i="21" s="1"/>
  <c r="BR108" i="21" s="1"/>
  <c r="AU108" i="21"/>
  <c r="AV108" i="21" s="1"/>
  <c r="AX108" i="21" s="1"/>
  <c r="AL108" i="21"/>
  <c r="AP108" i="21"/>
  <c r="AQ108" i="21" s="1"/>
  <c r="AT108" i="21" s="1"/>
  <c r="X108" i="21"/>
  <c r="Z108" i="21" s="1"/>
  <c r="BT9" i="20"/>
  <c r="BC15" i="21"/>
  <c r="BV15" i="21" s="1"/>
  <c r="AS68" i="21"/>
  <c r="AT68" i="21" s="1"/>
  <c r="BC28" i="21"/>
  <c r="BV28" i="21" s="1"/>
  <c r="AA88" i="21"/>
  <c r="AB88" i="21" s="1"/>
  <c r="AC88" i="21" s="1"/>
  <c r="AA57" i="21"/>
  <c r="AB57" i="21" s="1"/>
  <c r="AC57" i="21" s="1"/>
  <c r="BC52" i="21"/>
  <c r="BV52" i="21" s="1"/>
  <c r="AG71" i="21"/>
  <c r="AH71" i="21" s="1"/>
  <c r="AK15" i="21"/>
  <c r="BR15" i="21" s="1"/>
  <c r="AU65" i="21"/>
  <c r="AV65" i="21" s="1"/>
  <c r="AG65" i="21"/>
  <c r="AH65" i="21" s="1"/>
  <c r="X65" i="21"/>
  <c r="AL65" i="21"/>
  <c r="AP65" i="21"/>
  <c r="AQ65" i="21" s="1"/>
  <c r="Z95" i="20"/>
  <c r="AM45" i="21"/>
  <c r="AO45" i="21" s="1"/>
  <c r="BS45" i="21" s="1"/>
  <c r="BC45" i="21"/>
  <c r="BV45" i="21" s="1"/>
  <c r="AG34" i="21"/>
  <c r="AH34" i="21" s="1"/>
  <c r="AK34" i="21" s="1"/>
  <c r="BR34" i="21" s="1"/>
  <c r="AP34" i="21"/>
  <c r="AQ34" i="21" s="1"/>
  <c r="AT34" i="21" s="1"/>
  <c r="AU34" i="21"/>
  <c r="AV34" i="21" s="1"/>
  <c r="AX34" i="21" s="1"/>
  <c r="X13" i="21"/>
  <c r="Z13" i="21" s="1"/>
  <c r="AP13" i="21"/>
  <c r="AU13" i="21"/>
  <c r="AV13" i="21" s="1"/>
  <c r="AX13" i="21" s="1"/>
  <c r="AA63" i="21"/>
  <c r="AB63" i="21" s="1"/>
  <c r="AC63" i="21" s="1"/>
  <c r="AD63" i="21"/>
  <c r="AE63" i="21" s="1"/>
  <c r="AF63" i="21" s="1"/>
  <c r="AN63" i="21"/>
  <c r="AO63" i="21" s="1"/>
  <c r="BS63" i="21" s="1"/>
  <c r="AW63" i="21"/>
  <c r="AX63" i="21" s="1"/>
  <c r="AS63" i="21"/>
  <c r="AT63" i="21" s="1"/>
  <c r="AM12" i="21"/>
  <c r="AO12" i="21" s="1"/>
  <c r="BS12" i="21" s="1"/>
  <c r="BC12" i="21"/>
  <c r="BV12" i="21" s="1"/>
  <c r="BU76" i="21"/>
  <c r="AX79" i="21"/>
  <c r="AG58" i="21"/>
  <c r="AH58" i="21" s="1"/>
  <c r="AK58" i="21" s="1"/>
  <c r="BR58" i="21" s="1"/>
  <c r="AN11" i="21"/>
  <c r="AO11" i="21" s="1"/>
  <c r="BS11" i="21" s="1"/>
  <c r="AM24" i="21"/>
  <c r="AO24" i="21" s="1"/>
  <c r="BS24" i="21" s="1"/>
  <c r="BC24" i="21"/>
  <c r="BV24" i="21" s="1"/>
  <c r="AU14" i="21"/>
  <c r="AV14" i="21" s="1"/>
  <c r="AX14" i="21" s="1"/>
  <c r="AG14" i="21"/>
  <c r="AH14" i="21" s="1"/>
  <c r="AK14" i="21" s="1"/>
  <c r="BR14" i="21" s="1"/>
  <c r="X14" i="21"/>
  <c r="Z14" i="21" s="1"/>
  <c r="BC106" i="21"/>
  <c r="BV106" i="21" s="1"/>
  <c r="AM106" i="21"/>
  <c r="AO106" i="21" s="1"/>
  <c r="BS106" i="21" s="1"/>
  <c r="AN42" i="21"/>
  <c r="AO42" i="21" s="1"/>
  <c r="BS42" i="21" s="1"/>
  <c r="AD42" i="21"/>
  <c r="AE42" i="21" s="1"/>
  <c r="AF42" i="21" s="1"/>
  <c r="AA42" i="21"/>
  <c r="AB42" i="21" s="1"/>
  <c r="AC42" i="21" s="1"/>
  <c r="AW42" i="21"/>
  <c r="AX42" i="21" s="1"/>
  <c r="Y42" i="21"/>
  <c r="Z42" i="21" s="1"/>
  <c r="AS42" i="21"/>
  <c r="AT42" i="21" s="1"/>
  <c r="Y11" i="21"/>
  <c r="Z11" i="21" s="1"/>
  <c r="AD11" i="21"/>
  <c r="AE11" i="21" s="1"/>
  <c r="AF11" i="21" s="1"/>
  <c r="AN31" i="21"/>
  <c r="AA31" i="21"/>
  <c r="AB31" i="21" s="1"/>
  <c r="AC31" i="21" s="1"/>
  <c r="Y15" i="21"/>
  <c r="Z15" i="21" s="1"/>
  <c r="AD15" i="21"/>
  <c r="AE15" i="21" s="1"/>
  <c r="AF15" i="21" s="1"/>
  <c r="AW15" i="21"/>
  <c r="AX15" i="21" s="1"/>
  <c r="AN15" i="21"/>
  <c r="AO15" i="21" s="1"/>
  <c r="BS15" i="21" s="1"/>
  <c r="AA15" i="21"/>
  <c r="AB15" i="21" s="1"/>
  <c r="AC15" i="21" s="1"/>
  <c r="AS15" i="21"/>
  <c r="AT15" i="21" s="1"/>
  <c r="AM26" i="21"/>
  <c r="AO26" i="21" s="1"/>
  <c r="BC26" i="21"/>
  <c r="BV26" i="21" s="1"/>
  <c r="AD62" i="21"/>
  <c r="AE62" i="21" s="1"/>
  <c r="AF62" i="21" s="1"/>
  <c r="AA62" i="21"/>
  <c r="AB62" i="21" s="1"/>
  <c r="AC62" i="21" s="1"/>
  <c r="AW62" i="21"/>
  <c r="AX62" i="21" s="1"/>
  <c r="Y62" i="21"/>
  <c r="Z62" i="21" s="1"/>
  <c r="AN62" i="21"/>
  <c r="AO62" i="21" s="1"/>
  <c r="BS62" i="21" s="1"/>
  <c r="AS62" i="21"/>
  <c r="AT62" i="21" s="1"/>
  <c r="AO87" i="21"/>
  <c r="BS87" i="21" s="1"/>
  <c r="AU57" i="21"/>
  <c r="AV57" i="21" s="1"/>
  <c r="X57" i="21"/>
  <c r="AG57" i="21"/>
  <c r="AH57" i="21" s="1"/>
  <c r="AP57" i="21"/>
  <c r="AQ57" i="21" s="1"/>
  <c r="AL57" i="21"/>
  <c r="AM76" i="21"/>
  <c r="AO76" i="21" s="1"/>
  <c r="BC76" i="21"/>
  <c r="BV76" i="21" s="1"/>
  <c r="AM31" i="21"/>
  <c r="BC31" i="21"/>
  <c r="BV31" i="21" s="1"/>
  <c r="X104" i="21"/>
  <c r="AU104" i="21"/>
  <c r="AV104" i="21" s="1"/>
  <c r="AP104" i="21"/>
  <c r="AQ104" i="21" s="1"/>
  <c r="AL104" i="21"/>
  <c r="AG104" i="21"/>
  <c r="AH104" i="21" s="1"/>
  <c r="Z23" i="21"/>
  <c r="AA50" i="21"/>
  <c r="AB50" i="21" s="1"/>
  <c r="AC50" i="21" s="1"/>
  <c r="AS50" i="21"/>
  <c r="AT50" i="21" s="1"/>
  <c r="Y50" i="21"/>
  <c r="Z50" i="21" s="1"/>
  <c r="AD50" i="21"/>
  <c r="AE50" i="21" s="1"/>
  <c r="AF50" i="21" s="1"/>
  <c r="AN50" i="21"/>
  <c r="AW50" i="21"/>
  <c r="AX50" i="21" s="1"/>
  <c r="Z82" i="21"/>
  <c r="BC84" i="21"/>
  <c r="BV84" i="21" s="1"/>
  <c r="Z105" i="21"/>
  <c r="AT73" i="21"/>
  <c r="BL73" i="21" s="1"/>
  <c r="AX10" i="21"/>
  <c r="BU10" i="21" s="1"/>
  <c r="AX23" i="21"/>
  <c r="BU23" i="21" s="1"/>
  <c r="AO105" i="21"/>
  <c r="BS105" i="21" s="1"/>
  <c r="Z37" i="21"/>
  <c r="BC11" i="21"/>
  <c r="BV11" i="21" s="1"/>
  <c r="BU81" i="21"/>
  <c r="BM81" i="21"/>
  <c r="AD51" i="21"/>
  <c r="AE51" i="21" s="1"/>
  <c r="AF51" i="21" s="1"/>
  <c r="AM94" i="21"/>
  <c r="AO94" i="21" s="1"/>
  <c r="BC94" i="21"/>
  <c r="BV94" i="21" s="1"/>
  <c r="AY78" i="21"/>
  <c r="X78" i="21"/>
  <c r="Z78" i="21" s="1"/>
  <c r="AG78" i="21"/>
  <c r="AH78" i="21" s="1"/>
  <c r="AK78" i="21" s="1"/>
  <c r="BR78" i="21" s="1"/>
  <c r="AU78" i="21"/>
  <c r="AV78" i="21" s="1"/>
  <c r="AX78" i="21" s="1"/>
  <c r="AP78" i="21"/>
  <c r="AQ78" i="21" s="1"/>
  <c r="AT78" i="21" s="1"/>
  <c r="AL78" i="21"/>
  <c r="AS51" i="21"/>
  <c r="AT51" i="21" s="1"/>
  <c r="AY55" i="21"/>
  <c r="AP55" i="21"/>
  <c r="AQ55" i="21" s="1"/>
  <c r="Z48" i="20"/>
  <c r="AK35" i="21"/>
  <c r="BR35" i="21" s="1"/>
  <c r="AN51" i="21"/>
  <c r="AK30" i="21"/>
  <c r="BR30" i="21" s="1"/>
  <c r="AM14" i="21"/>
  <c r="AO14" i="21" s="1"/>
  <c r="BS14" i="21" s="1"/>
  <c r="AM50" i="21"/>
  <c r="BC50" i="21"/>
  <c r="BV50" i="21" s="1"/>
  <c r="AM25" i="21"/>
  <c r="AO25" i="21" s="1"/>
  <c r="BS25" i="21" s="1"/>
  <c r="BC25" i="21"/>
  <c r="BV25" i="21" s="1"/>
  <c r="BC88" i="21"/>
  <c r="BV88" i="21" s="1"/>
  <c r="AM88" i="21"/>
  <c r="Y51" i="21"/>
  <c r="Z51" i="21" s="1"/>
  <c r="AM109" i="21"/>
  <c r="AO109" i="21" s="1"/>
  <c r="BS109" i="21" s="1"/>
  <c r="AG55" i="21"/>
  <c r="AH55" i="21" s="1"/>
  <c r="AK55" i="21" s="1"/>
  <c r="BR55" i="21" s="1"/>
  <c r="AM35" i="21"/>
  <c r="BC35" i="21"/>
  <c r="BV35" i="21" s="1"/>
  <c r="AY95" i="21"/>
  <c r="AG95" i="21"/>
  <c r="AH95" i="21" s="1"/>
  <c r="AK95" i="21" s="1"/>
  <c r="BR95" i="21" s="1"/>
  <c r="AL95" i="21"/>
  <c r="X95" i="21"/>
  <c r="Z95" i="21" s="1"/>
  <c r="AP95" i="21"/>
  <c r="AQ95" i="21" s="1"/>
  <c r="AT95" i="21" s="1"/>
  <c r="AU95" i="21"/>
  <c r="AV95" i="21" s="1"/>
  <c r="AX95" i="21" s="1"/>
  <c r="AM51" i="21"/>
  <c r="BC51" i="21"/>
  <c r="BV51" i="21" s="1"/>
  <c r="Z101" i="21"/>
  <c r="AW91" i="21"/>
  <c r="AX91" i="21" s="1"/>
  <c r="X55" i="21"/>
  <c r="AK38" i="21"/>
  <c r="BR38" i="21" s="1"/>
  <c r="AY109" i="21"/>
  <c r="AU109" i="21"/>
  <c r="AV109" i="21" s="1"/>
  <c r="AX109" i="21" s="1"/>
  <c r="AP109" i="21"/>
  <c r="AQ109" i="21" s="1"/>
  <c r="AT109" i="21" s="1"/>
  <c r="X109" i="21"/>
  <c r="Z109" i="21" s="1"/>
  <c r="AK51" i="21"/>
  <c r="BR51" i="21" s="1"/>
  <c r="AX45" i="20"/>
  <c r="AL55" i="21"/>
  <c r="AM55" i="21" s="1"/>
  <c r="Z91" i="21"/>
  <c r="AY82" i="21"/>
  <c r="AP82" i="21"/>
  <c r="BP94" i="21"/>
  <c r="BU80" i="21"/>
  <c r="BM80" i="21"/>
  <c r="AQ105" i="21"/>
  <c r="AT105" i="21" s="1"/>
  <c r="BC105" i="21"/>
  <c r="BV105" i="21" s="1"/>
  <c r="AQ80" i="21"/>
  <c r="AT80" i="21" s="1"/>
  <c r="BL80" i="21" s="1"/>
  <c r="BC80" i="21"/>
  <c r="BV80" i="21" s="1"/>
  <c r="AQ96" i="21"/>
  <c r="BC96" i="21"/>
  <c r="BV96" i="21" s="1"/>
  <c r="AQ39" i="21"/>
  <c r="BC39" i="21"/>
  <c r="BV39" i="21" s="1"/>
  <c r="Z60" i="20"/>
  <c r="AX48" i="21"/>
  <c r="AQ20" i="21"/>
  <c r="BC20" i="21"/>
  <c r="BV20" i="21" s="1"/>
  <c r="AQ92" i="21"/>
  <c r="AT92" i="21" s="1"/>
  <c r="BL92" i="21" s="1"/>
  <c r="BC92" i="21"/>
  <c r="BV92" i="21" s="1"/>
  <c r="Z73" i="21"/>
  <c r="AX82" i="21"/>
  <c r="AX86" i="21"/>
  <c r="BT37" i="21"/>
  <c r="AQ21" i="21"/>
  <c r="AT21" i="21" s="1"/>
  <c r="BL21" i="21" s="1"/>
  <c r="BC21" i="21"/>
  <c r="BV21" i="21" s="1"/>
  <c r="AT101" i="21"/>
  <c r="BL101" i="21" s="1"/>
  <c r="BU97" i="21"/>
  <c r="BM97" i="21"/>
  <c r="BT27" i="21"/>
  <c r="BU43" i="21"/>
  <c r="AP46" i="21"/>
  <c r="AQ46" i="21" s="1"/>
  <c r="AT46" i="21" s="1"/>
  <c r="X46" i="21"/>
  <c r="Z46" i="21" s="1"/>
  <c r="AG46" i="21"/>
  <c r="AH46" i="21" s="1"/>
  <c r="AK46" i="21" s="1"/>
  <c r="BR46" i="21" s="1"/>
  <c r="AL46" i="21"/>
  <c r="AU46" i="21"/>
  <c r="AV46" i="21" s="1"/>
  <c r="AX46" i="21" s="1"/>
  <c r="Y55" i="21"/>
  <c r="AA55" i="21"/>
  <c r="AB55" i="21" s="1"/>
  <c r="AC55" i="21" s="1"/>
  <c r="AS55" i="21"/>
  <c r="AN55" i="21"/>
  <c r="AW55" i="21"/>
  <c r="AX55" i="21" s="1"/>
  <c r="AD55" i="21"/>
  <c r="AE55" i="21" s="1"/>
  <c r="AF55" i="21" s="1"/>
  <c r="AM73" i="21"/>
  <c r="AO73" i="21" s="1"/>
  <c r="BC73" i="21"/>
  <c r="BV73" i="21" s="1"/>
  <c r="BC99" i="21"/>
  <c r="BV99" i="21" s="1"/>
  <c r="AM99" i="21"/>
  <c r="AK66" i="21"/>
  <c r="BR66" i="21" s="1"/>
  <c r="AP32" i="21"/>
  <c r="AQ32" i="21" s="1"/>
  <c r="AL32" i="21"/>
  <c r="AU32" i="21"/>
  <c r="AV32" i="21" s="1"/>
  <c r="X32" i="21"/>
  <c r="AG32" i="21"/>
  <c r="AH32" i="21" s="1"/>
  <c r="AK32" i="21" s="1"/>
  <c r="BR32" i="21" s="1"/>
  <c r="AN72" i="21"/>
  <c r="AS72" i="21"/>
  <c r="AD72" i="21"/>
  <c r="AE72" i="21" s="1"/>
  <c r="AF72" i="21" s="1"/>
  <c r="Y72" i="21"/>
  <c r="AW72" i="21"/>
  <c r="AA72" i="21"/>
  <c r="AB72" i="21" s="1"/>
  <c r="AC72" i="21" s="1"/>
  <c r="AP29" i="21"/>
  <c r="AQ29" i="21" s="1"/>
  <c r="AT29" i="21" s="1"/>
  <c r="AL29" i="21"/>
  <c r="AG29" i="21"/>
  <c r="AH29" i="21" s="1"/>
  <c r="AK29" i="21" s="1"/>
  <c r="BR29" i="21" s="1"/>
  <c r="AU29" i="21"/>
  <c r="AV29" i="21" s="1"/>
  <c r="AX29" i="21" s="1"/>
  <c r="X29" i="21"/>
  <c r="Z29" i="21" s="1"/>
  <c r="AD30" i="21"/>
  <c r="AE30" i="21" s="1"/>
  <c r="AF30" i="21" s="1"/>
  <c r="Y30" i="21"/>
  <c r="Z30" i="21" s="1"/>
  <c r="AN30" i="21"/>
  <c r="AS30" i="21"/>
  <c r="AT30" i="21" s="1"/>
  <c r="AA30" i="21"/>
  <c r="AB30" i="21" s="1"/>
  <c r="AC30" i="21" s="1"/>
  <c r="AW30" i="21"/>
  <c r="AX30" i="21" s="1"/>
  <c r="AM38" i="21"/>
  <c r="AO38" i="21" s="1"/>
  <c r="BS38" i="21" s="1"/>
  <c r="BC38" i="21"/>
  <c r="BV38" i="21" s="1"/>
  <c r="AU67" i="21"/>
  <c r="AV67" i="21" s="1"/>
  <c r="AX67" i="21" s="1"/>
  <c r="AP67" i="21"/>
  <c r="AQ67" i="21" s="1"/>
  <c r="AT67" i="21" s="1"/>
  <c r="AG67" i="21"/>
  <c r="AH67" i="21" s="1"/>
  <c r="AK67" i="21" s="1"/>
  <c r="BR67" i="21" s="1"/>
  <c r="X67" i="21"/>
  <c r="Z67" i="21" s="1"/>
  <c r="AL67" i="21"/>
  <c r="AS66" i="21"/>
  <c r="AT66" i="21" s="1"/>
  <c r="Y66" i="21"/>
  <c r="Z66" i="21" s="1"/>
  <c r="AN66" i="21"/>
  <c r="AW66" i="21"/>
  <c r="AX66" i="21" s="1"/>
  <c r="AD66" i="21"/>
  <c r="AE66" i="21" s="1"/>
  <c r="AF66" i="21" s="1"/>
  <c r="AA66" i="21"/>
  <c r="AB66" i="21" s="1"/>
  <c r="AC66" i="21" s="1"/>
  <c r="AS99" i="21"/>
  <c r="AT99" i="21" s="1"/>
  <c r="BL99" i="21" s="1"/>
  <c r="Y99" i="21"/>
  <c r="Z99" i="21" s="1"/>
  <c r="AN99" i="21"/>
  <c r="AW99" i="21"/>
  <c r="AX99" i="21" s="1"/>
  <c r="AD99" i="21"/>
  <c r="AE99" i="21" s="1"/>
  <c r="AF99" i="21" s="1"/>
  <c r="AA99" i="21"/>
  <c r="AB99" i="21" s="1"/>
  <c r="AC99" i="21" s="1"/>
  <c r="AL85" i="21"/>
  <c r="AP85" i="21"/>
  <c r="AQ85" i="21" s="1"/>
  <c r="AU85" i="21"/>
  <c r="AV85" i="21" s="1"/>
  <c r="X85" i="21"/>
  <c r="AG85" i="21"/>
  <c r="AH85" i="21" s="1"/>
  <c r="AK85" i="21" s="1"/>
  <c r="BR85" i="21" s="1"/>
  <c r="Z48" i="21"/>
  <c r="AS102" i="21"/>
  <c r="AT102" i="21" s="1"/>
  <c r="AW102" i="21"/>
  <c r="AX102" i="21" s="1"/>
  <c r="AA102" i="21"/>
  <c r="AB102" i="21" s="1"/>
  <c r="AC102" i="21" s="1"/>
  <c r="AN102" i="21"/>
  <c r="AD102" i="21"/>
  <c r="AE102" i="21" s="1"/>
  <c r="AF102" i="21" s="1"/>
  <c r="Y102" i="21"/>
  <c r="Z102" i="21" s="1"/>
  <c r="Z70" i="21"/>
  <c r="AS35" i="21"/>
  <c r="AT35" i="21" s="1"/>
  <c r="AW35" i="21"/>
  <c r="AX35" i="21" s="1"/>
  <c r="AD35" i="21"/>
  <c r="AE35" i="21" s="1"/>
  <c r="AF35" i="21" s="1"/>
  <c r="AN35" i="21"/>
  <c r="Y35" i="21"/>
  <c r="Z35" i="21" s="1"/>
  <c r="AA35" i="21"/>
  <c r="AB35" i="21" s="1"/>
  <c r="AC35" i="21" s="1"/>
  <c r="AU18" i="21"/>
  <c r="AV18" i="21" s="1"/>
  <c r="AP18" i="21"/>
  <c r="AQ18" i="21" s="1"/>
  <c r="X18" i="21"/>
  <c r="AL18" i="21"/>
  <c r="AG18" i="21"/>
  <c r="AH18" i="21" s="1"/>
  <c r="AG74" i="21"/>
  <c r="AH74" i="21" s="1"/>
  <c r="AK74" i="21" s="1"/>
  <c r="BR74" i="21" s="1"/>
  <c r="AP74" i="21"/>
  <c r="AQ74" i="21" s="1"/>
  <c r="AT74" i="21" s="1"/>
  <c r="AL74" i="21"/>
  <c r="X74" i="21"/>
  <c r="Z74" i="21" s="1"/>
  <c r="AU74" i="21"/>
  <c r="AV74" i="21" s="1"/>
  <c r="AX74" i="21" s="1"/>
  <c r="AM86" i="21"/>
  <c r="AO86" i="21" s="1"/>
  <c r="BS86" i="21" s="1"/>
  <c r="BC86" i="21"/>
  <c r="BV86" i="21" s="1"/>
  <c r="BC30" i="21"/>
  <c r="BV30" i="21" s="1"/>
  <c r="AM30" i="21"/>
  <c r="AK84" i="21"/>
  <c r="BR84" i="21" s="1"/>
  <c r="AD54" i="21"/>
  <c r="AE54" i="21" s="1"/>
  <c r="AF54" i="21" s="1"/>
  <c r="AW54" i="21"/>
  <c r="AX54" i="21" s="1"/>
  <c r="Y54" i="21"/>
  <c r="Z54" i="21" s="1"/>
  <c r="AS54" i="21"/>
  <c r="AT54" i="21" s="1"/>
  <c r="BL54" i="21" s="1"/>
  <c r="AN54" i="21"/>
  <c r="AO54" i="21" s="1"/>
  <c r="AA54" i="21"/>
  <c r="AB54" i="21" s="1"/>
  <c r="AC54" i="21" s="1"/>
  <c r="AL72" i="21"/>
  <c r="AP72" i="21"/>
  <c r="AQ72" i="21" s="1"/>
  <c r="AG72" i="21"/>
  <c r="AH72" i="21" s="1"/>
  <c r="AK72" i="21" s="1"/>
  <c r="BR72" i="21" s="1"/>
  <c r="X72" i="21"/>
  <c r="AU72" i="21"/>
  <c r="AV72" i="21" s="1"/>
  <c r="X44" i="21"/>
  <c r="AP44" i="21"/>
  <c r="AQ44" i="21" s="1"/>
  <c r="AU44" i="21"/>
  <c r="AV44" i="21" s="1"/>
  <c r="AG44" i="21"/>
  <c r="AH44" i="21" s="1"/>
  <c r="AK44" i="21" s="1"/>
  <c r="BR44" i="21" s="1"/>
  <c r="AL44" i="21"/>
  <c r="BC70" i="21"/>
  <c r="BV70" i="21" s="1"/>
  <c r="AM70" i="21"/>
  <c r="AO70" i="21" s="1"/>
  <c r="BS70" i="21" s="1"/>
  <c r="AL59" i="21"/>
  <c r="AG59" i="21"/>
  <c r="AH59" i="21" s="1"/>
  <c r="AK59" i="21" s="1"/>
  <c r="BR59" i="21" s="1"/>
  <c r="X59" i="21"/>
  <c r="Z59" i="21" s="1"/>
  <c r="AP59" i="21"/>
  <c r="AQ59" i="21" s="1"/>
  <c r="AT59" i="21" s="1"/>
  <c r="AU59" i="21"/>
  <c r="AV59" i="21" s="1"/>
  <c r="AX59" i="21" s="1"/>
  <c r="Z38" i="21"/>
  <c r="BC102" i="21"/>
  <c r="BV102" i="21" s="1"/>
  <c r="AM102" i="21"/>
  <c r="X17" i="21"/>
  <c r="AG17" i="21"/>
  <c r="AH17" i="21" s="1"/>
  <c r="AK17" i="21" s="1"/>
  <c r="BR17" i="21" s="1"/>
  <c r="AU17" i="21"/>
  <c r="AV17" i="21" s="1"/>
  <c r="AP17" i="21"/>
  <c r="AQ17" i="21" s="1"/>
  <c r="AL17" i="21"/>
  <c r="AQ79" i="21"/>
  <c r="AT79" i="21" s="1"/>
  <c r="BL79" i="21" s="1"/>
  <c r="BC79" i="21"/>
  <c r="BV79" i="21" s="1"/>
  <c r="Y85" i="21"/>
  <c r="AS85" i="21"/>
  <c r="AD85" i="21"/>
  <c r="AE85" i="21" s="1"/>
  <c r="AF85" i="21" s="1"/>
  <c r="AN85" i="21"/>
  <c r="AW85" i="21"/>
  <c r="AA85" i="21"/>
  <c r="AB85" i="21" s="1"/>
  <c r="AC85" i="21" s="1"/>
  <c r="AX70" i="21"/>
  <c r="AT38" i="21"/>
  <c r="AK102" i="21"/>
  <c r="BR102" i="21" s="1"/>
  <c r="BC69" i="21"/>
  <c r="BV69" i="21" s="1"/>
  <c r="AM69" i="21"/>
  <c r="AO69" i="21" s="1"/>
  <c r="BS69" i="21" s="1"/>
  <c r="AM66" i="21"/>
  <c r="BC66" i="21"/>
  <c r="BV66" i="21" s="1"/>
  <c r="AD32" i="21"/>
  <c r="AE32" i="21" s="1"/>
  <c r="AF32" i="21" s="1"/>
  <c r="AS32" i="21"/>
  <c r="AN32" i="21"/>
  <c r="AW32" i="21"/>
  <c r="AA32" i="21"/>
  <c r="AB32" i="21" s="1"/>
  <c r="AC32" i="21" s="1"/>
  <c r="Y32" i="21"/>
  <c r="AT48" i="21"/>
  <c r="BL48" i="21" s="1"/>
  <c r="AD64" i="21"/>
  <c r="AE64" i="21" s="1"/>
  <c r="AF64" i="21" s="1"/>
  <c r="AS64" i="21"/>
  <c r="Y64" i="21"/>
  <c r="AA64" i="21"/>
  <c r="AB64" i="21" s="1"/>
  <c r="AC64" i="21" s="1"/>
  <c r="AW64" i="21"/>
  <c r="AN64" i="21"/>
  <c r="AM90" i="21"/>
  <c r="AO90" i="21" s="1"/>
  <c r="BS90" i="21" s="1"/>
  <c r="AP53" i="21"/>
  <c r="AQ53" i="21" s="1"/>
  <c r="AG53" i="21"/>
  <c r="AH53" i="21" s="1"/>
  <c r="AU53" i="21"/>
  <c r="AV53" i="21" s="1"/>
  <c r="X53" i="21"/>
  <c r="AL53" i="21"/>
  <c r="AX101" i="21"/>
  <c r="AN58" i="21"/>
  <c r="AD58" i="21"/>
  <c r="AE58" i="21" s="1"/>
  <c r="AF58" i="21" s="1"/>
  <c r="Y58" i="21"/>
  <c r="AS58" i="21"/>
  <c r="AW58" i="21"/>
  <c r="AA58" i="21"/>
  <c r="AB58" i="21" s="1"/>
  <c r="AC58" i="21" s="1"/>
  <c r="AM48" i="21"/>
  <c r="AO48" i="21" s="1"/>
  <c r="BS48" i="21" s="1"/>
  <c r="BC48" i="21"/>
  <c r="BV48" i="21" s="1"/>
  <c r="AW44" i="21"/>
  <c r="AS44" i="21"/>
  <c r="Y44" i="21"/>
  <c r="AD44" i="21"/>
  <c r="AE44" i="21" s="1"/>
  <c r="AF44" i="21" s="1"/>
  <c r="AN44" i="21"/>
  <c r="AA44" i="21"/>
  <c r="AB44" i="21" s="1"/>
  <c r="AC44" i="21" s="1"/>
  <c r="AS16" i="21"/>
  <c r="AD16" i="21"/>
  <c r="AE16" i="21" s="1"/>
  <c r="AF16" i="21" s="1"/>
  <c r="AW16" i="21"/>
  <c r="AX16" i="21" s="1"/>
  <c r="AA16" i="21"/>
  <c r="AB16" i="21" s="1"/>
  <c r="AC16" i="21" s="1"/>
  <c r="AN16" i="21"/>
  <c r="Y16" i="21"/>
  <c r="BC9" i="21"/>
  <c r="BV9" i="21" s="1"/>
  <c r="AN93" i="21"/>
  <c r="Y93" i="21"/>
  <c r="AD93" i="21"/>
  <c r="AE93" i="21" s="1"/>
  <c r="AF93" i="21" s="1"/>
  <c r="AA93" i="21"/>
  <c r="AB93" i="21" s="1"/>
  <c r="AC93" i="21" s="1"/>
  <c r="AW93" i="21"/>
  <c r="AS93" i="21"/>
  <c r="AM101" i="21"/>
  <c r="AO101" i="21" s="1"/>
  <c r="BC101" i="21"/>
  <c r="BV101" i="21" s="1"/>
  <c r="AN22" i="21"/>
  <c r="AO22" i="21" s="1"/>
  <c r="BS22" i="21" s="1"/>
  <c r="AW22" i="21"/>
  <c r="AX22" i="21" s="1"/>
  <c r="Y22" i="21"/>
  <c r="Z22" i="21" s="1"/>
  <c r="AD22" i="21"/>
  <c r="AE22" i="21" s="1"/>
  <c r="AF22" i="21" s="1"/>
  <c r="AS22" i="21"/>
  <c r="AT22" i="21" s="1"/>
  <c r="AA22" i="21"/>
  <c r="AB22" i="21" s="1"/>
  <c r="AC22" i="21" s="1"/>
  <c r="AT86" i="21"/>
  <c r="BL86" i="21" s="1"/>
  <c r="AM83" i="21"/>
  <c r="AO83" i="21" s="1"/>
  <c r="BS83" i="21" s="1"/>
  <c r="BC83" i="21"/>
  <c r="BV83" i="21" s="1"/>
  <c r="AM10" i="21"/>
  <c r="AO10" i="21" s="1"/>
  <c r="BS10" i="21" s="1"/>
  <c r="BC10" i="21"/>
  <c r="BV10" i="21" s="1"/>
  <c r="AM68" i="21"/>
  <c r="AO68" i="21" s="1"/>
  <c r="BS68" i="21" s="1"/>
  <c r="BC68" i="21"/>
  <c r="BV68" i="21" s="1"/>
  <c r="AA84" i="21"/>
  <c r="AB84" i="21" s="1"/>
  <c r="AC84" i="21" s="1"/>
  <c r="AW84" i="21"/>
  <c r="AX84" i="21" s="1"/>
  <c r="Y84" i="21"/>
  <c r="Z84" i="21" s="1"/>
  <c r="AD84" i="21"/>
  <c r="AE84" i="21" s="1"/>
  <c r="AF84" i="21" s="1"/>
  <c r="AN84" i="21"/>
  <c r="AO84" i="21" s="1"/>
  <c r="BS84" i="21" s="1"/>
  <c r="AS84" i="21"/>
  <c r="AT84" i="21" s="1"/>
  <c r="AP61" i="21"/>
  <c r="AQ61" i="21" s="1"/>
  <c r="AG61" i="21"/>
  <c r="AH61" i="21" s="1"/>
  <c r="AL61" i="21"/>
  <c r="X61" i="21"/>
  <c r="AU61" i="21"/>
  <c r="AV61" i="21" s="1"/>
  <c r="Y17" i="21"/>
  <c r="AW17" i="21"/>
  <c r="AD17" i="21"/>
  <c r="AE17" i="21" s="1"/>
  <c r="AF17" i="21" s="1"/>
  <c r="AN17" i="21"/>
  <c r="AS17" i="21"/>
  <c r="AA17" i="21"/>
  <c r="AB17" i="21" s="1"/>
  <c r="AC17" i="21" s="1"/>
  <c r="AD28" i="21"/>
  <c r="AE28" i="21" s="1"/>
  <c r="AF28" i="21" s="1"/>
  <c r="AN28" i="21"/>
  <c r="AO28" i="21" s="1"/>
  <c r="BS28" i="21" s="1"/>
  <c r="Y28" i="21"/>
  <c r="Z28" i="21" s="1"/>
  <c r="AS28" i="21"/>
  <c r="AT28" i="21" s="1"/>
  <c r="BL28" i="21" s="1"/>
  <c r="AW28" i="21"/>
  <c r="AX28" i="21" s="1"/>
  <c r="AA28" i="21"/>
  <c r="AB28" i="21" s="1"/>
  <c r="AC28" i="21" s="1"/>
  <c r="Z86" i="21"/>
  <c r="AX38" i="21"/>
  <c r="AK22" i="21"/>
  <c r="BR22" i="21" s="1"/>
  <c r="AT45" i="20"/>
  <c r="AO95" i="20"/>
  <c r="AO54" i="20"/>
  <c r="BS54" i="20" s="1"/>
  <c r="AO84" i="20"/>
  <c r="BS84" i="20" s="1"/>
  <c r="Z84" i="20"/>
  <c r="AT32" i="20"/>
  <c r="BQ32" i="20" s="1"/>
  <c r="AK84" i="20"/>
  <c r="BR84" i="20" s="1"/>
  <c r="Z73" i="20"/>
  <c r="AX73" i="20"/>
  <c r="BU73" i="20" s="1"/>
  <c r="AK73" i="20"/>
  <c r="BR73" i="20" s="1"/>
  <c r="Z54" i="20"/>
  <c r="AX44" i="20"/>
  <c r="AT44" i="20"/>
  <c r="BL44" i="20" s="1"/>
  <c r="BM132" i="20"/>
  <c r="BT13" i="20"/>
  <c r="AK90" i="20"/>
  <c r="BR90" i="20" s="1"/>
  <c r="Z92" i="20"/>
  <c r="BU43" i="20"/>
  <c r="BM180" i="20"/>
  <c r="BM201" i="20"/>
  <c r="BM47" i="20"/>
  <c r="AK92" i="20"/>
  <c r="BR92" i="20" s="1"/>
  <c r="BT53" i="20"/>
  <c r="BU29" i="20"/>
  <c r="Z93" i="20"/>
  <c r="BM128" i="20"/>
  <c r="BC147" i="20"/>
  <c r="BV147" i="20" s="1"/>
  <c r="AO90" i="20"/>
  <c r="BS90" i="20" s="1"/>
  <c r="Z97" i="20"/>
  <c r="BC204" i="20"/>
  <c r="BV204" i="20" s="1"/>
  <c r="AO182" i="20"/>
  <c r="BS182" i="20" s="1"/>
  <c r="BK132" i="20"/>
  <c r="BO132" i="20" s="1"/>
  <c r="BM199" i="20"/>
  <c r="AM179" i="20"/>
  <c r="AO179" i="20" s="1"/>
  <c r="BS179" i="20" s="1"/>
  <c r="AK93" i="20"/>
  <c r="BR93" i="20" s="1"/>
  <c r="BM198" i="20"/>
  <c r="BM157" i="20"/>
  <c r="BM147" i="20"/>
  <c r="AM98" i="20"/>
  <c r="AO98" i="20" s="1"/>
  <c r="BS98" i="20" s="1"/>
  <c r="Z90" i="20"/>
  <c r="BC143" i="20"/>
  <c r="BV143" i="20" s="1"/>
  <c r="BC116" i="20"/>
  <c r="BV116" i="20" s="1"/>
  <c r="AM94" i="20"/>
  <c r="AO94" i="20" s="1"/>
  <c r="BS94" i="20" s="1"/>
  <c r="AK94" i="20"/>
  <c r="AM130" i="20"/>
  <c r="AO130" i="20" s="1"/>
  <c r="BS130" i="20" s="1"/>
  <c r="Z98" i="20"/>
  <c r="BM59" i="20"/>
  <c r="BU55" i="20"/>
  <c r="Z11" i="20"/>
  <c r="BC90" i="20"/>
  <c r="BV90" i="20" s="1"/>
  <c r="BC115" i="20"/>
  <c r="BV115" i="20" s="1"/>
  <c r="BU24" i="20"/>
  <c r="Z91" i="20"/>
  <c r="AQ15" i="20"/>
  <c r="AT15" i="20" s="1"/>
  <c r="BC11" i="20"/>
  <c r="BV11" i="20" s="1"/>
  <c r="AK91" i="20"/>
  <c r="BR91" i="20" s="1"/>
  <c r="BM208" i="20"/>
  <c r="BM52" i="20"/>
  <c r="Z94" i="20"/>
  <c r="BM135" i="20"/>
  <c r="BC209" i="20"/>
  <c r="BV209" i="20" s="1"/>
  <c r="Z102" i="20"/>
  <c r="BM197" i="20"/>
  <c r="BM61" i="20"/>
  <c r="AX72" i="20"/>
  <c r="BU72" i="20" s="1"/>
  <c r="AT11" i="20"/>
  <c r="BQ11" i="20" s="1"/>
  <c r="BM209" i="20"/>
  <c r="BM69" i="20"/>
  <c r="BK125" i="20"/>
  <c r="BO125" i="20" s="1"/>
  <c r="AM187" i="20"/>
  <c r="AO187" i="20" s="1"/>
  <c r="BS187" i="20" s="1"/>
  <c r="BC93" i="20"/>
  <c r="BV93" i="20" s="1"/>
  <c r="AM93" i="20"/>
  <c r="AO93" i="20" s="1"/>
  <c r="BS93" i="20" s="1"/>
  <c r="AK102" i="20"/>
  <c r="BM117" i="20"/>
  <c r="BM191" i="20"/>
  <c r="BM88" i="20"/>
  <c r="BM140" i="20"/>
  <c r="BM178" i="20"/>
  <c r="BM207" i="20"/>
  <c r="AK110" i="20"/>
  <c r="BR110" i="20" s="1"/>
  <c r="AM102" i="20"/>
  <c r="AO102" i="20" s="1"/>
  <c r="BS102" i="20" s="1"/>
  <c r="BC102" i="20"/>
  <c r="BV102" i="20" s="1"/>
  <c r="BM63" i="20"/>
  <c r="AK115" i="20"/>
  <c r="BR115" i="20" s="1"/>
  <c r="BC72" i="20"/>
  <c r="BV72" i="20" s="1"/>
  <c r="BC12" i="20"/>
  <c r="BV12" i="20" s="1"/>
  <c r="BM165" i="20"/>
  <c r="BM167" i="20"/>
  <c r="Z15" i="20"/>
  <c r="AX78" i="20"/>
  <c r="BU78" i="20" s="1"/>
  <c r="BT49" i="20"/>
  <c r="Z51" i="20"/>
  <c r="AK177" i="20"/>
  <c r="BR177" i="20" s="1"/>
  <c r="Z144" i="20"/>
  <c r="BC42" i="20"/>
  <c r="BV42" i="20" s="1"/>
  <c r="BC154" i="20"/>
  <c r="BV154" i="20" s="1"/>
  <c r="BM65" i="20"/>
  <c r="BK89" i="20"/>
  <c r="BO89" i="20" s="1"/>
  <c r="Z62" i="20"/>
  <c r="AM72" i="20"/>
  <c r="AO72" i="20" s="1"/>
  <c r="BS72" i="20" s="1"/>
  <c r="AX14" i="20"/>
  <c r="BM14" i="20" s="1"/>
  <c r="AX62" i="20"/>
  <c r="BU62" i="20" s="1"/>
  <c r="BU12" i="20"/>
  <c r="BM204" i="20"/>
  <c r="BK88" i="20"/>
  <c r="BO88" i="20" s="1"/>
  <c r="BC112" i="20"/>
  <c r="BV112" i="20" s="1"/>
  <c r="BT20" i="20"/>
  <c r="BC114" i="20"/>
  <c r="BV114" i="20" s="1"/>
  <c r="BM163" i="20"/>
  <c r="BM169" i="20"/>
  <c r="BT55" i="20"/>
  <c r="BM75" i="20"/>
  <c r="BM57" i="20"/>
  <c r="BM58" i="20"/>
  <c r="Z112" i="20"/>
  <c r="BM71" i="20"/>
  <c r="BM64" i="20"/>
  <c r="BM76" i="20"/>
  <c r="AT62" i="20"/>
  <c r="BC123" i="20"/>
  <c r="BV123" i="20" s="1"/>
  <c r="BK131" i="20"/>
  <c r="BO131" i="20" s="1"/>
  <c r="AO202" i="20"/>
  <c r="BS202" i="20" s="1"/>
  <c r="BT28" i="20"/>
  <c r="AK195" i="20"/>
  <c r="BR195" i="20" s="1"/>
  <c r="BM131" i="20"/>
  <c r="BK180" i="20"/>
  <c r="BO180" i="20" s="1"/>
  <c r="BC84" i="20"/>
  <c r="BV84" i="20" s="1"/>
  <c r="AO112" i="20"/>
  <c r="BS112" i="20" s="1"/>
  <c r="AO108" i="20"/>
  <c r="BS108" i="20" s="1"/>
  <c r="BC188" i="20"/>
  <c r="BV188" i="20" s="1"/>
  <c r="BM145" i="20"/>
  <c r="BU54" i="20"/>
  <c r="AK62" i="20"/>
  <c r="BR62" i="20" s="1"/>
  <c r="AK78" i="20"/>
  <c r="BM171" i="20"/>
  <c r="Z78" i="20"/>
  <c r="BM119" i="20"/>
  <c r="BM56" i="20"/>
  <c r="AM194" i="20"/>
  <c r="AO194" i="20" s="1"/>
  <c r="BC194" i="20"/>
  <c r="BV194" i="20" s="1"/>
  <c r="Z177" i="20"/>
  <c r="BM32" i="20"/>
  <c r="BU32" i="20"/>
  <c r="BM105" i="20"/>
  <c r="BM206" i="20"/>
  <c r="BM41" i="20"/>
  <c r="BU41" i="20"/>
  <c r="BM46" i="20"/>
  <c r="BU46" i="20"/>
  <c r="BM37" i="20"/>
  <c r="BU37" i="20"/>
  <c r="BM48" i="20"/>
  <c r="BU48" i="20"/>
  <c r="BM49" i="20"/>
  <c r="BU49" i="20"/>
  <c r="BM42" i="20"/>
  <c r="BU42" i="20"/>
  <c r="BM15" i="20"/>
  <c r="BU15" i="20"/>
  <c r="BM36" i="20"/>
  <c r="BU36" i="20"/>
  <c r="BM11" i="20"/>
  <c r="BU11" i="20"/>
  <c r="BM25" i="20"/>
  <c r="BU25" i="20"/>
  <c r="BM39" i="20"/>
  <c r="BU39" i="20"/>
  <c r="BM35" i="20"/>
  <c r="BU35" i="20"/>
  <c r="BM166" i="20"/>
  <c r="BM18" i="20"/>
  <c r="BU18" i="20"/>
  <c r="BM26" i="20"/>
  <c r="BU26" i="20"/>
  <c r="BM19" i="20"/>
  <c r="BU19" i="20"/>
  <c r="BM53" i="20"/>
  <c r="BU53" i="20"/>
  <c r="AT51" i="20"/>
  <c r="BM85" i="20"/>
  <c r="BM189" i="20"/>
  <c r="BM186" i="20"/>
  <c r="BM67" i="20"/>
  <c r="BM126" i="20"/>
  <c r="AO115" i="20"/>
  <c r="BS115" i="20" s="1"/>
  <c r="BP44" i="20"/>
  <c r="BM203" i="20"/>
  <c r="BM111" i="20"/>
  <c r="BM152" i="20"/>
  <c r="AM144" i="20"/>
  <c r="AO144" i="20" s="1"/>
  <c r="BC144" i="20"/>
  <c r="BV144" i="20" s="1"/>
  <c r="BM172" i="20"/>
  <c r="BM106" i="20"/>
  <c r="BK166" i="20"/>
  <c r="BO166" i="20" s="1"/>
  <c r="AO173" i="20"/>
  <c r="BS173" i="20" s="1"/>
  <c r="AQ54" i="20"/>
  <c r="AT54" i="20" s="1"/>
  <c r="BL54" i="20" s="1"/>
  <c r="BC54" i="20"/>
  <c r="BV54" i="20" s="1"/>
  <c r="AM44" i="20"/>
  <c r="AO44" i="20" s="1"/>
  <c r="BC44" i="20"/>
  <c r="BV44" i="20" s="1"/>
  <c r="AX51" i="20"/>
  <c r="Z30" i="20"/>
  <c r="AX30" i="20"/>
  <c r="BM60" i="20"/>
  <c r="BM66" i="20"/>
  <c r="AX27" i="20"/>
  <c r="BT194" i="20"/>
  <c r="BT29" i="20"/>
  <c r="BM103" i="20"/>
  <c r="BT46" i="20"/>
  <c r="BT34" i="20"/>
  <c r="BT12" i="20"/>
  <c r="BT48" i="20"/>
  <c r="AK96" i="20"/>
  <c r="Z149" i="20"/>
  <c r="AT30" i="20"/>
  <c r="BL30" i="20" s="1"/>
  <c r="BM79" i="20"/>
  <c r="Z96" i="20"/>
  <c r="Z81" i="20"/>
  <c r="BP185" i="20"/>
  <c r="BP138" i="20"/>
  <c r="Z120" i="20"/>
  <c r="AQ19" i="20"/>
  <c r="AT19" i="20" s="1"/>
  <c r="BQ19" i="20" s="1"/>
  <c r="BC19" i="20"/>
  <c r="BV19" i="20" s="1"/>
  <c r="BC97" i="20"/>
  <c r="BV97" i="20" s="1"/>
  <c r="AM97" i="20"/>
  <c r="AO97" i="20" s="1"/>
  <c r="BS97" i="20" s="1"/>
  <c r="AM91" i="20"/>
  <c r="AO91" i="20" s="1"/>
  <c r="BS91" i="20" s="1"/>
  <c r="BC91" i="20"/>
  <c r="BV91" i="20" s="1"/>
  <c r="BC107" i="20"/>
  <c r="BV107" i="20" s="1"/>
  <c r="AM107" i="20"/>
  <c r="AO107" i="20" s="1"/>
  <c r="BS107" i="20" s="1"/>
  <c r="AM185" i="20"/>
  <c r="AO185" i="20" s="1"/>
  <c r="BS185" i="20" s="1"/>
  <c r="BC185" i="20"/>
  <c r="BV185" i="20" s="1"/>
  <c r="AM153" i="20"/>
  <c r="AO153" i="20" s="1"/>
  <c r="BS153" i="20" s="1"/>
  <c r="BC153" i="20"/>
  <c r="BV153" i="20" s="1"/>
  <c r="AM121" i="20"/>
  <c r="AO121" i="20" s="1"/>
  <c r="BS121" i="20" s="1"/>
  <c r="BC121" i="20"/>
  <c r="BV121" i="20" s="1"/>
  <c r="BC138" i="20"/>
  <c r="BV138" i="20" s="1"/>
  <c r="AM138" i="20"/>
  <c r="AO138" i="20" s="1"/>
  <c r="BS138" i="20" s="1"/>
  <c r="AQ25" i="20"/>
  <c r="AT25" i="20" s="1"/>
  <c r="BQ25" i="20" s="1"/>
  <c r="BC25" i="20"/>
  <c r="BV25" i="20" s="1"/>
  <c r="BM192" i="20"/>
  <c r="AM136" i="20"/>
  <c r="AO136" i="20" s="1"/>
  <c r="BS136" i="20" s="1"/>
  <c r="BC136" i="20"/>
  <c r="BV136" i="20" s="1"/>
  <c r="AM45" i="20"/>
  <c r="AO45" i="20" s="1"/>
  <c r="BS45" i="20" s="1"/>
  <c r="BC45" i="20"/>
  <c r="BV45" i="20" s="1"/>
  <c r="BM161" i="20"/>
  <c r="BC78" i="20"/>
  <c r="BV78" i="20" s="1"/>
  <c r="AM78" i="20"/>
  <c r="AO78" i="20" s="1"/>
  <c r="BS78" i="20" s="1"/>
  <c r="AQ37" i="20"/>
  <c r="AT37" i="20" s="1"/>
  <c r="BQ37" i="20" s="1"/>
  <c r="BC37" i="20"/>
  <c r="BV37" i="20" s="1"/>
  <c r="BP202" i="20"/>
  <c r="BM70" i="20"/>
  <c r="AQ26" i="20"/>
  <c r="AT26" i="20" s="1"/>
  <c r="BQ26" i="20" s="1"/>
  <c r="BC26" i="20"/>
  <c r="BV26" i="20" s="1"/>
  <c r="AK120" i="20"/>
  <c r="BP41" i="20"/>
  <c r="AM62" i="20"/>
  <c r="AO62" i="20" s="1"/>
  <c r="BS62" i="20" s="1"/>
  <c r="BC62" i="20"/>
  <c r="BV62" i="20" s="1"/>
  <c r="BM158" i="20"/>
  <c r="BP176" i="20"/>
  <c r="BP36" i="20"/>
  <c r="AM195" i="20"/>
  <c r="AO195" i="20" s="1"/>
  <c r="BS195" i="20" s="1"/>
  <c r="BC195" i="20"/>
  <c r="BV195" i="20" s="1"/>
  <c r="BP164" i="20"/>
  <c r="BM116" i="20"/>
  <c r="AM156" i="20"/>
  <c r="AO156" i="20" s="1"/>
  <c r="BS156" i="20" s="1"/>
  <c r="BC156" i="20"/>
  <c r="BV156" i="20" s="1"/>
  <c r="AK160" i="20"/>
  <c r="AQ41" i="20"/>
  <c r="AT41" i="20" s="1"/>
  <c r="BQ41" i="20" s="1"/>
  <c r="BC41" i="20"/>
  <c r="BV41" i="20" s="1"/>
  <c r="BM184" i="20"/>
  <c r="AX81" i="20"/>
  <c r="BU81" i="20" s="1"/>
  <c r="BM155" i="20"/>
  <c r="AM175" i="20"/>
  <c r="AO175" i="20" s="1"/>
  <c r="BS175" i="20" s="1"/>
  <c r="BC175" i="20"/>
  <c r="BV175" i="20" s="1"/>
  <c r="BM190" i="20"/>
  <c r="BM114" i="20"/>
  <c r="BM188" i="20"/>
  <c r="BM143" i="20"/>
  <c r="BC110" i="20"/>
  <c r="BV110" i="20" s="1"/>
  <c r="AM110" i="20"/>
  <c r="AO110" i="20" s="1"/>
  <c r="BS110" i="20" s="1"/>
  <c r="AM81" i="20"/>
  <c r="AO81" i="20" s="1"/>
  <c r="BS81" i="20" s="1"/>
  <c r="BC81" i="20"/>
  <c r="BV81" i="20" s="1"/>
  <c r="BP143" i="20"/>
  <c r="BP123" i="20"/>
  <c r="BP100" i="20"/>
  <c r="Z160" i="20"/>
  <c r="BP173" i="20"/>
  <c r="BM123" i="20"/>
  <c r="BP108" i="20"/>
  <c r="BP182" i="20"/>
  <c r="BK196" i="20"/>
  <c r="BO196" i="20" s="1"/>
  <c r="BM196" i="20"/>
  <c r="AM100" i="20"/>
  <c r="AO100" i="20" s="1"/>
  <c r="BS100" i="20" s="1"/>
  <c r="BC100" i="20"/>
  <c r="BV100" i="20" s="1"/>
  <c r="AQ27" i="20"/>
  <c r="AT27" i="20" s="1"/>
  <c r="BC27" i="20"/>
  <c r="BV27" i="20" s="1"/>
  <c r="AM96" i="20"/>
  <c r="AO96" i="20" s="1"/>
  <c r="BS96" i="20" s="1"/>
  <c r="BC96" i="20"/>
  <c r="BV96" i="20" s="1"/>
  <c r="BP156" i="20"/>
  <c r="AK149" i="20"/>
  <c r="BM154" i="20"/>
  <c r="AM92" i="20"/>
  <c r="AO92" i="20" s="1"/>
  <c r="BS92" i="20" s="1"/>
  <c r="BC92" i="20"/>
  <c r="BV92" i="20" s="1"/>
  <c r="BP133" i="20"/>
  <c r="AM120" i="20"/>
  <c r="AO120" i="20" s="1"/>
  <c r="BS120" i="20" s="1"/>
  <c r="BC120" i="20"/>
  <c r="BV120" i="20" s="1"/>
  <c r="BM134" i="20"/>
  <c r="AK81" i="20"/>
  <c r="BR81" i="20" s="1"/>
  <c r="AM177" i="20"/>
  <c r="AO177" i="20" s="1"/>
  <c r="BS177" i="20" s="1"/>
  <c r="BC177" i="20"/>
  <c r="BV177" i="20" s="1"/>
  <c r="BM77" i="20"/>
  <c r="BK77" i="20"/>
  <c r="BO77" i="20" s="1"/>
  <c r="AM137" i="20"/>
  <c r="AO137" i="20" s="1"/>
  <c r="BS137" i="20" s="1"/>
  <c r="BC137" i="20"/>
  <c r="BV137" i="20" s="1"/>
  <c r="BM68" i="20"/>
  <c r="AM164" i="20"/>
  <c r="AO164" i="20" s="1"/>
  <c r="BS164" i="20" s="1"/>
  <c r="BC164" i="20"/>
  <c r="BV164" i="20" s="1"/>
  <c r="AM51" i="20"/>
  <c r="AO51" i="20" s="1"/>
  <c r="BS51" i="20" s="1"/>
  <c r="BC51" i="20"/>
  <c r="BV51" i="20" s="1"/>
  <c r="BC18" i="20"/>
  <c r="BV18" i="20" s="1"/>
  <c r="AQ18" i="20"/>
  <c r="AT18" i="20" s="1"/>
  <c r="BQ18" i="20" s="1"/>
  <c r="BP70" i="20"/>
  <c r="BC104" i="20"/>
  <c r="BV104" i="20" s="1"/>
  <c r="AM104" i="20"/>
  <c r="AO104" i="20" s="1"/>
  <c r="BS104" i="20" s="1"/>
  <c r="AM133" i="20"/>
  <c r="AO133" i="20" s="1"/>
  <c r="BS133" i="20" s="1"/>
  <c r="BC133" i="20"/>
  <c r="BV133" i="20" s="1"/>
  <c r="AQ14" i="20"/>
  <c r="AT14" i="20" s="1"/>
  <c r="BC14" i="20"/>
  <c r="BV14" i="20" s="1"/>
  <c r="BM176" i="20"/>
  <c r="AM149" i="20"/>
  <c r="AO149" i="20" s="1"/>
  <c r="BS149" i="20" s="1"/>
  <c r="BC149" i="20"/>
  <c r="BV149" i="20" s="1"/>
  <c r="AM170" i="20"/>
  <c r="AO170" i="20" s="1"/>
  <c r="BS170" i="20" s="1"/>
  <c r="BC170" i="20"/>
  <c r="BV170" i="20" s="1"/>
  <c r="AM160" i="20"/>
  <c r="AO160" i="20" s="1"/>
  <c r="BS160" i="20" s="1"/>
  <c r="BC160" i="20"/>
  <c r="BV160" i="20" s="1"/>
  <c r="AM109" i="20"/>
  <c r="BC109" i="20"/>
  <c r="BV109" i="20" s="1"/>
  <c r="BM141" i="20"/>
  <c r="AM129" i="20"/>
  <c r="AO129" i="20" s="1"/>
  <c r="BS129" i="20" s="1"/>
  <c r="BC129" i="20"/>
  <c r="BV129" i="20" s="1"/>
  <c r="AM73" i="20"/>
  <c r="AO73" i="20" s="1"/>
  <c r="BS73" i="20" s="1"/>
  <c r="BC73" i="20"/>
  <c r="BV73" i="20" s="1"/>
  <c r="BM142" i="20"/>
  <c r="BM174" i="20"/>
  <c r="BL68" i="21" l="1"/>
  <c r="BQ15" i="20"/>
  <c r="BL63" i="21"/>
  <c r="BL38" i="21"/>
  <c r="BL12" i="21"/>
  <c r="BL24" i="21"/>
  <c r="BM107" i="21"/>
  <c r="BL30" i="21"/>
  <c r="BT36" i="20"/>
  <c r="BQ36" i="20"/>
  <c r="BC19" i="21"/>
  <c r="BV19" i="21" s="1"/>
  <c r="BL77" i="21"/>
  <c r="BT43" i="21"/>
  <c r="BL50" i="21"/>
  <c r="BL11" i="21"/>
  <c r="BL42" i="21"/>
  <c r="BL108" i="21"/>
  <c r="BL52" i="21"/>
  <c r="BL67" i="21"/>
  <c r="BL59" i="21"/>
  <c r="BL46" i="21"/>
  <c r="BL84" i="21"/>
  <c r="BL95" i="21"/>
  <c r="BL35" i="21"/>
  <c r="BL29" i="21"/>
  <c r="BL14" i="21"/>
  <c r="BL102" i="21"/>
  <c r="BL34" i="21"/>
  <c r="BM47" i="21"/>
  <c r="BL22" i="21"/>
  <c r="BL98" i="21"/>
  <c r="BL75" i="21"/>
  <c r="BL66" i="21"/>
  <c r="BM94" i="21"/>
  <c r="BL10" i="21"/>
  <c r="BL74" i="21"/>
  <c r="BL60" i="21"/>
  <c r="BL51" i="21"/>
  <c r="BL37" i="21"/>
  <c r="BL72" i="20"/>
  <c r="BM45" i="20"/>
  <c r="BM44" i="20"/>
  <c r="BM54" i="20"/>
  <c r="BI64" i="20"/>
  <c r="BK64" i="20" s="1"/>
  <c r="BO64" i="20" s="1"/>
  <c r="X109" i="20"/>
  <c r="AY109" i="20"/>
  <c r="AN109" i="20"/>
  <c r="AO109" i="20" s="1"/>
  <c r="AW109" i="20"/>
  <c r="AX109" i="20" s="1"/>
  <c r="BU109" i="20" s="1"/>
  <c r="Y109" i="20"/>
  <c r="AJ109" i="20"/>
  <c r="AK109" i="20" s="1"/>
  <c r="BR109" i="20" s="1"/>
  <c r="AD109" i="20"/>
  <c r="AE109" i="20" s="1"/>
  <c r="AF109" i="20" s="1"/>
  <c r="AA109" i="20"/>
  <c r="AB109" i="20" s="1"/>
  <c r="AC109" i="20" s="1"/>
  <c r="BQ77" i="21"/>
  <c r="BQ27" i="20"/>
  <c r="BI147" i="20"/>
  <c r="BI209" i="20"/>
  <c r="BI76" i="21"/>
  <c r="BK76" i="21" s="1"/>
  <c r="BO76" i="21" s="1"/>
  <c r="BI49" i="21"/>
  <c r="BK49" i="21" s="1"/>
  <c r="BO49" i="21" s="1"/>
  <c r="BI94" i="21"/>
  <c r="BK94" i="21" s="1"/>
  <c r="BO94" i="21" s="1"/>
  <c r="BI86" i="21"/>
  <c r="BK86" i="21" s="1"/>
  <c r="BO86" i="21" s="1"/>
  <c r="BI36" i="21"/>
  <c r="BK36" i="21" s="1"/>
  <c r="BO36" i="21" s="1"/>
  <c r="BI81" i="21"/>
  <c r="BK81" i="21" s="1"/>
  <c r="BO81" i="21" s="1"/>
  <c r="BI12" i="20"/>
  <c r="BK12" i="20" s="1"/>
  <c r="BO12" i="20" s="1"/>
  <c r="BI154" i="20"/>
  <c r="BI204" i="20"/>
  <c r="BK204" i="20" s="1"/>
  <c r="BO204" i="20" s="1"/>
  <c r="BI114" i="20"/>
  <c r="BK114" i="20" s="1"/>
  <c r="BO114" i="20" s="1"/>
  <c r="BI143" i="20"/>
  <c r="BK143" i="20" s="1"/>
  <c r="BO143" i="20" s="1"/>
  <c r="BI116" i="20"/>
  <c r="BK116" i="20" s="1"/>
  <c r="BO116" i="20" s="1"/>
  <c r="BI42" i="20"/>
  <c r="BK42" i="20" s="1"/>
  <c r="BO42" i="20" s="1"/>
  <c r="BI123" i="20"/>
  <c r="BK123" i="20" s="1"/>
  <c r="BO123" i="20" s="1"/>
  <c r="BI188" i="20"/>
  <c r="BI54" i="21"/>
  <c r="BI70" i="21"/>
  <c r="BK70" i="21" s="1"/>
  <c r="BO70" i="21" s="1"/>
  <c r="BQ14" i="20"/>
  <c r="BP62" i="21"/>
  <c r="BI62" i="21"/>
  <c r="BK62" i="21" s="1"/>
  <c r="BO62" i="21" s="1"/>
  <c r="BP14" i="21"/>
  <c r="BP108" i="21"/>
  <c r="BP27" i="21"/>
  <c r="BI27" i="21"/>
  <c r="BP87" i="21"/>
  <c r="BI87" i="21"/>
  <c r="BK87" i="21" s="1"/>
  <c r="BO87" i="21" s="1"/>
  <c r="BP98" i="21"/>
  <c r="BP90" i="21"/>
  <c r="BI42" i="21"/>
  <c r="BK42" i="21" s="1"/>
  <c r="BO42" i="21" s="1"/>
  <c r="BP25" i="21"/>
  <c r="BI25" i="21"/>
  <c r="BK25" i="21" s="1"/>
  <c r="BO25" i="21" s="1"/>
  <c r="BP83" i="21"/>
  <c r="BI83" i="21"/>
  <c r="BK83" i="21" s="1"/>
  <c r="BO83" i="21" s="1"/>
  <c r="BP20" i="21"/>
  <c r="BP39" i="21"/>
  <c r="BP100" i="21"/>
  <c r="BP10" i="21"/>
  <c r="BI10" i="21"/>
  <c r="BK10" i="21" s="1"/>
  <c r="BO10" i="21" s="1"/>
  <c r="BI48" i="21"/>
  <c r="BK48" i="21" s="1"/>
  <c r="BO48" i="21" s="1"/>
  <c r="BP91" i="21"/>
  <c r="BI91" i="21"/>
  <c r="BK91" i="21" s="1"/>
  <c r="BO91" i="21" s="1"/>
  <c r="BP50" i="21"/>
  <c r="BP13" i="21"/>
  <c r="BP12" i="21"/>
  <c r="BI12" i="21"/>
  <c r="BP21" i="21"/>
  <c r="BI21" i="21"/>
  <c r="BK21" i="21" s="1"/>
  <c r="BO21" i="21" s="1"/>
  <c r="BI80" i="21"/>
  <c r="BP51" i="21"/>
  <c r="BP15" i="21"/>
  <c r="BI15" i="21"/>
  <c r="BK15" i="21" s="1"/>
  <c r="BO15" i="21" s="1"/>
  <c r="BP96" i="21"/>
  <c r="BP24" i="21"/>
  <c r="BI24" i="21"/>
  <c r="BK24" i="21" s="1"/>
  <c r="BO24" i="21" s="1"/>
  <c r="BP77" i="21"/>
  <c r="BI77" i="21"/>
  <c r="BP106" i="21"/>
  <c r="BI106" i="21"/>
  <c r="BK106" i="21" s="1"/>
  <c r="BO106" i="21" s="1"/>
  <c r="BP47" i="21"/>
  <c r="BI47" i="21"/>
  <c r="BK47" i="21" s="1"/>
  <c r="BO47" i="21" s="1"/>
  <c r="BP63" i="21"/>
  <c r="BI63" i="21"/>
  <c r="BK63" i="21" s="1"/>
  <c r="BO63" i="21" s="1"/>
  <c r="BP105" i="21"/>
  <c r="BI105" i="21"/>
  <c r="BP92" i="21"/>
  <c r="BI92" i="21"/>
  <c r="BK92" i="21" s="1"/>
  <c r="BO92" i="21" s="1"/>
  <c r="BP69" i="21"/>
  <c r="BI69" i="21"/>
  <c r="BK69" i="21" s="1"/>
  <c r="BO69" i="21" s="1"/>
  <c r="BI107" i="21"/>
  <c r="BK107" i="21" s="1"/>
  <c r="BO107" i="21" s="1"/>
  <c r="BI22" i="21"/>
  <c r="BK22" i="21" s="1"/>
  <c r="BO22" i="21" s="1"/>
  <c r="BP34" i="21"/>
  <c r="BP26" i="21"/>
  <c r="BI26" i="21"/>
  <c r="BK26" i="21" s="1"/>
  <c r="BO26" i="21" s="1"/>
  <c r="BP52" i="21"/>
  <c r="BI52" i="21"/>
  <c r="BK52" i="21" s="1"/>
  <c r="BO52" i="21" s="1"/>
  <c r="BP31" i="21"/>
  <c r="BP97" i="21"/>
  <c r="BI97" i="21"/>
  <c r="BK97" i="21" s="1"/>
  <c r="BO97" i="21" s="1"/>
  <c r="BI28" i="21"/>
  <c r="BK28" i="21" s="1"/>
  <c r="BO28" i="21" s="1"/>
  <c r="BI84" i="21"/>
  <c r="BI38" i="21"/>
  <c r="BK38" i="21" s="1"/>
  <c r="BO38" i="21" s="1"/>
  <c r="BP73" i="21"/>
  <c r="BI73" i="21"/>
  <c r="BK73" i="21" s="1"/>
  <c r="BO73" i="21" s="1"/>
  <c r="BP101" i="21"/>
  <c r="BI101" i="21"/>
  <c r="BP78" i="21"/>
  <c r="BP82" i="21"/>
  <c r="BP23" i="21"/>
  <c r="BI23" i="21"/>
  <c r="BK23" i="21" s="1"/>
  <c r="BO23" i="21" s="1"/>
  <c r="BP68" i="21"/>
  <c r="BI68" i="21"/>
  <c r="BK68" i="21" s="1"/>
  <c r="BO68" i="21" s="1"/>
  <c r="BP43" i="21"/>
  <c r="BI43" i="21"/>
  <c r="BK43" i="21" s="1"/>
  <c r="BO43" i="21" s="1"/>
  <c r="BP60" i="21"/>
  <c r="BI79" i="21"/>
  <c r="BK79" i="21" s="1"/>
  <c r="BO79" i="21" s="1"/>
  <c r="BP109" i="21"/>
  <c r="BP37" i="21"/>
  <c r="BI37" i="21"/>
  <c r="BK37" i="21" s="1"/>
  <c r="BO37" i="21" s="1"/>
  <c r="BP11" i="21"/>
  <c r="BI11" i="21"/>
  <c r="BK11" i="21" s="1"/>
  <c r="BO11" i="21" s="1"/>
  <c r="BP88" i="21"/>
  <c r="BP89" i="21"/>
  <c r="BP45" i="21"/>
  <c r="BI45" i="21"/>
  <c r="BP71" i="21"/>
  <c r="BI40" i="21"/>
  <c r="BK40" i="21" s="1"/>
  <c r="BO40" i="21" s="1"/>
  <c r="BQ101" i="21"/>
  <c r="BS101" i="21"/>
  <c r="BQ54" i="21"/>
  <c r="BS54" i="21"/>
  <c r="BQ94" i="21"/>
  <c r="BS94" i="21"/>
  <c r="BQ43" i="21"/>
  <c r="BS43" i="21"/>
  <c r="BM76" i="21"/>
  <c r="BS76" i="21"/>
  <c r="BQ73" i="21"/>
  <c r="BS73" i="21"/>
  <c r="BM26" i="21"/>
  <c r="BS26" i="21"/>
  <c r="BQ70" i="21"/>
  <c r="BQ48" i="21"/>
  <c r="BQ28" i="21"/>
  <c r="BQ86" i="21"/>
  <c r="BQ91" i="21"/>
  <c r="BQ84" i="21"/>
  <c r="BQ38" i="21"/>
  <c r="BQ98" i="21"/>
  <c r="BQ105" i="21"/>
  <c r="BQ76" i="21"/>
  <c r="BQ22" i="21"/>
  <c r="BQ62" i="21"/>
  <c r="BQ63" i="21"/>
  <c r="BQ106" i="21"/>
  <c r="BQ47" i="21"/>
  <c r="BQ75" i="21"/>
  <c r="BQ34" i="21"/>
  <c r="BQ69" i="21"/>
  <c r="BQ83" i="21"/>
  <c r="BQ107" i="21"/>
  <c r="BQ80" i="21"/>
  <c r="BQ21" i="21"/>
  <c r="BQ15" i="21"/>
  <c r="BQ100" i="21"/>
  <c r="BQ24" i="21"/>
  <c r="BQ25" i="21"/>
  <c r="BQ10" i="21"/>
  <c r="BQ109" i="21"/>
  <c r="BQ52" i="21"/>
  <c r="BQ12" i="21"/>
  <c r="BQ37" i="21"/>
  <c r="BQ42" i="21"/>
  <c r="BQ11" i="21"/>
  <c r="BQ68" i="21"/>
  <c r="BQ14" i="21"/>
  <c r="BQ60" i="21"/>
  <c r="BQ90" i="21"/>
  <c r="BQ45" i="21"/>
  <c r="BQ40" i="21"/>
  <c r="BQ27" i="21"/>
  <c r="BQ92" i="21"/>
  <c r="BQ87" i="21"/>
  <c r="BQ23" i="21"/>
  <c r="BQ79" i="21"/>
  <c r="BQ26" i="21"/>
  <c r="BT78" i="21"/>
  <c r="BL78" i="21"/>
  <c r="BT23" i="21"/>
  <c r="BT94" i="21"/>
  <c r="BL94" i="21"/>
  <c r="BT100" i="21"/>
  <c r="BL100" i="21"/>
  <c r="BT90" i="21"/>
  <c r="BL90" i="21"/>
  <c r="BT105" i="21"/>
  <c r="BL105" i="21"/>
  <c r="BT45" i="21"/>
  <c r="BL45" i="21"/>
  <c r="BT83" i="21"/>
  <c r="BL83" i="21"/>
  <c r="BT26" i="21"/>
  <c r="BL26" i="21"/>
  <c r="BT106" i="21"/>
  <c r="BL106" i="21"/>
  <c r="BT97" i="21"/>
  <c r="BL97" i="21"/>
  <c r="BT91" i="21"/>
  <c r="BL91" i="21"/>
  <c r="BT88" i="21"/>
  <c r="BL88" i="21"/>
  <c r="BT25" i="21"/>
  <c r="BL25" i="21"/>
  <c r="BT47" i="21"/>
  <c r="BL47" i="21"/>
  <c r="BT40" i="21"/>
  <c r="BL40" i="21"/>
  <c r="BT109" i="21"/>
  <c r="BL109" i="21"/>
  <c r="BT62" i="21"/>
  <c r="BL62" i="21"/>
  <c r="BT15" i="21"/>
  <c r="BL15" i="21"/>
  <c r="BT87" i="21"/>
  <c r="BL87" i="21"/>
  <c r="BT19" i="21"/>
  <c r="BT10" i="21"/>
  <c r="BI44" i="20"/>
  <c r="BK44" i="20" s="1"/>
  <c r="BO44" i="20" s="1"/>
  <c r="BS44" i="20"/>
  <c r="BQ144" i="20"/>
  <c r="BS144" i="20"/>
  <c r="BM95" i="20"/>
  <c r="BS95" i="20"/>
  <c r="BI194" i="20"/>
  <c r="BK194" i="20" s="1"/>
  <c r="BO194" i="20" s="1"/>
  <c r="BS194" i="20"/>
  <c r="BQ149" i="20"/>
  <c r="BR149" i="20"/>
  <c r="BQ102" i="20"/>
  <c r="BR102" i="20"/>
  <c r="BQ78" i="20"/>
  <c r="BR78" i="20"/>
  <c r="BQ94" i="20"/>
  <c r="BR94" i="20"/>
  <c r="BQ160" i="20"/>
  <c r="BR160" i="20"/>
  <c r="BQ120" i="20"/>
  <c r="BR120" i="20"/>
  <c r="BQ96" i="20"/>
  <c r="BR96" i="20"/>
  <c r="BQ97" i="20"/>
  <c r="BQ156" i="20"/>
  <c r="BQ72" i="20"/>
  <c r="BQ182" i="20"/>
  <c r="BQ44" i="20"/>
  <c r="BQ104" i="20"/>
  <c r="BQ91" i="20"/>
  <c r="BQ30" i="20"/>
  <c r="BQ170" i="20"/>
  <c r="BQ173" i="20"/>
  <c r="BQ54" i="20"/>
  <c r="BQ100" i="20"/>
  <c r="BI110" i="20"/>
  <c r="BK110" i="20" s="1"/>
  <c r="BO110" i="20" s="1"/>
  <c r="BQ110" i="20"/>
  <c r="BQ164" i="20"/>
  <c r="BQ133" i="20"/>
  <c r="BQ51" i="20"/>
  <c r="BQ62" i="20"/>
  <c r="BQ115" i="20"/>
  <c r="BL90" i="20"/>
  <c r="BQ90" i="20"/>
  <c r="BQ179" i="20"/>
  <c r="BQ175" i="20"/>
  <c r="BQ195" i="20"/>
  <c r="BQ92" i="20"/>
  <c r="BQ73" i="20"/>
  <c r="BQ112" i="20"/>
  <c r="BQ108" i="20"/>
  <c r="BQ202" i="20"/>
  <c r="BQ153" i="20"/>
  <c r="BQ81" i="20"/>
  <c r="BQ121" i="20"/>
  <c r="BQ194" i="20"/>
  <c r="BQ129" i="20"/>
  <c r="BQ45" i="20"/>
  <c r="BQ107" i="20"/>
  <c r="BQ130" i="20"/>
  <c r="BQ95" i="20"/>
  <c r="BQ98" i="20"/>
  <c r="BQ138" i="20"/>
  <c r="BQ185" i="20"/>
  <c r="BQ177" i="20"/>
  <c r="BQ93" i="20"/>
  <c r="BL84" i="20"/>
  <c r="BQ84" i="20"/>
  <c r="BQ137" i="20"/>
  <c r="BQ187" i="20"/>
  <c r="BQ136" i="20"/>
  <c r="BT11" i="20"/>
  <c r="BL11" i="20"/>
  <c r="BL94" i="20"/>
  <c r="BT32" i="20"/>
  <c r="BL32" i="20"/>
  <c r="BL95" i="20"/>
  <c r="BT27" i="20"/>
  <c r="BL27" i="20"/>
  <c r="BT19" i="20"/>
  <c r="BL19" i="20"/>
  <c r="BL78" i="20"/>
  <c r="BI129" i="20"/>
  <c r="BK129" i="20" s="1"/>
  <c r="BO129" i="20" s="1"/>
  <c r="BL110" i="20"/>
  <c r="BL91" i="20"/>
  <c r="BL73" i="20"/>
  <c r="BL97" i="20"/>
  <c r="BI27" i="20"/>
  <c r="BI121" i="20"/>
  <c r="BK121" i="20" s="1"/>
  <c r="BO121" i="20" s="1"/>
  <c r="BL160" i="20"/>
  <c r="BL81" i="20"/>
  <c r="BL92" i="20"/>
  <c r="BT37" i="20"/>
  <c r="BL37" i="20"/>
  <c r="BT62" i="20"/>
  <c r="BL62" i="20"/>
  <c r="BL102" i="20"/>
  <c r="BL96" i="20"/>
  <c r="BL149" i="20"/>
  <c r="BT18" i="20"/>
  <c r="BL18" i="20"/>
  <c r="BL120" i="20"/>
  <c r="BL115" i="20"/>
  <c r="BT15" i="20"/>
  <c r="BL15" i="20"/>
  <c r="BI107" i="20"/>
  <c r="BK107" i="20" s="1"/>
  <c r="BO107" i="20" s="1"/>
  <c r="BT14" i="20"/>
  <c r="BL14" i="20"/>
  <c r="BT25" i="20"/>
  <c r="BL25" i="20"/>
  <c r="BL195" i="20"/>
  <c r="BL93" i="20"/>
  <c r="BT45" i="20"/>
  <c r="BL45" i="20"/>
  <c r="BI202" i="20"/>
  <c r="BK202" i="20" s="1"/>
  <c r="BO202" i="20" s="1"/>
  <c r="BL41" i="20"/>
  <c r="BI26" i="20"/>
  <c r="BK26" i="20" s="1"/>
  <c r="BO26" i="20" s="1"/>
  <c r="BL26" i="20"/>
  <c r="BT51" i="20"/>
  <c r="BL51" i="20"/>
  <c r="BL177" i="20"/>
  <c r="BI175" i="20"/>
  <c r="BK175" i="20" s="1"/>
  <c r="BO175" i="20" s="1"/>
  <c r="BP30" i="20"/>
  <c r="BI30" i="20"/>
  <c r="BK30" i="20" s="1"/>
  <c r="BO30" i="20" s="1"/>
  <c r="BI14" i="20"/>
  <c r="BK14" i="20" s="1"/>
  <c r="BO14" i="20" s="1"/>
  <c r="BP149" i="20"/>
  <c r="BI149" i="20"/>
  <c r="BK149" i="20" s="1"/>
  <c r="BO149" i="20" s="1"/>
  <c r="BP94" i="20"/>
  <c r="BI94" i="20"/>
  <c r="BK94" i="20" s="1"/>
  <c r="BO94" i="20" s="1"/>
  <c r="BP84" i="20"/>
  <c r="BI84" i="20"/>
  <c r="BK84" i="20" s="1"/>
  <c r="BO84" i="20" s="1"/>
  <c r="BP72" i="20"/>
  <c r="BI72" i="20"/>
  <c r="BK72" i="20" s="1"/>
  <c r="BO72" i="20" s="1"/>
  <c r="BI179" i="20"/>
  <c r="BK179" i="20" s="1"/>
  <c r="BO179" i="20" s="1"/>
  <c r="BI138" i="20"/>
  <c r="BK138" i="20" s="1"/>
  <c r="BO138" i="20" s="1"/>
  <c r="BI160" i="20"/>
  <c r="BP90" i="20"/>
  <c r="BI90" i="20"/>
  <c r="BK90" i="20" s="1"/>
  <c r="BO90" i="20" s="1"/>
  <c r="BP73" i="20"/>
  <c r="BI73" i="20"/>
  <c r="BK73" i="20" s="1"/>
  <c r="BO73" i="20" s="1"/>
  <c r="BI164" i="20"/>
  <c r="BK164" i="20" s="1"/>
  <c r="BO164" i="20" s="1"/>
  <c r="BI32" i="20"/>
  <c r="BK32" i="20" s="1"/>
  <c r="BO32" i="20" s="1"/>
  <c r="BP68" i="20"/>
  <c r="BI68" i="20"/>
  <c r="BK68" i="20" s="1"/>
  <c r="BO68" i="20" s="1"/>
  <c r="BP112" i="20"/>
  <c r="BI112" i="20"/>
  <c r="BK112" i="20" s="1"/>
  <c r="BO112" i="20" s="1"/>
  <c r="BP15" i="20"/>
  <c r="BI15" i="20"/>
  <c r="BK15" i="20" s="1"/>
  <c r="BO15" i="20" s="1"/>
  <c r="BP98" i="20"/>
  <c r="BI98" i="20"/>
  <c r="BK98" i="20" s="1"/>
  <c r="BO98" i="20" s="1"/>
  <c r="BP93" i="20"/>
  <c r="BI93" i="20"/>
  <c r="BK93" i="20" s="1"/>
  <c r="BO93" i="20" s="1"/>
  <c r="BI130" i="20"/>
  <c r="BK130" i="20" s="1"/>
  <c r="BO130" i="20" s="1"/>
  <c r="BI25" i="20"/>
  <c r="BK25" i="20" s="1"/>
  <c r="BO25" i="20" s="1"/>
  <c r="BI108" i="20"/>
  <c r="BK108" i="20" s="1"/>
  <c r="BO108" i="20" s="1"/>
  <c r="BI100" i="20"/>
  <c r="BK100" i="20" s="1"/>
  <c r="BO100" i="20" s="1"/>
  <c r="BI37" i="20"/>
  <c r="BK37" i="20" s="1"/>
  <c r="BO37" i="20" s="1"/>
  <c r="BP177" i="20"/>
  <c r="BI177" i="20"/>
  <c r="BK177" i="20" s="1"/>
  <c r="BO177" i="20" s="1"/>
  <c r="BP92" i="20"/>
  <c r="BI92" i="20"/>
  <c r="BK92" i="20" s="1"/>
  <c r="BO92" i="20" s="1"/>
  <c r="BP54" i="20"/>
  <c r="BI54" i="20"/>
  <c r="BK54" i="20" s="1"/>
  <c r="BO54" i="20" s="1"/>
  <c r="BP60" i="20"/>
  <c r="BI60" i="20"/>
  <c r="BK60" i="20" s="1"/>
  <c r="BO60" i="20" s="1"/>
  <c r="BI136" i="20"/>
  <c r="BK136" i="20" s="1"/>
  <c r="BO136" i="20" s="1"/>
  <c r="BI187" i="20"/>
  <c r="BK187" i="20" s="1"/>
  <c r="BO187" i="20" s="1"/>
  <c r="BI41" i="20"/>
  <c r="BK41" i="20" s="1"/>
  <c r="BO41" i="20" s="1"/>
  <c r="BI185" i="20"/>
  <c r="BK185" i="20" s="1"/>
  <c r="BO185" i="20" s="1"/>
  <c r="BI18" i="20"/>
  <c r="BK18" i="20" s="1"/>
  <c r="BO18" i="20" s="1"/>
  <c r="BP62" i="20"/>
  <c r="BI62" i="20"/>
  <c r="BK62" i="20" s="1"/>
  <c r="BO62" i="20" s="1"/>
  <c r="BP56" i="20"/>
  <c r="BI56" i="20"/>
  <c r="BK56" i="20" s="1"/>
  <c r="BO56" i="20" s="1"/>
  <c r="BP81" i="20"/>
  <c r="BI81" i="20"/>
  <c r="BK81" i="20" s="1"/>
  <c r="BO81" i="20" s="1"/>
  <c r="BP78" i="20"/>
  <c r="BI78" i="20"/>
  <c r="BK78" i="20" s="1"/>
  <c r="BO78" i="20" s="1"/>
  <c r="BP144" i="20"/>
  <c r="BI144" i="20"/>
  <c r="BK144" i="20" s="1"/>
  <c r="BO144" i="20" s="1"/>
  <c r="BP102" i="20"/>
  <c r="BI102" i="20"/>
  <c r="BK102" i="20" s="1"/>
  <c r="BO102" i="20" s="1"/>
  <c r="BP11" i="20"/>
  <c r="BI11" i="20"/>
  <c r="BK11" i="20" s="1"/>
  <c r="BO11" i="20" s="1"/>
  <c r="BP97" i="20"/>
  <c r="BI97" i="20"/>
  <c r="BK97" i="20" s="1"/>
  <c r="BO97" i="20" s="1"/>
  <c r="BP95" i="20"/>
  <c r="BI95" i="20"/>
  <c r="BK95" i="20" s="1"/>
  <c r="BO95" i="20" s="1"/>
  <c r="BP45" i="20"/>
  <c r="BI45" i="20"/>
  <c r="BK45" i="20" s="1"/>
  <c r="BO45" i="20" s="1"/>
  <c r="BI133" i="20"/>
  <c r="BK133" i="20" s="1"/>
  <c r="BO133" i="20" s="1"/>
  <c r="BI156" i="20"/>
  <c r="BK156" i="20" s="1"/>
  <c r="BO156" i="20" s="1"/>
  <c r="BI19" i="20"/>
  <c r="BK19" i="20" s="1"/>
  <c r="BO19" i="20" s="1"/>
  <c r="BI182" i="20"/>
  <c r="BK182" i="20" s="1"/>
  <c r="BO182" i="20" s="1"/>
  <c r="BI137" i="20"/>
  <c r="BK137" i="20" s="1"/>
  <c r="BO137" i="20" s="1"/>
  <c r="BI115" i="20"/>
  <c r="BK115" i="20" s="1"/>
  <c r="BO115" i="20" s="1"/>
  <c r="BP51" i="20"/>
  <c r="BI51" i="20"/>
  <c r="BK51" i="20" s="1"/>
  <c r="BO51" i="20" s="1"/>
  <c r="BP96" i="20"/>
  <c r="BI96" i="20"/>
  <c r="BK96" i="20" s="1"/>
  <c r="BO96" i="20" s="1"/>
  <c r="BP120" i="20"/>
  <c r="BI120" i="20"/>
  <c r="BK120" i="20" s="1"/>
  <c r="BO120" i="20" s="1"/>
  <c r="BP91" i="20"/>
  <c r="BI91" i="20"/>
  <c r="BK91" i="20" s="1"/>
  <c r="BO91" i="20" s="1"/>
  <c r="BP48" i="20"/>
  <c r="BI48" i="20"/>
  <c r="BK48" i="20" s="1"/>
  <c r="BO48" i="20" s="1"/>
  <c r="BI153" i="20"/>
  <c r="BK153" i="20" s="1"/>
  <c r="BO153" i="20" s="1"/>
  <c r="BI104" i="20"/>
  <c r="BK104" i="20" s="1"/>
  <c r="BO104" i="20" s="1"/>
  <c r="BI170" i="20"/>
  <c r="BK170" i="20" s="1"/>
  <c r="BO170" i="20" s="1"/>
  <c r="BI173" i="20"/>
  <c r="BK173" i="20" s="1"/>
  <c r="BO173" i="20" s="1"/>
  <c r="BI195" i="20"/>
  <c r="BK195" i="20" s="1"/>
  <c r="BO195" i="20" s="1"/>
  <c r="AT39" i="21"/>
  <c r="BQ39" i="21" s="1"/>
  <c r="AX103" i="21"/>
  <c r="BU103" i="21" s="1"/>
  <c r="Z64" i="21"/>
  <c r="BP64" i="21" s="1"/>
  <c r="BT70" i="21"/>
  <c r="AX53" i="21"/>
  <c r="BU53" i="21" s="1"/>
  <c r="BC75" i="21"/>
  <c r="BV75" i="21" s="1"/>
  <c r="BC56" i="21"/>
  <c r="BV56" i="21" s="1"/>
  <c r="BC33" i="21"/>
  <c r="BV33" i="21" s="1"/>
  <c r="Z19" i="21"/>
  <c r="BM45" i="21"/>
  <c r="AX56" i="21"/>
  <c r="BU56" i="21" s="1"/>
  <c r="AX18" i="21"/>
  <c r="BU18" i="21" s="1"/>
  <c r="AO31" i="21"/>
  <c r="BS31" i="21" s="1"/>
  <c r="AX104" i="21"/>
  <c r="BU104" i="21" s="1"/>
  <c r="Z104" i="21"/>
  <c r="AX19" i="21"/>
  <c r="BM19" i="21" s="1"/>
  <c r="BM106" i="21"/>
  <c r="BC14" i="21"/>
  <c r="BV14" i="21" s="1"/>
  <c r="AX33" i="21"/>
  <c r="BU33" i="21" s="1"/>
  <c r="Z65" i="21"/>
  <c r="AK61" i="21"/>
  <c r="BR61" i="21" s="1"/>
  <c r="BU94" i="21"/>
  <c r="AK57" i="21"/>
  <c r="BR57" i="21" s="1"/>
  <c r="AK71" i="21"/>
  <c r="BR71" i="21" s="1"/>
  <c r="AK53" i="21"/>
  <c r="BR53" i="21" s="1"/>
  <c r="AT56" i="21"/>
  <c r="AK104" i="21"/>
  <c r="BR104" i="21" s="1"/>
  <c r="BM21" i="21"/>
  <c r="Z53" i="21"/>
  <c r="AK56" i="21"/>
  <c r="BR56" i="21" s="1"/>
  <c r="AT18" i="21"/>
  <c r="AO41" i="21"/>
  <c r="BS41" i="21" s="1"/>
  <c r="Z18" i="21"/>
  <c r="AK9" i="21"/>
  <c r="BR9" i="21" s="1"/>
  <c r="AX64" i="21"/>
  <c r="AK41" i="21"/>
  <c r="BR41" i="21" s="1"/>
  <c r="AK65" i="21"/>
  <c r="BR65" i="21" s="1"/>
  <c r="Z33" i="21"/>
  <c r="Z41" i="21"/>
  <c r="AT71" i="21"/>
  <c r="AK18" i="21"/>
  <c r="BR18" i="21" s="1"/>
  <c r="BM13" i="21"/>
  <c r="AT104" i="21"/>
  <c r="BM105" i="21"/>
  <c r="BM20" i="21"/>
  <c r="BM96" i="21"/>
  <c r="BM87" i="21"/>
  <c r="BM40" i="21"/>
  <c r="BM24" i="21"/>
  <c r="BC89" i="21"/>
  <c r="BV89" i="21" s="1"/>
  <c r="AK19" i="21"/>
  <c r="BR19" i="21" s="1"/>
  <c r="AX65" i="21"/>
  <c r="BU65" i="21" s="1"/>
  <c r="AT33" i="21"/>
  <c r="BM83" i="21"/>
  <c r="AK33" i="21"/>
  <c r="BR33" i="21" s="1"/>
  <c r="AT64" i="21"/>
  <c r="BC64" i="21"/>
  <c r="BV64" i="21" s="1"/>
  <c r="BU83" i="21"/>
  <c r="AX71" i="21"/>
  <c r="BU71" i="21" s="1"/>
  <c r="BT14" i="21"/>
  <c r="BC60" i="21"/>
  <c r="BV60" i="21" s="1"/>
  <c r="Z61" i="21"/>
  <c r="BC90" i="21"/>
  <c r="BV90" i="21" s="1"/>
  <c r="AT55" i="21"/>
  <c r="BC55" i="21"/>
  <c r="BV55" i="21" s="1"/>
  <c r="Z93" i="21"/>
  <c r="BC71" i="21"/>
  <c r="BV71" i="21" s="1"/>
  <c r="BM52" i="21"/>
  <c r="BC41" i="21"/>
  <c r="BV41" i="21" s="1"/>
  <c r="AX61" i="21"/>
  <c r="BU61" i="21" s="1"/>
  <c r="AO33" i="21"/>
  <c r="BS33" i="21" s="1"/>
  <c r="AX58" i="21"/>
  <c r="BU58" i="21" s="1"/>
  <c r="AQ89" i="21"/>
  <c r="AT89" i="21" s="1"/>
  <c r="BQ89" i="21" s="1"/>
  <c r="BM90" i="21"/>
  <c r="AT41" i="21"/>
  <c r="AO35" i="21"/>
  <c r="BS35" i="21" s="1"/>
  <c r="AT61" i="21"/>
  <c r="Z16" i="21"/>
  <c r="H2" i="20"/>
  <c r="BT69" i="21"/>
  <c r="BM60" i="21"/>
  <c r="BU60" i="21"/>
  <c r="BT52" i="21"/>
  <c r="Z103" i="21"/>
  <c r="AX93" i="21"/>
  <c r="BU93" i="21" s="1"/>
  <c r="AX41" i="21"/>
  <c r="BU41" i="21" s="1"/>
  <c r="AT65" i="21"/>
  <c r="AO16" i="21"/>
  <c r="BS16" i="21" s="1"/>
  <c r="Z56" i="21"/>
  <c r="Z9" i="21"/>
  <c r="AT58" i="21"/>
  <c r="BM37" i="21"/>
  <c r="BK77" i="21"/>
  <c r="BO77" i="21" s="1"/>
  <c r="BC58" i="21"/>
  <c r="BV58" i="21" s="1"/>
  <c r="BC103" i="21"/>
  <c r="BV103" i="21" s="1"/>
  <c r="AT103" i="21"/>
  <c r="AT53" i="21"/>
  <c r="BC16" i="21"/>
  <c r="BV16" i="21" s="1"/>
  <c r="AT16" i="21"/>
  <c r="BL16" i="21" s="1"/>
  <c r="AO88" i="21"/>
  <c r="BI88" i="21" s="1"/>
  <c r="BC100" i="21"/>
  <c r="BV100" i="21" s="1"/>
  <c r="BC93" i="21"/>
  <c r="BV93" i="21" s="1"/>
  <c r="AT93" i="21"/>
  <c r="AT57" i="21"/>
  <c r="BT12" i="21"/>
  <c r="Z57" i="21"/>
  <c r="BU75" i="21"/>
  <c r="BM75" i="21"/>
  <c r="BT107" i="21"/>
  <c r="AT20" i="21"/>
  <c r="BQ20" i="21" s="1"/>
  <c r="BU87" i="21"/>
  <c r="BT101" i="21"/>
  <c r="BU13" i="21"/>
  <c r="BM69" i="21"/>
  <c r="BM39" i="21"/>
  <c r="BM73" i="21"/>
  <c r="BM92" i="21"/>
  <c r="BM25" i="21"/>
  <c r="AX57" i="21"/>
  <c r="BU57" i="21" s="1"/>
  <c r="BM11" i="21"/>
  <c r="BT108" i="21"/>
  <c r="Z58" i="21"/>
  <c r="BT73" i="21"/>
  <c r="BM68" i="21"/>
  <c r="AT96" i="21"/>
  <c r="BQ96" i="21" s="1"/>
  <c r="BC98" i="21"/>
  <c r="BV98" i="21" s="1"/>
  <c r="BM98" i="21"/>
  <c r="BM27" i="21"/>
  <c r="BM12" i="21"/>
  <c r="BK45" i="21"/>
  <c r="BO45" i="21" s="1"/>
  <c r="BU89" i="21"/>
  <c r="BM89" i="21"/>
  <c r="BK27" i="21"/>
  <c r="BO27" i="21" s="1"/>
  <c r="BC34" i="21"/>
  <c r="BV34" i="21" s="1"/>
  <c r="BT31" i="21"/>
  <c r="BT24" i="21"/>
  <c r="AO103" i="21"/>
  <c r="BT68" i="21"/>
  <c r="BU108" i="21"/>
  <c r="AM108" i="21"/>
  <c r="AO108" i="21" s="1"/>
  <c r="BC108" i="21"/>
  <c r="BV108" i="21" s="1"/>
  <c r="BU14" i="21"/>
  <c r="BM14" i="21"/>
  <c r="BT34" i="21"/>
  <c r="AM65" i="21"/>
  <c r="AO65" i="21" s="1"/>
  <c r="BS65" i="21" s="1"/>
  <c r="BC65" i="21"/>
  <c r="BV65" i="21" s="1"/>
  <c r="BU63" i="21"/>
  <c r="BM63" i="21"/>
  <c r="AO64" i="21"/>
  <c r="BU34" i="21"/>
  <c r="BM34" i="21"/>
  <c r="AO50" i="21"/>
  <c r="BI50" i="21" s="1"/>
  <c r="BM10" i="21"/>
  <c r="BK12" i="21"/>
  <c r="BO12" i="21" s="1"/>
  <c r="AQ13" i="21"/>
  <c r="AT13" i="21" s="1"/>
  <c r="BL13" i="21" s="1"/>
  <c r="BC13" i="21"/>
  <c r="BV13" i="21" s="1"/>
  <c r="BT63" i="21"/>
  <c r="BU78" i="21"/>
  <c r="BK105" i="21"/>
  <c r="BO105" i="21" s="1"/>
  <c r="BT50" i="21"/>
  <c r="AM57" i="21"/>
  <c r="AO57" i="21" s="1"/>
  <c r="BS57" i="21" s="1"/>
  <c r="BC57" i="21"/>
  <c r="BV57" i="21" s="1"/>
  <c r="BT42" i="21"/>
  <c r="BU62" i="21"/>
  <c r="BM62" i="21"/>
  <c r="BP42" i="21"/>
  <c r="AM104" i="21"/>
  <c r="AO104" i="21" s="1"/>
  <c r="BS104" i="21" s="1"/>
  <c r="BC104" i="21"/>
  <c r="BV104" i="21" s="1"/>
  <c r="BU42" i="21"/>
  <c r="BM42" i="21"/>
  <c r="BU79" i="21"/>
  <c r="BM79" i="21"/>
  <c r="BU50" i="21"/>
  <c r="BU15" i="21"/>
  <c r="BM15" i="21"/>
  <c r="Z55" i="21"/>
  <c r="Z72" i="21"/>
  <c r="BM23" i="21"/>
  <c r="AO51" i="21"/>
  <c r="BS51" i="21" s="1"/>
  <c r="BT95" i="21"/>
  <c r="BU95" i="21"/>
  <c r="BP95" i="21"/>
  <c r="BM109" i="21"/>
  <c r="BU109" i="21"/>
  <c r="BT60" i="21"/>
  <c r="AQ82" i="21"/>
  <c r="AT82" i="21" s="1"/>
  <c r="BL82" i="21" s="1"/>
  <c r="BC82" i="21"/>
  <c r="BV82" i="21" s="1"/>
  <c r="BT51" i="21"/>
  <c r="BM84" i="20"/>
  <c r="BU45" i="20"/>
  <c r="AO58" i="21"/>
  <c r="BS58" i="21" s="1"/>
  <c r="BU91" i="21"/>
  <c r="BM91" i="21"/>
  <c r="BC78" i="21"/>
  <c r="BV78" i="21" s="1"/>
  <c r="AM78" i="21"/>
  <c r="AO78" i="21" s="1"/>
  <c r="AT72" i="21"/>
  <c r="BC109" i="21"/>
  <c r="BV109" i="21" s="1"/>
  <c r="BU100" i="21"/>
  <c r="BM100" i="21"/>
  <c r="AO55" i="21"/>
  <c r="BS55" i="21" s="1"/>
  <c r="AM95" i="21"/>
  <c r="AO95" i="21" s="1"/>
  <c r="BC95" i="21"/>
  <c r="BV95" i="21" s="1"/>
  <c r="BT21" i="21"/>
  <c r="BT92" i="21"/>
  <c r="BT98" i="21"/>
  <c r="BU86" i="21"/>
  <c r="BM86" i="21"/>
  <c r="BU48" i="21"/>
  <c r="BM48" i="21"/>
  <c r="BU82" i="21"/>
  <c r="BM82" i="21"/>
  <c r="AX85" i="21"/>
  <c r="BU85" i="21" s="1"/>
  <c r="Z32" i="21"/>
  <c r="AX72" i="21"/>
  <c r="BU72" i="21" s="1"/>
  <c r="BK80" i="21"/>
  <c r="BO80" i="21" s="1"/>
  <c r="BT80" i="21"/>
  <c r="BP22" i="21"/>
  <c r="BU30" i="21"/>
  <c r="BU22" i="21"/>
  <c r="BM22" i="21"/>
  <c r="BT102" i="21"/>
  <c r="BP28" i="21"/>
  <c r="BU84" i="21"/>
  <c r="BM84" i="21"/>
  <c r="BT22" i="21"/>
  <c r="BT86" i="21"/>
  <c r="BT30" i="21"/>
  <c r="BP102" i="21"/>
  <c r="BU55" i="21"/>
  <c r="BT38" i="21"/>
  <c r="AT17" i="21"/>
  <c r="BL17" i="21" s="1"/>
  <c r="BU59" i="21"/>
  <c r="BT54" i="21"/>
  <c r="BT74" i="21"/>
  <c r="BP35" i="21"/>
  <c r="BT67" i="21"/>
  <c r="BP29" i="21"/>
  <c r="AT32" i="21"/>
  <c r="BL32" i="21" s="1"/>
  <c r="BC46" i="21"/>
  <c r="BV46" i="21" s="1"/>
  <c r="AM46" i="21"/>
  <c r="AO46" i="21" s="1"/>
  <c r="BS46" i="21" s="1"/>
  <c r="BT99" i="21"/>
  <c r="AX17" i="21"/>
  <c r="BT59" i="21"/>
  <c r="BP54" i="21"/>
  <c r="BK54" i="21"/>
  <c r="BO54" i="21" s="1"/>
  <c r="AO30" i="21"/>
  <c r="BI30" i="21" s="1"/>
  <c r="Z85" i="21"/>
  <c r="BU67" i="21"/>
  <c r="BU29" i="21"/>
  <c r="BT84" i="21"/>
  <c r="BT28" i="21"/>
  <c r="BU9" i="21"/>
  <c r="BM9" i="21"/>
  <c r="BT75" i="21"/>
  <c r="BP59" i="21"/>
  <c r="BU54" i="21"/>
  <c r="BM54" i="21"/>
  <c r="BP84" i="21"/>
  <c r="BK84" i="21"/>
  <c r="BO84" i="21" s="1"/>
  <c r="BP46" i="21"/>
  <c r="AM61" i="21"/>
  <c r="AO61" i="21" s="1"/>
  <c r="BS61" i="21" s="1"/>
  <c r="BC61" i="21"/>
  <c r="BV61" i="21" s="1"/>
  <c r="BP66" i="21"/>
  <c r="BT11" i="21"/>
  <c r="AO93" i="21"/>
  <c r="BS93" i="21" s="1"/>
  <c r="BT48" i="21"/>
  <c r="BT79" i="21"/>
  <c r="Z17" i="21"/>
  <c r="BP38" i="21"/>
  <c r="AM44" i="21"/>
  <c r="AO44" i="21" s="1"/>
  <c r="BS44" i="21" s="1"/>
  <c r="BC44" i="21"/>
  <c r="BV44" i="21" s="1"/>
  <c r="AM18" i="21"/>
  <c r="AO18" i="21" s="1"/>
  <c r="BS18" i="21" s="1"/>
  <c r="BC18" i="21"/>
  <c r="BV18" i="21" s="1"/>
  <c r="BU35" i="21"/>
  <c r="AT85" i="21"/>
  <c r="BL85" i="21" s="1"/>
  <c r="AM29" i="21"/>
  <c r="AO29" i="21" s="1"/>
  <c r="BS29" i="21" s="1"/>
  <c r="BC29" i="21"/>
  <c r="BV29" i="21" s="1"/>
  <c r="BT46" i="21"/>
  <c r="BK101" i="21"/>
  <c r="BO101" i="21" s="1"/>
  <c r="BP99" i="21"/>
  <c r="BU66" i="21"/>
  <c r="BU28" i="21"/>
  <c r="BM28" i="21"/>
  <c r="BC59" i="21"/>
  <c r="BV59" i="21" s="1"/>
  <c r="AM59" i="21"/>
  <c r="AO59" i="21" s="1"/>
  <c r="BS59" i="21" s="1"/>
  <c r="BT9" i="21"/>
  <c r="BT35" i="21"/>
  <c r="AM85" i="21"/>
  <c r="AO85" i="21" s="1"/>
  <c r="BS85" i="21" s="1"/>
  <c r="BC85" i="21"/>
  <c r="BV85" i="21" s="1"/>
  <c r="BT29" i="21"/>
  <c r="AO99" i="21"/>
  <c r="BS99" i="21" s="1"/>
  <c r="BU38" i="21"/>
  <c r="BM38" i="21"/>
  <c r="BU101" i="21"/>
  <c r="BM101" i="21"/>
  <c r="AO66" i="21"/>
  <c r="BS66" i="21" s="1"/>
  <c r="AX44" i="21"/>
  <c r="AM72" i="21"/>
  <c r="AO72" i="21" s="1"/>
  <c r="BS72" i="21" s="1"/>
  <c r="BC72" i="21"/>
  <c r="BV72" i="21" s="1"/>
  <c r="BU102" i="21"/>
  <c r="BU74" i="21"/>
  <c r="AM67" i="21"/>
  <c r="AO67" i="21" s="1"/>
  <c r="BS67" i="21" s="1"/>
  <c r="BC67" i="21"/>
  <c r="BV67" i="21" s="1"/>
  <c r="BP86" i="21"/>
  <c r="BT66" i="21"/>
  <c r="BU16" i="21"/>
  <c r="BM16" i="21"/>
  <c r="AM53" i="21"/>
  <c r="AO53" i="21" s="1"/>
  <c r="BS53" i="21" s="1"/>
  <c r="BC53" i="21"/>
  <c r="BV53" i="21" s="1"/>
  <c r="AT44" i="21"/>
  <c r="BL44" i="21" s="1"/>
  <c r="BP74" i="21"/>
  <c r="BP67" i="21"/>
  <c r="AX32" i="21"/>
  <c r="BP75" i="21"/>
  <c r="BP30" i="21"/>
  <c r="BU70" i="21"/>
  <c r="BM70" i="21"/>
  <c r="BC17" i="21"/>
  <c r="BV17" i="21" s="1"/>
  <c r="AM17" i="21"/>
  <c r="AO17" i="21" s="1"/>
  <c r="BS17" i="21" s="1"/>
  <c r="AO102" i="21"/>
  <c r="BS102" i="21" s="1"/>
  <c r="Z44" i="21"/>
  <c r="AM74" i="21"/>
  <c r="AO74" i="21" s="1"/>
  <c r="BS74" i="21" s="1"/>
  <c r="BC74" i="21"/>
  <c r="BV74" i="21" s="1"/>
  <c r="BP70" i="21"/>
  <c r="BP48" i="21"/>
  <c r="BU99" i="21"/>
  <c r="AM32" i="21"/>
  <c r="AO32" i="21" s="1"/>
  <c r="BS32" i="21" s="1"/>
  <c r="BC32" i="21"/>
  <c r="BV32" i="21" s="1"/>
  <c r="BU46" i="21"/>
  <c r="BM182" i="20"/>
  <c r="BU44" i="20"/>
  <c r="BT44" i="20"/>
  <c r="BK147" i="20"/>
  <c r="BO147" i="20" s="1"/>
  <c r="BM179" i="20"/>
  <c r="BM90" i="20"/>
  <c r="BM98" i="20"/>
  <c r="BK209" i="20"/>
  <c r="BM130" i="20"/>
  <c r="BM94" i="20"/>
  <c r="BM108" i="20"/>
  <c r="BK188" i="20"/>
  <c r="BO188" i="20" s="1"/>
  <c r="BM187" i="20"/>
  <c r="BK154" i="20"/>
  <c r="BO154" i="20" s="1"/>
  <c r="BM93" i="20"/>
  <c r="BM102" i="20"/>
  <c r="BM202" i="20"/>
  <c r="BM72" i="20"/>
  <c r="BM112" i="20"/>
  <c r="BU14" i="20"/>
  <c r="BM173" i="20"/>
  <c r="BM194" i="20"/>
  <c r="BM115" i="20"/>
  <c r="BM27" i="20"/>
  <c r="BU27" i="20"/>
  <c r="BM51" i="20"/>
  <c r="BU51" i="20"/>
  <c r="BM30" i="20"/>
  <c r="BU30" i="20"/>
  <c r="BT54" i="20"/>
  <c r="BM144" i="20"/>
  <c r="BT41" i="20"/>
  <c r="BT26" i="20"/>
  <c r="BT30" i="20"/>
  <c r="BM78" i="20"/>
  <c r="BM91" i="20"/>
  <c r="BM136" i="20"/>
  <c r="BM153" i="20"/>
  <c r="BM138" i="20"/>
  <c r="BM185" i="20"/>
  <c r="BM121" i="20"/>
  <c r="BM107" i="20"/>
  <c r="BM97" i="20"/>
  <c r="BM73" i="20"/>
  <c r="BM164" i="20"/>
  <c r="BM120" i="20"/>
  <c r="BM156" i="20"/>
  <c r="BM177" i="20"/>
  <c r="BM96" i="20"/>
  <c r="BM81" i="20"/>
  <c r="BM129" i="20"/>
  <c r="BP160" i="20"/>
  <c r="BK160" i="20"/>
  <c r="BO160" i="20" s="1"/>
  <c r="BM160" i="20"/>
  <c r="BM149" i="20"/>
  <c r="BM133" i="20"/>
  <c r="BM92" i="20"/>
  <c r="BM170" i="20"/>
  <c r="BM104" i="20"/>
  <c r="BM137" i="20"/>
  <c r="BK27" i="20"/>
  <c r="BO27" i="20" s="1"/>
  <c r="BM175" i="20"/>
  <c r="BM62" i="20"/>
  <c r="BM110" i="20"/>
  <c r="BM195" i="20"/>
  <c r="BM100" i="20"/>
  <c r="BM46" i="21" l="1"/>
  <c r="BM35" i="21"/>
  <c r="BM50" i="21"/>
  <c r="BM31" i="21"/>
  <c r="BM55" i="21"/>
  <c r="BM30" i="21"/>
  <c r="BM88" i="21"/>
  <c r="BL9" i="21"/>
  <c r="BL19" i="21"/>
  <c r="BM64" i="21"/>
  <c r="Z109" i="20"/>
  <c r="BP109" i="20" s="1"/>
  <c r="BT39" i="21"/>
  <c r="BL109" i="20"/>
  <c r="BS109" i="20"/>
  <c r="BQ109" i="20"/>
  <c r="BM109" i="20"/>
  <c r="BI95" i="21"/>
  <c r="BK95" i="21" s="1"/>
  <c r="BO95" i="21" s="1"/>
  <c r="BI108" i="21"/>
  <c r="BK108" i="21" s="1"/>
  <c r="BO108" i="21" s="1"/>
  <c r="BI60" i="21"/>
  <c r="BK60" i="21" s="1"/>
  <c r="BO60" i="21" s="1"/>
  <c r="BI34" i="21"/>
  <c r="BK34" i="21" s="1"/>
  <c r="BO34" i="21" s="1"/>
  <c r="BI109" i="21"/>
  <c r="BK109" i="21" s="1"/>
  <c r="BI100" i="21"/>
  <c r="BK100" i="21" s="1"/>
  <c r="BO100" i="21" s="1"/>
  <c r="BI78" i="21"/>
  <c r="BK78" i="21" s="1"/>
  <c r="BO78" i="21" s="1"/>
  <c r="BI90" i="21"/>
  <c r="BK90" i="21" s="1"/>
  <c r="BO90" i="21" s="1"/>
  <c r="BI14" i="21"/>
  <c r="BK14" i="21" s="1"/>
  <c r="BO14" i="21" s="1"/>
  <c r="BI75" i="21"/>
  <c r="BK75" i="21" s="1"/>
  <c r="BO75" i="21" s="1"/>
  <c r="BI98" i="21"/>
  <c r="BK98" i="21" s="1"/>
  <c r="BO98" i="21" s="1"/>
  <c r="BP56" i="21"/>
  <c r="BI56" i="21"/>
  <c r="BK56" i="21" s="1"/>
  <c r="BO56" i="21" s="1"/>
  <c r="BP93" i="21"/>
  <c r="BI93" i="21"/>
  <c r="BK93" i="21" s="1"/>
  <c r="BO93" i="21" s="1"/>
  <c r="BP65" i="21"/>
  <c r="BI65" i="21"/>
  <c r="BK65" i="21" s="1"/>
  <c r="BO65" i="21" s="1"/>
  <c r="BI29" i="21"/>
  <c r="BK29" i="21" s="1"/>
  <c r="BO29" i="21" s="1"/>
  <c r="BI71" i="21"/>
  <c r="BK71" i="21" s="1"/>
  <c r="BO71" i="21" s="1"/>
  <c r="BI31" i="21"/>
  <c r="BK31" i="21" s="1"/>
  <c r="BO31" i="21" s="1"/>
  <c r="BI67" i="21"/>
  <c r="BK67" i="21" s="1"/>
  <c r="BO67" i="21" s="1"/>
  <c r="BI66" i="21"/>
  <c r="BK66" i="21" s="1"/>
  <c r="BO66" i="21" s="1"/>
  <c r="BI20" i="21"/>
  <c r="BK20" i="21" s="1"/>
  <c r="BO20" i="21" s="1"/>
  <c r="BI59" i="21"/>
  <c r="BK59" i="21" s="1"/>
  <c r="H3" i="21" s="1"/>
  <c r="BI64" i="21"/>
  <c r="BK64" i="21" s="1"/>
  <c r="BO64" i="21" s="1"/>
  <c r="BI99" i="21"/>
  <c r="BK99" i="21" s="1"/>
  <c r="BO99" i="21" s="1"/>
  <c r="BI85" i="21"/>
  <c r="BK85" i="21" s="1"/>
  <c r="BO85" i="21" s="1"/>
  <c r="BP32" i="21"/>
  <c r="BI32" i="21"/>
  <c r="BK32" i="21" s="1"/>
  <c r="BO32" i="21" s="1"/>
  <c r="BP16" i="21"/>
  <c r="BI16" i="21"/>
  <c r="BK16" i="21" s="1"/>
  <c r="BO16" i="21" s="1"/>
  <c r="BP18" i="21"/>
  <c r="BI18" i="21"/>
  <c r="BK18" i="21" s="1"/>
  <c r="BO18" i="21" s="1"/>
  <c r="BP19" i="21"/>
  <c r="BI19" i="21"/>
  <c r="BK19" i="21" s="1"/>
  <c r="BO19" i="21" s="1"/>
  <c r="BI82" i="21"/>
  <c r="BK82" i="21" s="1"/>
  <c r="BO82" i="21" s="1"/>
  <c r="BI35" i="21"/>
  <c r="BK35" i="21" s="1"/>
  <c r="BO35" i="21" s="1"/>
  <c r="BI102" i="21"/>
  <c r="BK102" i="21" s="1"/>
  <c r="BO102" i="21" s="1"/>
  <c r="BI51" i="21"/>
  <c r="BK51" i="21" s="1"/>
  <c r="BO51" i="21" s="1"/>
  <c r="BI13" i="21"/>
  <c r="BK13" i="21" s="1"/>
  <c r="BO13" i="21" s="1"/>
  <c r="BP72" i="21"/>
  <c r="BI72" i="21"/>
  <c r="BK72" i="21" s="1"/>
  <c r="BO72" i="21" s="1"/>
  <c r="BP61" i="21"/>
  <c r="BI61" i="21"/>
  <c r="BK61" i="21" s="1"/>
  <c r="BO61" i="21" s="1"/>
  <c r="BI74" i="21"/>
  <c r="BK74" i="21" s="1"/>
  <c r="BO74" i="21" s="1"/>
  <c r="BP58" i="21"/>
  <c r="BI58" i="21"/>
  <c r="BK58" i="21" s="1"/>
  <c r="BO58" i="21" s="1"/>
  <c r="BP103" i="21"/>
  <c r="BI103" i="21"/>
  <c r="BK103" i="21" s="1"/>
  <c r="BO103" i="21" s="1"/>
  <c r="BP41" i="21"/>
  <c r="BI41" i="21"/>
  <c r="BK41" i="21" s="1"/>
  <c r="BO41" i="21" s="1"/>
  <c r="BP104" i="21"/>
  <c r="BI104" i="21"/>
  <c r="BK104" i="21" s="1"/>
  <c r="BO104" i="21" s="1"/>
  <c r="BI89" i="21"/>
  <c r="BK89" i="21" s="1"/>
  <c r="BO89" i="21" s="1"/>
  <c r="BI17" i="21"/>
  <c r="BK17" i="21" s="1"/>
  <c r="BO17" i="21" s="1"/>
  <c r="BP55" i="21"/>
  <c r="BI55" i="21"/>
  <c r="BK55" i="21" s="1"/>
  <c r="BO55" i="21" s="1"/>
  <c r="BP33" i="21"/>
  <c r="BI33" i="21"/>
  <c r="BK33" i="21" s="1"/>
  <c r="BO33" i="21" s="1"/>
  <c r="BI44" i="21"/>
  <c r="BK44" i="21" s="1"/>
  <c r="BO44" i="21" s="1"/>
  <c r="BP57" i="21"/>
  <c r="BI57" i="21"/>
  <c r="BK57" i="21" s="1"/>
  <c r="BO57" i="21" s="1"/>
  <c r="BP53" i="21"/>
  <c r="BI53" i="21"/>
  <c r="BK53" i="21" s="1"/>
  <c r="BO53" i="21" s="1"/>
  <c r="BI46" i="21"/>
  <c r="BK46" i="21" s="1"/>
  <c r="BO46" i="21" s="1"/>
  <c r="BI96" i="21"/>
  <c r="BK96" i="21" s="1"/>
  <c r="BO96" i="21" s="1"/>
  <c r="BI39" i="21"/>
  <c r="BK39" i="21" s="1"/>
  <c r="BO39" i="21" s="1"/>
  <c r="BP9" i="21"/>
  <c r="BI9" i="21"/>
  <c r="BK9" i="21" s="1"/>
  <c r="BO9" i="21" s="1"/>
  <c r="BM78" i="21"/>
  <c r="BS78" i="21"/>
  <c r="BM95" i="21"/>
  <c r="BS95" i="21"/>
  <c r="BM103" i="21"/>
  <c r="BS103" i="21"/>
  <c r="BK30" i="21"/>
  <c r="BO30" i="21" s="1"/>
  <c r="BS30" i="21"/>
  <c r="BQ64" i="21"/>
  <c r="BS64" i="21"/>
  <c r="BK88" i="21"/>
  <c r="BO88" i="21" s="1"/>
  <c r="BS88" i="21"/>
  <c r="BQ50" i="21"/>
  <c r="BS50" i="21"/>
  <c r="BM108" i="21"/>
  <c r="BS108" i="21"/>
  <c r="BQ53" i="21"/>
  <c r="BQ32" i="21"/>
  <c r="BQ108" i="21"/>
  <c r="BQ71" i="21"/>
  <c r="BQ102" i="21"/>
  <c r="BQ95" i="21"/>
  <c r="BQ30" i="21"/>
  <c r="BQ56" i="21"/>
  <c r="BQ57" i="21"/>
  <c r="BQ59" i="21"/>
  <c r="BQ31" i="21"/>
  <c r="BQ74" i="21"/>
  <c r="BQ19" i="21"/>
  <c r="BQ65" i="21"/>
  <c r="BQ17" i="21"/>
  <c r="BQ44" i="21"/>
  <c r="BQ99" i="21"/>
  <c r="BQ41" i="21"/>
  <c r="BQ61" i="21"/>
  <c r="BQ88" i="21"/>
  <c r="BQ93" i="21"/>
  <c r="BQ58" i="21"/>
  <c r="BQ103" i="21"/>
  <c r="BQ29" i="21"/>
  <c r="BQ51" i="21"/>
  <c r="BQ78" i="21"/>
  <c r="BQ46" i="21"/>
  <c r="BQ18" i="21"/>
  <c r="BQ104" i="21"/>
  <c r="BQ72" i="21"/>
  <c r="BQ55" i="21"/>
  <c r="BQ85" i="21"/>
  <c r="BQ16" i="21"/>
  <c r="BQ13" i="21"/>
  <c r="BQ67" i="21"/>
  <c r="BQ33" i="21"/>
  <c r="BQ82" i="21"/>
  <c r="BQ66" i="21"/>
  <c r="BQ35" i="21"/>
  <c r="BQ9" i="21"/>
  <c r="BT65" i="21"/>
  <c r="BL65" i="21"/>
  <c r="BT104" i="21"/>
  <c r="BL104" i="21"/>
  <c r="BT93" i="21"/>
  <c r="BL93" i="21"/>
  <c r="BT72" i="21"/>
  <c r="BL72" i="21"/>
  <c r="BT89" i="21"/>
  <c r="BL89" i="21"/>
  <c r="BT96" i="21"/>
  <c r="BL96" i="21"/>
  <c r="BT55" i="21"/>
  <c r="BL55" i="21"/>
  <c r="BT64" i="21"/>
  <c r="BL64" i="21"/>
  <c r="BT61" i="21"/>
  <c r="BL61" i="21"/>
  <c r="BT56" i="21"/>
  <c r="BL56" i="21"/>
  <c r="BT41" i="21"/>
  <c r="BL41" i="21"/>
  <c r="BT58" i="21"/>
  <c r="BL58" i="21"/>
  <c r="BT71" i="21"/>
  <c r="BL71" i="21"/>
  <c r="BT53" i="21"/>
  <c r="BL53" i="21"/>
  <c r="BT33" i="21"/>
  <c r="BL33" i="21"/>
  <c r="BT18" i="21"/>
  <c r="BL18" i="21"/>
  <c r="BT20" i="21"/>
  <c r="BL20" i="21"/>
  <c r="BT57" i="21"/>
  <c r="BL57" i="21"/>
  <c r="BT103" i="21"/>
  <c r="BL103" i="21"/>
  <c r="BL39" i="21"/>
  <c r="BM56" i="21"/>
  <c r="BU19" i="21"/>
  <c r="BU64" i="21"/>
  <c r="BM65" i="21"/>
  <c r="BM51" i="21"/>
  <c r="BM18" i="21"/>
  <c r="BM74" i="21"/>
  <c r="BM66" i="21"/>
  <c r="BM67" i="21"/>
  <c r="BM61" i="21"/>
  <c r="BM99" i="21"/>
  <c r="BM102" i="21"/>
  <c r="BM29" i="21"/>
  <c r="BM104" i="21"/>
  <c r="BM33" i="21"/>
  <c r="BM59" i="21"/>
  <c r="BM53" i="21"/>
  <c r="BM93" i="21"/>
  <c r="BM71" i="21"/>
  <c r="BM58" i="21"/>
  <c r="BM41" i="21"/>
  <c r="BT16" i="21"/>
  <c r="BM57" i="21"/>
  <c r="BK50" i="21"/>
  <c r="BO50" i="21" s="1"/>
  <c r="BT13" i="21"/>
  <c r="BM85" i="21"/>
  <c r="BT82" i="21"/>
  <c r="BM72" i="21"/>
  <c r="BP44" i="21"/>
  <c r="BT44" i="21"/>
  <c r="BP17" i="21"/>
  <c r="BT32" i="21"/>
  <c r="BT17" i="21"/>
  <c r="BU44" i="21"/>
  <c r="BM44" i="21"/>
  <c r="BT85" i="21"/>
  <c r="BP85" i="21"/>
  <c r="BU17" i="21"/>
  <c r="BM17" i="21"/>
  <c r="BU32" i="21"/>
  <c r="BM32" i="21"/>
  <c r="H4" i="20"/>
  <c r="BO209" i="20"/>
  <c r="BI109" i="20" l="1"/>
  <c r="BK109" i="20" s="1"/>
  <c r="BO109" i="20" s="1"/>
  <c r="H2" i="21"/>
  <c r="BO109" i="21"/>
  <c r="B508" i="2" s="1"/>
  <c r="H4" i="21"/>
  <c r="BO59" i="21"/>
  <c r="B509" i="2" s="1"/>
  <c r="AW9" i="31"/>
  <c r="R5" i="31" s="1"/>
  <c r="AW612" i="31"/>
  <c r="AW613" i="31"/>
  <c r="AW8" i="31"/>
  <c r="R4" i="31" s="1"/>
  <c r="E275" i="2" s="1"/>
  <c r="K90" i="1" s="1"/>
  <c r="H3" i="20" l="1"/>
  <c r="Q31" i="8"/>
  <c r="R31" i="8" s="1"/>
  <c r="F275" i="2" s="1"/>
  <c r="L90" i="1" s="1"/>
  <c r="E276" i="2"/>
  <c r="E277" i="2"/>
  <c r="B267" i="2"/>
  <c r="A639" i="31"/>
  <c r="A640" i="31"/>
  <c r="B617" i="31"/>
  <c r="B268" i="2" l="1"/>
  <c r="B269" i="2" s="1"/>
  <c r="B270" i="2" s="1"/>
  <c r="Q19" i="8" s="1"/>
  <c r="J3" i="8" s="1"/>
  <c r="J159" i="8" s="1"/>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R19" i="8" s="1"/>
  <c r="B271" i="2" s="1"/>
  <c r="O58" i="1" s="1"/>
  <c r="B278" i="2" s="1"/>
  <c r="M3" i="8"/>
  <c r="Q33" i="8"/>
  <c r="F3" i="8" s="1"/>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R33" i="8" s="1"/>
  <c r="F277" i="2" s="1"/>
  <c r="L92" i="1" s="1"/>
  <c r="K92" i="1"/>
  <c r="Q32" i="8"/>
  <c r="E3" i="8" s="1"/>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K91" i="1"/>
  <c r="B618" i="31"/>
  <c r="B619" i="31" s="1"/>
  <c r="W617" i="31"/>
  <c r="J617" i="31"/>
  <c r="Z617" i="31"/>
  <c r="M617" i="31"/>
  <c r="T617" i="31"/>
  <c r="G617" i="31"/>
  <c r="D617" i="31"/>
  <c r="B258" i="2" l="1"/>
  <c r="AS13" i="32" s="1"/>
  <c r="BC13" i="32" s="1"/>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F267" i="2" s="1"/>
  <c r="E4" i="8"/>
  <c r="R32" i="8" s="1"/>
  <c r="F276" i="2" s="1"/>
  <c r="L91" i="1" s="1"/>
  <c r="E617" i="31"/>
  <c r="F617" i="31"/>
  <c r="H617" i="31"/>
  <c r="I617" i="31"/>
  <c r="P617" i="31"/>
  <c r="V617" i="31"/>
  <c r="U617" i="31"/>
  <c r="AC617" i="31"/>
  <c r="O617" i="31"/>
  <c r="N617" i="31"/>
  <c r="AA617" i="31"/>
  <c r="AB617" i="31"/>
  <c r="L617" i="31"/>
  <c r="K617" i="31"/>
  <c r="Y617" i="31"/>
  <c r="X617" i="31"/>
  <c r="AS296" i="32" l="1"/>
  <c r="AS77" i="32"/>
  <c r="BB77" i="32" s="1"/>
  <c r="AS539" i="32"/>
  <c r="AS376" i="32"/>
  <c r="BB376" i="32" s="1"/>
  <c r="AS144" i="32"/>
  <c r="BC144" i="32" s="1"/>
  <c r="AS96" i="32"/>
  <c r="AU96" i="32" s="1"/>
  <c r="AS497" i="32"/>
  <c r="BB497" i="32" s="1"/>
  <c r="AS57" i="32"/>
  <c r="BB57" i="32" s="1"/>
  <c r="AS185" i="32"/>
  <c r="AU185" i="32" s="1"/>
  <c r="AS320" i="32"/>
  <c r="BC320" i="32" s="1"/>
  <c r="AS154" i="32"/>
  <c r="BB154" i="32" s="1"/>
  <c r="AS384" i="32"/>
  <c r="AT384" i="32" s="1"/>
  <c r="AS208" i="32"/>
  <c r="BB208" i="32" s="1"/>
  <c r="AS360" i="32"/>
  <c r="BB360" i="32" s="1"/>
  <c r="AS233" i="32"/>
  <c r="AU233" i="32" s="1"/>
  <c r="AS210" i="32"/>
  <c r="AU210" i="32" s="1"/>
  <c r="AS112" i="32"/>
  <c r="BC112" i="32" s="1"/>
  <c r="AS64" i="32"/>
  <c r="BC64" i="32" s="1"/>
  <c r="AS216" i="32"/>
  <c r="AS584" i="32"/>
  <c r="AS313" i="32"/>
  <c r="BB313" i="32" s="1"/>
  <c r="AS434" i="32"/>
  <c r="AS37" i="32"/>
  <c r="AS312" i="32"/>
  <c r="AT312" i="32" s="1"/>
  <c r="AS280" i="32"/>
  <c r="BC280" i="32" s="1"/>
  <c r="AS600" i="32"/>
  <c r="AS369" i="32"/>
  <c r="BC369" i="32" s="1"/>
  <c r="AS432" i="32"/>
  <c r="BB432" i="32" s="1"/>
  <c r="AS72" i="32"/>
  <c r="AT72" i="32" s="1"/>
  <c r="AS264" i="32"/>
  <c r="BC264" i="32" s="1"/>
  <c r="AS160" i="32"/>
  <c r="BC160" i="32" s="1"/>
  <c r="AS65" i="32"/>
  <c r="AU65" i="32" s="1"/>
  <c r="AS561" i="32"/>
  <c r="BB561" i="32" s="1"/>
  <c r="AS603" i="32"/>
  <c r="AU603" i="32" s="1"/>
  <c r="AS128" i="32"/>
  <c r="AS392" i="32"/>
  <c r="BC392" i="32" s="1"/>
  <c r="AS248" i="32"/>
  <c r="BB248" i="32" s="1"/>
  <c r="AS121" i="32"/>
  <c r="BC121" i="32" s="1"/>
  <c r="AS18" i="32"/>
  <c r="AU18" i="32" s="1"/>
  <c r="AS192" i="32"/>
  <c r="BB192" i="32" s="1"/>
  <c r="AS176" i="32"/>
  <c r="BC176" i="32" s="1"/>
  <c r="AS53" i="32"/>
  <c r="AT53" i="32" s="1"/>
  <c r="AS129" i="32"/>
  <c r="AS26" i="32"/>
  <c r="AS88" i="32"/>
  <c r="BC88" i="32" s="1"/>
  <c r="AS41" i="32"/>
  <c r="BC41" i="32" s="1"/>
  <c r="AS169" i="32"/>
  <c r="BB169" i="32" s="1"/>
  <c r="AS433" i="32"/>
  <c r="BB433" i="32" s="1"/>
  <c r="AS82" i="32"/>
  <c r="AU82" i="32" s="1"/>
  <c r="AS59" i="32"/>
  <c r="BC59" i="32" s="1"/>
  <c r="AS48" i="32"/>
  <c r="AU48" i="32" s="1"/>
  <c r="AS168" i="32"/>
  <c r="BB168" i="32" s="1"/>
  <c r="AS40" i="32"/>
  <c r="BB40" i="32" s="1"/>
  <c r="AS368" i="32"/>
  <c r="AS80" i="32"/>
  <c r="AS56" i="32"/>
  <c r="BB56" i="32" s="1"/>
  <c r="AS232" i="32"/>
  <c r="AT232" i="32" s="1"/>
  <c r="AS49" i="32"/>
  <c r="AT49" i="32" s="1"/>
  <c r="AS177" i="32"/>
  <c r="AS441" i="32"/>
  <c r="AS146" i="32"/>
  <c r="BB146" i="32" s="1"/>
  <c r="AS283" i="32"/>
  <c r="AU283" i="32" s="1"/>
  <c r="AS32" i="32"/>
  <c r="AT32" i="32" s="1"/>
  <c r="AS552" i="32"/>
  <c r="AU552" i="32" s="1"/>
  <c r="AS241" i="32"/>
  <c r="BB241" i="32" s="1"/>
  <c r="AS569" i="32"/>
  <c r="BC569" i="32" s="1"/>
  <c r="AS306" i="32"/>
  <c r="AS212" i="32"/>
  <c r="AS21" i="32"/>
  <c r="AS105" i="32"/>
  <c r="AT105" i="32" s="1"/>
  <c r="AS256" i="32"/>
  <c r="BB256" i="32" s="1"/>
  <c r="AS328" i="32"/>
  <c r="BB328" i="32" s="1"/>
  <c r="AS152" i="32"/>
  <c r="BC152" i="32" s="1"/>
  <c r="AS304" i="32"/>
  <c r="AU304" i="32" s="1"/>
  <c r="AS568" i="32"/>
  <c r="BB568" i="32" s="1"/>
  <c r="AS113" i="32"/>
  <c r="AU113" i="32" s="1"/>
  <c r="AS305" i="32"/>
  <c r="BC305" i="32" s="1"/>
  <c r="AS424" i="32"/>
  <c r="BC424" i="32" s="1"/>
  <c r="AS314" i="32"/>
  <c r="BB314" i="32" s="1"/>
  <c r="AS193" i="32"/>
  <c r="AU193" i="32" s="1"/>
  <c r="AS321" i="32"/>
  <c r="BB321" i="32" s="1"/>
  <c r="AS449" i="32"/>
  <c r="BB449" i="32" s="1"/>
  <c r="AS577" i="32"/>
  <c r="BB577" i="32" s="1"/>
  <c r="AS34" i="32"/>
  <c r="AT34" i="32" s="1"/>
  <c r="AS162" i="32"/>
  <c r="BC162" i="32" s="1"/>
  <c r="AS354" i="32"/>
  <c r="BB354" i="32" s="1"/>
  <c r="AS83" i="32"/>
  <c r="AS626" i="32"/>
  <c r="BB626" i="32" s="1"/>
  <c r="AS361" i="32"/>
  <c r="BC361" i="32" s="1"/>
  <c r="AS489" i="32"/>
  <c r="BC489" i="32" s="1"/>
  <c r="AS624" i="32"/>
  <c r="BB624" i="32" s="1"/>
  <c r="AS74" i="32"/>
  <c r="BB74" i="32" s="1"/>
  <c r="AS202" i="32"/>
  <c r="AT202" i="32" s="1"/>
  <c r="AS426" i="32"/>
  <c r="BC426" i="32" s="1"/>
  <c r="AS275" i="32"/>
  <c r="AS196" i="32"/>
  <c r="AU196" i="32" s="1"/>
  <c r="AS249" i="32"/>
  <c r="BC249" i="32" s="1"/>
  <c r="AS377" i="32"/>
  <c r="BC377" i="32" s="1"/>
  <c r="AS505" i="32"/>
  <c r="BB505" i="32" s="1"/>
  <c r="AS464" i="32"/>
  <c r="AT464" i="32" s="1"/>
  <c r="AS90" i="32"/>
  <c r="AS218" i="32"/>
  <c r="BB218" i="32" s="1"/>
  <c r="AS442" i="32"/>
  <c r="BC442" i="32" s="1"/>
  <c r="AS339" i="32"/>
  <c r="BC339" i="32" s="1"/>
  <c r="AS372" i="32"/>
  <c r="BB372" i="32" s="1"/>
  <c r="AS257" i="32"/>
  <c r="BB257" i="32" s="1"/>
  <c r="AS385" i="32"/>
  <c r="BB385" i="32" s="1"/>
  <c r="AS513" i="32"/>
  <c r="BB513" i="32" s="1"/>
  <c r="AS496" i="32"/>
  <c r="BC496" i="32" s="1"/>
  <c r="AS98" i="32"/>
  <c r="BC98" i="32" s="1"/>
  <c r="AS226" i="32"/>
  <c r="BC226" i="32" s="1"/>
  <c r="AS482" i="32"/>
  <c r="AU482" i="32" s="1"/>
  <c r="AS347" i="32"/>
  <c r="BB347" i="32" s="1"/>
  <c r="AS516" i="32"/>
  <c r="BB516" i="32" s="1"/>
  <c r="AS297" i="32"/>
  <c r="BC297" i="32" s="1"/>
  <c r="AS425" i="32"/>
  <c r="BC425" i="32" s="1"/>
  <c r="AS553" i="32"/>
  <c r="AS608" i="32"/>
  <c r="AT608" i="32" s="1"/>
  <c r="AS138" i="32"/>
  <c r="BB138" i="32" s="1"/>
  <c r="AS298" i="32"/>
  <c r="BB298" i="32" s="1"/>
  <c r="AS625" i="32"/>
  <c r="AT625" i="32" s="1"/>
  <c r="AS531" i="32"/>
  <c r="AU531" i="32" s="1"/>
  <c r="AU13" i="32"/>
  <c r="BC6" i="32"/>
  <c r="AS14" i="32"/>
  <c r="AU14" i="32" s="1"/>
  <c r="AS120" i="32"/>
  <c r="BC120" i="32" s="1"/>
  <c r="AS272" i="32"/>
  <c r="BB272" i="32" s="1"/>
  <c r="AS344" i="32"/>
  <c r="BC344" i="32" s="1"/>
  <c r="AS224" i="32"/>
  <c r="AU224" i="32" s="1"/>
  <c r="AS24" i="32"/>
  <c r="AU24" i="32" s="1"/>
  <c r="AS440" i="32"/>
  <c r="BC440" i="32" s="1"/>
  <c r="AS623" i="32"/>
  <c r="BC623" i="32" s="1"/>
  <c r="AS73" i="32"/>
  <c r="BC73" i="32" s="1"/>
  <c r="AS137" i="32"/>
  <c r="BB137" i="32" s="1"/>
  <c r="AS201" i="32"/>
  <c r="BB201" i="32" s="1"/>
  <c r="AS265" i="32"/>
  <c r="AU265" i="32" s="1"/>
  <c r="AS329" i="32"/>
  <c r="BC329" i="32" s="1"/>
  <c r="AS393" i="32"/>
  <c r="AT393" i="32" s="1"/>
  <c r="AS457" i="32"/>
  <c r="BC457" i="32" s="1"/>
  <c r="AS521" i="32"/>
  <c r="BB521" i="32" s="1"/>
  <c r="AS585" i="32"/>
  <c r="AT585" i="32" s="1"/>
  <c r="AS520" i="32"/>
  <c r="BC520" i="32" s="1"/>
  <c r="AS42" i="32"/>
  <c r="AS106" i="32"/>
  <c r="BC106" i="32" s="1"/>
  <c r="AS170" i="32"/>
  <c r="BB170" i="32" s="1"/>
  <c r="AS234" i="32"/>
  <c r="AT234" i="32" s="1"/>
  <c r="AS362" i="32"/>
  <c r="AT362" i="32" s="1"/>
  <c r="AS490" i="32"/>
  <c r="AT490" i="32" s="1"/>
  <c r="AS147" i="32"/>
  <c r="BB147" i="32" s="1"/>
  <c r="AS403" i="32"/>
  <c r="BC403" i="32" s="1"/>
  <c r="AS91" i="32"/>
  <c r="AT91" i="32" s="1"/>
  <c r="AS564" i="32"/>
  <c r="BC564" i="32" s="1"/>
  <c r="BB6" i="32"/>
  <c r="AS336" i="32"/>
  <c r="BC336" i="32" s="1"/>
  <c r="AS408" i="32"/>
  <c r="AT408" i="32" s="1"/>
  <c r="AS288" i="32"/>
  <c r="BC288" i="32" s="1"/>
  <c r="AS29" i="32"/>
  <c r="BC29" i="32" s="1"/>
  <c r="AS472" i="32"/>
  <c r="BB472" i="32" s="1"/>
  <c r="AS17" i="32"/>
  <c r="AU17" i="32" s="1"/>
  <c r="AS81" i="32"/>
  <c r="AU81" i="32" s="1"/>
  <c r="AS145" i="32"/>
  <c r="BC145" i="32" s="1"/>
  <c r="AS209" i="32"/>
  <c r="BB209" i="32" s="1"/>
  <c r="BN208" i="32" s="1"/>
  <c r="BO208" i="32" s="1"/>
  <c r="AS273" i="32"/>
  <c r="BB273" i="32" s="1"/>
  <c r="AS337" i="32"/>
  <c r="AT337" i="32" s="1"/>
  <c r="AS401" i="32"/>
  <c r="BC401" i="32" s="1"/>
  <c r="AS465" i="32"/>
  <c r="BB465" i="32" s="1"/>
  <c r="AS529" i="32"/>
  <c r="BC529" i="32" s="1"/>
  <c r="AS593" i="32"/>
  <c r="AU593" i="32" s="1"/>
  <c r="AS544" i="32"/>
  <c r="BC544" i="32" s="1"/>
  <c r="AS50" i="32"/>
  <c r="AU50" i="32" s="1"/>
  <c r="AS114" i="32"/>
  <c r="BC114" i="32" s="1"/>
  <c r="AS178" i="32"/>
  <c r="AU178" i="32" s="1"/>
  <c r="AS242" i="32"/>
  <c r="AS370" i="32"/>
  <c r="AU370" i="32" s="1"/>
  <c r="AS498" i="32"/>
  <c r="BC498" i="32" s="1"/>
  <c r="AS155" i="32"/>
  <c r="BC155" i="32" s="1"/>
  <c r="AS411" i="32"/>
  <c r="BC411" i="32" s="1"/>
  <c r="AS20" i="32"/>
  <c r="AT20" i="32" s="1"/>
  <c r="AS469" i="32"/>
  <c r="AU469" i="32" s="1"/>
  <c r="AT13" i="32"/>
  <c r="BB13" i="32"/>
  <c r="AS136" i="32"/>
  <c r="BC136" i="32" s="1"/>
  <c r="AS45" i="32"/>
  <c r="BB45" i="32" s="1"/>
  <c r="AS400" i="32"/>
  <c r="BC400" i="32" s="1"/>
  <c r="AS240" i="32"/>
  <c r="AT240" i="32" s="1"/>
  <c r="AS352" i="32"/>
  <c r="BC352" i="32" s="1"/>
  <c r="AS61" i="32"/>
  <c r="BB61" i="32" s="1"/>
  <c r="AS504" i="32"/>
  <c r="BC504" i="32" s="1"/>
  <c r="AS25" i="32"/>
  <c r="AS89" i="32"/>
  <c r="BC89" i="32" s="1"/>
  <c r="AS153" i="32"/>
  <c r="BB153" i="32" s="1"/>
  <c r="AS217" i="32"/>
  <c r="BC217" i="32" s="1"/>
  <c r="AS281" i="32"/>
  <c r="BC281" i="32" s="1"/>
  <c r="AS345" i="32"/>
  <c r="AU345" i="32" s="1"/>
  <c r="AS409" i="32"/>
  <c r="AT409" i="32" s="1"/>
  <c r="AS473" i="32"/>
  <c r="BB473" i="32" s="1"/>
  <c r="AS537" i="32"/>
  <c r="AS601" i="32"/>
  <c r="BB601" i="32" s="1"/>
  <c r="AS576" i="32"/>
  <c r="BC576" i="32" s="1"/>
  <c r="AS58" i="32"/>
  <c r="BC58" i="32" s="1"/>
  <c r="AS122" i="32"/>
  <c r="AU122" i="32" s="1"/>
  <c r="AS186" i="32"/>
  <c r="AU186" i="32" s="1"/>
  <c r="AS250" i="32"/>
  <c r="AU250" i="32" s="1"/>
  <c r="AS378" i="32"/>
  <c r="AU378" i="32" s="1"/>
  <c r="AS554" i="32"/>
  <c r="AS211" i="32"/>
  <c r="AU211" i="32" s="1"/>
  <c r="AS467" i="32"/>
  <c r="BC467" i="32" s="1"/>
  <c r="AS100" i="32"/>
  <c r="BC100" i="32" s="1"/>
  <c r="AS533" i="32"/>
  <c r="AT533" i="32" s="1"/>
  <c r="AS200" i="32"/>
  <c r="AT200" i="32" s="1"/>
  <c r="AS16" i="32"/>
  <c r="BB16" i="32" s="1"/>
  <c r="AS69" i="32"/>
  <c r="BC69" i="32" s="1"/>
  <c r="AS184" i="32"/>
  <c r="BB184" i="32" s="1"/>
  <c r="AS416" i="32"/>
  <c r="AT416" i="32" s="1"/>
  <c r="AS104" i="32"/>
  <c r="AT104" i="32" s="1"/>
  <c r="AS528" i="32"/>
  <c r="BB528" i="32" s="1"/>
  <c r="AS33" i="32"/>
  <c r="BB33" i="32" s="1"/>
  <c r="AS97" i="32"/>
  <c r="BC97" i="32" s="1"/>
  <c r="AS161" i="32"/>
  <c r="AT161" i="32" s="1"/>
  <c r="AS225" i="32"/>
  <c r="AT225" i="32" s="1"/>
  <c r="AS289" i="32"/>
  <c r="BC289" i="32" s="1"/>
  <c r="AS353" i="32"/>
  <c r="AS417" i="32"/>
  <c r="AU417" i="32" s="1"/>
  <c r="AS481" i="32"/>
  <c r="BB481" i="32" s="1"/>
  <c r="AS545" i="32"/>
  <c r="AT545" i="32" s="1"/>
  <c r="AS609" i="32"/>
  <c r="BC609" i="32" s="1"/>
  <c r="AS592" i="32"/>
  <c r="BB592" i="32" s="1"/>
  <c r="AS66" i="32"/>
  <c r="BB66" i="32" s="1"/>
  <c r="AS130" i="32"/>
  <c r="BB130" i="32" s="1"/>
  <c r="AS194" i="32"/>
  <c r="AT194" i="32" s="1"/>
  <c r="AS290" i="32"/>
  <c r="AS418" i="32"/>
  <c r="BC418" i="32" s="1"/>
  <c r="AS562" i="32"/>
  <c r="AT562" i="32" s="1"/>
  <c r="AS219" i="32"/>
  <c r="BB219" i="32" s="1"/>
  <c r="BN218" i="32" s="1"/>
  <c r="BO218" i="32" s="1"/>
  <c r="AS475" i="32"/>
  <c r="AT475" i="32" s="1"/>
  <c r="AS108" i="32"/>
  <c r="BC108" i="32" s="1"/>
  <c r="AS438" i="32"/>
  <c r="AS502" i="32"/>
  <c r="BB502" i="32" s="1"/>
  <c r="AS364" i="32"/>
  <c r="AT364" i="32" s="1"/>
  <c r="AS570" i="32"/>
  <c r="AU570" i="32" s="1"/>
  <c r="AS99" i="32"/>
  <c r="AT99" i="32" s="1"/>
  <c r="AS227" i="32"/>
  <c r="BC227" i="32" s="1"/>
  <c r="AS355" i="32"/>
  <c r="AU355" i="32" s="1"/>
  <c r="AS483" i="32"/>
  <c r="AT483" i="32" s="1"/>
  <c r="AS448" i="32"/>
  <c r="BB448" i="32" s="1"/>
  <c r="AS116" i="32"/>
  <c r="BC116" i="32" s="1"/>
  <c r="AS388" i="32"/>
  <c r="AU388" i="32" s="1"/>
  <c r="AS597" i="32"/>
  <c r="AU597" i="32" s="1"/>
  <c r="AS610" i="32"/>
  <c r="BC610" i="32" s="1"/>
  <c r="AS139" i="32"/>
  <c r="BB139" i="32" s="1"/>
  <c r="AS267" i="32"/>
  <c r="BB267" i="32" s="1"/>
  <c r="AS395" i="32"/>
  <c r="BC395" i="32" s="1"/>
  <c r="AS523" i="32"/>
  <c r="BB523" i="32" s="1"/>
  <c r="AS75" i="32"/>
  <c r="BC75" i="32" s="1"/>
  <c r="AS180" i="32"/>
  <c r="AS500" i="32"/>
  <c r="AT500" i="32" s="1"/>
  <c r="AS374" i="32"/>
  <c r="BC374" i="32" s="1"/>
  <c r="AS506" i="32"/>
  <c r="BC506" i="32" s="1"/>
  <c r="AS456" i="32"/>
  <c r="AU456" i="32" s="1"/>
  <c r="AS163" i="32"/>
  <c r="BC163" i="32" s="1"/>
  <c r="AS291" i="32"/>
  <c r="BB291" i="32" s="1"/>
  <c r="AS419" i="32"/>
  <c r="BB419" i="32" s="1"/>
  <c r="AS547" i="32"/>
  <c r="BB547" i="32" s="1"/>
  <c r="AS36" i="32"/>
  <c r="AU36" i="32" s="1"/>
  <c r="AS236" i="32"/>
  <c r="AT236" i="32" s="1"/>
  <c r="AS85" i="32"/>
  <c r="AT85" i="32" s="1"/>
  <c r="AS566" i="32"/>
  <c r="BC566" i="32" s="1"/>
  <c r="AS546" i="32"/>
  <c r="BB546" i="32" s="1"/>
  <c r="AS51" i="32"/>
  <c r="BC51" i="32" s="1"/>
  <c r="AS203" i="32"/>
  <c r="BB203" i="32" s="1"/>
  <c r="AS331" i="32"/>
  <c r="BC331" i="32" s="1"/>
  <c r="AS459" i="32"/>
  <c r="AU459" i="32" s="1"/>
  <c r="AS595" i="32"/>
  <c r="AT595" i="32" s="1"/>
  <c r="AS84" i="32"/>
  <c r="BB84" i="32" s="1"/>
  <c r="AS324" i="32"/>
  <c r="BC324" i="32" s="1"/>
  <c r="AS405" i="32"/>
  <c r="AT405" i="32" s="1"/>
  <c r="AS258" i="32"/>
  <c r="BB258" i="32" s="1"/>
  <c r="AS322" i="32"/>
  <c r="BB322" i="32" s="1"/>
  <c r="AS386" i="32"/>
  <c r="BB386" i="32" s="1"/>
  <c r="AS450" i="32"/>
  <c r="AU450" i="32" s="1"/>
  <c r="AS514" i="32"/>
  <c r="BB514" i="32" s="1"/>
  <c r="AS578" i="32"/>
  <c r="AU578" i="32" s="1"/>
  <c r="AS488" i="32"/>
  <c r="AU488" i="32" s="1"/>
  <c r="AS107" i="32"/>
  <c r="BC107" i="32" s="1"/>
  <c r="AS171" i="32"/>
  <c r="BB171" i="32" s="1"/>
  <c r="AS235" i="32"/>
  <c r="AU235" i="32" s="1"/>
  <c r="AS299" i="32"/>
  <c r="BC299" i="32" s="1"/>
  <c r="AS363" i="32"/>
  <c r="AT363" i="32" s="1"/>
  <c r="AS427" i="32"/>
  <c r="AU427" i="32" s="1"/>
  <c r="AS491" i="32"/>
  <c r="AT491" i="32" s="1"/>
  <c r="AS555" i="32"/>
  <c r="BC555" i="32" s="1"/>
  <c r="AS480" i="32"/>
  <c r="BC480" i="32" s="1"/>
  <c r="AS44" i="32"/>
  <c r="BC44" i="32" s="1"/>
  <c r="AS132" i="32"/>
  <c r="AT132" i="32" s="1"/>
  <c r="AS244" i="32"/>
  <c r="BC244" i="32" s="1"/>
  <c r="AS428" i="32"/>
  <c r="AT428" i="32" s="1"/>
  <c r="AS149" i="32"/>
  <c r="BB149" i="32" s="1"/>
  <c r="AS102" i="32"/>
  <c r="BB102" i="32" s="1"/>
  <c r="AS38" i="32"/>
  <c r="AU38" i="32" s="1"/>
  <c r="AS266" i="32"/>
  <c r="AU266" i="32" s="1"/>
  <c r="AS330" i="32"/>
  <c r="BC330" i="32" s="1"/>
  <c r="AS394" i="32"/>
  <c r="BC394" i="32" s="1"/>
  <c r="AS458" i="32"/>
  <c r="BB458" i="32" s="1"/>
  <c r="AS522" i="32"/>
  <c r="BB522" i="32" s="1"/>
  <c r="AS586" i="32"/>
  <c r="BC586" i="32" s="1"/>
  <c r="AS536" i="32"/>
  <c r="BC536" i="32" s="1"/>
  <c r="AS115" i="32"/>
  <c r="AU115" i="32" s="1"/>
  <c r="AS179" i="32"/>
  <c r="BC179" i="32" s="1"/>
  <c r="AS243" i="32"/>
  <c r="BB243" i="32" s="1"/>
  <c r="AS307" i="32"/>
  <c r="BC307" i="32" s="1"/>
  <c r="AS371" i="32"/>
  <c r="AT371" i="32" s="1"/>
  <c r="AS435" i="32"/>
  <c r="BC435" i="32" s="1"/>
  <c r="AS499" i="32"/>
  <c r="AT499" i="32" s="1"/>
  <c r="AS563" i="32"/>
  <c r="BC563" i="32" s="1"/>
  <c r="AS560" i="32"/>
  <c r="AU560" i="32" s="1"/>
  <c r="AS52" i="32"/>
  <c r="AT52" i="32" s="1"/>
  <c r="AS140" i="32"/>
  <c r="AT140" i="32" s="1"/>
  <c r="AS260" i="32"/>
  <c r="BB260" i="32" s="1"/>
  <c r="AS436" i="32"/>
  <c r="AT436" i="32" s="1"/>
  <c r="AS213" i="32"/>
  <c r="BC213" i="32" s="1"/>
  <c r="AS182" i="32"/>
  <c r="AT182" i="32" s="1"/>
  <c r="AS23" i="32"/>
  <c r="AU23" i="32" s="1"/>
  <c r="AS274" i="32"/>
  <c r="BB274" i="32" s="1"/>
  <c r="BN273" i="32" s="1"/>
  <c r="BO273" i="32" s="1"/>
  <c r="AS338" i="32"/>
  <c r="BC338" i="32" s="1"/>
  <c r="AS402" i="32"/>
  <c r="AU402" i="32" s="1"/>
  <c r="AS466" i="32"/>
  <c r="BB466" i="32" s="1"/>
  <c r="BN465" i="32" s="1"/>
  <c r="BO465" i="32" s="1"/>
  <c r="AS530" i="32"/>
  <c r="BB530" i="32" s="1"/>
  <c r="AS594" i="32"/>
  <c r="BC594" i="32" s="1"/>
  <c r="AS19" i="32"/>
  <c r="BC19" i="32" s="1"/>
  <c r="AS123" i="32"/>
  <c r="BB123" i="32" s="1"/>
  <c r="AS187" i="32"/>
  <c r="AU187" i="32" s="1"/>
  <c r="AS251" i="32"/>
  <c r="BB251" i="32" s="1"/>
  <c r="AS315" i="32"/>
  <c r="BB315" i="32" s="1"/>
  <c r="AS379" i="32"/>
  <c r="BC379" i="32" s="1"/>
  <c r="AS443" i="32"/>
  <c r="BC443" i="32" s="1"/>
  <c r="AS507" i="32"/>
  <c r="AT507" i="32" s="1"/>
  <c r="AS571" i="32"/>
  <c r="AT571" i="32" s="1"/>
  <c r="AS27" i="32"/>
  <c r="AU27" i="32" s="1"/>
  <c r="AS68" i="32"/>
  <c r="BB68" i="32" s="1"/>
  <c r="AS148" i="32"/>
  <c r="BB148" i="32" s="1"/>
  <c r="AS300" i="32"/>
  <c r="BC300" i="32" s="1"/>
  <c r="AS452" i="32"/>
  <c r="AT452" i="32" s="1"/>
  <c r="AS277" i="32"/>
  <c r="AT277" i="32" s="1"/>
  <c r="AS246" i="32"/>
  <c r="AT246" i="32" s="1"/>
  <c r="AS111" i="32"/>
  <c r="AU111" i="32" s="1"/>
  <c r="AS282" i="32"/>
  <c r="AU282" i="32" s="1"/>
  <c r="AS346" i="32"/>
  <c r="BB346" i="32" s="1"/>
  <c r="AS410" i="32"/>
  <c r="AU410" i="32" s="1"/>
  <c r="AS474" i="32"/>
  <c r="AT474" i="32" s="1"/>
  <c r="AS538" i="32"/>
  <c r="BB538" i="32" s="1"/>
  <c r="AS602" i="32"/>
  <c r="AU602" i="32" s="1"/>
  <c r="AS35" i="32"/>
  <c r="AT35" i="32" s="1"/>
  <c r="AS131" i="32"/>
  <c r="BC131" i="32" s="1"/>
  <c r="AS195" i="32"/>
  <c r="AU195" i="32" s="1"/>
  <c r="AS259" i="32"/>
  <c r="BB259" i="32" s="1"/>
  <c r="AS323" i="32"/>
  <c r="BC323" i="32" s="1"/>
  <c r="AS387" i="32"/>
  <c r="BC387" i="32" s="1"/>
  <c r="AS451" i="32"/>
  <c r="AU451" i="32" s="1"/>
  <c r="AS515" i="32"/>
  <c r="AU515" i="32" s="1"/>
  <c r="AS587" i="32"/>
  <c r="AU587" i="32" s="1"/>
  <c r="AS43" i="32"/>
  <c r="BB43" i="32" s="1"/>
  <c r="AS76" i="32"/>
  <c r="BC76" i="32" s="1"/>
  <c r="AS172" i="32"/>
  <c r="BB172" i="32" s="1"/>
  <c r="AS308" i="32"/>
  <c r="AU308" i="32" s="1"/>
  <c r="AS492" i="32"/>
  <c r="AU492" i="32" s="1"/>
  <c r="AS341" i="32"/>
  <c r="BC341" i="32" s="1"/>
  <c r="AS310" i="32"/>
  <c r="AU310" i="32" s="1"/>
  <c r="AS279" i="32"/>
  <c r="AU279" i="32" s="1"/>
  <c r="AS611" i="32"/>
  <c r="BB611" i="32" s="1"/>
  <c r="AS67" i="32"/>
  <c r="BC67" i="32" s="1"/>
  <c r="AS60" i="32"/>
  <c r="BB60" i="32" s="1"/>
  <c r="BN60" i="32" s="1"/>
  <c r="BO60" i="32" s="1"/>
  <c r="AS124" i="32"/>
  <c r="AU124" i="32" s="1"/>
  <c r="AS188" i="32"/>
  <c r="BC188" i="32" s="1"/>
  <c r="AS252" i="32"/>
  <c r="AU252" i="32" s="1"/>
  <c r="AS316" i="32"/>
  <c r="AT316" i="32" s="1"/>
  <c r="AS380" i="32"/>
  <c r="BC380" i="32" s="1"/>
  <c r="AS444" i="32"/>
  <c r="BB444" i="32" s="1"/>
  <c r="AS508" i="32"/>
  <c r="AT508" i="32" s="1"/>
  <c r="AS572" i="32"/>
  <c r="BC572" i="32" s="1"/>
  <c r="AS93" i="32"/>
  <c r="BC93" i="32" s="1"/>
  <c r="AS157" i="32"/>
  <c r="BC157" i="32" s="1"/>
  <c r="AS221" i="32"/>
  <c r="BB221" i="32" s="1"/>
  <c r="AS285" i="32"/>
  <c r="BC285" i="32" s="1"/>
  <c r="AS349" i="32"/>
  <c r="AU349" i="32" s="1"/>
  <c r="AS413" i="32"/>
  <c r="BC413" i="32" s="1"/>
  <c r="AS477" i="32"/>
  <c r="AT477" i="32" s="1"/>
  <c r="AS541" i="32"/>
  <c r="BB541" i="32" s="1"/>
  <c r="AS605" i="32"/>
  <c r="AT605" i="32" s="1"/>
  <c r="AS118" i="32"/>
  <c r="AT118" i="32" s="1"/>
  <c r="AS190" i="32"/>
  <c r="AU190" i="32" s="1"/>
  <c r="AS254" i="32"/>
  <c r="BB254" i="32" s="1"/>
  <c r="AS318" i="32"/>
  <c r="BB318" i="32" s="1"/>
  <c r="AS382" i="32"/>
  <c r="BB382" i="32" s="1"/>
  <c r="AS446" i="32"/>
  <c r="AU446" i="32" s="1"/>
  <c r="AS510" i="32"/>
  <c r="BC510" i="32" s="1"/>
  <c r="AS574" i="32"/>
  <c r="AU574" i="32" s="1"/>
  <c r="AS54" i="32"/>
  <c r="BB54" i="32" s="1"/>
  <c r="AS31" i="32"/>
  <c r="AU31" i="32" s="1"/>
  <c r="AS135" i="32"/>
  <c r="BC135" i="32" s="1"/>
  <c r="AS295" i="32"/>
  <c r="AU295" i="32" s="1"/>
  <c r="AS580" i="32"/>
  <c r="BB580" i="32" s="1"/>
  <c r="AS101" i="32"/>
  <c r="BB101" i="32" s="1"/>
  <c r="AS165" i="32"/>
  <c r="BB165" i="32" s="1"/>
  <c r="AS229" i="32"/>
  <c r="AT229" i="32" s="1"/>
  <c r="AS293" i="32"/>
  <c r="AT293" i="32" s="1"/>
  <c r="AS357" i="32"/>
  <c r="AU357" i="32" s="1"/>
  <c r="AS421" i="32"/>
  <c r="AT421" i="32" s="1"/>
  <c r="AS485" i="32"/>
  <c r="AU485" i="32" s="1"/>
  <c r="AS549" i="32"/>
  <c r="BC549" i="32" s="1"/>
  <c r="AS613" i="32"/>
  <c r="BB613" i="32" s="1"/>
  <c r="AS134" i="32"/>
  <c r="AU134" i="32" s="1"/>
  <c r="AS198" i="32"/>
  <c r="AU198" i="32" s="1"/>
  <c r="AS262" i="32"/>
  <c r="AT262" i="32" s="1"/>
  <c r="AS326" i="32"/>
  <c r="AU326" i="32" s="1"/>
  <c r="AS390" i="32"/>
  <c r="BC390" i="32" s="1"/>
  <c r="AS454" i="32"/>
  <c r="BB454" i="32" s="1"/>
  <c r="AS518" i="32"/>
  <c r="AT518" i="32" s="1"/>
  <c r="AS582" i="32"/>
  <c r="AS70" i="32"/>
  <c r="AS39" i="32"/>
  <c r="AT39" i="32" s="1"/>
  <c r="AS151" i="32"/>
  <c r="BC151" i="32" s="1"/>
  <c r="AS303" i="32"/>
  <c r="BB303" i="32" s="1"/>
  <c r="AS204" i="32"/>
  <c r="BB204" i="32" s="1"/>
  <c r="AS268" i="32"/>
  <c r="BB268" i="32" s="1"/>
  <c r="AS332" i="32"/>
  <c r="BB332" i="32" s="1"/>
  <c r="AS396" i="32"/>
  <c r="BB396" i="32" s="1"/>
  <c r="AS460" i="32"/>
  <c r="AU460" i="32" s="1"/>
  <c r="AS524" i="32"/>
  <c r="AU524" i="32" s="1"/>
  <c r="AS588" i="32"/>
  <c r="AU588" i="32" s="1"/>
  <c r="AS109" i="32"/>
  <c r="BB109" i="32" s="1"/>
  <c r="AS173" i="32"/>
  <c r="BB173" i="32" s="1"/>
  <c r="AS237" i="32"/>
  <c r="BB237" i="32" s="1"/>
  <c r="AS301" i="32"/>
  <c r="BC301" i="32" s="1"/>
  <c r="AS365" i="32"/>
  <c r="BC365" i="32" s="1"/>
  <c r="AS429" i="32"/>
  <c r="BC429" i="32" s="1"/>
  <c r="AS493" i="32"/>
  <c r="BB493" i="32" s="1"/>
  <c r="AS557" i="32"/>
  <c r="BC557" i="32" s="1"/>
  <c r="AS628" i="32"/>
  <c r="AT628" i="32" s="1"/>
  <c r="AS142" i="32"/>
  <c r="AT142" i="32" s="1"/>
  <c r="AS206" i="32"/>
  <c r="BB206" i="32" s="1"/>
  <c r="AS270" i="32"/>
  <c r="AT270" i="32" s="1"/>
  <c r="AS334" i="32"/>
  <c r="BB334" i="32" s="1"/>
  <c r="AS398" i="32"/>
  <c r="BC398" i="32" s="1"/>
  <c r="AS462" i="32"/>
  <c r="AU462" i="32" s="1"/>
  <c r="AS526" i="32"/>
  <c r="AU526" i="32" s="1"/>
  <c r="AS590" i="32"/>
  <c r="AT590" i="32" s="1"/>
  <c r="AS78" i="32"/>
  <c r="BC78" i="32" s="1"/>
  <c r="AS47" i="32"/>
  <c r="AT47" i="32" s="1"/>
  <c r="AS167" i="32"/>
  <c r="BC167" i="32" s="1"/>
  <c r="AS383" i="32"/>
  <c r="BC383" i="32" s="1"/>
  <c r="AS276" i="32"/>
  <c r="BB276" i="32" s="1"/>
  <c r="AS340" i="32"/>
  <c r="BC340" i="32" s="1"/>
  <c r="AS404" i="32"/>
  <c r="BB404" i="32" s="1"/>
  <c r="AS468" i="32"/>
  <c r="BB468" i="32" s="1"/>
  <c r="AS532" i="32"/>
  <c r="AU532" i="32" s="1"/>
  <c r="AS596" i="32"/>
  <c r="BC596" i="32" s="1"/>
  <c r="AS117" i="32"/>
  <c r="BB117" i="32" s="1"/>
  <c r="AS181" i="32"/>
  <c r="AT181" i="32" s="1"/>
  <c r="AS245" i="32"/>
  <c r="BB245" i="32" s="1"/>
  <c r="AS309" i="32"/>
  <c r="AT309" i="32" s="1"/>
  <c r="AS373" i="32"/>
  <c r="AT373" i="32" s="1"/>
  <c r="AS437" i="32"/>
  <c r="BC437" i="32" s="1"/>
  <c r="AS501" i="32"/>
  <c r="BC501" i="32" s="1"/>
  <c r="AS565" i="32"/>
  <c r="BB565" i="32" s="1"/>
  <c r="AS30" i="32"/>
  <c r="BB30" i="32" s="1"/>
  <c r="AS150" i="32"/>
  <c r="AT150" i="32" s="1"/>
  <c r="AS214" i="32"/>
  <c r="BC214" i="32" s="1"/>
  <c r="AS278" i="32"/>
  <c r="BC278" i="32" s="1"/>
  <c r="AS342" i="32"/>
  <c r="AT342" i="32" s="1"/>
  <c r="AS406" i="32"/>
  <c r="BC406" i="32" s="1"/>
  <c r="AS470" i="32"/>
  <c r="BB470" i="32" s="1"/>
  <c r="AS534" i="32"/>
  <c r="AU534" i="32" s="1"/>
  <c r="AS598" i="32"/>
  <c r="AU598" i="32" s="1"/>
  <c r="AS94" i="32"/>
  <c r="AU94" i="32" s="1"/>
  <c r="AS63" i="32"/>
  <c r="BC63" i="32" s="1"/>
  <c r="AS175" i="32"/>
  <c r="AU175" i="32" s="1"/>
  <c r="AS447" i="32"/>
  <c r="BB447" i="32" s="1"/>
  <c r="AS579" i="32"/>
  <c r="BC579" i="32" s="1"/>
  <c r="AS512" i="32"/>
  <c r="BB512" i="32" s="1"/>
  <c r="AS28" i="32"/>
  <c r="BB28" i="32" s="1"/>
  <c r="AS92" i="32"/>
  <c r="AT92" i="32" s="1"/>
  <c r="AS156" i="32"/>
  <c r="BC156" i="32" s="1"/>
  <c r="AS220" i="32"/>
  <c r="AU220" i="32" s="1"/>
  <c r="AS284" i="32"/>
  <c r="AU284" i="32" s="1"/>
  <c r="AS348" i="32"/>
  <c r="BC348" i="32" s="1"/>
  <c r="AS412" i="32"/>
  <c r="BC412" i="32" s="1"/>
  <c r="AS476" i="32"/>
  <c r="BC476" i="32" s="1"/>
  <c r="AS540" i="32"/>
  <c r="BC540" i="32" s="1"/>
  <c r="AS604" i="32"/>
  <c r="BB604" i="32" s="1"/>
  <c r="AS125" i="32"/>
  <c r="AT125" i="32" s="1"/>
  <c r="AS189" i="32"/>
  <c r="BB189" i="32" s="1"/>
  <c r="AS253" i="32"/>
  <c r="BB253" i="32" s="1"/>
  <c r="AS317" i="32"/>
  <c r="AT317" i="32" s="1"/>
  <c r="AS381" i="32"/>
  <c r="AU381" i="32" s="1"/>
  <c r="AS445" i="32"/>
  <c r="BC445" i="32" s="1"/>
  <c r="AS509" i="32"/>
  <c r="BB509" i="32" s="1"/>
  <c r="AS573" i="32"/>
  <c r="AT573" i="32" s="1"/>
  <c r="AS46" i="32"/>
  <c r="BC46" i="32" s="1"/>
  <c r="AS158" i="32"/>
  <c r="AU158" i="32" s="1"/>
  <c r="AS222" i="32"/>
  <c r="AU222" i="32" s="1"/>
  <c r="AS286" i="32"/>
  <c r="BB286" i="32" s="1"/>
  <c r="AS350" i="32"/>
  <c r="BC350" i="32" s="1"/>
  <c r="AS414" i="32"/>
  <c r="BB414" i="32" s="1"/>
  <c r="AS478" i="32"/>
  <c r="AU478" i="32" s="1"/>
  <c r="AS542" i="32"/>
  <c r="BC542" i="32" s="1"/>
  <c r="AS606" i="32"/>
  <c r="BB606" i="32" s="1"/>
  <c r="AS110" i="32"/>
  <c r="AU110" i="32" s="1"/>
  <c r="AS71" i="32"/>
  <c r="AT71" i="32" s="1"/>
  <c r="AS215" i="32"/>
  <c r="BC215" i="32" s="1"/>
  <c r="AS479" i="32"/>
  <c r="BB479" i="32" s="1"/>
  <c r="AS164" i="32"/>
  <c r="BC164" i="32" s="1"/>
  <c r="AS228" i="32"/>
  <c r="BB228" i="32" s="1"/>
  <c r="AS292" i="32"/>
  <c r="AU292" i="32" s="1"/>
  <c r="AS356" i="32"/>
  <c r="BC356" i="32" s="1"/>
  <c r="AS420" i="32"/>
  <c r="BC420" i="32" s="1"/>
  <c r="AS484" i="32"/>
  <c r="AT484" i="32" s="1"/>
  <c r="AS548" i="32"/>
  <c r="BC548" i="32" s="1"/>
  <c r="AS612" i="32"/>
  <c r="BB612" i="32" s="1"/>
  <c r="AS133" i="32"/>
  <c r="BC133" i="32" s="1"/>
  <c r="AS197" i="32"/>
  <c r="BC197" i="32" s="1"/>
  <c r="AS261" i="32"/>
  <c r="AT261" i="32" s="1"/>
  <c r="AS325" i="32"/>
  <c r="BB325" i="32" s="1"/>
  <c r="AS389" i="32"/>
  <c r="BC389" i="32" s="1"/>
  <c r="AS453" i="32"/>
  <c r="BC453" i="32" s="1"/>
  <c r="AS517" i="32"/>
  <c r="AT517" i="32" s="1"/>
  <c r="AS581" i="32"/>
  <c r="BC581" i="32" s="1"/>
  <c r="AS62" i="32"/>
  <c r="BB62" i="32" s="1"/>
  <c r="AS166" i="32"/>
  <c r="BC166" i="32" s="1"/>
  <c r="AS230" i="32"/>
  <c r="BC230" i="32" s="1"/>
  <c r="AS294" i="32"/>
  <c r="AT294" i="32" s="1"/>
  <c r="AS358" i="32"/>
  <c r="BB358" i="32" s="1"/>
  <c r="AS422" i="32"/>
  <c r="BC422" i="32" s="1"/>
  <c r="AS486" i="32"/>
  <c r="BB486" i="32" s="1"/>
  <c r="AS550" i="32"/>
  <c r="BC550" i="32" s="1"/>
  <c r="AS629" i="32"/>
  <c r="AU629" i="32" s="1"/>
  <c r="AS126" i="32"/>
  <c r="BC126" i="32" s="1"/>
  <c r="AS87" i="32"/>
  <c r="AU87" i="32" s="1"/>
  <c r="AS231" i="32"/>
  <c r="BC231" i="32" s="1"/>
  <c r="AS556" i="32"/>
  <c r="BC556" i="32" s="1"/>
  <c r="AS627" i="32"/>
  <c r="AT627" i="32" s="1"/>
  <c r="AS141" i="32"/>
  <c r="AU141" i="32" s="1"/>
  <c r="AS205" i="32"/>
  <c r="BB205" i="32" s="1"/>
  <c r="AS269" i="32"/>
  <c r="AU269" i="32" s="1"/>
  <c r="AS333" i="32"/>
  <c r="BB333" i="32" s="1"/>
  <c r="AS397" i="32"/>
  <c r="BB397" i="32" s="1"/>
  <c r="AS461" i="32"/>
  <c r="BC461" i="32" s="1"/>
  <c r="AS525" i="32"/>
  <c r="BB525" i="32" s="1"/>
  <c r="AS589" i="32"/>
  <c r="BC589" i="32" s="1"/>
  <c r="AS86" i="32"/>
  <c r="BB86" i="32" s="1"/>
  <c r="AS174" i="32"/>
  <c r="BB174" i="32" s="1"/>
  <c r="AS238" i="32"/>
  <c r="AT238" i="32" s="1"/>
  <c r="AS302" i="32"/>
  <c r="AT302" i="32" s="1"/>
  <c r="AS366" i="32"/>
  <c r="BC366" i="32" s="1"/>
  <c r="AS430" i="32"/>
  <c r="AT430" i="32" s="1"/>
  <c r="AS494" i="32"/>
  <c r="BC494" i="32" s="1"/>
  <c r="AS558" i="32"/>
  <c r="BC558" i="32" s="1"/>
  <c r="AS22" i="32"/>
  <c r="AU22" i="32" s="1"/>
  <c r="AS15" i="32"/>
  <c r="BC15" i="32" s="1"/>
  <c r="AS103" i="32"/>
  <c r="BC103" i="32" s="1"/>
  <c r="AS239" i="32"/>
  <c r="AT239" i="32" s="1"/>
  <c r="BB518" i="32"/>
  <c r="BC516" i="32"/>
  <c r="AS55" i="32"/>
  <c r="BC55" i="32" s="1"/>
  <c r="AS119" i="32"/>
  <c r="AT119" i="32" s="1"/>
  <c r="AS183" i="32"/>
  <c r="AT183" i="32" s="1"/>
  <c r="AS247" i="32"/>
  <c r="AT247" i="32" s="1"/>
  <c r="AS311" i="32"/>
  <c r="AU311" i="32" s="1"/>
  <c r="AS511" i="32"/>
  <c r="BC511" i="32" s="1"/>
  <c r="AS127" i="32"/>
  <c r="BC127" i="32" s="1"/>
  <c r="AS191" i="32"/>
  <c r="BC191" i="32" s="1"/>
  <c r="AS255" i="32"/>
  <c r="AU255" i="32" s="1"/>
  <c r="AS319" i="32"/>
  <c r="AU319" i="32" s="1"/>
  <c r="AS543" i="32"/>
  <c r="BC543" i="32" s="1"/>
  <c r="AS199" i="32"/>
  <c r="BC199" i="32" s="1"/>
  <c r="AS263" i="32"/>
  <c r="AU263" i="32" s="1"/>
  <c r="AS343" i="32"/>
  <c r="BB343" i="32" s="1"/>
  <c r="AS575" i="32"/>
  <c r="BC575" i="32" s="1"/>
  <c r="AS79" i="32"/>
  <c r="BC79" i="32" s="1"/>
  <c r="AS143" i="32"/>
  <c r="AU143" i="32" s="1"/>
  <c r="AS207" i="32"/>
  <c r="BC207" i="32" s="1"/>
  <c r="AS271" i="32"/>
  <c r="BC271" i="32" s="1"/>
  <c r="AS351" i="32"/>
  <c r="BC351" i="32" s="1"/>
  <c r="AS607" i="32"/>
  <c r="BC607" i="32" s="1"/>
  <c r="AS95" i="32"/>
  <c r="BB95" i="32" s="1"/>
  <c r="AS159" i="32"/>
  <c r="BC159" i="32" s="1"/>
  <c r="AS223" i="32"/>
  <c r="AT223" i="32" s="1"/>
  <c r="AS287" i="32"/>
  <c r="AT287" i="32" s="1"/>
  <c r="AS415" i="32"/>
  <c r="BC415" i="32" s="1"/>
  <c r="BC130" i="32"/>
  <c r="AS327" i="32"/>
  <c r="BB327" i="32" s="1"/>
  <c r="AS391" i="32"/>
  <c r="BC391" i="32" s="1"/>
  <c r="AS455" i="32"/>
  <c r="BC455" i="32" s="1"/>
  <c r="AS519" i="32"/>
  <c r="BC519" i="32" s="1"/>
  <c r="AS583" i="32"/>
  <c r="AU583" i="32" s="1"/>
  <c r="AS335" i="32"/>
  <c r="BC335" i="32" s="1"/>
  <c r="AS399" i="32"/>
  <c r="BB399" i="32" s="1"/>
  <c r="AS463" i="32"/>
  <c r="AT463" i="32" s="1"/>
  <c r="AS527" i="32"/>
  <c r="AU527" i="32" s="1"/>
  <c r="AS591" i="32"/>
  <c r="AT591" i="32" s="1"/>
  <c r="AS407" i="32"/>
  <c r="BC407" i="32" s="1"/>
  <c r="AS471" i="32"/>
  <c r="AS535" i="32"/>
  <c r="AT535" i="32" s="1"/>
  <c r="AS599" i="32"/>
  <c r="AS359" i="32"/>
  <c r="AT359" i="32" s="1"/>
  <c r="AS423" i="32"/>
  <c r="BC423" i="32" s="1"/>
  <c r="AS487" i="32"/>
  <c r="BC487" i="32" s="1"/>
  <c r="AS551" i="32"/>
  <c r="BB551" i="32" s="1"/>
  <c r="AS622" i="32"/>
  <c r="AS367" i="32"/>
  <c r="BB367" i="32" s="1"/>
  <c r="AS431" i="32"/>
  <c r="AT431" i="32" s="1"/>
  <c r="AS495" i="32"/>
  <c r="BC495" i="32" s="1"/>
  <c r="AS559" i="32"/>
  <c r="AT559" i="32" s="1"/>
  <c r="AS375" i="32"/>
  <c r="BB375" i="32" s="1"/>
  <c r="BN375" i="32" s="1"/>
  <c r="BO375" i="32" s="1"/>
  <c r="AS439" i="32"/>
  <c r="AU439" i="32" s="1"/>
  <c r="AS503" i="32"/>
  <c r="AU503" i="32" s="1"/>
  <c r="AS567" i="32"/>
  <c r="BB567" i="32" s="1"/>
  <c r="BC372" i="32"/>
  <c r="AT388" i="32"/>
  <c r="BB388" i="32"/>
  <c r="BC451" i="32"/>
  <c r="B7" i="32"/>
  <c r="O59" i="1"/>
  <c r="BB545" i="32"/>
  <c r="AU161" i="32"/>
  <c r="AT529" i="32"/>
  <c r="AT185" i="32"/>
  <c r="AT83" i="32"/>
  <c r="BB562" i="32"/>
  <c r="BN561" i="32" s="1"/>
  <c r="BO561" i="32" s="1"/>
  <c r="AT554" i="32"/>
  <c r="BB283" i="32"/>
  <c r="AT180" i="32"/>
  <c r="AU514" i="32"/>
  <c r="AU130" i="32"/>
  <c r="AU112" i="32"/>
  <c r="AT196" i="32"/>
  <c r="AT130" i="32"/>
  <c r="AU545" i="32"/>
  <c r="AT112" i="32"/>
  <c r="BB112" i="32"/>
  <c r="BB185" i="32"/>
  <c r="BN184" i="32" s="1"/>
  <c r="BO184" i="32" s="1"/>
  <c r="AT248" i="32"/>
  <c r="AT498" i="32"/>
  <c r="BC562" i="32"/>
  <c r="BB29" i="32"/>
  <c r="AU347" i="32"/>
  <c r="BC283" i="32"/>
  <c r="AU180" i="32"/>
  <c r="AU83" i="32"/>
  <c r="AT472" i="32"/>
  <c r="AU337" i="32"/>
  <c r="AT347" i="32"/>
  <c r="BC180" i="32"/>
  <c r="BB83" i="32"/>
  <c r="AT29" i="32"/>
  <c r="AT341" i="32"/>
  <c r="AU244" i="32"/>
  <c r="BB180" i="32"/>
  <c r="BC83" i="32"/>
  <c r="BC77" i="32"/>
  <c r="AU498" i="32"/>
  <c r="AU529" i="32"/>
  <c r="BC497" i="32"/>
  <c r="BB498" i="32"/>
  <c r="BN497" i="32" s="1"/>
  <c r="BO497" i="32" s="1"/>
  <c r="BB529" i="32"/>
  <c r="BB411" i="32"/>
  <c r="AT283" i="32"/>
  <c r="AT178" i="32"/>
  <c r="BC472" i="32"/>
  <c r="AT162" i="32"/>
  <c r="BB362" i="32"/>
  <c r="AU147" i="32"/>
  <c r="BB364" i="32"/>
  <c r="AU73" i="32"/>
  <c r="BC147" i="32"/>
  <c r="BC364" i="32"/>
  <c r="AU467" i="32"/>
  <c r="AU426" i="32"/>
  <c r="AT467" i="32"/>
  <c r="AT426" i="32"/>
  <c r="BB467" i="32"/>
  <c r="BB98" i="32"/>
  <c r="BB426" i="32"/>
  <c r="AU240" i="32"/>
  <c r="BC240" i="32"/>
  <c r="AT442" i="32"/>
  <c r="AT153" i="32"/>
  <c r="BB442" i="32"/>
  <c r="AU442" i="32"/>
  <c r="AU537" i="32"/>
  <c r="AT537" i="32"/>
  <c r="BC312" i="32"/>
  <c r="AT449" i="32"/>
  <c r="AU29" i="32"/>
  <c r="BC34" i="32"/>
  <c r="BC72" i="32"/>
  <c r="BC360" i="32"/>
  <c r="BB34" i="32"/>
  <c r="AU331" i="32"/>
  <c r="AT17" i="32"/>
  <c r="AU77" i="32"/>
  <c r="AT331" i="32"/>
  <c r="BC376" i="32"/>
  <c r="AU472" i="32"/>
  <c r="BB537" i="32"/>
  <c r="BC82" i="32"/>
  <c r="AT147" i="32"/>
  <c r="AT77" i="32"/>
  <c r="AT520" i="32"/>
  <c r="BC537" i="32"/>
  <c r="BB232" i="32"/>
  <c r="AU497" i="32"/>
  <c r="AU64" i="32"/>
  <c r="BC40" i="32"/>
  <c r="BC185" i="32"/>
  <c r="AU121" i="32"/>
  <c r="AT313" i="32"/>
  <c r="BC368" i="32"/>
  <c r="AT521" i="32"/>
  <c r="AT96" i="32"/>
  <c r="BB121" i="32"/>
  <c r="BB515" i="32"/>
  <c r="AU623" i="32"/>
  <c r="BC96" i="32"/>
  <c r="BB586" i="32"/>
  <c r="BB96" i="32"/>
  <c r="AU248" i="32"/>
  <c r="BB48" i="32"/>
  <c r="BC32" i="32"/>
  <c r="AT458" i="32"/>
  <c r="AU208" i="32"/>
  <c r="AT280" i="32"/>
  <c r="AT208" i="32"/>
  <c r="AU202" i="32"/>
  <c r="BB608" i="32"/>
  <c r="BC202" i="32"/>
  <c r="BC48" i="32"/>
  <c r="BC37" i="32"/>
  <c r="BC608" i="32"/>
  <c r="BB32" i="32"/>
  <c r="AT88" i="32"/>
  <c r="BB425" i="32"/>
  <c r="BB72" i="32"/>
  <c r="BB202" i="32"/>
  <c r="BN201" i="32" s="1"/>
  <c r="BO201" i="32" s="1"/>
  <c r="BC168" i="32"/>
  <c r="AU88" i="32"/>
  <c r="AU458" i="32"/>
  <c r="AT233" i="32"/>
  <c r="BC233" i="32"/>
  <c r="AU74" i="32"/>
  <c r="BB88" i="32"/>
  <c r="AU608" i="32"/>
  <c r="BC74" i="32"/>
  <c r="AT48" i="32"/>
  <c r="AU32" i="32"/>
  <c r="BB41" i="32"/>
  <c r="BN40" i="32" s="1"/>
  <c r="BO40" i="32" s="1"/>
  <c r="AU72" i="32"/>
  <c r="AT514" i="32"/>
  <c r="AU264" i="32"/>
  <c r="BB417" i="32"/>
  <c r="BB384" i="32"/>
  <c r="AU521" i="32"/>
  <c r="AT370" i="32"/>
  <c r="BC384" i="32"/>
  <c r="BC248" i="32"/>
  <c r="AU403" i="32"/>
  <c r="AU504" i="32"/>
  <c r="BC154" i="32"/>
  <c r="AT264" i="32"/>
  <c r="AT417" i="32"/>
  <c r="BC547" i="32"/>
  <c r="BB280" i="32"/>
  <c r="BB552" i="32"/>
  <c r="BB233" i="32"/>
  <c r="AT497" i="32"/>
  <c r="AU182" i="32"/>
  <c r="AU272" i="32"/>
  <c r="AU547" i="32"/>
  <c r="AU280" i="32"/>
  <c r="AT212" i="32"/>
  <c r="AT299" i="32"/>
  <c r="BB104" i="32"/>
  <c r="AT576" i="32"/>
  <c r="AT489" i="32"/>
  <c r="AU212" i="32"/>
  <c r="AU299" i="32"/>
  <c r="AT376" i="32"/>
  <c r="AU576" i="32"/>
  <c r="BB212" i="32"/>
  <c r="AT45" i="32"/>
  <c r="BB299" i="32"/>
  <c r="AT168" i="32"/>
  <c r="AU40" i="32"/>
  <c r="AU376" i="32"/>
  <c r="AU45" i="32"/>
  <c r="AU168" i="32"/>
  <c r="AT40" i="32"/>
  <c r="AT513" i="32"/>
  <c r="AU98" i="32"/>
  <c r="AU105" i="32"/>
  <c r="AU305" i="32"/>
  <c r="AT41" i="32"/>
  <c r="AT256" i="32"/>
  <c r="AU433" i="32"/>
  <c r="AT120" i="32"/>
  <c r="AU41" i="32"/>
  <c r="AU256" i="32"/>
  <c r="AT272" i="32"/>
  <c r="BC256" i="32"/>
  <c r="AT121" i="32"/>
  <c r="BC272" i="32"/>
  <c r="BC99" i="32"/>
  <c r="BC561" i="32"/>
  <c r="BC104" i="32"/>
  <c r="AT360" i="32"/>
  <c r="AU360" i="32"/>
  <c r="BC321" i="32"/>
  <c r="BB82" i="32"/>
  <c r="AU313" i="32"/>
  <c r="AT113" i="32"/>
  <c r="BC208" i="32"/>
  <c r="BC203" i="32"/>
  <c r="AU69" i="32"/>
  <c r="BC113" i="32"/>
  <c r="BC111" i="32"/>
  <c r="BC31" i="32"/>
  <c r="BC313" i="32"/>
  <c r="AT403" i="32"/>
  <c r="AU162" i="32"/>
  <c r="AU153" i="32"/>
  <c r="BB403" i="32"/>
  <c r="AU434" i="32"/>
  <c r="BB162" i="32"/>
  <c r="BB105" i="32"/>
  <c r="BC465" i="32"/>
  <c r="AT82" i="32"/>
  <c r="BC153" i="32"/>
  <c r="BC105" i="32"/>
  <c r="AU170" i="32"/>
  <c r="BC184" i="32"/>
  <c r="BC43" i="32"/>
  <c r="BC18" i="32"/>
  <c r="BB585" i="32"/>
  <c r="AU321" i="32"/>
  <c r="BB18" i="32"/>
  <c r="AT321" i="32"/>
  <c r="BC464" i="32"/>
  <c r="BB236" i="32"/>
  <c r="BC434" i="32"/>
  <c r="AT18" i="32"/>
  <c r="AU585" i="32"/>
  <c r="BC585" i="32"/>
  <c r="AU184" i="32"/>
  <c r="BC571" i="32"/>
  <c r="AT184" i="32"/>
  <c r="AT465" i="32"/>
  <c r="AT314" i="32"/>
  <c r="AU314" i="32"/>
  <c r="BC314" i="32"/>
  <c r="AU160" i="32"/>
  <c r="AT160" i="32"/>
  <c r="BB160" i="32"/>
  <c r="AT611" i="32"/>
  <c r="BB176" i="32"/>
  <c r="BC146" i="32"/>
  <c r="AT241" i="32"/>
  <c r="AT496" i="32"/>
  <c r="BB216" i="32"/>
  <c r="AU232" i="32"/>
  <c r="BC241" i="32"/>
  <c r="BC601" i="32"/>
  <c r="BC417" i="32"/>
  <c r="AU401" i="32"/>
  <c r="AU89" i="32"/>
  <c r="AU354" i="32"/>
  <c r="BC232" i="32"/>
  <c r="BC370" i="32"/>
  <c r="BB264" i="32"/>
  <c r="AT320" i="32"/>
  <c r="BC539" i="32"/>
  <c r="AT401" i="32"/>
  <c r="AU146" i="32"/>
  <c r="AU43" i="32"/>
  <c r="AU137" i="32"/>
  <c r="AU154" i="32"/>
  <c r="AU339" i="32"/>
  <c r="BB370" i="32"/>
  <c r="BB320" i="32"/>
  <c r="BB152" i="32"/>
  <c r="AU320" i="32"/>
  <c r="BB401" i="32"/>
  <c r="BB89" i="32"/>
  <c r="BC354" i="32"/>
  <c r="AT146" i="32"/>
  <c r="BC137" i="32"/>
  <c r="AT154" i="32"/>
  <c r="AU328" i="32"/>
  <c r="AU384" i="32"/>
  <c r="BB37" i="32"/>
  <c r="AT305" i="32"/>
  <c r="BB226" i="32"/>
  <c r="AU496" i="32"/>
  <c r="BB496" i="32"/>
  <c r="BN496" i="32" s="1"/>
  <c r="BO496" i="32" s="1"/>
  <c r="BC432" i="32"/>
  <c r="AT176" i="32"/>
  <c r="BB427" i="32"/>
  <c r="AT539" i="32"/>
  <c r="AU176" i="32"/>
  <c r="AT14" i="32"/>
  <c r="AU539" i="32"/>
  <c r="AT216" i="32"/>
  <c r="AT369" i="32"/>
  <c r="BB289" i="32"/>
  <c r="BB539" i="32"/>
  <c r="AU216" i="32"/>
  <c r="BC201" i="32"/>
  <c r="AU201" i="32"/>
  <c r="AT201" i="32"/>
  <c r="BB242" i="32"/>
  <c r="BC242" i="32"/>
  <c r="AT242" i="32"/>
  <c r="AU242" i="32"/>
  <c r="BC584" i="32"/>
  <c r="BB584" i="32"/>
  <c r="AT584" i="32"/>
  <c r="AT122" i="32"/>
  <c r="AT592" i="32"/>
  <c r="AU322" i="32"/>
  <c r="BC211" i="32"/>
  <c r="BB211" i="32"/>
  <c r="AT289" i="32"/>
  <c r="BC138" i="32"/>
  <c r="AT138" i="32"/>
  <c r="AU138" i="32"/>
  <c r="BC452" i="32"/>
  <c r="BC14" i="32"/>
  <c r="AU584" i="32"/>
  <c r="AU553" i="32"/>
  <c r="AT553" i="32"/>
  <c r="BC441" i="32"/>
  <c r="BB441" i="32"/>
  <c r="AU441" i="32"/>
  <c r="AT441" i="32"/>
  <c r="AT64" i="32"/>
  <c r="BC25" i="32"/>
  <c r="BB25" i="32"/>
  <c r="AT25" i="32"/>
  <c r="AU25" i="32"/>
  <c r="BB275" i="32"/>
  <c r="AT275" i="32"/>
  <c r="AU275" i="32"/>
  <c r="BB21" i="32"/>
  <c r="BC21" i="32"/>
  <c r="AT21" i="32"/>
  <c r="BC533" i="32"/>
  <c r="BB424" i="32"/>
  <c r="AU424" i="32"/>
  <c r="AT424" i="32"/>
  <c r="BB128" i="32"/>
  <c r="BC128" i="32"/>
  <c r="BC353" i="32"/>
  <c r="BB353" i="32"/>
  <c r="BN353" i="32" s="1"/>
  <c r="BO353" i="32" s="1"/>
  <c r="BC91" i="32"/>
  <c r="BB91" i="32"/>
  <c r="AU91" i="32"/>
  <c r="BC603" i="32"/>
  <c r="BB603" i="32"/>
  <c r="AT603" i="32"/>
  <c r="BB177" i="32"/>
  <c r="BC177" i="32"/>
  <c r="AU177" i="32"/>
  <c r="AT177" i="32"/>
  <c r="BC193" i="32"/>
  <c r="AU75" i="32"/>
  <c r="AT368" i="32"/>
  <c r="BB14" i="32"/>
  <c r="BN13" i="32" s="1"/>
  <c r="AT129" i="32"/>
  <c r="BC216" i="32"/>
  <c r="BB64" i="32"/>
  <c r="BB80" i="32"/>
  <c r="BC80" i="32"/>
  <c r="BB554" i="32"/>
  <c r="BC554" i="32"/>
  <c r="AU554" i="32"/>
  <c r="BC306" i="32"/>
  <c r="AT306" i="32"/>
  <c r="AU306" i="32"/>
  <c r="BB288" i="32"/>
  <c r="AU368" i="32"/>
  <c r="BC129" i="32"/>
  <c r="AU544" i="32"/>
  <c r="BB306" i="32"/>
  <c r="AU80" i="32"/>
  <c r="BB438" i="32"/>
  <c r="BC438" i="32"/>
  <c r="AU169" i="32"/>
  <c r="BB368" i="32"/>
  <c r="BB129" i="32"/>
  <c r="BN129" i="32" s="1"/>
  <c r="BO129" i="32" s="1"/>
  <c r="AT80" i="32"/>
  <c r="BB553" i="32"/>
  <c r="BC322" i="32"/>
  <c r="BC600" i="32"/>
  <c r="BB600" i="32"/>
  <c r="AU600" i="32"/>
  <c r="AT600" i="32"/>
  <c r="BB26" i="32"/>
  <c r="BC26" i="32"/>
  <c r="AT26" i="32"/>
  <c r="AU26" i="32"/>
  <c r="AU377" i="32"/>
  <c r="AU90" i="32"/>
  <c r="AT90" i="32"/>
  <c r="BB42" i="32"/>
  <c r="BC42" i="32"/>
  <c r="AU432" i="32"/>
  <c r="AT386" i="32"/>
  <c r="AU42" i="32"/>
  <c r="AU438" i="32"/>
  <c r="AU21" i="32"/>
  <c r="BC553" i="32"/>
  <c r="AT361" i="32"/>
  <c r="AU353" i="32"/>
  <c r="BC90" i="32"/>
  <c r="AT379" i="32"/>
  <c r="AU129" i="32"/>
  <c r="BC290" i="32"/>
  <c r="AT290" i="32"/>
  <c r="AU290" i="32"/>
  <c r="AU226" i="32"/>
  <c r="AT226" i="32"/>
  <c r="AT432" i="32"/>
  <c r="AU386" i="32"/>
  <c r="BB290" i="32"/>
  <c r="AU37" i="32"/>
  <c r="AT42" i="32"/>
  <c r="AT438" i="32"/>
  <c r="AU361" i="32"/>
  <c r="AT169" i="32"/>
  <c r="AT353" i="32"/>
  <c r="AT128" i="32"/>
  <c r="BB90" i="32"/>
  <c r="AU241" i="32"/>
  <c r="AT37" i="32"/>
  <c r="BB374" i="32"/>
  <c r="BC275" i="32"/>
  <c r="BB361" i="32"/>
  <c r="BN360" i="32" s="1"/>
  <c r="BO360" i="32" s="1"/>
  <c r="BC169" i="32"/>
  <c r="AU289" i="32"/>
  <c r="AU128" i="32"/>
  <c r="AU218" i="32"/>
  <c r="BB305" i="32"/>
  <c r="AT152" i="32"/>
  <c r="AT502" i="32"/>
  <c r="AU152" i="32"/>
  <c r="BC296" i="32"/>
  <c r="AU296" i="32"/>
  <c r="AT296" i="32"/>
  <c r="BB296" i="32"/>
  <c r="AT218" i="32"/>
  <c r="AU369" i="32"/>
  <c r="BB369" i="32"/>
  <c r="AU392" i="32"/>
  <c r="BC192" i="32"/>
  <c r="AT392" i="32"/>
  <c r="AT419" i="32"/>
  <c r="BB392" i="32"/>
  <c r="AT144" i="32"/>
  <c r="AU413" i="32"/>
  <c r="BC212" i="32"/>
  <c r="AT73" i="32"/>
  <c r="AT136" i="32"/>
  <c r="BB113" i="32"/>
  <c r="AT434" i="32"/>
  <c r="AU144" i="32"/>
  <c r="AU281" i="32"/>
  <c r="BB73" i="32"/>
  <c r="AU136" i="32"/>
  <c r="BB434" i="32"/>
  <c r="BB144" i="32"/>
  <c r="BB200" i="32"/>
  <c r="BN200" i="32" s="1"/>
  <c r="BO200" i="32" s="1"/>
  <c r="AT281" i="32"/>
  <c r="AT538" i="32"/>
  <c r="BB136" i="32"/>
  <c r="AT561" i="32"/>
  <c r="AU561" i="32"/>
  <c r="AT425" i="32"/>
  <c r="BB623" i="32"/>
  <c r="AT623" i="32"/>
  <c r="BN153" i="32"/>
  <c r="BO153" i="32" s="1"/>
  <c r="BN472" i="32"/>
  <c r="BO472" i="32" s="1"/>
  <c r="BN146" i="32"/>
  <c r="BO146" i="32" s="1"/>
  <c r="BN168" i="32"/>
  <c r="BO168" i="32" s="1"/>
  <c r="BN169" i="32"/>
  <c r="BO169" i="32" s="1"/>
  <c r="BN313" i="32"/>
  <c r="BO313" i="32" s="1"/>
  <c r="BN137" i="32"/>
  <c r="BO137" i="32" s="1"/>
  <c r="AD617" i="31"/>
  <c r="AL617" i="31"/>
  <c r="AE617" i="31"/>
  <c r="AM617" i="31"/>
  <c r="AO617" i="31"/>
  <c r="AP617" i="31"/>
  <c r="Q617" i="31"/>
  <c r="R617" i="31"/>
  <c r="AF617" i="31"/>
  <c r="AT580" i="32" l="1"/>
  <c r="BC409" i="32"/>
  <c r="BB549" i="32"/>
  <c r="AU443" i="32"/>
  <c r="BN152" i="32"/>
  <c r="BO152" i="32" s="1"/>
  <c r="AU371" i="32"/>
  <c r="BB576" i="32"/>
  <c r="AU104" i="32"/>
  <c r="BC17" i="32"/>
  <c r="BC45" i="32"/>
  <c r="BB566" i="32"/>
  <c r="BN272" i="32"/>
  <c r="BO272" i="32" s="1"/>
  <c r="BN138" i="32"/>
  <c r="BO138" i="32" s="1"/>
  <c r="BC458" i="32"/>
  <c r="BC371" i="32"/>
  <c r="AT547" i="32"/>
  <c r="AU364" i="32"/>
  <c r="BB17" i="32"/>
  <c r="BC388" i="32"/>
  <c r="BC386" i="32"/>
  <c r="AU270" i="32"/>
  <c r="BB285" i="32"/>
  <c r="BB331" i="32"/>
  <c r="BN331" i="32" s="1"/>
  <c r="BO331" i="32" s="1"/>
  <c r="BC421" i="32"/>
  <c r="BN432" i="32"/>
  <c r="BO432" i="32" s="1"/>
  <c r="AT374" i="32"/>
  <c r="BB329" i="32"/>
  <c r="AU562" i="32"/>
  <c r="AU374" i="32"/>
  <c r="AU549" i="32"/>
  <c r="BC625" i="32"/>
  <c r="BC149" i="32"/>
  <c r="AT382" i="32"/>
  <c r="AU19" i="32"/>
  <c r="BB571" i="32"/>
  <c r="AU249" i="32"/>
  <c r="BN32" i="32"/>
  <c r="BO32" i="32" s="1"/>
  <c r="AU499" i="32"/>
  <c r="AU372" i="32"/>
  <c r="AT329" i="32"/>
  <c r="BC170" i="32"/>
  <c r="BC236" i="32"/>
  <c r="AT149" i="32"/>
  <c r="AU145" i="32"/>
  <c r="BC514" i="32"/>
  <c r="AT43" i="32"/>
  <c r="BC611" i="32"/>
  <c r="AU99" i="32"/>
  <c r="BB499" i="32"/>
  <c r="AT586" i="32"/>
  <c r="BB145" i="32"/>
  <c r="BN145" i="32" s="1"/>
  <c r="BO145" i="32" s="1"/>
  <c r="AT372" i="32"/>
  <c r="AT224" i="32"/>
  <c r="BC122" i="32"/>
  <c r="BB281" i="32"/>
  <c r="BN280" i="32" s="1"/>
  <c r="BO280" i="32" s="1"/>
  <c r="BB182" i="32"/>
  <c r="BC182" i="32"/>
  <c r="BB544" i="32"/>
  <c r="BB122" i="32"/>
  <c r="BN122" i="32" s="1"/>
  <c r="BO122" i="32" s="1"/>
  <c r="AU611" i="32"/>
  <c r="AT111" i="32"/>
  <c r="BC595" i="32"/>
  <c r="AU33" i="32"/>
  <c r="BC224" i="32"/>
  <c r="BB167" i="32"/>
  <c r="BB111" i="32"/>
  <c r="AU329" i="32"/>
  <c r="AU610" i="32"/>
  <c r="AT411" i="32"/>
  <c r="BB413" i="32"/>
  <c r="BN413" i="32" s="1"/>
  <c r="BO413" i="32" s="1"/>
  <c r="BC16" i="32"/>
  <c r="BB78" i="32"/>
  <c r="BN77" i="32" s="1"/>
  <c r="BO77" i="32" s="1"/>
  <c r="AU533" i="32"/>
  <c r="BB224" i="32"/>
  <c r="BB625" i="32"/>
  <c r="AU149" i="32"/>
  <c r="BB240" i="32"/>
  <c r="BN240" i="32" s="1"/>
  <c r="BO240" i="32" s="1"/>
  <c r="BB595" i="32"/>
  <c r="BC408" i="32"/>
  <c r="BB19" i="32"/>
  <c r="BN18" i="32" s="1"/>
  <c r="BO18" i="32" s="1"/>
  <c r="BC545" i="32"/>
  <c r="BN314" i="32"/>
  <c r="BO314" i="32" s="1"/>
  <c r="BN170" i="32"/>
  <c r="BO170" i="32" s="1"/>
  <c r="AU332" i="32"/>
  <c r="AT413" i="32"/>
  <c r="AT427" i="32"/>
  <c r="BC427" i="32"/>
  <c r="AT544" i="32"/>
  <c r="BB533" i="32"/>
  <c r="BB99" i="32"/>
  <c r="BC499" i="32"/>
  <c r="AT249" i="32"/>
  <c r="AT19" i="32"/>
  <c r="BN33" i="32"/>
  <c r="BO33" i="32" s="1"/>
  <c r="AU444" i="32"/>
  <c r="AT145" i="32"/>
  <c r="BC347" i="32"/>
  <c r="AU382" i="32"/>
  <c r="BN346" i="32"/>
  <c r="BO346" i="32" s="1"/>
  <c r="AU236" i="32"/>
  <c r="AT170" i="32"/>
  <c r="AT610" i="32"/>
  <c r="BB249" i="32"/>
  <c r="BN248" i="32" s="1"/>
  <c r="BO248" i="32" s="1"/>
  <c r="AU625" i="32"/>
  <c r="AU586" i="32"/>
  <c r="BB610" i="32"/>
  <c r="BN610" i="32" s="1"/>
  <c r="BO610" i="32" s="1"/>
  <c r="AU595" i="32"/>
  <c r="AU411" i="32"/>
  <c r="BC33" i="32"/>
  <c r="AT33" i="32"/>
  <c r="BN256" i="32"/>
  <c r="BO256" i="32" s="1"/>
  <c r="AT377" i="32"/>
  <c r="AT59" i="32"/>
  <c r="BB53" i="32"/>
  <c r="AT257" i="32"/>
  <c r="AU569" i="32"/>
  <c r="AU49" i="32"/>
  <c r="BC49" i="32"/>
  <c r="BC449" i="32"/>
  <c r="AU449" i="32"/>
  <c r="AT304" i="32"/>
  <c r="AU489" i="32"/>
  <c r="AU53" i="32"/>
  <c r="BN515" i="32"/>
  <c r="BO515" i="32" s="1"/>
  <c r="AT209" i="32"/>
  <c r="AU59" i="32"/>
  <c r="BC20" i="32"/>
  <c r="BB352" i="32"/>
  <c r="BC186" i="32"/>
  <c r="BB304" i="32"/>
  <c r="BN303" i="32" s="1"/>
  <c r="BO303" i="32" s="1"/>
  <c r="AU516" i="32"/>
  <c r="BB49" i="32"/>
  <c r="BB59" i="32"/>
  <c r="AU336" i="32"/>
  <c r="BB97" i="32"/>
  <c r="BB569" i="32"/>
  <c r="BC53" i="32"/>
  <c r="AT569" i="32"/>
  <c r="BC304" i="32"/>
  <c r="BB377" i="32"/>
  <c r="BN376" i="32" s="1"/>
  <c r="BO376" i="32" s="1"/>
  <c r="BB489" i="32"/>
  <c r="AU257" i="32"/>
  <c r="BB234" i="32"/>
  <c r="BN233" i="32" s="1"/>
  <c r="BO233" i="32" s="1"/>
  <c r="BN56" i="32"/>
  <c r="BO56" i="32" s="1"/>
  <c r="BC482" i="32"/>
  <c r="BB24" i="32"/>
  <c r="AU626" i="32"/>
  <c r="AT328" i="32"/>
  <c r="BB193" i="32"/>
  <c r="BN192" i="32" s="1"/>
  <c r="BO192" i="32" s="1"/>
  <c r="AU192" i="32"/>
  <c r="AT210" i="32"/>
  <c r="BB20" i="32"/>
  <c r="BB312" i="32"/>
  <c r="BC210" i="32"/>
  <c r="BC24" i="32"/>
  <c r="AT57" i="32"/>
  <c r="BC393" i="32"/>
  <c r="BC57" i="32"/>
  <c r="AT433" i="32"/>
  <c r="AT482" i="32"/>
  <c r="BB345" i="32"/>
  <c r="BB339" i="32"/>
  <c r="BB609" i="32"/>
  <c r="AU56" i="32"/>
  <c r="BB210" i="32"/>
  <c r="BN209" i="32" s="1"/>
  <c r="BO209" i="32" s="1"/>
  <c r="AT552" i="32"/>
  <c r="BC552" i="32"/>
  <c r="BC65" i="32"/>
  <c r="AT531" i="32"/>
  <c r="BC593" i="32"/>
  <c r="BB482" i="32"/>
  <c r="AT626" i="32"/>
  <c r="BC626" i="32"/>
  <c r="BB186" i="32"/>
  <c r="BN185" i="32" s="1"/>
  <c r="BO185" i="32" s="1"/>
  <c r="AT339" i="32"/>
  <c r="AT56" i="32"/>
  <c r="AU393" i="32"/>
  <c r="BC56" i="32"/>
  <c r="AU234" i="32"/>
  <c r="BB50" i="32"/>
  <c r="BB531" i="32"/>
  <c r="BB196" i="32"/>
  <c r="AT192" i="32"/>
  <c r="AT24" i="32"/>
  <c r="AT186" i="32"/>
  <c r="BC328" i="32"/>
  <c r="AT450" i="32"/>
  <c r="BB450" i="32"/>
  <c r="BN449" i="32" s="1"/>
  <c r="BO449" i="32" s="1"/>
  <c r="BC433" i="32"/>
  <c r="BC531" i="32"/>
  <c r="BB65" i="32"/>
  <c r="BN65" i="32" s="1"/>
  <c r="BO65" i="32" s="1"/>
  <c r="BN528" i="32"/>
  <c r="BO528" i="32" s="1"/>
  <c r="BC196" i="32"/>
  <c r="AT193" i="32"/>
  <c r="AU57" i="32"/>
  <c r="BB393" i="32"/>
  <c r="AU312" i="32"/>
  <c r="BC234" i="32"/>
  <c r="AT65" i="32"/>
  <c r="BN385" i="32"/>
  <c r="BO385" i="32" s="1"/>
  <c r="AT469" i="32"/>
  <c r="AU385" i="32"/>
  <c r="AU114" i="32"/>
  <c r="AT187" i="32"/>
  <c r="AU475" i="32"/>
  <c r="BC200" i="32"/>
  <c r="AU273" i="32"/>
  <c r="AU297" i="32"/>
  <c r="BC592" i="32"/>
  <c r="AU568" i="32"/>
  <c r="AT568" i="32"/>
  <c r="AT38" i="32"/>
  <c r="AT440" i="32"/>
  <c r="BN384" i="32"/>
  <c r="BO384" i="32" s="1"/>
  <c r="BC385" i="32"/>
  <c r="BC345" i="32"/>
  <c r="AU362" i="32"/>
  <c r="AT219" i="32"/>
  <c r="AT97" i="32"/>
  <c r="AT114" i="32"/>
  <c r="AT297" i="32"/>
  <c r="BC469" i="32"/>
  <c r="BB469" i="32"/>
  <c r="BN469" i="32" s="1"/>
  <c r="BO469" i="32" s="1"/>
  <c r="BC577" i="32"/>
  <c r="BC624" i="32"/>
  <c r="BN576" i="32"/>
  <c r="BO576" i="32" s="1"/>
  <c r="BB408" i="32"/>
  <c r="BC267" i="32"/>
  <c r="BC346" i="32"/>
  <c r="BN61" i="32"/>
  <c r="BO61" i="32" s="1"/>
  <c r="AU577" i="32"/>
  <c r="BC115" i="32"/>
  <c r="BB297" i="32"/>
  <c r="AT352" i="32"/>
  <c r="AU409" i="32"/>
  <c r="AU624" i="32"/>
  <c r="BC273" i="32"/>
  <c r="BB250" i="32"/>
  <c r="BN250" i="32" s="1"/>
  <c r="BO250" i="32" s="1"/>
  <c r="AT555" i="32"/>
  <c r="AT61" i="32"/>
  <c r="AT273" i="32"/>
  <c r="BB440" i="32"/>
  <c r="AT115" i="32"/>
  <c r="AT385" i="32"/>
  <c r="AU200" i="32"/>
  <c r="AT456" i="32"/>
  <c r="BC568" i="32"/>
  <c r="AT624" i="32"/>
  <c r="BB457" i="32"/>
  <c r="BN457" i="32" s="1"/>
  <c r="BO457" i="32" s="1"/>
  <c r="AT505" i="32"/>
  <c r="AU20" i="32"/>
  <c r="BC250" i="32"/>
  <c r="BC274" i="32"/>
  <c r="BC505" i="32"/>
  <c r="AU16" i="32"/>
  <c r="BC68" i="32"/>
  <c r="BC209" i="32"/>
  <c r="AU609" i="32"/>
  <c r="AU592" i="32"/>
  <c r="AT516" i="32"/>
  <c r="AU505" i="32"/>
  <c r="BC257" i="32"/>
  <c r="AU61" i="32"/>
  <c r="BB336" i="32"/>
  <c r="AT577" i="32"/>
  <c r="BB409" i="32"/>
  <c r="AT345" i="32"/>
  <c r="AU219" i="32"/>
  <c r="AT50" i="32"/>
  <c r="AT16" i="32"/>
  <c r="AU97" i="32"/>
  <c r="BC219" i="32"/>
  <c r="AT267" i="32"/>
  <c r="BC362" i="32"/>
  <c r="BC475" i="32"/>
  <c r="BB475" i="32"/>
  <c r="BB161" i="32"/>
  <c r="BN160" i="32" s="1"/>
  <c r="BO160" i="32" s="1"/>
  <c r="AT609" i="32"/>
  <c r="AT457" i="32"/>
  <c r="AU457" i="32"/>
  <c r="AU440" i="32"/>
  <c r="AT250" i="32"/>
  <c r="BC61" i="32"/>
  <c r="AU352" i="32"/>
  <c r="BB114" i="32"/>
  <c r="BN113" i="32" s="1"/>
  <c r="BO113" i="32" s="1"/>
  <c r="AT336" i="32"/>
  <c r="AU209" i="32"/>
  <c r="BC50" i="32"/>
  <c r="AU408" i="32"/>
  <c r="BC161" i="32"/>
  <c r="AU425" i="32"/>
  <c r="AU490" i="32"/>
  <c r="AT108" i="32"/>
  <c r="BC337" i="32"/>
  <c r="AT69" i="32"/>
  <c r="AT74" i="32"/>
  <c r="BB378" i="32"/>
  <c r="AU66" i="32"/>
  <c r="AT66" i="32"/>
  <c r="BB490" i="32"/>
  <c r="AU108" i="32"/>
  <c r="AU288" i="32"/>
  <c r="BC521" i="32"/>
  <c r="AU464" i="32"/>
  <c r="BB464" i="32"/>
  <c r="AT504" i="32"/>
  <c r="AU473" i="32"/>
  <c r="BB108" i="32"/>
  <c r="BN108" i="32" s="1"/>
  <c r="BO108" i="32" s="1"/>
  <c r="AT288" i="32"/>
  <c r="BB337" i="32"/>
  <c r="BC513" i="32"/>
  <c r="AU34" i="32"/>
  <c r="BN513" i="32"/>
  <c r="BO513" i="32" s="1"/>
  <c r="BC225" i="32"/>
  <c r="BB225" i="32"/>
  <c r="AU225" i="32"/>
  <c r="BC490" i="32"/>
  <c r="BC473" i="32"/>
  <c r="BB69" i="32"/>
  <c r="BB504" i="32"/>
  <c r="BN504" i="32" s="1"/>
  <c r="BO504" i="32" s="1"/>
  <c r="AT378" i="32"/>
  <c r="BN512" i="32"/>
  <c r="BO512" i="32" s="1"/>
  <c r="AT473" i="32"/>
  <c r="AU513" i="32"/>
  <c r="BB178" i="32"/>
  <c r="BN177" i="32" s="1"/>
  <c r="BO177" i="32" s="1"/>
  <c r="BC378" i="32"/>
  <c r="BC178" i="32"/>
  <c r="BC66" i="32"/>
  <c r="BC628" i="32"/>
  <c r="AU379" i="32"/>
  <c r="BB452" i="32"/>
  <c r="BC416" i="32"/>
  <c r="BN537" i="32"/>
  <c r="BO537" i="32" s="1"/>
  <c r="BN466" i="32"/>
  <c r="BO466" i="32" s="1"/>
  <c r="AT260" i="32"/>
  <c r="AU341" i="32"/>
  <c r="AT235" i="32"/>
  <c r="BN203" i="32"/>
  <c r="BO203" i="32" s="1"/>
  <c r="BC218" i="32"/>
  <c r="BB379" i="32"/>
  <c r="AT326" i="32"/>
  <c r="AT322" i="32"/>
  <c r="AT354" i="32"/>
  <c r="AT137" i="32"/>
  <c r="BN464" i="32"/>
  <c r="BO464" i="32" s="1"/>
  <c r="AU465" i="32"/>
  <c r="AT109" i="32"/>
  <c r="BB520" i="32"/>
  <c r="AU520" i="32"/>
  <c r="AU120" i="32"/>
  <c r="AT98" i="32"/>
  <c r="BB120" i="32"/>
  <c r="BC235" i="32"/>
  <c r="BB116" i="32"/>
  <c r="AT116" i="32"/>
  <c r="BC252" i="32"/>
  <c r="AU394" i="32"/>
  <c r="BB235" i="32"/>
  <c r="BN235" i="32" s="1"/>
  <c r="BO235" i="32" s="1"/>
  <c r="AU502" i="32"/>
  <c r="AT211" i="32"/>
  <c r="BB326" i="32"/>
  <c r="BN325" i="32" s="1"/>
  <c r="BO325" i="32" s="1"/>
  <c r="AT252" i="32"/>
  <c r="AT89" i="32"/>
  <c r="BC502" i="32"/>
  <c r="AU466" i="32"/>
  <c r="AT203" i="32"/>
  <c r="AT601" i="32"/>
  <c r="BB252" i="32"/>
  <c r="BN251" i="32" s="1"/>
  <c r="BO251" i="32" s="1"/>
  <c r="AU194" i="32"/>
  <c r="BC194" i="32"/>
  <c r="BB75" i="32"/>
  <c r="BN74" i="32" s="1"/>
  <c r="BO74" i="32" s="1"/>
  <c r="BB132" i="32"/>
  <c r="AT303" i="32"/>
  <c r="BC132" i="32"/>
  <c r="AT451" i="32"/>
  <c r="BB190" i="32"/>
  <c r="BN189" i="32" s="1"/>
  <c r="BO189" i="32" s="1"/>
  <c r="AT406" i="32"/>
  <c r="BC466" i="32"/>
  <c r="AT307" i="32"/>
  <c r="BB357" i="32"/>
  <c r="AU132" i="32"/>
  <c r="AT394" i="32"/>
  <c r="AU303" i="32"/>
  <c r="BC260" i="32"/>
  <c r="BC221" i="32"/>
  <c r="AU260" i="32"/>
  <c r="AU628" i="32"/>
  <c r="AU419" i="32"/>
  <c r="AT75" i="32"/>
  <c r="BC326" i="32"/>
  <c r="AT466" i="32"/>
  <c r="AU116" i="32"/>
  <c r="BB416" i="32"/>
  <c r="BN416" i="32" s="1"/>
  <c r="BO416" i="32" s="1"/>
  <c r="AU416" i="32"/>
  <c r="AU601" i="32"/>
  <c r="BB451" i="32"/>
  <c r="BN450" i="32" s="1"/>
  <c r="BO450" i="32" s="1"/>
  <c r="AU538" i="32"/>
  <c r="BC419" i="32"/>
  <c r="BC538" i="32"/>
  <c r="AU452" i="32"/>
  <c r="BB307" i="32"/>
  <c r="BN306" i="32" s="1"/>
  <c r="BO306" i="32" s="1"/>
  <c r="AU307" i="32"/>
  <c r="BC468" i="32"/>
  <c r="BB394" i="32"/>
  <c r="BN393" i="32" s="1"/>
  <c r="BO393" i="32" s="1"/>
  <c r="AU109" i="32"/>
  <c r="BC109" i="32"/>
  <c r="AU203" i="32"/>
  <c r="BB341" i="32"/>
  <c r="BB194" i="32"/>
  <c r="AT344" i="32"/>
  <c r="AT265" i="32"/>
  <c r="AU298" i="32"/>
  <c r="BB363" i="32"/>
  <c r="BN362" i="32" s="1"/>
  <c r="BO362" i="32" s="1"/>
  <c r="AU58" i="32"/>
  <c r="AU217" i="32"/>
  <c r="BC481" i="32"/>
  <c r="AU400" i="32"/>
  <c r="AT593" i="32"/>
  <c r="AU528" i="32"/>
  <c r="BB500" i="32"/>
  <c r="BB155" i="32"/>
  <c r="BN154" i="32" s="1"/>
  <c r="BO154" i="32" s="1"/>
  <c r="AU155" i="32"/>
  <c r="BB344" i="32"/>
  <c r="BC81" i="32"/>
  <c r="AU481" i="32"/>
  <c r="AT564" i="32"/>
  <c r="BB400" i="32"/>
  <c r="AT298" i="32"/>
  <c r="AT528" i="32"/>
  <c r="BC528" i="32"/>
  <c r="AT100" i="32"/>
  <c r="AT217" i="32"/>
  <c r="AT58" i="32"/>
  <c r="AU106" i="32"/>
  <c r="AU564" i="32"/>
  <c r="AT155" i="32"/>
  <c r="BB564" i="32"/>
  <c r="BN564" i="32" s="1"/>
  <c r="BO564" i="32" s="1"/>
  <c r="BC597" i="32"/>
  <c r="BC265" i="32"/>
  <c r="BB58" i="32"/>
  <c r="BN57" i="32" s="1"/>
  <c r="BO57" i="32" s="1"/>
  <c r="AT81" i="32"/>
  <c r="BN259" i="32"/>
  <c r="BO259" i="32" s="1"/>
  <c r="AT481" i="32"/>
  <c r="AU344" i="32"/>
  <c r="BB570" i="32"/>
  <c r="BN570" i="32" s="1"/>
  <c r="BO570" i="32" s="1"/>
  <c r="BB100" i="32"/>
  <c r="BN100" i="32" s="1"/>
  <c r="BO100" i="32" s="1"/>
  <c r="BB81" i="32"/>
  <c r="BN80" i="32" s="1"/>
  <c r="BO80" i="32" s="1"/>
  <c r="AU100" i="32"/>
  <c r="BB106" i="32"/>
  <c r="AT106" i="32"/>
  <c r="BB265" i="32"/>
  <c r="BC298" i="32"/>
  <c r="BB217" i="32"/>
  <c r="BN217" i="32" s="1"/>
  <c r="BO217" i="32" s="1"/>
  <c r="AT400" i="32"/>
  <c r="BB593" i="32"/>
  <c r="BN592" i="32" s="1"/>
  <c r="BO592" i="32" s="1"/>
  <c r="BC450" i="32"/>
  <c r="AU418" i="32"/>
  <c r="BC500" i="32"/>
  <c r="BB418" i="32"/>
  <c r="BN418" i="32" s="1"/>
  <c r="BO418" i="32" s="1"/>
  <c r="BC570" i="32"/>
  <c r="AU363" i="32"/>
  <c r="BB36" i="32"/>
  <c r="BC36" i="32"/>
  <c r="AU500" i="32"/>
  <c r="BC363" i="32"/>
  <c r="AT36" i="32"/>
  <c r="BB35" i="32"/>
  <c r="AT418" i="32"/>
  <c r="AT435" i="32"/>
  <c r="BB597" i="32"/>
  <c r="BC459" i="32"/>
  <c r="AT459" i="32"/>
  <c r="AU428" i="32"/>
  <c r="BB459" i="32"/>
  <c r="BN458" i="32" s="1"/>
  <c r="BO458" i="32" s="1"/>
  <c r="AT570" i="32"/>
  <c r="AT597" i="32"/>
  <c r="BN521" i="32"/>
  <c r="BO521" i="32" s="1"/>
  <c r="BB355" i="32"/>
  <c r="BN354" i="32" s="1"/>
  <c r="BO354" i="32" s="1"/>
  <c r="BB115" i="32"/>
  <c r="AU259" i="32"/>
  <c r="BC172" i="32"/>
  <c r="BB324" i="32"/>
  <c r="BN324" i="32" s="1"/>
  <c r="BO324" i="32" s="1"/>
  <c r="AT324" i="32"/>
  <c r="BC488" i="32"/>
  <c r="AU267" i="32"/>
  <c r="BB187" i="32"/>
  <c r="AU566" i="32"/>
  <c r="BC355" i="32"/>
  <c r="AU274" i="32"/>
  <c r="BC259" i="32"/>
  <c r="BC38" i="32"/>
  <c r="BC60" i="32"/>
  <c r="BN267" i="32"/>
  <c r="BO267" i="32" s="1"/>
  <c r="AT346" i="32"/>
  <c r="AT68" i="32"/>
  <c r="AU346" i="32"/>
  <c r="BB456" i="32"/>
  <c r="BN456" i="32" s="1"/>
  <c r="BO456" i="32" s="1"/>
  <c r="BB555" i="32"/>
  <c r="BB560" i="32"/>
  <c r="BN560" i="32" s="1"/>
  <c r="BO560" i="32" s="1"/>
  <c r="BB38" i="32"/>
  <c r="BN37" i="32" s="1"/>
  <c r="BO37" i="32" s="1"/>
  <c r="AU172" i="32"/>
  <c r="AT172" i="32"/>
  <c r="AT274" i="32"/>
  <c r="AU555" i="32"/>
  <c r="AU324" i="32"/>
  <c r="BC187" i="32"/>
  <c r="AT566" i="32"/>
  <c r="BC456" i="32"/>
  <c r="AT355" i="32"/>
  <c r="BN59" i="32"/>
  <c r="BO59" i="32" s="1"/>
  <c r="AU572" i="32"/>
  <c r="BB488" i="32"/>
  <c r="BN488" i="32" s="1"/>
  <c r="BO488" i="32" s="1"/>
  <c r="BB412" i="32"/>
  <c r="BN411" i="32" s="1"/>
  <c r="BO411" i="32" s="1"/>
  <c r="AU174" i="32"/>
  <c r="BC381" i="32"/>
  <c r="AT254" i="32"/>
  <c r="BN530" i="32"/>
  <c r="BO530" i="32" s="1"/>
  <c r="BB142" i="32"/>
  <c r="AT530" i="32"/>
  <c r="AU227" i="32"/>
  <c r="AU506" i="32"/>
  <c r="BB227" i="32"/>
  <c r="BN227" i="32" s="1"/>
  <c r="BO227" i="32" s="1"/>
  <c r="BC491" i="32"/>
  <c r="BC578" i="32"/>
  <c r="BC23" i="32"/>
  <c r="AU142" i="32"/>
  <c r="AT476" i="32"/>
  <c r="AT279" i="32"/>
  <c r="BB435" i="32"/>
  <c r="BN434" i="32" s="1"/>
  <c r="BO434" i="32" s="1"/>
  <c r="BC522" i="32"/>
  <c r="BC428" i="32"/>
  <c r="AT213" i="32"/>
  <c r="BB428" i="32"/>
  <c r="BN427" i="32" s="1"/>
  <c r="BO427" i="32" s="1"/>
  <c r="AU117" i="32"/>
  <c r="AT522" i="32"/>
  <c r="AU522" i="32"/>
  <c r="AU435" i="32"/>
  <c r="BB213" i="32"/>
  <c r="BN212" i="32" s="1"/>
  <c r="BO212" i="32" s="1"/>
  <c r="AU173" i="32"/>
  <c r="AT310" i="32"/>
  <c r="AU285" i="32"/>
  <c r="AU78" i="32"/>
  <c r="AT443" i="32"/>
  <c r="AT135" i="32"/>
  <c r="BB501" i="32"/>
  <c r="BN501" i="32" s="1"/>
  <c r="BO501" i="32" s="1"/>
  <c r="BC470" i="32"/>
  <c r="AU390" i="32"/>
  <c r="AT629" i="32"/>
  <c r="BB277" i="32"/>
  <c r="BN276" i="32" s="1"/>
  <c r="BO276" i="32" s="1"/>
  <c r="BN546" i="32"/>
  <c r="BO546" i="32" s="1"/>
  <c r="BC414" i="32"/>
  <c r="BB135" i="32"/>
  <c r="BN135" i="32" s="1"/>
  <c r="BO135" i="32" s="1"/>
  <c r="AU238" i="32"/>
  <c r="BC515" i="32"/>
  <c r="AU530" i="32"/>
  <c r="AU277" i="32"/>
  <c r="BN172" i="32"/>
  <c r="BO172" i="32" s="1"/>
  <c r="BC142" i="32"/>
  <c r="BC436" i="32"/>
  <c r="BC238" i="32"/>
  <c r="AU135" i="32"/>
  <c r="AT164" i="32"/>
  <c r="AU254" i="32"/>
  <c r="BB443" i="32"/>
  <c r="BN443" i="32" s="1"/>
  <c r="BO443" i="32" s="1"/>
  <c r="BC204" i="32"/>
  <c r="AT204" i="32"/>
  <c r="AT602" i="32"/>
  <c r="AT269" i="32"/>
  <c r="BB421" i="32"/>
  <c r="BB371" i="32"/>
  <c r="BN371" i="32" s="1"/>
  <c r="BO371" i="32" s="1"/>
  <c r="AU316" i="32"/>
  <c r="AU476" i="32"/>
  <c r="AU421" i="32"/>
  <c r="AU414" i="32"/>
  <c r="BC173" i="32"/>
  <c r="BB436" i="32"/>
  <c r="AU204" i="32"/>
  <c r="AU436" i="32"/>
  <c r="BC310" i="32"/>
  <c r="AT390" i="32"/>
  <c r="BB602" i="32"/>
  <c r="BN601" i="32" s="1"/>
  <c r="BO601" i="32" s="1"/>
  <c r="BC512" i="32"/>
  <c r="BC530" i="32"/>
  <c r="BB310" i="32"/>
  <c r="BC254" i="32"/>
  <c r="AT532" i="32"/>
  <c r="AT173" i="32"/>
  <c r="AT78" i="32"/>
  <c r="AT515" i="32"/>
  <c r="BB532" i="32"/>
  <c r="BN532" i="32" s="1"/>
  <c r="BO532" i="32" s="1"/>
  <c r="AT285" i="32"/>
  <c r="BC602" i="32"/>
  <c r="BB390" i="32"/>
  <c r="BB476" i="32"/>
  <c r="BC277" i="32"/>
  <c r="AU512" i="32"/>
  <c r="BN173" i="32"/>
  <c r="BO173" i="32" s="1"/>
  <c r="BN204" i="32"/>
  <c r="BO204" i="32" s="1"/>
  <c r="AT572" i="32"/>
  <c r="AT139" i="32"/>
  <c r="BC139" i="32"/>
  <c r="AT195" i="32"/>
  <c r="BB85" i="32"/>
  <c r="BN85" i="32" s="1"/>
  <c r="BO85" i="32" s="1"/>
  <c r="BN83" i="32"/>
  <c r="BO83" i="32" s="1"/>
  <c r="AU139" i="32"/>
  <c r="BB23" i="32"/>
  <c r="BN23" i="32" s="1"/>
  <c r="BO23" i="32" s="1"/>
  <c r="BB506" i="32"/>
  <c r="BN505" i="32" s="1"/>
  <c r="BO505" i="32" s="1"/>
  <c r="AT62" i="32"/>
  <c r="BC62" i="32"/>
  <c r="AT470" i="32"/>
  <c r="BB220" i="32"/>
  <c r="BN220" i="32" s="1"/>
  <c r="BO220" i="32" s="1"/>
  <c r="BC134" i="32"/>
  <c r="BC532" i="32"/>
  <c r="AU133" i="32"/>
  <c r="BB572" i="32"/>
  <c r="BN345" i="32"/>
  <c r="BO345" i="32" s="1"/>
  <c r="AU445" i="32"/>
  <c r="AU62" i="32"/>
  <c r="BC358" i="32"/>
  <c r="AT60" i="32"/>
  <c r="AT560" i="32"/>
  <c r="AT512" i="32"/>
  <c r="AU68" i="32"/>
  <c r="BC560" i="32"/>
  <c r="AT429" i="32"/>
  <c r="AU541" i="32"/>
  <c r="AT541" i="32"/>
  <c r="AT259" i="32"/>
  <c r="AT501" i="32"/>
  <c r="AT134" i="32"/>
  <c r="AU164" i="32"/>
  <c r="AU501" i="32"/>
  <c r="AU60" i="32"/>
  <c r="AU470" i="32"/>
  <c r="BB445" i="32"/>
  <c r="BN444" i="32" s="1"/>
  <c r="BO444" i="32" s="1"/>
  <c r="AT445" i="32"/>
  <c r="BC508" i="32"/>
  <c r="BC541" i="32"/>
  <c r="AT488" i="32"/>
  <c r="BN101" i="32"/>
  <c r="BO101" i="32" s="1"/>
  <c r="AU546" i="32"/>
  <c r="BB491" i="32"/>
  <c r="BB92" i="32"/>
  <c r="BN91" i="32" s="1"/>
  <c r="BO91" i="32" s="1"/>
  <c r="BB563" i="32"/>
  <c r="BN562" i="32" s="1"/>
  <c r="BO562" i="32" s="1"/>
  <c r="AT536" i="32"/>
  <c r="BB477" i="32"/>
  <c r="BC30" i="32"/>
  <c r="AU101" i="32"/>
  <c r="AT101" i="32"/>
  <c r="AT117" i="32"/>
  <c r="AT578" i="32"/>
  <c r="BC102" i="32"/>
  <c r="AU396" i="32"/>
  <c r="BN116" i="32"/>
  <c r="BO116" i="32" s="1"/>
  <c r="BB578" i="32"/>
  <c r="BN577" i="32" s="1"/>
  <c r="BO577" i="32" s="1"/>
  <c r="BB587" i="32"/>
  <c r="BN586" i="32" s="1"/>
  <c r="BO586" i="32" s="1"/>
  <c r="AU213" i="32"/>
  <c r="BC35" i="32"/>
  <c r="BB507" i="32"/>
  <c r="BC507" i="32"/>
  <c r="AU594" i="32"/>
  <c r="AT594" i="32"/>
  <c r="BB594" i="32"/>
  <c r="AU507" i="32"/>
  <c r="BB292" i="32"/>
  <c r="BN291" i="32" s="1"/>
  <c r="BO291" i="32" s="1"/>
  <c r="AU92" i="32"/>
  <c r="BB27" i="32"/>
  <c r="BN27" i="32" s="1"/>
  <c r="BO27" i="32" s="1"/>
  <c r="BB301" i="32"/>
  <c r="AT395" i="32"/>
  <c r="BC573" i="32"/>
  <c r="BC580" i="32"/>
  <c r="AU580" i="32"/>
  <c r="BB270" i="32"/>
  <c r="AU573" i="32"/>
  <c r="BC270" i="32"/>
  <c r="BC598" i="32"/>
  <c r="BC92" i="32"/>
  <c r="AT549" i="32"/>
  <c r="AT301" i="32"/>
  <c r="AU477" i="32"/>
  <c r="BB93" i="32"/>
  <c r="BC292" i="32"/>
  <c r="AT87" i="32"/>
  <c r="AT397" i="32"/>
  <c r="AU30" i="32"/>
  <c r="AT131" i="32"/>
  <c r="AT189" i="32"/>
  <c r="AT604" i="32"/>
  <c r="AU301" i="32"/>
  <c r="AU571" i="32"/>
  <c r="AU542" i="32"/>
  <c r="AT230" i="32"/>
  <c r="AU261" i="32"/>
  <c r="BC245" i="32"/>
  <c r="BC444" i="32"/>
  <c r="BC382" i="32"/>
  <c r="BN332" i="32"/>
  <c r="BO332" i="32" s="1"/>
  <c r="AU604" i="32"/>
  <c r="AT292" i="32"/>
  <c r="BB131" i="32"/>
  <c r="BN130" i="32" s="1"/>
  <c r="BO130" i="32" s="1"/>
  <c r="BN603" i="32"/>
  <c r="BO603" i="32" s="1"/>
  <c r="AT366" i="32"/>
  <c r="BC117" i="32"/>
  <c r="AT598" i="32"/>
  <c r="AT332" i="32"/>
  <c r="AU131" i="32"/>
  <c r="BC332" i="32"/>
  <c r="BC604" i="32"/>
  <c r="BB269" i="32"/>
  <c r="BN268" i="32" s="1"/>
  <c r="BO268" i="32" s="1"/>
  <c r="AU167" i="32"/>
  <c r="AT444" i="32"/>
  <c r="AT30" i="32"/>
  <c r="BN611" i="32"/>
  <c r="BO611" i="32" s="1"/>
  <c r="AT167" i="32"/>
  <c r="AT227" i="32"/>
  <c r="AT27" i="32"/>
  <c r="BC84" i="32"/>
  <c r="BC282" i="32"/>
  <c r="BC85" i="32"/>
  <c r="BB536" i="32"/>
  <c r="BN536" i="32" s="1"/>
  <c r="BO536" i="32" s="1"/>
  <c r="AU536" i="32"/>
  <c r="BB508" i="32"/>
  <c r="BN508" i="32" s="1"/>
  <c r="BO508" i="32" s="1"/>
  <c r="BC123" i="32"/>
  <c r="BB446" i="32"/>
  <c r="BN446" i="32" s="1"/>
  <c r="BO446" i="32" s="1"/>
  <c r="AU85" i="32"/>
  <c r="AT84" i="32"/>
  <c r="AU563" i="32"/>
  <c r="AU67" i="32"/>
  <c r="AU102" i="32"/>
  <c r="BC195" i="32"/>
  <c r="AT446" i="32"/>
  <c r="BC477" i="32"/>
  <c r="AT23" i="32"/>
  <c r="AT563" i="32"/>
  <c r="AU76" i="32"/>
  <c r="AT76" i="32"/>
  <c r="AU123" i="32"/>
  <c r="AT506" i="32"/>
  <c r="AU84" i="32"/>
  <c r="BB282" i="32"/>
  <c r="BN282" i="32" s="1"/>
  <c r="BO282" i="32" s="1"/>
  <c r="AT282" i="32"/>
  <c r="BB195" i="32"/>
  <c r="AT123" i="32"/>
  <c r="BB67" i="32"/>
  <c r="BN66" i="32" s="1"/>
  <c r="BO66" i="32" s="1"/>
  <c r="BC101" i="32"/>
  <c r="AU491" i="32"/>
  <c r="BC27" i="32"/>
  <c r="AT102" i="32"/>
  <c r="BC446" i="32"/>
  <c r="BB76" i="32"/>
  <c r="BN76" i="32" s="1"/>
  <c r="BO76" i="32" s="1"/>
  <c r="AT67" i="32"/>
  <c r="AU395" i="32"/>
  <c r="BB103" i="32"/>
  <c r="BN102" i="32" s="1"/>
  <c r="BO102" i="32" s="1"/>
  <c r="BC269" i="32"/>
  <c r="AT163" i="32"/>
  <c r="AU163" i="32"/>
  <c r="AU483" i="32"/>
  <c r="AT546" i="32"/>
  <c r="BB405" i="32"/>
  <c r="BB480" i="32"/>
  <c r="BN479" i="32" s="1"/>
  <c r="BO479" i="32" s="1"/>
  <c r="AT574" i="32"/>
  <c r="BB133" i="32"/>
  <c r="AT133" i="32"/>
  <c r="AU405" i="32"/>
  <c r="BB338" i="32"/>
  <c r="AT222" i="32"/>
  <c r="AU453" i="32"/>
  <c r="AT103" i="32"/>
  <c r="AU287" i="32"/>
  <c r="AT343" i="32"/>
  <c r="BB164" i="32"/>
  <c r="BN164" i="32" s="1"/>
  <c r="BO164" i="32" s="1"/>
  <c r="BC546" i="32"/>
  <c r="BC308" i="32"/>
  <c r="BB163" i="32"/>
  <c r="BC605" i="32"/>
  <c r="AU103" i="32"/>
  <c r="AU338" i="32"/>
  <c r="BB238" i="32"/>
  <c r="BN237" i="32" s="1"/>
  <c r="BO237" i="32" s="1"/>
  <c r="AT124" i="32"/>
  <c r="BC483" i="32"/>
  <c r="BB483" i="32"/>
  <c r="BB395" i="32"/>
  <c r="BN395" i="32" s="1"/>
  <c r="BO395" i="32" s="1"/>
  <c r="BC405" i="32"/>
  <c r="BN545" i="32"/>
  <c r="BO545" i="32" s="1"/>
  <c r="BC181" i="32"/>
  <c r="AU199" i="32"/>
  <c r="AU508" i="32"/>
  <c r="BB598" i="32"/>
  <c r="AU366" i="32"/>
  <c r="BB542" i="32"/>
  <c r="BN541" i="32" s="1"/>
  <c r="BO541" i="32" s="1"/>
  <c r="BN148" i="32"/>
  <c r="BO148" i="32" s="1"/>
  <c r="AT542" i="32"/>
  <c r="BC261" i="32"/>
  <c r="BB230" i="32"/>
  <c r="BB573" i="32"/>
  <c r="BC87" i="32"/>
  <c r="BB87" i="32"/>
  <c r="BN86" i="32" s="1"/>
  <c r="BO86" i="32" s="1"/>
  <c r="BB261" i="32"/>
  <c r="BN260" i="32" s="1"/>
  <c r="BO260" i="32" s="1"/>
  <c r="AU397" i="32"/>
  <c r="BB366" i="32"/>
  <c r="BC397" i="32"/>
  <c r="AU230" i="32"/>
  <c r="BN258" i="32"/>
  <c r="BO258" i="32" s="1"/>
  <c r="BN522" i="32"/>
  <c r="BO522" i="32" s="1"/>
  <c r="BB402" i="32"/>
  <c r="BN401" i="32" s="1"/>
  <c r="BO401" i="32" s="1"/>
  <c r="AU315" i="32"/>
  <c r="BC517" i="32"/>
  <c r="AU262" i="32"/>
  <c r="AT348" i="32"/>
  <c r="AT51" i="32"/>
  <c r="AT448" i="32"/>
  <c r="AT387" i="32"/>
  <c r="AT171" i="32"/>
  <c r="AU44" i="32"/>
  <c r="BB215" i="32"/>
  <c r="BN215" i="32" s="1"/>
  <c r="BO215" i="32" s="1"/>
  <c r="AT141" i="32"/>
  <c r="AU54" i="32"/>
  <c r="AU317" i="32"/>
  <c r="AU86" i="32"/>
  <c r="AT54" i="32"/>
  <c r="AT188" i="32"/>
  <c r="BC448" i="32"/>
  <c r="AU171" i="32"/>
  <c r="BC258" i="32"/>
  <c r="BB51" i="32"/>
  <c r="AT402" i="32"/>
  <c r="AT291" i="32"/>
  <c r="AT523" i="32"/>
  <c r="BC262" i="32"/>
  <c r="AT526" i="32"/>
  <c r="AU151" i="32"/>
  <c r="BC286" i="32"/>
  <c r="AU486" i="32"/>
  <c r="BN403" i="32"/>
  <c r="BO403" i="32" s="1"/>
  <c r="AU118" i="32"/>
  <c r="BB44" i="32"/>
  <c r="BN44" i="32" s="1"/>
  <c r="BO44" i="32" s="1"/>
  <c r="AU286" i="32"/>
  <c r="AU387" i="32"/>
  <c r="BC588" i="32"/>
  <c r="AT548" i="32"/>
  <c r="AU51" i="32"/>
  <c r="BC293" i="32"/>
  <c r="BC22" i="32"/>
  <c r="BB141" i="32"/>
  <c r="AU474" i="32"/>
  <c r="BN404" i="32"/>
  <c r="BO404" i="32" s="1"/>
  <c r="AU188" i="32"/>
  <c r="BN257" i="32"/>
  <c r="BO257" i="32" s="1"/>
  <c r="BB127" i="32"/>
  <c r="BN127" i="32" s="1"/>
  <c r="BO127" i="32" s="1"/>
  <c r="BC291" i="32"/>
  <c r="BC373" i="32"/>
  <c r="BB262" i="32"/>
  <c r="AT44" i="32"/>
  <c r="AT575" i="32"/>
  <c r="AT215" i="32"/>
  <c r="BC474" i="32"/>
  <c r="AT557" i="32"/>
  <c r="AU330" i="32"/>
  <c r="AT243" i="32"/>
  <c r="BB300" i="32"/>
  <c r="BN299" i="32" s="1"/>
  <c r="BO299" i="32" s="1"/>
  <c r="AU291" i="32"/>
  <c r="BC54" i="32"/>
  <c r="BB140" i="32"/>
  <c r="BN139" i="32" s="1"/>
  <c r="BO139" i="32" s="1"/>
  <c r="BC118" i="32"/>
  <c r="BC171" i="32"/>
  <c r="BB387" i="32"/>
  <c r="BN386" i="32" s="1"/>
  <c r="BO386" i="32" s="1"/>
  <c r="BB557" i="32"/>
  <c r="BN448" i="32"/>
  <c r="BO448" i="32" s="1"/>
  <c r="AT404" i="32"/>
  <c r="AT315" i="32"/>
  <c r="AT300" i="32"/>
  <c r="BC141" i="32"/>
  <c r="AU157" i="32"/>
  <c r="AU258" i="32"/>
  <c r="AT151" i="32"/>
  <c r="BB517" i="32"/>
  <c r="BN517" i="32" s="1"/>
  <c r="BO517" i="32" s="1"/>
  <c r="BB151" i="32"/>
  <c r="BN151" i="32" s="1"/>
  <c r="BO151" i="32" s="1"/>
  <c r="BC140" i="32"/>
  <c r="BB526" i="32"/>
  <c r="BN525" i="32" s="1"/>
  <c r="BO525" i="32" s="1"/>
  <c r="AU140" i="32"/>
  <c r="BN242" i="32"/>
  <c r="BO242" i="32" s="1"/>
  <c r="AU523" i="32"/>
  <c r="AT486" i="32"/>
  <c r="AU447" i="32"/>
  <c r="BC317" i="32"/>
  <c r="BB317" i="32"/>
  <c r="BN317" i="32" s="1"/>
  <c r="BO317" i="32" s="1"/>
  <c r="BB118" i="32"/>
  <c r="BN117" i="32" s="1"/>
  <c r="BO117" i="32" s="1"/>
  <c r="AT157" i="32"/>
  <c r="AU300" i="32"/>
  <c r="AT22" i="32"/>
  <c r="AU342" i="32"/>
  <c r="BC315" i="32"/>
  <c r="BC404" i="32"/>
  <c r="AU373" i="32"/>
  <c r="AU293" i="32"/>
  <c r="BB548" i="32"/>
  <c r="BN547" i="32" s="1"/>
  <c r="BO547" i="32" s="1"/>
  <c r="AU348" i="32"/>
  <c r="BC402" i="32"/>
  <c r="BN290" i="32"/>
  <c r="BO290" i="32" s="1"/>
  <c r="BB373" i="32"/>
  <c r="BN372" i="32" s="1"/>
  <c r="BO372" i="32" s="1"/>
  <c r="BB188" i="32"/>
  <c r="BN188" i="32" s="1"/>
  <c r="BO188" i="32" s="1"/>
  <c r="BC486" i="32"/>
  <c r="AT588" i="32"/>
  <c r="AU448" i="32"/>
  <c r="AU557" i="32"/>
  <c r="BB330" i="32"/>
  <c r="BN329" i="32" s="1"/>
  <c r="BO329" i="32" s="1"/>
  <c r="AT330" i="32"/>
  <c r="BB348" i="32"/>
  <c r="BN347" i="32" s="1"/>
  <c r="BO347" i="32" s="1"/>
  <c r="BB342" i="32"/>
  <c r="BN342" i="32" s="1"/>
  <c r="BO342" i="32" s="1"/>
  <c r="AT258" i="32"/>
  <c r="AU548" i="32"/>
  <c r="BB293" i="32"/>
  <c r="BC342" i="32"/>
  <c r="BC523" i="32"/>
  <c r="BC526" i="32"/>
  <c r="BC243" i="32"/>
  <c r="AU215" i="32"/>
  <c r="BB588" i="32"/>
  <c r="AT492" i="32"/>
  <c r="BB474" i="32"/>
  <c r="AT286" i="32"/>
  <c r="AU243" i="32"/>
  <c r="AU517" i="32"/>
  <c r="AU404" i="32"/>
  <c r="BB157" i="32"/>
  <c r="BB492" i="32"/>
  <c r="BN492" i="32" s="1"/>
  <c r="BO492" i="32" s="1"/>
  <c r="AT86" i="32"/>
  <c r="BC492" i="32"/>
  <c r="AT414" i="32"/>
  <c r="BC247" i="32"/>
  <c r="BB247" i="32"/>
  <c r="BN247" i="32" s="1"/>
  <c r="BO247" i="32" s="1"/>
  <c r="AU343" i="32"/>
  <c r="BB589" i="32"/>
  <c r="AU422" i="32"/>
  <c r="BN147" i="32"/>
  <c r="BO147" i="32" s="1"/>
  <c r="BC175" i="32"/>
  <c r="AT589" i="32"/>
  <c r="AU179" i="32"/>
  <c r="BB266" i="32"/>
  <c r="BB52" i="32"/>
  <c r="BC524" i="32"/>
  <c r="BB222" i="32"/>
  <c r="BN221" i="32" s="1"/>
  <c r="BO221" i="32" s="1"/>
  <c r="BB453" i="32"/>
  <c r="BB124" i="32"/>
  <c r="BN123" i="32" s="1"/>
  <c r="BO123" i="32" s="1"/>
  <c r="BB484" i="32"/>
  <c r="AU247" i="32"/>
  <c r="AT284" i="32"/>
  <c r="BC266" i="32"/>
  <c r="BC52" i="32"/>
  <c r="BB462" i="32"/>
  <c r="AU251" i="32"/>
  <c r="BC309" i="32"/>
  <c r="BB308" i="32"/>
  <c r="BC222" i="32"/>
  <c r="BB229" i="32"/>
  <c r="BN228" i="32" s="1"/>
  <c r="BO228" i="32" s="1"/>
  <c r="AT148" i="32"/>
  <c r="BC124" i="32"/>
  <c r="BB71" i="32"/>
  <c r="BN71" i="32" s="1"/>
  <c r="BO71" i="32" s="1"/>
  <c r="AT253" i="32"/>
  <c r="AU323" i="32"/>
  <c r="AU52" i="32"/>
  <c r="AT493" i="32"/>
  <c r="BB309" i="32"/>
  <c r="AU309" i="32"/>
  <c r="BB605" i="32"/>
  <c r="BN605" i="32" s="1"/>
  <c r="BO605" i="32" s="1"/>
  <c r="BC253" i="32"/>
  <c r="AU107" i="32"/>
  <c r="BC410" i="32"/>
  <c r="BB410" i="32"/>
  <c r="BN410" i="32" s="1"/>
  <c r="BO410" i="32" s="1"/>
  <c r="BB407" i="32"/>
  <c r="AT323" i="32"/>
  <c r="AU484" i="32"/>
  <c r="BC198" i="32"/>
  <c r="BB175" i="32"/>
  <c r="BN174" i="32" s="1"/>
  <c r="BO174" i="32" s="1"/>
  <c r="AT462" i="32"/>
  <c r="AU605" i="32"/>
  <c r="AT93" i="32"/>
  <c r="AU627" i="32"/>
  <c r="AU39" i="32"/>
  <c r="AT524" i="32"/>
  <c r="BB284" i="32"/>
  <c r="BN283" i="32" s="1"/>
  <c r="BO283" i="32" s="1"/>
  <c r="AU351" i="32"/>
  <c r="BB39" i="32"/>
  <c r="BN39" i="32" s="1"/>
  <c r="BO39" i="32" s="1"/>
  <c r="BB340" i="32"/>
  <c r="BN340" i="32" s="1"/>
  <c r="BO340" i="32" s="1"/>
  <c r="AU340" i="32"/>
  <c r="AU71" i="32"/>
  <c r="BC71" i="32"/>
  <c r="AU253" i="32"/>
  <c r="BB627" i="32"/>
  <c r="AU480" i="32"/>
  <c r="BC574" i="32"/>
  <c r="BB351" i="32"/>
  <c r="BN351" i="32" s="1"/>
  <c r="BO351" i="32" s="1"/>
  <c r="BB574" i="32"/>
  <c r="AU278" i="32"/>
  <c r="AT351" i="32"/>
  <c r="AT199" i="32"/>
  <c r="AT410" i="32"/>
  <c r="BB107" i="32"/>
  <c r="AU148" i="32"/>
  <c r="AT266" i="32"/>
  <c r="BC462" i="32"/>
  <c r="AT308" i="32"/>
  <c r="BC251" i="32"/>
  <c r="AT110" i="32"/>
  <c r="BB422" i="32"/>
  <c r="BB524" i="32"/>
  <c r="BN524" i="32" s="1"/>
  <c r="BO524" i="32" s="1"/>
  <c r="AT480" i="32"/>
  <c r="BB278" i="32"/>
  <c r="AT556" i="32"/>
  <c r="AT453" i="32"/>
  <c r="AT175" i="32"/>
  <c r="BB199" i="32"/>
  <c r="BN199" i="32" s="1"/>
  <c r="BO199" i="32" s="1"/>
  <c r="BB323" i="32"/>
  <c r="BN322" i="32" s="1"/>
  <c r="BO322" i="32" s="1"/>
  <c r="BC484" i="32"/>
  <c r="AU493" i="32"/>
  <c r="AU93" i="32"/>
  <c r="BC148" i="32"/>
  <c r="AT278" i="32"/>
  <c r="BC229" i="32"/>
  <c r="BB179" i="32"/>
  <c r="BN179" i="32" s="1"/>
  <c r="BO179" i="32" s="1"/>
  <c r="BC627" i="32"/>
  <c r="AT179" i="32"/>
  <c r="AT107" i="32"/>
  <c r="AT338" i="32"/>
  <c r="BC39" i="32"/>
  <c r="AT340" i="32"/>
  <c r="AT422" i="32"/>
  <c r="AU420" i="32"/>
  <c r="BN253" i="32"/>
  <c r="BO253" i="32" s="1"/>
  <c r="AU229" i="32"/>
  <c r="BC493" i="32"/>
  <c r="AT251" i="32"/>
  <c r="AU589" i="32"/>
  <c r="BC284" i="32"/>
  <c r="BC587" i="32"/>
  <c r="BB575" i="32"/>
  <c r="BN575" i="32" s="1"/>
  <c r="BO575" i="32" s="1"/>
  <c r="BC246" i="32"/>
  <c r="BC263" i="32"/>
  <c r="AT159" i="32"/>
  <c r="BN396" i="32"/>
  <c r="BO396" i="32" s="1"/>
  <c r="BN612" i="32"/>
  <c r="BO612" i="32" s="1"/>
  <c r="BB255" i="32"/>
  <c r="BN254" i="32" s="1"/>
  <c r="BO254" i="32" s="1"/>
  <c r="BC255" i="32"/>
  <c r="AU246" i="32"/>
  <c r="AT612" i="32"/>
  <c r="BB579" i="32"/>
  <c r="BN579" i="32" s="1"/>
  <c r="BO579" i="32" s="1"/>
  <c r="BB159" i="32"/>
  <c r="BN159" i="32" s="1"/>
  <c r="BO159" i="32" s="1"/>
  <c r="AU127" i="32"/>
  <c r="BC287" i="32"/>
  <c r="BB287" i="32"/>
  <c r="BN286" i="32" s="1"/>
  <c r="BO286" i="32" s="1"/>
  <c r="BB15" i="32"/>
  <c r="BN14" i="32" s="1"/>
  <c r="BO14" i="32" s="1"/>
  <c r="BB558" i="32"/>
  <c r="AT558" i="32"/>
  <c r="AU540" i="32"/>
  <c r="AU35" i="32"/>
  <c r="AT587" i="32"/>
  <c r="AT127" i="32"/>
  <c r="AU575" i="32"/>
  <c r="BB246" i="32"/>
  <c r="BN245" i="32" s="1"/>
  <c r="BO245" i="32" s="1"/>
  <c r="AU558" i="32"/>
  <c r="AU612" i="32"/>
  <c r="AT479" i="32"/>
  <c r="AT334" i="32"/>
  <c r="AT396" i="32"/>
  <c r="BC334" i="32"/>
  <c r="BC396" i="32"/>
  <c r="BB150" i="32"/>
  <c r="BN149" i="32" s="1"/>
  <c r="BO149" i="32" s="1"/>
  <c r="BC613" i="32"/>
  <c r="BB383" i="32"/>
  <c r="BN382" i="32" s="1"/>
  <c r="BO382" i="32" s="1"/>
  <c r="AT383" i="32"/>
  <c r="AU461" i="32"/>
  <c r="AU181" i="32"/>
  <c r="AU150" i="32"/>
  <c r="BB46" i="32"/>
  <c r="BN45" i="32" s="1"/>
  <c r="BO45" i="32" s="1"/>
  <c r="BB415" i="32"/>
  <c r="BN414" i="32" s="1"/>
  <c r="BO414" i="32" s="1"/>
  <c r="BC606" i="32"/>
  <c r="BB365" i="32"/>
  <c r="BN364" i="32" s="1"/>
  <c r="BO364" i="32" s="1"/>
  <c r="AU463" i="32"/>
  <c r="AT231" i="32"/>
  <c r="AT613" i="32"/>
  <c r="BC279" i="32"/>
  <c r="BB279" i="32"/>
  <c r="AU613" i="32"/>
  <c r="BB244" i="32"/>
  <c r="BN243" i="32" s="1"/>
  <c r="BO243" i="32" s="1"/>
  <c r="AT244" i="32"/>
  <c r="AT365" i="32"/>
  <c r="BN613" i="32"/>
  <c r="BO613" i="32" s="1"/>
  <c r="AU365" i="32"/>
  <c r="BC150" i="32"/>
  <c r="BB181" i="32"/>
  <c r="BN180" i="32" s="1"/>
  <c r="BO180" i="32" s="1"/>
  <c r="AU383" i="32"/>
  <c r="AT356" i="32"/>
  <c r="BB463" i="32"/>
  <c r="AU423" i="32"/>
  <c r="AU334" i="32"/>
  <c r="AU606" i="32"/>
  <c r="AT255" i="32"/>
  <c r="AT143" i="32"/>
  <c r="BC333" i="32"/>
  <c r="BB55" i="32"/>
  <c r="BN55" i="32" s="1"/>
  <c r="BO55" i="32" s="1"/>
  <c r="BC143" i="32"/>
  <c r="BB143" i="32"/>
  <c r="BB590" i="32"/>
  <c r="BB125" i="32"/>
  <c r="BC343" i="32"/>
  <c r="AT174" i="32"/>
  <c r="AT581" i="32"/>
  <c r="BC95" i="32"/>
  <c r="AU350" i="32"/>
  <c r="AT550" i="32"/>
  <c r="AT190" i="32"/>
  <c r="AU46" i="32"/>
  <c r="AT205" i="32"/>
  <c r="BB94" i="32"/>
  <c r="BN94" i="32" s="1"/>
  <c r="BO94" i="32" s="1"/>
  <c r="BC94" i="32"/>
  <c r="AU579" i="32"/>
  <c r="BB31" i="32"/>
  <c r="BN30" i="32" s="1"/>
  <c r="BO30" i="32" s="1"/>
  <c r="BN205" i="32"/>
  <c r="BO205" i="32" s="1"/>
  <c r="AU15" i="32"/>
  <c r="AT511" i="32"/>
  <c r="AU406" i="32"/>
  <c r="BB350" i="32"/>
  <c r="AT350" i="32"/>
  <c r="AU550" i="32"/>
  <c r="BB461" i="32"/>
  <c r="AT325" i="32"/>
  <c r="BB381" i="32"/>
  <c r="BN381" i="32" s="1"/>
  <c r="BO381" i="32" s="1"/>
  <c r="AT461" i="32"/>
  <c r="AU590" i="32"/>
  <c r="AT606" i="32"/>
  <c r="AU430" i="32"/>
  <c r="BC612" i="32"/>
  <c r="BC430" i="32"/>
  <c r="BB430" i="32"/>
  <c r="BC294" i="32"/>
  <c r="AU205" i="32"/>
  <c r="AT468" i="32"/>
  <c r="BB581" i="32"/>
  <c r="BN580" i="32" s="1"/>
  <c r="BO580" i="32" s="1"/>
  <c r="AU581" i="32"/>
  <c r="AU125" i="32"/>
  <c r="BB356" i="32"/>
  <c r="AT15" i="32"/>
  <c r="BB156" i="32"/>
  <c r="AT412" i="32"/>
  <c r="AU325" i="32"/>
  <c r="BC479" i="32"/>
  <c r="AU356" i="32"/>
  <c r="BB437" i="32"/>
  <c r="BN437" i="32" s="1"/>
  <c r="BO437" i="32" s="1"/>
  <c r="BC590" i="32"/>
  <c r="BB628" i="32"/>
  <c r="BB511" i="32"/>
  <c r="BN511" i="32" s="1"/>
  <c r="BO511" i="32" s="1"/>
  <c r="AU511" i="32"/>
  <c r="BC125" i="32"/>
  <c r="BC174" i="32"/>
  <c r="BB406" i="32"/>
  <c r="BC190" i="32"/>
  <c r="AU156" i="32"/>
  <c r="AU95" i="32"/>
  <c r="BB550" i="32"/>
  <c r="BN549" i="32" s="1"/>
  <c r="BO549" i="32" s="1"/>
  <c r="BC327" i="32"/>
  <c r="BC303" i="32"/>
  <c r="AT381" i="32"/>
  <c r="AU221" i="32"/>
  <c r="BC325" i="32"/>
  <c r="AU294" i="32"/>
  <c r="AT94" i="32"/>
  <c r="BC311" i="32"/>
  <c r="BB22" i="32"/>
  <c r="AU479" i="32"/>
  <c r="AU437" i="32"/>
  <c r="AT437" i="32"/>
  <c r="AU468" i="32"/>
  <c r="AT31" i="32"/>
  <c r="BC357" i="32"/>
  <c r="AT357" i="32"/>
  <c r="AU412" i="32"/>
  <c r="AT156" i="32"/>
  <c r="AT579" i="32"/>
  <c r="AT221" i="32"/>
  <c r="BC205" i="32"/>
  <c r="BC86" i="32"/>
  <c r="BB294" i="32"/>
  <c r="AT46" i="32"/>
  <c r="BC47" i="32"/>
  <c r="AT55" i="32"/>
  <c r="BB607" i="32"/>
  <c r="BN606" i="32" s="1"/>
  <c r="BO606" i="32" s="1"/>
  <c r="AU237" i="32"/>
  <c r="AU268" i="32"/>
  <c r="AU47" i="32"/>
  <c r="AT519" i="32"/>
  <c r="AU607" i="32"/>
  <c r="AU407" i="32"/>
  <c r="AT454" i="32"/>
  <c r="BC228" i="32"/>
  <c r="BN566" i="32"/>
  <c r="BO566" i="32" s="1"/>
  <c r="AU519" i="32"/>
  <c r="AU55" i="32"/>
  <c r="AT407" i="32"/>
  <c r="BN567" i="32"/>
  <c r="BO567" i="32" s="1"/>
  <c r="BB519" i="32"/>
  <c r="BN518" i="32" s="1"/>
  <c r="BO518" i="32" s="1"/>
  <c r="AT596" i="32"/>
  <c r="BC454" i="32"/>
  <c r="AT509" i="32"/>
  <c r="AU228" i="32"/>
  <c r="AU197" i="32"/>
  <c r="BB166" i="32"/>
  <c r="BN165" i="32" s="1"/>
  <c r="BO165" i="32" s="1"/>
  <c r="AT79" i="32"/>
  <c r="AT166" i="32"/>
  <c r="BC206" i="32"/>
  <c r="BC318" i="32"/>
  <c r="AU302" i="32"/>
  <c r="AT237" i="32"/>
  <c r="BB534" i="32"/>
  <c r="BN533" i="32" s="1"/>
  <c r="BO533" i="32" s="1"/>
  <c r="AU159" i="32"/>
  <c r="BB191" i="32"/>
  <c r="BN191" i="32" s="1"/>
  <c r="BO191" i="32" s="1"/>
  <c r="AU333" i="32"/>
  <c r="BB485" i="32"/>
  <c r="BN485" i="32" s="1"/>
  <c r="BO485" i="32" s="1"/>
  <c r="AT126" i="32"/>
  <c r="AU206" i="32"/>
  <c r="AT206" i="32"/>
  <c r="BN236" i="32"/>
  <c r="BO236" i="32" s="1"/>
  <c r="BB295" i="32"/>
  <c r="BN295" i="32" s="1"/>
  <c r="BO295" i="32" s="1"/>
  <c r="AT295" i="32"/>
  <c r="AU28" i="32"/>
  <c r="AT478" i="32"/>
  <c r="AU239" i="32"/>
  <c r="AT349" i="32"/>
  <c r="AT197" i="32"/>
  <c r="BB596" i="32"/>
  <c r="AT28" i="32"/>
  <c r="AT318" i="32"/>
  <c r="BC349" i="32"/>
  <c r="AT485" i="32"/>
  <c r="AU79" i="32"/>
  <c r="BC295" i="32"/>
  <c r="AU126" i="32"/>
  <c r="BC485" i="32"/>
  <c r="AU454" i="32"/>
  <c r="AU596" i="32"/>
  <c r="BC237" i="32"/>
  <c r="AU380" i="32"/>
  <c r="BN28" i="32"/>
  <c r="BO28" i="32" s="1"/>
  <c r="BC28" i="32"/>
  <c r="BB79" i="32"/>
  <c r="BN333" i="32"/>
  <c r="BO333" i="32" s="1"/>
  <c r="AT540" i="32"/>
  <c r="BC239" i="32"/>
  <c r="BB47" i="32"/>
  <c r="BN47" i="32" s="1"/>
  <c r="BO47" i="32" s="1"/>
  <c r="AT228" i="32"/>
  <c r="BC534" i="32"/>
  <c r="BB380" i="32"/>
  <c r="AU191" i="32"/>
  <c r="BB126" i="32"/>
  <c r="AT333" i="32"/>
  <c r="AT268" i="32"/>
  <c r="BC268" i="32"/>
  <c r="AU565" i="32"/>
  <c r="BC565" i="32"/>
  <c r="AU318" i="32"/>
  <c r="BB239" i="32"/>
  <c r="BN239" i="32" s="1"/>
  <c r="BO239" i="32" s="1"/>
  <c r="BB349" i="32"/>
  <c r="BB302" i="32"/>
  <c r="BN302" i="32" s="1"/>
  <c r="BO302" i="32" s="1"/>
  <c r="AU166" i="32"/>
  <c r="BB197" i="32"/>
  <c r="AU567" i="32"/>
  <c r="AT534" i="32"/>
  <c r="AU509" i="32"/>
  <c r="AT191" i="32"/>
  <c r="BB540" i="32"/>
  <c r="BN540" i="32" s="1"/>
  <c r="BO540" i="32" s="1"/>
  <c r="AT565" i="32"/>
  <c r="BC302" i="32"/>
  <c r="BC509" i="32"/>
  <c r="AT380" i="32"/>
  <c r="BC158" i="32"/>
  <c r="BB556" i="32"/>
  <c r="AT543" i="32"/>
  <c r="AU389" i="32"/>
  <c r="AU165" i="32"/>
  <c r="AU556" i="32"/>
  <c r="AT63" i="32"/>
  <c r="BN275" i="32"/>
  <c r="BO275" i="32" s="1"/>
  <c r="BB183" i="32"/>
  <c r="BN183" i="32" s="1"/>
  <c r="BO183" i="32" s="1"/>
  <c r="BB271" i="32"/>
  <c r="BN271" i="32" s="1"/>
  <c r="BO271" i="32" s="1"/>
  <c r="BB214" i="32"/>
  <c r="AT214" i="32"/>
  <c r="AU183" i="32"/>
  <c r="BC189" i="32"/>
  <c r="BC183" i="32"/>
  <c r="AU510" i="32"/>
  <c r="AU63" i="32"/>
  <c r="AT358" i="32"/>
  <c r="BC220" i="32"/>
  <c r="AU245" i="32"/>
  <c r="AU398" i="32"/>
  <c r="AT158" i="32"/>
  <c r="AT420" i="32"/>
  <c r="BC165" i="32"/>
  <c r="BB63" i="32"/>
  <c r="BN62" i="32" s="1"/>
  <c r="BO62" i="32" s="1"/>
  <c r="AU358" i="32"/>
  <c r="AT220" i="32"/>
  <c r="AT276" i="32"/>
  <c r="AT398" i="32"/>
  <c r="AU525" i="32"/>
  <c r="AT271" i="32"/>
  <c r="AU189" i="32"/>
  <c r="BB389" i="32"/>
  <c r="BN388" i="32" s="1"/>
  <c r="BO388" i="32" s="1"/>
  <c r="AT165" i="32"/>
  <c r="BB420" i="32"/>
  <c r="BN419" i="32" s="1"/>
  <c r="BO419" i="32" s="1"/>
  <c r="AU276" i="32"/>
  <c r="BB134" i="32"/>
  <c r="BB398" i="32"/>
  <c r="BN397" i="32" s="1"/>
  <c r="BO397" i="32" s="1"/>
  <c r="AT525" i="32"/>
  <c r="AU214" i="32"/>
  <c r="BC276" i="32"/>
  <c r="AU271" i="32"/>
  <c r="BB543" i="32"/>
  <c r="BB510" i="32"/>
  <c r="BN509" i="32" s="1"/>
  <c r="BO509" i="32" s="1"/>
  <c r="AT389" i="32"/>
  <c r="AU429" i="32"/>
  <c r="BB460" i="32"/>
  <c r="AT460" i="32"/>
  <c r="AU494" i="32"/>
  <c r="AU543" i="32"/>
  <c r="BB158" i="32"/>
  <c r="BB429" i="32"/>
  <c r="AT245" i="32"/>
  <c r="BC460" i="32"/>
  <c r="BC525" i="32"/>
  <c r="BB494" i="32"/>
  <c r="BN493" i="32" s="1"/>
  <c r="BO493" i="32" s="1"/>
  <c r="AT510" i="32"/>
  <c r="AU415" i="32"/>
  <c r="BB478" i="32"/>
  <c r="BN478" i="32" s="1"/>
  <c r="BO478" i="32" s="1"/>
  <c r="BC478" i="32"/>
  <c r="AT319" i="32"/>
  <c r="BB316" i="32"/>
  <c r="BN315" i="32" s="1"/>
  <c r="BO315" i="32" s="1"/>
  <c r="BC316" i="32"/>
  <c r="AU119" i="32"/>
  <c r="AU207" i="32"/>
  <c r="AT447" i="32"/>
  <c r="BC447" i="32"/>
  <c r="BC119" i="32"/>
  <c r="AT415" i="32"/>
  <c r="AT198" i="32"/>
  <c r="BB198" i="32"/>
  <c r="BB110" i="32"/>
  <c r="BN109" i="32" s="1"/>
  <c r="BO109" i="32" s="1"/>
  <c r="BC110" i="32"/>
  <c r="BC70" i="32"/>
  <c r="BB70" i="32"/>
  <c r="AT70" i="32"/>
  <c r="AU70" i="32"/>
  <c r="BB207" i="32"/>
  <c r="BN206" i="32" s="1"/>
  <c r="BO206" i="32" s="1"/>
  <c r="BB231" i="32"/>
  <c r="AU231" i="32"/>
  <c r="BC582" i="32"/>
  <c r="BB582" i="32"/>
  <c r="AT582" i="32"/>
  <c r="AU582" i="32"/>
  <c r="AT207" i="32"/>
  <c r="BB119" i="32"/>
  <c r="AT494" i="32"/>
  <c r="AU518" i="32"/>
  <c r="BC518" i="32"/>
  <c r="AT263" i="32"/>
  <c r="AT311" i="32"/>
  <c r="AT607" i="32"/>
  <c r="AT583" i="32"/>
  <c r="AT95" i="32"/>
  <c r="BB263" i="32"/>
  <c r="BB311" i="32"/>
  <c r="BB591" i="32"/>
  <c r="BC223" i="32"/>
  <c r="BB223" i="32"/>
  <c r="AU223" i="32"/>
  <c r="BC319" i="32"/>
  <c r="BB319" i="32"/>
  <c r="BN318" i="32" s="1"/>
  <c r="BO318" i="32" s="1"/>
  <c r="BN529" i="32"/>
  <c r="BO529" i="32" s="1"/>
  <c r="AU367" i="32"/>
  <c r="AT367" i="32"/>
  <c r="BN367" i="32"/>
  <c r="BO367" i="32" s="1"/>
  <c r="BC359" i="32"/>
  <c r="AT567" i="32"/>
  <c r="BC551" i="32"/>
  <c r="AT503" i="32"/>
  <c r="BC591" i="32"/>
  <c r="BB455" i="32"/>
  <c r="BN454" i="32" s="1"/>
  <c r="BO454" i="32" s="1"/>
  <c r="BC503" i="32"/>
  <c r="AT455" i="32"/>
  <c r="AT423" i="32"/>
  <c r="AU375" i="32"/>
  <c r="BN374" i="32"/>
  <c r="BO374" i="32" s="1"/>
  <c r="BB503" i="32"/>
  <c r="BN502" i="32" s="1"/>
  <c r="BO502" i="32" s="1"/>
  <c r="BC375" i="32"/>
  <c r="BC463" i="32"/>
  <c r="BB423" i="32"/>
  <c r="BN423" i="32" s="1"/>
  <c r="BO423" i="32" s="1"/>
  <c r="AT327" i="32"/>
  <c r="AU327" i="32"/>
  <c r="AU455" i="32"/>
  <c r="BN327" i="32"/>
  <c r="BO327" i="32" s="1"/>
  <c r="AT375" i="32"/>
  <c r="BN29" i="32"/>
  <c r="BO29" i="32" s="1"/>
  <c r="AT439" i="32"/>
  <c r="AU487" i="32"/>
  <c r="BB439" i="32"/>
  <c r="AT391" i="32"/>
  <c r="BB391" i="32"/>
  <c r="AU391" i="32"/>
  <c r="AT527" i="32"/>
  <c r="BB527" i="32"/>
  <c r="BN527" i="32" s="1"/>
  <c r="BO527" i="32" s="1"/>
  <c r="BC527" i="32"/>
  <c r="AU591" i="32"/>
  <c r="BB431" i="32"/>
  <c r="BN431" i="32" s="1"/>
  <c r="BO431" i="32" s="1"/>
  <c r="BC567" i="32"/>
  <c r="AU535" i="32"/>
  <c r="AU431" i="32"/>
  <c r="BC535" i="32"/>
  <c r="BC439" i="32"/>
  <c r="BB535" i="32"/>
  <c r="BC431" i="32"/>
  <c r="BB583" i="32"/>
  <c r="BB335" i="32"/>
  <c r="BN334" i="32" s="1"/>
  <c r="BO334" i="32" s="1"/>
  <c r="BC367" i="32"/>
  <c r="BC583" i="32"/>
  <c r="AU495" i="32"/>
  <c r="BN363" i="32"/>
  <c r="BO363" i="32" s="1"/>
  <c r="AU359" i="32"/>
  <c r="AT495" i="32"/>
  <c r="AU559" i="32"/>
  <c r="BC471" i="32"/>
  <c r="AU471" i="32"/>
  <c r="BB471" i="32"/>
  <c r="AT471" i="32"/>
  <c r="AT399" i="32"/>
  <c r="BB359" i="32"/>
  <c r="BN359" i="32" s="1"/>
  <c r="BO359" i="32" s="1"/>
  <c r="AU622" i="32"/>
  <c r="BC622" i="32"/>
  <c r="AT622" i="32"/>
  <c r="BB622" i="32"/>
  <c r="BB599" i="32"/>
  <c r="BC599" i="32"/>
  <c r="AU599" i="32"/>
  <c r="AT599" i="32"/>
  <c r="AT335" i="32"/>
  <c r="AU399" i="32"/>
  <c r="BB495" i="32"/>
  <c r="AU551" i="32"/>
  <c r="AT551" i="32"/>
  <c r="BC399" i="32"/>
  <c r="BB487" i="32"/>
  <c r="BN486" i="32" s="1"/>
  <c r="BO486" i="32" s="1"/>
  <c r="AT487" i="32"/>
  <c r="BC559" i="32"/>
  <c r="AU335" i="32"/>
  <c r="BB559" i="32"/>
  <c r="BN585" i="32"/>
  <c r="BO585" i="32" s="1"/>
  <c r="BN49" i="32"/>
  <c r="BO49" i="32" s="1"/>
  <c r="BN104" i="32"/>
  <c r="BO104" i="32" s="1"/>
  <c r="BN202" i="32"/>
  <c r="BO202" i="32" s="1"/>
  <c r="BN498" i="32"/>
  <c r="BO498" i="32" s="1"/>
  <c r="BN111" i="32"/>
  <c r="BO111" i="32" s="1"/>
  <c r="BN96" i="32"/>
  <c r="BO96" i="32" s="1"/>
  <c r="BN97" i="32"/>
  <c r="BO97" i="32" s="1"/>
  <c r="BN112" i="32"/>
  <c r="BO112" i="32" s="1"/>
  <c r="B6" i="32"/>
  <c r="G625" i="32"/>
  <c r="H625" i="32" s="1"/>
  <c r="I625" i="32" s="1"/>
  <c r="G527" i="32"/>
  <c r="H527" i="32" s="1"/>
  <c r="I527" i="32" s="1"/>
  <c r="G503" i="32"/>
  <c r="H503" i="32" s="1"/>
  <c r="I503" i="32" s="1"/>
  <c r="G575" i="32"/>
  <c r="H575" i="32" s="1"/>
  <c r="I575" i="32" s="1"/>
  <c r="G587" i="32"/>
  <c r="H587" i="32" s="1"/>
  <c r="I587" i="32" s="1"/>
  <c r="G379" i="32"/>
  <c r="H379" i="32" s="1"/>
  <c r="I379" i="32" s="1"/>
  <c r="G212" i="32"/>
  <c r="H212" i="32" s="1"/>
  <c r="I212" i="32" s="1"/>
  <c r="G470" i="32"/>
  <c r="H470" i="32" s="1"/>
  <c r="I470" i="32" s="1"/>
  <c r="G606" i="32"/>
  <c r="H606" i="32" s="1"/>
  <c r="I606" i="32" s="1"/>
  <c r="G16" i="32"/>
  <c r="H16" i="32" s="1"/>
  <c r="I16" i="32" s="1"/>
  <c r="G305" i="32"/>
  <c r="H305" i="32" s="1"/>
  <c r="I305" i="32" s="1"/>
  <c r="G487" i="32"/>
  <c r="H487" i="32" s="1"/>
  <c r="I487" i="32" s="1"/>
  <c r="G439" i="32"/>
  <c r="H439" i="32" s="1"/>
  <c r="I439" i="32" s="1"/>
  <c r="G435" i="32"/>
  <c r="H435" i="32" s="1"/>
  <c r="I435" i="32" s="1"/>
  <c r="G384" i="32"/>
  <c r="H384" i="32" s="1"/>
  <c r="I384" i="32" s="1"/>
  <c r="G117" i="32"/>
  <c r="H117" i="32" s="1"/>
  <c r="I117" i="32" s="1"/>
  <c r="G337" i="32"/>
  <c r="H337" i="32" s="1"/>
  <c r="I337" i="32" s="1"/>
  <c r="G258" i="32"/>
  <c r="H258" i="32" s="1"/>
  <c r="I258" i="32" s="1"/>
  <c r="G330" i="32"/>
  <c r="H330" i="32" s="1"/>
  <c r="I330" i="32" s="1"/>
  <c r="G33" i="32"/>
  <c r="H33" i="32" s="1"/>
  <c r="I33" i="32" s="1"/>
  <c r="G152" i="32"/>
  <c r="H152" i="32" s="1"/>
  <c r="I152" i="32" s="1"/>
  <c r="G116" i="32"/>
  <c r="H116" i="32" s="1"/>
  <c r="I116" i="32" s="1"/>
  <c r="G112" i="32"/>
  <c r="H112" i="32" s="1"/>
  <c r="I112" i="32" s="1"/>
  <c r="G113" i="32"/>
  <c r="H113" i="32" s="1"/>
  <c r="I113" i="32" s="1"/>
  <c r="G23" i="32"/>
  <c r="H23" i="32" s="1"/>
  <c r="I23" i="32" s="1"/>
  <c r="G401" i="32"/>
  <c r="H401" i="32" s="1"/>
  <c r="I401" i="32" s="1"/>
  <c r="G62" i="32"/>
  <c r="H62" i="32" s="1"/>
  <c r="I62" i="32" s="1"/>
  <c r="G198" i="32"/>
  <c r="H198" i="32" s="1"/>
  <c r="I198" i="32" s="1"/>
  <c r="G325" i="32"/>
  <c r="H325" i="32" s="1"/>
  <c r="I325" i="32" s="1"/>
  <c r="G273" i="32"/>
  <c r="H273" i="32" s="1"/>
  <c r="I273" i="32" s="1"/>
  <c r="G269" i="32"/>
  <c r="H269" i="32" s="1"/>
  <c r="I269" i="32" s="1"/>
  <c r="G220" i="32"/>
  <c r="H220" i="32" s="1"/>
  <c r="I220" i="32" s="1"/>
  <c r="G73" i="32"/>
  <c r="H73" i="32" s="1"/>
  <c r="I73" i="32" s="1"/>
  <c r="G132" i="32"/>
  <c r="H132" i="32" s="1"/>
  <c r="I132" i="32" s="1"/>
  <c r="G315" i="32"/>
  <c r="H315" i="32" s="1"/>
  <c r="I315" i="32" s="1"/>
  <c r="G448" i="32"/>
  <c r="H448" i="32" s="1"/>
  <c r="I448" i="32" s="1"/>
  <c r="G206" i="32"/>
  <c r="H206" i="32" s="1"/>
  <c r="I206" i="32" s="1"/>
  <c r="G88" i="32"/>
  <c r="H88" i="32" s="1"/>
  <c r="I88" i="32" s="1"/>
  <c r="G52" i="32"/>
  <c r="H52" i="32" s="1"/>
  <c r="I52" i="32" s="1"/>
  <c r="G48" i="32"/>
  <c r="H48" i="32" s="1"/>
  <c r="I48" i="32" s="1"/>
  <c r="G99" i="32"/>
  <c r="H99" i="32" s="1"/>
  <c r="I99" i="32" s="1"/>
  <c r="G500" i="32"/>
  <c r="H500" i="32" s="1"/>
  <c r="I500" i="32" s="1"/>
  <c r="G564" i="32"/>
  <c r="H564" i="32" s="1"/>
  <c r="I564" i="32" s="1"/>
  <c r="G21" i="32"/>
  <c r="H21" i="32" s="1"/>
  <c r="I21" i="32" s="1"/>
  <c r="G124" i="32"/>
  <c r="H124" i="32" s="1"/>
  <c r="I124" i="32" s="1"/>
  <c r="G245" i="32"/>
  <c r="H245" i="32" s="1"/>
  <c r="I245" i="32" s="1"/>
  <c r="G209" i="32"/>
  <c r="H209" i="32" s="1"/>
  <c r="I209" i="32" s="1"/>
  <c r="G205" i="32"/>
  <c r="H205" i="32" s="1"/>
  <c r="I205" i="32" s="1"/>
  <c r="G510" i="32"/>
  <c r="H510" i="32" s="1"/>
  <c r="I510" i="32" s="1"/>
  <c r="G328" i="32"/>
  <c r="H328" i="32" s="1"/>
  <c r="I328" i="32" s="1"/>
  <c r="G36" i="32"/>
  <c r="H36" i="32" s="1"/>
  <c r="I36" i="32" s="1"/>
  <c r="G160" i="32"/>
  <c r="H160" i="32" s="1"/>
  <c r="I160" i="32" s="1"/>
  <c r="G281" i="32"/>
  <c r="H281" i="32" s="1"/>
  <c r="I281" i="32" s="1"/>
  <c r="G267" i="32"/>
  <c r="H267" i="32" s="1"/>
  <c r="I267" i="32" s="1"/>
  <c r="G17" i="32"/>
  <c r="H17" i="32" s="1"/>
  <c r="I17" i="32" s="1"/>
  <c r="G127" i="32"/>
  <c r="H127" i="32" s="1"/>
  <c r="I127" i="32" s="1"/>
  <c r="G114" i="32"/>
  <c r="H114" i="32" s="1"/>
  <c r="I114" i="32" s="1"/>
  <c r="G243" i="32"/>
  <c r="H243" i="32" s="1"/>
  <c r="I243" i="32" s="1"/>
  <c r="G423" i="32"/>
  <c r="H423" i="32" s="1"/>
  <c r="I423" i="32" s="1"/>
  <c r="G343" i="32"/>
  <c r="H343" i="32" s="1"/>
  <c r="I343" i="32" s="1"/>
  <c r="G79" i="32"/>
  <c r="H79" i="32" s="1"/>
  <c r="I79" i="32" s="1"/>
  <c r="G60" i="32"/>
  <c r="H60" i="32" s="1"/>
  <c r="I60" i="32" s="1"/>
  <c r="G569" i="32"/>
  <c r="H569" i="32" s="1"/>
  <c r="I569" i="32" s="1"/>
  <c r="G468" i="32"/>
  <c r="H468" i="32" s="1"/>
  <c r="I468" i="32" s="1"/>
  <c r="G452" i="32"/>
  <c r="H452" i="32" s="1"/>
  <c r="I452" i="32" s="1"/>
  <c r="G377" i="32"/>
  <c r="H377" i="32" s="1"/>
  <c r="I377" i="32" s="1"/>
  <c r="G577" i="32"/>
  <c r="H577" i="32" s="1"/>
  <c r="I577" i="32" s="1"/>
  <c r="G331" i="32"/>
  <c r="H331" i="32" s="1"/>
  <c r="I331" i="32" s="1"/>
  <c r="G81" i="32"/>
  <c r="H81" i="32" s="1"/>
  <c r="I81" i="32" s="1"/>
  <c r="G549" i="32"/>
  <c r="H549" i="32" s="1"/>
  <c r="I549" i="32" s="1"/>
  <c r="G57" i="32"/>
  <c r="H57" i="32" s="1"/>
  <c r="I57" i="32" s="1"/>
  <c r="G153" i="32"/>
  <c r="H153" i="32" s="1"/>
  <c r="I153" i="32" s="1"/>
  <c r="G410" i="32"/>
  <c r="H410" i="32" s="1"/>
  <c r="I410" i="32" s="1"/>
  <c r="G471" i="32"/>
  <c r="H471" i="32" s="1"/>
  <c r="I471" i="32" s="1"/>
  <c r="G216" i="32"/>
  <c r="H216" i="32" s="1"/>
  <c r="I216" i="32" s="1"/>
  <c r="G293" i="32"/>
  <c r="H293" i="32" s="1"/>
  <c r="I293" i="32" s="1"/>
  <c r="G515" i="32"/>
  <c r="H515" i="32" s="1"/>
  <c r="I515" i="32" s="1"/>
  <c r="G543" i="32"/>
  <c r="H543" i="32" s="1"/>
  <c r="I543" i="32" s="1"/>
  <c r="G570" i="32"/>
  <c r="H570" i="32" s="1"/>
  <c r="I570" i="32" s="1"/>
  <c r="G419" i="32"/>
  <c r="H419" i="32" s="1"/>
  <c r="I419" i="32" s="1"/>
  <c r="G431" i="32"/>
  <c r="H431" i="32" s="1"/>
  <c r="I431" i="32" s="1"/>
  <c r="G289" i="32"/>
  <c r="H289" i="32" s="1"/>
  <c r="I289" i="32" s="1"/>
  <c r="G143" i="32"/>
  <c r="H143" i="32" s="1"/>
  <c r="I143" i="32" s="1"/>
  <c r="G225" i="32"/>
  <c r="H225" i="32" s="1"/>
  <c r="I225" i="32" s="1"/>
  <c r="G552" i="32"/>
  <c r="H552" i="32" s="1"/>
  <c r="I552" i="32" s="1"/>
  <c r="G133" i="32"/>
  <c r="H133" i="32" s="1"/>
  <c r="I133" i="32" s="1"/>
  <c r="G497" i="32"/>
  <c r="H497" i="32" s="1"/>
  <c r="I497" i="32" s="1"/>
  <c r="G538" i="32"/>
  <c r="H538" i="32" s="1"/>
  <c r="I538" i="32" s="1"/>
  <c r="G416" i="32"/>
  <c r="H416" i="32" s="1"/>
  <c r="I416" i="32" s="1"/>
  <c r="G400" i="32"/>
  <c r="H400" i="32" s="1"/>
  <c r="I400" i="32" s="1"/>
  <c r="G284" i="32"/>
  <c r="H284" i="32" s="1"/>
  <c r="I284" i="32" s="1"/>
  <c r="G469" i="32"/>
  <c r="H469" i="32" s="1"/>
  <c r="I469" i="32" s="1"/>
  <c r="G336" i="32"/>
  <c r="H336" i="32" s="1"/>
  <c r="I336" i="32" s="1"/>
  <c r="G32" i="32"/>
  <c r="H32" i="32" s="1"/>
  <c r="I32" i="32" s="1"/>
  <c r="G498" i="32"/>
  <c r="H498" i="32" s="1"/>
  <c r="I498" i="32" s="1"/>
  <c r="G165" i="32"/>
  <c r="H165" i="32" s="1"/>
  <c r="I165" i="32" s="1"/>
  <c r="G218" i="32"/>
  <c r="H218" i="32" s="1"/>
  <c r="I218" i="32" s="1"/>
  <c r="G157" i="32"/>
  <c r="H157" i="32" s="1"/>
  <c r="I157" i="32" s="1"/>
  <c r="G78" i="32"/>
  <c r="H78" i="32" s="1"/>
  <c r="I78" i="32" s="1"/>
  <c r="G137" i="32"/>
  <c r="H137" i="32" s="1"/>
  <c r="I137" i="32" s="1"/>
  <c r="G178" i="32"/>
  <c r="H178" i="32" s="1"/>
  <c r="I178" i="32" s="1"/>
  <c r="G189" i="32"/>
  <c r="H189" i="32" s="1"/>
  <c r="I189" i="32" s="1"/>
  <c r="G534" i="32"/>
  <c r="H534" i="32" s="1"/>
  <c r="I534" i="32" s="1"/>
  <c r="G54" i="32"/>
  <c r="H54" i="32" s="1"/>
  <c r="I54" i="32" s="1"/>
  <c r="G264" i="32"/>
  <c r="H264" i="32" s="1"/>
  <c r="I264" i="32" s="1"/>
  <c r="G228" i="32"/>
  <c r="H228" i="32" s="1"/>
  <c r="I228" i="32" s="1"/>
  <c r="G224" i="32"/>
  <c r="H224" i="32" s="1"/>
  <c r="I224" i="32" s="1"/>
  <c r="G151" i="32"/>
  <c r="H151" i="32" s="1"/>
  <c r="I151" i="32" s="1"/>
  <c r="G335" i="32"/>
  <c r="H335" i="32" s="1"/>
  <c r="I335" i="32" s="1"/>
  <c r="G41" i="32"/>
  <c r="H41" i="32" s="1"/>
  <c r="I41" i="32" s="1"/>
  <c r="G69" i="32"/>
  <c r="H69" i="32" s="1"/>
  <c r="I69" i="32" s="1"/>
  <c r="G301" i="32"/>
  <c r="H301" i="32" s="1"/>
  <c r="I301" i="32" s="1"/>
  <c r="G270" i="32"/>
  <c r="H270" i="32" s="1"/>
  <c r="I270" i="32" s="1"/>
  <c r="G238" i="32"/>
  <c r="H238" i="32" s="1"/>
  <c r="I238" i="32" s="1"/>
  <c r="G357" i="32"/>
  <c r="H357" i="32" s="1"/>
  <c r="I357" i="32" s="1"/>
  <c r="G578" i="32"/>
  <c r="H578" i="32" s="1"/>
  <c r="I578" i="32" s="1"/>
  <c r="G186" i="32"/>
  <c r="H186" i="32" s="1"/>
  <c r="I186" i="32" s="1"/>
  <c r="G389" i="32"/>
  <c r="H389" i="32" s="1"/>
  <c r="I389" i="32" s="1"/>
  <c r="G388" i="32"/>
  <c r="H388" i="32" s="1"/>
  <c r="I388" i="32" s="1"/>
  <c r="G181" i="32"/>
  <c r="H181" i="32" s="1"/>
  <c r="I181" i="32" s="1"/>
  <c r="G295" i="32"/>
  <c r="H295" i="32" s="1"/>
  <c r="I295" i="32" s="1"/>
  <c r="G200" i="32"/>
  <c r="H200" i="32" s="1"/>
  <c r="I200" i="32" s="1"/>
  <c r="G536" i="32"/>
  <c r="H536" i="32" s="1"/>
  <c r="I536" i="32" s="1"/>
  <c r="G517" i="32"/>
  <c r="H517" i="32" s="1"/>
  <c r="I517" i="32" s="1"/>
  <c r="G362" i="32"/>
  <c r="H362" i="32" s="1"/>
  <c r="I362" i="32" s="1"/>
  <c r="G338" i="32"/>
  <c r="H338" i="32" s="1"/>
  <c r="I338" i="32" s="1"/>
  <c r="G177" i="32"/>
  <c r="H177" i="32" s="1"/>
  <c r="I177" i="32" s="1"/>
  <c r="G38" i="32"/>
  <c r="H38" i="32" s="1"/>
  <c r="I38" i="32" s="1"/>
  <c r="G236" i="32"/>
  <c r="H236" i="32" s="1"/>
  <c r="I236" i="32" s="1"/>
  <c r="G77" i="32"/>
  <c r="H77" i="32" s="1"/>
  <c r="I77" i="32" s="1"/>
  <c r="G126" i="32"/>
  <c r="H126" i="32" s="1"/>
  <c r="I126" i="32" s="1"/>
  <c r="G91" i="32"/>
  <c r="H91" i="32" s="1"/>
  <c r="I91" i="32" s="1"/>
  <c r="G555" i="32"/>
  <c r="H555" i="32" s="1"/>
  <c r="I555" i="32" s="1"/>
  <c r="G565" i="32"/>
  <c r="H565" i="32" s="1"/>
  <c r="I565" i="32" s="1"/>
  <c r="G59" i="32"/>
  <c r="H59" i="32" s="1"/>
  <c r="I59" i="32" s="1"/>
  <c r="G272" i="32"/>
  <c r="H272" i="32" s="1"/>
  <c r="I272" i="32" s="1"/>
  <c r="G444" i="32"/>
  <c r="H444" i="32" s="1"/>
  <c r="I444" i="32" s="1"/>
  <c r="G42" i="32"/>
  <c r="H42" i="32" s="1"/>
  <c r="I42" i="32" s="1"/>
  <c r="G462" i="32"/>
  <c r="H462" i="32" s="1"/>
  <c r="I462" i="32" s="1"/>
  <c r="G393" i="32"/>
  <c r="H393" i="32" s="1"/>
  <c r="I393" i="32" s="1"/>
  <c r="G382" i="32"/>
  <c r="H382" i="32" s="1"/>
  <c r="I382" i="32" s="1"/>
  <c r="G490" i="32"/>
  <c r="H490" i="32" s="1"/>
  <c r="I490" i="32" s="1"/>
  <c r="G482" i="32"/>
  <c r="H482" i="32" s="1"/>
  <c r="I482" i="32" s="1"/>
  <c r="G611" i="32"/>
  <c r="H611" i="32" s="1"/>
  <c r="I611" i="32" s="1"/>
  <c r="G105" i="32"/>
  <c r="H105" i="32" s="1"/>
  <c r="I105" i="32" s="1"/>
  <c r="G426" i="32"/>
  <c r="H426" i="32" s="1"/>
  <c r="I426" i="32" s="1"/>
  <c r="G531" i="32"/>
  <c r="H531" i="32" s="1"/>
  <c r="I531" i="32" s="1"/>
  <c r="G479" i="32"/>
  <c r="H479" i="32" s="1"/>
  <c r="I479" i="32" s="1"/>
  <c r="G475" i="32"/>
  <c r="H475" i="32" s="1"/>
  <c r="I475" i="32" s="1"/>
  <c r="G506" i="32"/>
  <c r="H506" i="32" s="1"/>
  <c r="I506" i="32" s="1"/>
  <c r="G378" i="32"/>
  <c r="H378" i="32" s="1"/>
  <c r="I378" i="32" s="1"/>
  <c r="G248" i="32"/>
  <c r="H248" i="32" s="1"/>
  <c r="I248" i="32" s="1"/>
  <c r="G559" i="32"/>
  <c r="H559" i="32" s="1"/>
  <c r="I559" i="32" s="1"/>
  <c r="G348" i="32"/>
  <c r="H348" i="32" s="1"/>
  <c r="I348" i="32" s="1"/>
  <c r="G404" i="32"/>
  <c r="H404" i="32" s="1"/>
  <c r="I404" i="32" s="1"/>
  <c r="G463" i="32"/>
  <c r="H463" i="32" s="1"/>
  <c r="I463" i="32" s="1"/>
  <c r="G415" i="32"/>
  <c r="H415" i="32" s="1"/>
  <c r="I415" i="32" s="1"/>
  <c r="G244" i="32"/>
  <c r="H244" i="32" s="1"/>
  <c r="I244" i="32" s="1"/>
  <c r="G402" i="32"/>
  <c r="H402" i="32" s="1"/>
  <c r="I402" i="32" s="1"/>
  <c r="G588" i="32"/>
  <c r="H588" i="32" s="1"/>
  <c r="I588" i="32" s="1"/>
  <c r="G253" i="32"/>
  <c r="H253" i="32" s="1"/>
  <c r="I253" i="32" s="1"/>
  <c r="G83" i="32"/>
  <c r="H83" i="32" s="1"/>
  <c r="I83" i="32" s="1"/>
  <c r="G169" i="32"/>
  <c r="H169" i="32" s="1"/>
  <c r="I169" i="32" s="1"/>
  <c r="G356" i="32"/>
  <c r="H356" i="32" s="1"/>
  <c r="I356" i="32" s="1"/>
  <c r="G292" i="32"/>
  <c r="H292" i="32" s="1"/>
  <c r="I292" i="32" s="1"/>
  <c r="G288" i="32"/>
  <c r="H288" i="32" s="1"/>
  <c r="I288" i="32" s="1"/>
  <c r="G299" i="32"/>
  <c r="H299" i="32" s="1"/>
  <c r="I299" i="32" s="1"/>
  <c r="G197" i="32"/>
  <c r="H197" i="32" s="1"/>
  <c r="I197" i="32" s="1"/>
  <c r="G58" i="32"/>
  <c r="H58" i="32" s="1"/>
  <c r="I58" i="32" s="1"/>
  <c r="G53" i="32"/>
  <c r="H53" i="32" s="1"/>
  <c r="I53" i="32" s="1"/>
  <c r="G409" i="32"/>
  <c r="H409" i="32" s="1"/>
  <c r="I409" i="32" s="1"/>
  <c r="G130" i="32"/>
  <c r="H130" i="32" s="1"/>
  <c r="I130" i="32" s="1"/>
  <c r="G560" i="32"/>
  <c r="H560" i="32" s="1"/>
  <c r="I560" i="32" s="1"/>
  <c r="G496" i="32"/>
  <c r="H496" i="32" s="1"/>
  <c r="I496" i="32" s="1"/>
  <c r="G387" i="32"/>
  <c r="H387" i="32" s="1"/>
  <c r="I387" i="32" s="1"/>
  <c r="G413" i="32"/>
  <c r="H413" i="32" s="1"/>
  <c r="I413" i="32" s="1"/>
  <c r="G179" i="32"/>
  <c r="H179" i="32" s="1"/>
  <c r="I179" i="32" s="1"/>
  <c r="G478" i="32"/>
  <c r="H478" i="32" s="1"/>
  <c r="I478" i="32" s="1"/>
  <c r="G45" i="32"/>
  <c r="H45" i="32" s="1"/>
  <c r="I45" i="32" s="1"/>
  <c r="G47" i="32"/>
  <c r="H47" i="32" s="1"/>
  <c r="I47" i="32" s="1"/>
  <c r="G222" i="32"/>
  <c r="H222" i="32" s="1"/>
  <c r="I222" i="32" s="1"/>
  <c r="G159" i="32"/>
  <c r="H159" i="32" s="1"/>
  <c r="I159" i="32" s="1"/>
  <c r="G155" i="32"/>
  <c r="H155" i="32" s="1"/>
  <c r="I155" i="32" s="1"/>
  <c r="G434" i="32"/>
  <c r="H434" i="32" s="1"/>
  <c r="I434" i="32" s="1"/>
  <c r="G530" i="32"/>
  <c r="H530" i="32" s="1"/>
  <c r="I530" i="32" s="1"/>
  <c r="G111" i="32"/>
  <c r="H111" i="32" s="1"/>
  <c r="I111" i="32" s="1"/>
  <c r="G146" i="32"/>
  <c r="H146" i="32" s="1"/>
  <c r="I146" i="32" s="1"/>
  <c r="G396" i="32"/>
  <c r="H396" i="32" s="1"/>
  <c r="I396" i="32" s="1"/>
  <c r="G599" i="32"/>
  <c r="H599" i="32" s="1"/>
  <c r="I599" i="32" s="1"/>
  <c r="G590" i="32"/>
  <c r="H590" i="32" s="1"/>
  <c r="I590" i="32" s="1"/>
  <c r="G586" i="32"/>
  <c r="H586" i="32" s="1"/>
  <c r="I586" i="32" s="1"/>
  <c r="G494" i="32"/>
  <c r="H494" i="32" s="1"/>
  <c r="I494" i="32" s="1"/>
  <c r="G74" i="32"/>
  <c r="H74" i="32" s="1"/>
  <c r="I74" i="32" s="1"/>
  <c r="G104" i="32"/>
  <c r="H104" i="32" s="1"/>
  <c r="I104" i="32" s="1"/>
  <c r="G346" i="32"/>
  <c r="H346" i="32" s="1"/>
  <c r="I346" i="32" s="1"/>
  <c r="G20" i="32"/>
  <c r="H20" i="32" s="1"/>
  <c r="I20" i="32" s="1"/>
  <c r="G242" i="32"/>
  <c r="H242" i="32" s="1"/>
  <c r="I242" i="32" s="1"/>
  <c r="G544" i="32"/>
  <c r="H544" i="32" s="1"/>
  <c r="I544" i="32" s="1"/>
  <c r="G394" i="32"/>
  <c r="H394" i="32" s="1"/>
  <c r="I394" i="32" s="1"/>
  <c r="G373" i="32"/>
  <c r="H373" i="32" s="1"/>
  <c r="I373" i="32" s="1"/>
  <c r="G187" i="32"/>
  <c r="H187" i="32" s="1"/>
  <c r="I187" i="32" s="1"/>
  <c r="G227" i="32"/>
  <c r="H227" i="32" s="1"/>
  <c r="I227" i="32" s="1"/>
  <c r="G489" i="32"/>
  <c r="H489" i="32" s="1"/>
  <c r="I489" i="32" s="1"/>
  <c r="G453" i="32"/>
  <c r="H453" i="32" s="1"/>
  <c r="I453" i="32" s="1"/>
  <c r="G167" i="32"/>
  <c r="H167" i="32" s="1"/>
  <c r="I167" i="32" s="1"/>
  <c r="G597" i="32"/>
  <c r="H597" i="32" s="1"/>
  <c r="I597" i="32" s="1"/>
  <c r="G567" i="32"/>
  <c r="H567" i="32" s="1"/>
  <c r="I567" i="32" s="1"/>
  <c r="G563" i="32"/>
  <c r="H563" i="32" s="1"/>
  <c r="I563" i="32" s="1"/>
  <c r="G358" i="32"/>
  <c r="H358" i="32" s="1"/>
  <c r="I358" i="32" s="1"/>
  <c r="G550" i="32"/>
  <c r="H550" i="32" s="1"/>
  <c r="I550" i="32" s="1"/>
  <c r="G131" i="32"/>
  <c r="H131" i="32" s="1"/>
  <c r="I131" i="32" s="1"/>
  <c r="G254" i="32"/>
  <c r="H254" i="32" s="1"/>
  <c r="I254" i="32" s="1"/>
  <c r="G602" i="32"/>
  <c r="H602" i="32" s="1"/>
  <c r="I602" i="32" s="1"/>
  <c r="G250" i="32"/>
  <c r="H250" i="32" s="1"/>
  <c r="I250" i="32" s="1"/>
  <c r="G291" i="32"/>
  <c r="H291" i="32" s="1"/>
  <c r="I291" i="32" s="1"/>
  <c r="G529" i="32"/>
  <c r="H529" i="32" s="1"/>
  <c r="I529" i="32" s="1"/>
  <c r="G516" i="32"/>
  <c r="H516" i="32" s="1"/>
  <c r="I516" i="32" s="1"/>
  <c r="G262" i="32"/>
  <c r="H262" i="32" s="1"/>
  <c r="I262" i="32" s="1"/>
  <c r="G95" i="32"/>
  <c r="H95" i="32" s="1"/>
  <c r="I95" i="32" s="1"/>
  <c r="G375" i="32"/>
  <c r="H375" i="32" s="1"/>
  <c r="I375" i="32" s="1"/>
  <c r="G149" i="32"/>
  <c r="H149" i="32" s="1"/>
  <c r="I149" i="32" s="1"/>
  <c r="G251" i="32"/>
  <c r="H251" i="32" s="1"/>
  <c r="I251" i="32" s="1"/>
  <c r="G321" i="32"/>
  <c r="H321" i="32" s="1"/>
  <c r="I321" i="32" s="1"/>
  <c r="G532" i="32"/>
  <c r="H532" i="32" s="1"/>
  <c r="I532" i="32" s="1"/>
  <c r="G513" i="32"/>
  <c r="H513" i="32" s="1"/>
  <c r="I513" i="32" s="1"/>
  <c r="G333" i="32"/>
  <c r="H333" i="32" s="1"/>
  <c r="I333" i="32" s="1"/>
  <c r="G184" i="32"/>
  <c r="H184" i="32" s="1"/>
  <c r="I184" i="32" s="1"/>
  <c r="G600" i="32"/>
  <c r="H600" i="32" s="1"/>
  <c r="I600" i="32" s="1"/>
  <c r="G524" i="32"/>
  <c r="H524" i="32" s="1"/>
  <c r="I524" i="32" s="1"/>
  <c r="G361" i="32"/>
  <c r="H361" i="32" s="1"/>
  <c r="I361" i="32" s="1"/>
  <c r="G459" i="32"/>
  <c r="H459" i="32" s="1"/>
  <c r="I459" i="32" s="1"/>
  <c r="G352" i="32"/>
  <c r="H352" i="32" s="1"/>
  <c r="I352" i="32" s="1"/>
  <c r="G584" i="32"/>
  <c r="H584" i="32" s="1"/>
  <c r="I584" i="32" s="1"/>
  <c r="G68" i="32"/>
  <c r="H68" i="32" s="1"/>
  <c r="I68" i="32" s="1"/>
  <c r="G458" i="32"/>
  <c r="H458" i="32" s="1"/>
  <c r="I458" i="32" s="1"/>
  <c r="G208" i="32"/>
  <c r="H208" i="32" s="1"/>
  <c r="I208" i="32" s="1"/>
  <c r="G145" i="32"/>
  <c r="H145" i="32" s="1"/>
  <c r="I145" i="32" s="1"/>
  <c r="G412" i="32"/>
  <c r="H412" i="32" s="1"/>
  <c r="I412" i="32" s="1"/>
  <c r="G572" i="32"/>
  <c r="H572" i="32" s="1"/>
  <c r="I572" i="32" s="1"/>
  <c r="G344" i="32"/>
  <c r="H344" i="32" s="1"/>
  <c r="I344" i="32" s="1"/>
  <c r="G306" i="32"/>
  <c r="H306" i="32" s="1"/>
  <c r="I306" i="32" s="1"/>
  <c r="G182" i="32"/>
  <c r="H182" i="32" s="1"/>
  <c r="I182" i="32" s="1"/>
  <c r="G551" i="32"/>
  <c r="H551" i="32" s="1"/>
  <c r="I551" i="32" s="1"/>
  <c r="G609" i="32"/>
  <c r="H609" i="32" s="1"/>
  <c r="I609" i="32" s="1"/>
  <c r="G329" i="32"/>
  <c r="H329" i="32" s="1"/>
  <c r="I329" i="32" s="1"/>
  <c r="G612" i="32"/>
  <c r="H612" i="32" s="1"/>
  <c r="I612" i="32" s="1"/>
  <c r="G443" i="32"/>
  <c r="H443" i="32" s="1"/>
  <c r="I443" i="32" s="1"/>
  <c r="G395" i="32"/>
  <c r="H395" i="32" s="1"/>
  <c r="I395" i="32" s="1"/>
  <c r="G391" i="32"/>
  <c r="H391" i="32" s="1"/>
  <c r="I391" i="32" s="1"/>
  <c r="G302" i="32"/>
  <c r="H302" i="32" s="1"/>
  <c r="I302" i="32" s="1"/>
  <c r="G467" i="32"/>
  <c r="H467" i="32" s="1"/>
  <c r="I467" i="32" s="1"/>
  <c r="G327" i="32"/>
  <c r="H327" i="32" s="1"/>
  <c r="I327" i="32" s="1"/>
  <c r="G313" i="32"/>
  <c r="H313" i="32" s="1"/>
  <c r="I313" i="32" s="1"/>
  <c r="G491" i="32"/>
  <c r="H491" i="32" s="1"/>
  <c r="I491" i="32" s="1"/>
  <c r="G347" i="32"/>
  <c r="H347" i="32" s="1"/>
  <c r="I347" i="32" s="1"/>
  <c r="G162" i="32"/>
  <c r="H162" i="32" s="1"/>
  <c r="I162" i="32" s="1"/>
  <c r="G466" i="32"/>
  <c r="H466" i="32" s="1"/>
  <c r="I466" i="32" s="1"/>
  <c r="G445" i="32"/>
  <c r="H445" i="32" s="1"/>
  <c r="I445" i="32" s="1"/>
  <c r="G76" i="32"/>
  <c r="H76" i="32" s="1"/>
  <c r="I76" i="32" s="1"/>
  <c r="G168" i="32"/>
  <c r="H168" i="32" s="1"/>
  <c r="I168" i="32" s="1"/>
  <c r="G539" i="32"/>
  <c r="H539" i="32" s="1"/>
  <c r="I539" i="32" s="1"/>
  <c r="G90" i="32"/>
  <c r="H90" i="32" s="1"/>
  <c r="I90" i="32" s="1"/>
  <c r="G246" i="32"/>
  <c r="H246" i="32" s="1"/>
  <c r="I246" i="32" s="1"/>
  <c r="G367" i="32"/>
  <c r="H367" i="32" s="1"/>
  <c r="I367" i="32" s="1"/>
  <c r="G520" i="32"/>
  <c r="H520" i="32" s="1"/>
  <c r="I520" i="32" s="1"/>
  <c r="G501" i="32"/>
  <c r="H501" i="32" s="1"/>
  <c r="I501" i="32" s="1"/>
  <c r="G233" i="32"/>
  <c r="H233" i="32" s="1"/>
  <c r="I233" i="32" s="1"/>
  <c r="G46" i="32"/>
  <c r="H46" i="32" s="1"/>
  <c r="I46" i="32" s="1"/>
  <c r="G278" i="32"/>
  <c r="H278" i="32" s="1"/>
  <c r="I278" i="32" s="1"/>
  <c r="G392" i="32"/>
  <c r="H392" i="32" s="1"/>
  <c r="I392" i="32" s="1"/>
  <c r="G407" i="32"/>
  <c r="H407" i="32" s="1"/>
  <c r="I407" i="32" s="1"/>
  <c r="G345" i="32"/>
  <c r="H345" i="32" s="1"/>
  <c r="I345" i="32" s="1"/>
  <c r="G340" i="32"/>
  <c r="H340" i="32" s="1"/>
  <c r="I340" i="32" s="1"/>
  <c r="G219" i="32"/>
  <c r="H219" i="32" s="1"/>
  <c r="I219" i="32" s="1"/>
  <c r="G194" i="32"/>
  <c r="H194" i="32" s="1"/>
  <c r="I194" i="32" s="1"/>
  <c r="G365" i="32"/>
  <c r="H365" i="32" s="1"/>
  <c r="I365" i="32" s="1"/>
  <c r="G580" i="32"/>
  <c r="H580" i="32" s="1"/>
  <c r="I580" i="32" s="1"/>
  <c r="G455" i="32"/>
  <c r="H455" i="32" s="1"/>
  <c r="I455" i="32" s="1"/>
  <c r="G123" i="32"/>
  <c r="H123" i="32" s="1"/>
  <c r="I123" i="32" s="1"/>
  <c r="G502" i="32"/>
  <c r="H502" i="32" s="1"/>
  <c r="I502" i="32" s="1"/>
  <c r="G449" i="32"/>
  <c r="H449" i="32" s="1"/>
  <c r="I449" i="32" s="1"/>
  <c r="G374" i="32"/>
  <c r="H374" i="32" s="1"/>
  <c r="I374" i="32" s="1"/>
  <c r="G369" i="32"/>
  <c r="H369" i="32" s="1"/>
  <c r="I369" i="32" s="1"/>
  <c r="G537" i="32"/>
  <c r="H537" i="32" s="1"/>
  <c r="I537" i="32" s="1"/>
  <c r="G488" i="32"/>
  <c r="H488" i="32" s="1"/>
  <c r="I488" i="32" s="1"/>
  <c r="G541" i="32"/>
  <c r="H541" i="32" s="1"/>
  <c r="I541" i="32" s="1"/>
  <c r="G170" i="32"/>
  <c r="H170" i="32" s="1"/>
  <c r="I170" i="32" s="1"/>
  <c r="G533" i="32"/>
  <c r="H533" i="32" s="1"/>
  <c r="I533" i="32" s="1"/>
  <c r="G56" i="32"/>
  <c r="H56" i="32" s="1"/>
  <c r="I56" i="32" s="1"/>
  <c r="G484" i="32"/>
  <c r="H484" i="32" s="1"/>
  <c r="I484" i="32" s="1"/>
  <c r="G294" i="32"/>
  <c r="H294" i="32" s="1"/>
  <c r="I294" i="32" s="1"/>
  <c r="G287" i="32"/>
  <c r="H287" i="32" s="1"/>
  <c r="I287" i="32" s="1"/>
  <c r="G27" i="32"/>
  <c r="H27" i="32" s="1"/>
  <c r="I27" i="32" s="1"/>
  <c r="G366" i="32"/>
  <c r="H366" i="32" s="1"/>
  <c r="I366" i="32" s="1"/>
  <c r="G285" i="32"/>
  <c r="H285" i="32" s="1"/>
  <c r="I285" i="32" s="1"/>
  <c r="G324" i="32"/>
  <c r="H324" i="32" s="1"/>
  <c r="I324" i="32" s="1"/>
  <c r="G512" i="32"/>
  <c r="H512" i="32" s="1"/>
  <c r="I512" i="32" s="1"/>
  <c r="G492" i="32"/>
  <c r="H492" i="32" s="1"/>
  <c r="I492" i="32" s="1"/>
  <c r="G351" i="32"/>
  <c r="H351" i="32" s="1"/>
  <c r="I351" i="32" s="1"/>
  <c r="G342" i="32"/>
  <c r="H342" i="32" s="1"/>
  <c r="I342" i="32" s="1"/>
  <c r="G508" i="32"/>
  <c r="H508" i="32" s="1"/>
  <c r="I508" i="32" s="1"/>
  <c r="G417" i="32"/>
  <c r="H417" i="32" s="1"/>
  <c r="I417" i="32" s="1"/>
  <c r="G406" i="32"/>
  <c r="H406" i="32" s="1"/>
  <c r="I406" i="32" s="1"/>
  <c r="G425" i="32"/>
  <c r="H425" i="32" s="1"/>
  <c r="I425" i="32" s="1"/>
  <c r="G424" i="32"/>
  <c r="H424" i="32" s="1"/>
  <c r="I424" i="32" s="1"/>
  <c r="G481" i="32"/>
  <c r="H481" i="32" s="1"/>
  <c r="I481" i="32" s="1"/>
  <c r="G276" i="32"/>
  <c r="H276" i="32" s="1"/>
  <c r="I276" i="32" s="1"/>
  <c r="G605" i="32"/>
  <c r="H605" i="32" s="1"/>
  <c r="I605" i="32" s="1"/>
  <c r="G61" i="32"/>
  <c r="H61" i="32" s="1"/>
  <c r="I61" i="32" s="1"/>
  <c r="G279" i="32"/>
  <c r="H279" i="32" s="1"/>
  <c r="I279" i="32" s="1"/>
  <c r="G139" i="32"/>
  <c r="H139" i="32" s="1"/>
  <c r="I139" i="32" s="1"/>
  <c r="G576" i="32"/>
  <c r="H576" i="32" s="1"/>
  <c r="I576" i="32" s="1"/>
  <c r="G85" i="32"/>
  <c r="H85" i="32" s="1"/>
  <c r="I85" i="32" s="1"/>
  <c r="G350" i="32"/>
  <c r="H350" i="32" s="1"/>
  <c r="I350" i="32" s="1"/>
  <c r="G214" i="32"/>
  <c r="H214" i="32" s="1"/>
  <c r="I214" i="32" s="1"/>
  <c r="G207" i="32"/>
  <c r="H207" i="32" s="1"/>
  <c r="I207" i="32" s="1"/>
  <c r="G140" i="32"/>
  <c r="H140" i="32" s="1"/>
  <c r="I140" i="32" s="1"/>
  <c r="G142" i="32"/>
  <c r="H142" i="32" s="1"/>
  <c r="I142" i="32" s="1"/>
  <c r="G465" i="32"/>
  <c r="H465" i="32" s="1"/>
  <c r="I465" i="32" s="1"/>
  <c r="G509" i="32"/>
  <c r="H509" i="32" s="1"/>
  <c r="I509" i="32" s="1"/>
  <c r="G308" i="32"/>
  <c r="H308" i="32" s="1"/>
  <c r="I308" i="32" s="1"/>
  <c r="G432" i="32"/>
  <c r="H432" i="32" s="1"/>
  <c r="I432" i="32" s="1"/>
  <c r="G320" i="32"/>
  <c r="H320" i="32" s="1"/>
  <c r="I320" i="32" s="1"/>
  <c r="G311" i="32"/>
  <c r="H311" i="32" s="1"/>
  <c r="I311" i="32" s="1"/>
  <c r="G252" i="32"/>
  <c r="H252" i="32" s="1"/>
  <c r="I252" i="32" s="1"/>
  <c r="G290" i="32"/>
  <c r="H290" i="32" s="1"/>
  <c r="I290" i="32" s="1"/>
  <c r="G164" i="32"/>
  <c r="H164" i="32" s="1"/>
  <c r="I164" i="32" s="1"/>
  <c r="G522" i="32"/>
  <c r="H522" i="32" s="1"/>
  <c r="I522" i="32" s="1"/>
  <c r="G545" i="32"/>
  <c r="H545" i="32" s="1"/>
  <c r="I545" i="32" s="1"/>
  <c r="G125" i="32"/>
  <c r="H125" i="32" s="1"/>
  <c r="I125" i="32" s="1"/>
  <c r="G120" i="32"/>
  <c r="H120" i="32" s="1"/>
  <c r="I120" i="32" s="1"/>
  <c r="G84" i="32"/>
  <c r="H84" i="32" s="1"/>
  <c r="I84" i="32" s="1"/>
  <c r="G80" i="32"/>
  <c r="H80" i="32" s="1"/>
  <c r="I80" i="32" s="1"/>
  <c r="G93" i="32"/>
  <c r="H93" i="32" s="1"/>
  <c r="I93" i="32" s="1"/>
  <c r="G525" i="32"/>
  <c r="H525" i="32" s="1"/>
  <c r="I525" i="32" s="1"/>
  <c r="G339" i="32"/>
  <c r="H339" i="32" s="1"/>
  <c r="I339" i="32" s="1"/>
  <c r="G386" i="32"/>
  <c r="H386" i="32" s="1"/>
  <c r="I386" i="32" s="1"/>
  <c r="G156" i="32"/>
  <c r="H156" i="32" s="1"/>
  <c r="I156" i="32" s="1"/>
  <c r="G277" i="32"/>
  <c r="H277" i="32" s="1"/>
  <c r="I277" i="32" s="1"/>
  <c r="G241" i="32"/>
  <c r="H241" i="32" s="1"/>
  <c r="I241" i="32" s="1"/>
  <c r="G237" i="32"/>
  <c r="H237" i="32" s="1"/>
  <c r="I237" i="32" s="1"/>
  <c r="G188" i="32"/>
  <c r="H188" i="32" s="1"/>
  <c r="I188" i="32" s="1"/>
  <c r="G231" i="32"/>
  <c r="H231" i="32" s="1"/>
  <c r="I231" i="32" s="1"/>
  <c r="G100" i="32"/>
  <c r="H100" i="32" s="1"/>
  <c r="I100" i="32" s="1"/>
  <c r="G223" i="32"/>
  <c r="H223" i="32" s="1"/>
  <c r="I223" i="32" s="1"/>
  <c r="G334" i="32"/>
  <c r="H334" i="32" s="1"/>
  <c r="I334" i="32" s="1"/>
  <c r="G141" i="32"/>
  <c r="H141" i="32" s="1"/>
  <c r="I141" i="32" s="1"/>
  <c r="G476" i="32"/>
  <c r="H476" i="32" s="1"/>
  <c r="I476" i="32" s="1"/>
  <c r="G450" i="32"/>
  <c r="H450" i="32" s="1"/>
  <c r="I450" i="32" s="1"/>
  <c r="G421" i="32"/>
  <c r="H421" i="32" s="1"/>
  <c r="I421" i="32" s="1"/>
  <c r="G28" i="32"/>
  <c r="H28" i="32" s="1"/>
  <c r="I28" i="32" s="1"/>
  <c r="G624" i="32"/>
  <c r="H624" i="32" s="1"/>
  <c r="I624" i="32" s="1"/>
  <c r="G485" i="32"/>
  <c r="H485" i="32" s="1"/>
  <c r="I485" i="32" s="1"/>
  <c r="G451" i="32"/>
  <c r="H451" i="32" s="1"/>
  <c r="I451" i="32" s="1"/>
  <c r="G19" i="32"/>
  <c r="H19" i="32" s="1"/>
  <c r="I19" i="32" s="1"/>
  <c r="G460" i="32"/>
  <c r="H460" i="32" s="1"/>
  <c r="I460" i="32" s="1"/>
  <c r="G594" i="32"/>
  <c r="H594" i="32" s="1"/>
  <c r="I594" i="32" s="1"/>
  <c r="G558" i="32"/>
  <c r="H558" i="32" s="1"/>
  <c r="I558" i="32" s="1"/>
  <c r="G608" i="32"/>
  <c r="H608" i="32" s="1"/>
  <c r="I608" i="32" s="1"/>
  <c r="G121" i="32"/>
  <c r="H121" i="32" s="1"/>
  <c r="I121" i="32" s="1"/>
  <c r="G64" i="32"/>
  <c r="H64" i="32" s="1"/>
  <c r="I64" i="32" s="1"/>
  <c r="G185" i="32"/>
  <c r="H185" i="32" s="1"/>
  <c r="I185" i="32" s="1"/>
  <c r="G119" i="32"/>
  <c r="H119" i="32" s="1"/>
  <c r="I119" i="32" s="1"/>
  <c r="G274" i="32"/>
  <c r="H274" i="32" s="1"/>
  <c r="I274" i="32" s="1"/>
  <c r="G474" i="32"/>
  <c r="H474" i="32" s="1"/>
  <c r="I474" i="32" s="1"/>
  <c r="G13" i="32"/>
  <c r="H13" i="32" s="1"/>
  <c r="G380" i="32"/>
  <c r="H380" i="32" s="1"/>
  <c r="I380" i="32" s="1"/>
  <c r="G286" i="32"/>
  <c r="H286" i="32" s="1"/>
  <c r="I286" i="32" s="1"/>
  <c r="G568" i="32"/>
  <c r="H568" i="32" s="1"/>
  <c r="I568" i="32" s="1"/>
  <c r="G34" i="32"/>
  <c r="H34" i="32" s="1"/>
  <c r="I34" i="32" s="1"/>
  <c r="G138" i="32"/>
  <c r="H138" i="32" s="1"/>
  <c r="I138" i="32" s="1"/>
  <c r="G364" i="32"/>
  <c r="H364" i="32" s="1"/>
  <c r="I364" i="32" s="1"/>
  <c r="G215" i="32"/>
  <c r="H215" i="32" s="1"/>
  <c r="I215" i="32" s="1"/>
  <c r="G190" i="32"/>
  <c r="H190" i="32" s="1"/>
  <c r="I190" i="32" s="1"/>
  <c r="G150" i="32"/>
  <c r="H150" i="32" s="1"/>
  <c r="I150" i="32" s="1"/>
  <c r="G353" i="32"/>
  <c r="H353" i="32" s="1"/>
  <c r="I353" i="32" s="1"/>
  <c r="G349" i="32"/>
  <c r="H349" i="32" s="1"/>
  <c r="I349" i="32" s="1"/>
  <c r="G442" i="32"/>
  <c r="H442" i="32" s="1"/>
  <c r="I442" i="32" s="1"/>
  <c r="G596" i="32"/>
  <c r="H596" i="32" s="1"/>
  <c r="I596" i="32" s="1"/>
  <c r="G65" i="32"/>
  <c r="H65" i="32" s="1"/>
  <c r="I65" i="32" s="1"/>
  <c r="G595" i="32"/>
  <c r="H595" i="32" s="1"/>
  <c r="I595" i="32" s="1"/>
  <c r="G591" i="32"/>
  <c r="H591" i="32" s="1"/>
  <c r="I591" i="32" s="1"/>
  <c r="G355" i="32"/>
  <c r="H355" i="32" s="1"/>
  <c r="I355" i="32" s="1"/>
  <c r="G72" i="32"/>
  <c r="H72" i="32" s="1"/>
  <c r="I72" i="32" s="1"/>
  <c r="G566" i="32"/>
  <c r="H566" i="32" s="1"/>
  <c r="I566" i="32" s="1"/>
  <c r="G414" i="32"/>
  <c r="H414" i="32" s="1"/>
  <c r="I414" i="32" s="1"/>
  <c r="G199" i="32"/>
  <c r="H199" i="32" s="1"/>
  <c r="I199" i="32" s="1"/>
  <c r="G89" i="32"/>
  <c r="H89" i="32" s="1"/>
  <c r="I89" i="32" s="1"/>
  <c r="G163" i="32"/>
  <c r="H163" i="32" s="1"/>
  <c r="I163" i="32" s="1"/>
  <c r="G518" i="32"/>
  <c r="H518" i="32" s="1"/>
  <c r="I518" i="32" s="1"/>
  <c r="G493" i="32"/>
  <c r="H493" i="32" s="1"/>
  <c r="I493" i="32" s="1"/>
  <c r="G318" i="32"/>
  <c r="H318" i="32" s="1"/>
  <c r="I318" i="32" s="1"/>
  <c r="G430" i="32"/>
  <c r="H430" i="32" s="1"/>
  <c r="I430" i="32" s="1"/>
  <c r="G109" i="32"/>
  <c r="H109" i="32" s="1"/>
  <c r="I109" i="32" s="1"/>
  <c r="G35" i="32"/>
  <c r="H35" i="32" s="1"/>
  <c r="I35" i="32" s="1"/>
  <c r="G247" i="32"/>
  <c r="H247" i="32" s="1"/>
  <c r="I247" i="32" s="1"/>
  <c r="G598" i="32"/>
  <c r="H598" i="32" s="1"/>
  <c r="I598" i="32" s="1"/>
  <c r="G589" i="32"/>
  <c r="H589" i="32" s="1"/>
  <c r="I589" i="32" s="1"/>
  <c r="G585" i="32"/>
  <c r="H585" i="32" s="1"/>
  <c r="I585" i="32" s="1"/>
  <c r="G422" i="32"/>
  <c r="H422" i="32" s="1"/>
  <c r="I422" i="32" s="1"/>
  <c r="G122" i="32"/>
  <c r="H122" i="32" s="1"/>
  <c r="I122" i="32" s="1"/>
  <c r="G107" i="32"/>
  <c r="H107" i="32" s="1"/>
  <c r="I107" i="32" s="1"/>
  <c r="G428" i="32"/>
  <c r="H428" i="32" s="1"/>
  <c r="I428" i="32" s="1"/>
  <c r="G603" i="32"/>
  <c r="H603" i="32" s="1"/>
  <c r="I603" i="32" s="1"/>
  <c r="G86" i="32"/>
  <c r="H86" i="32" s="1"/>
  <c r="I86" i="32" s="1"/>
  <c r="G405" i="32"/>
  <c r="H405" i="32" s="1"/>
  <c r="I405" i="32" s="1"/>
  <c r="G266" i="32"/>
  <c r="H266" i="32" s="1"/>
  <c r="I266" i="32" s="1"/>
  <c r="G259" i="32"/>
  <c r="H259" i="32" s="1"/>
  <c r="I259" i="32" s="1"/>
  <c r="G408" i="32"/>
  <c r="H408" i="32" s="1"/>
  <c r="I408" i="32" s="1"/>
  <c r="G376" i="32"/>
  <c r="H376" i="32" s="1"/>
  <c r="I376" i="32" s="1"/>
  <c r="G129" i="32"/>
  <c r="H129" i="32" s="1"/>
  <c r="I129" i="32" s="1"/>
  <c r="G275" i="32"/>
  <c r="H275" i="32" s="1"/>
  <c r="I275" i="32" s="1"/>
  <c r="G557" i="32"/>
  <c r="H557" i="32" s="1"/>
  <c r="I557" i="32" s="1"/>
  <c r="G571" i="32"/>
  <c r="H571" i="32" s="1"/>
  <c r="I571" i="32" s="1"/>
  <c r="G523" i="32"/>
  <c r="H523" i="32" s="1"/>
  <c r="I523" i="32" s="1"/>
  <c r="G519" i="32"/>
  <c r="H519" i="32" s="1"/>
  <c r="I519" i="32" s="1"/>
  <c r="G298" i="32"/>
  <c r="H298" i="32" s="1"/>
  <c r="I298" i="32" s="1"/>
  <c r="G40" i="32"/>
  <c r="H40" i="32" s="1"/>
  <c r="I40" i="32" s="1"/>
  <c r="G283" i="32"/>
  <c r="H283" i="32" s="1"/>
  <c r="I283" i="32" s="1"/>
  <c r="G528" i="32"/>
  <c r="H528" i="32" s="1"/>
  <c r="I528" i="32" s="1"/>
  <c r="G454" i="32"/>
  <c r="H454" i="32" s="1"/>
  <c r="I454" i="32" s="1"/>
  <c r="G50" i="32"/>
  <c r="H50" i="32" s="1"/>
  <c r="I50" i="32" s="1"/>
  <c r="G300" i="32"/>
  <c r="H300" i="32" s="1"/>
  <c r="I300" i="32" s="1"/>
  <c r="G180" i="32"/>
  <c r="H180" i="32" s="1"/>
  <c r="I180" i="32" s="1"/>
  <c r="G176" i="32"/>
  <c r="H176" i="32" s="1"/>
  <c r="I176" i="32" s="1"/>
  <c r="G303" i="32"/>
  <c r="H303" i="32" s="1"/>
  <c r="I303" i="32" s="1"/>
  <c r="G456" i="32"/>
  <c r="H456" i="32" s="1"/>
  <c r="I456" i="32" s="1"/>
  <c r="G626" i="32"/>
  <c r="H626" i="32" s="1"/>
  <c r="I626" i="32" s="1"/>
  <c r="G483" i="32"/>
  <c r="H483" i="32" s="1"/>
  <c r="I483" i="32" s="1"/>
  <c r="G495" i="32"/>
  <c r="H495" i="32" s="1"/>
  <c r="I495" i="32" s="1"/>
  <c r="G14" i="32"/>
  <c r="H14" i="32" s="1"/>
  <c r="I14" i="32" s="1"/>
  <c r="G582" i="32"/>
  <c r="H582" i="32" s="1"/>
  <c r="I582" i="32" s="1"/>
  <c r="G399" i="32"/>
  <c r="H399" i="32" s="1"/>
  <c r="I399" i="32" s="1"/>
  <c r="G257" i="32"/>
  <c r="H257" i="32" s="1"/>
  <c r="I257" i="32" s="1"/>
  <c r="G613" i="32"/>
  <c r="H613" i="32" s="1"/>
  <c r="I613" i="32" s="1"/>
  <c r="G118" i="32"/>
  <c r="H118" i="32" s="1"/>
  <c r="I118" i="32" s="1"/>
  <c r="G55" i="32"/>
  <c r="H55" i="32" s="1"/>
  <c r="I55" i="32" s="1"/>
  <c r="G473" i="32"/>
  <c r="H473" i="32" s="1"/>
  <c r="I473" i="32" s="1"/>
  <c r="G203" i="32"/>
  <c r="H203" i="32" s="1"/>
  <c r="I203" i="32" s="1"/>
  <c r="G322" i="32"/>
  <c r="H322" i="32" s="1"/>
  <c r="I322" i="32" s="1"/>
  <c r="G134" i="32"/>
  <c r="H134" i="32" s="1"/>
  <c r="I134" i="32" s="1"/>
  <c r="G427" i="32"/>
  <c r="H427" i="32" s="1"/>
  <c r="I427" i="32" s="1"/>
  <c r="G147" i="32"/>
  <c r="H147" i="32" s="1"/>
  <c r="I147" i="32" s="1"/>
  <c r="G175" i="32"/>
  <c r="H175" i="32" s="1"/>
  <c r="I175" i="32" s="1"/>
  <c r="G437" i="32"/>
  <c r="H437" i="32" s="1"/>
  <c r="I437" i="32" s="1"/>
  <c r="G535" i="32"/>
  <c r="H535" i="32" s="1"/>
  <c r="I535" i="32" s="1"/>
  <c r="G24" i="32"/>
  <c r="H24" i="32" s="1"/>
  <c r="I24" i="32" s="1"/>
  <c r="G239" i="32"/>
  <c r="H239" i="32" s="1"/>
  <c r="I239" i="32" s="1"/>
  <c r="G158" i="32"/>
  <c r="H158" i="32" s="1"/>
  <c r="I158" i="32" s="1"/>
  <c r="G154" i="32"/>
  <c r="H154" i="32" s="1"/>
  <c r="I154" i="32" s="1"/>
  <c r="G108" i="32"/>
  <c r="H108" i="32" s="1"/>
  <c r="I108" i="32" s="1"/>
  <c r="G22" i="32"/>
  <c r="H22" i="32" s="1"/>
  <c r="I22" i="32" s="1"/>
  <c r="G592" i="32"/>
  <c r="H592" i="32" s="1"/>
  <c r="I592" i="32" s="1"/>
  <c r="G98" i="32"/>
  <c r="H98" i="32" s="1"/>
  <c r="I98" i="32" s="1"/>
  <c r="G360" i="32"/>
  <c r="H360" i="32" s="1"/>
  <c r="I360" i="32" s="1"/>
  <c r="G403" i="32"/>
  <c r="H403" i="32" s="1"/>
  <c r="I403" i="32" s="1"/>
  <c r="G363" i="32"/>
  <c r="H363" i="32" s="1"/>
  <c r="I363" i="32" s="1"/>
  <c r="G359" i="32"/>
  <c r="H359" i="32" s="1"/>
  <c r="I359" i="32" s="1"/>
  <c r="G265" i="32"/>
  <c r="H265" i="32" s="1"/>
  <c r="I265" i="32" s="1"/>
  <c r="G297" i="32"/>
  <c r="H297" i="32" s="1"/>
  <c r="I297" i="32" s="1"/>
  <c r="G202" i="32"/>
  <c r="H202" i="32" s="1"/>
  <c r="I202" i="32" s="1"/>
  <c r="G195" i="32"/>
  <c r="H195" i="32" s="1"/>
  <c r="I195" i="32" s="1"/>
  <c r="G447" i="32"/>
  <c r="H447" i="32" s="1"/>
  <c r="I447" i="32" s="1"/>
  <c r="G110" i="32"/>
  <c r="H110" i="32" s="1"/>
  <c r="I110" i="32" s="1"/>
  <c r="G477" i="32"/>
  <c r="H477" i="32" s="1"/>
  <c r="I477" i="32" s="1"/>
  <c r="G332" i="32"/>
  <c r="H332" i="32" s="1"/>
  <c r="I332" i="32" s="1"/>
  <c r="G326" i="32"/>
  <c r="H326" i="32" s="1"/>
  <c r="I326" i="32" s="1"/>
  <c r="G44" i="32"/>
  <c r="H44" i="32" s="1"/>
  <c r="I44" i="32" s="1"/>
  <c r="G507" i="32"/>
  <c r="H507" i="32" s="1"/>
  <c r="I507" i="32" s="1"/>
  <c r="G499" i="32"/>
  <c r="H499" i="32" s="1"/>
  <c r="I499" i="32" s="1"/>
  <c r="G461" i="32"/>
  <c r="H461" i="32" s="1"/>
  <c r="I461" i="32" s="1"/>
  <c r="G166" i="32"/>
  <c r="H166" i="32" s="1"/>
  <c r="I166" i="32" s="1"/>
  <c r="G526" i="32"/>
  <c r="H526" i="32" s="1"/>
  <c r="I526" i="32" s="1"/>
  <c r="G438" i="32"/>
  <c r="H438" i="32" s="1"/>
  <c r="I438" i="32" s="1"/>
  <c r="G433" i="32"/>
  <c r="H433" i="32" s="1"/>
  <c r="I433" i="32" s="1"/>
  <c r="G201" i="32"/>
  <c r="H201" i="32" s="1"/>
  <c r="I201" i="32" s="1"/>
  <c r="G574" i="32"/>
  <c r="H574" i="32" s="1"/>
  <c r="I574" i="32" s="1"/>
  <c r="G174" i="32"/>
  <c r="H174" i="32" s="1"/>
  <c r="I174" i="32" s="1"/>
  <c r="G271" i="32"/>
  <c r="H271" i="32" s="1"/>
  <c r="I271" i="32" s="1"/>
  <c r="G371" i="32"/>
  <c r="H371" i="32" s="1"/>
  <c r="I371" i="32" s="1"/>
  <c r="G115" i="32"/>
  <c r="H115" i="32" s="1"/>
  <c r="I115" i="32" s="1"/>
  <c r="G226" i="32"/>
  <c r="H226" i="32" s="1"/>
  <c r="I226" i="32" s="1"/>
  <c r="G472" i="32"/>
  <c r="H472" i="32" s="1"/>
  <c r="I472" i="32" s="1"/>
  <c r="G440" i="32"/>
  <c r="H440" i="32" s="1"/>
  <c r="I440" i="32" s="1"/>
  <c r="G101" i="32"/>
  <c r="H101" i="32" s="1"/>
  <c r="I101" i="32" s="1"/>
  <c r="G420" i="32"/>
  <c r="H420" i="32" s="1"/>
  <c r="I420" i="32" s="1"/>
  <c r="G411" i="32"/>
  <c r="H411" i="32" s="1"/>
  <c r="I411" i="32" s="1"/>
  <c r="G486" i="32"/>
  <c r="H486" i="32" s="1"/>
  <c r="I486" i="32" s="1"/>
  <c r="G370" i="32"/>
  <c r="H370" i="32" s="1"/>
  <c r="I370" i="32" s="1"/>
  <c r="G385" i="32"/>
  <c r="H385" i="32" s="1"/>
  <c r="I385" i="32" s="1"/>
  <c r="G316" i="32"/>
  <c r="H316" i="32" s="1"/>
  <c r="I316" i="32" s="1"/>
  <c r="G307" i="32"/>
  <c r="H307" i="32" s="1"/>
  <c r="I307" i="32" s="1"/>
  <c r="G436" i="32"/>
  <c r="H436" i="32" s="1"/>
  <c r="I436" i="32" s="1"/>
  <c r="G229" i="32"/>
  <c r="H229" i="32" s="1"/>
  <c r="I229" i="32" s="1"/>
  <c r="G82" i="32"/>
  <c r="H82" i="32" s="1"/>
  <c r="I82" i="32" s="1"/>
  <c r="G96" i="32"/>
  <c r="H96" i="32" s="1"/>
  <c r="I96" i="32" s="1"/>
  <c r="G217" i="32"/>
  <c r="H217" i="32" s="1"/>
  <c r="I217" i="32" s="1"/>
  <c r="G26" i="32"/>
  <c r="H26" i="32" s="1"/>
  <c r="I26" i="32" s="1"/>
  <c r="G51" i="32"/>
  <c r="H51" i="32" s="1"/>
  <c r="I51" i="32" s="1"/>
  <c r="G604" i="32"/>
  <c r="H604" i="32" s="1"/>
  <c r="I604" i="32" s="1"/>
  <c r="G43" i="32"/>
  <c r="H43" i="32" s="1"/>
  <c r="I43" i="32" s="1"/>
  <c r="G103" i="32"/>
  <c r="H103" i="32" s="1"/>
  <c r="I103" i="32" s="1"/>
  <c r="G280" i="32"/>
  <c r="H280" i="32" s="1"/>
  <c r="I280" i="32" s="1"/>
  <c r="G230" i="32"/>
  <c r="H230" i="32" s="1"/>
  <c r="I230" i="32" s="1"/>
  <c r="G211" i="32"/>
  <c r="H211" i="32" s="1"/>
  <c r="I211" i="32" s="1"/>
  <c r="G63" i="32"/>
  <c r="H63" i="32" s="1"/>
  <c r="I63" i="32" s="1"/>
  <c r="G372" i="32"/>
  <c r="H372" i="32" s="1"/>
  <c r="I372" i="32" s="1"/>
  <c r="G102" i="32"/>
  <c r="H102" i="32" s="1"/>
  <c r="I102" i="32" s="1"/>
  <c r="G15" i="32"/>
  <c r="H15" i="32" s="1"/>
  <c r="I15" i="32" s="1"/>
  <c r="G354" i="32"/>
  <c r="H354" i="32" s="1"/>
  <c r="I354" i="32" s="1"/>
  <c r="G542" i="32"/>
  <c r="H542" i="32" s="1"/>
  <c r="I542" i="32" s="1"/>
  <c r="G70" i="32"/>
  <c r="H70" i="32" s="1"/>
  <c r="I70" i="32" s="1"/>
  <c r="G135" i="32"/>
  <c r="H135" i="32" s="1"/>
  <c r="I135" i="32" s="1"/>
  <c r="G261" i="32"/>
  <c r="H261" i="32" s="1"/>
  <c r="I261" i="32" s="1"/>
  <c r="G309" i="32"/>
  <c r="H309" i="32" s="1"/>
  <c r="I309" i="32" s="1"/>
  <c r="G172" i="32"/>
  <c r="H172" i="32" s="1"/>
  <c r="I172" i="32" s="1"/>
  <c r="G319" i="32"/>
  <c r="H319" i="32" s="1"/>
  <c r="I319" i="32" s="1"/>
  <c r="G191" i="32"/>
  <c r="H191" i="32" s="1"/>
  <c r="I191" i="32" s="1"/>
  <c r="G296" i="32"/>
  <c r="H296" i="32" s="1"/>
  <c r="I296" i="32" s="1"/>
  <c r="G66" i="32"/>
  <c r="H66" i="32" s="1"/>
  <c r="I66" i="32" s="1"/>
  <c r="G540" i="32"/>
  <c r="H540" i="32" s="1"/>
  <c r="I540" i="32" s="1"/>
  <c r="G268" i="32"/>
  <c r="H268" i="32" s="1"/>
  <c r="I268" i="32" s="1"/>
  <c r="G464" i="32"/>
  <c r="H464" i="32" s="1"/>
  <c r="I464" i="32" s="1"/>
  <c r="G562" i="32"/>
  <c r="H562" i="32" s="1"/>
  <c r="I562" i="32" s="1"/>
  <c r="G282" i="32"/>
  <c r="H282" i="32" s="1"/>
  <c r="I282" i="32" s="1"/>
  <c r="G30" i="32"/>
  <c r="H30" i="32" s="1"/>
  <c r="I30" i="32" s="1"/>
  <c r="G368" i="32"/>
  <c r="H368" i="32" s="1"/>
  <c r="I368" i="32" s="1"/>
  <c r="G398" i="32"/>
  <c r="H398" i="32" s="1"/>
  <c r="I398" i="32" s="1"/>
  <c r="G173" i="32"/>
  <c r="H173" i="32" s="1"/>
  <c r="I173" i="32" s="1"/>
  <c r="G593" i="32"/>
  <c r="H593" i="32" s="1"/>
  <c r="I593" i="32" s="1"/>
  <c r="G148" i="32"/>
  <c r="H148" i="32" s="1"/>
  <c r="I148" i="32" s="1"/>
  <c r="G260" i="32"/>
  <c r="H260" i="32" s="1"/>
  <c r="I260" i="32" s="1"/>
  <c r="G553" i="32"/>
  <c r="H553" i="32" s="1"/>
  <c r="I553" i="32" s="1"/>
  <c r="G232" i="32"/>
  <c r="H232" i="32" s="1"/>
  <c r="I232" i="32" s="1"/>
  <c r="G429" i="32"/>
  <c r="H429" i="32" s="1"/>
  <c r="I429" i="32" s="1"/>
  <c r="G310" i="32"/>
  <c r="H310" i="32" s="1"/>
  <c r="I310" i="32" s="1"/>
  <c r="G457" i="32"/>
  <c r="H457" i="32" s="1"/>
  <c r="I457" i="32" s="1"/>
  <c r="G39" i="32"/>
  <c r="H39" i="32" s="1"/>
  <c r="I39" i="32" s="1"/>
  <c r="G106" i="32"/>
  <c r="H106" i="32" s="1"/>
  <c r="I106" i="32" s="1"/>
  <c r="G383" i="32"/>
  <c r="H383" i="32" s="1"/>
  <c r="I383" i="32" s="1"/>
  <c r="G554" i="32"/>
  <c r="H554" i="32" s="1"/>
  <c r="I554" i="32" s="1"/>
  <c r="G210" i="32"/>
  <c r="H210" i="32" s="1"/>
  <c r="I210" i="32" s="1"/>
  <c r="G610" i="32"/>
  <c r="H610" i="32" s="1"/>
  <c r="I610" i="32" s="1"/>
  <c r="G144" i="32"/>
  <c r="H144" i="32" s="1"/>
  <c r="I144" i="32" s="1"/>
  <c r="G256" i="32"/>
  <c r="H256" i="32" s="1"/>
  <c r="I256" i="32" s="1"/>
  <c r="G49" i="32"/>
  <c r="H49" i="32" s="1"/>
  <c r="I49" i="32" s="1"/>
  <c r="G196" i="32"/>
  <c r="H196" i="32" s="1"/>
  <c r="I196" i="32" s="1"/>
  <c r="G161" i="32"/>
  <c r="H161" i="32" s="1"/>
  <c r="I161" i="32" s="1"/>
  <c r="G67" i="32"/>
  <c r="H67" i="32" s="1"/>
  <c r="I67" i="32" s="1"/>
  <c r="G556" i="32"/>
  <c r="H556" i="32" s="1"/>
  <c r="I556" i="32" s="1"/>
  <c r="G128" i="32"/>
  <c r="H128" i="32" s="1"/>
  <c r="I128" i="32" s="1"/>
  <c r="G37" i="32"/>
  <c r="H37" i="32" s="1"/>
  <c r="I37" i="32" s="1"/>
  <c r="G240" i="32"/>
  <c r="H240" i="32" s="1"/>
  <c r="I240" i="32" s="1"/>
  <c r="G546" i="32"/>
  <c r="H546" i="32" s="1"/>
  <c r="I546" i="32" s="1"/>
  <c r="G547" i="32"/>
  <c r="H547" i="32" s="1"/>
  <c r="I547" i="32" s="1"/>
  <c r="G418" i="32"/>
  <c r="H418" i="32" s="1"/>
  <c r="I418" i="32" s="1"/>
  <c r="G183" i="32"/>
  <c r="H183" i="32" s="1"/>
  <c r="I183" i="32" s="1"/>
  <c r="G583" i="32"/>
  <c r="H583" i="32" s="1"/>
  <c r="I583" i="32" s="1"/>
  <c r="G192" i="32"/>
  <c r="H192" i="32" s="1"/>
  <c r="I192" i="32" s="1"/>
  <c r="G29" i="32"/>
  <c r="H29" i="32" s="1"/>
  <c r="I29" i="32" s="1"/>
  <c r="G514" i="32"/>
  <c r="H514" i="32" s="1"/>
  <c r="I514" i="32" s="1"/>
  <c r="G446" i="32"/>
  <c r="H446" i="32" s="1"/>
  <c r="I446" i="32" s="1"/>
  <c r="G317" i="32"/>
  <c r="H317" i="32" s="1"/>
  <c r="I317" i="32" s="1"/>
  <c r="G18" i="32"/>
  <c r="H18" i="32" s="1"/>
  <c r="I18" i="32" s="1"/>
  <c r="G171" i="32"/>
  <c r="H171" i="32" s="1"/>
  <c r="I171" i="32" s="1"/>
  <c r="G341" i="32"/>
  <c r="H341" i="32" s="1"/>
  <c r="I341" i="32" s="1"/>
  <c r="G548" i="32"/>
  <c r="H548" i="32" s="1"/>
  <c r="I548" i="32" s="1"/>
  <c r="G255" i="32"/>
  <c r="H255" i="32" s="1"/>
  <c r="I255" i="32" s="1"/>
  <c r="G504" i="32"/>
  <c r="H504" i="32" s="1"/>
  <c r="I504" i="32" s="1"/>
  <c r="G235" i="32"/>
  <c r="H235" i="32" s="1"/>
  <c r="I235" i="32" s="1"/>
  <c r="G480" i="32"/>
  <c r="H480" i="32" s="1"/>
  <c r="I480" i="32" s="1"/>
  <c r="G581" i="32"/>
  <c r="H581" i="32" s="1"/>
  <c r="I581" i="32" s="1"/>
  <c r="G92" i="32"/>
  <c r="H92" i="32" s="1"/>
  <c r="I92" i="32" s="1"/>
  <c r="G441" i="32"/>
  <c r="H441" i="32" s="1"/>
  <c r="I441" i="32" s="1"/>
  <c r="G249" i="32"/>
  <c r="H249" i="32" s="1"/>
  <c r="I249" i="32" s="1"/>
  <c r="G31" i="32"/>
  <c r="H31" i="32" s="1"/>
  <c r="I31" i="32" s="1"/>
  <c r="G314" i="32"/>
  <c r="H314" i="32" s="1"/>
  <c r="I314" i="32" s="1"/>
  <c r="G521" i="32"/>
  <c r="H521" i="32" s="1"/>
  <c r="I521" i="32" s="1"/>
  <c r="G193" i="32"/>
  <c r="H193" i="32" s="1"/>
  <c r="I193" i="32" s="1"/>
  <c r="G381" i="32"/>
  <c r="H381" i="32" s="1"/>
  <c r="I381" i="32" s="1"/>
  <c r="G221" i="32"/>
  <c r="H221" i="32" s="1"/>
  <c r="I221" i="32" s="1"/>
  <c r="G94" i="32"/>
  <c r="H94" i="32" s="1"/>
  <c r="I94" i="32" s="1"/>
  <c r="G136" i="32"/>
  <c r="H136" i="32" s="1"/>
  <c r="I136" i="32" s="1"/>
  <c r="G561" i="32"/>
  <c r="H561" i="32" s="1"/>
  <c r="I561" i="32" s="1"/>
  <c r="G579" i="32"/>
  <c r="H579" i="32" s="1"/>
  <c r="I579" i="32" s="1"/>
  <c r="G75" i="32"/>
  <c r="H75" i="32" s="1"/>
  <c r="I75" i="32" s="1"/>
  <c r="G234" i="32"/>
  <c r="H234" i="32" s="1"/>
  <c r="I234" i="32" s="1"/>
  <c r="G204" i="32"/>
  <c r="H204" i="32" s="1"/>
  <c r="I204" i="32" s="1"/>
  <c r="G511" i="32"/>
  <c r="H511" i="32" s="1"/>
  <c r="I511" i="32" s="1"/>
  <c r="G601" i="32"/>
  <c r="H601" i="32" s="1"/>
  <c r="I601" i="32" s="1"/>
  <c r="G312" i="32"/>
  <c r="H312" i="32" s="1"/>
  <c r="I312" i="32" s="1"/>
  <c r="G323" i="32"/>
  <c r="H323" i="32" s="1"/>
  <c r="I323" i="32" s="1"/>
  <c r="G87" i="32"/>
  <c r="H87" i="32" s="1"/>
  <c r="I87" i="32" s="1"/>
  <c r="G263" i="32"/>
  <c r="H263" i="32" s="1"/>
  <c r="I263" i="32" s="1"/>
  <c r="G25" i="32"/>
  <c r="H25" i="32" s="1"/>
  <c r="I25" i="32" s="1"/>
  <c r="G505" i="32"/>
  <c r="H505" i="32" s="1"/>
  <c r="I505" i="32" s="1"/>
  <c r="G304" i="32"/>
  <c r="H304" i="32" s="1"/>
  <c r="I304" i="32" s="1"/>
  <c r="G573" i="32"/>
  <c r="H573" i="32" s="1"/>
  <c r="I573" i="32" s="1"/>
  <c r="G71" i="32"/>
  <c r="H71" i="32" s="1"/>
  <c r="I71" i="32" s="1"/>
  <c r="G213" i="32"/>
  <c r="H213" i="32" s="1"/>
  <c r="I213" i="32" s="1"/>
  <c r="G607" i="32"/>
  <c r="H607" i="32" s="1"/>
  <c r="I607" i="32" s="1"/>
  <c r="G397" i="32"/>
  <c r="H397" i="32" s="1"/>
  <c r="I397" i="32" s="1"/>
  <c r="G390" i="32"/>
  <c r="H390" i="32" s="1"/>
  <c r="I390" i="32" s="1"/>
  <c r="G97" i="32"/>
  <c r="H97" i="32" s="1"/>
  <c r="I97" i="32" s="1"/>
  <c r="G623" i="32"/>
  <c r="H623" i="32" s="1"/>
  <c r="I623" i="32" s="1"/>
  <c r="G622" i="32"/>
  <c r="H622" i="32" s="1"/>
  <c r="I622" i="32" s="1"/>
  <c r="G628" i="32"/>
  <c r="H628" i="32" s="1"/>
  <c r="I628" i="32" s="1"/>
  <c r="G629" i="32"/>
  <c r="H629" i="32" s="1"/>
  <c r="I629" i="32" s="1"/>
  <c r="G627" i="32"/>
  <c r="H627" i="32" s="1"/>
  <c r="I627" i="32" s="1"/>
  <c r="BN297" i="32"/>
  <c r="BO297" i="32" s="1"/>
  <c r="BN399" i="32"/>
  <c r="BO399" i="32" s="1"/>
  <c r="BN571" i="32"/>
  <c r="BO571" i="32" s="1"/>
  <c r="BN400" i="32"/>
  <c r="BO400" i="32" s="1"/>
  <c r="BN234" i="32"/>
  <c r="BO234" i="32" s="1"/>
  <c r="BN19" i="32"/>
  <c r="BO19" i="32" s="1"/>
  <c r="BN467" i="32"/>
  <c r="BO467" i="32" s="1"/>
  <c r="BN312" i="32"/>
  <c r="BO312" i="32" s="1"/>
  <c r="BN551" i="32"/>
  <c r="BO551" i="32" s="1"/>
  <c r="BN36" i="32"/>
  <c r="BO36" i="32" s="1"/>
  <c r="BN298" i="32"/>
  <c r="BO298" i="32" s="1"/>
  <c r="BN274" i="32"/>
  <c r="BO274" i="32" s="1"/>
  <c r="BN82" i="32"/>
  <c r="BO82" i="32" s="1"/>
  <c r="BN441" i="32"/>
  <c r="BO441" i="32" s="1"/>
  <c r="BN20" i="32"/>
  <c r="BO20" i="32" s="1"/>
  <c r="BN554" i="32"/>
  <c r="BO554" i="32" s="1"/>
  <c r="BN520" i="32"/>
  <c r="BO520" i="32" s="1"/>
  <c r="BN425" i="32"/>
  <c r="BO425" i="32" s="1"/>
  <c r="BN408" i="32"/>
  <c r="BO408" i="32" s="1"/>
  <c r="BN58" i="32"/>
  <c r="BO58" i="32" s="1"/>
  <c r="BN304" i="32"/>
  <c r="BO304" i="32" s="1"/>
  <c r="BN16" i="32"/>
  <c r="BO16" i="32" s="1"/>
  <c r="BN608" i="32"/>
  <c r="BO608" i="32" s="1"/>
  <c r="BN95" i="32"/>
  <c r="BO95" i="32" s="1"/>
  <c r="BN338" i="32"/>
  <c r="BO338" i="32" s="1"/>
  <c r="BN89" i="32"/>
  <c r="BO89" i="32" s="1"/>
  <c r="BN417" i="32"/>
  <c r="BO417" i="32" s="1"/>
  <c r="BN368" i="32"/>
  <c r="BO368" i="32" s="1"/>
  <c r="BN538" i="32"/>
  <c r="BO538" i="32" s="1"/>
  <c r="BN34" i="32"/>
  <c r="BO34" i="32" s="1"/>
  <c r="BN514" i="32"/>
  <c r="BO514" i="32" s="1"/>
  <c r="BN17" i="32"/>
  <c r="BO17" i="32" s="1"/>
  <c r="BN264" i="32"/>
  <c r="BO264" i="32" s="1"/>
  <c r="BN447" i="32"/>
  <c r="BO447" i="32" s="1"/>
  <c r="BN72" i="32"/>
  <c r="BO72" i="32" s="1"/>
  <c r="BN232" i="32"/>
  <c r="BO232" i="32" s="1"/>
  <c r="BN600" i="32"/>
  <c r="BO600" i="32" s="1"/>
  <c r="BN451" i="32"/>
  <c r="BO451" i="32" s="1"/>
  <c r="BN120" i="32"/>
  <c r="BO120" i="32" s="1"/>
  <c r="BN88" i="32"/>
  <c r="BO88" i="32" s="1"/>
  <c r="BN424" i="32"/>
  <c r="BO424" i="32" s="1"/>
  <c r="BN171" i="32"/>
  <c r="BO171" i="32" s="1"/>
  <c r="BN24" i="32"/>
  <c r="BO24" i="32" s="1"/>
  <c r="BN211" i="32"/>
  <c r="BO211" i="32" s="1"/>
  <c r="BN219" i="32"/>
  <c r="BO219" i="32" s="1"/>
  <c r="BN41" i="32"/>
  <c r="BO41" i="32" s="1"/>
  <c r="BN440" i="32"/>
  <c r="BO440" i="32" s="1"/>
  <c r="BN252" i="32"/>
  <c r="BO252" i="32" s="1"/>
  <c r="BN35" i="32"/>
  <c r="BO35" i="32" s="1"/>
  <c r="BN105" i="32"/>
  <c r="BO105" i="32" s="1"/>
  <c r="BN48" i="32"/>
  <c r="BO48" i="32" s="1"/>
  <c r="BN25" i="32"/>
  <c r="BO25" i="32" s="1"/>
  <c r="BN320" i="32"/>
  <c r="BO320" i="32" s="1"/>
  <c r="BN285" i="32"/>
  <c r="BO285" i="32" s="1"/>
  <c r="BN241" i="32"/>
  <c r="BO241" i="32" s="1"/>
  <c r="BN553" i="32"/>
  <c r="BO553" i="32" s="1"/>
  <c r="BN90" i="32"/>
  <c r="BO90" i="32" s="1"/>
  <c r="BN357" i="32"/>
  <c r="BO357" i="32" s="1"/>
  <c r="BN489" i="32"/>
  <c r="BO489" i="32" s="1"/>
  <c r="BN98" i="32"/>
  <c r="BO98" i="32" s="1"/>
  <c r="BN568" i="32"/>
  <c r="BO568" i="32" s="1"/>
  <c r="BN167" i="32"/>
  <c r="BO167" i="32" s="1"/>
  <c r="BN121" i="32"/>
  <c r="BO121" i="32" s="1"/>
  <c r="BN216" i="32"/>
  <c r="BO216" i="32" s="1"/>
  <c r="BN161" i="32"/>
  <c r="BO161" i="32" s="1"/>
  <c r="BN565" i="32"/>
  <c r="BO565" i="32" s="1"/>
  <c r="BN296" i="32"/>
  <c r="BO296" i="32" s="1"/>
  <c r="BN552" i="32"/>
  <c r="BO552" i="32" s="1"/>
  <c r="BN42" i="32"/>
  <c r="BO42" i="32" s="1"/>
  <c r="BN326" i="32"/>
  <c r="BO326" i="32" s="1"/>
  <c r="BN468" i="32"/>
  <c r="BO468" i="32" s="1"/>
  <c r="BN226" i="32"/>
  <c r="BO226" i="32" s="1"/>
  <c r="BN369" i="32"/>
  <c r="BO369" i="32" s="1"/>
  <c r="BN225" i="32"/>
  <c r="BO225" i="32" s="1"/>
  <c r="BN412" i="32"/>
  <c r="BO412" i="32" s="1"/>
  <c r="BN584" i="32"/>
  <c r="BO584" i="32" s="1"/>
  <c r="BN128" i="32"/>
  <c r="BO128" i="32" s="1"/>
  <c r="BN224" i="32"/>
  <c r="BO224" i="32" s="1"/>
  <c r="BN210" i="32"/>
  <c r="BO210" i="32" s="1"/>
  <c r="BN115" i="32"/>
  <c r="BO115" i="32" s="1"/>
  <c r="BN53" i="32"/>
  <c r="BO53" i="32" s="1"/>
  <c r="BN176" i="32"/>
  <c r="BO176" i="32" s="1"/>
  <c r="BN68" i="32"/>
  <c r="BO68" i="32" s="1"/>
  <c r="BN544" i="32"/>
  <c r="BO544" i="32" s="1"/>
  <c r="BN361" i="32"/>
  <c r="BO361" i="32" s="1"/>
  <c r="BN321" i="32"/>
  <c r="BO321" i="32" s="1"/>
  <c r="BN426" i="32"/>
  <c r="BO426" i="32" s="1"/>
  <c r="BN305" i="32"/>
  <c r="BO305" i="32" s="1"/>
  <c r="BN288" i="32"/>
  <c r="BO288" i="32" s="1"/>
  <c r="BN328" i="32"/>
  <c r="BO328" i="32" s="1"/>
  <c r="BN352" i="32"/>
  <c r="BO352" i="32" s="1"/>
  <c r="BN144" i="32"/>
  <c r="BO144" i="32" s="1"/>
  <c r="BN289" i="32"/>
  <c r="BO289" i="32" s="1"/>
  <c r="BN392" i="32"/>
  <c r="BO392" i="32" s="1"/>
  <c r="BN73" i="32"/>
  <c r="BO73" i="32" s="1"/>
  <c r="BN609" i="32"/>
  <c r="BO609" i="32" s="1"/>
  <c r="BN433" i="32"/>
  <c r="BO433" i="32" s="1"/>
  <c r="BN481" i="32"/>
  <c r="BO481" i="32" s="1"/>
  <c r="BN186" i="32"/>
  <c r="BO186" i="32" s="1"/>
  <c r="BN136" i="32"/>
  <c r="BO136" i="32" s="1"/>
  <c r="BO13" i="32"/>
  <c r="AH617" i="31"/>
  <c r="AG617" i="31"/>
  <c r="BN569" i="32" l="1"/>
  <c r="BO569" i="32" s="1"/>
  <c r="BN439" i="32"/>
  <c r="BO439" i="32" s="1"/>
  <c r="BN223" i="32"/>
  <c r="BO223" i="32" s="1"/>
  <c r="BN78" i="32"/>
  <c r="BO78" i="32" s="1"/>
  <c r="BN336" i="32"/>
  <c r="BO336" i="32" s="1"/>
  <c r="BN555" i="32"/>
  <c r="BO555" i="32" s="1"/>
  <c r="BN459" i="32"/>
  <c r="BO459" i="32" s="1"/>
  <c r="BN309" i="32"/>
  <c r="BO309" i="32" s="1"/>
  <c r="BN482" i="32"/>
  <c r="BO482" i="32" s="1"/>
  <c r="BN265" i="32"/>
  <c r="BO265" i="32" s="1"/>
  <c r="BN50" i="32"/>
  <c r="BO50" i="32" s="1"/>
  <c r="BN474" i="32"/>
  <c r="BO474" i="32" s="1"/>
  <c r="BN490" i="32"/>
  <c r="BO490" i="32" s="1"/>
  <c r="BN475" i="32"/>
  <c r="BO475" i="32" s="1"/>
  <c r="BN377" i="32"/>
  <c r="BO377" i="32" s="1"/>
  <c r="BN435" i="32"/>
  <c r="BO435" i="32" s="1"/>
  <c r="BN407" i="32"/>
  <c r="BO407" i="32" s="1"/>
  <c r="BN249" i="32"/>
  <c r="BO249" i="32" s="1"/>
  <c r="BN595" i="32"/>
  <c r="BO595" i="32" s="1"/>
  <c r="BN452" i="32"/>
  <c r="BO452" i="32" s="1"/>
  <c r="BN64" i="32"/>
  <c r="BO64" i="32" s="1"/>
  <c r="BN195" i="32"/>
  <c r="BO195" i="32" s="1"/>
  <c r="BN119" i="32"/>
  <c r="BO119" i="32" s="1"/>
  <c r="BN499" i="32"/>
  <c r="BO499" i="32" s="1"/>
  <c r="BN378" i="32"/>
  <c r="BO378" i="32" s="1"/>
  <c r="BN193" i="32"/>
  <c r="BO193" i="32" s="1"/>
  <c r="BN344" i="32"/>
  <c r="BO344" i="32" s="1"/>
  <c r="BN99" i="32"/>
  <c r="BO99" i="32" s="1"/>
  <c r="BN337" i="32"/>
  <c r="BO337" i="32" s="1"/>
  <c r="BN597" i="32"/>
  <c r="BO597" i="32" s="1"/>
  <c r="BN394" i="32"/>
  <c r="BO394" i="32" s="1"/>
  <c r="BN114" i="32"/>
  <c r="BO114" i="32" s="1"/>
  <c r="BN356" i="32"/>
  <c r="BO356" i="32" s="1"/>
  <c r="BN132" i="32"/>
  <c r="BO132" i="32" s="1"/>
  <c r="BN310" i="32"/>
  <c r="BO310" i="32" s="1"/>
  <c r="BN463" i="32"/>
  <c r="BO463" i="32" s="1"/>
  <c r="BN500" i="32"/>
  <c r="BO500" i="32" s="1"/>
  <c r="BN106" i="32"/>
  <c r="BO106" i="32" s="1"/>
  <c r="BN531" i="32"/>
  <c r="BO531" i="32" s="1"/>
  <c r="BN81" i="32"/>
  <c r="BO81" i="32" s="1"/>
  <c r="BN343" i="32"/>
  <c r="BO343" i="32" s="1"/>
  <c r="BN131" i="32"/>
  <c r="BO131" i="32" s="1"/>
  <c r="BN593" i="32"/>
  <c r="BO593" i="32" s="1"/>
  <c r="BN573" i="32"/>
  <c r="BO573" i="32" s="1"/>
  <c r="BN84" i="32"/>
  <c r="BO84" i="32" s="1"/>
  <c r="BN383" i="32"/>
  <c r="BO383" i="32" s="1"/>
  <c r="BN142" i="32"/>
  <c r="BO142" i="32" s="1"/>
  <c r="BN141" i="32"/>
  <c r="BO141" i="32" s="1"/>
  <c r="BN370" i="32"/>
  <c r="BO370" i="32" s="1"/>
  <c r="BN43" i="32"/>
  <c r="BO43" i="32" s="1"/>
  <c r="BN476" i="32"/>
  <c r="BO476" i="32" s="1"/>
  <c r="BN292" i="32"/>
  <c r="BO292" i="32" s="1"/>
  <c r="BN402" i="32"/>
  <c r="BO402" i="32" s="1"/>
  <c r="BN194" i="32"/>
  <c r="BO194" i="32" s="1"/>
  <c r="BN126" i="32"/>
  <c r="BO126" i="32" s="1"/>
  <c r="BN587" i="32"/>
  <c r="BO587" i="32" s="1"/>
  <c r="BN255" i="32"/>
  <c r="BO255" i="32" s="1"/>
  <c r="BN26" i="32"/>
  <c r="BO26" i="32" s="1"/>
  <c r="BN445" i="32"/>
  <c r="BO445" i="32" s="1"/>
  <c r="BN277" i="32"/>
  <c r="BO277" i="32" s="1"/>
  <c r="BN442" i="32"/>
  <c r="BO442" i="32" s="1"/>
  <c r="BN602" i="32"/>
  <c r="BO602" i="32" s="1"/>
  <c r="BN506" i="32"/>
  <c r="BO506" i="32" s="1"/>
  <c r="BN281" i="32"/>
  <c r="BO281" i="32" s="1"/>
  <c r="BN213" i="32"/>
  <c r="BO213" i="32" s="1"/>
  <c r="BN596" i="32"/>
  <c r="BO596" i="32" s="1"/>
  <c r="BN341" i="32"/>
  <c r="BO341" i="32" s="1"/>
  <c r="BN453" i="32"/>
  <c r="BO453" i="32" s="1"/>
  <c r="BN519" i="32"/>
  <c r="BO519" i="32" s="1"/>
  <c r="BN143" i="32"/>
  <c r="BO143" i="32" s="1"/>
  <c r="BN390" i="32"/>
  <c r="BO390" i="32" s="1"/>
  <c r="BN387" i="32"/>
  <c r="BO387" i="32" s="1"/>
  <c r="BN22" i="32"/>
  <c r="BO22" i="32" s="1"/>
  <c r="BN92" i="32"/>
  <c r="BO92" i="32" s="1"/>
  <c r="BN563" i="32"/>
  <c r="BO563" i="32" s="1"/>
  <c r="BN79" i="32"/>
  <c r="BO79" i="32" s="1"/>
  <c r="BN67" i="32"/>
  <c r="BO67" i="32" s="1"/>
  <c r="BN229" i="32"/>
  <c r="BO229" i="32" s="1"/>
  <c r="BN339" i="32"/>
  <c r="BO339" i="32" s="1"/>
  <c r="BN473" i="32"/>
  <c r="BO473" i="32" s="1"/>
  <c r="BN230" i="32"/>
  <c r="BO230" i="32" s="1"/>
  <c r="BN133" i="32"/>
  <c r="BO133" i="32" s="1"/>
  <c r="BN293" i="32"/>
  <c r="BO293" i="32" s="1"/>
  <c r="BN548" i="32"/>
  <c r="BO548" i="32" s="1"/>
  <c r="BN124" i="32"/>
  <c r="BO124" i="32" s="1"/>
  <c r="BN51" i="32"/>
  <c r="BO51" i="32" s="1"/>
  <c r="BN158" i="32"/>
  <c r="BO158" i="32" s="1"/>
  <c r="BN572" i="32"/>
  <c r="BO572" i="32" s="1"/>
  <c r="BN523" i="32"/>
  <c r="BO523" i="32" s="1"/>
  <c r="BN330" i="32"/>
  <c r="BO330" i="32" s="1"/>
  <c r="BN269" i="32"/>
  <c r="BO269" i="32" s="1"/>
  <c r="BN578" i="32"/>
  <c r="BO578" i="32" s="1"/>
  <c r="BN550" i="32"/>
  <c r="BO550" i="32" s="1"/>
  <c r="BN38" i="32"/>
  <c r="BO38" i="32" s="1"/>
  <c r="BN594" i="32"/>
  <c r="BO594" i="32" s="1"/>
  <c r="BN54" i="32"/>
  <c r="BO54" i="32" s="1"/>
  <c r="BN556" i="32"/>
  <c r="BO556" i="32" s="1"/>
  <c r="BN87" i="32"/>
  <c r="BO87" i="32" s="1"/>
  <c r="BN598" i="32"/>
  <c r="BO598" i="32" s="1"/>
  <c r="BN483" i="32"/>
  <c r="BO483" i="32" s="1"/>
  <c r="BN262" i="32"/>
  <c r="BO262" i="32" s="1"/>
  <c r="BN75" i="32"/>
  <c r="BO75" i="32" s="1"/>
  <c r="BN516" i="32"/>
  <c r="BO516" i="32" s="1"/>
  <c r="BN300" i="32"/>
  <c r="BO300" i="32" s="1"/>
  <c r="BN163" i="32"/>
  <c r="BO163" i="32" s="1"/>
  <c r="BN409" i="32"/>
  <c r="BO409" i="32" s="1"/>
  <c r="BN350" i="32"/>
  <c r="BO350" i="32" s="1"/>
  <c r="BN181" i="32"/>
  <c r="BO181" i="32" s="1"/>
  <c r="BN436" i="32"/>
  <c r="BO436" i="32" s="1"/>
  <c r="BN365" i="32"/>
  <c r="BO365" i="32" s="1"/>
  <c r="BN588" i="32"/>
  <c r="BO588" i="32" s="1"/>
  <c r="BN480" i="32"/>
  <c r="BO480" i="32" s="1"/>
  <c r="BN507" i="32"/>
  <c r="BO507" i="32" s="1"/>
  <c r="BN187" i="32"/>
  <c r="BO187" i="32" s="1"/>
  <c r="BN284" i="32"/>
  <c r="BO284" i="32" s="1"/>
  <c r="BN604" i="32"/>
  <c r="BO604" i="32" s="1"/>
  <c r="BN405" i="32"/>
  <c r="BO405" i="32" s="1"/>
  <c r="BN366" i="32"/>
  <c r="BO366" i="32" s="1"/>
  <c r="BN103" i="32"/>
  <c r="BO103" i="32" s="1"/>
  <c r="BN491" i="32"/>
  <c r="BO491" i="32" s="1"/>
  <c r="BN140" i="32"/>
  <c r="BO140" i="32" s="1"/>
  <c r="BN198" i="32"/>
  <c r="BO198" i="32" s="1"/>
  <c r="BN589" i="32"/>
  <c r="BO589" i="32" s="1"/>
  <c r="BN156" i="32"/>
  <c r="BO156" i="32" s="1"/>
  <c r="BN373" i="32"/>
  <c r="BO373" i="32" s="1"/>
  <c r="BN15" i="32"/>
  <c r="BO15" i="32" s="1"/>
  <c r="BN52" i="32"/>
  <c r="BO52" i="32" s="1"/>
  <c r="BN287" i="32"/>
  <c r="BO287" i="32" s="1"/>
  <c r="BN162" i="32"/>
  <c r="BO162" i="32" s="1"/>
  <c r="BN266" i="32"/>
  <c r="BO266" i="32" s="1"/>
  <c r="BN246" i="32"/>
  <c r="BO246" i="32" s="1"/>
  <c r="BN429" i="32"/>
  <c r="BO429" i="32" s="1"/>
  <c r="BN261" i="32"/>
  <c r="BO261" i="32" s="1"/>
  <c r="BN178" i="32"/>
  <c r="BO178" i="32" s="1"/>
  <c r="BN542" i="32"/>
  <c r="BO542" i="32" s="1"/>
  <c r="BN348" i="32"/>
  <c r="BO348" i="32" s="1"/>
  <c r="BN308" i="32"/>
  <c r="BO308" i="32" s="1"/>
  <c r="BN294" i="32"/>
  <c r="BO294" i="32" s="1"/>
  <c r="BN316" i="32"/>
  <c r="BO316" i="32" s="1"/>
  <c r="BN557" i="32"/>
  <c r="BO557" i="32" s="1"/>
  <c r="BN307" i="32"/>
  <c r="BO307" i="32" s="1"/>
  <c r="BN155" i="32"/>
  <c r="BO155" i="32" s="1"/>
  <c r="BN107" i="32"/>
  <c r="BO107" i="32" s="1"/>
  <c r="BN125" i="32"/>
  <c r="BO125" i="32" s="1"/>
  <c r="BN428" i="32"/>
  <c r="BO428" i="32" s="1"/>
  <c r="BN484" i="32"/>
  <c r="BO484" i="32" s="1"/>
  <c r="BN238" i="32"/>
  <c r="BO238" i="32" s="1"/>
  <c r="BN574" i="32"/>
  <c r="BO574" i="32" s="1"/>
  <c r="BN63" i="32"/>
  <c r="BO63" i="32" s="1"/>
  <c r="BN415" i="32"/>
  <c r="BO415" i="32" s="1"/>
  <c r="BN278" i="32"/>
  <c r="BO278" i="32" s="1"/>
  <c r="BN422" i="32"/>
  <c r="BO422" i="32" s="1"/>
  <c r="BN462" i="32"/>
  <c r="BO462" i="32" s="1"/>
  <c r="BN494" i="32"/>
  <c r="BO494" i="32" s="1"/>
  <c r="BN380" i="32"/>
  <c r="BO380" i="32" s="1"/>
  <c r="BN460" i="32"/>
  <c r="BO460" i="32" s="1"/>
  <c r="BN207" i="32"/>
  <c r="BO207" i="32" s="1"/>
  <c r="BN461" i="32"/>
  <c r="BO461" i="32" s="1"/>
  <c r="BN190" i="32"/>
  <c r="BO190" i="32" s="1"/>
  <c r="BN175" i="32"/>
  <c r="BO175" i="32" s="1"/>
  <c r="BN379" i="32"/>
  <c r="BO379" i="32" s="1"/>
  <c r="BN46" i="32"/>
  <c r="BO46" i="32" s="1"/>
  <c r="BN70" i="32"/>
  <c r="BO70" i="32" s="1"/>
  <c r="BN558" i="32"/>
  <c r="BO558" i="32" s="1"/>
  <c r="BN31" i="32"/>
  <c r="BO31" i="32" s="1"/>
  <c r="BN323" i="32"/>
  <c r="BO323" i="32" s="1"/>
  <c r="BN421" i="32"/>
  <c r="BO421" i="32" s="1"/>
  <c r="BN355" i="32"/>
  <c r="BO355" i="32" s="1"/>
  <c r="BN118" i="32"/>
  <c r="BO118" i="32" s="1"/>
  <c r="BN182" i="32"/>
  <c r="BO182" i="32" s="1"/>
  <c r="BN398" i="32"/>
  <c r="BO398" i="32" s="1"/>
  <c r="BN150" i="32"/>
  <c r="BO150" i="32" s="1"/>
  <c r="BN607" i="32"/>
  <c r="BO607" i="32" s="1"/>
  <c r="BN581" i="32"/>
  <c r="BO581" i="32" s="1"/>
  <c r="BN534" i="32"/>
  <c r="BO534" i="32" s="1"/>
  <c r="BN279" i="32"/>
  <c r="BO279" i="32" s="1"/>
  <c r="BN270" i="32"/>
  <c r="BO270" i="32" s="1"/>
  <c r="BN134" i="32"/>
  <c r="BO134" i="32" s="1"/>
  <c r="BN590" i="32"/>
  <c r="BO590" i="32" s="1"/>
  <c r="BN406" i="32"/>
  <c r="BO406" i="32" s="1"/>
  <c r="BN244" i="32"/>
  <c r="BO244" i="32" s="1"/>
  <c r="BN21" i="32"/>
  <c r="BO21" i="32" s="1"/>
  <c r="BN93" i="32"/>
  <c r="BO93" i="32" s="1"/>
  <c r="BN391" i="32"/>
  <c r="BO391" i="32" s="1"/>
  <c r="BN301" i="32"/>
  <c r="BO301" i="32" s="1"/>
  <c r="BN543" i="32"/>
  <c r="BO543" i="32" s="1"/>
  <c r="BN263" i="32"/>
  <c r="BO263" i="32" s="1"/>
  <c r="BN389" i="32"/>
  <c r="BO389" i="32" s="1"/>
  <c r="BN110" i="32"/>
  <c r="BO110" i="32" s="1"/>
  <c r="BN349" i="32"/>
  <c r="BO349" i="32" s="1"/>
  <c r="BN214" i="32"/>
  <c r="BO214" i="32" s="1"/>
  <c r="BN539" i="32"/>
  <c r="BO539" i="32" s="1"/>
  <c r="BN231" i="32"/>
  <c r="BO231" i="32" s="1"/>
  <c r="BN197" i="32"/>
  <c r="BO197" i="32" s="1"/>
  <c r="BN510" i="32"/>
  <c r="BO510" i="32" s="1"/>
  <c r="BN166" i="32"/>
  <c r="BO166" i="32" s="1"/>
  <c r="BN196" i="32"/>
  <c r="BO196" i="32" s="1"/>
  <c r="BN222" i="32"/>
  <c r="BO222" i="32" s="1"/>
  <c r="BN69" i="32"/>
  <c r="BO69" i="32" s="1"/>
  <c r="BN157" i="32"/>
  <c r="BO157" i="32" s="1"/>
  <c r="BN420" i="32"/>
  <c r="BO420" i="32" s="1"/>
  <c r="BN591" i="32"/>
  <c r="BO591" i="32" s="1"/>
  <c r="BN477" i="32"/>
  <c r="BO477" i="32" s="1"/>
  <c r="BN438" i="32"/>
  <c r="BO438" i="32" s="1"/>
  <c r="BN582" i="32"/>
  <c r="BO582" i="32" s="1"/>
  <c r="BN311" i="32"/>
  <c r="BO311" i="32" s="1"/>
  <c r="BN319" i="32"/>
  <c r="BO319" i="32" s="1"/>
  <c r="BN503" i="32"/>
  <c r="BO503" i="32" s="1"/>
  <c r="BN455" i="32"/>
  <c r="BO455" i="32" s="1"/>
  <c r="BN358" i="32"/>
  <c r="BO358" i="32" s="1"/>
  <c r="BN526" i="32"/>
  <c r="BO526" i="32" s="1"/>
  <c r="BN599" i="32"/>
  <c r="BO599" i="32" s="1"/>
  <c r="BN430" i="32"/>
  <c r="BO430" i="32" s="1"/>
  <c r="BN583" i="32"/>
  <c r="BO583" i="32" s="1"/>
  <c r="BN559" i="32"/>
  <c r="BO559" i="32" s="1"/>
  <c r="BN495" i="32"/>
  <c r="BO495" i="32" s="1"/>
  <c r="BN535" i="32"/>
  <c r="BO535" i="32" s="1"/>
  <c r="BN335" i="32"/>
  <c r="BO335" i="32" s="1"/>
  <c r="BN471" i="32"/>
  <c r="BO471" i="32" s="1"/>
  <c r="BN470" i="32"/>
  <c r="BO470" i="32" s="1"/>
  <c r="BN487" i="32"/>
  <c r="BO487" i="32" s="1"/>
  <c r="I13" i="32"/>
  <c r="B22" i="32" s="1"/>
  <c r="B21" i="32"/>
  <c r="F407" i="32"/>
  <c r="F143" i="32"/>
  <c r="J143" i="32" s="1"/>
  <c r="M143" i="32" s="1"/>
  <c r="F227" i="32"/>
  <c r="J227" i="32" s="1"/>
  <c r="M227" i="32" s="1"/>
  <c r="F260" i="32"/>
  <c r="F131" i="32"/>
  <c r="F492" i="32"/>
  <c r="F272" i="32"/>
  <c r="F83" i="32"/>
  <c r="F311" i="32"/>
  <c r="F34" i="32"/>
  <c r="J34" i="32" s="1"/>
  <c r="M34" i="32" s="1"/>
  <c r="F39" i="32"/>
  <c r="F277" i="32"/>
  <c r="F155" i="32"/>
  <c r="F259" i="32"/>
  <c r="F625" i="32"/>
  <c r="F170" i="32"/>
  <c r="F323" i="32"/>
  <c r="F193" i="32"/>
  <c r="F126" i="32"/>
  <c r="F268" i="32"/>
  <c r="F392" i="32"/>
  <c r="J392" i="32" s="1"/>
  <c r="M392" i="32" s="1"/>
  <c r="F46" i="32"/>
  <c r="F624" i="32"/>
  <c r="F300" i="32"/>
  <c r="F529" i="32"/>
  <c r="F22" i="32"/>
  <c r="J22" i="32" s="1"/>
  <c r="M22" i="32" s="1"/>
  <c r="F89" i="32"/>
  <c r="F588" i="32"/>
  <c r="F355" i="32"/>
  <c r="F263" i="32"/>
  <c r="F472" i="32"/>
  <c r="F564" i="32"/>
  <c r="F514" i="32"/>
  <c r="F520" i="32"/>
  <c r="J520" i="32" s="1"/>
  <c r="M520" i="32" s="1"/>
  <c r="F347" i="32"/>
  <c r="F344" i="32"/>
  <c r="J344" i="32" s="1"/>
  <c r="M344" i="32" s="1"/>
  <c r="F475" i="32"/>
  <c r="F523" i="32"/>
  <c r="F234" i="32"/>
  <c r="F69" i="32"/>
  <c r="F455" i="32"/>
  <c r="F379" i="32"/>
  <c r="F436" i="32"/>
  <c r="F240" i="32"/>
  <c r="F590" i="32"/>
  <c r="F388" i="32"/>
  <c r="F558" i="32"/>
  <c r="J558" i="32" s="1"/>
  <c r="M558" i="32" s="1"/>
  <c r="F378" i="32"/>
  <c r="J378" i="32" s="1"/>
  <c r="M378" i="32" s="1"/>
  <c r="F222" i="32"/>
  <c r="F592" i="32"/>
  <c r="F118" i="32"/>
  <c r="F53" i="32"/>
  <c r="F141" i="32"/>
  <c r="F497" i="32"/>
  <c r="F408" i="32"/>
  <c r="J408" i="32" s="1"/>
  <c r="M408" i="32" s="1"/>
  <c r="F184" i="32"/>
  <c r="J184" i="32" s="1"/>
  <c r="M184" i="32" s="1"/>
  <c r="F549" i="32"/>
  <c r="F243" i="32"/>
  <c r="J243" i="32" s="1"/>
  <c r="M243" i="32" s="1"/>
  <c r="F133" i="32"/>
  <c r="F100" i="32"/>
  <c r="F165" i="32"/>
  <c r="F512" i="32"/>
  <c r="J512" i="32" s="1"/>
  <c r="M512" i="32" s="1"/>
  <c r="F386" i="32"/>
  <c r="J386" i="32" s="1"/>
  <c r="M386" i="32" s="1"/>
  <c r="F139" i="32"/>
  <c r="F410" i="32"/>
  <c r="J410" i="32" s="1"/>
  <c r="M410" i="32" s="1"/>
  <c r="F336" i="32"/>
  <c r="J336" i="32" s="1"/>
  <c r="M336" i="32" s="1"/>
  <c r="F395" i="32"/>
  <c r="F468" i="32"/>
  <c r="J468" i="32" s="1"/>
  <c r="M468" i="32" s="1"/>
  <c r="F40" i="32"/>
  <c r="J40" i="32" s="1"/>
  <c r="M40" i="32" s="1"/>
  <c r="F506" i="32"/>
  <c r="F569" i="32"/>
  <c r="F373" i="32"/>
  <c r="F607" i="32"/>
  <c r="F525" i="32"/>
  <c r="F361" i="32"/>
  <c r="F527" i="32"/>
  <c r="F445" i="32"/>
  <c r="J445" i="32" s="1"/>
  <c r="M445" i="32" s="1"/>
  <c r="F73" i="32"/>
  <c r="F152" i="32"/>
  <c r="J152" i="32" s="1"/>
  <c r="M152" i="32" s="1"/>
  <c r="F536" i="32"/>
  <c r="J536" i="32" s="1"/>
  <c r="M536" i="32" s="1"/>
  <c r="F252" i="32"/>
  <c r="F102" i="32"/>
  <c r="J102" i="32" s="1"/>
  <c r="M102" i="32" s="1"/>
  <c r="F231" i="32"/>
  <c r="F490" i="32"/>
  <c r="F90" i="32"/>
  <c r="J90" i="32" s="1"/>
  <c r="M90" i="32" s="1"/>
  <c r="F568" i="32"/>
  <c r="F174" i="32"/>
  <c r="F164" i="32"/>
  <c r="F242" i="32"/>
  <c r="J242" i="32" s="1"/>
  <c r="M242" i="32" s="1"/>
  <c r="F198" i="32"/>
  <c r="F426" i="32"/>
  <c r="J426" i="32" s="1"/>
  <c r="M426" i="32" s="1"/>
  <c r="F267" i="32"/>
  <c r="F488" i="32"/>
  <c r="J488" i="32" s="1"/>
  <c r="M488" i="32" s="1"/>
  <c r="F399" i="32"/>
  <c r="F270" i="32"/>
  <c r="F316" i="32"/>
  <c r="F112" i="32"/>
  <c r="F84" i="32"/>
  <c r="F124" i="32"/>
  <c r="F533" i="32"/>
  <c r="F337" i="32"/>
  <c r="F85" i="32"/>
  <c r="F521" i="32"/>
  <c r="F389" i="32"/>
  <c r="F585" i="32"/>
  <c r="F173" i="32"/>
  <c r="F60" i="32"/>
  <c r="F498" i="32"/>
  <c r="F115" i="32"/>
  <c r="F554" i="32"/>
  <c r="F66" i="32"/>
  <c r="F71" i="32"/>
  <c r="J71" i="32" s="1"/>
  <c r="M71" i="32" s="1"/>
  <c r="F456" i="32"/>
  <c r="F189" i="32"/>
  <c r="F382" i="32"/>
  <c r="F466" i="32"/>
  <c r="F402" i="32"/>
  <c r="J402" i="32" s="1"/>
  <c r="M402" i="32" s="1"/>
  <c r="F601" i="32"/>
  <c r="F125" i="32"/>
  <c r="F274" i="32"/>
  <c r="F613" i="32"/>
  <c r="F437" i="32"/>
  <c r="F539" i="32"/>
  <c r="F604" i="32"/>
  <c r="F425" i="32"/>
  <c r="F608" i="32"/>
  <c r="F509" i="32"/>
  <c r="F528" i="32"/>
  <c r="J528" i="32" s="1"/>
  <c r="M528" i="32" s="1"/>
  <c r="F116" i="32"/>
  <c r="F208" i="32"/>
  <c r="F203" i="32"/>
  <c r="F79" i="32"/>
  <c r="F304" i="32"/>
  <c r="F320" i="32"/>
  <c r="F67" i="32"/>
  <c r="F439" i="32"/>
  <c r="F151" i="32"/>
  <c r="J151" i="32" s="1"/>
  <c r="M151" i="32" s="1"/>
  <c r="F244" i="32"/>
  <c r="F302" i="32"/>
  <c r="F313" i="32"/>
  <c r="F380" i="32"/>
  <c r="F427" i="32"/>
  <c r="F567" i="32"/>
  <c r="F335" i="32"/>
  <c r="F385" i="32"/>
  <c r="F487" i="32"/>
  <c r="F372" i="32"/>
  <c r="J372" i="32" s="1"/>
  <c r="M372" i="32" s="1"/>
  <c r="F31" i="32"/>
  <c r="F464" i="32"/>
  <c r="F42" i="32"/>
  <c r="F41" i="32"/>
  <c r="F113" i="32"/>
  <c r="F398" i="32"/>
  <c r="F129" i="32"/>
  <c r="F114" i="32"/>
  <c r="J114" i="32" s="1"/>
  <c r="M114" i="32" s="1"/>
  <c r="F318" i="32"/>
  <c r="F150" i="32"/>
  <c r="F261" i="32"/>
  <c r="F575" i="32"/>
  <c r="F352" i="32"/>
  <c r="J352" i="32" s="1"/>
  <c r="M352" i="32" s="1"/>
  <c r="F43" i="32"/>
  <c r="F404" i="32"/>
  <c r="F299" i="32"/>
  <c r="F447" i="32"/>
  <c r="F314" i="32"/>
  <c r="F406" i="32"/>
  <c r="F97" i="32"/>
  <c r="F473" i="32"/>
  <c r="F576" i="32"/>
  <c r="F286" i="32"/>
  <c r="F429" i="32"/>
  <c r="F563" i="32"/>
  <c r="F545" i="32"/>
  <c r="F349" i="32"/>
  <c r="F136" i="32"/>
  <c r="J136" i="32" s="1"/>
  <c r="M136" i="32" s="1"/>
  <c r="F235" i="32"/>
  <c r="J235" i="32" s="1"/>
  <c r="M235" i="32" s="1"/>
  <c r="F26" i="32"/>
  <c r="F239" i="32"/>
  <c r="F430" i="32"/>
  <c r="F77" i="32"/>
  <c r="F158" i="32"/>
  <c r="F387" i="32"/>
  <c r="F188" i="32"/>
  <c r="F78" i="32"/>
  <c r="F192" i="32"/>
  <c r="J192" i="32" s="1"/>
  <c r="M192" i="32" s="1"/>
  <c r="F284" i="32"/>
  <c r="F365" i="32"/>
  <c r="F64" i="32"/>
  <c r="J64" i="32" s="1"/>
  <c r="M64" i="32" s="1"/>
  <c r="F276" i="32"/>
  <c r="F377" i="32"/>
  <c r="F479" i="32"/>
  <c r="F190" i="32"/>
  <c r="F333" i="32"/>
  <c r="F582" i="32"/>
  <c r="J582" i="32" s="1"/>
  <c r="M582" i="32" s="1"/>
  <c r="F449" i="32"/>
  <c r="F551" i="32"/>
  <c r="F495" i="32"/>
  <c r="F57" i="32"/>
  <c r="F20" i="32"/>
  <c r="F504" i="32"/>
  <c r="J504" i="32" s="1"/>
  <c r="M504" i="32" s="1"/>
  <c r="F166" i="32"/>
  <c r="F281" i="32"/>
  <c r="F319" i="32"/>
  <c r="F154" i="32"/>
  <c r="F91" i="32"/>
  <c r="F360" i="32"/>
  <c r="J360" i="32" s="1"/>
  <c r="M360" i="32" s="1"/>
  <c r="F92" i="32"/>
  <c r="F594" i="32"/>
  <c r="F262" i="32"/>
  <c r="F298" i="32"/>
  <c r="J298" i="32" s="1"/>
  <c r="M298" i="32" s="1"/>
  <c r="F534" i="32"/>
  <c r="F218" i="32"/>
  <c r="F578" i="32"/>
  <c r="F428" i="32"/>
  <c r="F454" i="32"/>
  <c r="F14" i="32"/>
  <c r="J14" i="32" s="1"/>
  <c r="M14" i="32" s="1"/>
  <c r="F432" i="32"/>
  <c r="J432" i="32" s="1"/>
  <c r="M432" i="32" s="1"/>
  <c r="F156" i="32"/>
  <c r="F577" i="32"/>
  <c r="F401" i="32"/>
  <c r="F45" i="32"/>
  <c r="F596" i="32"/>
  <c r="F453" i="32"/>
  <c r="J453" i="32" s="1"/>
  <c r="M453" i="32" s="1"/>
  <c r="F44" i="32"/>
  <c r="F168" i="32"/>
  <c r="J168" i="32" s="1"/>
  <c r="M168" i="32" s="1"/>
  <c r="F13" i="32"/>
  <c r="F104" i="32"/>
  <c r="J104" i="32" s="1"/>
  <c r="M104" i="32" s="1"/>
  <c r="F179" i="32"/>
  <c r="F334" i="32"/>
  <c r="F130" i="32"/>
  <c r="J130" i="32" s="1"/>
  <c r="M130" i="32" s="1"/>
  <c r="F135" i="32"/>
  <c r="J135" i="32" s="1"/>
  <c r="M135" i="32" s="1"/>
  <c r="F291" i="32"/>
  <c r="F448" i="32"/>
  <c r="F55" i="32"/>
  <c r="F132" i="32"/>
  <c r="F176" i="32"/>
  <c r="J176" i="32" s="1"/>
  <c r="M176" i="32" s="1"/>
  <c r="F515" i="32"/>
  <c r="F226" i="32"/>
  <c r="J226" i="32" s="1"/>
  <c r="M226" i="32" s="1"/>
  <c r="F480" i="32"/>
  <c r="J480" i="32" s="1"/>
  <c r="M480" i="32" s="1"/>
  <c r="F595" i="32"/>
  <c r="F214" i="32"/>
  <c r="F600" i="32"/>
  <c r="F303" i="32"/>
  <c r="F249" i="32"/>
  <c r="F251" i="32"/>
  <c r="F288" i="32"/>
  <c r="F217" i="32"/>
  <c r="F561" i="32"/>
  <c r="F257" i="32"/>
  <c r="F212" i="32"/>
  <c r="F593" i="32"/>
  <c r="F510" i="32"/>
  <c r="F33" i="32"/>
  <c r="F37" i="32"/>
  <c r="F191" i="32"/>
  <c r="J191" i="32" s="1"/>
  <c r="M191" i="32" s="1"/>
  <c r="F626" i="32"/>
  <c r="F457" i="32"/>
  <c r="F368" i="32"/>
  <c r="J368" i="32" s="1"/>
  <c r="M368" i="32" s="1"/>
  <c r="F117" i="32"/>
  <c r="F396" i="32"/>
  <c r="F438" i="32"/>
  <c r="F556" i="32"/>
  <c r="F282" i="32"/>
  <c r="J282" i="32" s="1"/>
  <c r="M282" i="32" s="1"/>
  <c r="F411" i="32"/>
  <c r="F491" i="32"/>
  <c r="F202" i="32"/>
  <c r="F216" i="32"/>
  <c r="F205" i="32"/>
  <c r="F359" i="32"/>
  <c r="F106" i="32"/>
  <c r="J106" i="32" s="1"/>
  <c r="M106" i="32" s="1"/>
  <c r="F248" i="32"/>
  <c r="F15" i="32"/>
  <c r="F62" i="32"/>
  <c r="J62" i="32" s="1"/>
  <c r="M62" i="32" s="1"/>
  <c r="F197" i="32"/>
  <c r="F178" i="32"/>
  <c r="F346" i="32"/>
  <c r="F328" i="32"/>
  <c r="F140" i="32"/>
  <c r="F431" i="32"/>
  <c r="F273" i="32"/>
  <c r="F107" i="32"/>
  <c r="F338" i="32"/>
  <c r="F241" i="32"/>
  <c r="F330" i="32"/>
  <c r="F351" i="32"/>
  <c r="F28" i="32"/>
  <c r="F414" i="32"/>
  <c r="F537" i="32"/>
  <c r="F341" i="32"/>
  <c r="F482" i="32"/>
  <c r="F493" i="32"/>
  <c r="F329" i="32"/>
  <c r="F589" i="32"/>
  <c r="F413" i="32"/>
  <c r="F484" i="32"/>
  <c r="F326" i="32"/>
  <c r="F172" i="32"/>
  <c r="F586" i="32"/>
  <c r="F70" i="32"/>
  <c r="J70" i="32" s="1"/>
  <c r="M70" i="32" s="1"/>
  <c r="F108" i="32"/>
  <c r="F296" i="32"/>
  <c r="F58" i="32"/>
  <c r="F403" i="32"/>
  <c r="F142" i="32"/>
  <c r="F17" i="32"/>
  <c r="F394" i="32"/>
  <c r="J394" i="32" s="1"/>
  <c r="M394" i="32" s="1"/>
  <c r="F526" i="32"/>
  <c r="F362" i="32"/>
  <c r="F591" i="32"/>
  <c r="F422" i="32"/>
  <c r="F324" i="32"/>
  <c r="F238" i="32"/>
  <c r="F518" i="32"/>
  <c r="F289" i="32"/>
  <c r="F366" i="32"/>
  <c r="F255" i="32"/>
  <c r="F501" i="32"/>
  <c r="F305" i="32"/>
  <c r="F423" i="32"/>
  <c r="F489" i="32"/>
  <c r="F357" i="32"/>
  <c r="F573" i="32"/>
  <c r="F440" i="32"/>
  <c r="J440" i="32" s="1"/>
  <c r="M440" i="32" s="1"/>
  <c r="F610" i="32"/>
  <c r="F210" i="32"/>
  <c r="F409" i="32"/>
  <c r="F499" i="32"/>
  <c r="F182" i="32"/>
  <c r="F54" i="32"/>
  <c r="J54" i="32" s="1"/>
  <c r="M54" i="32" s="1"/>
  <c r="F307" i="32"/>
  <c r="F560" i="32"/>
  <c r="J560" i="32" s="1"/>
  <c r="M560" i="32" s="1"/>
  <c r="F171" i="32"/>
  <c r="F474" i="32"/>
  <c r="F471" i="32"/>
  <c r="F459" i="32"/>
  <c r="F602" i="32"/>
  <c r="F219" i="32"/>
  <c r="J219" i="32" s="1"/>
  <c r="M219" i="32" s="1"/>
  <c r="F458" i="32"/>
  <c r="F109" i="32"/>
  <c r="F18" i="32"/>
  <c r="F465" i="32"/>
  <c r="F145" i="32"/>
  <c r="F16" i="32"/>
  <c r="J16" i="32" s="1"/>
  <c r="M16" i="32" s="1"/>
  <c r="F517" i="32"/>
  <c r="F391" i="32"/>
  <c r="F27" i="32"/>
  <c r="F400" i="32"/>
  <c r="F269" i="32"/>
  <c r="F384" i="32"/>
  <c r="J384" i="32" s="1"/>
  <c r="M384" i="32" s="1"/>
  <c r="F47" i="32"/>
  <c r="F213" i="32"/>
  <c r="F221" i="32"/>
  <c r="F35" i="32"/>
  <c r="F322" i="32"/>
  <c r="J322" i="32" s="1"/>
  <c r="M322" i="32" s="1"/>
  <c r="F119" i="32"/>
  <c r="F56" i="32"/>
  <c r="F224" i="32"/>
  <c r="F584" i="32"/>
  <c r="F290" i="32"/>
  <c r="J290" i="32" s="1"/>
  <c r="M290" i="32" s="1"/>
  <c r="F363" i="32"/>
  <c r="F535" i="32"/>
  <c r="F278" i="32"/>
  <c r="F353" i="32"/>
  <c r="F540" i="32"/>
  <c r="F127" i="32"/>
  <c r="F332" i="32"/>
  <c r="F137" i="32"/>
  <c r="F451" i="32"/>
  <c r="F605" i="32"/>
  <c r="F61" i="32"/>
  <c r="F275" i="32"/>
  <c r="F579" i="32"/>
  <c r="F82" i="32"/>
  <c r="J82" i="32" s="1"/>
  <c r="M82" i="32" s="1"/>
  <c r="F149" i="32"/>
  <c r="F181" i="32"/>
  <c r="F49" i="32"/>
  <c r="F452" i="32"/>
  <c r="F247" i="32"/>
  <c r="F467" i="32"/>
  <c r="F496" i="32"/>
  <c r="J496" i="32" s="1"/>
  <c r="M496" i="32" s="1"/>
  <c r="F215" i="32"/>
  <c r="J215" i="32" s="1"/>
  <c r="M215" i="32" s="1"/>
  <c r="F383" i="32"/>
  <c r="F209" i="32"/>
  <c r="F450" i="32"/>
  <c r="F148" i="32"/>
  <c r="F441" i="32"/>
  <c r="F543" i="32"/>
  <c r="F254" i="32"/>
  <c r="F397" i="32"/>
  <c r="F531" i="32"/>
  <c r="F513" i="32"/>
  <c r="F317" i="32"/>
  <c r="F287" i="32"/>
  <c r="F587" i="32"/>
  <c r="F225" i="32"/>
  <c r="F469" i="32"/>
  <c r="F325" i="32"/>
  <c r="F48" i="32"/>
  <c r="J48" i="32" s="1"/>
  <c r="M48" i="32" s="1"/>
  <c r="F315" i="32"/>
  <c r="F292" i="32"/>
  <c r="F111" i="32"/>
  <c r="F516" i="32"/>
  <c r="F570" i="32"/>
  <c r="F99" i="32"/>
  <c r="F356" i="32"/>
  <c r="J356" i="32" s="1"/>
  <c r="M356" i="32" s="1"/>
  <c r="F183" i="32"/>
  <c r="J183" i="32" s="1"/>
  <c r="M183" i="32" s="1"/>
  <c r="F548" i="32"/>
  <c r="F68" i="32"/>
  <c r="F581" i="32"/>
  <c r="F405" i="32"/>
  <c r="F507" i="32"/>
  <c r="F557" i="32"/>
  <c r="F393" i="32"/>
  <c r="F559" i="32"/>
  <c r="F477" i="32"/>
  <c r="F187" i="32"/>
  <c r="F159" i="32"/>
  <c r="J159" i="32" s="1"/>
  <c r="M159" i="32" s="1"/>
  <c r="F195" i="32"/>
  <c r="F371" i="32"/>
  <c r="F134" i="32"/>
  <c r="F204" i="32"/>
  <c r="F220" i="32"/>
  <c r="F122" i="32"/>
  <c r="J122" i="32" s="1"/>
  <c r="M122" i="32" s="1"/>
  <c r="F59" i="32"/>
  <c r="F245" i="32"/>
  <c r="F96" i="32"/>
  <c r="J96" i="32" s="1"/>
  <c r="M96" i="32" s="1"/>
  <c r="F101" i="32"/>
  <c r="F230" i="32"/>
  <c r="F486" i="32"/>
  <c r="J486" i="32" s="1"/>
  <c r="M486" i="32" s="1"/>
  <c r="F375" i="32"/>
  <c r="F186" i="32"/>
  <c r="F463" i="32"/>
  <c r="F312" i="32"/>
  <c r="F390" i="32"/>
  <c r="F500" i="32"/>
  <c r="F144" i="32"/>
  <c r="J144" i="32" s="1"/>
  <c r="M144" i="32" s="1"/>
  <c r="F434" i="32"/>
  <c r="J434" i="32" s="1"/>
  <c r="M434" i="32" s="1"/>
  <c r="F511" i="32"/>
  <c r="F481" i="32"/>
  <c r="F444" i="32"/>
  <c r="F93" i="32"/>
  <c r="F51" i="32"/>
  <c r="F232" i="32"/>
  <c r="F419" i="32"/>
  <c r="F446" i="32"/>
  <c r="F200" i="32"/>
  <c r="F123" i="32"/>
  <c r="F611" i="32"/>
  <c r="F256" i="32"/>
  <c r="F340" i="32"/>
  <c r="F345" i="32"/>
  <c r="F508" i="32"/>
  <c r="F494" i="32"/>
  <c r="F301" i="32"/>
  <c r="F460" i="32"/>
  <c r="J460" i="32" s="1"/>
  <c r="M460" i="32" s="1"/>
  <c r="F417" i="32"/>
  <c r="F519" i="32"/>
  <c r="F470" i="32"/>
  <c r="J470" i="32" s="1"/>
  <c r="M470" i="32" s="1"/>
  <c r="F180" i="32"/>
  <c r="F177" i="32"/>
  <c r="F74" i="32"/>
  <c r="F121" i="32"/>
  <c r="F295" i="32"/>
  <c r="F599" i="32"/>
  <c r="F76" i="32"/>
  <c r="F146" i="32"/>
  <c r="F236" i="32"/>
  <c r="F63" i="32"/>
  <c r="F19" i="32"/>
  <c r="F367" i="32"/>
  <c r="F196" i="32"/>
  <c r="F75" i="32"/>
  <c r="F530" i="32"/>
  <c r="F532" i="32"/>
  <c r="F544" i="32"/>
  <c r="J544" i="32" s="1"/>
  <c r="M544" i="32" s="1"/>
  <c r="F418" i="32"/>
  <c r="J418" i="32" s="1"/>
  <c r="M418" i="32" s="1"/>
  <c r="F572" i="32"/>
  <c r="F86" i="32"/>
  <c r="J86" i="32" s="1"/>
  <c r="M86" i="32" s="1"/>
  <c r="F505" i="32"/>
  <c r="F309" i="32"/>
  <c r="F364" i="32"/>
  <c r="F461" i="32"/>
  <c r="J461" i="32" s="1"/>
  <c r="M461" i="32" s="1"/>
  <c r="F297" i="32"/>
  <c r="F580" i="32"/>
  <c r="F381" i="32"/>
  <c r="F308" i="32"/>
  <c r="F550" i="32"/>
  <c r="F120" i="32"/>
  <c r="J120" i="32" s="1"/>
  <c r="M120" i="32" s="1"/>
  <c r="F350" i="32"/>
  <c r="J350" i="32" s="1"/>
  <c r="M350" i="32" s="1"/>
  <c r="F38" i="32"/>
  <c r="J38" i="32" s="1"/>
  <c r="M38" i="32" s="1"/>
  <c r="F29" i="32"/>
  <c r="F207" i="32"/>
  <c r="F574" i="32"/>
  <c r="J574" i="32" s="1"/>
  <c r="M574" i="32" s="1"/>
  <c r="F265" i="32"/>
  <c r="F110" i="32"/>
  <c r="F424" i="32"/>
  <c r="J424" i="32" s="1"/>
  <c r="M424" i="32" s="1"/>
  <c r="F285" i="32"/>
  <c r="F443" i="32"/>
  <c r="F562" i="32"/>
  <c r="F343" i="32"/>
  <c r="F358" i="32"/>
  <c r="J358" i="32" s="1"/>
  <c r="M358" i="32" s="1"/>
  <c r="F524" i="32"/>
  <c r="F206" i="32"/>
  <c r="F442" i="32"/>
  <c r="J442" i="32" s="1"/>
  <c r="M442" i="32" s="1"/>
  <c r="F105" i="32"/>
  <c r="F80" i="32"/>
  <c r="J80" i="32" s="1"/>
  <c r="M80" i="32" s="1"/>
  <c r="F598" i="32"/>
  <c r="J598" i="32" s="1"/>
  <c r="M598" i="32" s="1"/>
  <c r="F211" i="32"/>
  <c r="F294" i="32"/>
  <c r="F21" i="32"/>
  <c r="F502" i="32"/>
  <c r="F228" i="32"/>
  <c r="F603" i="32"/>
  <c r="F412" i="32"/>
  <c r="F331" i="32"/>
  <c r="F169" i="32"/>
  <c r="F199" i="32"/>
  <c r="F354" i="32"/>
  <c r="F95" i="32"/>
  <c r="F88" i="32"/>
  <c r="J88" i="32" s="1"/>
  <c r="M88" i="32" s="1"/>
  <c r="F374" i="32"/>
  <c r="F566" i="32"/>
  <c r="J566" i="32" s="1"/>
  <c r="M566" i="32" s="1"/>
  <c r="F310" i="32"/>
  <c r="F87" i="32"/>
  <c r="F237" i="32"/>
  <c r="F36" i="32"/>
  <c r="F233" i="32"/>
  <c r="F279" i="32"/>
  <c r="F483" i="32"/>
  <c r="F606" i="32"/>
  <c r="J606" i="32" s="1"/>
  <c r="M606" i="32" s="1"/>
  <c r="F293" i="32"/>
  <c r="F94" i="32"/>
  <c r="F420" i="32"/>
  <c r="F609" i="32"/>
  <c r="F376" i="32"/>
  <c r="F538" i="32"/>
  <c r="F503" i="32"/>
  <c r="F271" i="32"/>
  <c r="F612" i="32"/>
  <c r="F50" i="32"/>
  <c r="F342" i="32"/>
  <c r="J342" i="32" s="1"/>
  <c r="M342" i="32" s="1"/>
  <c r="F163" i="32"/>
  <c r="F23" i="32"/>
  <c r="F571" i="32"/>
  <c r="F583" i="32"/>
  <c r="F250" i="32"/>
  <c r="F433" i="32"/>
  <c r="F253" i="32"/>
  <c r="F24" i="32"/>
  <c r="J24" i="32" s="1"/>
  <c r="M24" i="32" s="1"/>
  <c r="F553" i="32"/>
  <c r="F223" i="32"/>
  <c r="J223" i="32" s="1"/>
  <c r="M223" i="32" s="1"/>
  <c r="F98" i="32"/>
  <c r="F542" i="32"/>
  <c r="F194" i="32"/>
  <c r="F555" i="32"/>
  <c r="F72" i="32"/>
  <c r="J72" i="32" s="1"/>
  <c r="M72" i="32" s="1"/>
  <c r="F541" i="32"/>
  <c r="F264" i="32"/>
  <c r="F348" i="32"/>
  <c r="J348" i="32" s="1"/>
  <c r="M348" i="32" s="1"/>
  <c r="F522" i="32"/>
  <c r="F478" i="32"/>
  <c r="J478" i="32" s="1"/>
  <c r="M478" i="32" s="1"/>
  <c r="F547" i="32"/>
  <c r="F246" i="32"/>
  <c r="F81" i="32"/>
  <c r="F128" i="32"/>
  <c r="J128" i="32" s="1"/>
  <c r="M128" i="32" s="1"/>
  <c r="F30" i="32"/>
  <c r="J30" i="32" s="1"/>
  <c r="M30" i="32" s="1"/>
  <c r="F175" i="32"/>
  <c r="J175" i="32" s="1"/>
  <c r="M175" i="32" s="1"/>
  <c r="F306" i="32"/>
  <c r="J306" i="32" s="1"/>
  <c r="M306" i="32" s="1"/>
  <c r="F153" i="32"/>
  <c r="F462" i="32"/>
  <c r="F546" i="32"/>
  <c r="F597" i="32"/>
  <c r="F162" i="32"/>
  <c r="F565" i="32"/>
  <c r="F421" i="32"/>
  <c r="F32" i="32"/>
  <c r="J32" i="32" s="1"/>
  <c r="M32" i="32" s="1"/>
  <c r="F103" i="32"/>
  <c r="F25" i="32"/>
  <c r="F415" i="32"/>
  <c r="F266" i="32"/>
  <c r="J266" i="32" s="1"/>
  <c r="M266" i="32" s="1"/>
  <c r="F161" i="32"/>
  <c r="F339" i="32"/>
  <c r="F552" i="32"/>
  <c r="J552" i="32" s="1"/>
  <c r="M552" i="32" s="1"/>
  <c r="F485" i="32"/>
  <c r="F167" i="32"/>
  <c r="J167" i="32" s="1"/>
  <c r="M167" i="32" s="1"/>
  <c r="F258" i="32"/>
  <c r="J258" i="32" s="1"/>
  <c r="M258" i="32" s="1"/>
  <c r="F321" i="32"/>
  <c r="F52" i="32"/>
  <c r="F185" i="32"/>
  <c r="F229" i="32"/>
  <c r="F327" i="32"/>
  <c r="F416" i="32"/>
  <c r="J416" i="32" s="1"/>
  <c r="M416" i="32" s="1"/>
  <c r="F138" i="32"/>
  <c r="F283" i="32"/>
  <c r="F157" i="32"/>
  <c r="F160" i="32"/>
  <c r="F435" i="32"/>
  <c r="F369" i="32"/>
  <c r="F65" i="32"/>
  <c r="F147" i="32"/>
  <c r="F201" i="32"/>
  <c r="F370" i="32"/>
  <c r="J370" i="32" s="1"/>
  <c r="M370" i="32" s="1"/>
  <c r="F476" i="32"/>
  <c r="F280" i="32"/>
  <c r="F623" i="32"/>
  <c r="F622" i="32"/>
  <c r="F628" i="32"/>
  <c r="F629" i="32"/>
  <c r="F627" i="32"/>
  <c r="AI617" i="31"/>
  <c r="AH620" i="31"/>
  <c r="AI620" i="31" s="1"/>
  <c r="AH619" i="31"/>
  <c r="AI619" i="31" s="1"/>
  <c r="BO9" i="32" l="1"/>
  <c r="BO8" i="32"/>
  <c r="N606" i="32"/>
  <c r="S606" i="32"/>
  <c r="BE606" i="32"/>
  <c r="BF606" i="32"/>
  <c r="J629" i="32"/>
  <c r="M629" i="32" s="1"/>
  <c r="J147" i="32"/>
  <c r="M147" i="32" s="1"/>
  <c r="J485" i="32"/>
  <c r="M485" i="32" s="1"/>
  <c r="J65" i="32"/>
  <c r="M65" i="32" s="1"/>
  <c r="J421" i="32"/>
  <c r="M421" i="32" s="1"/>
  <c r="N348" i="32"/>
  <c r="S348" i="32"/>
  <c r="BE348" i="32"/>
  <c r="BF348" i="32"/>
  <c r="J23" i="32"/>
  <c r="M23" i="32" s="1"/>
  <c r="J233" i="32"/>
  <c r="M233" i="32" s="1"/>
  <c r="J502" i="32"/>
  <c r="M502" i="32" s="1"/>
  <c r="S460" i="32"/>
  <c r="N460" i="32"/>
  <c r="BE460" i="32"/>
  <c r="BF460" i="32"/>
  <c r="J622" i="32"/>
  <c r="M622" i="32" s="1"/>
  <c r="J369" i="32"/>
  <c r="M369" i="32" s="1"/>
  <c r="J229" i="32"/>
  <c r="M229" i="32" s="1"/>
  <c r="J339" i="32"/>
  <c r="M339" i="32" s="1"/>
  <c r="J565" i="32"/>
  <c r="M565" i="32" s="1"/>
  <c r="N30" i="32"/>
  <c r="S30" i="32"/>
  <c r="BE30" i="32"/>
  <c r="BF30" i="32"/>
  <c r="J264" i="32"/>
  <c r="M264" i="32" s="1"/>
  <c r="J553" i="32"/>
  <c r="M553" i="32" s="1"/>
  <c r="J163" i="32"/>
  <c r="M163" i="32" s="1"/>
  <c r="J609" i="32"/>
  <c r="M609" i="32" s="1"/>
  <c r="J36" i="32"/>
  <c r="M36" i="32" s="1"/>
  <c r="J354" i="32"/>
  <c r="M354" i="32" s="1"/>
  <c r="J21" i="32"/>
  <c r="M21" i="32" s="1"/>
  <c r="J524" i="32"/>
  <c r="M524" i="32" s="1"/>
  <c r="J265" i="32"/>
  <c r="M265" i="32" s="1"/>
  <c r="J308" i="32"/>
  <c r="M308" i="32" s="1"/>
  <c r="N86" i="32"/>
  <c r="S86" i="32"/>
  <c r="BE86" i="32"/>
  <c r="BF86" i="32"/>
  <c r="J367" i="32"/>
  <c r="M367" i="32" s="1"/>
  <c r="J121" i="32"/>
  <c r="M121" i="32" s="1"/>
  <c r="J301" i="32"/>
  <c r="M301" i="32" s="1"/>
  <c r="J200" i="32"/>
  <c r="M200" i="32" s="1"/>
  <c r="J511" i="32"/>
  <c r="M511" i="32" s="1"/>
  <c r="J375" i="32"/>
  <c r="M375" i="32" s="1"/>
  <c r="J220" i="32"/>
  <c r="M220" i="32" s="1"/>
  <c r="J559" i="32"/>
  <c r="M559" i="32" s="1"/>
  <c r="N183" i="32"/>
  <c r="S183" i="32"/>
  <c r="BF183" i="32"/>
  <c r="BE183" i="32"/>
  <c r="N48" i="32"/>
  <c r="S48" i="32"/>
  <c r="BE48" i="32"/>
  <c r="BF48" i="32"/>
  <c r="J531" i="32"/>
  <c r="M531" i="32" s="1"/>
  <c r="J383" i="32"/>
  <c r="M383" i="32" s="1"/>
  <c r="J149" i="32"/>
  <c r="M149" i="32" s="1"/>
  <c r="J332" i="32"/>
  <c r="M332" i="32" s="1"/>
  <c r="J584" i="32"/>
  <c r="M584" i="32" s="1"/>
  <c r="J47" i="32"/>
  <c r="M47" i="32" s="1"/>
  <c r="J145" i="32"/>
  <c r="M145" i="32" s="1"/>
  <c r="J471" i="32"/>
  <c r="M471" i="32" s="1"/>
  <c r="J409" i="32"/>
  <c r="M409" i="32" s="1"/>
  <c r="J305" i="32"/>
  <c r="M305" i="32" s="1"/>
  <c r="J422" i="32"/>
  <c r="M422" i="32" s="1"/>
  <c r="J58" i="32"/>
  <c r="M58" i="32" s="1"/>
  <c r="J413" i="32"/>
  <c r="M413" i="32" s="1"/>
  <c r="J28" i="32"/>
  <c r="M28" i="32" s="1"/>
  <c r="J140" i="32"/>
  <c r="M140" i="32" s="1"/>
  <c r="N106" i="32"/>
  <c r="S106" i="32"/>
  <c r="BE106" i="32"/>
  <c r="BF106" i="32"/>
  <c r="J556" i="32"/>
  <c r="M556" i="32" s="1"/>
  <c r="J37" i="32"/>
  <c r="M37" i="32" s="1"/>
  <c r="J288" i="32"/>
  <c r="M288" i="32" s="1"/>
  <c r="N226" i="32"/>
  <c r="S226" i="32"/>
  <c r="BE226" i="32"/>
  <c r="BF226" i="32"/>
  <c r="N130" i="32"/>
  <c r="S130" i="32"/>
  <c r="BF130" i="32"/>
  <c r="BE130" i="32"/>
  <c r="J596" i="32"/>
  <c r="M596" i="32" s="1"/>
  <c r="J428" i="32"/>
  <c r="M428" i="32" s="1"/>
  <c r="N360" i="32"/>
  <c r="S360" i="32"/>
  <c r="BE360" i="32"/>
  <c r="BF360" i="32"/>
  <c r="J57" i="32"/>
  <c r="M57" i="32" s="1"/>
  <c r="J377" i="32"/>
  <c r="M377" i="32" s="1"/>
  <c r="J387" i="32"/>
  <c r="M387" i="32" s="1"/>
  <c r="J349" i="32"/>
  <c r="M349" i="32" s="1"/>
  <c r="J406" i="32"/>
  <c r="M406" i="32" s="1"/>
  <c r="J261" i="32"/>
  <c r="M261" i="32" s="1"/>
  <c r="J42" i="32"/>
  <c r="M42" i="32" s="1"/>
  <c r="J427" i="32"/>
  <c r="M427" i="32" s="1"/>
  <c r="J320" i="32"/>
  <c r="M320" i="32" s="1"/>
  <c r="J608" i="32"/>
  <c r="M608" i="32" s="1"/>
  <c r="J601" i="32"/>
  <c r="M601" i="32" s="1"/>
  <c r="J554" i="32"/>
  <c r="M554" i="32" s="1"/>
  <c r="J85" i="32"/>
  <c r="M85" i="32" s="1"/>
  <c r="J399" i="32"/>
  <c r="M399" i="32" s="1"/>
  <c r="J568" i="32"/>
  <c r="M568" i="32" s="1"/>
  <c r="J73" i="32"/>
  <c r="M73" i="32" s="1"/>
  <c r="J506" i="32"/>
  <c r="M506" i="32" s="1"/>
  <c r="N512" i="32"/>
  <c r="S512" i="32"/>
  <c r="BE512" i="32"/>
  <c r="BF512" i="32"/>
  <c r="J497" i="32"/>
  <c r="M497" i="32" s="1"/>
  <c r="J388" i="32"/>
  <c r="M388" i="32" s="1"/>
  <c r="J523" i="32"/>
  <c r="M523" i="32" s="1"/>
  <c r="J263" i="32"/>
  <c r="M263" i="32" s="1"/>
  <c r="J46" i="32"/>
  <c r="M46" i="32" s="1"/>
  <c r="J259" i="32"/>
  <c r="M259" i="32" s="1"/>
  <c r="J492" i="32"/>
  <c r="M492" i="32" s="1"/>
  <c r="J25" i="32"/>
  <c r="M25" i="32" s="1"/>
  <c r="N416" i="32"/>
  <c r="S416" i="32"/>
  <c r="BE416" i="32"/>
  <c r="BF416" i="32"/>
  <c r="J628" i="32"/>
  <c r="M628" i="32" s="1"/>
  <c r="J623" i="32"/>
  <c r="M623" i="32" s="1"/>
  <c r="N128" i="32"/>
  <c r="S128" i="32"/>
  <c r="BE128" i="32"/>
  <c r="BF128" i="32"/>
  <c r="J541" i="32"/>
  <c r="M541" i="32" s="1"/>
  <c r="N358" i="32"/>
  <c r="S358" i="32"/>
  <c r="BE358" i="32"/>
  <c r="BF358" i="32"/>
  <c r="N574" i="32"/>
  <c r="S574" i="32"/>
  <c r="BE574" i="32"/>
  <c r="BF574" i="32"/>
  <c r="J381" i="32"/>
  <c r="M381" i="32" s="1"/>
  <c r="J572" i="32"/>
  <c r="M572" i="32" s="1"/>
  <c r="J19" i="32"/>
  <c r="M19" i="32" s="1"/>
  <c r="J74" i="32"/>
  <c r="M74" i="32" s="1"/>
  <c r="J494" i="32"/>
  <c r="M494" i="32" s="1"/>
  <c r="J446" i="32"/>
  <c r="M446" i="32" s="1"/>
  <c r="S434" i="32"/>
  <c r="N434" i="32"/>
  <c r="BE434" i="32"/>
  <c r="BF434" i="32"/>
  <c r="N486" i="32"/>
  <c r="S486" i="32"/>
  <c r="BE486" i="32"/>
  <c r="BF486" i="32"/>
  <c r="J204" i="32"/>
  <c r="M204" i="32" s="1"/>
  <c r="J393" i="32"/>
  <c r="M393" i="32" s="1"/>
  <c r="N356" i="32"/>
  <c r="S356" i="32"/>
  <c r="BE356" i="32"/>
  <c r="BF356" i="32"/>
  <c r="J325" i="32"/>
  <c r="M325" i="32" s="1"/>
  <c r="J397" i="32"/>
  <c r="M397" i="32" s="1"/>
  <c r="N215" i="32"/>
  <c r="S215" i="32"/>
  <c r="BE215" i="32"/>
  <c r="BF215" i="32"/>
  <c r="N82" i="32"/>
  <c r="S82" i="32"/>
  <c r="BE82" i="32"/>
  <c r="BF82" i="32"/>
  <c r="J127" i="32"/>
  <c r="M127" i="32" s="1"/>
  <c r="J224" i="32"/>
  <c r="M224" i="32" s="1"/>
  <c r="S384" i="32"/>
  <c r="N384" i="32"/>
  <c r="BF384" i="32"/>
  <c r="BE384" i="32"/>
  <c r="J465" i="32"/>
  <c r="M465" i="32" s="1"/>
  <c r="J474" i="32"/>
  <c r="M474" i="32" s="1"/>
  <c r="J210" i="32"/>
  <c r="M210" i="32" s="1"/>
  <c r="J501" i="32"/>
  <c r="M501" i="32" s="1"/>
  <c r="J591" i="32"/>
  <c r="M591" i="32" s="1"/>
  <c r="J296" i="32"/>
  <c r="M296" i="32" s="1"/>
  <c r="J589" i="32"/>
  <c r="M589" i="32" s="1"/>
  <c r="J351" i="32"/>
  <c r="M351" i="32" s="1"/>
  <c r="J328" i="32"/>
  <c r="M328" i="32" s="1"/>
  <c r="J359" i="32"/>
  <c r="M359" i="32" s="1"/>
  <c r="J438" i="32"/>
  <c r="M438" i="32" s="1"/>
  <c r="J33" i="32"/>
  <c r="M33" i="32" s="1"/>
  <c r="J251" i="32"/>
  <c r="M251" i="32" s="1"/>
  <c r="J515" i="32"/>
  <c r="M515" i="32" s="1"/>
  <c r="J334" i="32"/>
  <c r="M334" i="32" s="1"/>
  <c r="J45" i="32"/>
  <c r="M45" i="32" s="1"/>
  <c r="J578" i="32"/>
  <c r="M578" i="32" s="1"/>
  <c r="J91" i="32"/>
  <c r="M91" i="32" s="1"/>
  <c r="J495" i="32"/>
  <c r="M495" i="32" s="1"/>
  <c r="J276" i="32"/>
  <c r="M276" i="32" s="1"/>
  <c r="J158" i="32"/>
  <c r="M158" i="32" s="1"/>
  <c r="J545" i="32"/>
  <c r="M545" i="32" s="1"/>
  <c r="J314" i="32"/>
  <c r="M314" i="32" s="1"/>
  <c r="J150" i="32"/>
  <c r="M150" i="32" s="1"/>
  <c r="J464" i="32"/>
  <c r="M464" i="32" s="1"/>
  <c r="J380" i="32"/>
  <c r="M380" i="32" s="1"/>
  <c r="J304" i="32"/>
  <c r="M304" i="32" s="1"/>
  <c r="J425" i="32"/>
  <c r="M425" i="32" s="1"/>
  <c r="N402" i="32"/>
  <c r="S402" i="32"/>
  <c r="BF402" i="32"/>
  <c r="BE402" i="32"/>
  <c r="J115" i="32"/>
  <c r="M115" i="32" s="1"/>
  <c r="J337" i="32"/>
  <c r="M337" i="32" s="1"/>
  <c r="N488" i="32"/>
  <c r="S488" i="32"/>
  <c r="BE488" i="32"/>
  <c r="BF488" i="32"/>
  <c r="N90" i="32"/>
  <c r="S90" i="32"/>
  <c r="BE90" i="32"/>
  <c r="BF90" i="32"/>
  <c r="N445" i="32"/>
  <c r="S445" i="32"/>
  <c r="BF445" i="32"/>
  <c r="BE445" i="32"/>
  <c r="N40" i="32"/>
  <c r="S40" i="32"/>
  <c r="BE40" i="32"/>
  <c r="BF40" i="32"/>
  <c r="J165" i="32"/>
  <c r="M165" i="32" s="1"/>
  <c r="J141" i="32"/>
  <c r="M141" i="32" s="1"/>
  <c r="J590" i="32"/>
  <c r="M590" i="32" s="1"/>
  <c r="J475" i="32"/>
  <c r="M475" i="32" s="1"/>
  <c r="J355" i="32"/>
  <c r="M355" i="32" s="1"/>
  <c r="N392" i="32"/>
  <c r="S392" i="32"/>
  <c r="BE392" i="32"/>
  <c r="BF392" i="32"/>
  <c r="J155" i="32"/>
  <c r="M155" i="32" s="1"/>
  <c r="J131" i="32"/>
  <c r="M131" i="32" s="1"/>
  <c r="J462" i="32"/>
  <c r="M462" i="32" s="1"/>
  <c r="N32" i="32"/>
  <c r="S32" i="32"/>
  <c r="BE32" i="32"/>
  <c r="BF32" i="32"/>
  <c r="J327" i="32"/>
  <c r="M327" i="32" s="1"/>
  <c r="J435" i="32"/>
  <c r="M435" i="32" s="1"/>
  <c r="J161" i="32"/>
  <c r="M161" i="32" s="1"/>
  <c r="N24" i="32"/>
  <c r="S24" i="32"/>
  <c r="BE24" i="32"/>
  <c r="BF24" i="32"/>
  <c r="J420" i="32"/>
  <c r="M420" i="32" s="1"/>
  <c r="J294" i="32"/>
  <c r="M294" i="32" s="1"/>
  <c r="J280" i="32"/>
  <c r="M280" i="32" s="1"/>
  <c r="J160" i="32"/>
  <c r="M160" i="32" s="1"/>
  <c r="J52" i="32"/>
  <c r="M52" i="32" s="1"/>
  <c r="N266" i="32"/>
  <c r="S266" i="32"/>
  <c r="BE266" i="32"/>
  <c r="BF266" i="32"/>
  <c r="J597" i="32"/>
  <c r="M597" i="32" s="1"/>
  <c r="J81" i="32"/>
  <c r="M81" i="32" s="1"/>
  <c r="N72" i="32"/>
  <c r="S72" i="32"/>
  <c r="BE72" i="32"/>
  <c r="BF72" i="32"/>
  <c r="J253" i="32"/>
  <c r="M253" i="32" s="1"/>
  <c r="J50" i="32"/>
  <c r="M50" i="32" s="1"/>
  <c r="J94" i="32"/>
  <c r="M94" i="32" s="1"/>
  <c r="J87" i="32"/>
  <c r="M87" i="32" s="1"/>
  <c r="J169" i="32"/>
  <c r="M169" i="32" s="1"/>
  <c r="J211" i="32"/>
  <c r="M211" i="32" s="1"/>
  <c r="J343" i="32"/>
  <c r="M343" i="32" s="1"/>
  <c r="J207" i="32"/>
  <c r="M207" i="32" s="1"/>
  <c r="J580" i="32"/>
  <c r="M580" i="32" s="1"/>
  <c r="N418" i="32"/>
  <c r="S418" i="32"/>
  <c r="BE418" i="32"/>
  <c r="BF418" i="32"/>
  <c r="J63" i="32"/>
  <c r="M63" i="32" s="1"/>
  <c r="J177" i="32"/>
  <c r="M177" i="32" s="1"/>
  <c r="J508" i="32"/>
  <c r="M508" i="32" s="1"/>
  <c r="J419" i="32"/>
  <c r="M419" i="32" s="1"/>
  <c r="N144" i="32"/>
  <c r="S144" i="32"/>
  <c r="BE144" i="32"/>
  <c r="BF144" i="32"/>
  <c r="J230" i="32"/>
  <c r="M230" i="32" s="1"/>
  <c r="J134" i="32"/>
  <c r="M134" i="32" s="1"/>
  <c r="J557" i="32"/>
  <c r="M557" i="32" s="1"/>
  <c r="J99" i="32"/>
  <c r="M99" i="32" s="1"/>
  <c r="J469" i="32"/>
  <c r="M469" i="32" s="1"/>
  <c r="J254" i="32"/>
  <c r="M254" i="32" s="1"/>
  <c r="N496" i="32"/>
  <c r="S496" i="32"/>
  <c r="BE496" i="32"/>
  <c r="BF496" i="32"/>
  <c r="J579" i="32"/>
  <c r="M579" i="32" s="1"/>
  <c r="J540" i="32"/>
  <c r="M540" i="32" s="1"/>
  <c r="J56" i="32"/>
  <c r="M56" i="32" s="1"/>
  <c r="J269" i="32"/>
  <c r="M269" i="32" s="1"/>
  <c r="J18" i="32"/>
  <c r="M18" i="32" s="1"/>
  <c r="J171" i="32"/>
  <c r="M171" i="32" s="1"/>
  <c r="J610" i="32"/>
  <c r="M610" i="32" s="1"/>
  <c r="J255" i="32"/>
  <c r="M255" i="32" s="1"/>
  <c r="J362" i="32"/>
  <c r="M362" i="32" s="1"/>
  <c r="J108" i="32"/>
  <c r="M108" i="32" s="1"/>
  <c r="J329" i="32"/>
  <c r="M329" i="32" s="1"/>
  <c r="J330" i="32"/>
  <c r="M330" i="32" s="1"/>
  <c r="J346" i="32"/>
  <c r="M346" i="32" s="1"/>
  <c r="J205" i="32"/>
  <c r="M205" i="32" s="1"/>
  <c r="J396" i="32"/>
  <c r="M396" i="32" s="1"/>
  <c r="J510" i="32"/>
  <c r="M510" i="32" s="1"/>
  <c r="J249" i="32"/>
  <c r="M249" i="32" s="1"/>
  <c r="N176" i="32"/>
  <c r="S176" i="32"/>
  <c r="BE176" i="32"/>
  <c r="BF176" i="32"/>
  <c r="J179" i="32"/>
  <c r="M179" i="32" s="1"/>
  <c r="J401" i="32"/>
  <c r="M401" i="32" s="1"/>
  <c r="J218" i="32"/>
  <c r="M218" i="32" s="1"/>
  <c r="J154" i="32"/>
  <c r="M154" i="32" s="1"/>
  <c r="J551" i="32"/>
  <c r="M551" i="32" s="1"/>
  <c r="N64" i="32"/>
  <c r="S64" i="32"/>
  <c r="BF64" i="32"/>
  <c r="BE64" i="32"/>
  <c r="J77" i="32"/>
  <c r="M77" i="32" s="1"/>
  <c r="J563" i="32"/>
  <c r="M563" i="32" s="1"/>
  <c r="J447" i="32"/>
  <c r="M447" i="32" s="1"/>
  <c r="J318" i="32"/>
  <c r="M318" i="32" s="1"/>
  <c r="J31" i="32"/>
  <c r="M31" i="32" s="1"/>
  <c r="J313" i="32"/>
  <c r="M313" i="32" s="1"/>
  <c r="J79" i="32"/>
  <c r="M79" i="32" s="1"/>
  <c r="J604" i="32"/>
  <c r="M604" i="32" s="1"/>
  <c r="J466" i="32"/>
  <c r="M466" i="32" s="1"/>
  <c r="J498" i="32"/>
  <c r="M498" i="32" s="1"/>
  <c r="J533" i="32"/>
  <c r="M533" i="32" s="1"/>
  <c r="J267" i="32"/>
  <c r="M267" i="32" s="1"/>
  <c r="J490" i="32"/>
  <c r="M490" i="32" s="1"/>
  <c r="J527" i="32"/>
  <c r="M527" i="32" s="1"/>
  <c r="N468" i="32"/>
  <c r="S468" i="32"/>
  <c r="BE468" i="32"/>
  <c r="BF468" i="32"/>
  <c r="J100" i="32"/>
  <c r="M100" i="32" s="1"/>
  <c r="J53" i="32"/>
  <c r="M53" i="32" s="1"/>
  <c r="J240" i="32"/>
  <c r="M240" i="32" s="1"/>
  <c r="N344" i="32"/>
  <c r="S344" i="32"/>
  <c r="BE344" i="32"/>
  <c r="BF344" i="32"/>
  <c r="J588" i="32"/>
  <c r="M588" i="32" s="1"/>
  <c r="J268" i="32"/>
  <c r="M268" i="32" s="1"/>
  <c r="J277" i="32"/>
  <c r="M277" i="32" s="1"/>
  <c r="J260" i="32"/>
  <c r="M260" i="32" s="1"/>
  <c r="N566" i="32"/>
  <c r="S566" i="32"/>
  <c r="BE566" i="32"/>
  <c r="BF566" i="32"/>
  <c r="N552" i="32"/>
  <c r="S552" i="32"/>
  <c r="BE552" i="32"/>
  <c r="BF552" i="32"/>
  <c r="J185" i="32"/>
  <c r="M185" i="32" s="1"/>
  <c r="J162" i="32"/>
  <c r="M162" i="32" s="1"/>
  <c r="N342" i="32"/>
  <c r="S342" i="32"/>
  <c r="BE342" i="32"/>
  <c r="BF342" i="32"/>
  <c r="J237" i="32"/>
  <c r="M237" i="32" s="1"/>
  <c r="J199" i="32"/>
  <c r="M199" i="32" s="1"/>
  <c r="J476" i="32"/>
  <c r="M476" i="32" s="1"/>
  <c r="J157" i="32"/>
  <c r="M157" i="32" s="1"/>
  <c r="J321" i="32"/>
  <c r="M321" i="32" s="1"/>
  <c r="J415" i="32"/>
  <c r="M415" i="32" s="1"/>
  <c r="J546" i="32"/>
  <c r="M546" i="32" s="1"/>
  <c r="J246" i="32"/>
  <c r="M246" i="32" s="1"/>
  <c r="J555" i="32"/>
  <c r="M555" i="32" s="1"/>
  <c r="J433" i="32"/>
  <c r="M433" i="32" s="1"/>
  <c r="J612" i="32"/>
  <c r="M612" i="32" s="1"/>
  <c r="J293" i="32"/>
  <c r="M293" i="32" s="1"/>
  <c r="J310" i="32"/>
  <c r="M310" i="32" s="1"/>
  <c r="J331" i="32"/>
  <c r="M331" i="32" s="1"/>
  <c r="S598" i="32"/>
  <c r="N598" i="32"/>
  <c r="BE598" i="32"/>
  <c r="BF598" i="32"/>
  <c r="J562" i="32"/>
  <c r="M562" i="32" s="1"/>
  <c r="J29" i="32"/>
  <c r="M29" i="32" s="1"/>
  <c r="J297" i="32"/>
  <c r="M297" i="32" s="1"/>
  <c r="N544" i="32"/>
  <c r="S544" i="32"/>
  <c r="BE544" i="32"/>
  <c r="BF544" i="32"/>
  <c r="J236" i="32"/>
  <c r="M236" i="32" s="1"/>
  <c r="J180" i="32"/>
  <c r="M180" i="32" s="1"/>
  <c r="J345" i="32"/>
  <c r="M345" i="32" s="1"/>
  <c r="J232" i="32"/>
  <c r="M232" i="32" s="1"/>
  <c r="J500" i="32"/>
  <c r="M500" i="32" s="1"/>
  <c r="J101" i="32"/>
  <c r="M101" i="32" s="1"/>
  <c r="J371" i="32"/>
  <c r="M371" i="32" s="1"/>
  <c r="J507" i="32"/>
  <c r="M507" i="32" s="1"/>
  <c r="J570" i="32"/>
  <c r="M570" i="32" s="1"/>
  <c r="J225" i="32"/>
  <c r="M225" i="32" s="1"/>
  <c r="J543" i="32"/>
  <c r="M543" i="32" s="1"/>
  <c r="J467" i="32"/>
  <c r="M467" i="32" s="1"/>
  <c r="J275" i="32"/>
  <c r="M275" i="32" s="1"/>
  <c r="J353" i="32"/>
  <c r="M353" i="32" s="1"/>
  <c r="J119" i="32"/>
  <c r="M119" i="32" s="1"/>
  <c r="J400" i="32"/>
  <c r="M400" i="32" s="1"/>
  <c r="J109" i="32"/>
  <c r="M109" i="32" s="1"/>
  <c r="S560" i="32"/>
  <c r="N560" i="32"/>
  <c r="BE560" i="32"/>
  <c r="BF560" i="32"/>
  <c r="N440" i="32"/>
  <c r="S440" i="32"/>
  <c r="BE440" i="32"/>
  <c r="BF440" i="32"/>
  <c r="J366" i="32"/>
  <c r="M366" i="32" s="1"/>
  <c r="J526" i="32"/>
  <c r="M526" i="32" s="1"/>
  <c r="N70" i="32"/>
  <c r="S70" i="32"/>
  <c r="BF70" i="32"/>
  <c r="BE70" i="32"/>
  <c r="J493" i="32"/>
  <c r="M493" i="32" s="1"/>
  <c r="J241" i="32"/>
  <c r="M241" i="32" s="1"/>
  <c r="J178" i="32"/>
  <c r="M178" i="32" s="1"/>
  <c r="J216" i="32"/>
  <c r="M216" i="32" s="1"/>
  <c r="J117" i="32"/>
  <c r="M117" i="32" s="1"/>
  <c r="J593" i="32"/>
  <c r="M593" i="32" s="1"/>
  <c r="J303" i="32"/>
  <c r="M303" i="32" s="1"/>
  <c r="J132" i="32"/>
  <c r="M132" i="32" s="1"/>
  <c r="S104" i="32"/>
  <c r="N104" i="32"/>
  <c r="BE104" i="32"/>
  <c r="BF104" i="32"/>
  <c r="J577" i="32"/>
  <c r="M577" i="32" s="1"/>
  <c r="J534" i="32"/>
  <c r="M534" i="32" s="1"/>
  <c r="J319" i="32"/>
  <c r="M319" i="32" s="1"/>
  <c r="J449" i="32"/>
  <c r="M449" i="32" s="1"/>
  <c r="J365" i="32"/>
  <c r="M365" i="32" s="1"/>
  <c r="J430" i="32"/>
  <c r="M430" i="32" s="1"/>
  <c r="J429" i="32"/>
  <c r="M429" i="32" s="1"/>
  <c r="J299" i="32"/>
  <c r="M299" i="32" s="1"/>
  <c r="S114" i="32"/>
  <c r="N114" i="32"/>
  <c r="BF114" i="32"/>
  <c r="BE114" i="32"/>
  <c r="N372" i="32"/>
  <c r="S372" i="32"/>
  <c r="BE372" i="32"/>
  <c r="BF372" i="32"/>
  <c r="J302" i="32"/>
  <c r="M302" i="32" s="1"/>
  <c r="J203" i="32"/>
  <c r="M203" i="32" s="1"/>
  <c r="J539" i="32"/>
  <c r="M539" i="32" s="1"/>
  <c r="J382" i="32"/>
  <c r="M382" i="32" s="1"/>
  <c r="J60" i="32"/>
  <c r="M60" i="32" s="1"/>
  <c r="J124" i="32"/>
  <c r="M124" i="32" s="1"/>
  <c r="N426" i="32"/>
  <c r="S426" i="32"/>
  <c r="BE426" i="32"/>
  <c r="BF426" i="32"/>
  <c r="J231" i="32"/>
  <c r="M231" i="32" s="1"/>
  <c r="J361" i="32"/>
  <c r="M361" i="32" s="1"/>
  <c r="J395" i="32"/>
  <c r="M395" i="32" s="1"/>
  <c r="J133" i="32"/>
  <c r="M133" i="32" s="1"/>
  <c r="J118" i="32"/>
  <c r="M118" i="32" s="1"/>
  <c r="J436" i="32"/>
  <c r="M436" i="32" s="1"/>
  <c r="J347" i="32"/>
  <c r="M347" i="32" s="1"/>
  <c r="J89" i="32"/>
  <c r="M89" i="32" s="1"/>
  <c r="J126" i="32"/>
  <c r="M126" i="32" s="1"/>
  <c r="J39" i="32"/>
  <c r="M39" i="32" s="1"/>
  <c r="N227" i="32"/>
  <c r="S227" i="32"/>
  <c r="BE227" i="32"/>
  <c r="BF227" i="32"/>
  <c r="N370" i="32"/>
  <c r="S370" i="32"/>
  <c r="BE370" i="32"/>
  <c r="BF370" i="32"/>
  <c r="J194" i="32"/>
  <c r="M194" i="32" s="1"/>
  <c r="N80" i="32"/>
  <c r="S80" i="32"/>
  <c r="BF80" i="32"/>
  <c r="BE80" i="32"/>
  <c r="J443" i="32"/>
  <c r="M443" i="32" s="1"/>
  <c r="N38" i="32"/>
  <c r="S38" i="32"/>
  <c r="BE38" i="32"/>
  <c r="BF38" i="32"/>
  <c r="N461" i="32"/>
  <c r="S461" i="32"/>
  <c r="BE461" i="32"/>
  <c r="BF461" i="32"/>
  <c r="J532" i="32"/>
  <c r="M532" i="32" s="1"/>
  <c r="J146" i="32"/>
  <c r="M146" i="32" s="1"/>
  <c r="S470" i="32"/>
  <c r="N470" i="32"/>
  <c r="BE470" i="32"/>
  <c r="BF470" i="32"/>
  <c r="J340" i="32"/>
  <c r="M340" i="32" s="1"/>
  <c r="J51" i="32"/>
  <c r="M51" i="32" s="1"/>
  <c r="J390" i="32"/>
  <c r="M390" i="32" s="1"/>
  <c r="S96" i="32"/>
  <c r="N96" i="32"/>
  <c r="BE96" i="32"/>
  <c r="BF96" i="32"/>
  <c r="J195" i="32"/>
  <c r="M195" i="32" s="1"/>
  <c r="J405" i="32"/>
  <c r="M405" i="32" s="1"/>
  <c r="J516" i="32"/>
  <c r="M516" i="32" s="1"/>
  <c r="J587" i="32"/>
  <c r="M587" i="32" s="1"/>
  <c r="J441" i="32"/>
  <c r="M441" i="32" s="1"/>
  <c r="J247" i="32"/>
  <c r="M247" i="32" s="1"/>
  <c r="J61" i="32"/>
  <c r="M61" i="32" s="1"/>
  <c r="J278" i="32"/>
  <c r="M278" i="32" s="1"/>
  <c r="N322" i="32"/>
  <c r="S322" i="32"/>
  <c r="BE322" i="32"/>
  <c r="BF322" i="32"/>
  <c r="J27" i="32"/>
  <c r="M27" i="32" s="1"/>
  <c r="J458" i="32"/>
  <c r="M458" i="32" s="1"/>
  <c r="J307" i="32"/>
  <c r="M307" i="32" s="1"/>
  <c r="J573" i="32"/>
  <c r="M573" i="32" s="1"/>
  <c r="J289" i="32"/>
  <c r="M289" i="32" s="1"/>
  <c r="N394" i="32"/>
  <c r="S394" i="32"/>
  <c r="BE394" i="32"/>
  <c r="BF394" i="32"/>
  <c r="J586" i="32"/>
  <c r="M586" i="32" s="1"/>
  <c r="J482" i="32"/>
  <c r="M482" i="32" s="1"/>
  <c r="J338" i="32"/>
  <c r="M338" i="32" s="1"/>
  <c r="J197" i="32"/>
  <c r="M197" i="32" s="1"/>
  <c r="J202" i="32"/>
  <c r="M202" i="32" s="1"/>
  <c r="N368" i="32"/>
  <c r="S368" i="32"/>
  <c r="BF368" i="32"/>
  <c r="BE368" i="32"/>
  <c r="J212" i="32"/>
  <c r="M212" i="32" s="1"/>
  <c r="J600" i="32"/>
  <c r="M600" i="32" s="1"/>
  <c r="J55" i="32"/>
  <c r="M55" i="32" s="1"/>
  <c r="J13" i="32"/>
  <c r="J156" i="32"/>
  <c r="M156" i="32" s="1"/>
  <c r="N298" i="32"/>
  <c r="S298" i="32"/>
  <c r="BE298" i="32"/>
  <c r="BF298" i="32"/>
  <c r="J281" i="32"/>
  <c r="M281" i="32" s="1"/>
  <c r="N582" i="32"/>
  <c r="S582" i="32"/>
  <c r="BE582" i="32"/>
  <c r="BF582" i="32"/>
  <c r="J284" i="32"/>
  <c r="M284" i="32" s="1"/>
  <c r="J239" i="32"/>
  <c r="M239" i="32" s="1"/>
  <c r="J286" i="32"/>
  <c r="M286" i="32" s="1"/>
  <c r="J404" i="32"/>
  <c r="M404" i="32" s="1"/>
  <c r="J129" i="32"/>
  <c r="M129" i="32" s="1"/>
  <c r="J487" i="32"/>
  <c r="M487" i="32" s="1"/>
  <c r="J244" i="32"/>
  <c r="M244" i="32" s="1"/>
  <c r="J208" i="32"/>
  <c r="M208" i="32" s="1"/>
  <c r="J437" i="32"/>
  <c r="M437" i="32" s="1"/>
  <c r="J189" i="32"/>
  <c r="M189" i="32" s="1"/>
  <c r="J173" i="32"/>
  <c r="M173" i="32" s="1"/>
  <c r="J84" i="32"/>
  <c r="M84" i="32" s="1"/>
  <c r="J198" i="32"/>
  <c r="M198" i="32" s="1"/>
  <c r="N102" i="32"/>
  <c r="S102" i="32"/>
  <c r="BE102" i="32"/>
  <c r="BF102" i="32"/>
  <c r="J525" i="32"/>
  <c r="M525" i="32" s="1"/>
  <c r="N336" i="32"/>
  <c r="S336" i="32"/>
  <c r="BE336" i="32"/>
  <c r="BF336" i="32"/>
  <c r="N243" i="32"/>
  <c r="S243" i="32"/>
  <c r="BF243" i="32"/>
  <c r="BE243" i="32"/>
  <c r="J592" i="32"/>
  <c r="M592" i="32" s="1"/>
  <c r="J379" i="32"/>
  <c r="M379" i="32" s="1"/>
  <c r="S520" i="32"/>
  <c r="N520" i="32"/>
  <c r="BF520" i="32"/>
  <c r="BE520" i="32"/>
  <c r="N22" i="32"/>
  <c r="S22" i="32"/>
  <c r="BE22" i="32"/>
  <c r="BF22" i="32"/>
  <c r="J193" i="32"/>
  <c r="M193" i="32" s="1"/>
  <c r="N34" i="32"/>
  <c r="S34" i="32"/>
  <c r="BE34" i="32"/>
  <c r="BF34" i="32"/>
  <c r="N143" i="32"/>
  <c r="S143" i="32"/>
  <c r="BF143" i="32"/>
  <c r="BE143" i="32"/>
  <c r="J547" i="32"/>
  <c r="M547" i="32" s="1"/>
  <c r="J627" i="32"/>
  <c r="M627" i="32" s="1"/>
  <c r="J201" i="32"/>
  <c r="M201" i="32" s="1"/>
  <c r="J138" i="32"/>
  <c r="M138" i="32" s="1"/>
  <c r="N167" i="32"/>
  <c r="S167" i="32"/>
  <c r="BE167" i="32"/>
  <c r="BF167" i="32"/>
  <c r="J103" i="32"/>
  <c r="M103" i="32" s="1"/>
  <c r="J153" i="32"/>
  <c r="M153" i="32" s="1"/>
  <c r="N478" i="32"/>
  <c r="S478" i="32"/>
  <c r="BE478" i="32"/>
  <c r="BF478" i="32"/>
  <c r="J542" i="32"/>
  <c r="M542" i="32" s="1"/>
  <c r="J583" i="32"/>
  <c r="M583" i="32" s="1"/>
  <c r="J503" i="32"/>
  <c r="M503" i="32" s="1"/>
  <c r="J483" i="32"/>
  <c r="M483" i="32" s="1"/>
  <c r="J374" i="32"/>
  <c r="M374" i="32" s="1"/>
  <c r="J603" i="32"/>
  <c r="M603" i="32" s="1"/>
  <c r="J105" i="32"/>
  <c r="M105" i="32" s="1"/>
  <c r="J285" i="32"/>
  <c r="M285" i="32" s="1"/>
  <c r="N350" i="32"/>
  <c r="S350" i="32"/>
  <c r="BF350" i="32"/>
  <c r="BE350" i="32"/>
  <c r="J364" i="32"/>
  <c r="M364" i="32" s="1"/>
  <c r="J530" i="32"/>
  <c r="M530" i="32" s="1"/>
  <c r="J76" i="32"/>
  <c r="M76" i="32" s="1"/>
  <c r="J519" i="32"/>
  <c r="M519" i="32" s="1"/>
  <c r="J256" i="32"/>
  <c r="M256" i="32" s="1"/>
  <c r="J93" i="32"/>
  <c r="M93" i="32" s="1"/>
  <c r="J312" i="32"/>
  <c r="M312" i="32" s="1"/>
  <c r="J245" i="32"/>
  <c r="M245" i="32" s="1"/>
  <c r="N159" i="32"/>
  <c r="S159" i="32"/>
  <c r="BE159" i="32"/>
  <c r="BF159" i="32"/>
  <c r="J581" i="32"/>
  <c r="M581" i="32" s="1"/>
  <c r="J111" i="32"/>
  <c r="M111" i="32" s="1"/>
  <c r="J287" i="32"/>
  <c r="M287" i="32" s="1"/>
  <c r="J148" i="32"/>
  <c r="M148" i="32" s="1"/>
  <c r="J452" i="32"/>
  <c r="M452" i="32" s="1"/>
  <c r="J605" i="32"/>
  <c r="M605" i="32" s="1"/>
  <c r="J535" i="32"/>
  <c r="M535" i="32" s="1"/>
  <c r="J35" i="32"/>
  <c r="M35" i="32" s="1"/>
  <c r="J391" i="32"/>
  <c r="M391" i="32" s="1"/>
  <c r="N219" i="32"/>
  <c r="S219" i="32"/>
  <c r="BE219" i="32"/>
  <c r="BF219" i="32"/>
  <c r="S54" i="32"/>
  <c r="N54" i="32"/>
  <c r="BE54" i="32"/>
  <c r="BF54" i="32"/>
  <c r="J357" i="32"/>
  <c r="M357" i="32" s="1"/>
  <c r="J518" i="32"/>
  <c r="M518" i="32" s="1"/>
  <c r="J17" i="32"/>
  <c r="M17" i="32" s="1"/>
  <c r="J172" i="32"/>
  <c r="M172" i="32" s="1"/>
  <c r="J341" i="32"/>
  <c r="M341" i="32" s="1"/>
  <c r="J107" i="32"/>
  <c r="M107" i="32" s="1"/>
  <c r="N62" i="32"/>
  <c r="S62" i="32"/>
  <c r="BE62" i="32"/>
  <c r="BF62" i="32"/>
  <c r="J491" i="32"/>
  <c r="M491" i="32" s="1"/>
  <c r="J457" i="32"/>
  <c r="M457" i="32" s="1"/>
  <c r="J257" i="32"/>
  <c r="M257" i="32" s="1"/>
  <c r="J214" i="32"/>
  <c r="M214" i="32" s="1"/>
  <c r="J448" i="32"/>
  <c r="M448" i="32" s="1"/>
  <c r="N168" i="32"/>
  <c r="S168" i="32"/>
  <c r="BE168" i="32"/>
  <c r="BF168" i="32"/>
  <c r="N432" i="32"/>
  <c r="S432" i="32"/>
  <c r="BE432" i="32"/>
  <c r="BF432" i="32"/>
  <c r="J262" i="32"/>
  <c r="M262" i="32" s="1"/>
  <c r="J166" i="32"/>
  <c r="M166" i="32" s="1"/>
  <c r="J333" i="32"/>
  <c r="M333" i="32" s="1"/>
  <c r="N192" i="32"/>
  <c r="S192" i="32"/>
  <c r="BE192" i="32"/>
  <c r="BF192" i="32"/>
  <c r="J26" i="32"/>
  <c r="M26" i="32" s="1"/>
  <c r="J576" i="32"/>
  <c r="M576" i="32" s="1"/>
  <c r="J43" i="32"/>
  <c r="M43" i="32" s="1"/>
  <c r="J398" i="32"/>
  <c r="M398" i="32" s="1"/>
  <c r="J385" i="32"/>
  <c r="M385" i="32" s="1"/>
  <c r="N151" i="32"/>
  <c r="S151" i="32"/>
  <c r="BE151" i="32"/>
  <c r="BF151" i="32"/>
  <c r="J116" i="32"/>
  <c r="M116" i="32" s="1"/>
  <c r="J613" i="32"/>
  <c r="M613" i="32" s="1"/>
  <c r="J456" i="32"/>
  <c r="M456" i="32" s="1"/>
  <c r="J585" i="32"/>
  <c r="M585" i="32" s="1"/>
  <c r="J112" i="32"/>
  <c r="M112" i="32" s="1"/>
  <c r="N242" i="32"/>
  <c r="S242" i="32"/>
  <c r="BE242" i="32"/>
  <c r="BF242" i="32"/>
  <c r="J252" i="32"/>
  <c r="M252" i="32" s="1"/>
  <c r="J607" i="32"/>
  <c r="M607" i="32" s="1"/>
  <c r="S410" i="32"/>
  <c r="N410" i="32"/>
  <c r="BE410" i="32"/>
  <c r="BF410" i="32"/>
  <c r="J549" i="32"/>
  <c r="M549" i="32" s="1"/>
  <c r="J222" i="32"/>
  <c r="M222" i="32" s="1"/>
  <c r="J455" i="32"/>
  <c r="M455" i="32" s="1"/>
  <c r="J514" i="32"/>
  <c r="M514" i="32" s="1"/>
  <c r="J529" i="32"/>
  <c r="M529" i="32" s="1"/>
  <c r="J323" i="32"/>
  <c r="M323" i="32" s="1"/>
  <c r="J311" i="32"/>
  <c r="M311" i="32" s="1"/>
  <c r="J407" i="32"/>
  <c r="M407" i="32" s="1"/>
  <c r="J283" i="32"/>
  <c r="M283" i="32" s="1"/>
  <c r="J271" i="32"/>
  <c r="M271" i="32" s="1"/>
  <c r="N306" i="32"/>
  <c r="S306" i="32"/>
  <c r="BE306" i="32"/>
  <c r="BF306" i="32"/>
  <c r="J522" i="32"/>
  <c r="M522" i="32" s="1"/>
  <c r="J98" i="32"/>
  <c r="M98" i="32" s="1"/>
  <c r="J571" i="32"/>
  <c r="M571" i="32" s="1"/>
  <c r="J538" i="32"/>
  <c r="M538" i="32" s="1"/>
  <c r="J279" i="32"/>
  <c r="M279" i="32" s="1"/>
  <c r="N88" i="32"/>
  <c r="S88" i="32"/>
  <c r="BF88" i="32"/>
  <c r="BE88" i="32"/>
  <c r="J228" i="32"/>
  <c r="M228" i="32" s="1"/>
  <c r="N442" i="32"/>
  <c r="S442" i="32"/>
  <c r="BE442" i="32"/>
  <c r="BF442" i="32"/>
  <c r="N424" i="32"/>
  <c r="S424" i="32"/>
  <c r="BF424" i="32"/>
  <c r="BE424" i="32"/>
  <c r="N120" i="32"/>
  <c r="S120" i="32"/>
  <c r="BE120" i="32"/>
  <c r="BF120" i="32"/>
  <c r="J309" i="32"/>
  <c r="M309" i="32" s="1"/>
  <c r="J75" i="32"/>
  <c r="M75" i="32" s="1"/>
  <c r="J599" i="32"/>
  <c r="M599" i="32" s="1"/>
  <c r="J417" i="32"/>
  <c r="M417" i="32" s="1"/>
  <c r="J611" i="32"/>
  <c r="M611" i="32" s="1"/>
  <c r="J444" i="32"/>
  <c r="M444" i="32" s="1"/>
  <c r="J463" i="32"/>
  <c r="M463" i="32" s="1"/>
  <c r="J59" i="32"/>
  <c r="M59" i="32" s="1"/>
  <c r="J187" i="32"/>
  <c r="M187" i="32" s="1"/>
  <c r="J68" i="32"/>
  <c r="M68" i="32" s="1"/>
  <c r="J292" i="32"/>
  <c r="M292" i="32" s="1"/>
  <c r="J317" i="32"/>
  <c r="M317" i="32" s="1"/>
  <c r="J450" i="32"/>
  <c r="M450" i="32" s="1"/>
  <c r="J49" i="32"/>
  <c r="M49" i="32" s="1"/>
  <c r="J451" i="32"/>
  <c r="M451" i="32" s="1"/>
  <c r="J363" i="32"/>
  <c r="M363" i="32" s="1"/>
  <c r="J221" i="32"/>
  <c r="M221" i="32" s="1"/>
  <c r="J517" i="32"/>
  <c r="M517" i="32" s="1"/>
  <c r="J602" i="32"/>
  <c r="M602" i="32" s="1"/>
  <c r="J182" i="32"/>
  <c r="M182" i="32" s="1"/>
  <c r="J489" i="32"/>
  <c r="M489" i="32" s="1"/>
  <c r="J238" i="32"/>
  <c r="M238" i="32" s="1"/>
  <c r="J142" i="32"/>
  <c r="M142" i="32" s="1"/>
  <c r="J326" i="32"/>
  <c r="M326" i="32" s="1"/>
  <c r="J537" i="32"/>
  <c r="M537" i="32" s="1"/>
  <c r="J273" i="32"/>
  <c r="M273" i="32" s="1"/>
  <c r="J15" i="32"/>
  <c r="M15" i="32" s="1"/>
  <c r="J411" i="32"/>
  <c r="M411" i="32" s="1"/>
  <c r="J626" i="32"/>
  <c r="M626" i="32" s="1"/>
  <c r="J561" i="32"/>
  <c r="M561" i="32" s="1"/>
  <c r="J595" i="32"/>
  <c r="M595" i="32" s="1"/>
  <c r="J291" i="32"/>
  <c r="M291" i="32" s="1"/>
  <c r="J44" i="32"/>
  <c r="M44" i="32" s="1"/>
  <c r="N14" i="32"/>
  <c r="S14" i="32"/>
  <c r="BE14" i="32"/>
  <c r="BF14" i="32"/>
  <c r="J594" i="32"/>
  <c r="M594" i="32" s="1"/>
  <c r="N504" i="32"/>
  <c r="S504" i="32"/>
  <c r="BE504" i="32"/>
  <c r="BF504" i="32"/>
  <c r="J190" i="32"/>
  <c r="M190" i="32" s="1"/>
  <c r="J78" i="32"/>
  <c r="M78" i="32" s="1"/>
  <c r="N235" i="32"/>
  <c r="S235" i="32"/>
  <c r="BE235" i="32"/>
  <c r="BF235" i="32"/>
  <c r="J473" i="32"/>
  <c r="M473" i="32" s="1"/>
  <c r="N352" i="32"/>
  <c r="S352" i="32"/>
  <c r="BE352" i="32"/>
  <c r="BF352" i="32"/>
  <c r="J113" i="32"/>
  <c r="M113" i="32" s="1"/>
  <c r="J335" i="32"/>
  <c r="M335" i="32" s="1"/>
  <c r="J439" i="32"/>
  <c r="M439" i="32" s="1"/>
  <c r="N528" i="32"/>
  <c r="S528" i="32"/>
  <c r="BE528" i="32"/>
  <c r="BF528" i="32"/>
  <c r="J274" i="32"/>
  <c r="M274" i="32" s="1"/>
  <c r="N71" i="32"/>
  <c r="S71" i="32"/>
  <c r="BF71" i="32"/>
  <c r="BE71" i="32"/>
  <c r="J389" i="32"/>
  <c r="M389" i="32" s="1"/>
  <c r="J316" i="32"/>
  <c r="M316" i="32" s="1"/>
  <c r="J164" i="32"/>
  <c r="M164" i="32" s="1"/>
  <c r="N536" i="32"/>
  <c r="S536" i="32"/>
  <c r="BE536" i="32"/>
  <c r="BF536" i="32"/>
  <c r="J373" i="32"/>
  <c r="M373" i="32" s="1"/>
  <c r="J139" i="32"/>
  <c r="M139" i="32" s="1"/>
  <c r="N184" i="32"/>
  <c r="S184" i="32"/>
  <c r="BE184" i="32"/>
  <c r="BF184" i="32"/>
  <c r="N378" i="32"/>
  <c r="S378" i="32"/>
  <c r="BE378" i="32"/>
  <c r="BF378" i="32"/>
  <c r="J69" i="32"/>
  <c r="M69" i="32" s="1"/>
  <c r="J564" i="32"/>
  <c r="M564" i="32" s="1"/>
  <c r="J300" i="32"/>
  <c r="M300" i="32" s="1"/>
  <c r="J170" i="32"/>
  <c r="M170" i="32" s="1"/>
  <c r="J83" i="32"/>
  <c r="M83" i="32" s="1"/>
  <c r="N258" i="32"/>
  <c r="S258" i="32"/>
  <c r="BE258" i="32"/>
  <c r="BF258" i="32"/>
  <c r="J250" i="32"/>
  <c r="M250" i="32" s="1"/>
  <c r="J412" i="32"/>
  <c r="M412" i="32" s="1"/>
  <c r="N175" i="32"/>
  <c r="S175" i="32"/>
  <c r="BE175" i="32"/>
  <c r="BF175" i="32"/>
  <c r="N223" i="32"/>
  <c r="S223" i="32"/>
  <c r="BF223" i="32"/>
  <c r="BE223" i="32"/>
  <c r="J376" i="32"/>
  <c r="M376" i="32" s="1"/>
  <c r="J95" i="32"/>
  <c r="M95" i="32" s="1"/>
  <c r="J206" i="32"/>
  <c r="M206" i="32" s="1"/>
  <c r="J110" i="32"/>
  <c r="M110" i="32" s="1"/>
  <c r="J550" i="32"/>
  <c r="M550" i="32" s="1"/>
  <c r="J505" i="32"/>
  <c r="M505" i="32" s="1"/>
  <c r="J196" i="32"/>
  <c r="M196" i="32" s="1"/>
  <c r="J295" i="32"/>
  <c r="M295" i="32" s="1"/>
  <c r="J123" i="32"/>
  <c r="M123" i="32" s="1"/>
  <c r="J481" i="32"/>
  <c r="M481" i="32" s="1"/>
  <c r="J186" i="32"/>
  <c r="M186" i="32" s="1"/>
  <c r="N122" i="32"/>
  <c r="S122" i="32"/>
  <c r="BE122" i="32"/>
  <c r="BF122" i="32"/>
  <c r="J477" i="32"/>
  <c r="M477" i="32" s="1"/>
  <c r="J548" i="32"/>
  <c r="M548" i="32" s="1"/>
  <c r="J315" i="32"/>
  <c r="M315" i="32" s="1"/>
  <c r="J513" i="32"/>
  <c r="M513" i="32" s="1"/>
  <c r="J209" i="32"/>
  <c r="M209" i="32" s="1"/>
  <c r="J181" i="32"/>
  <c r="M181" i="32" s="1"/>
  <c r="J137" i="32"/>
  <c r="M137" i="32" s="1"/>
  <c r="N290" i="32"/>
  <c r="S290" i="32"/>
  <c r="BF290" i="32"/>
  <c r="BE290" i="32"/>
  <c r="J213" i="32"/>
  <c r="M213" i="32" s="1"/>
  <c r="N16" i="32"/>
  <c r="S16" i="32"/>
  <c r="BE16" i="32"/>
  <c r="BF16" i="32"/>
  <c r="J459" i="32"/>
  <c r="M459" i="32" s="1"/>
  <c r="J499" i="32"/>
  <c r="M499" i="32" s="1"/>
  <c r="J423" i="32"/>
  <c r="M423" i="32" s="1"/>
  <c r="J324" i="32"/>
  <c r="M324" i="32" s="1"/>
  <c r="J403" i="32"/>
  <c r="M403" i="32" s="1"/>
  <c r="J484" i="32"/>
  <c r="M484" i="32" s="1"/>
  <c r="J414" i="32"/>
  <c r="M414" i="32" s="1"/>
  <c r="J431" i="32"/>
  <c r="M431" i="32" s="1"/>
  <c r="J248" i="32"/>
  <c r="M248" i="32" s="1"/>
  <c r="N282" i="32"/>
  <c r="S282" i="32"/>
  <c r="BE282" i="32"/>
  <c r="BF282" i="32"/>
  <c r="S191" i="32"/>
  <c r="N191" i="32"/>
  <c r="BF191" i="32"/>
  <c r="BE191" i="32"/>
  <c r="J217" i="32"/>
  <c r="M217" i="32" s="1"/>
  <c r="N480" i="32"/>
  <c r="S480" i="32"/>
  <c r="BE480" i="32"/>
  <c r="BF480" i="32"/>
  <c r="N135" i="32"/>
  <c r="S135" i="32"/>
  <c r="BE135" i="32"/>
  <c r="BF135" i="32"/>
  <c r="N453" i="32"/>
  <c r="S453" i="32"/>
  <c r="BE453" i="32"/>
  <c r="BF453" i="32"/>
  <c r="J454" i="32"/>
  <c r="M454" i="32" s="1"/>
  <c r="J92" i="32"/>
  <c r="M92" i="32" s="1"/>
  <c r="J20" i="32"/>
  <c r="M20" i="32" s="1"/>
  <c r="J479" i="32"/>
  <c r="M479" i="32" s="1"/>
  <c r="J188" i="32"/>
  <c r="M188" i="32" s="1"/>
  <c r="N136" i="32"/>
  <c r="S136" i="32"/>
  <c r="BF136" i="32"/>
  <c r="BE136" i="32"/>
  <c r="J97" i="32"/>
  <c r="M97" i="32" s="1"/>
  <c r="J575" i="32"/>
  <c r="M575" i="32" s="1"/>
  <c r="J41" i="32"/>
  <c r="M41" i="32" s="1"/>
  <c r="J567" i="32"/>
  <c r="M567" i="32" s="1"/>
  <c r="J67" i="32"/>
  <c r="M67" i="32" s="1"/>
  <c r="J509" i="32"/>
  <c r="M509" i="32" s="1"/>
  <c r="J125" i="32"/>
  <c r="M125" i="32" s="1"/>
  <c r="J66" i="32"/>
  <c r="M66" i="32" s="1"/>
  <c r="J521" i="32"/>
  <c r="M521" i="32" s="1"/>
  <c r="J270" i="32"/>
  <c r="M270" i="32" s="1"/>
  <c r="J174" i="32"/>
  <c r="M174" i="32" s="1"/>
  <c r="N152" i="32"/>
  <c r="S152" i="32"/>
  <c r="BE152" i="32"/>
  <c r="BF152" i="32"/>
  <c r="J569" i="32"/>
  <c r="M569" i="32" s="1"/>
  <c r="S386" i="32"/>
  <c r="N386" i="32"/>
  <c r="BE386" i="32"/>
  <c r="BF386" i="32"/>
  <c r="N408" i="32"/>
  <c r="S408" i="32"/>
  <c r="BF408" i="32"/>
  <c r="BE408" i="32"/>
  <c r="N558" i="32"/>
  <c r="S558" i="32"/>
  <c r="BE558" i="32"/>
  <c r="BF558" i="32"/>
  <c r="J234" i="32"/>
  <c r="M234" i="32" s="1"/>
  <c r="J472" i="32"/>
  <c r="M472" i="32" s="1"/>
  <c r="J624" i="32"/>
  <c r="M624" i="32" s="1"/>
  <c r="J625" i="32"/>
  <c r="M625" i="32" s="1"/>
  <c r="J272" i="32"/>
  <c r="M272" i="32" s="1"/>
  <c r="N414" i="32" l="1"/>
  <c r="S414" i="32"/>
  <c r="BE414" i="32"/>
  <c r="BF414" i="32"/>
  <c r="S137" i="32"/>
  <c r="N137" i="32"/>
  <c r="BE137" i="32"/>
  <c r="BF137" i="32"/>
  <c r="N295" i="32"/>
  <c r="S295" i="32"/>
  <c r="BE295" i="32"/>
  <c r="BF295" i="32"/>
  <c r="N412" i="32"/>
  <c r="S412" i="32"/>
  <c r="BE412" i="32"/>
  <c r="BF412" i="32"/>
  <c r="N83" i="32"/>
  <c r="S83" i="32"/>
  <c r="BE83" i="32"/>
  <c r="BF83" i="32"/>
  <c r="O184" i="32"/>
  <c r="P184" i="32"/>
  <c r="O536" i="32"/>
  <c r="T536" i="32" s="1"/>
  <c r="AV536" i="32" s="1"/>
  <c r="P536" i="32"/>
  <c r="O528" i="32"/>
  <c r="P528" i="32"/>
  <c r="O235" i="32"/>
  <c r="T235" i="32" s="1"/>
  <c r="AV235" i="32" s="1"/>
  <c r="P235" i="32"/>
  <c r="O504" i="32"/>
  <c r="P504" i="32"/>
  <c r="N626" i="32"/>
  <c r="S626" i="32"/>
  <c r="N489" i="32"/>
  <c r="S489" i="32"/>
  <c r="BE489" i="32"/>
  <c r="BF489" i="32"/>
  <c r="N450" i="32"/>
  <c r="S450" i="32"/>
  <c r="BE450" i="32"/>
  <c r="BF450" i="32"/>
  <c r="N611" i="32"/>
  <c r="S611" i="32"/>
  <c r="BE611" i="32"/>
  <c r="BF611" i="32"/>
  <c r="N571" i="32"/>
  <c r="S571" i="32"/>
  <c r="BE571" i="32"/>
  <c r="BF571" i="32"/>
  <c r="N311" i="32"/>
  <c r="S311" i="32"/>
  <c r="BE311" i="32"/>
  <c r="BF311" i="32"/>
  <c r="N613" i="32"/>
  <c r="S613" i="32"/>
  <c r="BE613" i="32"/>
  <c r="BF613" i="32"/>
  <c r="N26" i="32"/>
  <c r="S26" i="32"/>
  <c r="BE26" i="32"/>
  <c r="BF26" i="32"/>
  <c r="N257" i="32"/>
  <c r="S257" i="32"/>
  <c r="BE257" i="32"/>
  <c r="BF257" i="32"/>
  <c r="O62" i="32"/>
  <c r="P62" i="32"/>
  <c r="N35" i="32"/>
  <c r="S35" i="32"/>
  <c r="BE35" i="32"/>
  <c r="BF35" i="32"/>
  <c r="S93" i="32"/>
  <c r="N93" i="32"/>
  <c r="BE93" i="32"/>
  <c r="BF93" i="32"/>
  <c r="N285" i="32"/>
  <c r="S285" i="32"/>
  <c r="BE285" i="32"/>
  <c r="BF285" i="32"/>
  <c r="N627" i="32"/>
  <c r="S627" i="32"/>
  <c r="O22" i="32"/>
  <c r="P22" i="32"/>
  <c r="O386" i="32"/>
  <c r="P386" i="32"/>
  <c r="O470" i="32"/>
  <c r="P470" i="32"/>
  <c r="O114" i="32"/>
  <c r="P114" i="32"/>
  <c r="N66" i="32"/>
  <c r="S66" i="32"/>
  <c r="BF66" i="32"/>
  <c r="BE66" i="32"/>
  <c r="N174" i="32"/>
  <c r="S174" i="32"/>
  <c r="BE174" i="32"/>
  <c r="BF174" i="32"/>
  <c r="O136" i="32"/>
  <c r="P136" i="32"/>
  <c r="S217" i="32"/>
  <c r="N217" i="32"/>
  <c r="BE217" i="32"/>
  <c r="BF217" i="32"/>
  <c r="O282" i="32"/>
  <c r="P282" i="32"/>
  <c r="N499" i="32"/>
  <c r="S499" i="32"/>
  <c r="BF499" i="32"/>
  <c r="BE499" i="32"/>
  <c r="N181" i="32"/>
  <c r="S181" i="32"/>
  <c r="BE181" i="32"/>
  <c r="BF181" i="32"/>
  <c r="N186" i="32"/>
  <c r="S186" i="32"/>
  <c r="BE186" i="32"/>
  <c r="BF186" i="32"/>
  <c r="N206" i="32"/>
  <c r="S206" i="32"/>
  <c r="BE206" i="32"/>
  <c r="BF206" i="32"/>
  <c r="O223" i="32"/>
  <c r="T223" i="32" s="1"/>
  <c r="AV223" i="32" s="1"/>
  <c r="P223" i="32"/>
  <c r="S170" i="32"/>
  <c r="N170" i="32"/>
  <c r="BF170" i="32"/>
  <c r="BE170" i="32"/>
  <c r="N164" i="32"/>
  <c r="S164" i="32"/>
  <c r="BE164" i="32"/>
  <c r="BF164" i="32"/>
  <c r="O71" i="32"/>
  <c r="P71" i="32"/>
  <c r="S78" i="32"/>
  <c r="N78" i="32"/>
  <c r="BE78" i="32"/>
  <c r="BF78" i="32"/>
  <c r="N291" i="32"/>
  <c r="S291" i="32"/>
  <c r="BE291" i="32"/>
  <c r="BF291" i="32"/>
  <c r="S326" i="32"/>
  <c r="N326" i="32"/>
  <c r="BE326" i="32"/>
  <c r="BF326" i="32"/>
  <c r="N363" i="32"/>
  <c r="S363" i="32"/>
  <c r="BE363" i="32"/>
  <c r="BF363" i="32"/>
  <c r="N59" i="32"/>
  <c r="S59" i="32"/>
  <c r="BF59" i="32"/>
  <c r="BE59" i="32"/>
  <c r="S98" i="32"/>
  <c r="N98" i="32"/>
  <c r="BF98" i="32"/>
  <c r="BE98" i="32"/>
  <c r="N323" i="32"/>
  <c r="S323" i="32"/>
  <c r="BE323" i="32"/>
  <c r="BF323" i="32"/>
  <c r="N607" i="32"/>
  <c r="S607" i="32"/>
  <c r="BE607" i="32"/>
  <c r="BF607" i="32"/>
  <c r="N116" i="32"/>
  <c r="S116" i="32"/>
  <c r="BE116" i="32"/>
  <c r="BF116" i="32"/>
  <c r="N262" i="32"/>
  <c r="S262" i="32"/>
  <c r="BE262" i="32"/>
  <c r="BF262" i="32"/>
  <c r="O168" i="32"/>
  <c r="P168" i="32"/>
  <c r="N107" i="32"/>
  <c r="S107" i="32"/>
  <c r="BE107" i="32"/>
  <c r="BF107" i="32"/>
  <c r="N535" i="32"/>
  <c r="S535" i="32"/>
  <c r="BF535" i="32"/>
  <c r="BE535" i="32"/>
  <c r="N256" i="32"/>
  <c r="S256" i="32"/>
  <c r="BE256" i="32"/>
  <c r="BF256" i="32"/>
  <c r="N105" i="32"/>
  <c r="S105" i="32"/>
  <c r="BE105" i="32"/>
  <c r="BF105" i="32"/>
  <c r="N547" i="32"/>
  <c r="S547" i="32"/>
  <c r="BE547" i="32"/>
  <c r="BF547" i="32"/>
  <c r="O34" i="32"/>
  <c r="P34" i="32"/>
  <c r="N84" i="32"/>
  <c r="S84" i="32"/>
  <c r="BE84" i="32"/>
  <c r="BF84" i="32"/>
  <c r="N404" i="32"/>
  <c r="S404" i="32"/>
  <c r="BE404" i="32"/>
  <c r="BF404" i="32"/>
  <c r="O298" i="32"/>
  <c r="P298" i="32"/>
  <c r="S202" i="32"/>
  <c r="N202" i="32"/>
  <c r="BE202" i="32"/>
  <c r="BF202" i="32"/>
  <c r="S573" i="32"/>
  <c r="N573" i="32"/>
  <c r="BE573" i="32"/>
  <c r="BF573" i="32"/>
  <c r="S405" i="32"/>
  <c r="N405" i="32"/>
  <c r="BE405" i="32"/>
  <c r="BF405" i="32"/>
  <c r="N126" i="32"/>
  <c r="S126" i="32"/>
  <c r="BE126" i="32"/>
  <c r="BF126" i="32"/>
  <c r="S231" i="32"/>
  <c r="N231" i="32"/>
  <c r="BE231" i="32"/>
  <c r="BF231" i="32"/>
  <c r="S302" i="32"/>
  <c r="N302" i="32"/>
  <c r="BE302" i="32"/>
  <c r="BF302" i="32"/>
  <c r="N577" i="32"/>
  <c r="S577" i="32"/>
  <c r="BE577" i="32"/>
  <c r="BF577" i="32"/>
  <c r="N178" i="32"/>
  <c r="S178" i="32"/>
  <c r="BE178" i="32"/>
  <c r="BF178" i="32"/>
  <c r="N400" i="32"/>
  <c r="S400" i="32"/>
  <c r="BF400" i="32"/>
  <c r="BE400" i="32"/>
  <c r="N467" i="32"/>
  <c r="S467" i="32"/>
  <c r="BE467" i="32"/>
  <c r="BF467" i="32"/>
  <c r="N507" i="32"/>
  <c r="S507" i="32"/>
  <c r="BE507" i="32"/>
  <c r="BF507" i="32"/>
  <c r="N232" i="32"/>
  <c r="S232" i="32"/>
  <c r="BE232" i="32"/>
  <c r="BF232" i="32"/>
  <c r="N562" i="32"/>
  <c r="S562" i="32"/>
  <c r="BE562" i="32"/>
  <c r="BF562" i="32"/>
  <c r="N310" i="32"/>
  <c r="S310" i="32"/>
  <c r="BE310" i="32"/>
  <c r="BF310" i="32"/>
  <c r="N555" i="32"/>
  <c r="S555" i="32"/>
  <c r="BE555" i="32"/>
  <c r="BF555" i="32"/>
  <c r="N321" i="32"/>
  <c r="S321" i="32"/>
  <c r="BE321" i="32"/>
  <c r="BF321" i="32"/>
  <c r="S237" i="32"/>
  <c r="N237" i="32"/>
  <c r="BE237" i="32"/>
  <c r="BF237" i="32"/>
  <c r="N185" i="32"/>
  <c r="S185" i="32"/>
  <c r="BE185" i="32"/>
  <c r="BF185" i="32"/>
  <c r="O566" i="32"/>
  <c r="P566" i="32"/>
  <c r="S588" i="32"/>
  <c r="N588" i="32"/>
  <c r="BE588" i="32"/>
  <c r="BF588" i="32"/>
  <c r="N53" i="32"/>
  <c r="S53" i="32"/>
  <c r="BE53" i="32"/>
  <c r="BF53" i="32"/>
  <c r="N527" i="32"/>
  <c r="S527" i="32"/>
  <c r="BE527" i="32"/>
  <c r="BF527" i="32"/>
  <c r="N498" i="32"/>
  <c r="S498" i="32"/>
  <c r="BE498" i="32"/>
  <c r="BF498" i="32"/>
  <c r="S313" i="32"/>
  <c r="N313" i="32"/>
  <c r="BE313" i="32"/>
  <c r="BF313" i="32"/>
  <c r="N563" i="32"/>
  <c r="S563" i="32"/>
  <c r="BE563" i="32"/>
  <c r="BF563" i="32"/>
  <c r="N551" i="32"/>
  <c r="S551" i="32"/>
  <c r="BE551" i="32"/>
  <c r="BF551" i="32"/>
  <c r="N179" i="32"/>
  <c r="S179" i="32"/>
  <c r="BE179" i="32"/>
  <c r="BF179" i="32"/>
  <c r="S510" i="32"/>
  <c r="N510" i="32"/>
  <c r="BF510" i="32"/>
  <c r="BE510" i="32"/>
  <c r="N330" i="32"/>
  <c r="S330" i="32"/>
  <c r="BE330" i="32"/>
  <c r="BF330" i="32"/>
  <c r="N255" i="32"/>
  <c r="S255" i="32"/>
  <c r="BE255" i="32"/>
  <c r="BF255" i="32"/>
  <c r="N269" i="32"/>
  <c r="S269" i="32"/>
  <c r="BE269" i="32"/>
  <c r="BF269" i="32"/>
  <c r="N99" i="32"/>
  <c r="S99" i="32"/>
  <c r="BE99" i="32"/>
  <c r="BF99" i="32"/>
  <c r="N177" i="32"/>
  <c r="S177" i="32"/>
  <c r="BE177" i="32"/>
  <c r="BF177" i="32"/>
  <c r="N580" i="32"/>
  <c r="S580" i="32"/>
  <c r="BE580" i="32"/>
  <c r="BF580" i="32"/>
  <c r="S169" i="32"/>
  <c r="N169" i="32"/>
  <c r="BE169" i="32"/>
  <c r="BF169" i="32"/>
  <c r="N253" i="32"/>
  <c r="S253" i="32"/>
  <c r="BE253" i="32"/>
  <c r="BF253" i="32"/>
  <c r="S597" i="32"/>
  <c r="N597" i="32"/>
  <c r="BF597" i="32"/>
  <c r="BE597" i="32"/>
  <c r="N160" i="32"/>
  <c r="S160" i="32"/>
  <c r="BE160" i="32"/>
  <c r="BF160" i="32"/>
  <c r="N327" i="32"/>
  <c r="S327" i="32"/>
  <c r="BE327" i="32"/>
  <c r="BF327" i="32"/>
  <c r="S131" i="32"/>
  <c r="N131" i="32"/>
  <c r="BF131" i="32"/>
  <c r="BE131" i="32"/>
  <c r="S355" i="32"/>
  <c r="N355" i="32"/>
  <c r="BE355" i="32"/>
  <c r="BF355" i="32"/>
  <c r="S165" i="32"/>
  <c r="N165" i="32"/>
  <c r="BF165" i="32"/>
  <c r="BE165" i="32"/>
  <c r="O445" i="32"/>
  <c r="P445" i="32"/>
  <c r="O488" i="32"/>
  <c r="P488" i="32"/>
  <c r="O402" i="32"/>
  <c r="T402" i="32" s="1"/>
  <c r="AV402" i="32" s="1"/>
  <c r="P402" i="32"/>
  <c r="S464" i="32"/>
  <c r="N464" i="32"/>
  <c r="BE464" i="32"/>
  <c r="BF464" i="32"/>
  <c r="N158" i="32"/>
  <c r="S158" i="32"/>
  <c r="BE158" i="32"/>
  <c r="BF158" i="32"/>
  <c r="N578" i="32"/>
  <c r="S578" i="32"/>
  <c r="BE578" i="32"/>
  <c r="BF578" i="32"/>
  <c r="S251" i="32"/>
  <c r="N251" i="32"/>
  <c r="BE251" i="32"/>
  <c r="BF251" i="32"/>
  <c r="N328" i="32"/>
  <c r="S328" i="32"/>
  <c r="BE328" i="32"/>
  <c r="BF328" i="32"/>
  <c r="N591" i="32"/>
  <c r="S591" i="32"/>
  <c r="BE591" i="32"/>
  <c r="BF591" i="32"/>
  <c r="N465" i="32"/>
  <c r="S465" i="32"/>
  <c r="BE465" i="32"/>
  <c r="BF465" i="32"/>
  <c r="N127" i="32"/>
  <c r="S127" i="32"/>
  <c r="BE127" i="32"/>
  <c r="BF127" i="32"/>
  <c r="O215" i="32"/>
  <c r="T215" i="32" s="1"/>
  <c r="AV215" i="32" s="1"/>
  <c r="P215" i="32"/>
  <c r="O356" i="32"/>
  <c r="P356" i="32"/>
  <c r="O486" i="32"/>
  <c r="P486" i="32"/>
  <c r="S494" i="32"/>
  <c r="N494" i="32"/>
  <c r="BE494" i="32"/>
  <c r="BF494" i="32"/>
  <c r="N381" i="32"/>
  <c r="S381" i="32"/>
  <c r="BE381" i="32"/>
  <c r="BF381" i="32"/>
  <c r="O358" i="32"/>
  <c r="P358" i="32"/>
  <c r="N623" i="32"/>
  <c r="S623" i="32"/>
  <c r="N25" i="32"/>
  <c r="S25" i="32"/>
  <c r="BE25" i="32"/>
  <c r="BF25" i="32"/>
  <c r="N263" i="32"/>
  <c r="S263" i="32"/>
  <c r="BE263" i="32"/>
  <c r="BF263" i="32"/>
  <c r="N568" i="32"/>
  <c r="S568" i="32"/>
  <c r="BE568" i="32"/>
  <c r="BF568" i="32"/>
  <c r="N601" i="32"/>
  <c r="S601" i="32"/>
  <c r="BE601" i="32"/>
  <c r="BF601" i="32"/>
  <c r="N42" i="32"/>
  <c r="S42" i="32"/>
  <c r="BE42" i="32"/>
  <c r="BF42" i="32"/>
  <c r="N387" i="32"/>
  <c r="S387" i="32"/>
  <c r="BE387" i="32"/>
  <c r="BF387" i="32"/>
  <c r="O360" i="32"/>
  <c r="P360" i="32"/>
  <c r="O130" i="32"/>
  <c r="P130" i="32"/>
  <c r="N37" i="32"/>
  <c r="S37" i="32"/>
  <c r="BE37" i="32"/>
  <c r="BF37" i="32"/>
  <c r="N140" i="32"/>
  <c r="S140" i="32"/>
  <c r="BE140" i="32"/>
  <c r="BF140" i="32"/>
  <c r="N422" i="32"/>
  <c r="S422" i="32"/>
  <c r="BE422" i="32"/>
  <c r="BF422" i="32"/>
  <c r="N145" i="32"/>
  <c r="S145" i="32"/>
  <c r="BE145" i="32"/>
  <c r="BF145" i="32"/>
  <c r="N149" i="32"/>
  <c r="S149" i="32"/>
  <c r="BE149" i="32"/>
  <c r="BF149" i="32"/>
  <c r="O48" i="32"/>
  <c r="P48" i="32"/>
  <c r="N220" i="32"/>
  <c r="S220" i="32"/>
  <c r="BF220" i="32"/>
  <c r="BE220" i="32"/>
  <c r="N301" i="32"/>
  <c r="S301" i="32"/>
  <c r="BF301" i="32"/>
  <c r="BE301" i="32"/>
  <c r="O86" i="32"/>
  <c r="P86" i="32"/>
  <c r="N21" i="32"/>
  <c r="S21" i="32"/>
  <c r="BE21" i="32"/>
  <c r="BF21" i="32"/>
  <c r="N163" i="32"/>
  <c r="S163" i="32"/>
  <c r="BE163" i="32"/>
  <c r="BF163" i="32"/>
  <c r="O30" i="32"/>
  <c r="P30" i="32"/>
  <c r="N369" i="32"/>
  <c r="S369" i="32"/>
  <c r="BE369" i="32"/>
  <c r="BF369" i="32"/>
  <c r="N502" i="32"/>
  <c r="S502" i="32"/>
  <c r="BE502" i="32"/>
  <c r="BF502" i="32"/>
  <c r="O348" i="32"/>
  <c r="P348" i="32"/>
  <c r="N147" i="32"/>
  <c r="S147" i="32"/>
  <c r="BE147" i="32"/>
  <c r="BF147" i="32"/>
  <c r="N625" i="32"/>
  <c r="S625" i="32"/>
  <c r="N41" i="32"/>
  <c r="S41" i="32"/>
  <c r="BE41" i="32"/>
  <c r="BF41" i="32"/>
  <c r="N484" i="32"/>
  <c r="S484" i="32"/>
  <c r="BE484" i="32"/>
  <c r="BF484" i="32"/>
  <c r="N213" i="32"/>
  <c r="S213" i="32"/>
  <c r="BE213" i="32"/>
  <c r="BF213" i="32"/>
  <c r="N548" i="32"/>
  <c r="S548" i="32"/>
  <c r="BE548" i="32"/>
  <c r="BF548" i="32"/>
  <c r="N196" i="32"/>
  <c r="S196" i="32"/>
  <c r="BE196" i="32"/>
  <c r="BF196" i="32"/>
  <c r="S250" i="32"/>
  <c r="N250" i="32"/>
  <c r="BE250" i="32"/>
  <c r="BF250" i="32"/>
  <c r="N139" i="32"/>
  <c r="S139" i="32"/>
  <c r="BE139" i="32"/>
  <c r="BF139" i="32"/>
  <c r="N439" i="32"/>
  <c r="S439" i="32"/>
  <c r="BE439" i="32"/>
  <c r="BF439" i="32"/>
  <c r="O352" i="32"/>
  <c r="P352" i="32"/>
  <c r="S594" i="32"/>
  <c r="N594" i="32"/>
  <c r="BE594" i="32"/>
  <c r="BF594" i="32"/>
  <c r="N411" i="32"/>
  <c r="S411" i="32"/>
  <c r="BE411" i="32"/>
  <c r="BF411" i="32"/>
  <c r="S182" i="32"/>
  <c r="N182" i="32"/>
  <c r="BE182" i="32"/>
  <c r="BF182" i="32"/>
  <c r="N317" i="32"/>
  <c r="S317" i="32"/>
  <c r="BE317" i="32"/>
  <c r="BF317" i="32"/>
  <c r="N417" i="32"/>
  <c r="S417" i="32"/>
  <c r="BE417" i="32"/>
  <c r="BF417" i="32"/>
  <c r="O88" i="32"/>
  <c r="P88" i="32"/>
  <c r="N271" i="32"/>
  <c r="S271" i="32"/>
  <c r="BE271" i="32"/>
  <c r="BF271" i="32"/>
  <c r="N222" i="32"/>
  <c r="S222" i="32"/>
  <c r="BE222" i="32"/>
  <c r="BF222" i="32"/>
  <c r="N112" i="32"/>
  <c r="S112" i="32"/>
  <c r="BF112" i="32"/>
  <c r="BE112" i="32"/>
  <c r="N398" i="32"/>
  <c r="S398" i="32"/>
  <c r="BE398" i="32"/>
  <c r="BF398" i="32"/>
  <c r="N457" i="32"/>
  <c r="S457" i="32"/>
  <c r="BE457" i="32"/>
  <c r="BF457" i="32"/>
  <c r="N518" i="32"/>
  <c r="S518" i="32"/>
  <c r="BE518" i="32"/>
  <c r="BF518" i="32"/>
  <c r="N287" i="32"/>
  <c r="S287" i="32"/>
  <c r="BF287" i="32"/>
  <c r="BE287" i="32"/>
  <c r="O159" i="32"/>
  <c r="P159" i="32"/>
  <c r="N364" i="32"/>
  <c r="S364" i="32"/>
  <c r="BE364" i="32"/>
  <c r="BF364" i="32"/>
  <c r="N503" i="32"/>
  <c r="S503" i="32"/>
  <c r="BE503" i="32"/>
  <c r="BF503" i="32"/>
  <c r="O478" i="32"/>
  <c r="P478" i="32"/>
  <c r="O167" i="32"/>
  <c r="P167" i="32"/>
  <c r="N525" i="32"/>
  <c r="S525" i="32"/>
  <c r="BE525" i="32"/>
  <c r="BF525" i="32"/>
  <c r="N208" i="32"/>
  <c r="S208" i="32"/>
  <c r="BE208" i="32"/>
  <c r="BF208" i="32"/>
  <c r="N600" i="32"/>
  <c r="S600" i="32"/>
  <c r="BE600" i="32"/>
  <c r="BF600" i="32"/>
  <c r="N586" i="32"/>
  <c r="S586" i="32"/>
  <c r="BE586" i="32"/>
  <c r="BF586" i="32"/>
  <c r="N247" i="32"/>
  <c r="S247" i="32"/>
  <c r="BE247" i="32"/>
  <c r="BF247" i="32"/>
  <c r="S390" i="32"/>
  <c r="N390" i="32"/>
  <c r="BE390" i="32"/>
  <c r="BF390" i="32"/>
  <c r="O461" i="32"/>
  <c r="P461" i="32"/>
  <c r="O370" i="32"/>
  <c r="P370" i="32"/>
  <c r="N118" i="32"/>
  <c r="S118" i="32"/>
  <c r="BE118" i="32"/>
  <c r="BF118" i="32"/>
  <c r="N60" i="32"/>
  <c r="S60" i="32"/>
  <c r="BE60" i="32"/>
  <c r="BF60" i="32"/>
  <c r="N365" i="32"/>
  <c r="S365" i="32"/>
  <c r="BE365" i="32"/>
  <c r="BF365" i="32"/>
  <c r="S303" i="32"/>
  <c r="N303" i="32"/>
  <c r="BE303" i="32"/>
  <c r="BF303" i="32"/>
  <c r="O70" i="32"/>
  <c r="P70" i="32"/>
  <c r="O440" i="32"/>
  <c r="T440" i="32" s="1"/>
  <c r="AV440" i="32" s="1"/>
  <c r="P440" i="32"/>
  <c r="O520" i="32"/>
  <c r="P520" i="32"/>
  <c r="N624" i="32"/>
  <c r="S624" i="32"/>
  <c r="N92" i="32"/>
  <c r="S92" i="32"/>
  <c r="BE92" i="32"/>
  <c r="BF92" i="32"/>
  <c r="N569" i="32"/>
  <c r="S569" i="32"/>
  <c r="BE569" i="32"/>
  <c r="BF569" i="32"/>
  <c r="N509" i="32"/>
  <c r="S509" i="32"/>
  <c r="BE509" i="32"/>
  <c r="BF509" i="32"/>
  <c r="N188" i="32"/>
  <c r="S188" i="32"/>
  <c r="BE188" i="32"/>
  <c r="BF188" i="32"/>
  <c r="N248" i="32"/>
  <c r="S248" i="32"/>
  <c r="BE248" i="32"/>
  <c r="BF248" i="32"/>
  <c r="N459" i="32"/>
  <c r="S459" i="32"/>
  <c r="BF459" i="32"/>
  <c r="BE459" i="32"/>
  <c r="N477" i="32"/>
  <c r="S477" i="32"/>
  <c r="BE477" i="32"/>
  <c r="BF477" i="32"/>
  <c r="N505" i="32"/>
  <c r="S505" i="32"/>
  <c r="BE505" i="32"/>
  <c r="BF505" i="32"/>
  <c r="N300" i="32"/>
  <c r="S300" i="32"/>
  <c r="BE300" i="32"/>
  <c r="BF300" i="32"/>
  <c r="O378" i="32"/>
  <c r="P378" i="32"/>
  <c r="N316" i="32"/>
  <c r="S316" i="32"/>
  <c r="BF316" i="32"/>
  <c r="BE316" i="32"/>
  <c r="N335" i="32"/>
  <c r="S335" i="32"/>
  <c r="BE335" i="32"/>
  <c r="BF335" i="32"/>
  <c r="N190" i="32"/>
  <c r="S190" i="32"/>
  <c r="BE190" i="32"/>
  <c r="BF190" i="32"/>
  <c r="N15" i="32"/>
  <c r="S15" i="32"/>
  <c r="BE15" i="32"/>
  <c r="BF15" i="32"/>
  <c r="N602" i="32"/>
  <c r="S602" i="32"/>
  <c r="BE602" i="32"/>
  <c r="BF602" i="32"/>
  <c r="N292" i="32"/>
  <c r="S292" i="32"/>
  <c r="BF292" i="32"/>
  <c r="BE292" i="32"/>
  <c r="N599" i="32"/>
  <c r="S599" i="32"/>
  <c r="BE599" i="32"/>
  <c r="BF599" i="32"/>
  <c r="O120" i="32"/>
  <c r="P120" i="32"/>
  <c r="O442" i="32"/>
  <c r="T442" i="32" s="1"/>
  <c r="AV442" i="32" s="1"/>
  <c r="P442" i="32"/>
  <c r="N522" i="32"/>
  <c r="S522" i="32"/>
  <c r="BE522" i="32"/>
  <c r="BF522" i="32"/>
  <c r="N529" i="32"/>
  <c r="S529" i="32"/>
  <c r="BE529" i="32"/>
  <c r="BF529" i="32"/>
  <c r="N252" i="32"/>
  <c r="S252" i="32"/>
  <c r="BE252" i="32"/>
  <c r="BF252" i="32"/>
  <c r="S43" i="32"/>
  <c r="N43" i="32"/>
  <c r="BE43" i="32"/>
  <c r="BF43" i="32"/>
  <c r="O192" i="32"/>
  <c r="P192" i="32"/>
  <c r="N491" i="32"/>
  <c r="S491" i="32"/>
  <c r="BE491" i="32"/>
  <c r="BF491" i="32"/>
  <c r="S357" i="32"/>
  <c r="N357" i="32"/>
  <c r="BE357" i="32"/>
  <c r="BF357" i="32"/>
  <c r="O219" i="32"/>
  <c r="P219" i="32"/>
  <c r="N111" i="32"/>
  <c r="S111" i="32"/>
  <c r="BE111" i="32"/>
  <c r="BF111" i="32"/>
  <c r="N519" i="32"/>
  <c r="S519" i="32"/>
  <c r="BF519" i="32"/>
  <c r="BE519" i="32"/>
  <c r="N583" i="32"/>
  <c r="S583" i="32"/>
  <c r="BE583" i="32"/>
  <c r="BF583" i="32"/>
  <c r="N138" i="32"/>
  <c r="S138" i="32"/>
  <c r="BE138" i="32"/>
  <c r="BF138" i="32"/>
  <c r="N173" i="32"/>
  <c r="S173" i="32"/>
  <c r="BE173" i="32"/>
  <c r="BF173" i="32"/>
  <c r="S286" i="32"/>
  <c r="N286" i="32"/>
  <c r="BE286" i="32"/>
  <c r="BF286" i="32"/>
  <c r="O582" i="32"/>
  <c r="P582" i="32"/>
  <c r="S212" i="32"/>
  <c r="N212" i="32"/>
  <c r="BE212" i="32"/>
  <c r="BF212" i="32"/>
  <c r="N307" i="32"/>
  <c r="S307" i="32"/>
  <c r="BE307" i="32"/>
  <c r="BF307" i="32"/>
  <c r="O322" i="32"/>
  <c r="P322" i="32"/>
  <c r="N195" i="32"/>
  <c r="S195" i="32"/>
  <c r="BE195" i="32"/>
  <c r="BF195" i="32"/>
  <c r="S51" i="32"/>
  <c r="N51" i="32"/>
  <c r="BE51" i="32"/>
  <c r="BF51" i="32"/>
  <c r="S146" i="32"/>
  <c r="N146" i="32"/>
  <c r="BE146" i="32"/>
  <c r="BF146" i="32"/>
  <c r="O80" i="32"/>
  <c r="P80" i="32"/>
  <c r="N89" i="32"/>
  <c r="S89" i="32"/>
  <c r="BF89" i="32"/>
  <c r="BE89" i="32"/>
  <c r="N133" i="32"/>
  <c r="S133" i="32"/>
  <c r="BE133" i="32"/>
  <c r="BF133" i="32"/>
  <c r="N382" i="32"/>
  <c r="S382" i="32"/>
  <c r="BF382" i="32"/>
  <c r="BE382" i="32"/>
  <c r="S299" i="32"/>
  <c r="N299" i="32"/>
  <c r="BE299" i="32"/>
  <c r="BF299" i="32"/>
  <c r="N449" i="32"/>
  <c r="S449" i="32"/>
  <c r="BE449" i="32"/>
  <c r="BF449" i="32"/>
  <c r="N593" i="32"/>
  <c r="S593" i="32"/>
  <c r="BE593" i="32"/>
  <c r="BF593" i="32"/>
  <c r="N241" i="32"/>
  <c r="S241" i="32"/>
  <c r="BE241" i="32"/>
  <c r="BF241" i="32"/>
  <c r="N526" i="32"/>
  <c r="S526" i="32"/>
  <c r="BF526" i="32"/>
  <c r="BE526" i="32"/>
  <c r="N119" i="32"/>
  <c r="S119" i="32"/>
  <c r="BF119" i="32"/>
  <c r="BE119" i="32"/>
  <c r="N543" i="32"/>
  <c r="S543" i="32"/>
  <c r="BE543" i="32"/>
  <c r="BF543" i="32"/>
  <c r="S371" i="32"/>
  <c r="N371" i="32"/>
  <c r="BE371" i="32"/>
  <c r="BF371" i="32"/>
  <c r="S345" i="32"/>
  <c r="N345" i="32"/>
  <c r="BE345" i="32"/>
  <c r="BF345" i="32"/>
  <c r="O544" i="32"/>
  <c r="P544" i="32"/>
  <c r="S293" i="32"/>
  <c r="N293" i="32"/>
  <c r="BE293" i="32"/>
  <c r="BF293" i="32"/>
  <c r="N246" i="32"/>
  <c r="S246" i="32"/>
  <c r="BE246" i="32"/>
  <c r="BF246" i="32"/>
  <c r="S157" i="32"/>
  <c r="N157" i="32"/>
  <c r="BE157" i="32"/>
  <c r="BF157" i="32"/>
  <c r="N260" i="32"/>
  <c r="S260" i="32"/>
  <c r="BF260" i="32"/>
  <c r="BE260" i="32"/>
  <c r="N100" i="32"/>
  <c r="S100" i="32"/>
  <c r="BE100" i="32"/>
  <c r="BF100" i="32"/>
  <c r="S490" i="32"/>
  <c r="N490" i="32"/>
  <c r="BE490" i="32"/>
  <c r="BF490" i="32"/>
  <c r="N466" i="32"/>
  <c r="S466" i="32"/>
  <c r="BF466" i="32"/>
  <c r="BE466" i="32"/>
  <c r="N31" i="32"/>
  <c r="S31" i="32"/>
  <c r="BE31" i="32"/>
  <c r="BF31" i="32"/>
  <c r="N77" i="32"/>
  <c r="S77" i="32"/>
  <c r="BE77" i="32"/>
  <c r="BF77" i="32"/>
  <c r="N154" i="32"/>
  <c r="S154" i="32"/>
  <c r="BE154" i="32"/>
  <c r="BF154" i="32"/>
  <c r="N396" i="32"/>
  <c r="S396" i="32"/>
  <c r="BE396" i="32"/>
  <c r="BF396" i="32"/>
  <c r="N329" i="32"/>
  <c r="S329" i="32"/>
  <c r="BE329" i="32"/>
  <c r="BF329" i="32"/>
  <c r="N610" i="32"/>
  <c r="S610" i="32"/>
  <c r="BE610" i="32"/>
  <c r="BF610" i="32"/>
  <c r="N56" i="32"/>
  <c r="S56" i="32"/>
  <c r="BE56" i="32"/>
  <c r="BF56" i="32"/>
  <c r="O496" i="32"/>
  <c r="P496" i="32"/>
  <c r="N557" i="32"/>
  <c r="S557" i="32"/>
  <c r="BE557" i="32"/>
  <c r="BF557" i="32"/>
  <c r="O144" i="32"/>
  <c r="P144" i="32"/>
  <c r="N63" i="32"/>
  <c r="S63" i="32"/>
  <c r="BE63" i="32"/>
  <c r="BF63" i="32"/>
  <c r="N207" i="32"/>
  <c r="S207" i="32"/>
  <c r="BF207" i="32"/>
  <c r="BE207" i="32"/>
  <c r="S87" i="32"/>
  <c r="N87" i="32"/>
  <c r="BE87" i="32"/>
  <c r="BF87" i="32"/>
  <c r="N280" i="32"/>
  <c r="S280" i="32"/>
  <c r="BE280" i="32"/>
  <c r="BF280" i="32"/>
  <c r="O24" i="32"/>
  <c r="P24" i="32"/>
  <c r="N155" i="32"/>
  <c r="S155" i="32"/>
  <c r="BE155" i="32"/>
  <c r="BF155" i="32"/>
  <c r="N475" i="32"/>
  <c r="S475" i="32"/>
  <c r="BE475" i="32"/>
  <c r="BF475" i="32"/>
  <c r="S337" i="32"/>
  <c r="N337" i="32"/>
  <c r="BF337" i="32"/>
  <c r="BE337" i="32"/>
  <c r="N425" i="32"/>
  <c r="S425" i="32"/>
  <c r="BE425" i="32"/>
  <c r="BF425" i="32"/>
  <c r="N150" i="32"/>
  <c r="S150" i="32"/>
  <c r="BE150" i="32"/>
  <c r="BF150" i="32"/>
  <c r="N276" i="32"/>
  <c r="S276" i="32"/>
  <c r="BF276" i="32"/>
  <c r="BE276" i="32"/>
  <c r="N45" i="32"/>
  <c r="S45" i="32"/>
  <c r="BE45" i="32"/>
  <c r="BF45" i="32"/>
  <c r="N33" i="32"/>
  <c r="S33" i="32"/>
  <c r="BF33" i="32"/>
  <c r="BE33" i="32"/>
  <c r="N351" i="32"/>
  <c r="S351" i="32"/>
  <c r="BE351" i="32"/>
  <c r="BF351" i="32"/>
  <c r="N501" i="32"/>
  <c r="S501" i="32"/>
  <c r="BE501" i="32"/>
  <c r="BF501" i="32"/>
  <c r="S397" i="32"/>
  <c r="N397" i="32"/>
  <c r="BE397" i="32"/>
  <c r="BF397" i="32"/>
  <c r="N393" i="32"/>
  <c r="S393" i="32"/>
  <c r="BE393" i="32"/>
  <c r="BF393" i="32"/>
  <c r="N74" i="32"/>
  <c r="S74" i="32"/>
  <c r="BE74" i="32"/>
  <c r="BF74" i="32"/>
  <c r="S541" i="32"/>
  <c r="N541" i="32"/>
  <c r="BE541" i="32"/>
  <c r="BF541" i="32"/>
  <c r="N628" i="32"/>
  <c r="S628" i="32"/>
  <c r="N492" i="32"/>
  <c r="S492" i="32"/>
  <c r="BE492" i="32"/>
  <c r="BF492" i="32"/>
  <c r="N523" i="32"/>
  <c r="S523" i="32"/>
  <c r="BE523" i="32"/>
  <c r="BF523" i="32"/>
  <c r="O512" i="32"/>
  <c r="P512" i="32"/>
  <c r="N399" i="32"/>
  <c r="S399" i="32"/>
  <c r="BE399" i="32"/>
  <c r="BF399" i="32"/>
  <c r="N608" i="32"/>
  <c r="S608" i="32"/>
  <c r="BE608" i="32"/>
  <c r="BF608" i="32"/>
  <c r="N261" i="32"/>
  <c r="S261" i="32"/>
  <c r="BE261" i="32"/>
  <c r="BF261" i="32"/>
  <c r="N377" i="32"/>
  <c r="S377" i="32"/>
  <c r="BE377" i="32"/>
  <c r="BF377" i="32"/>
  <c r="N428" i="32"/>
  <c r="S428" i="32"/>
  <c r="BE428" i="32"/>
  <c r="BF428" i="32"/>
  <c r="N556" i="32"/>
  <c r="S556" i="32"/>
  <c r="BF556" i="32"/>
  <c r="BE556" i="32"/>
  <c r="N28" i="32"/>
  <c r="S28" i="32"/>
  <c r="BF28" i="32"/>
  <c r="BE28" i="32"/>
  <c r="N305" i="32"/>
  <c r="S305" i="32"/>
  <c r="BE305" i="32"/>
  <c r="BF305" i="32"/>
  <c r="N47" i="32"/>
  <c r="S47" i="32"/>
  <c r="BF47" i="32"/>
  <c r="BE47" i="32"/>
  <c r="S383" i="32"/>
  <c r="N383" i="32"/>
  <c r="BF383" i="32"/>
  <c r="BE383" i="32"/>
  <c r="S375" i="32"/>
  <c r="N375" i="32"/>
  <c r="BE375" i="32"/>
  <c r="BF375" i="32"/>
  <c r="N121" i="32"/>
  <c r="S121" i="32"/>
  <c r="BE121" i="32"/>
  <c r="BF121" i="32"/>
  <c r="N308" i="32"/>
  <c r="S308" i="32"/>
  <c r="BE308" i="32"/>
  <c r="BF308" i="32"/>
  <c r="S354" i="32"/>
  <c r="N354" i="32"/>
  <c r="BE354" i="32"/>
  <c r="BF354" i="32"/>
  <c r="N553" i="32"/>
  <c r="S553" i="32"/>
  <c r="BE553" i="32"/>
  <c r="BF553" i="32"/>
  <c r="N565" i="32"/>
  <c r="S565" i="32"/>
  <c r="BE565" i="32"/>
  <c r="BF565" i="32"/>
  <c r="N622" i="32"/>
  <c r="S622" i="32"/>
  <c r="N233" i="32"/>
  <c r="S233" i="32"/>
  <c r="BF233" i="32"/>
  <c r="BE233" i="32"/>
  <c r="N421" i="32"/>
  <c r="S421" i="32"/>
  <c r="BE421" i="32"/>
  <c r="BF421" i="32"/>
  <c r="N629" i="32"/>
  <c r="S629" i="32"/>
  <c r="O152" i="32"/>
  <c r="P152" i="32"/>
  <c r="N125" i="32"/>
  <c r="S125" i="32"/>
  <c r="BE125" i="32"/>
  <c r="BF125" i="32"/>
  <c r="N472" i="32"/>
  <c r="S472" i="32"/>
  <c r="BE472" i="32"/>
  <c r="BF472" i="32"/>
  <c r="N270" i="32"/>
  <c r="S270" i="32"/>
  <c r="BE270" i="32"/>
  <c r="BF270" i="32"/>
  <c r="S575" i="32"/>
  <c r="N575" i="32"/>
  <c r="BE575" i="32"/>
  <c r="BF575" i="32"/>
  <c r="N454" i="32"/>
  <c r="S454" i="32"/>
  <c r="BE454" i="32"/>
  <c r="BF454" i="32"/>
  <c r="O135" i="32"/>
  <c r="P135" i="32"/>
  <c r="N403" i="32"/>
  <c r="S403" i="32"/>
  <c r="BE403" i="32"/>
  <c r="BF403" i="32"/>
  <c r="N209" i="32"/>
  <c r="S209" i="32"/>
  <c r="BE209" i="32"/>
  <c r="BF209" i="32"/>
  <c r="N481" i="32"/>
  <c r="S481" i="32"/>
  <c r="BE481" i="32"/>
  <c r="BF481" i="32"/>
  <c r="N95" i="32"/>
  <c r="S95" i="32"/>
  <c r="BE95" i="32"/>
  <c r="BF95" i="32"/>
  <c r="N373" i="32"/>
  <c r="S373" i="32"/>
  <c r="BE373" i="32"/>
  <c r="BF373" i="32"/>
  <c r="N274" i="32"/>
  <c r="S274" i="32"/>
  <c r="BE274" i="32"/>
  <c r="BF274" i="32"/>
  <c r="N473" i="32"/>
  <c r="S473" i="32"/>
  <c r="BE473" i="32"/>
  <c r="BF473" i="32"/>
  <c r="N595" i="32"/>
  <c r="S595" i="32"/>
  <c r="BF595" i="32"/>
  <c r="BE595" i="32"/>
  <c r="N142" i="32"/>
  <c r="S142" i="32"/>
  <c r="BE142" i="32"/>
  <c r="BF142" i="32"/>
  <c r="N451" i="32"/>
  <c r="S451" i="32"/>
  <c r="BE451" i="32"/>
  <c r="BF451" i="32"/>
  <c r="S463" i="32"/>
  <c r="N463" i="32"/>
  <c r="BE463" i="32"/>
  <c r="BF463" i="32"/>
  <c r="N279" i="32"/>
  <c r="S279" i="32"/>
  <c r="BE279" i="32"/>
  <c r="BF279" i="32"/>
  <c r="N283" i="32"/>
  <c r="S283" i="32"/>
  <c r="BF283" i="32"/>
  <c r="BE283" i="32"/>
  <c r="N549" i="32"/>
  <c r="S549" i="32"/>
  <c r="BE549" i="32"/>
  <c r="BF549" i="32"/>
  <c r="N585" i="32"/>
  <c r="S585" i="32"/>
  <c r="BE585" i="32"/>
  <c r="BF585" i="32"/>
  <c r="N448" i="32"/>
  <c r="S448" i="32"/>
  <c r="BE448" i="32"/>
  <c r="BF448" i="32"/>
  <c r="N341" i="32"/>
  <c r="S341" i="32"/>
  <c r="BF341" i="32"/>
  <c r="BE341" i="32"/>
  <c r="N605" i="32"/>
  <c r="S605" i="32"/>
  <c r="BE605" i="32"/>
  <c r="BF605" i="32"/>
  <c r="N245" i="32"/>
  <c r="S245" i="32"/>
  <c r="BE245" i="32"/>
  <c r="BF245" i="32"/>
  <c r="N603" i="32"/>
  <c r="S603" i="32"/>
  <c r="BE603" i="32"/>
  <c r="BF603" i="32"/>
  <c r="N153" i="32"/>
  <c r="S153" i="32"/>
  <c r="BE153" i="32"/>
  <c r="BF153" i="32"/>
  <c r="N193" i="32"/>
  <c r="S193" i="32"/>
  <c r="BE193" i="32"/>
  <c r="BF193" i="32"/>
  <c r="O243" i="32"/>
  <c r="P243" i="32"/>
  <c r="N244" i="32"/>
  <c r="S244" i="32"/>
  <c r="BF244" i="32"/>
  <c r="BE244" i="32"/>
  <c r="N156" i="32"/>
  <c r="S156" i="32"/>
  <c r="BF156" i="32"/>
  <c r="BE156" i="32"/>
  <c r="N197" i="32"/>
  <c r="S197" i="32"/>
  <c r="BF197" i="32"/>
  <c r="BE197" i="32"/>
  <c r="N441" i="32"/>
  <c r="S441" i="32"/>
  <c r="BE441" i="32"/>
  <c r="BF441" i="32"/>
  <c r="O191" i="32"/>
  <c r="P191" i="32"/>
  <c r="O104" i="32"/>
  <c r="P104" i="32"/>
  <c r="O560" i="32"/>
  <c r="P560" i="32"/>
  <c r="O598" i="32"/>
  <c r="P598" i="32"/>
  <c r="O384" i="32"/>
  <c r="P384" i="32"/>
  <c r="O434" i="32"/>
  <c r="T434" i="32" s="1"/>
  <c r="AV434" i="32" s="1"/>
  <c r="P434" i="32"/>
  <c r="N567" i="32"/>
  <c r="S567" i="32"/>
  <c r="BE567" i="32"/>
  <c r="BF567" i="32"/>
  <c r="O453" i="32"/>
  <c r="P453" i="32"/>
  <c r="O480" i="32"/>
  <c r="P480" i="32"/>
  <c r="O558" i="32"/>
  <c r="P558" i="32"/>
  <c r="N234" i="32"/>
  <c r="S234" i="32"/>
  <c r="BE234" i="32"/>
  <c r="BF234" i="32"/>
  <c r="O408" i="32"/>
  <c r="P408" i="32"/>
  <c r="N521" i="32"/>
  <c r="S521" i="32"/>
  <c r="BE521" i="32"/>
  <c r="BF521" i="32"/>
  <c r="N97" i="32"/>
  <c r="S97" i="32"/>
  <c r="BE97" i="32"/>
  <c r="BF97" i="32"/>
  <c r="S431" i="32"/>
  <c r="N431" i="32"/>
  <c r="BE431" i="32"/>
  <c r="BF431" i="32"/>
  <c r="N513" i="32"/>
  <c r="S513" i="32"/>
  <c r="BE513" i="32"/>
  <c r="BF513" i="32"/>
  <c r="S550" i="32"/>
  <c r="N550" i="32"/>
  <c r="BE550" i="32"/>
  <c r="BF550" i="32"/>
  <c r="S564" i="32"/>
  <c r="N564" i="32"/>
  <c r="BE564" i="32"/>
  <c r="BF564" i="32"/>
  <c r="N113" i="32"/>
  <c r="S113" i="32"/>
  <c r="BE113" i="32"/>
  <c r="BF113" i="32"/>
  <c r="N273" i="32"/>
  <c r="S273" i="32"/>
  <c r="BF273" i="32"/>
  <c r="BE273" i="32"/>
  <c r="N517" i="32"/>
  <c r="S517" i="32"/>
  <c r="BE517" i="32"/>
  <c r="BF517" i="32"/>
  <c r="N68" i="32"/>
  <c r="S68" i="32"/>
  <c r="BE68" i="32"/>
  <c r="BF68" i="32"/>
  <c r="N75" i="32"/>
  <c r="S75" i="32"/>
  <c r="BE75" i="32"/>
  <c r="BF75" i="32"/>
  <c r="N538" i="32"/>
  <c r="S538" i="32"/>
  <c r="BE538" i="32"/>
  <c r="BF538" i="32"/>
  <c r="N514" i="32"/>
  <c r="S514" i="32"/>
  <c r="BE514" i="32"/>
  <c r="BF514" i="32"/>
  <c r="N576" i="32"/>
  <c r="S576" i="32"/>
  <c r="BE576" i="32"/>
  <c r="BF576" i="32"/>
  <c r="N214" i="32"/>
  <c r="S214" i="32"/>
  <c r="BE214" i="32"/>
  <c r="BF214" i="32"/>
  <c r="N391" i="32"/>
  <c r="S391" i="32"/>
  <c r="BE391" i="32"/>
  <c r="BF391" i="32"/>
  <c r="N581" i="32"/>
  <c r="S581" i="32"/>
  <c r="BE581" i="32"/>
  <c r="BF581" i="32"/>
  <c r="N76" i="32"/>
  <c r="S76" i="32"/>
  <c r="BE76" i="32"/>
  <c r="BF76" i="32"/>
  <c r="O350" i="32"/>
  <c r="P350" i="32"/>
  <c r="N542" i="32"/>
  <c r="S542" i="32"/>
  <c r="BE542" i="32"/>
  <c r="BF542" i="32"/>
  <c r="S201" i="32"/>
  <c r="N201" i="32"/>
  <c r="BE201" i="32"/>
  <c r="BF201" i="32"/>
  <c r="O143" i="32"/>
  <c r="P143" i="32"/>
  <c r="N189" i="32"/>
  <c r="S189" i="32"/>
  <c r="BE189" i="32"/>
  <c r="BF189" i="32"/>
  <c r="N239" i="32"/>
  <c r="S239" i="32"/>
  <c r="BE239" i="32"/>
  <c r="BF239" i="32"/>
  <c r="M13" i="32"/>
  <c r="B23" i="32"/>
  <c r="N458" i="32"/>
  <c r="S458" i="32"/>
  <c r="BE458" i="32"/>
  <c r="BF458" i="32"/>
  <c r="N340" i="32"/>
  <c r="S340" i="32"/>
  <c r="BE340" i="32"/>
  <c r="BF340" i="32"/>
  <c r="N194" i="32"/>
  <c r="S194" i="32"/>
  <c r="BE194" i="32"/>
  <c r="BF194" i="32"/>
  <c r="O227" i="32"/>
  <c r="P227" i="32"/>
  <c r="N395" i="32"/>
  <c r="S395" i="32"/>
  <c r="BE395" i="32"/>
  <c r="BF395" i="32"/>
  <c r="O426" i="32"/>
  <c r="P426" i="32"/>
  <c r="N429" i="32"/>
  <c r="S429" i="32"/>
  <c r="BE429" i="32"/>
  <c r="BF429" i="32"/>
  <c r="N493" i="32"/>
  <c r="S493" i="32"/>
  <c r="BE493" i="32"/>
  <c r="BF493" i="32"/>
  <c r="N353" i="32"/>
  <c r="S353" i="32"/>
  <c r="BE353" i="32"/>
  <c r="BF353" i="32"/>
  <c r="N101" i="32"/>
  <c r="S101" i="32"/>
  <c r="BE101" i="32"/>
  <c r="BF101" i="32"/>
  <c r="N297" i="32"/>
  <c r="S297" i="32"/>
  <c r="BE297" i="32"/>
  <c r="BF297" i="32"/>
  <c r="N612" i="32"/>
  <c r="S612" i="32"/>
  <c r="BF612" i="32"/>
  <c r="BE612" i="32"/>
  <c r="N546" i="32"/>
  <c r="S546" i="32"/>
  <c r="BE546" i="32"/>
  <c r="BF546" i="32"/>
  <c r="N476" i="32"/>
  <c r="S476" i="32"/>
  <c r="BE476" i="32"/>
  <c r="BF476" i="32"/>
  <c r="O342" i="32"/>
  <c r="P342" i="32"/>
  <c r="O552" i="32"/>
  <c r="P552" i="32"/>
  <c r="N277" i="32"/>
  <c r="S277" i="32"/>
  <c r="BE277" i="32"/>
  <c r="BF277" i="32"/>
  <c r="O344" i="32"/>
  <c r="P344" i="32"/>
  <c r="S267" i="32"/>
  <c r="N267" i="32"/>
  <c r="BE267" i="32"/>
  <c r="BF267" i="32"/>
  <c r="N604" i="32"/>
  <c r="S604" i="32"/>
  <c r="BE604" i="32"/>
  <c r="BF604" i="32"/>
  <c r="S318" i="32"/>
  <c r="N318" i="32"/>
  <c r="BF318" i="32"/>
  <c r="BE318" i="32"/>
  <c r="N218" i="32"/>
  <c r="S218" i="32"/>
  <c r="BE218" i="32"/>
  <c r="BF218" i="32"/>
  <c r="O176" i="32"/>
  <c r="T176" i="32" s="1"/>
  <c r="AV176" i="32" s="1"/>
  <c r="P176" i="32"/>
  <c r="N205" i="32"/>
  <c r="S205" i="32"/>
  <c r="BE205" i="32"/>
  <c r="BF205" i="32"/>
  <c r="N108" i="32"/>
  <c r="S108" i="32"/>
  <c r="BE108" i="32"/>
  <c r="BF108" i="32"/>
  <c r="N171" i="32"/>
  <c r="S171" i="32"/>
  <c r="BE171" i="32"/>
  <c r="BF171" i="32"/>
  <c r="N540" i="32"/>
  <c r="S540" i="32"/>
  <c r="BF540" i="32"/>
  <c r="BE540" i="32"/>
  <c r="N254" i="32"/>
  <c r="S254" i="32"/>
  <c r="BE254" i="32"/>
  <c r="BF254" i="32"/>
  <c r="N134" i="32"/>
  <c r="S134" i="32"/>
  <c r="BE134" i="32"/>
  <c r="BF134" i="32"/>
  <c r="N419" i="32"/>
  <c r="S419" i="32"/>
  <c r="BF419" i="32"/>
  <c r="BE419" i="32"/>
  <c r="N343" i="32"/>
  <c r="S343" i="32"/>
  <c r="BE343" i="32"/>
  <c r="BF343" i="32"/>
  <c r="S94" i="32"/>
  <c r="N94" i="32"/>
  <c r="BE94" i="32"/>
  <c r="BF94" i="32"/>
  <c r="O72" i="32"/>
  <c r="P72" i="32"/>
  <c r="O266" i="32"/>
  <c r="P266" i="32"/>
  <c r="N294" i="32"/>
  <c r="S294" i="32"/>
  <c r="BE294" i="32"/>
  <c r="BF294" i="32"/>
  <c r="N161" i="32"/>
  <c r="S161" i="32"/>
  <c r="BE161" i="32"/>
  <c r="BF161" i="32"/>
  <c r="O32" i="32"/>
  <c r="T32" i="32" s="1"/>
  <c r="AV32" i="32" s="1"/>
  <c r="P32" i="32"/>
  <c r="S590" i="32"/>
  <c r="N590" i="32"/>
  <c r="BE590" i="32"/>
  <c r="BF590" i="32"/>
  <c r="O40" i="32"/>
  <c r="T40" i="32" s="1"/>
  <c r="AV40" i="32" s="1"/>
  <c r="P40" i="32"/>
  <c r="O90" i="32"/>
  <c r="P90" i="32"/>
  <c r="N115" i="32"/>
  <c r="S115" i="32"/>
  <c r="BE115" i="32"/>
  <c r="BF115" i="32"/>
  <c r="N304" i="32"/>
  <c r="S304" i="32"/>
  <c r="BE304" i="32"/>
  <c r="BF304" i="32"/>
  <c r="S314" i="32"/>
  <c r="N314" i="32"/>
  <c r="BE314" i="32"/>
  <c r="BF314" i="32"/>
  <c r="N495" i="32"/>
  <c r="S495" i="32"/>
  <c r="BE495" i="32"/>
  <c r="BF495" i="32"/>
  <c r="N334" i="32"/>
  <c r="S334" i="32"/>
  <c r="BE334" i="32"/>
  <c r="BF334" i="32"/>
  <c r="N438" i="32"/>
  <c r="S438" i="32"/>
  <c r="BE438" i="32"/>
  <c r="BF438" i="32"/>
  <c r="N589" i="32"/>
  <c r="S589" i="32"/>
  <c r="BE589" i="32"/>
  <c r="BF589" i="32"/>
  <c r="N210" i="32"/>
  <c r="S210" i="32"/>
  <c r="BE210" i="32"/>
  <c r="BF210" i="32"/>
  <c r="O82" i="32"/>
  <c r="P82" i="32"/>
  <c r="N325" i="32"/>
  <c r="S325" i="32"/>
  <c r="BE325" i="32"/>
  <c r="BF325" i="32"/>
  <c r="N204" i="32"/>
  <c r="S204" i="32"/>
  <c r="BE204" i="32"/>
  <c r="BF204" i="32"/>
  <c r="S19" i="32"/>
  <c r="N19" i="32"/>
  <c r="BE19" i="32"/>
  <c r="BF19" i="32"/>
  <c r="O574" i="32"/>
  <c r="P574" i="32"/>
  <c r="N259" i="32"/>
  <c r="S259" i="32"/>
  <c r="BE259" i="32"/>
  <c r="BF259" i="32"/>
  <c r="N388" i="32"/>
  <c r="S388" i="32"/>
  <c r="BF388" i="32"/>
  <c r="BE388" i="32"/>
  <c r="N506" i="32"/>
  <c r="S506" i="32"/>
  <c r="BE506" i="32"/>
  <c r="BF506" i="32"/>
  <c r="S85" i="32"/>
  <c r="N85" i="32"/>
  <c r="BE85" i="32"/>
  <c r="BF85" i="32"/>
  <c r="N320" i="32"/>
  <c r="S320" i="32"/>
  <c r="BE320" i="32"/>
  <c r="BF320" i="32"/>
  <c r="N406" i="32"/>
  <c r="S406" i="32"/>
  <c r="BF406" i="32"/>
  <c r="BE406" i="32"/>
  <c r="N57" i="32"/>
  <c r="S57" i="32"/>
  <c r="BE57" i="32"/>
  <c r="BF57" i="32"/>
  <c r="N596" i="32"/>
  <c r="S596" i="32"/>
  <c r="BE596" i="32"/>
  <c r="BF596" i="32"/>
  <c r="O226" i="32"/>
  <c r="P226" i="32"/>
  <c r="N413" i="32"/>
  <c r="S413" i="32"/>
  <c r="BE413" i="32"/>
  <c r="BF413" i="32"/>
  <c r="N409" i="32"/>
  <c r="S409" i="32"/>
  <c r="BE409" i="32"/>
  <c r="BF409" i="32"/>
  <c r="N584" i="32"/>
  <c r="S584" i="32"/>
  <c r="BE584" i="32"/>
  <c r="BF584" i="32"/>
  <c r="N531" i="32"/>
  <c r="S531" i="32"/>
  <c r="BE531" i="32"/>
  <c r="BF531" i="32"/>
  <c r="O183" i="32"/>
  <c r="P183" i="32"/>
  <c r="N511" i="32"/>
  <c r="S511" i="32"/>
  <c r="BE511" i="32"/>
  <c r="BF511" i="32"/>
  <c r="N367" i="32"/>
  <c r="S367" i="32"/>
  <c r="BF367" i="32"/>
  <c r="BE367" i="32"/>
  <c r="N265" i="32"/>
  <c r="S265" i="32"/>
  <c r="BF265" i="32"/>
  <c r="BE265" i="32"/>
  <c r="N36" i="32"/>
  <c r="S36" i="32"/>
  <c r="BE36" i="32"/>
  <c r="BF36" i="32"/>
  <c r="N264" i="32"/>
  <c r="S264" i="32"/>
  <c r="BE264" i="32"/>
  <c r="BF264" i="32"/>
  <c r="N339" i="32"/>
  <c r="S339" i="32"/>
  <c r="BE339" i="32"/>
  <c r="BF339" i="32"/>
  <c r="N23" i="32"/>
  <c r="S23" i="32"/>
  <c r="BE23" i="32"/>
  <c r="BF23" i="32"/>
  <c r="N65" i="32"/>
  <c r="S65" i="32"/>
  <c r="BE65" i="32"/>
  <c r="BF65" i="32"/>
  <c r="N272" i="32"/>
  <c r="S272" i="32"/>
  <c r="BE272" i="32"/>
  <c r="BF272" i="32"/>
  <c r="N67" i="32"/>
  <c r="S67" i="32"/>
  <c r="BF67" i="32"/>
  <c r="BE67" i="32"/>
  <c r="N479" i="32"/>
  <c r="S479" i="32"/>
  <c r="BE479" i="32"/>
  <c r="BF479" i="32"/>
  <c r="S324" i="32"/>
  <c r="N324" i="32"/>
  <c r="BE324" i="32"/>
  <c r="BF324" i="32"/>
  <c r="O290" i="32"/>
  <c r="P290" i="32"/>
  <c r="N123" i="32"/>
  <c r="S123" i="32"/>
  <c r="BF123" i="32"/>
  <c r="BE123" i="32"/>
  <c r="N376" i="32"/>
  <c r="S376" i="32"/>
  <c r="BE376" i="32"/>
  <c r="BF376" i="32"/>
  <c r="O175" i="32"/>
  <c r="P175" i="32"/>
  <c r="O258" i="32"/>
  <c r="P258" i="32"/>
  <c r="S389" i="32"/>
  <c r="N389" i="32"/>
  <c r="BE389" i="32"/>
  <c r="BF389" i="32"/>
  <c r="O14" i="32"/>
  <c r="P14" i="32"/>
  <c r="N561" i="32"/>
  <c r="S561" i="32"/>
  <c r="BE561" i="32"/>
  <c r="BF561" i="32"/>
  <c r="N238" i="32"/>
  <c r="S238" i="32"/>
  <c r="BE238" i="32"/>
  <c r="BF238" i="32"/>
  <c r="N49" i="32"/>
  <c r="S49" i="32"/>
  <c r="BE49" i="32"/>
  <c r="BF49" i="32"/>
  <c r="N444" i="32"/>
  <c r="S444" i="32"/>
  <c r="BE444" i="32"/>
  <c r="BF444" i="32"/>
  <c r="N228" i="32"/>
  <c r="S228" i="32"/>
  <c r="BE228" i="32"/>
  <c r="BF228" i="32"/>
  <c r="S407" i="32"/>
  <c r="N407" i="32"/>
  <c r="BE407" i="32"/>
  <c r="BF407" i="32"/>
  <c r="S456" i="32"/>
  <c r="N456" i="32"/>
  <c r="BE456" i="32"/>
  <c r="BF456" i="32"/>
  <c r="O151" i="32"/>
  <c r="T151" i="32" s="1"/>
  <c r="AV151" i="32" s="1"/>
  <c r="P151" i="32"/>
  <c r="N333" i="32"/>
  <c r="S333" i="32"/>
  <c r="BE333" i="32"/>
  <c r="BF333" i="32"/>
  <c r="O432" i="32"/>
  <c r="P432" i="32"/>
  <c r="N172" i="32"/>
  <c r="S172" i="32"/>
  <c r="BE172" i="32"/>
  <c r="BF172" i="32"/>
  <c r="N452" i="32"/>
  <c r="S452" i="32"/>
  <c r="BE452" i="32"/>
  <c r="BF452" i="32"/>
  <c r="N312" i="32"/>
  <c r="S312" i="32"/>
  <c r="BE312" i="32"/>
  <c r="BF312" i="32"/>
  <c r="N374" i="32"/>
  <c r="S374" i="32"/>
  <c r="BE374" i="32"/>
  <c r="BF374" i="32"/>
  <c r="N103" i="32"/>
  <c r="S103" i="32"/>
  <c r="BF103" i="32"/>
  <c r="BE103" i="32"/>
  <c r="S379" i="32"/>
  <c r="N379" i="32"/>
  <c r="BE379" i="32"/>
  <c r="BF379" i="32"/>
  <c r="O102" i="32"/>
  <c r="P102" i="32"/>
  <c r="N487" i="32"/>
  <c r="S487" i="32"/>
  <c r="BF487" i="32"/>
  <c r="BE487" i="32"/>
  <c r="N281" i="32"/>
  <c r="S281" i="32"/>
  <c r="BE281" i="32"/>
  <c r="BF281" i="32"/>
  <c r="N338" i="32"/>
  <c r="S338" i="32"/>
  <c r="BE338" i="32"/>
  <c r="BF338" i="32"/>
  <c r="O394" i="32"/>
  <c r="T394" i="32" s="1"/>
  <c r="AV394" i="32" s="1"/>
  <c r="P394" i="32"/>
  <c r="N278" i="32"/>
  <c r="S278" i="32"/>
  <c r="BE278" i="32"/>
  <c r="BF278" i="32"/>
  <c r="N587" i="32"/>
  <c r="S587" i="32"/>
  <c r="BE587" i="32"/>
  <c r="BF587" i="32"/>
  <c r="S532" i="32"/>
  <c r="N532" i="32"/>
  <c r="BE532" i="32"/>
  <c r="BF532" i="32"/>
  <c r="O38" i="32"/>
  <c r="P38" i="32"/>
  <c r="N347" i="32"/>
  <c r="S347" i="32"/>
  <c r="BE347" i="32"/>
  <c r="BF347" i="32"/>
  <c r="S539" i="32"/>
  <c r="N539" i="32"/>
  <c r="BF539" i="32"/>
  <c r="BE539" i="32"/>
  <c r="O372" i="32"/>
  <c r="P372" i="32"/>
  <c r="N319" i="32"/>
  <c r="S319" i="32"/>
  <c r="BE319" i="32"/>
  <c r="BF319" i="32"/>
  <c r="N117" i="32"/>
  <c r="S117" i="32"/>
  <c r="BE117" i="32"/>
  <c r="BF117" i="32"/>
  <c r="N366" i="32"/>
  <c r="S366" i="32"/>
  <c r="BE366" i="32"/>
  <c r="BF366" i="32"/>
  <c r="N225" i="32"/>
  <c r="S225" i="32"/>
  <c r="BF225" i="32"/>
  <c r="BE225" i="32"/>
  <c r="N180" i="32"/>
  <c r="S180" i="32"/>
  <c r="BF180" i="32"/>
  <c r="BE180" i="32"/>
  <c r="O410" i="32"/>
  <c r="P410" i="32"/>
  <c r="O54" i="32"/>
  <c r="P54" i="32"/>
  <c r="O96" i="32"/>
  <c r="P96" i="32"/>
  <c r="O460" i="32"/>
  <c r="P460" i="32"/>
  <c r="N20" i="32"/>
  <c r="S20" i="32"/>
  <c r="BE20" i="32"/>
  <c r="BF20" i="32"/>
  <c r="N423" i="32"/>
  <c r="S423" i="32"/>
  <c r="BF423" i="32"/>
  <c r="BE423" i="32"/>
  <c r="O16" i="32"/>
  <c r="P16" i="32"/>
  <c r="N315" i="32"/>
  <c r="S315" i="32"/>
  <c r="BE315" i="32"/>
  <c r="BF315" i="32"/>
  <c r="O122" i="32"/>
  <c r="P122" i="32"/>
  <c r="S110" i="32"/>
  <c r="N110" i="32"/>
  <c r="BE110" i="32"/>
  <c r="BF110" i="32"/>
  <c r="N69" i="32"/>
  <c r="S69" i="32"/>
  <c r="BE69" i="32"/>
  <c r="BF69" i="32"/>
  <c r="N44" i="32"/>
  <c r="S44" i="32"/>
  <c r="BE44" i="32"/>
  <c r="BF44" i="32"/>
  <c r="N537" i="32"/>
  <c r="S537" i="32"/>
  <c r="BE537" i="32"/>
  <c r="BF537" i="32"/>
  <c r="N221" i="32"/>
  <c r="S221" i="32"/>
  <c r="BE221" i="32"/>
  <c r="BF221" i="32"/>
  <c r="N187" i="32"/>
  <c r="S187" i="32"/>
  <c r="BE187" i="32"/>
  <c r="BF187" i="32"/>
  <c r="N309" i="32"/>
  <c r="S309" i="32"/>
  <c r="BE309" i="32"/>
  <c r="BF309" i="32"/>
  <c r="O424" i="32"/>
  <c r="P424" i="32"/>
  <c r="O306" i="32"/>
  <c r="P306" i="32"/>
  <c r="N455" i="32"/>
  <c r="S455" i="32"/>
  <c r="BF455" i="32"/>
  <c r="BE455" i="32"/>
  <c r="O242" i="32"/>
  <c r="P242" i="32"/>
  <c r="N385" i="32"/>
  <c r="S385" i="32"/>
  <c r="BE385" i="32"/>
  <c r="BF385" i="32"/>
  <c r="N166" i="32"/>
  <c r="S166" i="32"/>
  <c r="BE166" i="32"/>
  <c r="BF166" i="32"/>
  <c r="N17" i="32"/>
  <c r="S17" i="32"/>
  <c r="BE17" i="32"/>
  <c r="BF17" i="32"/>
  <c r="N148" i="32"/>
  <c r="S148" i="32"/>
  <c r="BE148" i="32"/>
  <c r="BF148" i="32"/>
  <c r="N530" i="32"/>
  <c r="S530" i="32"/>
  <c r="BE530" i="32"/>
  <c r="BF530" i="32"/>
  <c r="N483" i="32"/>
  <c r="S483" i="32"/>
  <c r="BE483" i="32"/>
  <c r="BF483" i="32"/>
  <c r="N592" i="32"/>
  <c r="S592" i="32"/>
  <c r="BE592" i="32"/>
  <c r="BF592" i="32"/>
  <c r="O336" i="32"/>
  <c r="P336" i="32"/>
  <c r="S198" i="32"/>
  <c r="N198" i="32"/>
  <c r="BE198" i="32"/>
  <c r="BF198" i="32"/>
  <c r="N437" i="32"/>
  <c r="S437" i="32"/>
  <c r="BE437" i="32"/>
  <c r="BF437" i="32"/>
  <c r="N129" i="32"/>
  <c r="S129" i="32"/>
  <c r="BE129" i="32"/>
  <c r="BF129" i="32"/>
  <c r="N284" i="32"/>
  <c r="S284" i="32"/>
  <c r="BE284" i="32"/>
  <c r="BF284" i="32"/>
  <c r="N55" i="32"/>
  <c r="S55" i="32"/>
  <c r="BE55" i="32"/>
  <c r="BF55" i="32"/>
  <c r="O368" i="32"/>
  <c r="P368" i="32"/>
  <c r="N482" i="32"/>
  <c r="S482" i="32"/>
  <c r="BE482" i="32"/>
  <c r="BF482" i="32"/>
  <c r="N289" i="32"/>
  <c r="S289" i="32"/>
  <c r="BE289" i="32"/>
  <c r="BF289" i="32"/>
  <c r="N27" i="32"/>
  <c r="S27" i="32"/>
  <c r="BE27" i="32"/>
  <c r="BF27" i="32"/>
  <c r="S61" i="32"/>
  <c r="N61" i="32"/>
  <c r="BE61" i="32"/>
  <c r="BF61" i="32"/>
  <c r="N516" i="32"/>
  <c r="S516" i="32"/>
  <c r="BE516" i="32"/>
  <c r="BF516" i="32"/>
  <c r="N443" i="32"/>
  <c r="S443" i="32"/>
  <c r="BF443" i="32"/>
  <c r="BE443" i="32"/>
  <c r="N39" i="32"/>
  <c r="S39" i="32"/>
  <c r="BF39" i="32"/>
  <c r="BE39" i="32"/>
  <c r="N436" i="32"/>
  <c r="S436" i="32"/>
  <c r="BE436" i="32"/>
  <c r="BF436" i="32"/>
  <c r="N361" i="32"/>
  <c r="S361" i="32"/>
  <c r="BE361" i="32"/>
  <c r="BF361" i="32"/>
  <c r="S124" i="32"/>
  <c r="N124" i="32"/>
  <c r="BE124" i="32"/>
  <c r="BF124" i="32"/>
  <c r="N203" i="32"/>
  <c r="S203" i="32"/>
  <c r="BF203" i="32"/>
  <c r="BE203" i="32"/>
  <c r="N430" i="32"/>
  <c r="S430" i="32"/>
  <c r="BE430" i="32"/>
  <c r="BF430" i="32"/>
  <c r="N534" i="32"/>
  <c r="S534" i="32"/>
  <c r="BF534" i="32"/>
  <c r="BE534" i="32"/>
  <c r="N132" i="32"/>
  <c r="S132" i="32"/>
  <c r="BE132" i="32"/>
  <c r="BF132" i="32"/>
  <c r="N216" i="32"/>
  <c r="S216" i="32"/>
  <c r="BF216" i="32"/>
  <c r="BE216" i="32"/>
  <c r="N109" i="32"/>
  <c r="S109" i="32"/>
  <c r="BF109" i="32"/>
  <c r="BE109" i="32"/>
  <c r="N275" i="32"/>
  <c r="S275" i="32"/>
  <c r="BF275" i="32"/>
  <c r="BE275" i="32"/>
  <c r="N570" i="32"/>
  <c r="S570" i="32"/>
  <c r="BE570" i="32"/>
  <c r="BF570" i="32"/>
  <c r="N500" i="32"/>
  <c r="S500" i="32"/>
  <c r="BE500" i="32"/>
  <c r="BF500" i="32"/>
  <c r="N236" i="32"/>
  <c r="S236" i="32"/>
  <c r="BE236" i="32"/>
  <c r="BF236" i="32"/>
  <c r="N29" i="32"/>
  <c r="S29" i="32"/>
  <c r="BF29" i="32"/>
  <c r="BE29" i="32"/>
  <c r="S331" i="32"/>
  <c r="N331" i="32"/>
  <c r="BE331" i="32"/>
  <c r="BF331" i="32"/>
  <c r="N433" i="32"/>
  <c r="S433" i="32"/>
  <c r="BE433" i="32"/>
  <c r="BF433" i="32"/>
  <c r="N415" i="32"/>
  <c r="S415" i="32"/>
  <c r="BE415" i="32"/>
  <c r="BF415" i="32"/>
  <c r="N199" i="32"/>
  <c r="S199" i="32"/>
  <c r="BE199" i="32"/>
  <c r="BF199" i="32"/>
  <c r="S162" i="32"/>
  <c r="N162" i="32"/>
  <c r="BE162" i="32"/>
  <c r="BF162" i="32"/>
  <c r="N268" i="32"/>
  <c r="S268" i="32"/>
  <c r="BE268" i="32"/>
  <c r="BF268" i="32"/>
  <c r="N240" i="32"/>
  <c r="S240" i="32"/>
  <c r="BE240" i="32"/>
  <c r="BF240" i="32"/>
  <c r="O468" i="32"/>
  <c r="P468" i="32"/>
  <c r="N533" i="32"/>
  <c r="S533" i="32"/>
  <c r="BE533" i="32"/>
  <c r="BF533" i="32"/>
  <c r="N79" i="32"/>
  <c r="S79" i="32"/>
  <c r="BF79" i="32"/>
  <c r="BE79" i="32"/>
  <c r="N447" i="32"/>
  <c r="S447" i="32"/>
  <c r="BE447" i="32"/>
  <c r="BF447" i="32"/>
  <c r="O64" i="32"/>
  <c r="T64" i="32" s="1"/>
  <c r="AV64" i="32" s="1"/>
  <c r="P64" i="32"/>
  <c r="N401" i="32"/>
  <c r="S401" i="32"/>
  <c r="BE401" i="32"/>
  <c r="BF401" i="32"/>
  <c r="N249" i="32"/>
  <c r="S249" i="32"/>
  <c r="BE249" i="32"/>
  <c r="BF249" i="32"/>
  <c r="N346" i="32"/>
  <c r="S346" i="32"/>
  <c r="BE346" i="32"/>
  <c r="BF346" i="32"/>
  <c r="N362" i="32"/>
  <c r="S362" i="32"/>
  <c r="BE362" i="32"/>
  <c r="BF362" i="32"/>
  <c r="N18" i="32"/>
  <c r="S18" i="32"/>
  <c r="BE18" i="32"/>
  <c r="BF18" i="32"/>
  <c r="N579" i="32"/>
  <c r="S579" i="32"/>
  <c r="BE579" i="32"/>
  <c r="BF579" i="32"/>
  <c r="N469" i="32"/>
  <c r="S469" i="32"/>
  <c r="BF469" i="32"/>
  <c r="BE469" i="32"/>
  <c r="N230" i="32"/>
  <c r="S230" i="32"/>
  <c r="BE230" i="32"/>
  <c r="BF230" i="32"/>
  <c r="N508" i="32"/>
  <c r="S508" i="32"/>
  <c r="BF508" i="32"/>
  <c r="BE508" i="32"/>
  <c r="O418" i="32"/>
  <c r="P418" i="32"/>
  <c r="N211" i="32"/>
  <c r="S211" i="32"/>
  <c r="BE211" i="32"/>
  <c r="BF211" i="32"/>
  <c r="N50" i="32"/>
  <c r="S50" i="32"/>
  <c r="BE50" i="32"/>
  <c r="BF50" i="32"/>
  <c r="S81" i="32"/>
  <c r="N81" i="32"/>
  <c r="BE81" i="32"/>
  <c r="BF81" i="32"/>
  <c r="N52" i="32"/>
  <c r="S52" i="32"/>
  <c r="BE52" i="32"/>
  <c r="BF52" i="32"/>
  <c r="N420" i="32"/>
  <c r="S420" i="32"/>
  <c r="BF420" i="32"/>
  <c r="BE420" i="32"/>
  <c r="N435" i="32"/>
  <c r="S435" i="32"/>
  <c r="BE435" i="32"/>
  <c r="BF435" i="32"/>
  <c r="N462" i="32"/>
  <c r="S462" i="32"/>
  <c r="BE462" i="32"/>
  <c r="BF462" i="32"/>
  <c r="O392" i="32"/>
  <c r="P392" i="32"/>
  <c r="N141" i="32"/>
  <c r="S141" i="32"/>
  <c r="BE141" i="32"/>
  <c r="BF141" i="32"/>
  <c r="N380" i="32"/>
  <c r="S380" i="32"/>
  <c r="BE380" i="32"/>
  <c r="BF380" i="32"/>
  <c r="N545" i="32"/>
  <c r="S545" i="32"/>
  <c r="BE545" i="32"/>
  <c r="BF545" i="32"/>
  <c r="N91" i="32"/>
  <c r="S91" i="32"/>
  <c r="BF91" i="32"/>
  <c r="BE91" i="32"/>
  <c r="N515" i="32"/>
  <c r="S515" i="32"/>
  <c r="BF515" i="32"/>
  <c r="BE515" i="32"/>
  <c r="N359" i="32"/>
  <c r="S359" i="32"/>
  <c r="BE359" i="32"/>
  <c r="BF359" i="32"/>
  <c r="N296" i="32"/>
  <c r="S296" i="32"/>
  <c r="BE296" i="32"/>
  <c r="BF296" i="32"/>
  <c r="N474" i="32"/>
  <c r="S474" i="32"/>
  <c r="BE474" i="32"/>
  <c r="BF474" i="32"/>
  <c r="N224" i="32"/>
  <c r="S224" i="32"/>
  <c r="BE224" i="32"/>
  <c r="BF224" i="32"/>
  <c r="S446" i="32"/>
  <c r="N446" i="32"/>
  <c r="BE446" i="32"/>
  <c r="BF446" i="32"/>
  <c r="N572" i="32"/>
  <c r="S572" i="32"/>
  <c r="BE572" i="32"/>
  <c r="BF572" i="32"/>
  <c r="O128" i="32"/>
  <c r="P128" i="32"/>
  <c r="O416" i="32"/>
  <c r="T416" i="32" s="1"/>
  <c r="AV416" i="32" s="1"/>
  <c r="P416" i="32"/>
  <c r="N46" i="32"/>
  <c r="S46" i="32"/>
  <c r="BE46" i="32"/>
  <c r="BF46" i="32"/>
  <c r="N497" i="32"/>
  <c r="S497" i="32"/>
  <c r="BE497" i="32"/>
  <c r="BF497" i="32"/>
  <c r="N73" i="32"/>
  <c r="S73" i="32"/>
  <c r="BE73" i="32"/>
  <c r="BF73" i="32"/>
  <c r="N554" i="32"/>
  <c r="S554" i="32"/>
  <c r="BE554" i="32"/>
  <c r="BF554" i="32"/>
  <c r="N427" i="32"/>
  <c r="S427" i="32"/>
  <c r="BF427" i="32"/>
  <c r="BE427" i="32"/>
  <c r="N349" i="32"/>
  <c r="S349" i="32"/>
  <c r="BE349" i="32"/>
  <c r="BF349" i="32"/>
  <c r="N288" i="32"/>
  <c r="S288" i="32"/>
  <c r="BF288" i="32"/>
  <c r="BE288" i="32"/>
  <c r="O106" i="32"/>
  <c r="P106" i="32"/>
  <c r="N58" i="32"/>
  <c r="S58" i="32"/>
  <c r="BE58" i="32"/>
  <c r="BF58" i="32"/>
  <c r="N471" i="32"/>
  <c r="S471" i="32"/>
  <c r="BE471" i="32"/>
  <c r="BF471" i="32"/>
  <c r="N332" i="32"/>
  <c r="S332" i="32"/>
  <c r="BE332" i="32"/>
  <c r="BF332" i="32"/>
  <c r="N559" i="32"/>
  <c r="S559" i="32"/>
  <c r="BE559" i="32"/>
  <c r="BF559" i="32"/>
  <c r="N200" i="32"/>
  <c r="S200" i="32"/>
  <c r="BE200" i="32"/>
  <c r="BF200" i="32"/>
  <c r="N524" i="32"/>
  <c r="S524" i="32"/>
  <c r="BE524" i="32"/>
  <c r="BF524" i="32"/>
  <c r="N609" i="32"/>
  <c r="S609" i="32"/>
  <c r="BE609" i="32"/>
  <c r="BF609" i="32"/>
  <c r="N229" i="32"/>
  <c r="S229" i="32"/>
  <c r="BE229" i="32"/>
  <c r="BF229" i="32"/>
  <c r="N485" i="32"/>
  <c r="S485" i="32"/>
  <c r="BE485" i="32"/>
  <c r="BF485" i="32"/>
  <c r="O606" i="32"/>
  <c r="P606" i="32"/>
  <c r="Q536" i="32" l="1"/>
  <c r="U536" i="32" s="1"/>
  <c r="P427" i="32"/>
  <c r="O427" i="32"/>
  <c r="P296" i="32"/>
  <c r="O296" i="32"/>
  <c r="P362" i="32"/>
  <c r="O362" i="32"/>
  <c r="P415" i="32"/>
  <c r="O415" i="32"/>
  <c r="P430" i="32"/>
  <c r="O430" i="32"/>
  <c r="T460" i="32"/>
  <c r="AV460" i="32" s="1"/>
  <c r="Q460" i="32"/>
  <c r="U460" i="32" s="1"/>
  <c r="P338" i="32"/>
  <c r="O338" i="32"/>
  <c r="P333" i="32"/>
  <c r="O333" i="32"/>
  <c r="T128" i="32"/>
  <c r="AV128" i="32" s="1"/>
  <c r="Q128" i="32"/>
  <c r="U128" i="32" s="1"/>
  <c r="P474" i="32"/>
  <c r="O474" i="32"/>
  <c r="P91" i="32"/>
  <c r="O91" i="32"/>
  <c r="P508" i="32"/>
  <c r="O508" i="32"/>
  <c r="Q468" i="32"/>
  <c r="U468" i="32" s="1"/>
  <c r="T468" i="32"/>
  <c r="AV468" i="32" s="1"/>
  <c r="P199" i="32"/>
  <c r="O199" i="32"/>
  <c r="P29" i="32"/>
  <c r="O29" i="32"/>
  <c r="P275" i="32"/>
  <c r="O275" i="32"/>
  <c r="P534" i="32"/>
  <c r="O534" i="32"/>
  <c r="P361" i="32"/>
  <c r="O361" i="32"/>
  <c r="Q336" i="32"/>
  <c r="U336" i="32" s="1"/>
  <c r="T336" i="32"/>
  <c r="AV336" i="32" s="1"/>
  <c r="P148" i="32"/>
  <c r="O148" i="32"/>
  <c r="P315" i="32"/>
  <c r="O315" i="32"/>
  <c r="Q372" i="32"/>
  <c r="U372" i="32" s="1"/>
  <c r="T372" i="32"/>
  <c r="AV372" i="32" s="1"/>
  <c r="P81" i="32"/>
  <c r="O81" i="32"/>
  <c r="Q64" i="32"/>
  <c r="U64" i="32" s="1"/>
  <c r="P110" i="32"/>
  <c r="O110" i="32"/>
  <c r="P379" i="32"/>
  <c r="O379" i="32"/>
  <c r="P456" i="32"/>
  <c r="O456" i="32"/>
  <c r="P324" i="32"/>
  <c r="O324" i="32"/>
  <c r="P314" i="32"/>
  <c r="O314" i="32"/>
  <c r="P590" i="32"/>
  <c r="O590" i="32"/>
  <c r="P550" i="32"/>
  <c r="O550" i="32"/>
  <c r="P431" i="32"/>
  <c r="O431" i="32"/>
  <c r="P575" i="32"/>
  <c r="O575" i="32"/>
  <c r="P87" i="32"/>
  <c r="O87" i="32"/>
  <c r="P157" i="32"/>
  <c r="O157" i="32"/>
  <c r="P293" i="32"/>
  <c r="O293" i="32"/>
  <c r="P146" i="32"/>
  <c r="O146" i="32"/>
  <c r="P286" i="32"/>
  <c r="O286" i="32"/>
  <c r="BF624" i="32"/>
  <c r="BE624" i="32"/>
  <c r="J634" i="32" s="1"/>
  <c r="P250" i="32"/>
  <c r="O250" i="32"/>
  <c r="P251" i="32"/>
  <c r="O251" i="32"/>
  <c r="P237" i="32"/>
  <c r="O237" i="32"/>
  <c r="P231" i="32"/>
  <c r="O231" i="32"/>
  <c r="P405" i="32"/>
  <c r="O405" i="32"/>
  <c r="P202" i="32"/>
  <c r="O202" i="32"/>
  <c r="BE627" i="32"/>
  <c r="BF627" i="32"/>
  <c r="P93" i="32"/>
  <c r="O93" i="32"/>
  <c r="BF626" i="32"/>
  <c r="BE626" i="32"/>
  <c r="J636" i="32" s="1"/>
  <c r="P61" i="32"/>
  <c r="O61" i="32"/>
  <c r="P46" i="32"/>
  <c r="O46" i="32"/>
  <c r="P545" i="32"/>
  <c r="O545" i="32"/>
  <c r="P289" i="32"/>
  <c r="O289" i="32"/>
  <c r="T14" i="32"/>
  <c r="AV14" i="32" s="1"/>
  <c r="Q14" i="32"/>
  <c r="U14" i="32" s="1"/>
  <c r="P349" i="32"/>
  <c r="O349" i="32"/>
  <c r="T606" i="32"/>
  <c r="AV606" i="32" s="1"/>
  <c r="Q606" i="32"/>
  <c r="U606" i="32" s="1"/>
  <c r="P229" i="32"/>
  <c r="O229" i="32"/>
  <c r="P524" i="32"/>
  <c r="O524" i="32"/>
  <c r="P559" i="32"/>
  <c r="O559" i="32"/>
  <c r="P471" i="32"/>
  <c r="O471" i="32"/>
  <c r="P462" i="32"/>
  <c r="O462" i="32"/>
  <c r="P420" i="32"/>
  <c r="O420" i="32"/>
  <c r="P211" i="32"/>
  <c r="O211" i="32"/>
  <c r="AW64" i="32"/>
  <c r="AX64" i="32"/>
  <c r="AY64" i="32" s="1"/>
  <c r="P79" i="32"/>
  <c r="O79" i="32"/>
  <c r="Q368" i="32"/>
  <c r="U368" i="32" s="1"/>
  <c r="T368" i="32"/>
  <c r="AV368" i="32" s="1"/>
  <c r="P284" i="32"/>
  <c r="O284" i="32"/>
  <c r="P437" i="32"/>
  <c r="O437" i="32"/>
  <c r="P455" i="32"/>
  <c r="O455" i="32"/>
  <c r="P309" i="32"/>
  <c r="O309" i="32"/>
  <c r="P221" i="32"/>
  <c r="O221" i="32"/>
  <c r="P44" i="32"/>
  <c r="O44" i="32"/>
  <c r="Q16" i="32"/>
  <c r="U16" i="32" s="1"/>
  <c r="T16" i="32"/>
  <c r="AV16" i="32" s="1"/>
  <c r="P20" i="32"/>
  <c r="O20" i="32"/>
  <c r="Q410" i="32"/>
  <c r="U410" i="32" s="1"/>
  <c r="T410" i="32"/>
  <c r="AV410" i="32" s="1"/>
  <c r="P225" i="32"/>
  <c r="O225" i="32"/>
  <c r="P117" i="32"/>
  <c r="O117" i="32"/>
  <c r="Q38" i="32"/>
  <c r="U38" i="32" s="1"/>
  <c r="T38" i="32"/>
  <c r="AV38" i="32" s="1"/>
  <c r="P587" i="32"/>
  <c r="O587" i="32"/>
  <c r="P374" i="32"/>
  <c r="O374" i="32"/>
  <c r="P452" i="32"/>
  <c r="O452" i="32"/>
  <c r="P228" i="32"/>
  <c r="O228" i="32"/>
  <c r="P49" i="32"/>
  <c r="O49" i="32"/>
  <c r="P561" i="32"/>
  <c r="O561" i="32"/>
  <c r="Q258" i="32"/>
  <c r="U258" i="32" s="1"/>
  <c r="T258" i="32"/>
  <c r="AV258" i="32" s="1"/>
  <c r="P67" i="32"/>
  <c r="O67" i="32"/>
  <c r="P65" i="32"/>
  <c r="O65" i="32"/>
  <c r="P339" i="32"/>
  <c r="O339" i="32"/>
  <c r="P36" i="32"/>
  <c r="O36" i="32"/>
  <c r="P367" i="32"/>
  <c r="O367" i="32"/>
  <c r="Q226" i="32"/>
  <c r="U226" i="32" s="1"/>
  <c r="T226" i="32"/>
  <c r="AV226" i="32" s="1"/>
  <c r="P57" i="32"/>
  <c r="O57" i="32"/>
  <c r="P320" i="32"/>
  <c r="O320" i="32"/>
  <c r="P506" i="32"/>
  <c r="O506" i="32"/>
  <c r="P259" i="32"/>
  <c r="O259" i="32"/>
  <c r="Q82" i="32"/>
  <c r="U82" i="32" s="1"/>
  <c r="T82" i="32"/>
  <c r="AV82" i="32" s="1"/>
  <c r="P589" i="32"/>
  <c r="O589" i="32"/>
  <c r="P334" i="32"/>
  <c r="O334" i="32"/>
  <c r="P115" i="32"/>
  <c r="O115" i="32"/>
  <c r="P218" i="32"/>
  <c r="O218" i="32"/>
  <c r="P604" i="32"/>
  <c r="O604" i="32"/>
  <c r="Q426" i="32"/>
  <c r="U426" i="32" s="1"/>
  <c r="T426" i="32"/>
  <c r="AV426" i="32" s="1"/>
  <c r="P239" i="32"/>
  <c r="O239" i="32"/>
  <c r="Q350" i="32"/>
  <c r="U350" i="32" s="1"/>
  <c r="T350" i="32"/>
  <c r="AV350" i="32" s="1"/>
  <c r="P581" i="32"/>
  <c r="O581" i="32"/>
  <c r="P214" i="32"/>
  <c r="O214" i="32"/>
  <c r="P514" i="32"/>
  <c r="O514" i="32"/>
  <c r="P75" i="32"/>
  <c r="O75" i="32"/>
  <c r="P517" i="32"/>
  <c r="O517" i="32"/>
  <c r="P113" i="32"/>
  <c r="O113" i="32"/>
  <c r="P521" i="32"/>
  <c r="O521" i="32"/>
  <c r="Q558" i="32"/>
  <c r="U558" i="32" s="1"/>
  <c r="T558" i="32"/>
  <c r="AV558" i="32" s="1"/>
  <c r="P567" i="32"/>
  <c r="O567" i="32"/>
  <c r="Q560" i="32"/>
  <c r="U560" i="32" s="1"/>
  <c r="T560" i="32"/>
  <c r="AV560" i="32" s="1"/>
  <c r="P441" i="32"/>
  <c r="O441" i="32"/>
  <c r="P156" i="32"/>
  <c r="O156" i="32"/>
  <c r="Q135" i="32"/>
  <c r="U135" i="32" s="1"/>
  <c r="T135" i="32"/>
  <c r="AV135" i="32" s="1"/>
  <c r="P472" i="32"/>
  <c r="O472" i="32"/>
  <c r="P629" i="32"/>
  <c r="O629" i="32"/>
  <c r="P233" i="32"/>
  <c r="O233" i="32"/>
  <c r="P523" i="32"/>
  <c r="O523" i="32"/>
  <c r="Q24" i="32"/>
  <c r="U24" i="32" s="1"/>
  <c r="T24" i="32"/>
  <c r="AV24" i="32" s="1"/>
  <c r="P63" i="32"/>
  <c r="O63" i="32"/>
  <c r="T496" i="32"/>
  <c r="AV496" i="32" s="1"/>
  <c r="Q496" i="32"/>
  <c r="U496" i="32" s="1"/>
  <c r="P610" i="32"/>
  <c r="O610" i="32"/>
  <c r="P396" i="32"/>
  <c r="O396" i="32"/>
  <c r="P77" i="32"/>
  <c r="O77" i="32"/>
  <c r="P466" i="32"/>
  <c r="O466" i="32"/>
  <c r="P100" i="32"/>
  <c r="O100" i="32"/>
  <c r="P195" i="32"/>
  <c r="O195" i="32"/>
  <c r="P138" i="32"/>
  <c r="O138" i="32"/>
  <c r="P519" i="32"/>
  <c r="O519" i="32"/>
  <c r="Q192" i="32"/>
  <c r="U192" i="32" s="1"/>
  <c r="T192" i="32"/>
  <c r="AV192" i="32" s="1"/>
  <c r="P252" i="32"/>
  <c r="O252" i="32"/>
  <c r="P522" i="32"/>
  <c r="O522" i="32"/>
  <c r="P599" i="32"/>
  <c r="O599" i="32"/>
  <c r="P602" i="32"/>
  <c r="O602" i="32"/>
  <c r="P190" i="32"/>
  <c r="O190" i="32"/>
  <c r="P316" i="32"/>
  <c r="O316" i="32"/>
  <c r="P624" i="32"/>
  <c r="O624" i="32"/>
  <c r="Q370" i="32"/>
  <c r="U370" i="32" s="1"/>
  <c r="T370" i="32"/>
  <c r="AV370" i="32" s="1"/>
  <c r="T159" i="32"/>
  <c r="AV159" i="32" s="1"/>
  <c r="Q159" i="32"/>
  <c r="U159" i="32" s="1"/>
  <c r="P518" i="32"/>
  <c r="O518" i="32"/>
  <c r="P398" i="32"/>
  <c r="O398" i="32"/>
  <c r="P222" i="32"/>
  <c r="O222" i="32"/>
  <c r="P439" i="32"/>
  <c r="O439" i="32"/>
  <c r="P548" i="32"/>
  <c r="O548" i="32"/>
  <c r="P484" i="32"/>
  <c r="O484" i="32"/>
  <c r="P502" i="32"/>
  <c r="O502" i="32"/>
  <c r="T86" i="32"/>
  <c r="AV86" i="32" s="1"/>
  <c r="Q86" i="32"/>
  <c r="U86" i="32" s="1"/>
  <c r="P220" i="32"/>
  <c r="O220" i="32"/>
  <c r="T130" i="32"/>
  <c r="AV130" i="32" s="1"/>
  <c r="Q130" i="32"/>
  <c r="U130" i="32" s="1"/>
  <c r="Q486" i="32"/>
  <c r="U486" i="32" s="1"/>
  <c r="T486" i="32"/>
  <c r="AV486" i="32" s="1"/>
  <c r="P127" i="32"/>
  <c r="O127" i="32"/>
  <c r="P591" i="32"/>
  <c r="O591" i="32"/>
  <c r="P158" i="32"/>
  <c r="O158" i="32"/>
  <c r="Q488" i="32"/>
  <c r="U488" i="32" s="1"/>
  <c r="T488" i="32"/>
  <c r="AV488" i="32" s="1"/>
  <c r="Q566" i="32"/>
  <c r="U566" i="32" s="1"/>
  <c r="T566" i="32"/>
  <c r="AV566" i="32" s="1"/>
  <c r="P555" i="32"/>
  <c r="O555" i="32"/>
  <c r="P562" i="32"/>
  <c r="O562" i="32"/>
  <c r="P507" i="32"/>
  <c r="O507" i="32"/>
  <c r="P400" i="32"/>
  <c r="O400" i="32"/>
  <c r="P577" i="32"/>
  <c r="O577" i="32"/>
  <c r="P547" i="32"/>
  <c r="O547" i="32"/>
  <c r="P256" i="32"/>
  <c r="O256" i="32"/>
  <c r="P107" i="32"/>
  <c r="O107" i="32"/>
  <c r="P164" i="32"/>
  <c r="O164" i="32"/>
  <c r="T282" i="32"/>
  <c r="AV282" i="32" s="1"/>
  <c r="Q282" i="32"/>
  <c r="U282" i="32" s="1"/>
  <c r="Q114" i="32"/>
  <c r="U114" i="32" s="1"/>
  <c r="T114" i="32"/>
  <c r="AV114" i="32" s="1"/>
  <c r="P627" i="32"/>
  <c r="O627" i="32"/>
  <c r="P626" i="32"/>
  <c r="O626" i="32"/>
  <c r="AX536" i="32"/>
  <c r="AY536" i="32" s="1"/>
  <c r="AW536" i="32"/>
  <c r="Q32" i="32"/>
  <c r="U32" i="32" s="1"/>
  <c r="P94" i="32"/>
  <c r="O94" i="32"/>
  <c r="P201" i="32"/>
  <c r="O201" i="32"/>
  <c r="Q434" i="32"/>
  <c r="U434" i="32" s="1"/>
  <c r="BE622" i="32"/>
  <c r="J632" i="32" s="1"/>
  <c r="BF622" i="32"/>
  <c r="P375" i="32"/>
  <c r="O375" i="32"/>
  <c r="P541" i="32"/>
  <c r="O541" i="32"/>
  <c r="P371" i="32"/>
  <c r="O371" i="32"/>
  <c r="P212" i="32"/>
  <c r="O212" i="32"/>
  <c r="P357" i="32"/>
  <c r="O357" i="32"/>
  <c r="Q442" i="32"/>
  <c r="U442" i="32" s="1"/>
  <c r="P303" i="32"/>
  <c r="O303" i="32"/>
  <c r="P182" i="32"/>
  <c r="O182" i="32"/>
  <c r="P594" i="32"/>
  <c r="O594" i="32"/>
  <c r="P355" i="32"/>
  <c r="O355" i="32"/>
  <c r="P597" i="32"/>
  <c r="O597" i="32"/>
  <c r="P169" i="32"/>
  <c r="O169" i="32"/>
  <c r="P326" i="32"/>
  <c r="O326" i="32"/>
  <c r="P78" i="32"/>
  <c r="O78" i="32"/>
  <c r="P137" i="32"/>
  <c r="O137" i="32"/>
  <c r="P141" i="32"/>
  <c r="O141" i="32"/>
  <c r="P436" i="32"/>
  <c r="O436" i="32"/>
  <c r="Q175" i="32"/>
  <c r="U175" i="32" s="1"/>
  <c r="T175" i="32"/>
  <c r="AV175" i="32" s="1"/>
  <c r="P409" i="32"/>
  <c r="O409" i="32"/>
  <c r="P204" i="32"/>
  <c r="O204" i="32"/>
  <c r="P205" i="32"/>
  <c r="O205" i="32"/>
  <c r="P277" i="32"/>
  <c r="O277" i="32"/>
  <c r="P493" i="32"/>
  <c r="O493" i="32"/>
  <c r="P458" i="32"/>
  <c r="O458" i="32"/>
  <c r="Q480" i="32"/>
  <c r="U480" i="32" s="1"/>
  <c r="T480" i="32"/>
  <c r="AV480" i="32" s="1"/>
  <c r="Q104" i="32"/>
  <c r="U104" i="32" s="1"/>
  <c r="T104" i="32"/>
  <c r="AV104" i="32" s="1"/>
  <c r="P193" i="32"/>
  <c r="O193" i="32"/>
  <c r="P605" i="32"/>
  <c r="O605" i="32"/>
  <c r="P279" i="32"/>
  <c r="O279" i="32"/>
  <c r="P595" i="32"/>
  <c r="O595" i="32"/>
  <c r="P95" i="32"/>
  <c r="O95" i="32"/>
  <c r="P308" i="32"/>
  <c r="O308" i="32"/>
  <c r="P47" i="32"/>
  <c r="O47" i="32"/>
  <c r="P428" i="32"/>
  <c r="O428" i="32"/>
  <c r="P33" i="32"/>
  <c r="O33" i="32"/>
  <c r="T144" i="32"/>
  <c r="AV144" i="32" s="1"/>
  <c r="Q144" i="32"/>
  <c r="U144" i="32" s="1"/>
  <c r="Q544" i="32"/>
  <c r="U544" i="32" s="1"/>
  <c r="T544" i="32"/>
  <c r="AV544" i="32" s="1"/>
  <c r="P119" i="32"/>
  <c r="O119" i="32"/>
  <c r="P241" i="32"/>
  <c r="O241" i="32"/>
  <c r="P449" i="32"/>
  <c r="O449" i="32"/>
  <c r="P382" i="32"/>
  <c r="O382" i="32"/>
  <c r="P89" i="32"/>
  <c r="O89" i="32"/>
  <c r="Q322" i="32"/>
  <c r="U322" i="32" s="1"/>
  <c r="T322" i="32"/>
  <c r="AV322" i="32" s="1"/>
  <c r="AX442" i="32"/>
  <c r="AY442" i="32" s="1"/>
  <c r="AW442" i="32"/>
  <c r="Q378" i="32"/>
  <c r="U378" i="32" s="1"/>
  <c r="T378" i="32"/>
  <c r="AV378" i="32" s="1"/>
  <c r="P505" i="32"/>
  <c r="O505" i="32"/>
  <c r="P459" i="32"/>
  <c r="O459" i="32"/>
  <c r="P188" i="32"/>
  <c r="O188" i="32"/>
  <c r="P569" i="32"/>
  <c r="O569" i="32"/>
  <c r="Q520" i="32"/>
  <c r="U520" i="32" s="1"/>
  <c r="T520" i="32"/>
  <c r="AV520" i="32" s="1"/>
  <c r="P60" i="32"/>
  <c r="O60" i="32"/>
  <c r="Q461" i="32"/>
  <c r="U461" i="32" s="1"/>
  <c r="T461" i="32"/>
  <c r="AV461" i="32" s="1"/>
  <c r="P247" i="32"/>
  <c r="O247" i="32"/>
  <c r="P600" i="32"/>
  <c r="O600" i="32"/>
  <c r="P525" i="32"/>
  <c r="O525" i="32"/>
  <c r="P503" i="32"/>
  <c r="O503" i="32"/>
  <c r="P417" i="32"/>
  <c r="O417" i="32"/>
  <c r="P147" i="32"/>
  <c r="O147" i="32"/>
  <c r="P163" i="32"/>
  <c r="O163" i="32"/>
  <c r="Q48" i="32"/>
  <c r="U48" i="32" s="1"/>
  <c r="T48" i="32"/>
  <c r="AV48" i="32" s="1"/>
  <c r="P145" i="32"/>
  <c r="O145" i="32"/>
  <c r="P140" i="32"/>
  <c r="O140" i="32"/>
  <c r="T360" i="32"/>
  <c r="AV360" i="32" s="1"/>
  <c r="Q360" i="32"/>
  <c r="U360" i="32" s="1"/>
  <c r="P42" i="32"/>
  <c r="O42" i="32"/>
  <c r="P568" i="32"/>
  <c r="O568" i="32"/>
  <c r="P25" i="32"/>
  <c r="O25" i="32"/>
  <c r="P381" i="32"/>
  <c r="O381" i="32"/>
  <c r="Q356" i="32"/>
  <c r="U356" i="32" s="1"/>
  <c r="T356" i="32"/>
  <c r="AV356" i="32" s="1"/>
  <c r="Q445" i="32"/>
  <c r="U445" i="32" s="1"/>
  <c r="T445" i="32"/>
  <c r="AV445" i="32" s="1"/>
  <c r="P327" i="32"/>
  <c r="O327" i="32"/>
  <c r="P177" i="32"/>
  <c r="O177" i="32"/>
  <c r="P269" i="32"/>
  <c r="O269" i="32"/>
  <c r="P330" i="32"/>
  <c r="O330" i="32"/>
  <c r="P179" i="32"/>
  <c r="O179" i="32"/>
  <c r="P563" i="32"/>
  <c r="O563" i="32"/>
  <c r="P498" i="32"/>
  <c r="O498" i="32"/>
  <c r="P53" i="32"/>
  <c r="O53" i="32"/>
  <c r="T298" i="32"/>
  <c r="AV298" i="32" s="1"/>
  <c r="Q298" i="32"/>
  <c r="U298" i="32" s="1"/>
  <c r="P84" i="32"/>
  <c r="O84" i="32"/>
  <c r="T168" i="32"/>
  <c r="AV168" i="32" s="1"/>
  <c r="Q168" i="32"/>
  <c r="U168" i="32" s="1"/>
  <c r="P116" i="32"/>
  <c r="O116" i="32"/>
  <c r="P323" i="32"/>
  <c r="O323" i="32"/>
  <c r="P59" i="32"/>
  <c r="O59" i="32"/>
  <c r="P206" i="32"/>
  <c r="O206" i="32"/>
  <c r="P181" i="32"/>
  <c r="O181" i="32"/>
  <c r="P174" i="32"/>
  <c r="O174" i="32"/>
  <c r="Q470" i="32"/>
  <c r="U470" i="32" s="1"/>
  <c r="T470" i="32"/>
  <c r="AV470" i="32" s="1"/>
  <c r="P257" i="32"/>
  <c r="O257" i="32"/>
  <c r="P613" i="32"/>
  <c r="O613" i="32"/>
  <c r="P571" i="32"/>
  <c r="O571" i="32"/>
  <c r="P450" i="32"/>
  <c r="O450" i="32"/>
  <c r="Q504" i="32"/>
  <c r="U504" i="32" s="1"/>
  <c r="T504" i="32"/>
  <c r="AV504" i="32" s="1"/>
  <c r="T184" i="32"/>
  <c r="AV184" i="32" s="1"/>
  <c r="Q184" i="32"/>
  <c r="U184" i="32" s="1"/>
  <c r="P412" i="32"/>
  <c r="O412" i="32"/>
  <c r="P162" i="32"/>
  <c r="O162" i="32"/>
  <c r="P124" i="32"/>
  <c r="O124" i="32"/>
  <c r="Q418" i="32"/>
  <c r="U418" i="32" s="1"/>
  <c r="T418" i="32"/>
  <c r="AV418" i="32" s="1"/>
  <c r="P132" i="32"/>
  <c r="O132" i="32"/>
  <c r="P443" i="32"/>
  <c r="O443" i="32"/>
  <c r="P530" i="32"/>
  <c r="O530" i="32"/>
  <c r="P17" i="32"/>
  <c r="O17" i="32"/>
  <c r="P123" i="32"/>
  <c r="O123" i="32"/>
  <c r="Q574" i="32"/>
  <c r="U574" i="32" s="1"/>
  <c r="T574" i="32"/>
  <c r="AV574" i="32" s="1"/>
  <c r="P294" i="32"/>
  <c r="O294" i="32"/>
  <c r="P171" i="32"/>
  <c r="O171" i="32"/>
  <c r="P476" i="32"/>
  <c r="O476" i="32"/>
  <c r="P101" i="32"/>
  <c r="O101" i="32"/>
  <c r="T408" i="32"/>
  <c r="AV408" i="32" s="1"/>
  <c r="Q408" i="32"/>
  <c r="U408" i="32" s="1"/>
  <c r="AX434" i="32"/>
  <c r="AY434" i="32" s="1"/>
  <c r="AW434" i="32"/>
  <c r="P603" i="32"/>
  <c r="O603" i="32"/>
  <c r="P448" i="32"/>
  <c r="O448" i="32"/>
  <c r="P549" i="32"/>
  <c r="O549" i="32"/>
  <c r="P451" i="32"/>
  <c r="O451" i="32"/>
  <c r="P274" i="32"/>
  <c r="O274" i="32"/>
  <c r="P209" i="32"/>
  <c r="O209" i="32"/>
  <c r="P622" i="32"/>
  <c r="O622" i="32"/>
  <c r="P553" i="32"/>
  <c r="O553" i="32"/>
  <c r="P28" i="32"/>
  <c r="O28" i="32"/>
  <c r="P261" i="32"/>
  <c r="O261" i="32"/>
  <c r="P399" i="32"/>
  <c r="O399" i="32"/>
  <c r="P393" i="32"/>
  <c r="O393" i="32"/>
  <c r="P501" i="32"/>
  <c r="O501" i="32"/>
  <c r="P276" i="32"/>
  <c r="O276" i="32"/>
  <c r="P425" i="32"/>
  <c r="O425" i="32"/>
  <c r="P475" i="32"/>
  <c r="O475" i="32"/>
  <c r="Q416" i="32"/>
  <c r="U416" i="32" s="1"/>
  <c r="P198" i="32"/>
  <c r="O198" i="32"/>
  <c r="P532" i="32"/>
  <c r="O532" i="32"/>
  <c r="Q151" i="32"/>
  <c r="U151" i="32" s="1"/>
  <c r="P407" i="32"/>
  <c r="O407" i="32"/>
  <c r="P85" i="32"/>
  <c r="O85" i="32"/>
  <c r="Q40" i="32"/>
  <c r="U40" i="32" s="1"/>
  <c r="Q176" i="32"/>
  <c r="U176" i="32" s="1"/>
  <c r="P318" i="32"/>
  <c r="O318" i="32"/>
  <c r="P267" i="32"/>
  <c r="O267" i="32"/>
  <c r="P564" i="32"/>
  <c r="O564" i="32"/>
  <c r="P490" i="32"/>
  <c r="O490" i="32"/>
  <c r="P51" i="32"/>
  <c r="O51" i="32"/>
  <c r="P43" i="32"/>
  <c r="O43" i="32"/>
  <c r="Q440" i="32"/>
  <c r="U440" i="32" s="1"/>
  <c r="BF623" i="32"/>
  <c r="BE623" i="32"/>
  <c r="J633" i="32" s="1"/>
  <c r="Q215" i="32"/>
  <c r="U215" i="32" s="1"/>
  <c r="P464" i="32"/>
  <c r="O464" i="32"/>
  <c r="P302" i="32"/>
  <c r="O302" i="32"/>
  <c r="P573" i="32"/>
  <c r="O573" i="32"/>
  <c r="P170" i="32"/>
  <c r="O170" i="32"/>
  <c r="P217" i="32"/>
  <c r="O217" i="32"/>
  <c r="Q235" i="32"/>
  <c r="U235" i="32" s="1"/>
  <c r="P73" i="32"/>
  <c r="O73" i="32"/>
  <c r="P515" i="32"/>
  <c r="O515" i="32"/>
  <c r="P579" i="32"/>
  <c r="O579" i="32"/>
  <c r="P570" i="32"/>
  <c r="O570" i="32"/>
  <c r="Q122" i="32"/>
  <c r="U122" i="32" s="1"/>
  <c r="T122" i="32"/>
  <c r="AV122" i="32" s="1"/>
  <c r="AW32" i="32"/>
  <c r="AX32" i="32"/>
  <c r="AY32" i="32" s="1"/>
  <c r="P254" i="32"/>
  <c r="O254" i="32"/>
  <c r="P194" i="32"/>
  <c r="O194" i="32"/>
  <c r="P609" i="32"/>
  <c r="O609" i="32"/>
  <c r="P200" i="32"/>
  <c r="O200" i="32"/>
  <c r="P332" i="32"/>
  <c r="O332" i="32"/>
  <c r="P58" i="32"/>
  <c r="O58" i="32"/>
  <c r="Q392" i="32"/>
  <c r="U392" i="32" s="1"/>
  <c r="T392" i="32"/>
  <c r="AV392" i="32" s="1"/>
  <c r="P52" i="32"/>
  <c r="O52" i="32"/>
  <c r="P533" i="32"/>
  <c r="O533" i="32"/>
  <c r="P55" i="32"/>
  <c r="O55" i="32"/>
  <c r="P129" i="32"/>
  <c r="O129" i="32"/>
  <c r="T242" i="32"/>
  <c r="AV242" i="32" s="1"/>
  <c r="Q242" i="32"/>
  <c r="U242" i="32" s="1"/>
  <c r="P187" i="32"/>
  <c r="O187" i="32"/>
  <c r="P537" i="32"/>
  <c r="O537" i="32"/>
  <c r="P69" i="32"/>
  <c r="O69" i="32"/>
  <c r="P423" i="32"/>
  <c r="O423" i="32"/>
  <c r="P180" i="32"/>
  <c r="O180" i="32"/>
  <c r="P319" i="32"/>
  <c r="O319" i="32"/>
  <c r="Q102" i="32"/>
  <c r="U102" i="32" s="1"/>
  <c r="T102" i="32"/>
  <c r="AV102" i="32" s="1"/>
  <c r="P103" i="32"/>
  <c r="O103" i="32"/>
  <c r="P312" i="32"/>
  <c r="O312" i="32"/>
  <c r="P172" i="32"/>
  <c r="O172" i="32"/>
  <c r="AW151" i="32"/>
  <c r="AX151" i="32"/>
  <c r="AY151" i="32" s="1"/>
  <c r="P444" i="32"/>
  <c r="O444" i="32"/>
  <c r="P238" i="32"/>
  <c r="O238" i="32"/>
  <c r="T290" i="32"/>
  <c r="AV290" i="32" s="1"/>
  <c r="Q290" i="32"/>
  <c r="U290" i="32" s="1"/>
  <c r="P479" i="32"/>
  <c r="O479" i="32"/>
  <c r="P272" i="32"/>
  <c r="O272" i="32"/>
  <c r="P23" i="32"/>
  <c r="O23" i="32"/>
  <c r="P264" i="32"/>
  <c r="O264" i="32"/>
  <c r="P265" i="32"/>
  <c r="O265" i="32"/>
  <c r="P511" i="32"/>
  <c r="O511" i="32"/>
  <c r="P596" i="32"/>
  <c r="O596" i="32"/>
  <c r="P406" i="32"/>
  <c r="O406" i="32"/>
  <c r="P388" i="32"/>
  <c r="O388" i="32"/>
  <c r="P210" i="32"/>
  <c r="O210" i="32"/>
  <c r="P438" i="32"/>
  <c r="O438" i="32"/>
  <c r="P495" i="32"/>
  <c r="O495" i="32"/>
  <c r="P304" i="32"/>
  <c r="O304" i="32"/>
  <c r="AX40" i="32"/>
  <c r="AY40" i="32" s="1"/>
  <c r="AW40" i="32"/>
  <c r="Q266" i="32"/>
  <c r="U266" i="32" s="1"/>
  <c r="T266" i="32"/>
  <c r="AV266" i="32" s="1"/>
  <c r="AW176" i="32"/>
  <c r="AX176" i="32"/>
  <c r="AY176" i="32" s="1"/>
  <c r="T552" i="32"/>
  <c r="AV552" i="32" s="1"/>
  <c r="Q552" i="32"/>
  <c r="U552" i="32" s="1"/>
  <c r="P395" i="32"/>
  <c r="O395" i="32"/>
  <c r="N13" i="32"/>
  <c r="S13" i="32"/>
  <c r="BE13" i="32"/>
  <c r="B26" i="32"/>
  <c r="BF13" i="32"/>
  <c r="P189" i="32"/>
  <c r="O189" i="32"/>
  <c r="P76" i="32"/>
  <c r="O76" i="32"/>
  <c r="P391" i="32"/>
  <c r="O391" i="32"/>
  <c r="P576" i="32"/>
  <c r="O576" i="32"/>
  <c r="P538" i="32"/>
  <c r="O538" i="32"/>
  <c r="P68" i="32"/>
  <c r="O68" i="32"/>
  <c r="P273" i="32"/>
  <c r="O273" i="32"/>
  <c r="P513" i="32"/>
  <c r="O513" i="32"/>
  <c r="P97" i="32"/>
  <c r="O97" i="32"/>
  <c r="Q453" i="32"/>
  <c r="U453" i="32" s="1"/>
  <c r="T453" i="32"/>
  <c r="AV453" i="32" s="1"/>
  <c r="T384" i="32"/>
  <c r="AV384" i="32" s="1"/>
  <c r="Q384" i="32"/>
  <c r="U384" i="32" s="1"/>
  <c r="T191" i="32"/>
  <c r="AV191" i="32" s="1"/>
  <c r="Q191" i="32"/>
  <c r="U191" i="32" s="1"/>
  <c r="P197" i="32"/>
  <c r="O197" i="32"/>
  <c r="P244" i="32"/>
  <c r="O244" i="32"/>
  <c r="P454" i="32"/>
  <c r="O454" i="32"/>
  <c r="P270" i="32"/>
  <c r="O270" i="32"/>
  <c r="P125" i="32"/>
  <c r="O125" i="32"/>
  <c r="P421" i="32"/>
  <c r="O421" i="32"/>
  <c r="Q512" i="32"/>
  <c r="U512" i="32" s="1"/>
  <c r="T512" i="32"/>
  <c r="AV512" i="32" s="1"/>
  <c r="P492" i="32"/>
  <c r="O492" i="32"/>
  <c r="P280" i="32"/>
  <c r="O280" i="32"/>
  <c r="P207" i="32"/>
  <c r="O207" i="32"/>
  <c r="P56" i="32"/>
  <c r="O56" i="32"/>
  <c r="P329" i="32"/>
  <c r="O329" i="32"/>
  <c r="P154" i="32"/>
  <c r="O154" i="32"/>
  <c r="P31" i="32"/>
  <c r="O31" i="32"/>
  <c r="P260" i="32"/>
  <c r="O260" i="32"/>
  <c r="P246" i="32"/>
  <c r="O246" i="32"/>
  <c r="Q80" i="32"/>
  <c r="U80" i="32" s="1"/>
  <c r="T80" i="32"/>
  <c r="AV80" i="32" s="1"/>
  <c r="T582" i="32"/>
  <c r="AV582" i="32" s="1"/>
  <c r="Q582" i="32"/>
  <c r="U582" i="32" s="1"/>
  <c r="P173" i="32"/>
  <c r="O173" i="32"/>
  <c r="P583" i="32"/>
  <c r="O583" i="32"/>
  <c r="P111" i="32"/>
  <c r="O111" i="32"/>
  <c r="P529" i="32"/>
  <c r="O529" i="32"/>
  <c r="Q120" i="32"/>
  <c r="U120" i="32" s="1"/>
  <c r="T120" i="32"/>
  <c r="AV120" i="32" s="1"/>
  <c r="P292" i="32"/>
  <c r="O292" i="32"/>
  <c r="P15" i="32"/>
  <c r="O15" i="32"/>
  <c r="P335" i="32"/>
  <c r="O335" i="32"/>
  <c r="AW440" i="32"/>
  <c r="AX440" i="32"/>
  <c r="AY440" i="32" s="1"/>
  <c r="Q167" i="32"/>
  <c r="U167" i="32" s="1"/>
  <c r="T167" i="32"/>
  <c r="AV167" i="32" s="1"/>
  <c r="P287" i="32"/>
  <c r="O287" i="32"/>
  <c r="P457" i="32"/>
  <c r="O457" i="32"/>
  <c r="P112" i="32"/>
  <c r="O112" i="32"/>
  <c r="P271" i="32"/>
  <c r="O271" i="32"/>
  <c r="Q352" i="32"/>
  <c r="U352" i="32" s="1"/>
  <c r="T352" i="32"/>
  <c r="AV352" i="32" s="1"/>
  <c r="P139" i="32"/>
  <c r="O139" i="32"/>
  <c r="P196" i="32"/>
  <c r="O196" i="32"/>
  <c r="P213" i="32"/>
  <c r="O213" i="32"/>
  <c r="P41" i="32"/>
  <c r="O41" i="32"/>
  <c r="Q348" i="32"/>
  <c r="U348" i="32" s="1"/>
  <c r="T348" i="32"/>
  <c r="AV348" i="32" s="1"/>
  <c r="P369" i="32"/>
  <c r="O369" i="32"/>
  <c r="P301" i="32"/>
  <c r="O301" i="32"/>
  <c r="P623" i="32"/>
  <c r="O623" i="32"/>
  <c r="AW215" i="32"/>
  <c r="AX215" i="32"/>
  <c r="AY215" i="32" s="1"/>
  <c r="P465" i="32"/>
  <c r="O465" i="32"/>
  <c r="P328" i="32"/>
  <c r="O328" i="32"/>
  <c r="P578" i="32"/>
  <c r="O578" i="32"/>
  <c r="P185" i="32"/>
  <c r="O185" i="32"/>
  <c r="P321" i="32"/>
  <c r="O321" i="32"/>
  <c r="P310" i="32"/>
  <c r="O310" i="32"/>
  <c r="P232" i="32"/>
  <c r="O232" i="32"/>
  <c r="P467" i="32"/>
  <c r="O467" i="32"/>
  <c r="P178" i="32"/>
  <c r="O178" i="32"/>
  <c r="P126" i="32"/>
  <c r="O126" i="32"/>
  <c r="T34" i="32"/>
  <c r="AV34" i="32" s="1"/>
  <c r="Q34" i="32"/>
  <c r="U34" i="32" s="1"/>
  <c r="P105" i="32"/>
  <c r="O105" i="32"/>
  <c r="P535" i="32"/>
  <c r="O535" i="32"/>
  <c r="Q71" i="32"/>
  <c r="U71" i="32" s="1"/>
  <c r="T71" i="32"/>
  <c r="AV71" i="32" s="1"/>
  <c r="Q386" i="32"/>
  <c r="U386" i="32" s="1"/>
  <c r="T386" i="32"/>
  <c r="AV386" i="32" s="1"/>
  <c r="P285" i="32"/>
  <c r="O285" i="32"/>
  <c r="P35" i="32"/>
  <c r="O35" i="32"/>
  <c r="AX235" i="32"/>
  <c r="AY235" i="32" s="1"/>
  <c r="AW235" i="32"/>
  <c r="P539" i="32"/>
  <c r="O539" i="32"/>
  <c r="P288" i="32"/>
  <c r="O288" i="32"/>
  <c r="P224" i="32"/>
  <c r="O224" i="32"/>
  <c r="P249" i="32"/>
  <c r="O249" i="32"/>
  <c r="P236" i="32"/>
  <c r="O236" i="32"/>
  <c r="Q306" i="32"/>
  <c r="U306" i="32" s="1"/>
  <c r="T306" i="32"/>
  <c r="AV306" i="32" s="1"/>
  <c r="P487" i="32"/>
  <c r="O487" i="32"/>
  <c r="P531" i="32"/>
  <c r="O531" i="32"/>
  <c r="Q90" i="32"/>
  <c r="U90" i="32" s="1"/>
  <c r="T90" i="32"/>
  <c r="AV90" i="32" s="1"/>
  <c r="P419" i="32"/>
  <c r="O419" i="32"/>
  <c r="P612" i="32"/>
  <c r="O612" i="32"/>
  <c r="P485" i="32"/>
  <c r="O485" i="32"/>
  <c r="AW416" i="32"/>
  <c r="AX416" i="32"/>
  <c r="AY416" i="32" s="1"/>
  <c r="P435" i="32"/>
  <c r="O435" i="32"/>
  <c r="P50" i="32"/>
  <c r="O50" i="32"/>
  <c r="P447" i="32"/>
  <c r="O447" i="32"/>
  <c r="T424" i="32"/>
  <c r="AV424" i="32" s="1"/>
  <c r="Q424" i="32"/>
  <c r="U424" i="32" s="1"/>
  <c r="T96" i="32"/>
  <c r="AV96" i="32" s="1"/>
  <c r="Q96" i="32"/>
  <c r="U96" i="32" s="1"/>
  <c r="P366" i="32"/>
  <c r="O366" i="32"/>
  <c r="P278" i="32"/>
  <c r="O278" i="32"/>
  <c r="P446" i="32"/>
  <c r="O446" i="32"/>
  <c r="Q394" i="32"/>
  <c r="U394" i="32" s="1"/>
  <c r="P389" i="32"/>
  <c r="O389" i="32"/>
  <c r="P19" i="32"/>
  <c r="O19" i="32"/>
  <c r="P463" i="32"/>
  <c r="O463" i="32"/>
  <c r="P354" i="32"/>
  <c r="O354" i="32"/>
  <c r="P383" i="32"/>
  <c r="O383" i="32"/>
  <c r="BF628" i="32"/>
  <c r="BE628" i="32"/>
  <c r="J637" i="32" s="1"/>
  <c r="P397" i="32"/>
  <c r="O397" i="32"/>
  <c r="P337" i="32"/>
  <c r="O337" i="32"/>
  <c r="P345" i="32"/>
  <c r="O345" i="32"/>
  <c r="P299" i="32"/>
  <c r="O299" i="32"/>
  <c r="P390" i="32"/>
  <c r="O390" i="32"/>
  <c r="BF625" i="32"/>
  <c r="BE625" i="32"/>
  <c r="J635" i="32" s="1"/>
  <c r="P494" i="32"/>
  <c r="O494" i="32"/>
  <c r="Q402" i="32"/>
  <c r="U402" i="32" s="1"/>
  <c r="P165" i="32"/>
  <c r="O165" i="32"/>
  <c r="P131" i="32"/>
  <c r="O131" i="32"/>
  <c r="P510" i="32"/>
  <c r="O510" i="32"/>
  <c r="P313" i="32"/>
  <c r="O313" i="32"/>
  <c r="P588" i="32"/>
  <c r="O588" i="32"/>
  <c r="P98" i="32"/>
  <c r="O98" i="32"/>
  <c r="Q223" i="32"/>
  <c r="U223" i="32" s="1"/>
  <c r="P331" i="32"/>
  <c r="O331" i="32"/>
  <c r="P572" i="32"/>
  <c r="O572" i="32"/>
  <c r="P230" i="32"/>
  <c r="O230" i="32"/>
  <c r="P240" i="32"/>
  <c r="O240" i="32"/>
  <c r="P109" i="32"/>
  <c r="O109" i="32"/>
  <c r="P592" i="32"/>
  <c r="O592" i="32"/>
  <c r="P385" i="32"/>
  <c r="O385" i="32"/>
  <c r="Q106" i="32"/>
  <c r="U106" i="32" s="1"/>
  <c r="T106" i="32"/>
  <c r="AV106" i="32" s="1"/>
  <c r="P554" i="32"/>
  <c r="O554" i="32"/>
  <c r="P497" i="32"/>
  <c r="O497" i="32"/>
  <c r="P359" i="32"/>
  <c r="O359" i="32"/>
  <c r="P380" i="32"/>
  <c r="O380" i="32"/>
  <c r="P469" i="32"/>
  <c r="O469" i="32"/>
  <c r="P18" i="32"/>
  <c r="O18" i="32"/>
  <c r="P346" i="32"/>
  <c r="O346" i="32"/>
  <c r="P401" i="32"/>
  <c r="O401" i="32"/>
  <c r="P268" i="32"/>
  <c r="O268" i="32"/>
  <c r="P433" i="32"/>
  <c r="O433" i="32"/>
  <c r="P500" i="32"/>
  <c r="O500" i="32"/>
  <c r="P216" i="32"/>
  <c r="O216" i="32"/>
  <c r="P203" i="32"/>
  <c r="O203" i="32"/>
  <c r="P39" i="32"/>
  <c r="O39" i="32"/>
  <c r="P516" i="32"/>
  <c r="O516" i="32"/>
  <c r="P27" i="32"/>
  <c r="O27" i="32"/>
  <c r="P482" i="32"/>
  <c r="O482" i="32"/>
  <c r="P483" i="32"/>
  <c r="O483" i="32"/>
  <c r="P166" i="32"/>
  <c r="O166" i="32"/>
  <c r="Q54" i="32"/>
  <c r="U54" i="32" s="1"/>
  <c r="T54" i="32"/>
  <c r="AV54" i="32" s="1"/>
  <c r="P347" i="32"/>
  <c r="O347" i="32"/>
  <c r="AX394" i="32"/>
  <c r="AY394" i="32" s="1"/>
  <c r="AW394" i="32"/>
  <c r="P281" i="32"/>
  <c r="O281" i="32"/>
  <c r="T432" i="32"/>
  <c r="AV432" i="32" s="1"/>
  <c r="Q432" i="32"/>
  <c r="U432" i="32" s="1"/>
  <c r="P376" i="32"/>
  <c r="O376" i="32"/>
  <c r="Q183" i="32"/>
  <c r="U183" i="32" s="1"/>
  <c r="T183" i="32"/>
  <c r="AV183" i="32" s="1"/>
  <c r="P584" i="32"/>
  <c r="O584" i="32"/>
  <c r="P413" i="32"/>
  <c r="O413" i="32"/>
  <c r="P325" i="32"/>
  <c r="O325" i="32"/>
  <c r="P161" i="32"/>
  <c r="O161" i="32"/>
  <c r="Q72" i="32"/>
  <c r="U72" i="32" s="1"/>
  <c r="T72" i="32"/>
  <c r="AV72" i="32" s="1"/>
  <c r="P343" i="32"/>
  <c r="O343" i="32"/>
  <c r="P134" i="32"/>
  <c r="O134" i="32"/>
  <c r="P540" i="32"/>
  <c r="O540" i="32"/>
  <c r="P108" i="32"/>
  <c r="O108" i="32"/>
  <c r="Q344" i="32"/>
  <c r="U344" i="32" s="1"/>
  <c r="T344" i="32"/>
  <c r="AV344" i="32" s="1"/>
  <c r="Q342" i="32"/>
  <c r="U342" i="32" s="1"/>
  <c r="T342" i="32"/>
  <c r="AV342" i="32" s="1"/>
  <c r="P546" i="32"/>
  <c r="O546" i="32"/>
  <c r="P297" i="32"/>
  <c r="O297" i="32"/>
  <c r="P353" i="32"/>
  <c r="O353" i="32"/>
  <c r="P429" i="32"/>
  <c r="O429" i="32"/>
  <c r="T227" i="32"/>
  <c r="AV227" i="32" s="1"/>
  <c r="Q227" i="32"/>
  <c r="U227" i="32" s="1"/>
  <c r="P340" i="32"/>
  <c r="O340" i="32"/>
  <c r="T143" i="32"/>
  <c r="AV143" i="32" s="1"/>
  <c r="Q143" i="32"/>
  <c r="U143" i="32" s="1"/>
  <c r="P542" i="32"/>
  <c r="O542" i="32"/>
  <c r="P234" i="32"/>
  <c r="O234" i="32"/>
  <c r="Q598" i="32"/>
  <c r="U598" i="32" s="1"/>
  <c r="T598" i="32"/>
  <c r="AV598" i="32" s="1"/>
  <c r="Q243" i="32"/>
  <c r="U243" i="32" s="1"/>
  <c r="T243" i="32"/>
  <c r="AV243" i="32" s="1"/>
  <c r="P153" i="32"/>
  <c r="O153" i="32"/>
  <c r="P245" i="32"/>
  <c r="O245" i="32"/>
  <c r="P341" i="32"/>
  <c r="O341" i="32"/>
  <c r="P585" i="32"/>
  <c r="O585" i="32"/>
  <c r="P283" i="32"/>
  <c r="O283" i="32"/>
  <c r="P142" i="32"/>
  <c r="O142" i="32"/>
  <c r="P473" i="32"/>
  <c r="O473" i="32"/>
  <c r="P373" i="32"/>
  <c r="O373" i="32"/>
  <c r="P481" i="32"/>
  <c r="O481" i="32"/>
  <c r="P403" i="32"/>
  <c r="O403" i="32"/>
  <c r="Q152" i="32"/>
  <c r="U152" i="32" s="1"/>
  <c r="T152" i="32"/>
  <c r="AV152" i="32" s="1"/>
  <c r="P565" i="32"/>
  <c r="O565" i="32"/>
  <c r="P121" i="32"/>
  <c r="O121" i="32"/>
  <c r="P305" i="32"/>
  <c r="O305" i="32"/>
  <c r="P556" i="32"/>
  <c r="O556" i="32"/>
  <c r="P377" i="32"/>
  <c r="O377" i="32"/>
  <c r="P608" i="32"/>
  <c r="O608" i="32"/>
  <c r="P628" i="32"/>
  <c r="O628" i="32"/>
  <c r="P74" i="32"/>
  <c r="O74" i="32"/>
  <c r="P351" i="32"/>
  <c r="O351" i="32"/>
  <c r="P45" i="32"/>
  <c r="O45" i="32"/>
  <c r="P150" i="32"/>
  <c r="O150" i="32"/>
  <c r="P155" i="32"/>
  <c r="O155" i="32"/>
  <c r="P557" i="32"/>
  <c r="O557" i="32"/>
  <c r="P543" i="32"/>
  <c r="O543" i="32"/>
  <c r="P526" i="32"/>
  <c r="O526" i="32"/>
  <c r="P593" i="32"/>
  <c r="O593" i="32"/>
  <c r="P133" i="32"/>
  <c r="O133" i="32"/>
  <c r="P307" i="32"/>
  <c r="O307" i="32"/>
  <c r="T219" i="32"/>
  <c r="AV219" i="32" s="1"/>
  <c r="Q219" i="32"/>
  <c r="U219" i="32" s="1"/>
  <c r="P491" i="32"/>
  <c r="O491" i="32"/>
  <c r="P300" i="32"/>
  <c r="O300" i="32"/>
  <c r="P477" i="32"/>
  <c r="O477" i="32"/>
  <c r="P248" i="32"/>
  <c r="O248" i="32"/>
  <c r="P509" i="32"/>
  <c r="O509" i="32"/>
  <c r="P92" i="32"/>
  <c r="O92" i="32"/>
  <c r="T70" i="32"/>
  <c r="AV70" i="32" s="1"/>
  <c r="Q70" i="32"/>
  <c r="U70" i="32" s="1"/>
  <c r="P365" i="32"/>
  <c r="O365" i="32"/>
  <c r="P118" i="32"/>
  <c r="O118" i="32"/>
  <c r="P586" i="32"/>
  <c r="O586" i="32"/>
  <c r="P208" i="32"/>
  <c r="O208" i="32"/>
  <c r="Q478" i="32"/>
  <c r="U478" i="32" s="1"/>
  <c r="T478" i="32"/>
  <c r="AV478" i="32" s="1"/>
  <c r="P364" i="32"/>
  <c r="O364" i="32"/>
  <c r="Q88" i="32"/>
  <c r="U88" i="32" s="1"/>
  <c r="T88" i="32"/>
  <c r="AV88" i="32" s="1"/>
  <c r="P317" i="32"/>
  <c r="O317" i="32"/>
  <c r="P411" i="32"/>
  <c r="O411" i="32"/>
  <c r="P625" i="32"/>
  <c r="O625" i="32"/>
  <c r="Q30" i="32"/>
  <c r="U30" i="32" s="1"/>
  <c r="T30" i="32"/>
  <c r="AV30" i="32" s="1"/>
  <c r="P21" i="32"/>
  <c r="O21" i="32"/>
  <c r="P149" i="32"/>
  <c r="O149" i="32"/>
  <c r="P422" i="32"/>
  <c r="O422" i="32"/>
  <c r="P37" i="32"/>
  <c r="O37" i="32"/>
  <c r="P387" i="32"/>
  <c r="O387" i="32"/>
  <c r="P601" i="32"/>
  <c r="O601" i="32"/>
  <c r="P263" i="32"/>
  <c r="O263" i="32"/>
  <c r="Q358" i="32"/>
  <c r="U358" i="32" s="1"/>
  <c r="T358" i="32"/>
  <c r="AV358" i="32" s="1"/>
  <c r="AX402" i="32"/>
  <c r="AY402" i="32" s="1"/>
  <c r="AW402" i="32"/>
  <c r="P160" i="32"/>
  <c r="O160" i="32"/>
  <c r="P253" i="32"/>
  <c r="O253" i="32"/>
  <c r="P580" i="32"/>
  <c r="O580" i="32"/>
  <c r="P99" i="32"/>
  <c r="O99" i="32"/>
  <c r="P255" i="32"/>
  <c r="O255" i="32"/>
  <c r="P551" i="32"/>
  <c r="O551" i="32"/>
  <c r="P527" i="32"/>
  <c r="O527" i="32"/>
  <c r="P404" i="32"/>
  <c r="O404" i="32"/>
  <c r="P262" i="32"/>
  <c r="O262" i="32"/>
  <c r="P607" i="32"/>
  <c r="O607" i="32"/>
  <c r="P363" i="32"/>
  <c r="O363" i="32"/>
  <c r="P291" i="32"/>
  <c r="O291" i="32"/>
  <c r="AW223" i="32"/>
  <c r="AX223" i="32"/>
  <c r="AY223" i="32" s="1"/>
  <c r="P186" i="32"/>
  <c r="O186" i="32"/>
  <c r="P499" i="32"/>
  <c r="O499" i="32"/>
  <c r="Q136" i="32"/>
  <c r="U136" i="32" s="1"/>
  <c r="T136" i="32"/>
  <c r="AV136" i="32" s="1"/>
  <c r="P66" i="32"/>
  <c r="O66" i="32"/>
  <c r="T22" i="32"/>
  <c r="AV22" i="32" s="1"/>
  <c r="Q22" i="32"/>
  <c r="U22" i="32" s="1"/>
  <c r="T62" i="32"/>
  <c r="AV62" i="32" s="1"/>
  <c r="Q62" i="32"/>
  <c r="U62" i="32" s="1"/>
  <c r="P26" i="32"/>
  <c r="O26" i="32"/>
  <c r="P311" i="32"/>
  <c r="O311" i="32"/>
  <c r="P611" i="32"/>
  <c r="O611" i="32"/>
  <c r="P489" i="32"/>
  <c r="O489" i="32"/>
  <c r="Q528" i="32"/>
  <c r="U528" i="32" s="1"/>
  <c r="T528" i="32"/>
  <c r="AV528" i="32" s="1"/>
  <c r="P83" i="32"/>
  <c r="O83" i="32"/>
  <c r="P295" i="32"/>
  <c r="O295" i="32"/>
  <c r="P414" i="32"/>
  <c r="O414" i="32"/>
  <c r="Q414" i="32" l="1"/>
  <c r="U414" i="32" s="1"/>
  <c r="T414" i="32"/>
  <c r="AV414" i="32" s="1"/>
  <c r="AX358" i="32"/>
  <c r="AY358" i="32" s="1"/>
  <c r="AW358" i="32"/>
  <c r="AW30" i="32"/>
  <c r="AX30" i="32"/>
  <c r="AY30" i="32" s="1"/>
  <c r="AW88" i="32"/>
  <c r="AX88" i="32"/>
  <c r="AY88" i="32" s="1"/>
  <c r="Q92" i="32"/>
  <c r="U92" i="32" s="1"/>
  <c r="T92" i="32"/>
  <c r="AV92" i="32" s="1"/>
  <c r="T133" i="32"/>
  <c r="AV133" i="32" s="1"/>
  <c r="Q133" i="32"/>
  <c r="U133" i="32" s="1"/>
  <c r="Q351" i="32"/>
  <c r="U351" i="32" s="1"/>
  <c r="T351" i="32"/>
  <c r="AV351" i="32" s="1"/>
  <c r="Q565" i="32"/>
  <c r="U565" i="32" s="1"/>
  <c r="T565" i="32"/>
  <c r="AV565" i="32" s="1"/>
  <c r="Q585" i="32"/>
  <c r="U585" i="32" s="1"/>
  <c r="T585" i="32"/>
  <c r="AV585" i="32" s="1"/>
  <c r="AX62" i="32"/>
  <c r="AY62" i="32" s="1"/>
  <c r="AW62" i="32"/>
  <c r="AW143" i="32"/>
  <c r="AX143" i="32"/>
  <c r="AY143" i="32" s="1"/>
  <c r="AX432" i="32"/>
  <c r="AY432" i="32" s="1"/>
  <c r="AW432" i="32"/>
  <c r="Q98" i="32"/>
  <c r="U98" i="32" s="1"/>
  <c r="T98" i="32"/>
  <c r="AV98" i="32" s="1"/>
  <c r="Q131" i="32"/>
  <c r="U131" i="32" s="1"/>
  <c r="T131" i="32"/>
  <c r="AV131" i="32" s="1"/>
  <c r="T446" i="32"/>
  <c r="AV446" i="32" s="1"/>
  <c r="Q446" i="32"/>
  <c r="U446" i="32" s="1"/>
  <c r="AX90" i="32"/>
  <c r="AY90" i="32" s="1"/>
  <c r="AW90" i="32"/>
  <c r="Q236" i="32"/>
  <c r="U236" i="32" s="1"/>
  <c r="T236" i="32"/>
  <c r="AV236" i="32" s="1"/>
  <c r="T539" i="32"/>
  <c r="AV539" i="32" s="1"/>
  <c r="Q539" i="32"/>
  <c r="U539" i="32" s="1"/>
  <c r="AW386" i="32"/>
  <c r="AX386" i="32"/>
  <c r="AY386" i="32" s="1"/>
  <c r="Q232" i="32"/>
  <c r="U232" i="32" s="1"/>
  <c r="T232" i="32"/>
  <c r="AV232" i="32" s="1"/>
  <c r="Q578" i="32"/>
  <c r="U578" i="32" s="1"/>
  <c r="T578" i="32"/>
  <c r="AV578" i="32" s="1"/>
  <c r="Q623" i="32"/>
  <c r="U623" i="32" s="1"/>
  <c r="T623" i="32"/>
  <c r="AV623" i="32" s="1"/>
  <c r="T41" i="32"/>
  <c r="AV41" i="32" s="1"/>
  <c r="Q41" i="32"/>
  <c r="U41" i="32" s="1"/>
  <c r="AX352" i="32"/>
  <c r="AY352" i="32" s="1"/>
  <c r="AW352" i="32"/>
  <c r="Q287" i="32"/>
  <c r="U287" i="32" s="1"/>
  <c r="T287" i="32"/>
  <c r="AV287" i="32" s="1"/>
  <c r="Q15" i="32"/>
  <c r="U15" i="32" s="1"/>
  <c r="T15" i="32"/>
  <c r="AV15" i="32" s="1"/>
  <c r="Q111" i="32"/>
  <c r="U111" i="32" s="1"/>
  <c r="T111" i="32"/>
  <c r="AV111" i="32" s="1"/>
  <c r="AX80" i="32"/>
  <c r="AY80" i="32" s="1"/>
  <c r="AW80" i="32"/>
  <c r="Q154" i="32"/>
  <c r="U154" i="32" s="1"/>
  <c r="T154" i="32"/>
  <c r="AV154" i="32" s="1"/>
  <c r="T280" i="32"/>
  <c r="AV280" i="32" s="1"/>
  <c r="Q280" i="32"/>
  <c r="U280" i="32" s="1"/>
  <c r="Q125" i="32"/>
  <c r="U125" i="32" s="1"/>
  <c r="T125" i="32"/>
  <c r="AV125" i="32" s="1"/>
  <c r="T197" i="32"/>
  <c r="AV197" i="32" s="1"/>
  <c r="Q197" i="32"/>
  <c r="U197" i="32" s="1"/>
  <c r="Q97" i="32"/>
  <c r="U97" i="32" s="1"/>
  <c r="T97" i="32"/>
  <c r="AV97" i="32" s="1"/>
  <c r="Q538" i="32"/>
  <c r="U538" i="32" s="1"/>
  <c r="T538" i="32"/>
  <c r="AV538" i="32" s="1"/>
  <c r="Q189" i="32"/>
  <c r="U189" i="32" s="1"/>
  <c r="T189" i="32"/>
  <c r="AV189" i="32" s="1"/>
  <c r="AX242" i="32"/>
  <c r="AY242" i="32" s="1"/>
  <c r="AW242" i="32"/>
  <c r="T573" i="32"/>
  <c r="AV573" i="32" s="1"/>
  <c r="Q573" i="32"/>
  <c r="U573" i="32" s="1"/>
  <c r="Q564" i="32"/>
  <c r="U564" i="32" s="1"/>
  <c r="T564" i="32"/>
  <c r="AV564" i="32" s="1"/>
  <c r="Q85" i="32"/>
  <c r="U85" i="32" s="1"/>
  <c r="T85" i="32"/>
  <c r="AV85" i="32" s="1"/>
  <c r="Q501" i="32"/>
  <c r="U501" i="32" s="1"/>
  <c r="T501" i="32"/>
  <c r="AV501" i="32" s="1"/>
  <c r="T28" i="32"/>
  <c r="AV28" i="32" s="1"/>
  <c r="Q28" i="32"/>
  <c r="U28" i="32" s="1"/>
  <c r="Q274" i="32"/>
  <c r="U274" i="32" s="1"/>
  <c r="T274" i="32"/>
  <c r="AV274" i="32" s="1"/>
  <c r="Q603" i="32"/>
  <c r="U603" i="32" s="1"/>
  <c r="T603" i="32"/>
  <c r="AV603" i="32" s="1"/>
  <c r="Q476" i="32"/>
  <c r="U476" i="32" s="1"/>
  <c r="T476" i="32"/>
  <c r="AV476" i="32" s="1"/>
  <c r="Q123" i="32"/>
  <c r="U123" i="32" s="1"/>
  <c r="T123" i="32"/>
  <c r="AV123" i="32" s="1"/>
  <c r="Q132" i="32"/>
  <c r="U132" i="32" s="1"/>
  <c r="T132" i="32"/>
  <c r="AV132" i="32" s="1"/>
  <c r="Q412" i="32"/>
  <c r="U412" i="32" s="1"/>
  <c r="T412" i="32"/>
  <c r="AV412" i="32" s="1"/>
  <c r="T571" i="32"/>
  <c r="AV571" i="32" s="1"/>
  <c r="Q571" i="32"/>
  <c r="U571" i="32" s="1"/>
  <c r="Q174" i="32"/>
  <c r="U174" i="32" s="1"/>
  <c r="T174" i="32"/>
  <c r="AV174" i="32" s="1"/>
  <c r="Q323" i="32"/>
  <c r="U323" i="32" s="1"/>
  <c r="T323" i="32"/>
  <c r="AV323" i="32" s="1"/>
  <c r="Q179" i="32"/>
  <c r="U179" i="32" s="1"/>
  <c r="T179" i="32"/>
  <c r="AV179" i="32" s="1"/>
  <c r="Q327" i="32"/>
  <c r="U327" i="32" s="1"/>
  <c r="T327" i="32"/>
  <c r="AV327" i="32" s="1"/>
  <c r="Q25" i="32"/>
  <c r="U25" i="32" s="1"/>
  <c r="T25" i="32"/>
  <c r="AV25" i="32" s="1"/>
  <c r="Q140" i="32"/>
  <c r="U140" i="32" s="1"/>
  <c r="T140" i="32"/>
  <c r="AV140" i="32" s="1"/>
  <c r="Q147" i="32"/>
  <c r="U147" i="32" s="1"/>
  <c r="T147" i="32"/>
  <c r="AV147" i="32" s="1"/>
  <c r="Q600" i="32"/>
  <c r="U600" i="32" s="1"/>
  <c r="T600" i="32"/>
  <c r="AV600" i="32" s="1"/>
  <c r="AW520" i="32"/>
  <c r="AX520" i="32"/>
  <c r="AY520" i="32" s="1"/>
  <c r="Q505" i="32"/>
  <c r="U505" i="32" s="1"/>
  <c r="T505" i="32"/>
  <c r="AV505" i="32" s="1"/>
  <c r="Q89" i="32"/>
  <c r="U89" i="32" s="1"/>
  <c r="T89" i="32"/>
  <c r="AV89" i="32" s="1"/>
  <c r="Q119" i="32"/>
  <c r="U119" i="32" s="1"/>
  <c r="T119" i="32"/>
  <c r="AV119" i="32" s="1"/>
  <c r="T428" i="32"/>
  <c r="AV428" i="32" s="1"/>
  <c r="Q428" i="32"/>
  <c r="U428" i="32" s="1"/>
  <c r="Q595" i="32"/>
  <c r="U595" i="32" s="1"/>
  <c r="T595" i="32"/>
  <c r="AV595" i="32" s="1"/>
  <c r="AX104" i="32"/>
  <c r="AY104" i="32" s="1"/>
  <c r="AW104" i="32"/>
  <c r="T277" i="32"/>
  <c r="AV277" i="32" s="1"/>
  <c r="Q277" i="32"/>
  <c r="U277" i="32" s="1"/>
  <c r="AX175" i="32"/>
  <c r="AY175" i="32" s="1"/>
  <c r="AW175" i="32"/>
  <c r="T78" i="32"/>
  <c r="AV78" i="32" s="1"/>
  <c r="Q78" i="32"/>
  <c r="U78" i="32" s="1"/>
  <c r="T355" i="32"/>
  <c r="AV355" i="32" s="1"/>
  <c r="Q355" i="32"/>
  <c r="U355" i="32" s="1"/>
  <c r="T94" i="32"/>
  <c r="AV94" i="32" s="1"/>
  <c r="Q94" i="32"/>
  <c r="U94" i="32" s="1"/>
  <c r="AX86" i="32"/>
  <c r="AY86" i="32" s="1"/>
  <c r="AW86" i="32"/>
  <c r="AW159" i="32"/>
  <c r="AX159" i="32"/>
  <c r="AY159" i="32" s="1"/>
  <c r="AW14" i="32"/>
  <c r="AX14" i="32"/>
  <c r="AY14" i="32" s="1"/>
  <c r="Q148" i="32"/>
  <c r="U148" i="32" s="1"/>
  <c r="T148" i="32"/>
  <c r="AV148" i="32" s="1"/>
  <c r="T275" i="32"/>
  <c r="AV275" i="32" s="1"/>
  <c r="Q275" i="32"/>
  <c r="U275" i="32" s="1"/>
  <c r="Q508" i="32"/>
  <c r="U508" i="32" s="1"/>
  <c r="T508" i="32"/>
  <c r="AV508" i="32" s="1"/>
  <c r="Q333" i="32"/>
  <c r="U333" i="32" s="1"/>
  <c r="T333" i="32"/>
  <c r="AV333" i="32" s="1"/>
  <c r="Q415" i="32"/>
  <c r="U415" i="32" s="1"/>
  <c r="T415" i="32"/>
  <c r="AV415" i="32" s="1"/>
  <c r="Q404" i="32"/>
  <c r="U404" i="32" s="1"/>
  <c r="T404" i="32"/>
  <c r="AV404" i="32" s="1"/>
  <c r="T580" i="32"/>
  <c r="AV580" i="32" s="1"/>
  <c r="Q580" i="32"/>
  <c r="U580" i="32" s="1"/>
  <c r="Q607" i="32"/>
  <c r="U607" i="32" s="1"/>
  <c r="T607" i="32"/>
  <c r="AV607" i="32" s="1"/>
  <c r="Q263" i="32"/>
  <c r="U263" i="32" s="1"/>
  <c r="T263" i="32"/>
  <c r="AV263" i="32" s="1"/>
  <c r="Q625" i="32"/>
  <c r="U625" i="32" s="1"/>
  <c r="T625" i="32"/>
  <c r="AV625" i="32" s="1"/>
  <c r="Q118" i="32"/>
  <c r="U118" i="32" s="1"/>
  <c r="T118" i="32"/>
  <c r="AV118" i="32" s="1"/>
  <c r="T491" i="32"/>
  <c r="AV491" i="32" s="1"/>
  <c r="Q491" i="32"/>
  <c r="U491" i="32" s="1"/>
  <c r="T593" i="32"/>
  <c r="AV593" i="32" s="1"/>
  <c r="Q593" i="32"/>
  <c r="U593" i="32" s="1"/>
  <c r="Q155" i="32"/>
  <c r="U155" i="32" s="1"/>
  <c r="T155" i="32"/>
  <c r="AV155" i="32" s="1"/>
  <c r="Q74" i="32"/>
  <c r="U74" i="32" s="1"/>
  <c r="T74" i="32"/>
  <c r="AV74" i="32" s="1"/>
  <c r="Q556" i="32"/>
  <c r="U556" i="32" s="1"/>
  <c r="T556" i="32"/>
  <c r="AV556" i="32" s="1"/>
  <c r="AX152" i="32"/>
  <c r="AY152" i="32" s="1"/>
  <c r="AW152" i="32"/>
  <c r="Q473" i="32"/>
  <c r="U473" i="32" s="1"/>
  <c r="T473" i="32"/>
  <c r="AV473" i="32" s="1"/>
  <c r="Q341" i="32"/>
  <c r="U341" i="32" s="1"/>
  <c r="T341" i="32"/>
  <c r="AV341" i="32" s="1"/>
  <c r="AW598" i="32"/>
  <c r="AX598" i="32"/>
  <c r="AY598" i="32" s="1"/>
  <c r="Q340" i="32"/>
  <c r="U340" i="32" s="1"/>
  <c r="T340" i="32"/>
  <c r="AV340" i="32" s="1"/>
  <c r="T297" i="32"/>
  <c r="AV297" i="32" s="1"/>
  <c r="Q297" i="32"/>
  <c r="U297" i="32" s="1"/>
  <c r="T108" i="32"/>
  <c r="AV108" i="32" s="1"/>
  <c r="Q108" i="32"/>
  <c r="U108" i="32" s="1"/>
  <c r="AX72" i="32"/>
  <c r="AY72" i="32" s="1"/>
  <c r="AW72" i="32"/>
  <c r="Q584" i="32"/>
  <c r="U584" i="32" s="1"/>
  <c r="T584" i="32"/>
  <c r="AV584" i="32" s="1"/>
  <c r="Q281" i="32"/>
  <c r="U281" i="32" s="1"/>
  <c r="T281" i="32"/>
  <c r="AV281" i="32" s="1"/>
  <c r="Q166" i="32"/>
  <c r="U166" i="32" s="1"/>
  <c r="T166" i="32"/>
  <c r="AV166" i="32" s="1"/>
  <c r="Q516" i="32"/>
  <c r="U516" i="32" s="1"/>
  <c r="T516" i="32"/>
  <c r="AV516" i="32" s="1"/>
  <c r="Q500" i="32"/>
  <c r="U500" i="32" s="1"/>
  <c r="T500" i="32"/>
  <c r="AV500" i="32" s="1"/>
  <c r="Q346" i="32"/>
  <c r="U346" i="32" s="1"/>
  <c r="T346" i="32"/>
  <c r="AV346" i="32" s="1"/>
  <c r="Q359" i="32"/>
  <c r="U359" i="32" s="1"/>
  <c r="T359" i="32"/>
  <c r="AV359" i="32" s="1"/>
  <c r="Q385" i="32"/>
  <c r="U385" i="32" s="1"/>
  <c r="T385" i="32"/>
  <c r="AV385" i="32" s="1"/>
  <c r="Q230" i="32"/>
  <c r="U230" i="32" s="1"/>
  <c r="T230" i="32"/>
  <c r="AV230" i="32" s="1"/>
  <c r="Q390" i="32"/>
  <c r="U390" i="32" s="1"/>
  <c r="T390" i="32"/>
  <c r="AV390" i="32" s="1"/>
  <c r="T397" i="32"/>
  <c r="AV397" i="32" s="1"/>
  <c r="Q397" i="32"/>
  <c r="U397" i="32" s="1"/>
  <c r="Q463" i="32"/>
  <c r="U463" i="32" s="1"/>
  <c r="T463" i="32"/>
  <c r="AV463" i="32" s="1"/>
  <c r="AX424" i="32"/>
  <c r="AY424" i="32" s="1"/>
  <c r="AW424" i="32"/>
  <c r="AX34" i="32"/>
  <c r="AY34" i="32" s="1"/>
  <c r="AW34" i="32"/>
  <c r="Q304" i="32"/>
  <c r="U304" i="32" s="1"/>
  <c r="T304" i="32"/>
  <c r="AV304" i="32" s="1"/>
  <c r="Q388" i="32"/>
  <c r="U388" i="32" s="1"/>
  <c r="T388" i="32"/>
  <c r="AV388" i="32" s="1"/>
  <c r="Q265" i="32"/>
  <c r="U265" i="32" s="1"/>
  <c r="T265" i="32"/>
  <c r="AV265" i="32" s="1"/>
  <c r="T479" i="32"/>
  <c r="AV479" i="32" s="1"/>
  <c r="Q479" i="32"/>
  <c r="U479" i="32" s="1"/>
  <c r="AW102" i="32"/>
  <c r="AX102" i="32"/>
  <c r="AY102" i="32" s="1"/>
  <c r="Q69" i="32"/>
  <c r="U69" i="32" s="1"/>
  <c r="T69" i="32"/>
  <c r="AV69" i="32" s="1"/>
  <c r="Q129" i="32"/>
  <c r="U129" i="32" s="1"/>
  <c r="T129" i="32"/>
  <c r="AV129" i="32" s="1"/>
  <c r="AW392" i="32"/>
  <c r="AX392" i="32"/>
  <c r="AY392" i="32" s="1"/>
  <c r="T609" i="32"/>
  <c r="AV609" i="32" s="1"/>
  <c r="Q609" i="32"/>
  <c r="U609" i="32" s="1"/>
  <c r="AW122" i="32"/>
  <c r="AX122" i="32"/>
  <c r="AY122" i="32" s="1"/>
  <c r="Q73" i="32"/>
  <c r="U73" i="32" s="1"/>
  <c r="T73" i="32"/>
  <c r="AV73" i="32" s="1"/>
  <c r="AX298" i="32"/>
  <c r="AY298" i="32" s="1"/>
  <c r="AW298" i="32"/>
  <c r="T357" i="32"/>
  <c r="AV357" i="32" s="1"/>
  <c r="Q357" i="32"/>
  <c r="U357" i="32" s="1"/>
  <c r="Q375" i="32"/>
  <c r="U375" i="32" s="1"/>
  <c r="T375" i="32"/>
  <c r="AV375" i="32" s="1"/>
  <c r="AX114" i="32"/>
  <c r="AY114" i="32" s="1"/>
  <c r="AW114" i="32"/>
  <c r="Q256" i="32"/>
  <c r="U256" i="32" s="1"/>
  <c r="T256" i="32"/>
  <c r="AV256" i="32" s="1"/>
  <c r="Q507" i="32"/>
  <c r="U507" i="32" s="1"/>
  <c r="T507" i="32"/>
  <c r="AV507" i="32" s="1"/>
  <c r="AX488" i="32"/>
  <c r="AY488" i="32" s="1"/>
  <c r="AW488" i="32"/>
  <c r="AX486" i="32"/>
  <c r="AY486" i="32" s="1"/>
  <c r="AW486" i="32"/>
  <c r="Q502" i="32"/>
  <c r="U502" i="32" s="1"/>
  <c r="T502" i="32"/>
  <c r="AV502" i="32" s="1"/>
  <c r="Q222" i="32"/>
  <c r="U222" i="32" s="1"/>
  <c r="T222" i="32"/>
  <c r="AV222" i="32" s="1"/>
  <c r="AW370" i="32"/>
  <c r="AX370" i="32"/>
  <c r="AY370" i="32" s="1"/>
  <c r="T602" i="32"/>
  <c r="AV602" i="32" s="1"/>
  <c r="Q602" i="32"/>
  <c r="U602" i="32" s="1"/>
  <c r="AW192" i="32"/>
  <c r="AX192" i="32"/>
  <c r="AY192" i="32" s="1"/>
  <c r="Q100" i="32"/>
  <c r="U100" i="32" s="1"/>
  <c r="T100" i="32"/>
  <c r="AV100" i="32" s="1"/>
  <c r="Q610" i="32"/>
  <c r="U610" i="32" s="1"/>
  <c r="T610" i="32"/>
  <c r="AV610" i="32" s="1"/>
  <c r="Q523" i="32"/>
  <c r="U523" i="32" s="1"/>
  <c r="T523" i="32"/>
  <c r="AV523" i="32" s="1"/>
  <c r="AX135" i="32"/>
  <c r="AY135" i="32" s="1"/>
  <c r="AW135" i="32"/>
  <c r="Q567" i="32"/>
  <c r="U567" i="32" s="1"/>
  <c r="T567" i="32"/>
  <c r="AV567" i="32" s="1"/>
  <c r="Q517" i="32"/>
  <c r="U517" i="32" s="1"/>
  <c r="T517" i="32"/>
  <c r="AV517" i="32" s="1"/>
  <c r="Q581" i="32"/>
  <c r="U581" i="32" s="1"/>
  <c r="T581" i="32"/>
  <c r="AV581" i="32" s="1"/>
  <c r="Q604" i="32"/>
  <c r="U604" i="32" s="1"/>
  <c r="T604" i="32"/>
  <c r="AV604" i="32" s="1"/>
  <c r="Q589" i="32"/>
  <c r="U589" i="32" s="1"/>
  <c r="T589" i="32"/>
  <c r="AV589" i="32" s="1"/>
  <c r="Q320" i="32"/>
  <c r="U320" i="32" s="1"/>
  <c r="T320" i="32"/>
  <c r="AV320" i="32" s="1"/>
  <c r="T36" i="32"/>
  <c r="AV36" i="32" s="1"/>
  <c r="Q36" i="32"/>
  <c r="U36" i="32" s="1"/>
  <c r="AW258" i="32"/>
  <c r="AX258" i="32"/>
  <c r="AY258" i="32" s="1"/>
  <c r="Q452" i="32"/>
  <c r="U452" i="32" s="1"/>
  <c r="T452" i="32"/>
  <c r="AV452" i="32" s="1"/>
  <c r="T117" i="32"/>
  <c r="AV117" i="32" s="1"/>
  <c r="Q117" i="32"/>
  <c r="U117" i="32" s="1"/>
  <c r="AX16" i="32"/>
  <c r="AY16" i="32" s="1"/>
  <c r="AW16" i="32"/>
  <c r="Q455" i="32"/>
  <c r="U455" i="32" s="1"/>
  <c r="T455" i="32"/>
  <c r="AV455" i="32" s="1"/>
  <c r="Q79" i="32"/>
  <c r="U79" i="32" s="1"/>
  <c r="T79" i="32"/>
  <c r="AV79" i="32" s="1"/>
  <c r="Q462" i="32"/>
  <c r="U462" i="32" s="1"/>
  <c r="T462" i="32"/>
  <c r="AV462" i="32" s="1"/>
  <c r="T229" i="32"/>
  <c r="AV229" i="32" s="1"/>
  <c r="Q229" i="32"/>
  <c r="U229" i="32" s="1"/>
  <c r="Q289" i="32"/>
  <c r="U289" i="32" s="1"/>
  <c r="T289" i="32"/>
  <c r="AV289" i="32" s="1"/>
  <c r="Q405" i="32"/>
  <c r="U405" i="32" s="1"/>
  <c r="T405" i="32"/>
  <c r="AV405" i="32" s="1"/>
  <c r="T250" i="32"/>
  <c r="AV250" i="32" s="1"/>
  <c r="Q250" i="32"/>
  <c r="U250" i="32" s="1"/>
  <c r="Q293" i="32"/>
  <c r="U293" i="32" s="1"/>
  <c r="T293" i="32"/>
  <c r="AV293" i="32" s="1"/>
  <c r="Q431" i="32"/>
  <c r="U431" i="32" s="1"/>
  <c r="T431" i="32"/>
  <c r="AV431" i="32" s="1"/>
  <c r="Q324" i="32"/>
  <c r="U324" i="32" s="1"/>
  <c r="T324" i="32"/>
  <c r="AV324" i="32" s="1"/>
  <c r="Q291" i="32"/>
  <c r="U291" i="32" s="1"/>
  <c r="T291" i="32"/>
  <c r="AV291" i="32" s="1"/>
  <c r="Q527" i="32"/>
  <c r="U527" i="32" s="1"/>
  <c r="T527" i="32"/>
  <c r="AV527" i="32" s="1"/>
  <c r="T186" i="32"/>
  <c r="AV186" i="32" s="1"/>
  <c r="Q186" i="32"/>
  <c r="U186" i="32" s="1"/>
  <c r="Q253" i="32"/>
  <c r="U253" i="32" s="1"/>
  <c r="T253" i="32"/>
  <c r="AV253" i="32" s="1"/>
  <c r="Q422" i="32"/>
  <c r="U422" i="32" s="1"/>
  <c r="T422" i="32"/>
  <c r="AV422" i="32" s="1"/>
  <c r="T364" i="32"/>
  <c r="AV364" i="32" s="1"/>
  <c r="Q364" i="32"/>
  <c r="U364" i="32" s="1"/>
  <c r="Q509" i="32"/>
  <c r="U509" i="32" s="1"/>
  <c r="T509" i="32"/>
  <c r="AV509" i="32" s="1"/>
  <c r="AW22" i="32"/>
  <c r="AX22" i="32"/>
  <c r="AY22" i="32" s="1"/>
  <c r="Q588" i="32"/>
  <c r="U588" i="32" s="1"/>
  <c r="T588" i="32"/>
  <c r="AV588" i="32" s="1"/>
  <c r="T165" i="32"/>
  <c r="AV165" i="32" s="1"/>
  <c r="Q165" i="32"/>
  <c r="U165" i="32" s="1"/>
  <c r="Q278" i="32"/>
  <c r="U278" i="32" s="1"/>
  <c r="T278" i="32"/>
  <c r="AV278" i="32" s="1"/>
  <c r="T447" i="32"/>
  <c r="AV447" i="32" s="1"/>
  <c r="Q447" i="32"/>
  <c r="U447" i="32" s="1"/>
  <c r="Q485" i="32"/>
  <c r="U485" i="32" s="1"/>
  <c r="T485" i="32"/>
  <c r="AV485" i="32" s="1"/>
  <c r="Q531" i="32"/>
  <c r="U531" i="32" s="1"/>
  <c r="T531" i="32"/>
  <c r="AV531" i="32" s="1"/>
  <c r="Q249" i="32"/>
  <c r="U249" i="32" s="1"/>
  <c r="T249" i="32"/>
  <c r="AV249" i="32" s="1"/>
  <c r="AW71" i="32"/>
  <c r="AX71" i="32"/>
  <c r="AY71" i="32" s="1"/>
  <c r="Q126" i="32"/>
  <c r="U126" i="32" s="1"/>
  <c r="T126" i="32"/>
  <c r="AV126" i="32" s="1"/>
  <c r="Q310" i="32"/>
  <c r="U310" i="32" s="1"/>
  <c r="T310" i="32"/>
  <c r="AV310" i="32" s="1"/>
  <c r="Q328" i="32"/>
  <c r="U328" i="32" s="1"/>
  <c r="T328" i="32"/>
  <c r="AV328" i="32" s="1"/>
  <c r="Q301" i="32"/>
  <c r="U301" i="32" s="1"/>
  <c r="T301" i="32"/>
  <c r="AV301" i="32" s="1"/>
  <c r="Q213" i="32"/>
  <c r="U213" i="32" s="1"/>
  <c r="T213" i="32"/>
  <c r="AV213" i="32" s="1"/>
  <c r="Q271" i="32"/>
  <c r="U271" i="32" s="1"/>
  <c r="T271" i="32"/>
  <c r="AV271" i="32" s="1"/>
  <c r="AW167" i="32"/>
  <c r="AX167" i="32"/>
  <c r="AY167" i="32" s="1"/>
  <c r="Q292" i="32"/>
  <c r="U292" i="32" s="1"/>
  <c r="T292" i="32"/>
  <c r="AV292" i="32" s="1"/>
  <c r="Q583" i="32"/>
  <c r="U583" i="32" s="1"/>
  <c r="T583" i="32"/>
  <c r="AV583" i="32" s="1"/>
  <c r="Q246" i="32"/>
  <c r="U246" i="32" s="1"/>
  <c r="T246" i="32"/>
  <c r="AV246" i="32" s="1"/>
  <c r="Q329" i="32"/>
  <c r="U329" i="32" s="1"/>
  <c r="T329" i="32"/>
  <c r="AV329" i="32" s="1"/>
  <c r="T492" i="32"/>
  <c r="AV492" i="32" s="1"/>
  <c r="Q492" i="32"/>
  <c r="U492" i="32" s="1"/>
  <c r="Q270" i="32"/>
  <c r="U270" i="32" s="1"/>
  <c r="T270" i="32"/>
  <c r="AV270" i="32" s="1"/>
  <c r="Q513" i="32"/>
  <c r="U513" i="32" s="1"/>
  <c r="T513" i="32"/>
  <c r="AV513" i="32" s="1"/>
  <c r="Q576" i="32"/>
  <c r="U576" i="32" s="1"/>
  <c r="T576" i="32"/>
  <c r="AV576" i="32" s="1"/>
  <c r="AX552" i="32"/>
  <c r="AY552" i="32" s="1"/>
  <c r="AW552" i="32"/>
  <c r="T302" i="32"/>
  <c r="AV302" i="32" s="1"/>
  <c r="Q302" i="32"/>
  <c r="U302" i="32" s="1"/>
  <c r="Q43" i="32"/>
  <c r="U43" i="32" s="1"/>
  <c r="T43" i="32"/>
  <c r="AV43" i="32" s="1"/>
  <c r="T267" i="32"/>
  <c r="AV267" i="32" s="1"/>
  <c r="Q267" i="32"/>
  <c r="U267" i="32" s="1"/>
  <c r="T407" i="32"/>
  <c r="AV407" i="32" s="1"/>
  <c r="Q407" i="32"/>
  <c r="U407" i="32" s="1"/>
  <c r="T475" i="32"/>
  <c r="AV475" i="32" s="1"/>
  <c r="Q475" i="32"/>
  <c r="U475" i="32" s="1"/>
  <c r="Q393" i="32"/>
  <c r="U393" i="32" s="1"/>
  <c r="T393" i="32"/>
  <c r="AV393" i="32" s="1"/>
  <c r="Q553" i="32"/>
  <c r="U553" i="32" s="1"/>
  <c r="T553" i="32"/>
  <c r="AV553" i="32" s="1"/>
  <c r="Q451" i="32"/>
  <c r="U451" i="32" s="1"/>
  <c r="T451" i="32"/>
  <c r="AV451" i="32" s="1"/>
  <c r="Q171" i="32"/>
  <c r="U171" i="32" s="1"/>
  <c r="T171" i="32"/>
  <c r="AV171" i="32" s="1"/>
  <c r="Q17" i="32"/>
  <c r="U17" i="32" s="1"/>
  <c r="T17" i="32"/>
  <c r="AV17" i="32" s="1"/>
  <c r="AX418" i="32"/>
  <c r="AY418" i="32" s="1"/>
  <c r="AW418" i="32"/>
  <c r="Q613" i="32"/>
  <c r="U613" i="32" s="1"/>
  <c r="T613" i="32"/>
  <c r="AV613" i="32" s="1"/>
  <c r="Q181" i="32"/>
  <c r="U181" i="32" s="1"/>
  <c r="T181" i="32"/>
  <c r="AV181" i="32" s="1"/>
  <c r="Q116" i="32"/>
  <c r="U116" i="32" s="1"/>
  <c r="T116" i="32"/>
  <c r="AV116" i="32" s="1"/>
  <c r="Q53" i="32"/>
  <c r="U53" i="32" s="1"/>
  <c r="T53" i="32"/>
  <c r="AV53" i="32" s="1"/>
  <c r="Q330" i="32"/>
  <c r="U330" i="32" s="1"/>
  <c r="T330" i="32"/>
  <c r="AV330" i="32" s="1"/>
  <c r="AW445" i="32"/>
  <c r="AX445" i="32"/>
  <c r="AY445" i="32" s="1"/>
  <c r="Q568" i="32"/>
  <c r="U568" i="32" s="1"/>
  <c r="T568" i="32"/>
  <c r="AV568" i="32" s="1"/>
  <c r="Q145" i="32"/>
  <c r="U145" i="32" s="1"/>
  <c r="T145" i="32"/>
  <c r="AV145" i="32" s="1"/>
  <c r="T417" i="32"/>
  <c r="AV417" i="32" s="1"/>
  <c r="Q417" i="32"/>
  <c r="U417" i="32" s="1"/>
  <c r="Q247" i="32"/>
  <c r="U247" i="32" s="1"/>
  <c r="T247" i="32"/>
  <c r="AV247" i="32" s="1"/>
  <c r="Q569" i="32"/>
  <c r="U569" i="32" s="1"/>
  <c r="T569" i="32"/>
  <c r="AV569" i="32" s="1"/>
  <c r="AW378" i="32"/>
  <c r="AX378" i="32"/>
  <c r="AY378" i="32" s="1"/>
  <c r="Q382" i="32"/>
  <c r="U382" i="32" s="1"/>
  <c r="T382" i="32"/>
  <c r="AV382" i="32" s="1"/>
  <c r="AW544" i="32"/>
  <c r="AX544" i="32"/>
  <c r="AY544" i="32" s="1"/>
  <c r="T47" i="32"/>
  <c r="AV47" i="32" s="1"/>
  <c r="Q47" i="32"/>
  <c r="U47" i="32" s="1"/>
  <c r="T279" i="32"/>
  <c r="AV279" i="32" s="1"/>
  <c r="Q279" i="32"/>
  <c r="U279" i="32" s="1"/>
  <c r="AW480" i="32"/>
  <c r="AX480" i="32"/>
  <c r="AY480" i="32" s="1"/>
  <c r="Q205" i="32"/>
  <c r="U205" i="32" s="1"/>
  <c r="T205" i="32"/>
  <c r="AV205" i="32" s="1"/>
  <c r="Q436" i="32"/>
  <c r="U436" i="32" s="1"/>
  <c r="T436" i="32"/>
  <c r="AV436" i="32" s="1"/>
  <c r="Q326" i="32"/>
  <c r="U326" i="32" s="1"/>
  <c r="T326" i="32"/>
  <c r="AV326" i="32" s="1"/>
  <c r="Q594" i="32"/>
  <c r="U594" i="32" s="1"/>
  <c r="T594" i="32"/>
  <c r="AV594" i="32" s="1"/>
  <c r="Q81" i="32"/>
  <c r="U81" i="32" s="1"/>
  <c r="T81" i="32"/>
  <c r="AV81" i="32" s="1"/>
  <c r="AW336" i="32"/>
  <c r="AX336" i="32"/>
  <c r="AY336" i="32" s="1"/>
  <c r="Q29" i="32"/>
  <c r="U29" i="32" s="1"/>
  <c r="T29" i="32"/>
  <c r="AV29" i="32" s="1"/>
  <c r="Q91" i="32"/>
  <c r="U91" i="32" s="1"/>
  <c r="T91" i="32"/>
  <c r="AV91" i="32" s="1"/>
  <c r="T338" i="32"/>
  <c r="AV338" i="32" s="1"/>
  <c r="Q338" i="32"/>
  <c r="U338" i="32" s="1"/>
  <c r="Q362" i="32"/>
  <c r="U362" i="32" s="1"/>
  <c r="T362" i="32"/>
  <c r="AV362" i="32" s="1"/>
  <c r="T489" i="32"/>
  <c r="AV489" i="32" s="1"/>
  <c r="Q489" i="32"/>
  <c r="U489" i="32" s="1"/>
  <c r="T295" i="32"/>
  <c r="AV295" i="32" s="1"/>
  <c r="Q295" i="32"/>
  <c r="U295" i="32" s="1"/>
  <c r="T83" i="32"/>
  <c r="AV83" i="32" s="1"/>
  <c r="Q83" i="32"/>
  <c r="U83" i="32" s="1"/>
  <c r="Q66" i="32"/>
  <c r="U66" i="32" s="1"/>
  <c r="T66" i="32"/>
  <c r="AV66" i="32" s="1"/>
  <c r="Q255" i="32"/>
  <c r="U255" i="32" s="1"/>
  <c r="T255" i="32"/>
  <c r="AV255" i="32" s="1"/>
  <c r="Q601" i="32"/>
  <c r="U601" i="32" s="1"/>
  <c r="T601" i="32"/>
  <c r="AV601" i="32" s="1"/>
  <c r="T411" i="32"/>
  <c r="AV411" i="32" s="1"/>
  <c r="Q411" i="32"/>
  <c r="U411" i="32" s="1"/>
  <c r="Q365" i="32"/>
  <c r="U365" i="32" s="1"/>
  <c r="T365" i="32"/>
  <c r="AV365" i="32" s="1"/>
  <c r="Q526" i="32"/>
  <c r="U526" i="32" s="1"/>
  <c r="T526" i="32"/>
  <c r="AV526" i="32" s="1"/>
  <c r="Q628" i="32"/>
  <c r="U628" i="32" s="1"/>
  <c r="T628" i="32"/>
  <c r="AV628" i="32" s="1"/>
  <c r="Q403" i="32"/>
  <c r="U403" i="32" s="1"/>
  <c r="T403" i="32"/>
  <c r="AV403" i="32" s="1"/>
  <c r="Q245" i="32"/>
  <c r="U245" i="32" s="1"/>
  <c r="T245" i="32"/>
  <c r="AV245" i="32" s="1"/>
  <c r="Q234" i="32"/>
  <c r="U234" i="32" s="1"/>
  <c r="T234" i="32"/>
  <c r="AV234" i="32" s="1"/>
  <c r="Q546" i="32"/>
  <c r="U546" i="32" s="1"/>
  <c r="T546" i="32"/>
  <c r="AV546" i="32" s="1"/>
  <c r="T540" i="32"/>
  <c r="AV540" i="32" s="1"/>
  <c r="Q540" i="32"/>
  <c r="U540" i="32" s="1"/>
  <c r="Q161" i="32"/>
  <c r="U161" i="32" s="1"/>
  <c r="T161" i="32"/>
  <c r="AV161" i="32" s="1"/>
  <c r="AX183" i="32"/>
  <c r="AY183" i="32" s="1"/>
  <c r="AW183" i="32"/>
  <c r="Q483" i="32"/>
  <c r="U483" i="32" s="1"/>
  <c r="T483" i="32"/>
  <c r="AV483" i="32" s="1"/>
  <c r="Q39" i="32"/>
  <c r="U39" i="32" s="1"/>
  <c r="T39" i="32"/>
  <c r="AV39" i="32" s="1"/>
  <c r="T433" i="32"/>
  <c r="AV433" i="32" s="1"/>
  <c r="Q433" i="32"/>
  <c r="U433" i="32" s="1"/>
  <c r="Q18" i="32"/>
  <c r="U18" i="32" s="1"/>
  <c r="T18" i="32"/>
  <c r="AV18" i="32" s="1"/>
  <c r="Q497" i="32"/>
  <c r="U497" i="32" s="1"/>
  <c r="T497" i="32"/>
  <c r="AV497" i="32" s="1"/>
  <c r="Q592" i="32"/>
  <c r="U592" i="32" s="1"/>
  <c r="T592" i="32"/>
  <c r="AV592" i="32" s="1"/>
  <c r="T572" i="32"/>
  <c r="AV572" i="32" s="1"/>
  <c r="Q572" i="32"/>
  <c r="U572" i="32" s="1"/>
  <c r="T299" i="32"/>
  <c r="AV299" i="32" s="1"/>
  <c r="Q299" i="32"/>
  <c r="U299" i="32" s="1"/>
  <c r="Q19" i="32"/>
  <c r="U19" i="32" s="1"/>
  <c r="T19" i="32"/>
  <c r="AV19" i="32" s="1"/>
  <c r="AX191" i="32"/>
  <c r="AY191" i="32" s="1"/>
  <c r="AW191" i="32"/>
  <c r="T495" i="32"/>
  <c r="AV495" i="32" s="1"/>
  <c r="Q495" i="32"/>
  <c r="U495" i="32" s="1"/>
  <c r="Q406" i="32"/>
  <c r="U406" i="32" s="1"/>
  <c r="T406" i="32"/>
  <c r="AV406" i="32" s="1"/>
  <c r="Q264" i="32"/>
  <c r="U264" i="32" s="1"/>
  <c r="T264" i="32"/>
  <c r="AV264" i="32" s="1"/>
  <c r="Q172" i="32"/>
  <c r="U172" i="32" s="1"/>
  <c r="T172" i="32"/>
  <c r="AV172" i="32" s="1"/>
  <c r="Q319" i="32"/>
  <c r="U319" i="32" s="1"/>
  <c r="T319" i="32"/>
  <c r="AV319" i="32" s="1"/>
  <c r="T537" i="32"/>
  <c r="AV537" i="32" s="1"/>
  <c r="Q537" i="32"/>
  <c r="U537" i="32" s="1"/>
  <c r="T55" i="32"/>
  <c r="AV55" i="32" s="1"/>
  <c r="Q55" i="32"/>
  <c r="U55" i="32" s="1"/>
  <c r="Q58" i="32"/>
  <c r="U58" i="32" s="1"/>
  <c r="T58" i="32"/>
  <c r="AV58" i="32" s="1"/>
  <c r="Q194" i="32"/>
  <c r="U194" i="32" s="1"/>
  <c r="T194" i="32"/>
  <c r="AV194" i="32" s="1"/>
  <c r="T570" i="32"/>
  <c r="AV570" i="32" s="1"/>
  <c r="Q570" i="32"/>
  <c r="U570" i="32" s="1"/>
  <c r="AX184" i="32"/>
  <c r="AY184" i="32" s="1"/>
  <c r="AW184" i="32"/>
  <c r="Q212" i="32"/>
  <c r="U212" i="32" s="1"/>
  <c r="T212" i="32"/>
  <c r="AV212" i="32" s="1"/>
  <c r="Q547" i="32"/>
  <c r="U547" i="32" s="1"/>
  <c r="T547" i="32"/>
  <c r="AV547" i="32" s="1"/>
  <c r="Q562" i="32"/>
  <c r="U562" i="32" s="1"/>
  <c r="T562" i="32"/>
  <c r="AV562" i="32" s="1"/>
  <c r="T158" i="32"/>
  <c r="AV158" i="32" s="1"/>
  <c r="Q158" i="32"/>
  <c r="U158" i="32" s="1"/>
  <c r="Q484" i="32"/>
  <c r="U484" i="32" s="1"/>
  <c r="T484" i="32"/>
  <c r="AV484" i="32" s="1"/>
  <c r="T398" i="32"/>
  <c r="AV398" i="32" s="1"/>
  <c r="Q398" i="32"/>
  <c r="U398" i="32" s="1"/>
  <c r="T624" i="32"/>
  <c r="AV624" i="32" s="1"/>
  <c r="Q624" i="32"/>
  <c r="U624" i="32" s="1"/>
  <c r="T599" i="32"/>
  <c r="AV599" i="32" s="1"/>
  <c r="Q599" i="32"/>
  <c r="U599" i="32" s="1"/>
  <c r="Q519" i="32"/>
  <c r="U519" i="32" s="1"/>
  <c r="T519" i="32"/>
  <c r="AV519" i="32" s="1"/>
  <c r="Q466" i="32"/>
  <c r="U466" i="32" s="1"/>
  <c r="T466" i="32"/>
  <c r="AV466" i="32" s="1"/>
  <c r="Q233" i="32"/>
  <c r="U233" i="32" s="1"/>
  <c r="T233" i="32"/>
  <c r="AV233" i="32" s="1"/>
  <c r="Q156" i="32"/>
  <c r="U156" i="32" s="1"/>
  <c r="T156" i="32"/>
  <c r="AV156" i="32" s="1"/>
  <c r="AW558" i="32"/>
  <c r="AX558" i="32"/>
  <c r="AY558" i="32" s="1"/>
  <c r="T75" i="32"/>
  <c r="AV75" i="32" s="1"/>
  <c r="Q75" i="32"/>
  <c r="U75" i="32" s="1"/>
  <c r="AW350" i="32"/>
  <c r="AX350" i="32"/>
  <c r="AY350" i="32" s="1"/>
  <c r="Q218" i="32"/>
  <c r="U218" i="32" s="1"/>
  <c r="T218" i="32"/>
  <c r="AV218" i="32" s="1"/>
  <c r="AX82" i="32"/>
  <c r="AY82" i="32" s="1"/>
  <c r="AW82" i="32"/>
  <c r="Q57" i="32"/>
  <c r="U57" i="32" s="1"/>
  <c r="T57" i="32"/>
  <c r="AV57" i="32" s="1"/>
  <c r="Q339" i="32"/>
  <c r="U339" i="32" s="1"/>
  <c r="T339" i="32"/>
  <c r="AV339" i="32" s="1"/>
  <c r="Q561" i="32"/>
  <c r="U561" i="32" s="1"/>
  <c r="T561" i="32"/>
  <c r="AV561" i="32" s="1"/>
  <c r="Q374" i="32"/>
  <c r="U374" i="32" s="1"/>
  <c r="T374" i="32"/>
  <c r="AV374" i="32" s="1"/>
  <c r="Q225" i="32"/>
  <c r="U225" i="32" s="1"/>
  <c r="T225" i="32"/>
  <c r="AV225" i="32" s="1"/>
  <c r="Q44" i="32"/>
  <c r="U44" i="32" s="1"/>
  <c r="T44" i="32"/>
  <c r="AV44" i="32" s="1"/>
  <c r="Q437" i="32"/>
  <c r="U437" i="32" s="1"/>
  <c r="T437" i="32"/>
  <c r="AV437" i="32" s="1"/>
  <c r="T471" i="32"/>
  <c r="AV471" i="32" s="1"/>
  <c r="Q471" i="32"/>
  <c r="U471" i="32" s="1"/>
  <c r="Q545" i="32"/>
  <c r="U545" i="32" s="1"/>
  <c r="T545" i="32"/>
  <c r="AV545" i="32" s="1"/>
  <c r="Q93" i="32"/>
  <c r="U93" i="32" s="1"/>
  <c r="T93" i="32"/>
  <c r="AV93" i="32" s="1"/>
  <c r="T231" i="32"/>
  <c r="AV231" i="32" s="1"/>
  <c r="Q231" i="32"/>
  <c r="U231" i="32" s="1"/>
  <c r="T157" i="32"/>
  <c r="AV157" i="32" s="1"/>
  <c r="Q157" i="32"/>
  <c r="U157" i="32" s="1"/>
  <c r="Q550" i="32"/>
  <c r="U550" i="32" s="1"/>
  <c r="T550" i="32"/>
  <c r="AV550" i="32" s="1"/>
  <c r="T456" i="32"/>
  <c r="AV456" i="32" s="1"/>
  <c r="Q456" i="32"/>
  <c r="U456" i="32" s="1"/>
  <c r="AW528" i="32"/>
  <c r="AX528" i="32"/>
  <c r="AY528" i="32" s="1"/>
  <c r="Q499" i="32"/>
  <c r="U499" i="32" s="1"/>
  <c r="T499" i="32"/>
  <c r="AV499" i="32" s="1"/>
  <c r="T611" i="32"/>
  <c r="AV611" i="32" s="1"/>
  <c r="Q611" i="32"/>
  <c r="U611" i="32" s="1"/>
  <c r="T551" i="32"/>
  <c r="AV551" i="32" s="1"/>
  <c r="Q551" i="32"/>
  <c r="U551" i="32" s="1"/>
  <c r="Q311" i="32"/>
  <c r="U311" i="32" s="1"/>
  <c r="T311" i="32"/>
  <c r="AV311" i="32" s="1"/>
  <c r="Q262" i="32"/>
  <c r="U262" i="32" s="1"/>
  <c r="T262" i="32"/>
  <c r="AV262" i="32" s="1"/>
  <c r="T160" i="32"/>
  <c r="AV160" i="32" s="1"/>
  <c r="Q160" i="32"/>
  <c r="U160" i="32" s="1"/>
  <c r="Q149" i="32"/>
  <c r="U149" i="32" s="1"/>
  <c r="T149" i="32"/>
  <c r="AV149" i="32" s="1"/>
  <c r="AW478" i="32"/>
  <c r="AX478" i="32"/>
  <c r="AY478" i="32" s="1"/>
  <c r="Q248" i="32"/>
  <c r="U248" i="32" s="1"/>
  <c r="T248" i="32"/>
  <c r="AV248" i="32" s="1"/>
  <c r="Q150" i="32"/>
  <c r="U150" i="32" s="1"/>
  <c r="T150" i="32"/>
  <c r="AV150" i="32" s="1"/>
  <c r="Q305" i="32"/>
  <c r="U305" i="32" s="1"/>
  <c r="T305" i="32"/>
  <c r="AV305" i="32" s="1"/>
  <c r="Q142" i="32"/>
  <c r="U142" i="32" s="1"/>
  <c r="T142" i="32"/>
  <c r="AV142" i="32" s="1"/>
  <c r="AW219" i="32"/>
  <c r="AX219" i="32"/>
  <c r="AY219" i="32" s="1"/>
  <c r="AX227" i="32"/>
  <c r="AY227" i="32" s="1"/>
  <c r="AW227" i="32"/>
  <c r="Q313" i="32"/>
  <c r="U313" i="32" s="1"/>
  <c r="T313" i="32"/>
  <c r="AV313" i="32" s="1"/>
  <c r="T366" i="32"/>
  <c r="AV366" i="32" s="1"/>
  <c r="Q366" i="32"/>
  <c r="U366" i="32" s="1"/>
  <c r="Q50" i="32"/>
  <c r="U50" i="32" s="1"/>
  <c r="T50" i="32"/>
  <c r="AV50" i="32" s="1"/>
  <c r="Q612" i="32"/>
  <c r="U612" i="32" s="1"/>
  <c r="T612" i="32"/>
  <c r="AV612" i="32" s="1"/>
  <c r="Q487" i="32"/>
  <c r="U487" i="32" s="1"/>
  <c r="T487" i="32"/>
  <c r="AV487" i="32" s="1"/>
  <c r="Q224" i="32"/>
  <c r="U224" i="32" s="1"/>
  <c r="T224" i="32"/>
  <c r="AV224" i="32" s="1"/>
  <c r="Q35" i="32"/>
  <c r="U35" i="32" s="1"/>
  <c r="T35" i="32"/>
  <c r="AV35" i="32" s="1"/>
  <c r="Q535" i="32"/>
  <c r="U535" i="32" s="1"/>
  <c r="T535" i="32"/>
  <c r="AV535" i="32" s="1"/>
  <c r="Q178" i="32"/>
  <c r="U178" i="32" s="1"/>
  <c r="T178" i="32"/>
  <c r="AV178" i="32" s="1"/>
  <c r="Q321" i="32"/>
  <c r="U321" i="32" s="1"/>
  <c r="T321" i="32"/>
  <c r="AV321" i="32" s="1"/>
  <c r="T465" i="32"/>
  <c r="AV465" i="32" s="1"/>
  <c r="Q465" i="32"/>
  <c r="U465" i="32" s="1"/>
  <c r="Q369" i="32"/>
  <c r="U369" i="32" s="1"/>
  <c r="T369" i="32"/>
  <c r="AV369" i="32" s="1"/>
  <c r="Q196" i="32"/>
  <c r="U196" i="32" s="1"/>
  <c r="T196" i="32"/>
  <c r="AV196" i="32" s="1"/>
  <c r="T112" i="32"/>
  <c r="AV112" i="32" s="1"/>
  <c r="Q112" i="32"/>
  <c r="U112" i="32" s="1"/>
  <c r="AX120" i="32"/>
  <c r="AY120" i="32" s="1"/>
  <c r="AW120" i="32"/>
  <c r="Q173" i="32"/>
  <c r="U173" i="32" s="1"/>
  <c r="T173" i="32"/>
  <c r="AV173" i="32" s="1"/>
  <c r="T260" i="32"/>
  <c r="AV260" i="32" s="1"/>
  <c r="Q260" i="32"/>
  <c r="U260" i="32" s="1"/>
  <c r="T56" i="32"/>
  <c r="AV56" i="32" s="1"/>
  <c r="Q56" i="32"/>
  <c r="U56" i="32" s="1"/>
  <c r="AX512" i="32"/>
  <c r="AY512" i="32" s="1"/>
  <c r="AW512" i="32"/>
  <c r="Q454" i="32"/>
  <c r="U454" i="32" s="1"/>
  <c r="T454" i="32"/>
  <c r="AV454" i="32" s="1"/>
  <c r="T273" i="32"/>
  <c r="AV273" i="32" s="1"/>
  <c r="Q273" i="32"/>
  <c r="U273" i="32" s="1"/>
  <c r="Q391" i="32"/>
  <c r="U391" i="32" s="1"/>
  <c r="T391" i="32"/>
  <c r="AV391" i="32" s="1"/>
  <c r="AW290" i="32"/>
  <c r="AX290" i="32"/>
  <c r="AY290" i="32" s="1"/>
  <c r="Q217" i="32"/>
  <c r="U217" i="32" s="1"/>
  <c r="T217" i="32"/>
  <c r="AV217" i="32" s="1"/>
  <c r="T464" i="32"/>
  <c r="AV464" i="32" s="1"/>
  <c r="Q464" i="32"/>
  <c r="U464" i="32" s="1"/>
  <c r="T51" i="32"/>
  <c r="AV51" i="32" s="1"/>
  <c r="Q51" i="32"/>
  <c r="U51" i="32" s="1"/>
  <c r="T318" i="32"/>
  <c r="AV318" i="32" s="1"/>
  <c r="Q318" i="32"/>
  <c r="U318" i="32" s="1"/>
  <c r="Q425" i="32"/>
  <c r="U425" i="32" s="1"/>
  <c r="T425" i="32"/>
  <c r="AV425" i="32" s="1"/>
  <c r="Q399" i="32"/>
  <c r="U399" i="32" s="1"/>
  <c r="T399" i="32"/>
  <c r="AV399" i="32" s="1"/>
  <c r="Q622" i="32"/>
  <c r="U622" i="32" s="1"/>
  <c r="T622" i="32"/>
  <c r="AV622" i="32" s="1"/>
  <c r="Q549" i="32"/>
  <c r="U549" i="32" s="1"/>
  <c r="T549" i="32"/>
  <c r="AV549" i="32" s="1"/>
  <c r="Q294" i="32"/>
  <c r="U294" i="32" s="1"/>
  <c r="T294" i="32"/>
  <c r="AV294" i="32" s="1"/>
  <c r="Q530" i="32"/>
  <c r="U530" i="32" s="1"/>
  <c r="T530" i="32"/>
  <c r="AV530" i="32" s="1"/>
  <c r="Q124" i="32"/>
  <c r="U124" i="32" s="1"/>
  <c r="T124" i="32"/>
  <c r="AV124" i="32" s="1"/>
  <c r="AW504" i="32"/>
  <c r="AX504" i="32"/>
  <c r="AY504" i="32" s="1"/>
  <c r="Q257" i="32"/>
  <c r="U257" i="32" s="1"/>
  <c r="T257" i="32"/>
  <c r="AV257" i="32" s="1"/>
  <c r="Q206" i="32"/>
  <c r="U206" i="32" s="1"/>
  <c r="T206" i="32"/>
  <c r="AV206" i="32" s="1"/>
  <c r="T498" i="32"/>
  <c r="AV498" i="32" s="1"/>
  <c r="Q498" i="32"/>
  <c r="U498" i="32" s="1"/>
  <c r="Q269" i="32"/>
  <c r="U269" i="32" s="1"/>
  <c r="T269" i="32"/>
  <c r="AV269" i="32" s="1"/>
  <c r="AX356" i="32"/>
  <c r="AY356" i="32" s="1"/>
  <c r="AW356" i="32"/>
  <c r="Q42" i="32"/>
  <c r="U42" i="32" s="1"/>
  <c r="T42" i="32"/>
  <c r="AV42" i="32" s="1"/>
  <c r="AW48" i="32"/>
  <c r="AX48" i="32"/>
  <c r="AY48" i="32" s="1"/>
  <c r="Q503" i="32"/>
  <c r="U503" i="32" s="1"/>
  <c r="T503" i="32"/>
  <c r="AV503" i="32" s="1"/>
  <c r="AW461" i="32"/>
  <c r="AX461" i="32"/>
  <c r="AY461" i="32" s="1"/>
  <c r="T188" i="32"/>
  <c r="AV188" i="32" s="1"/>
  <c r="Q188" i="32"/>
  <c r="U188" i="32" s="1"/>
  <c r="T449" i="32"/>
  <c r="AV449" i="32" s="1"/>
  <c r="Q449" i="32"/>
  <c r="U449" i="32" s="1"/>
  <c r="T308" i="32"/>
  <c r="AV308" i="32" s="1"/>
  <c r="Q308" i="32"/>
  <c r="U308" i="32" s="1"/>
  <c r="Q605" i="32"/>
  <c r="U605" i="32" s="1"/>
  <c r="T605" i="32"/>
  <c r="AV605" i="32" s="1"/>
  <c r="T458" i="32"/>
  <c r="AV458" i="32" s="1"/>
  <c r="Q458" i="32"/>
  <c r="U458" i="32" s="1"/>
  <c r="Q204" i="32"/>
  <c r="U204" i="32" s="1"/>
  <c r="T204" i="32"/>
  <c r="AV204" i="32" s="1"/>
  <c r="T141" i="32"/>
  <c r="AV141" i="32" s="1"/>
  <c r="Q141" i="32"/>
  <c r="U141" i="32" s="1"/>
  <c r="T169" i="32"/>
  <c r="AV169" i="32" s="1"/>
  <c r="Q169" i="32"/>
  <c r="U169" i="32" s="1"/>
  <c r="T182" i="32"/>
  <c r="AV182" i="32" s="1"/>
  <c r="Q182" i="32"/>
  <c r="U182" i="32" s="1"/>
  <c r="AX282" i="32"/>
  <c r="AY282" i="32" s="1"/>
  <c r="AW282" i="32"/>
  <c r="AX130" i="32"/>
  <c r="AY130" i="32" s="1"/>
  <c r="AW130" i="32"/>
  <c r="AW496" i="32"/>
  <c r="AX496" i="32"/>
  <c r="AY496" i="32" s="1"/>
  <c r="AX606" i="32"/>
  <c r="AY606" i="32" s="1"/>
  <c r="AW606" i="32"/>
  <c r="AW372" i="32"/>
  <c r="AX372" i="32"/>
  <c r="AY372" i="32" s="1"/>
  <c r="Q361" i="32"/>
  <c r="U361" i="32" s="1"/>
  <c r="T361" i="32"/>
  <c r="AV361" i="32" s="1"/>
  <c r="T199" i="32"/>
  <c r="AV199" i="32" s="1"/>
  <c r="Q199" i="32"/>
  <c r="U199" i="32" s="1"/>
  <c r="Q474" i="32"/>
  <c r="U474" i="32" s="1"/>
  <c r="T474" i="32"/>
  <c r="AV474" i="32" s="1"/>
  <c r="T296" i="32"/>
  <c r="AV296" i="32" s="1"/>
  <c r="Q296" i="32"/>
  <c r="U296" i="32" s="1"/>
  <c r="Q99" i="32"/>
  <c r="U99" i="32" s="1"/>
  <c r="T99" i="32"/>
  <c r="AV99" i="32" s="1"/>
  <c r="T21" i="32"/>
  <c r="AV21" i="32" s="1"/>
  <c r="Q21" i="32"/>
  <c r="U21" i="32" s="1"/>
  <c r="T208" i="32"/>
  <c r="AV208" i="32" s="1"/>
  <c r="Q208" i="32"/>
  <c r="U208" i="32" s="1"/>
  <c r="Q307" i="32"/>
  <c r="U307" i="32" s="1"/>
  <c r="T307" i="32"/>
  <c r="AV307" i="32" s="1"/>
  <c r="T608" i="32"/>
  <c r="AV608" i="32" s="1"/>
  <c r="Q608" i="32"/>
  <c r="U608" i="32" s="1"/>
  <c r="Q481" i="32"/>
  <c r="U481" i="32" s="1"/>
  <c r="T481" i="32"/>
  <c r="AV481" i="32" s="1"/>
  <c r="Q153" i="32"/>
  <c r="U153" i="32" s="1"/>
  <c r="T153" i="32"/>
  <c r="AV153" i="32" s="1"/>
  <c r="Q429" i="32"/>
  <c r="U429" i="32" s="1"/>
  <c r="T429" i="32"/>
  <c r="AV429" i="32" s="1"/>
  <c r="Q134" i="32"/>
  <c r="U134" i="32" s="1"/>
  <c r="T134" i="32"/>
  <c r="AV134" i="32" s="1"/>
  <c r="T376" i="32"/>
  <c r="AV376" i="32" s="1"/>
  <c r="Q376" i="32"/>
  <c r="U376" i="32" s="1"/>
  <c r="Q482" i="32"/>
  <c r="U482" i="32" s="1"/>
  <c r="T482" i="32"/>
  <c r="AV482" i="32" s="1"/>
  <c r="T203" i="32"/>
  <c r="AV203" i="32" s="1"/>
  <c r="Q203" i="32"/>
  <c r="U203" i="32" s="1"/>
  <c r="Q268" i="32"/>
  <c r="U268" i="32" s="1"/>
  <c r="T268" i="32"/>
  <c r="AV268" i="32" s="1"/>
  <c r="Q469" i="32"/>
  <c r="U469" i="32" s="1"/>
  <c r="T469" i="32"/>
  <c r="AV469" i="32" s="1"/>
  <c r="Q554" i="32"/>
  <c r="U554" i="32" s="1"/>
  <c r="T554" i="32"/>
  <c r="AV554" i="32" s="1"/>
  <c r="T109" i="32"/>
  <c r="AV109" i="32" s="1"/>
  <c r="Q109" i="32"/>
  <c r="U109" i="32" s="1"/>
  <c r="T331" i="32"/>
  <c r="AV331" i="32" s="1"/>
  <c r="Q331" i="32"/>
  <c r="U331" i="32" s="1"/>
  <c r="T494" i="32"/>
  <c r="AV494" i="32" s="1"/>
  <c r="Q494" i="32"/>
  <c r="U494" i="32" s="1"/>
  <c r="Q345" i="32"/>
  <c r="U345" i="32" s="1"/>
  <c r="T345" i="32"/>
  <c r="AV345" i="32" s="1"/>
  <c r="Q383" i="32"/>
  <c r="U383" i="32" s="1"/>
  <c r="T383" i="32"/>
  <c r="AV383" i="32" s="1"/>
  <c r="Q389" i="32"/>
  <c r="U389" i="32" s="1"/>
  <c r="T389" i="32"/>
  <c r="AV389" i="32" s="1"/>
  <c r="AW384" i="32"/>
  <c r="AX384" i="32"/>
  <c r="AY384" i="32" s="1"/>
  <c r="AX266" i="32"/>
  <c r="AY266" i="32" s="1"/>
  <c r="AW266" i="32"/>
  <c r="Q438" i="32"/>
  <c r="U438" i="32" s="1"/>
  <c r="T438" i="32"/>
  <c r="AV438" i="32" s="1"/>
  <c r="Q596" i="32"/>
  <c r="U596" i="32" s="1"/>
  <c r="T596" i="32"/>
  <c r="AV596" i="32" s="1"/>
  <c r="Q23" i="32"/>
  <c r="U23" i="32" s="1"/>
  <c r="T23" i="32"/>
  <c r="AV23" i="32" s="1"/>
  <c r="Q238" i="32"/>
  <c r="U238" i="32" s="1"/>
  <c r="T238" i="32"/>
  <c r="AV238" i="32" s="1"/>
  <c r="Q312" i="32"/>
  <c r="U312" i="32" s="1"/>
  <c r="T312" i="32"/>
  <c r="AV312" i="32" s="1"/>
  <c r="Q180" i="32"/>
  <c r="U180" i="32" s="1"/>
  <c r="T180" i="32"/>
  <c r="AV180" i="32" s="1"/>
  <c r="Q187" i="32"/>
  <c r="U187" i="32" s="1"/>
  <c r="T187" i="32"/>
  <c r="AV187" i="32" s="1"/>
  <c r="T533" i="32"/>
  <c r="AV533" i="32" s="1"/>
  <c r="Q533" i="32"/>
  <c r="U533" i="32" s="1"/>
  <c r="T332" i="32"/>
  <c r="AV332" i="32" s="1"/>
  <c r="Q332" i="32"/>
  <c r="U332" i="32" s="1"/>
  <c r="T254" i="32"/>
  <c r="AV254" i="32" s="1"/>
  <c r="Q254" i="32"/>
  <c r="U254" i="32" s="1"/>
  <c r="Q579" i="32"/>
  <c r="U579" i="32" s="1"/>
  <c r="T579" i="32"/>
  <c r="AV579" i="32" s="1"/>
  <c r="Q532" i="32"/>
  <c r="U532" i="32" s="1"/>
  <c r="T532" i="32"/>
  <c r="AV532" i="32" s="1"/>
  <c r="AW408" i="32"/>
  <c r="AX408" i="32"/>
  <c r="AY408" i="32" s="1"/>
  <c r="AW168" i="32"/>
  <c r="AX168" i="32"/>
  <c r="AY168" i="32" s="1"/>
  <c r="AX144" i="32"/>
  <c r="AY144" i="32" s="1"/>
  <c r="AW144" i="32"/>
  <c r="BL143" i="32" s="1"/>
  <c r="BM143" i="32" s="1"/>
  <c r="T371" i="32"/>
  <c r="AV371" i="32" s="1"/>
  <c r="Q371" i="32"/>
  <c r="U371" i="32" s="1"/>
  <c r="Q626" i="32"/>
  <c r="U626" i="32" s="1"/>
  <c r="T626" i="32"/>
  <c r="AV626" i="32" s="1"/>
  <c r="Q164" i="32"/>
  <c r="U164" i="32" s="1"/>
  <c r="T164" i="32"/>
  <c r="AV164" i="32" s="1"/>
  <c r="Q577" i="32"/>
  <c r="U577" i="32" s="1"/>
  <c r="T577" i="32"/>
  <c r="AV577" i="32" s="1"/>
  <c r="T555" i="32"/>
  <c r="AV555" i="32" s="1"/>
  <c r="Q555" i="32"/>
  <c r="U555" i="32" s="1"/>
  <c r="Q591" i="32"/>
  <c r="U591" i="32" s="1"/>
  <c r="T591" i="32"/>
  <c r="AV591" i="32" s="1"/>
  <c r="Q220" i="32"/>
  <c r="U220" i="32" s="1"/>
  <c r="T220" i="32"/>
  <c r="AV220" i="32" s="1"/>
  <c r="Q548" i="32"/>
  <c r="U548" i="32" s="1"/>
  <c r="T548" i="32"/>
  <c r="AV548" i="32" s="1"/>
  <c r="Q518" i="32"/>
  <c r="U518" i="32" s="1"/>
  <c r="T518" i="32"/>
  <c r="AV518" i="32" s="1"/>
  <c r="T316" i="32"/>
  <c r="AV316" i="32" s="1"/>
  <c r="Q316" i="32"/>
  <c r="U316" i="32" s="1"/>
  <c r="Q522" i="32"/>
  <c r="U522" i="32" s="1"/>
  <c r="T522" i="32"/>
  <c r="AV522" i="32" s="1"/>
  <c r="Q138" i="32"/>
  <c r="U138" i="32" s="1"/>
  <c r="T138" i="32"/>
  <c r="AV138" i="32" s="1"/>
  <c r="Q77" i="32"/>
  <c r="U77" i="32" s="1"/>
  <c r="T77" i="32"/>
  <c r="AV77" i="32" s="1"/>
  <c r="Q63" i="32"/>
  <c r="U63" i="32" s="1"/>
  <c r="T63" i="32"/>
  <c r="AV63" i="32" s="1"/>
  <c r="Q629" i="32"/>
  <c r="U629" i="32" s="1"/>
  <c r="T629" i="32"/>
  <c r="AV629" i="32" s="1"/>
  <c r="Q441" i="32"/>
  <c r="U441" i="32" s="1"/>
  <c r="T441" i="32"/>
  <c r="AV441" i="32" s="1"/>
  <c r="Q521" i="32"/>
  <c r="U521" i="32" s="1"/>
  <c r="T521" i="32"/>
  <c r="AV521" i="32" s="1"/>
  <c r="Q514" i="32"/>
  <c r="U514" i="32" s="1"/>
  <c r="T514" i="32"/>
  <c r="AV514" i="32" s="1"/>
  <c r="T239" i="32"/>
  <c r="AV239" i="32" s="1"/>
  <c r="Q239" i="32"/>
  <c r="U239" i="32" s="1"/>
  <c r="Q115" i="32"/>
  <c r="U115" i="32" s="1"/>
  <c r="T115" i="32"/>
  <c r="AV115" i="32" s="1"/>
  <c r="Q259" i="32"/>
  <c r="U259" i="32" s="1"/>
  <c r="T259" i="32"/>
  <c r="AV259" i="32" s="1"/>
  <c r="AX226" i="32"/>
  <c r="AY226" i="32" s="1"/>
  <c r="AW226" i="32"/>
  <c r="T65" i="32"/>
  <c r="AV65" i="32" s="1"/>
  <c r="Q65" i="32"/>
  <c r="U65" i="32" s="1"/>
  <c r="Q49" i="32"/>
  <c r="U49" i="32" s="1"/>
  <c r="T49" i="32"/>
  <c r="AV49" i="32" s="1"/>
  <c r="T587" i="32"/>
  <c r="AV587" i="32" s="1"/>
  <c r="Q587" i="32"/>
  <c r="U587" i="32" s="1"/>
  <c r="AW410" i="32"/>
  <c r="AX410" i="32"/>
  <c r="AY410" i="32" s="1"/>
  <c r="Q221" i="32"/>
  <c r="U221" i="32" s="1"/>
  <c r="T221" i="32"/>
  <c r="AV221" i="32" s="1"/>
  <c r="T284" i="32"/>
  <c r="AV284" i="32" s="1"/>
  <c r="Q284" i="32"/>
  <c r="U284" i="32" s="1"/>
  <c r="Q211" i="32"/>
  <c r="U211" i="32" s="1"/>
  <c r="T211" i="32"/>
  <c r="AV211" i="32" s="1"/>
  <c r="Q559" i="32"/>
  <c r="U559" i="32" s="1"/>
  <c r="T559" i="32"/>
  <c r="AV559" i="32" s="1"/>
  <c r="T349" i="32"/>
  <c r="AV349" i="32" s="1"/>
  <c r="Q349" i="32"/>
  <c r="U349" i="32" s="1"/>
  <c r="T46" i="32"/>
  <c r="AV46" i="32" s="1"/>
  <c r="Q46" i="32"/>
  <c r="U46" i="32" s="1"/>
  <c r="T237" i="32"/>
  <c r="AV237" i="32" s="1"/>
  <c r="Q237" i="32"/>
  <c r="U237" i="32" s="1"/>
  <c r="Q286" i="32"/>
  <c r="U286" i="32" s="1"/>
  <c r="T286" i="32"/>
  <c r="AV286" i="32" s="1"/>
  <c r="Q87" i="32"/>
  <c r="U87" i="32" s="1"/>
  <c r="T87" i="32"/>
  <c r="AV87" i="32" s="1"/>
  <c r="T590" i="32"/>
  <c r="AV590" i="32" s="1"/>
  <c r="Q590" i="32"/>
  <c r="U590" i="32" s="1"/>
  <c r="Q379" i="32"/>
  <c r="U379" i="32" s="1"/>
  <c r="T379" i="32"/>
  <c r="AV379" i="32" s="1"/>
  <c r="AX460" i="32"/>
  <c r="AY460" i="32" s="1"/>
  <c r="AW460" i="32"/>
  <c r="AW136" i="32"/>
  <c r="AX136" i="32"/>
  <c r="AY136" i="32" s="1"/>
  <c r="Q387" i="32"/>
  <c r="U387" i="32" s="1"/>
  <c r="T387" i="32"/>
  <c r="AV387" i="32" s="1"/>
  <c r="Q317" i="32"/>
  <c r="U317" i="32" s="1"/>
  <c r="T317" i="32"/>
  <c r="AV317" i="32" s="1"/>
  <c r="Q477" i="32"/>
  <c r="U477" i="32" s="1"/>
  <c r="T477" i="32"/>
  <c r="AV477" i="32" s="1"/>
  <c r="T543" i="32"/>
  <c r="AV543" i="32" s="1"/>
  <c r="Q543" i="32"/>
  <c r="U543" i="32" s="1"/>
  <c r="Q45" i="32"/>
  <c r="U45" i="32" s="1"/>
  <c r="T45" i="32"/>
  <c r="AV45" i="32" s="1"/>
  <c r="Q121" i="32"/>
  <c r="U121" i="32" s="1"/>
  <c r="T121" i="32"/>
  <c r="AV121" i="32" s="1"/>
  <c r="Q283" i="32"/>
  <c r="U283" i="32" s="1"/>
  <c r="T283" i="32"/>
  <c r="AV283" i="32" s="1"/>
  <c r="T542" i="32"/>
  <c r="AV542" i="32" s="1"/>
  <c r="Q542" i="32"/>
  <c r="U542" i="32" s="1"/>
  <c r="AX342" i="32"/>
  <c r="AY342" i="32" s="1"/>
  <c r="AW342" i="32"/>
  <c r="Q325" i="32"/>
  <c r="U325" i="32" s="1"/>
  <c r="T325" i="32"/>
  <c r="AV325" i="32" s="1"/>
  <c r="Q347" i="32"/>
  <c r="U347" i="32" s="1"/>
  <c r="T347" i="32"/>
  <c r="AV347" i="32" s="1"/>
  <c r="AX70" i="32"/>
  <c r="AY70" i="32" s="1"/>
  <c r="AW70" i="32"/>
  <c r="Q510" i="32"/>
  <c r="U510" i="32" s="1"/>
  <c r="T510" i="32"/>
  <c r="AV510" i="32" s="1"/>
  <c r="Q435" i="32"/>
  <c r="U435" i="32" s="1"/>
  <c r="T435" i="32"/>
  <c r="AV435" i="32" s="1"/>
  <c r="Q419" i="32"/>
  <c r="U419" i="32" s="1"/>
  <c r="T419" i="32"/>
  <c r="AV419" i="32" s="1"/>
  <c r="AX306" i="32"/>
  <c r="AY306" i="32" s="1"/>
  <c r="AW306" i="32"/>
  <c r="T288" i="32"/>
  <c r="AV288" i="32" s="1"/>
  <c r="Q288" i="32"/>
  <c r="U288" i="32" s="1"/>
  <c r="T285" i="32"/>
  <c r="AV285" i="32" s="1"/>
  <c r="Q285" i="32"/>
  <c r="U285" i="32" s="1"/>
  <c r="Q105" i="32"/>
  <c r="U105" i="32" s="1"/>
  <c r="T105" i="32"/>
  <c r="AV105" i="32" s="1"/>
  <c r="Q467" i="32"/>
  <c r="U467" i="32" s="1"/>
  <c r="T467" i="32"/>
  <c r="AV467" i="32" s="1"/>
  <c r="Q185" i="32"/>
  <c r="U185" i="32" s="1"/>
  <c r="T185" i="32"/>
  <c r="AV185" i="32" s="1"/>
  <c r="AX348" i="32"/>
  <c r="AY348" i="32" s="1"/>
  <c r="AW348" i="32"/>
  <c r="Q139" i="32"/>
  <c r="U139" i="32" s="1"/>
  <c r="T139" i="32"/>
  <c r="AV139" i="32" s="1"/>
  <c r="Q457" i="32"/>
  <c r="U457" i="32" s="1"/>
  <c r="T457" i="32"/>
  <c r="AV457" i="32" s="1"/>
  <c r="Q335" i="32"/>
  <c r="U335" i="32" s="1"/>
  <c r="T335" i="32"/>
  <c r="AV335" i="32" s="1"/>
  <c r="T529" i="32"/>
  <c r="AV529" i="32" s="1"/>
  <c r="Q529" i="32"/>
  <c r="U529" i="32" s="1"/>
  <c r="Q31" i="32"/>
  <c r="U31" i="32" s="1"/>
  <c r="T31" i="32"/>
  <c r="AV31" i="32" s="1"/>
  <c r="Q207" i="32"/>
  <c r="U207" i="32" s="1"/>
  <c r="T207" i="32"/>
  <c r="AV207" i="32" s="1"/>
  <c r="T421" i="32"/>
  <c r="AV421" i="32" s="1"/>
  <c r="Q421" i="32"/>
  <c r="U421" i="32" s="1"/>
  <c r="T244" i="32"/>
  <c r="AV244" i="32" s="1"/>
  <c r="Q244" i="32"/>
  <c r="U244" i="32" s="1"/>
  <c r="AW453" i="32"/>
  <c r="AX453" i="32"/>
  <c r="AY453" i="32" s="1"/>
  <c r="Q68" i="32"/>
  <c r="U68" i="32" s="1"/>
  <c r="T68" i="32"/>
  <c r="AV68" i="32" s="1"/>
  <c r="T76" i="32"/>
  <c r="AV76" i="32" s="1"/>
  <c r="Q76" i="32"/>
  <c r="U76" i="32" s="1"/>
  <c r="P13" i="32"/>
  <c r="B24" i="32" s="1"/>
  <c r="O13" i="32"/>
  <c r="Q170" i="32"/>
  <c r="U170" i="32" s="1"/>
  <c r="T170" i="32"/>
  <c r="AV170" i="32" s="1"/>
  <c r="Q490" i="32"/>
  <c r="U490" i="32" s="1"/>
  <c r="T490" i="32"/>
  <c r="AV490" i="32" s="1"/>
  <c r="Q276" i="32"/>
  <c r="U276" i="32" s="1"/>
  <c r="T276" i="32"/>
  <c r="AV276" i="32" s="1"/>
  <c r="Q261" i="32"/>
  <c r="U261" i="32" s="1"/>
  <c r="T261" i="32"/>
  <c r="AV261" i="32" s="1"/>
  <c r="Q209" i="32"/>
  <c r="U209" i="32" s="1"/>
  <c r="T209" i="32"/>
  <c r="AV209" i="32" s="1"/>
  <c r="Q448" i="32"/>
  <c r="U448" i="32" s="1"/>
  <c r="T448" i="32"/>
  <c r="AV448" i="32" s="1"/>
  <c r="Q101" i="32"/>
  <c r="U101" i="32" s="1"/>
  <c r="T101" i="32"/>
  <c r="AV101" i="32" s="1"/>
  <c r="AX574" i="32"/>
  <c r="AY574" i="32" s="1"/>
  <c r="AW574" i="32"/>
  <c r="T443" i="32"/>
  <c r="AV443" i="32" s="1"/>
  <c r="Q443" i="32"/>
  <c r="U443" i="32" s="1"/>
  <c r="Q162" i="32"/>
  <c r="U162" i="32" s="1"/>
  <c r="T162" i="32"/>
  <c r="AV162" i="32" s="1"/>
  <c r="T450" i="32"/>
  <c r="AV450" i="32" s="1"/>
  <c r="Q450" i="32"/>
  <c r="U450" i="32" s="1"/>
  <c r="AX470" i="32"/>
  <c r="AY470" i="32" s="1"/>
  <c r="AW470" i="32"/>
  <c r="T59" i="32"/>
  <c r="AV59" i="32" s="1"/>
  <c r="Q59" i="32"/>
  <c r="U59" i="32" s="1"/>
  <c r="Q84" i="32"/>
  <c r="U84" i="32" s="1"/>
  <c r="T84" i="32"/>
  <c r="AV84" i="32" s="1"/>
  <c r="Q563" i="32"/>
  <c r="U563" i="32" s="1"/>
  <c r="T563" i="32"/>
  <c r="AV563" i="32" s="1"/>
  <c r="Q177" i="32"/>
  <c r="U177" i="32" s="1"/>
  <c r="T177" i="32"/>
  <c r="AV177" i="32" s="1"/>
  <c r="Q381" i="32"/>
  <c r="U381" i="32" s="1"/>
  <c r="T381" i="32"/>
  <c r="AV381" i="32" s="1"/>
  <c r="T163" i="32"/>
  <c r="AV163" i="32" s="1"/>
  <c r="Q163" i="32"/>
  <c r="U163" i="32" s="1"/>
  <c r="Q525" i="32"/>
  <c r="U525" i="32" s="1"/>
  <c r="T525" i="32"/>
  <c r="AV525" i="32" s="1"/>
  <c r="T60" i="32"/>
  <c r="AV60" i="32" s="1"/>
  <c r="Q60" i="32"/>
  <c r="U60" i="32" s="1"/>
  <c r="Q459" i="32"/>
  <c r="U459" i="32" s="1"/>
  <c r="T459" i="32"/>
  <c r="AV459" i="32" s="1"/>
  <c r="AX322" i="32"/>
  <c r="AY322" i="32" s="1"/>
  <c r="AW322" i="32"/>
  <c r="Q241" i="32"/>
  <c r="U241" i="32" s="1"/>
  <c r="T241" i="32"/>
  <c r="AV241" i="32" s="1"/>
  <c r="Q33" i="32"/>
  <c r="U33" i="32" s="1"/>
  <c r="T33" i="32"/>
  <c r="AV33" i="32" s="1"/>
  <c r="Q95" i="32"/>
  <c r="U95" i="32" s="1"/>
  <c r="T95" i="32"/>
  <c r="AV95" i="32" s="1"/>
  <c r="Q193" i="32"/>
  <c r="U193" i="32" s="1"/>
  <c r="T193" i="32"/>
  <c r="AV193" i="32" s="1"/>
  <c r="T493" i="32"/>
  <c r="AV493" i="32" s="1"/>
  <c r="Q493" i="32"/>
  <c r="U493" i="32" s="1"/>
  <c r="Q409" i="32"/>
  <c r="U409" i="32" s="1"/>
  <c r="T409" i="32"/>
  <c r="AV409" i="32" s="1"/>
  <c r="Q137" i="32"/>
  <c r="U137" i="32" s="1"/>
  <c r="T137" i="32"/>
  <c r="AV137" i="32" s="1"/>
  <c r="Q597" i="32"/>
  <c r="U597" i="32" s="1"/>
  <c r="T597" i="32"/>
  <c r="AV597" i="32" s="1"/>
  <c r="Q303" i="32"/>
  <c r="U303" i="32" s="1"/>
  <c r="T303" i="32"/>
  <c r="AV303" i="32" s="1"/>
  <c r="Q201" i="32"/>
  <c r="U201" i="32" s="1"/>
  <c r="T201" i="32"/>
  <c r="AV201" i="32" s="1"/>
  <c r="Q315" i="32"/>
  <c r="U315" i="32" s="1"/>
  <c r="T315" i="32"/>
  <c r="AV315" i="32" s="1"/>
  <c r="T534" i="32"/>
  <c r="AV534" i="32" s="1"/>
  <c r="Q534" i="32"/>
  <c r="U534" i="32" s="1"/>
  <c r="AW468" i="32"/>
  <c r="AX468" i="32"/>
  <c r="AY468" i="32" s="1"/>
  <c r="Q430" i="32"/>
  <c r="U430" i="32" s="1"/>
  <c r="T430" i="32"/>
  <c r="AV430" i="32" s="1"/>
  <c r="T427" i="32"/>
  <c r="AV427" i="32" s="1"/>
  <c r="Q427" i="32"/>
  <c r="U427" i="32" s="1"/>
  <c r="Q26" i="32"/>
  <c r="U26" i="32" s="1"/>
  <c r="T26" i="32"/>
  <c r="AV26" i="32" s="1"/>
  <c r="T363" i="32"/>
  <c r="AV363" i="32" s="1"/>
  <c r="Q363" i="32"/>
  <c r="U363" i="32" s="1"/>
  <c r="T37" i="32"/>
  <c r="AV37" i="32" s="1"/>
  <c r="Q37" i="32"/>
  <c r="U37" i="32" s="1"/>
  <c r="Q586" i="32"/>
  <c r="U586" i="32" s="1"/>
  <c r="T586" i="32"/>
  <c r="AV586" i="32" s="1"/>
  <c r="Q300" i="32"/>
  <c r="U300" i="32" s="1"/>
  <c r="T300" i="32"/>
  <c r="AV300" i="32" s="1"/>
  <c r="Q557" i="32"/>
  <c r="U557" i="32" s="1"/>
  <c r="T557" i="32"/>
  <c r="AV557" i="32" s="1"/>
  <c r="T377" i="32"/>
  <c r="AV377" i="32" s="1"/>
  <c r="Q377" i="32"/>
  <c r="U377" i="32" s="1"/>
  <c r="Q373" i="32"/>
  <c r="U373" i="32" s="1"/>
  <c r="T373" i="32"/>
  <c r="AV373" i="32" s="1"/>
  <c r="AW243" i="32"/>
  <c r="AX243" i="32"/>
  <c r="AY243" i="32" s="1"/>
  <c r="Q353" i="32"/>
  <c r="U353" i="32" s="1"/>
  <c r="T353" i="32"/>
  <c r="AV353" i="32" s="1"/>
  <c r="AW344" i="32"/>
  <c r="AX344" i="32"/>
  <c r="AY344" i="32" s="1"/>
  <c r="Q343" i="32"/>
  <c r="U343" i="32" s="1"/>
  <c r="T343" i="32"/>
  <c r="AV343" i="32" s="1"/>
  <c r="Q413" i="32"/>
  <c r="U413" i="32" s="1"/>
  <c r="T413" i="32"/>
  <c r="AV413" i="32" s="1"/>
  <c r="AX54" i="32"/>
  <c r="AY54" i="32" s="1"/>
  <c r="AW54" i="32"/>
  <c r="T27" i="32"/>
  <c r="AV27" i="32" s="1"/>
  <c r="Q27" i="32"/>
  <c r="U27" i="32" s="1"/>
  <c r="Q216" i="32"/>
  <c r="U216" i="32" s="1"/>
  <c r="T216" i="32"/>
  <c r="AV216" i="32" s="1"/>
  <c r="Q401" i="32"/>
  <c r="U401" i="32" s="1"/>
  <c r="T401" i="32"/>
  <c r="AV401" i="32" s="1"/>
  <c r="Q380" i="32"/>
  <c r="U380" i="32" s="1"/>
  <c r="T380" i="32"/>
  <c r="AV380" i="32" s="1"/>
  <c r="AX106" i="32"/>
  <c r="AY106" i="32" s="1"/>
  <c r="AW106" i="32"/>
  <c r="Q240" i="32"/>
  <c r="U240" i="32" s="1"/>
  <c r="T240" i="32"/>
  <c r="AV240" i="32" s="1"/>
  <c r="Q337" i="32"/>
  <c r="U337" i="32" s="1"/>
  <c r="T337" i="32"/>
  <c r="AV337" i="32" s="1"/>
  <c r="T354" i="32"/>
  <c r="AV354" i="32" s="1"/>
  <c r="Q354" i="32"/>
  <c r="U354" i="32" s="1"/>
  <c r="AX96" i="32"/>
  <c r="AY96" i="32" s="1"/>
  <c r="AW96" i="32"/>
  <c r="AW582" i="32"/>
  <c r="AX582" i="32"/>
  <c r="AY582" i="32" s="1"/>
  <c r="Q395" i="32"/>
  <c r="U395" i="32" s="1"/>
  <c r="T395" i="32"/>
  <c r="AV395" i="32" s="1"/>
  <c r="Q210" i="32"/>
  <c r="U210" i="32" s="1"/>
  <c r="T210" i="32"/>
  <c r="AV210" i="32" s="1"/>
  <c r="T511" i="32"/>
  <c r="AV511" i="32" s="1"/>
  <c r="Q511" i="32"/>
  <c r="U511" i="32" s="1"/>
  <c r="T272" i="32"/>
  <c r="AV272" i="32" s="1"/>
  <c r="Q272" i="32"/>
  <c r="U272" i="32" s="1"/>
  <c r="T444" i="32"/>
  <c r="AV444" i="32" s="1"/>
  <c r="Q444" i="32"/>
  <c r="U444" i="32" s="1"/>
  <c r="T103" i="32"/>
  <c r="AV103" i="32" s="1"/>
  <c r="Q103" i="32"/>
  <c r="U103" i="32" s="1"/>
  <c r="Q423" i="32"/>
  <c r="U423" i="32" s="1"/>
  <c r="T423" i="32"/>
  <c r="AV423" i="32" s="1"/>
  <c r="Q52" i="32"/>
  <c r="U52" i="32" s="1"/>
  <c r="T52" i="32"/>
  <c r="AV52" i="32" s="1"/>
  <c r="Q200" i="32"/>
  <c r="U200" i="32" s="1"/>
  <c r="T200" i="32"/>
  <c r="AV200" i="32" s="1"/>
  <c r="T515" i="32"/>
  <c r="AV515" i="32" s="1"/>
  <c r="Q515" i="32"/>
  <c r="U515" i="32" s="1"/>
  <c r="T198" i="32"/>
  <c r="AV198" i="32" s="1"/>
  <c r="Q198" i="32"/>
  <c r="U198" i="32" s="1"/>
  <c r="AW360" i="32"/>
  <c r="AX360" i="32"/>
  <c r="AY360" i="32" s="1"/>
  <c r="Q541" i="32"/>
  <c r="U541" i="32" s="1"/>
  <c r="T541" i="32"/>
  <c r="AV541" i="32" s="1"/>
  <c r="Q627" i="32"/>
  <c r="U627" i="32" s="1"/>
  <c r="T627" i="32"/>
  <c r="AV627" i="32" s="1"/>
  <c r="Q107" i="32"/>
  <c r="U107" i="32" s="1"/>
  <c r="T107" i="32"/>
  <c r="AV107" i="32" s="1"/>
  <c r="Q400" i="32"/>
  <c r="U400" i="32" s="1"/>
  <c r="T400" i="32"/>
  <c r="AV400" i="32" s="1"/>
  <c r="AW566" i="32"/>
  <c r="AX566" i="32"/>
  <c r="AY566" i="32" s="1"/>
  <c r="Q127" i="32"/>
  <c r="U127" i="32" s="1"/>
  <c r="T127" i="32"/>
  <c r="AV127" i="32" s="1"/>
  <c r="T439" i="32"/>
  <c r="AV439" i="32" s="1"/>
  <c r="Q439" i="32"/>
  <c r="U439" i="32" s="1"/>
  <c r="Q190" i="32"/>
  <c r="U190" i="32" s="1"/>
  <c r="T190" i="32"/>
  <c r="AV190" i="32" s="1"/>
  <c r="T252" i="32"/>
  <c r="AV252" i="32" s="1"/>
  <c r="Q252" i="32"/>
  <c r="U252" i="32" s="1"/>
  <c r="Q195" i="32"/>
  <c r="U195" i="32" s="1"/>
  <c r="T195" i="32"/>
  <c r="AV195" i="32" s="1"/>
  <c r="Q396" i="32"/>
  <c r="U396" i="32" s="1"/>
  <c r="T396" i="32"/>
  <c r="AV396" i="32" s="1"/>
  <c r="AW24" i="32"/>
  <c r="AX24" i="32"/>
  <c r="AY24" i="32" s="1"/>
  <c r="Q472" i="32"/>
  <c r="U472" i="32" s="1"/>
  <c r="T472" i="32"/>
  <c r="AV472" i="32" s="1"/>
  <c r="AX560" i="32"/>
  <c r="AY560" i="32" s="1"/>
  <c r="AW560" i="32"/>
  <c r="T113" i="32"/>
  <c r="AV113" i="32" s="1"/>
  <c r="Q113" i="32"/>
  <c r="U113" i="32" s="1"/>
  <c r="Q214" i="32"/>
  <c r="U214" i="32" s="1"/>
  <c r="T214" i="32"/>
  <c r="AV214" i="32" s="1"/>
  <c r="AX426" i="32"/>
  <c r="AY426" i="32" s="1"/>
  <c r="AW426" i="32"/>
  <c r="Q334" i="32"/>
  <c r="U334" i="32" s="1"/>
  <c r="T334" i="32"/>
  <c r="AV334" i="32" s="1"/>
  <c r="T506" i="32"/>
  <c r="AV506" i="32" s="1"/>
  <c r="Q506" i="32"/>
  <c r="U506" i="32" s="1"/>
  <c r="Q367" i="32"/>
  <c r="U367" i="32" s="1"/>
  <c r="T367" i="32"/>
  <c r="AV367" i="32" s="1"/>
  <c r="Q67" i="32"/>
  <c r="U67" i="32" s="1"/>
  <c r="T67" i="32"/>
  <c r="AV67" i="32" s="1"/>
  <c r="Q228" i="32"/>
  <c r="U228" i="32" s="1"/>
  <c r="T228" i="32"/>
  <c r="AV228" i="32" s="1"/>
  <c r="AW38" i="32"/>
  <c r="AX38" i="32"/>
  <c r="AY38" i="32" s="1"/>
  <c r="T20" i="32"/>
  <c r="AV20" i="32" s="1"/>
  <c r="Q20" i="32"/>
  <c r="U20" i="32" s="1"/>
  <c r="Q309" i="32"/>
  <c r="U309" i="32" s="1"/>
  <c r="T309" i="32"/>
  <c r="AV309" i="32" s="1"/>
  <c r="AW368" i="32"/>
  <c r="AX368" i="32"/>
  <c r="AY368" i="32" s="1"/>
  <c r="T420" i="32"/>
  <c r="AV420" i="32" s="1"/>
  <c r="Q420" i="32"/>
  <c r="U420" i="32" s="1"/>
  <c r="T524" i="32"/>
  <c r="AV524" i="32" s="1"/>
  <c r="Q524" i="32"/>
  <c r="U524" i="32" s="1"/>
  <c r="T61" i="32"/>
  <c r="AV61" i="32" s="1"/>
  <c r="Q61" i="32"/>
  <c r="U61" i="32" s="1"/>
  <c r="Q202" i="32"/>
  <c r="U202" i="32" s="1"/>
  <c r="T202" i="32"/>
  <c r="AV202" i="32" s="1"/>
  <c r="Q251" i="32"/>
  <c r="U251" i="32" s="1"/>
  <c r="T251" i="32"/>
  <c r="AV251" i="32" s="1"/>
  <c r="T146" i="32"/>
  <c r="AV146" i="32" s="1"/>
  <c r="Q146" i="32"/>
  <c r="U146" i="32" s="1"/>
  <c r="T575" i="32"/>
  <c r="AV575" i="32" s="1"/>
  <c r="Q575" i="32"/>
  <c r="U575" i="32" s="1"/>
  <c r="T314" i="32"/>
  <c r="AV314" i="32" s="1"/>
  <c r="Q314" i="32"/>
  <c r="U314" i="32" s="1"/>
  <c r="Q110" i="32"/>
  <c r="U110" i="32" s="1"/>
  <c r="T110" i="32"/>
  <c r="AV110" i="32" s="1"/>
  <c r="AX128" i="32"/>
  <c r="AY128" i="32" s="1"/>
  <c r="AW128" i="32"/>
  <c r="BL167" i="32" l="1"/>
  <c r="BM167" i="32" s="1"/>
  <c r="AX146" i="32"/>
  <c r="AY146" i="32" s="1"/>
  <c r="AW146" i="32"/>
  <c r="AX272" i="32"/>
  <c r="AY272" i="32" s="1"/>
  <c r="AW272" i="32"/>
  <c r="AX542" i="32"/>
  <c r="AY542" i="32" s="1"/>
  <c r="AW542" i="32"/>
  <c r="AX107" i="32"/>
  <c r="AY107" i="32" s="1"/>
  <c r="AW107" i="32"/>
  <c r="AX216" i="32"/>
  <c r="AY216" i="32" s="1"/>
  <c r="AW216" i="32"/>
  <c r="BL215" i="32" s="1"/>
  <c r="BM215" i="32" s="1"/>
  <c r="AW586" i="32"/>
  <c r="AX586" i="32"/>
  <c r="AY586" i="32" s="1"/>
  <c r="AX137" i="32"/>
  <c r="AY137" i="32" s="1"/>
  <c r="AW137" i="32"/>
  <c r="BL136" i="32" s="1"/>
  <c r="BM136" i="32" s="1"/>
  <c r="AW381" i="32"/>
  <c r="AX381" i="32"/>
  <c r="AY381" i="32" s="1"/>
  <c r="AW31" i="32"/>
  <c r="AX31" i="32"/>
  <c r="AY31" i="32" s="1"/>
  <c r="AW105" i="32"/>
  <c r="BL105" i="32" s="1"/>
  <c r="BM105" i="32" s="1"/>
  <c r="AX105" i="32"/>
  <c r="AY105" i="32" s="1"/>
  <c r="AW283" i="32"/>
  <c r="BL282" i="32" s="1"/>
  <c r="BM282" i="32" s="1"/>
  <c r="AX283" i="32"/>
  <c r="AY283" i="32" s="1"/>
  <c r="AX420" i="32"/>
  <c r="AY420" i="32" s="1"/>
  <c r="AW420" i="32"/>
  <c r="AW506" i="32"/>
  <c r="AX506" i="32"/>
  <c r="AY506" i="32" s="1"/>
  <c r="AX113" i="32"/>
  <c r="AY113" i="32" s="1"/>
  <c r="AW113" i="32"/>
  <c r="AW439" i="32"/>
  <c r="BL439" i="32" s="1"/>
  <c r="BM439" i="32" s="1"/>
  <c r="AX439" i="32"/>
  <c r="AY439" i="32" s="1"/>
  <c r="AX198" i="32"/>
  <c r="AY198" i="32" s="1"/>
  <c r="AW198" i="32"/>
  <c r="AX511" i="32"/>
  <c r="AY511" i="32" s="1"/>
  <c r="AW511" i="32"/>
  <c r="AW427" i="32"/>
  <c r="BL426" i="32" s="1"/>
  <c r="BM426" i="32" s="1"/>
  <c r="AX427" i="32"/>
  <c r="AY427" i="32" s="1"/>
  <c r="AW59" i="32"/>
  <c r="AX59" i="32"/>
  <c r="AY59" i="32" s="1"/>
  <c r="AW443" i="32"/>
  <c r="BL442" i="32" s="1"/>
  <c r="BM442" i="32" s="1"/>
  <c r="AX443" i="32"/>
  <c r="AY443" i="32" s="1"/>
  <c r="AX316" i="32"/>
  <c r="AY316" i="32" s="1"/>
  <c r="AW316" i="32"/>
  <c r="AX332" i="32"/>
  <c r="AY332" i="32" s="1"/>
  <c r="AW332" i="32"/>
  <c r="AW383" i="32"/>
  <c r="BL383" i="32" s="1"/>
  <c r="BM383" i="32" s="1"/>
  <c r="AX383" i="32"/>
  <c r="AY383" i="32" s="1"/>
  <c r="AX429" i="32"/>
  <c r="AY429" i="32" s="1"/>
  <c r="AW429" i="32"/>
  <c r="AW307" i="32"/>
  <c r="AX307" i="32"/>
  <c r="AY307" i="32" s="1"/>
  <c r="AX99" i="32"/>
  <c r="AY99" i="32" s="1"/>
  <c r="AW99" i="32"/>
  <c r="AW361" i="32"/>
  <c r="BL360" i="32" s="1"/>
  <c r="BM360" i="32" s="1"/>
  <c r="AX361" i="32"/>
  <c r="AY361" i="32" s="1"/>
  <c r="AX169" i="32"/>
  <c r="AY169" i="32" s="1"/>
  <c r="AW169" i="32"/>
  <c r="AX257" i="32"/>
  <c r="AY257" i="32" s="1"/>
  <c r="AW257" i="32"/>
  <c r="AX294" i="32"/>
  <c r="AY294" i="32" s="1"/>
  <c r="AW294" i="32"/>
  <c r="AW425" i="32"/>
  <c r="BL425" i="32" s="1"/>
  <c r="BM425" i="32" s="1"/>
  <c r="AX425" i="32"/>
  <c r="AY425" i="32" s="1"/>
  <c r="AW217" i="32"/>
  <c r="AX217" i="32"/>
  <c r="AY217" i="32" s="1"/>
  <c r="AW454" i="32"/>
  <c r="BL453" i="32" s="1"/>
  <c r="BM453" i="32" s="1"/>
  <c r="AX454" i="32"/>
  <c r="AY454" i="32" s="1"/>
  <c r="AX173" i="32"/>
  <c r="AY173" i="32" s="1"/>
  <c r="AW173" i="32"/>
  <c r="AW369" i="32"/>
  <c r="BL368" i="32" s="1"/>
  <c r="BM368" i="32" s="1"/>
  <c r="AX369" i="32"/>
  <c r="AY369" i="32" s="1"/>
  <c r="AX535" i="32"/>
  <c r="AY535" i="32" s="1"/>
  <c r="AW535" i="32"/>
  <c r="AX612" i="32"/>
  <c r="AY612" i="32" s="1"/>
  <c r="AW612" i="32"/>
  <c r="BL226" i="32"/>
  <c r="BM226" i="32" s="1"/>
  <c r="AW551" i="32"/>
  <c r="BL551" i="32" s="1"/>
  <c r="BM551" i="32" s="1"/>
  <c r="AX551" i="32"/>
  <c r="AY551" i="32" s="1"/>
  <c r="AW456" i="32"/>
  <c r="AX456" i="32"/>
  <c r="AY456" i="32" s="1"/>
  <c r="AX624" i="32"/>
  <c r="AY624" i="32" s="1"/>
  <c r="AW624" i="32"/>
  <c r="H634" i="32" s="1"/>
  <c r="AW406" i="32"/>
  <c r="AX406" i="32"/>
  <c r="AY406" i="32" s="1"/>
  <c r="AW18" i="32"/>
  <c r="AX18" i="32"/>
  <c r="AY18" i="32" s="1"/>
  <c r="AX295" i="32"/>
  <c r="AY295" i="32" s="1"/>
  <c r="AW295" i="32"/>
  <c r="AW417" i="32"/>
  <c r="BL416" i="32" s="1"/>
  <c r="BM416" i="32" s="1"/>
  <c r="AX417" i="32"/>
  <c r="AY417" i="32" s="1"/>
  <c r="AW451" i="32"/>
  <c r="AX451" i="32"/>
  <c r="AY451" i="32" s="1"/>
  <c r="AW485" i="32"/>
  <c r="AX485" i="32"/>
  <c r="AY485" i="32" s="1"/>
  <c r="AX588" i="32"/>
  <c r="AY588" i="32" s="1"/>
  <c r="AW588" i="32"/>
  <c r="AW422" i="32"/>
  <c r="AX422" i="32"/>
  <c r="AY422" i="32" s="1"/>
  <c r="AW291" i="32"/>
  <c r="BL290" i="32" s="1"/>
  <c r="BM290" i="32" s="1"/>
  <c r="AX291" i="32"/>
  <c r="AY291" i="32" s="1"/>
  <c r="AW462" i="32"/>
  <c r="BL461" i="32" s="1"/>
  <c r="BM461" i="32" s="1"/>
  <c r="AX462" i="32"/>
  <c r="AY462" i="32" s="1"/>
  <c r="AW320" i="32"/>
  <c r="AX320" i="32"/>
  <c r="AY320" i="32" s="1"/>
  <c r="AW517" i="32"/>
  <c r="AX517" i="32"/>
  <c r="AY517" i="32" s="1"/>
  <c r="AW610" i="32"/>
  <c r="AX610" i="32"/>
  <c r="AY610" i="32" s="1"/>
  <c r="AW375" i="32"/>
  <c r="AX375" i="32"/>
  <c r="AY375" i="32" s="1"/>
  <c r="AW69" i="32"/>
  <c r="BL69" i="32" s="1"/>
  <c r="BM69" i="32" s="1"/>
  <c r="AX69" i="32"/>
  <c r="AY69" i="32" s="1"/>
  <c r="AW388" i="32"/>
  <c r="AX388" i="32"/>
  <c r="AY388" i="32" s="1"/>
  <c r="AW593" i="32"/>
  <c r="AX593" i="32"/>
  <c r="AY593" i="32" s="1"/>
  <c r="AW94" i="32"/>
  <c r="AX94" i="32"/>
  <c r="AY94" i="32" s="1"/>
  <c r="AX277" i="32"/>
  <c r="AY277" i="32" s="1"/>
  <c r="AW277" i="32"/>
  <c r="AX571" i="32"/>
  <c r="AY571" i="32" s="1"/>
  <c r="AW571" i="32"/>
  <c r="BL242" i="32"/>
  <c r="BM242" i="32" s="1"/>
  <c r="AX232" i="32"/>
  <c r="AY232" i="32" s="1"/>
  <c r="AW232" i="32"/>
  <c r="AW565" i="32"/>
  <c r="BL565" i="32" s="1"/>
  <c r="BM565" i="32" s="1"/>
  <c r="AX565" i="32"/>
  <c r="AY565" i="32" s="1"/>
  <c r="AX67" i="32"/>
  <c r="AY67" i="32" s="1"/>
  <c r="AW67" i="32"/>
  <c r="AW163" i="32"/>
  <c r="AX163" i="32"/>
  <c r="AY163" i="32" s="1"/>
  <c r="AX543" i="32"/>
  <c r="AY543" i="32" s="1"/>
  <c r="AW543" i="32"/>
  <c r="AX349" i="32"/>
  <c r="AY349" i="32" s="1"/>
  <c r="AW349" i="32"/>
  <c r="BL348" i="32" s="1"/>
  <c r="BM348" i="32" s="1"/>
  <c r="AX251" i="32"/>
  <c r="AY251" i="32" s="1"/>
  <c r="AW251" i="32"/>
  <c r="AX423" i="32"/>
  <c r="AY423" i="32" s="1"/>
  <c r="AW423" i="32"/>
  <c r="AX240" i="32"/>
  <c r="AY240" i="32" s="1"/>
  <c r="AW240" i="32"/>
  <c r="AX373" i="32"/>
  <c r="AY373" i="32" s="1"/>
  <c r="AW373" i="32"/>
  <c r="BL372" i="32" s="1"/>
  <c r="BM372" i="32" s="1"/>
  <c r="AX315" i="32"/>
  <c r="AY315" i="32" s="1"/>
  <c r="AW315" i="32"/>
  <c r="AX459" i="32"/>
  <c r="AY459" i="32" s="1"/>
  <c r="AW459" i="32"/>
  <c r="AW170" i="32"/>
  <c r="AX170" i="32"/>
  <c r="AY170" i="32" s="1"/>
  <c r="AW419" i="32"/>
  <c r="BL418" i="32" s="1"/>
  <c r="BM418" i="32" s="1"/>
  <c r="AX419" i="32"/>
  <c r="AY419" i="32" s="1"/>
  <c r="AX202" i="32"/>
  <c r="AY202" i="32" s="1"/>
  <c r="AW202" i="32"/>
  <c r="AX228" i="32"/>
  <c r="AY228" i="32" s="1"/>
  <c r="AW228" i="32"/>
  <c r="BL227" i="32" s="1"/>
  <c r="BM227" i="32" s="1"/>
  <c r="AW334" i="32"/>
  <c r="AX334" i="32"/>
  <c r="AY334" i="32" s="1"/>
  <c r="AW195" i="32"/>
  <c r="AX195" i="32"/>
  <c r="AY195" i="32" s="1"/>
  <c r="AX127" i="32"/>
  <c r="AY127" i="32" s="1"/>
  <c r="AW127" i="32"/>
  <c r="BL127" i="32" s="1"/>
  <c r="BM127" i="32" s="1"/>
  <c r="AX627" i="32"/>
  <c r="AY627" i="32" s="1"/>
  <c r="AW627" i="32"/>
  <c r="AX210" i="32"/>
  <c r="AY210" i="32" s="1"/>
  <c r="AW210" i="32"/>
  <c r="AX430" i="32"/>
  <c r="AY430" i="32" s="1"/>
  <c r="AW430" i="32"/>
  <c r="AX201" i="32"/>
  <c r="AY201" i="32" s="1"/>
  <c r="AW201" i="32"/>
  <c r="AW409" i="32"/>
  <c r="BL408" i="32" s="1"/>
  <c r="BM408" i="32" s="1"/>
  <c r="AX409" i="32"/>
  <c r="AY409" i="32" s="1"/>
  <c r="AW33" i="32"/>
  <c r="BL32" i="32" s="1"/>
  <c r="BM32" i="32" s="1"/>
  <c r="AX33" i="32"/>
  <c r="AY33" i="32" s="1"/>
  <c r="AW177" i="32"/>
  <c r="BL176" i="32" s="1"/>
  <c r="BM176" i="32" s="1"/>
  <c r="AX177" i="32"/>
  <c r="AY177" i="32" s="1"/>
  <c r="AX261" i="32"/>
  <c r="AY261" i="32" s="1"/>
  <c r="AW261" i="32"/>
  <c r="T13" i="32"/>
  <c r="AV13" i="32" s="1"/>
  <c r="Q13" i="32"/>
  <c r="AX435" i="32"/>
  <c r="AY435" i="32" s="1"/>
  <c r="AW435" i="32"/>
  <c r="AW325" i="32"/>
  <c r="AX325" i="32"/>
  <c r="AY325" i="32" s="1"/>
  <c r="AX121" i="32"/>
  <c r="AY121" i="32" s="1"/>
  <c r="AW121" i="32"/>
  <c r="BL120" i="32" s="1"/>
  <c r="BM120" i="32" s="1"/>
  <c r="AX317" i="32"/>
  <c r="AY317" i="32" s="1"/>
  <c r="AW317" i="32"/>
  <c r="AW379" i="32"/>
  <c r="BL378" i="32" s="1"/>
  <c r="BM378" i="32" s="1"/>
  <c r="AX379" i="32"/>
  <c r="AY379" i="32" s="1"/>
  <c r="AX211" i="32"/>
  <c r="AY211" i="32" s="1"/>
  <c r="AW211" i="32"/>
  <c r="AX259" i="32"/>
  <c r="AY259" i="32" s="1"/>
  <c r="AW259" i="32"/>
  <c r="AX521" i="32"/>
  <c r="AY521" i="32" s="1"/>
  <c r="AW521" i="32"/>
  <c r="BL520" i="32" s="1"/>
  <c r="BM520" i="32" s="1"/>
  <c r="AX77" i="32"/>
  <c r="AY77" i="32" s="1"/>
  <c r="AW77" i="32"/>
  <c r="AX518" i="32"/>
  <c r="AY518" i="32" s="1"/>
  <c r="AW518" i="32"/>
  <c r="AX532" i="32"/>
  <c r="AY532" i="32" s="1"/>
  <c r="AW532" i="32"/>
  <c r="AW238" i="32"/>
  <c r="AX238" i="32"/>
  <c r="AY238" i="32" s="1"/>
  <c r="AX109" i="32"/>
  <c r="AY109" i="32" s="1"/>
  <c r="AW109" i="32"/>
  <c r="AX203" i="32"/>
  <c r="AY203" i="32" s="1"/>
  <c r="AW203" i="32"/>
  <c r="BL460" i="32"/>
  <c r="BM460" i="32" s="1"/>
  <c r="AX150" i="32"/>
  <c r="AY150" i="32" s="1"/>
  <c r="AW150" i="32"/>
  <c r="AW550" i="32"/>
  <c r="AX550" i="32"/>
  <c r="AY550" i="32" s="1"/>
  <c r="AX545" i="32"/>
  <c r="AY545" i="32" s="1"/>
  <c r="AW545" i="32"/>
  <c r="BL544" i="32" s="1"/>
  <c r="BM544" i="32" s="1"/>
  <c r="AX225" i="32"/>
  <c r="AY225" i="32" s="1"/>
  <c r="AW225" i="32"/>
  <c r="BL225" i="32" s="1"/>
  <c r="BM225" i="32" s="1"/>
  <c r="AW57" i="32"/>
  <c r="AX57" i="32"/>
  <c r="AY57" i="32" s="1"/>
  <c r="AX466" i="32"/>
  <c r="AY466" i="32" s="1"/>
  <c r="AW466" i="32"/>
  <c r="AW547" i="32"/>
  <c r="AX547" i="32"/>
  <c r="AY547" i="32" s="1"/>
  <c r="AW570" i="32"/>
  <c r="AX570" i="32"/>
  <c r="AY570" i="32" s="1"/>
  <c r="AX537" i="32"/>
  <c r="AY537" i="32" s="1"/>
  <c r="AW537" i="32"/>
  <c r="BL536" i="32" s="1"/>
  <c r="BM536" i="32" s="1"/>
  <c r="AX299" i="32"/>
  <c r="AY299" i="32" s="1"/>
  <c r="AW299" i="32"/>
  <c r="BL298" i="32" s="1"/>
  <c r="BM298" i="32" s="1"/>
  <c r="AW234" i="32"/>
  <c r="AX234" i="32"/>
  <c r="AY234" i="32" s="1"/>
  <c r="AW526" i="32"/>
  <c r="AX526" i="32"/>
  <c r="AY526" i="32" s="1"/>
  <c r="AW255" i="32"/>
  <c r="AX255" i="32"/>
  <c r="AY255" i="32" s="1"/>
  <c r="AX29" i="32"/>
  <c r="AY29" i="32" s="1"/>
  <c r="AW29" i="32"/>
  <c r="AX326" i="32"/>
  <c r="AY326" i="32" s="1"/>
  <c r="AW326" i="32"/>
  <c r="BL325" i="32" s="1"/>
  <c r="BM325" i="32" s="1"/>
  <c r="AX145" i="32"/>
  <c r="AY145" i="32" s="1"/>
  <c r="AW145" i="32"/>
  <c r="BL144" i="32" s="1"/>
  <c r="BM144" i="32" s="1"/>
  <c r="AW53" i="32"/>
  <c r="BL53" i="32" s="1"/>
  <c r="BM53" i="32" s="1"/>
  <c r="AX53" i="32"/>
  <c r="AY53" i="32" s="1"/>
  <c r="AX407" i="32"/>
  <c r="AY407" i="32" s="1"/>
  <c r="AW407" i="32"/>
  <c r="AW292" i="32"/>
  <c r="AX292" i="32"/>
  <c r="AY292" i="32" s="1"/>
  <c r="AX301" i="32"/>
  <c r="AY301" i="32" s="1"/>
  <c r="AW301" i="32"/>
  <c r="AW250" i="32"/>
  <c r="AX250" i="32"/>
  <c r="AY250" i="32" s="1"/>
  <c r="AX117" i="32"/>
  <c r="AY117" i="32" s="1"/>
  <c r="AW117" i="32"/>
  <c r="AX463" i="32"/>
  <c r="AY463" i="32" s="1"/>
  <c r="AW463" i="32"/>
  <c r="AW385" i="32"/>
  <c r="BL384" i="32" s="1"/>
  <c r="BM384" i="32" s="1"/>
  <c r="AX385" i="32"/>
  <c r="AY385" i="32" s="1"/>
  <c r="AW516" i="32"/>
  <c r="AX516" i="32"/>
  <c r="AY516" i="32" s="1"/>
  <c r="BL71" i="32"/>
  <c r="BM71" i="32" s="1"/>
  <c r="AW556" i="32"/>
  <c r="AX556" i="32"/>
  <c r="AY556" i="32" s="1"/>
  <c r="AW607" i="32"/>
  <c r="BL606" i="32" s="1"/>
  <c r="BM606" i="32" s="1"/>
  <c r="AX607" i="32"/>
  <c r="AY607" i="32" s="1"/>
  <c r="AW333" i="32"/>
  <c r="AX333" i="32"/>
  <c r="AY333" i="32" s="1"/>
  <c r="AX89" i="32"/>
  <c r="AY89" i="32" s="1"/>
  <c r="AW89" i="32"/>
  <c r="BL88" i="32" s="1"/>
  <c r="BM88" i="32" s="1"/>
  <c r="AW147" i="32"/>
  <c r="BL146" i="32" s="1"/>
  <c r="BM146" i="32" s="1"/>
  <c r="AX147" i="32"/>
  <c r="AY147" i="32" s="1"/>
  <c r="AW179" i="32"/>
  <c r="AX179" i="32"/>
  <c r="AY179" i="32" s="1"/>
  <c r="AX412" i="32"/>
  <c r="AY412" i="32" s="1"/>
  <c r="AW412" i="32"/>
  <c r="AW603" i="32"/>
  <c r="AX603" i="32"/>
  <c r="AY603" i="32" s="1"/>
  <c r="AX85" i="32"/>
  <c r="AY85" i="32" s="1"/>
  <c r="AW85" i="32"/>
  <c r="BL85" i="32" s="1"/>
  <c r="BM85" i="32" s="1"/>
  <c r="AW197" i="32"/>
  <c r="AX197" i="32"/>
  <c r="AY197" i="32" s="1"/>
  <c r="AW20" i="32"/>
  <c r="AX20" i="32"/>
  <c r="AY20" i="32" s="1"/>
  <c r="AX65" i="32"/>
  <c r="AY65" i="32" s="1"/>
  <c r="AW65" i="32"/>
  <c r="BL64" i="32" s="1"/>
  <c r="BM64" i="32" s="1"/>
  <c r="AW314" i="32"/>
  <c r="AX314" i="32"/>
  <c r="AY314" i="32" s="1"/>
  <c r="AW515" i="32"/>
  <c r="AX515" i="32"/>
  <c r="AY515" i="32" s="1"/>
  <c r="AX103" i="32"/>
  <c r="AY103" i="32" s="1"/>
  <c r="AW103" i="32"/>
  <c r="BL102" i="32" s="1"/>
  <c r="BM102" i="32" s="1"/>
  <c r="AW27" i="32"/>
  <c r="AX27" i="32"/>
  <c r="AY27" i="32" s="1"/>
  <c r="AX377" i="32"/>
  <c r="AY377" i="32" s="1"/>
  <c r="AW377" i="32"/>
  <c r="BL377" i="32" s="1"/>
  <c r="BM377" i="32" s="1"/>
  <c r="AX37" i="32"/>
  <c r="AY37" i="32" s="1"/>
  <c r="AW37" i="32"/>
  <c r="BL37" i="32" s="1"/>
  <c r="BM37" i="32" s="1"/>
  <c r="AW60" i="32"/>
  <c r="AX60" i="32"/>
  <c r="AY60" i="32" s="1"/>
  <c r="AX244" i="32"/>
  <c r="AY244" i="32" s="1"/>
  <c r="AW244" i="32"/>
  <c r="BL243" i="32" s="1"/>
  <c r="BM243" i="32" s="1"/>
  <c r="AX529" i="32"/>
  <c r="AY529" i="32" s="1"/>
  <c r="AW529" i="32"/>
  <c r="BL528" i="32" s="1"/>
  <c r="BM528" i="32" s="1"/>
  <c r="AW285" i="32"/>
  <c r="AX285" i="32"/>
  <c r="AY285" i="32" s="1"/>
  <c r="AX237" i="32"/>
  <c r="AY237" i="32" s="1"/>
  <c r="AW237" i="32"/>
  <c r="AW587" i="32"/>
  <c r="AX587" i="32"/>
  <c r="AY587" i="32" s="1"/>
  <c r="AX555" i="32"/>
  <c r="AY555" i="32" s="1"/>
  <c r="AW555" i="32"/>
  <c r="AX371" i="32"/>
  <c r="AY371" i="32" s="1"/>
  <c r="AW371" i="32"/>
  <c r="BL370" i="32" s="1"/>
  <c r="BM370" i="32" s="1"/>
  <c r="AW533" i="32"/>
  <c r="AX533" i="32"/>
  <c r="AY533" i="32" s="1"/>
  <c r="AW345" i="32"/>
  <c r="BL344" i="32" s="1"/>
  <c r="BM344" i="32" s="1"/>
  <c r="AX345" i="32"/>
  <c r="AY345" i="32" s="1"/>
  <c r="AX554" i="32"/>
  <c r="AY554" i="32" s="1"/>
  <c r="AW554" i="32"/>
  <c r="AX482" i="32"/>
  <c r="AY482" i="32" s="1"/>
  <c r="AW482" i="32"/>
  <c r="AW153" i="32"/>
  <c r="BL152" i="32" s="1"/>
  <c r="BM152" i="32" s="1"/>
  <c r="AX153" i="32"/>
  <c r="AY153" i="32" s="1"/>
  <c r="AX141" i="32"/>
  <c r="AY141" i="32" s="1"/>
  <c r="AW141" i="32"/>
  <c r="AX308" i="32"/>
  <c r="AY308" i="32" s="1"/>
  <c r="AW308" i="32"/>
  <c r="AW503" i="32"/>
  <c r="BL503" i="32" s="1"/>
  <c r="BM503" i="32" s="1"/>
  <c r="AX503" i="32"/>
  <c r="AY503" i="32" s="1"/>
  <c r="AW269" i="32"/>
  <c r="AX269" i="32"/>
  <c r="AY269" i="32" s="1"/>
  <c r="AW549" i="32"/>
  <c r="AX549" i="32"/>
  <c r="AY549" i="32" s="1"/>
  <c r="BL511" i="32"/>
  <c r="BM511" i="32" s="1"/>
  <c r="AX35" i="32"/>
  <c r="AY35" i="32" s="1"/>
  <c r="AW35" i="32"/>
  <c r="BL34" i="32" s="1"/>
  <c r="BM34" i="32" s="1"/>
  <c r="AX50" i="32"/>
  <c r="AY50" i="32" s="1"/>
  <c r="AW50" i="32"/>
  <c r="AW160" i="32"/>
  <c r="BL159" i="32" s="1"/>
  <c r="BM159" i="32" s="1"/>
  <c r="AX160" i="32"/>
  <c r="AY160" i="32" s="1"/>
  <c r="AW611" i="32"/>
  <c r="AX611" i="32"/>
  <c r="AY611" i="32" s="1"/>
  <c r="AX75" i="32"/>
  <c r="AY75" i="32" s="1"/>
  <c r="AW75" i="32"/>
  <c r="AX398" i="32"/>
  <c r="AY398" i="32" s="1"/>
  <c r="AW398" i="32"/>
  <c r="AX194" i="32"/>
  <c r="AY194" i="32" s="1"/>
  <c r="AW194" i="32"/>
  <c r="AW319" i="32"/>
  <c r="AX319" i="32"/>
  <c r="AY319" i="32" s="1"/>
  <c r="AX489" i="32"/>
  <c r="AY489" i="32" s="1"/>
  <c r="AW489" i="32"/>
  <c r="BL488" i="32" s="1"/>
  <c r="BM488" i="32" s="1"/>
  <c r="AX279" i="32"/>
  <c r="AY279" i="32" s="1"/>
  <c r="AW279" i="32"/>
  <c r="AW553" i="32"/>
  <c r="BL552" i="32" s="1"/>
  <c r="BM552" i="32" s="1"/>
  <c r="AX553" i="32"/>
  <c r="AY553" i="32" s="1"/>
  <c r="AW492" i="32"/>
  <c r="AX492" i="32"/>
  <c r="AY492" i="32" s="1"/>
  <c r="BL70" i="32"/>
  <c r="AW253" i="32"/>
  <c r="AX253" i="32"/>
  <c r="AY253" i="32" s="1"/>
  <c r="AW324" i="32"/>
  <c r="AX324" i="32"/>
  <c r="AY324" i="32" s="1"/>
  <c r="AW405" i="32"/>
  <c r="AX405" i="32"/>
  <c r="AY405" i="32" s="1"/>
  <c r="AX79" i="32"/>
  <c r="AY79" i="32" s="1"/>
  <c r="AW79" i="32"/>
  <c r="BL79" i="32" s="1"/>
  <c r="BM79" i="32" s="1"/>
  <c r="AX452" i="32"/>
  <c r="AY452" i="32" s="1"/>
  <c r="AW452" i="32"/>
  <c r="AX589" i="32"/>
  <c r="AY589" i="32" s="1"/>
  <c r="AW589" i="32"/>
  <c r="AW567" i="32"/>
  <c r="BL566" i="32" s="1"/>
  <c r="BM566" i="32" s="1"/>
  <c r="AX567" i="32"/>
  <c r="AY567" i="32" s="1"/>
  <c r="AX100" i="32"/>
  <c r="AY100" i="32" s="1"/>
  <c r="AW100" i="32"/>
  <c r="AW222" i="32"/>
  <c r="AX222" i="32"/>
  <c r="AY222" i="32" s="1"/>
  <c r="AW507" i="32"/>
  <c r="BL506" i="32" s="1"/>
  <c r="BM506" i="32" s="1"/>
  <c r="AX507" i="32"/>
  <c r="AY507" i="32" s="1"/>
  <c r="AX304" i="32"/>
  <c r="AY304" i="32" s="1"/>
  <c r="AW304" i="32"/>
  <c r="AW491" i="32"/>
  <c r="AX491" i="32"/>
  <c r="AY491" i="32" s="1"/>
  <c r="AW355" i="32"/>
  <c r="BL355" i="32" s="1"/>
  <c r="BM355" i="32" s="1"/>
  <c r="AX355" i="32"/>
  <c r="AY355" i="32" s="1"/>
  <c r="AW189" i="32"/>
  <c r="AX189" i="32"/>
  <c r="AY189" i="32" s="1"/>
  <c r="AX125" i="32"/>
  <c r="AY125" i="32" s="1"/>
  <c r="AW125" i="32"/>
  <c r="AW111" i="32"/>
  <c r="AX111" i="32"/>
  <c r="AY111" i="32" s="1"/>
  <c r="AX351" i="32"/>
  <c r="AY351" i="32" s="1"/>
  <c r="AW351" i="32"/>
  <c r="BL350" i="32" s="1"/>
  <c r="BM350" i="32" s="1"/>
  <c r="AX579" i="32"/>
  <c r="AY579" i="32" s="1"/>
  <c r="AW579" i="32"/>
  <c r="AX187" i="32"/>
  <c r="AY187" i="32" s="1"/>
  <c r="AW187" i="32"/>
  <c r="AX23" i="32"/>
  <c r="AY23" i="32" s="1"/>
  <c r="AW23" i="32"/>
  <c r="BL22" i="32" s="1"/>
  <c r="BM22" i="32" s="1"/>
  <c r="AW208" i="32"/>
  <c r="AX208" i="32"/>
  <c r="AY208" i="32" s="1"/>
  <c r="AW296" i="32"/>
  <c r="AX296" i="32"/>
  <c r="AY296" i="32" s="1"/>
  <c r="AW204" i="32"/>
  <c r="AX204" i="32"/>
  <c r="AY204" i="32" s="1"/>
  <c r="AX318" i="32"/>
  <c r="AY318" i="32" s="1"/>
  <c r="AW318" i="32"/>
  <c r="AX465" i="32"/>
  <c r="AY465" i="32" s="1"/>
  <c r="AW465" i="32"/>
  <c r="AW248" i="32"/>
  <c r="AX248" i="32"/>
  <c r="AY248" i="32" s="1"/>
  <c r="AW262" i="32"/>
  <c r="AX262" i="32"/>
  <c r="AY262" i="32" s="1"/>
  <c r="AX499" i="32"/>
  <c r="AY499" i="32" s="1"/>
  <c r="AW499" i="32"/>
  <c r="AW374" i="32"/>
  <c r="AX374" i="32"/>
  <c r="AY374" i="32" s="1"/>
  <c r="AW519" i="32"/>
  <c r="BL519" i="32" s="1"/>
  <c r="BM519" i="32" s="1"/>
  <c r="AX519" i="32"/>
  <c r="AY519" i="32" s="1"/>
  <c r="AW484" i="32"/>
  <c r="AX484" i="32"/>
  <c r="AY484" i="32" s="1"/>
  <c r="AX495" i="32"/>
  <c r="AY495" i="32" s="1"/>
  <c r="AW495" i="32"/>
  <c r="AX572" i="32"/>
  <c r="AY572" i="32" s="1"/>
  <c r="AW572" i="32"/>
  <c r="AW433" i="32"/>
  <c r="BL433" i="32" s="1"/>
  <c r="BM433" i="32" s="1"/>
  <c r="AX433" i="32"/>
  <c r="AY433" i="32" s="1"/>
  <c r="AX161" i="32"/>
  <c r="AY161" i="32" s="1"/>
  <c r="AW161" i="32"/>
  <c r="AX245" i="32"/>
  <c r="AY245" i="32" s="1"/>
  <c r="AW245" i="32"/>
  <c r="AX365" i="32"/>
  <c r="AY365" i="32" s="1"/>
  <c r="AW365" i="32"/>
  <c r="AW66" i="32"/>
  <c r="AX66" i="32"/>
  <c r="AY66" i="32" s="1"/>
  <c r="AX362" i="32"/>
  <c r="AY362" i="32" s="1"/>
  <c r="AW362" i="32"/>
  <c r="AW436" i="32"/>
  <c r="AX436" i="32"/>
  <c r="AY436" i="32" s="1"/>
  <c r="AW569" i="32"/>
  <c r="AX569" i="32"/>
  <c r="AY569" i="32" s="1"/>
  <c r="AX568" i="32"/>
  <c r="AY568" i="32" s="1"/>
  <c r="AW568" i="32"/>
  <c r="AW116" i="32"/>
  <c r="AX116" i="32"/>
  <c r="AY116" i="32" s="1"/>
  <c r="AW17" i="32"/>
  <c r="BL16" i="32" s="1"/>
  <c r="BM16" i="32" s="1"/>
  <c r="AX17" i="32"/>
  <c r="AY17" i="32" s="1"/>
  <c r="AW267" i="32"/>
  <c r="BL266" i="32" s="1"/>
  <c r="BM266" i="32" s="1"/>
  <c r="AX267" i="32"/>
  <c r="AY267" i="32" s="1"/>
  <c r="AW576" i="32"/>
  <c r="AX576" i="32"/>
  <c r="AY576" i="32" s="1"/>
  <c r="AX329" i="32"/>
  <c r="AY329" i="32" s="1"/>
  <c r="AW329" i="32"/>
  <c r="AW328" i="32"/>
  <c r="AX328" i="32"/>
  <c r="AY328" i="32" s="1"/>
  <c r="AX447" i="32"/>
  <c r="AY447" i="32" s="1"/>
  <c r="AW447" i="32"/>
  <c r="AW357" i="32"/>
  <c r="BL356" i="32" s="1"/>
  <c r="BM356" i="32" s="1"/>
  <c r="AX357" i="32"/>
  <c r="AY357" i="32" s="1"/>
  <c r="AW609" i="32"/>
  <c r="AX609" i="32"/>
  <c r="AY609" i="32" s="1"/>
  <c r="AW359" i="32"/>
  <c r="BL358" i="32" s="1"/>
  <c r="BM358" i="32" s="1"/>
  <c r="AX359" i="32"/>
  <c r="AY359" i="32" s="1"/>
  <c r="AX166" i="32"/>
  <c r="AY166" i="32" s="1"/>
  <c r="AW166" i="32"/>
  <c r="BL166" i="32" s="1"/>
  <c r="BM166" i="32" s="1"/>
  <c r="AW341" i="32"/>
  <c r="BL341" i="32" s="1"/>
  <c r="BM341" i="32" s="1"/>
  <c r="AX341" i="32"/>
  <c r="AY341" i="32" s="1"/>
  <c r="AW74" i="32"/>
  <c r="AX74" i="32"/>
  <c r="AY74" i="32" s="1"/>
  <c r="AW118" i="32"/>
  <c r="AX118" i="32"/>
  <c r="AY118" i="32" s="1"/>
  <c r="AW508" i="32"/>
  <c r="AX508" i="32"/>
  <c r="AY508" i="32" s="1"/>
  <c r="AW595" i="32"/>
  <c r="AX595" i="32"/>
  <c r="AY595" i="32" s="1"/>
  <c r="AX505" i="32"/>
  <c r="AY505" i="32" s="1"/>
  <c r="AW505" i="32"/>
  <c r="AW140" i="32"/>
  <c r="AX140" i="32"/>
  <c r="AY140" i="32" s="1"/>
  <c r="AX323" i="32"/>
  <c r="AY323" i="32" s="1"/>
  <c r="AW323" i="32"/>
  <c r="AX132" i="32"/>
  <c r="AY132" i="32" s="1"/>
  <c r="AW132" i="32"/>
  <c r="AX274" i="32"/>
  <c r="AY274" i="32" s="1"/>
  <c r="AW274" i="32"/>
  <c r="AX564" i="32"/>
  <c r="AY564" i="32" s="1"/>
  <c r="AW564" i="32"/>
  <c r="AW41" i="32"/>
  <c r="BL40" i="32" s="1"/>
  <c r="BM40" i="32" s="1"/>
  <c r="AX41" i="32"/>
  <c r="AY41" i="32" s="1"/>
  <c r="AW446" i="32"/>
  <c r="BL445" i="32" s="1"/>
  <c r="BM445" i="32" s="1"/>
  <c r="AX446" i="32"/>
  <c r="AY446" i="32" s="1"/>
  <c r="AW472" i="32"/>
  <c r="AX472" i="32"/>
  <c r="AY472" i="32" s="1"/>
  <c r="AW541" i="32"/>
  <c r="AX541" i="32"/>
  <c r="AY541" i="32" s="1"/>
  <c r="AX557" i="32"/>
  <c r="AY557" i="32" s="1"/>
  <c r="AW557" i="32"/>
  <c r="AW241" i="32"/>
  <c r="AX241" i="32"/>
  <c r="AY241" i="32" s="1"/>
  <c r="AX563" i="32"/>
  <c r="AY563" i="32" s="1"/>
  <c r="AW563" i="32"/>
  <c r="AW276" i="32"/>
  <c r="AX276" i="32"/>
  <c r="AY276" i="32" s="1"/>
  <c r="AW185" i="32"/>
  <c r="BL184" i="32" s="1"/>
  <c r="BM184" i="32" s="1"/>
  <c r="AX185" i="32"/>
  <c r="AY185" i="32" s="1"/>
  <c r="AX510" i="32"/>
  <c r="AY510" i="32" s="1"/>
  <c r="AW510" i="32"/>
  <c r="AX387" i="32"/>
  <c r="AY387" i="32" s="1"/>
  <c r="AW387" i="32"/>
  <c r="BL386" i="32" s="1"/>
  <c r="BM386" i="32" s="1"/>
  <c r="AW49" i="32"/>
  <c r="BL48" i="32" s="1"/>
  <c r="BM48" i="32" s="1"/>
  <c r="AX49" i="32"/>
  <c r="AY49" i="32" s="1"/>
  <c r="AX115" i="32"/>
  <c r="AY115" i="32" s="1"/>
  <c r="AW115" i="32"/>
  <c r="BL114" i="32" s="1"/>
  <c r="BM114" i="32" s="1"/>
  <c r="AW441" i="32"/>
  <c r="AX441" i="32"/>
  <c r="AY441" i="32" s="1"/>
  <c r="AX138" i="32"/>
  <c r="AY138" i="32" s="1"/>
  <c r="AW138" i="32"/>
  <c r="AW548" i="32"/>
  <c r="AX548" i="32"/>
  <c r="AY548" i="32" s="1"/>
  <c r="AW577" i="32"/>
  <c r="AX577" i="32"/>
  <c r="AY577" i="32" s="1"/>
  <c r="AW575" i="32"/>
  <c r="BL574" i="32" s="1"/>
  <c r="BM574" i="32" s="1"/>
  <c r="AX575" i="32"/>
  <c r="AY575" i="32" s="1"/>
  <c r="AX61" i="32"/>
  <c r="AY61" i="32" s="1"/>
  <c r="AW61" i="32"/>
  <c r="AX252" i="32"/>
  <c r="AY252" i="32" s="1"/>
  <c r="AW252" i="32"/>
  <c r="AW444" i="32"/>
  <c r="AX444" i="32"/>
  <c r="AY444" i="32" s="1"/>
  <c r="AX395" i="32"/>
  <c r="AY395" i="32" s="1"/>
  <c r="AW395" i="32"/>
  <c r="BL394" i="32" s="1"/>
  <c r="BM394" i="32" s="1"/>
  <c r="AW354" i="32"/>
  <c r="AX354" i="32"/>
  <c r="AY354" i="32" s="1"/>
  <c r="AX363" i="32"/>
  <c r="AY363" i="32" s="1"/>
  <c r="AW363" i="32"/>
  <c r="AW493" i="32"/>
  <c r="AX493" i="32"/>
  <c r="AY493" i="32" s="1"/>
  <c r="AW450" i="32"/>
  <c r="AX450" i="32"/>
  <c r="AY450" i="32" s="1"/>
  <c r="AW76" i="32"/>
  <c r="AX76" i="32"/>
  <c r="AY76" i="32" s="1"/>
  <c r="AW421" i="32"/>
  <c r="AX421" i="32"/>
  <c r="AY421" i="32" s="1"/>
  <c r="AX288" i="32"/>
  <c r="AY288" i="32" s="1"/>
  <c r="AW288" i="32"/>
  <c r="AW590" i="32"/>
  <c r="AX590" i="32"/>
  <c r="AY590" i="32" s="1"/>
  <c r="AX46" i="32"/>
  <c r="AY46" i="32" s="1"/>
  <c r="AW46" i="32"/>
  <c r="AW284" i="32"/>
  <c r="AX284" i="32"/>
  <c r="AY284" i="32" s="1"/>
  <c r="AW469" i="32"/>
  <c r="BL468" i="32" s="1"/>
  <c r="BM468" i="32" s="1"/>
  <c r="AX469" i="32"/>
  <c r="AY469" i="32" s="1"/>
  <c r="AX481" i="32"/>
  <c r="AY481" i="32" s="1"/>
  <c r="AW481" i="32"/>
  <c r="BL480" i="32" s="1"/>
  <c r="BM480" i="32" s="1"/>
  <c r="AW474" i="32"/>
  <c r="AX474" i="32"/>
  <c r="AY474" i="32" s="1"/>
  <c r="AW449" i="32"/>
  <c r="AX449" i="32"/>
  <c r="AY449" i="32" s="1"/>
  <c r="AX124" i="32"/>
  <c r="AY124" i="32" s="1"/>
  <c r="AW124" i="32"/>
  <c r="AW622" i="32"/>
  <c r="H632" i="32" s="1"/>
  <c r="AX622" i="32"/>
  <c r="AY622" i="32" s="1"/>
  <c r="AW391" i="32"/>
  <c r="BL391" i="32" s="1"/>
  <c r="BM391" i="32" s="1"/>
  <c r="AX391" i="32"/>
  <c r="AY391" i="32" s="1"/>
  <c r="AW321" i="32"/>
  <c r="BL321" i="32" s="1"/>
  <c r="BM321" i="32" s="1"/>
  <c r="AX321" i="32"/>
  <c r="AY321" i="32" s="1"/>
  <c r="AX224" i="32"/>
  <c r="AY224" i="32" s="1"/>
  <c r="AW224" i="32"/>
  <c r="BL223" i="32" s="1"/>
  <c r="BM223" i="32" s="1"/>
  <c r="AX157" i="32"/>
  <c r="AY157" i="32" s="1"/>
  <c r="AW157" i="32"/>
  <c r="AX471" i="32"/>
  <c r="AY471" i="32" s="1"/>
  <c r="AW471" i="32"/>
  <c r="BL470" i="32" s="1"/>
  <c r="BM470" i="32" s="1"/>
  <c r="AW212" i="32"/>
  <c r="AX212" i="32"/>
  <c r="AY212" i="32" s="1"/>
  <c r="AW58" i="32"/>
  <c r="AX58" i="32"/>
  <c r="AY58" i="32" s="1"/>
  <c r="AW172" i="32"/>
  <c r="AX172" i="32"/>
  <c r="AY172" i="32" s="1"/>
  <c r="AX592" i="32"/>
  <c r="AY592" i="32" s="1"/>
  <c r="AW592" i="32"/>
  <c r="AX39" i="32"/>
  <c r="AY39" i="32" s="1"/>
  <c r="AW39" i="32"/>
  <c r="AW47" i="32"/>
  <c r="BL47" i="32" s="1"/>
  <c r="BM47" i="32" s="1"/>
  <c r="AX47" i="32"/>
  <c r="AY47" i="32" s="1"/>
  <c r="AW393" i="32"/>
  <c r="AX393" i="32"/>
  <c r="AY393" i="32" s="1"/>
  <c r="AX43" i="32"/>
  <c r="AY43" i="32" s="1"/>
  <c r="AW43" i="32"/>
  <c r="AX249" i="32"/>
  <c r="AY249" i="32" s="1"/>
  <c r="AW249" i="32"/>
  <c r="AW278" i="32"/>
  <c r="AX278" i="32"/>
  <c r="AY278" i="32" s="1"/>
  <c r="AX509" i="32"/>
  <c r="AY509" i="32" s="1"/>
  <c r="AW509" i="32"/>
  <c r="AX431" i="32"/>
  <c r="AY431" i="32" s="1"/>
  <c r="AW431" i="32"/>
  <c r="AX289" i="32"/>
  <c r="AY289" i="32" s="1"/>
  <c r="AW289" i="32"/>
  <c r="AX455" i="32"/>
  <c r="AY455" i="32" s="1"/>
  <c r="AW455" i="32"/>
  <c r="BL454" i="32" s="1"/>
  <c r="BM454" i="32" s="1"/>
  <c r="AX604" i="32"/>
  <c r="AY604" i="32" s="1"/>
  <c r="AW604" i="32"/>
  <c r="BL135" i="32"/>
  <c r="BM135" i="32" s="1"/>
  <c r="AW502" i="32"/>
  <c r="AX502" i="32"/>
  <c r="AY502" i="32" s="1"/>
  <c r="AX256" i="32"/>
  <c r="AY256" i="32" s="1"/>
  <c r="AW256" i="32"/>
  <c r="AX397" i="32"/>
  <c r="AY397" i="32" s="1"/>
  <c r="AW397" i="32"/>
  <c r="AX108" i="32"/>
  <c r="AY108" i="32" s="1"/>
  <c r="AW108" i="32"/>
  <c r="AX580" i="32"/>
  <c r="AY580" i="32" s="1"/>
  <c r="AW580" i="32"/>
  <c r="AW78" i="32"/>
  <c r="AX78" i="32"/>
  <c r="AY78" i="32" s="1"/>
  <c r="AX538" i="32"/>
  <c r="AY538" i="32" s="1"/>
  <c r="AW538" i="32"/>
  <c r="AW15" i="32"/>
  <c r="BL14" i="32" s="1"/>
  <c r="BM14" i="32" s="1"/>
  <c r="AX15" i="32"/>
  <c r="AY15" i="32" s="1"/>
  <c r="AW623" i="32"/>
  <c r="H633" i="32" s="1"/>
  <c r="AX623" i="32"/>
  <c r="AY623" i="32" s="1"/>
  <c r="AX131" i="32"/>
  <c r="AY131" i="32" s="1"/>
  <c r="AW131" i="32"/>
  <c r="AX309" i="32"/>
  <c r="AY309" i="32" s="1"/>
  <c r="AW309" i="32"/>
  <c r="AX200" i="32"/>
  <c r="AY200" i="32" s="1"/>
  <c r="AW200" i="32"/>
  <c r="AX380" i="32"/>
  <c r="AY380" i="32" s="1"/>
  <c r="AW380" i="32"/>
  <c r="AW353" i="32"/>
  <c r="BL352" i="32" s="1"/>
  <c r="BM352" i="32" s="1"/>
  <c r="AX353" i="32"/>
  <c r="AY353" i="32" s="1"/>
  <c r="AW303" i="32"/>
  <c r="AX303" i="32"/>
  <c r="AY303" i="32" s="1"/>
  <c r="AX525" i="32"/>
  <c r="AY525" i="32" s="1"/>
  <c r="AW525" i="32"/>
  <c r="AW101" i="32"/>
  <c r="AX101" i="32"/>
  <c r="AY101" i="32" s="1"/>
  <c r="AX335" i="32"/>
  <c r="AY335" i="32" s="1"/>
  <c r="AW335" i="32"/>
  <c r="AX45" i="32"/>
  <c r="AY45" i="32" s="1"/>
  <c r="AW45" i="32"/>
  <c r="AW367" i="32"/>
  <c r="AX367" i="32"/>
  <c r="AY367" i="32" s="1"/>
  <c r="AW214" i="32"/>
  <c r="AX214" i="32"/>
  <c r="AY214" i="32" s="1"/>
  <c r="AW190" i="32"/>
  <c r="AX190" i="32"/>
  <c r="AY190" i="32" s="1"/>
  <c r="AW400" i="32"/>
  <c r="AX400" i="32"/>
  <c r="AY400" i="32" s="1"/>
  <c r="AX52" i="32"/>
  <c r="AY52" i="32" s="1"/>
  <c r="AW52" i="32"/>
  <c r="AW337" i="32"/>
  <c r="BL336" i="32" s="1"/>
  <c r="BM336" i="32" s="1"/>
  <c r="AX337" i="32"/>
  <c r="AY337" i="32" s="1"/>
  <c r="AX401" i="32"/>
  <c r="AY401" i="32" s="1"/>
  <c r="AW401" i="32"/>
  <c r="AX413" i="32"/>
  <c r="AY413" i="32" s="1"/>
  <c r="AW413" i="32"/>
  <c r="AX300" i="32"/>
  <c r="AY300" i="32" s="1"/>
  <c r="AW300" i="32"/>
  <c r="AW26" i="32"/>
  <c r="AX26" i="32"/>
  <c r="AY26" i="32" s="1"/>
  <c r="AX597" i="32"/>
  <c r="AY597" i="32" s="1"/>
  <c r="AW597" i="32"/>
  <c r="AX193" i="32"/>
  <c r="AY193" i="32" s="1"/>
  <c r="AW193" i="32"/>
  <c r="BL192" i="32" s="1"/>
  <c r="BM192" i="32" s="1"/>
  <c r="AX84" i="32"/>
  <c r="AY84" i="32" s="1"/>
  <c r="AW84" i="32"/>
  <c r="AX162" i="32"/>
  <c r="AY162" i="32" s="1"/>
  <c r="AW162" i="32"/>
  <c r="AX448" i="32"/>
  <c r="AY448" i="32" s="1"/>
  <c r="AW448" i="32"/>
  <c r="AX490" i="32"/>
  <c r="AY490" i="32" s="1"/>
  <c r="AW490" i="32"/>
  <c r="AX68" i="32"/>
  <c r="AY68" i="32" s="1"/>
  <c r="AW68" i="32"/>
  <c r="AW207" i="32"/>
  <c r="AX207" i="32"/>
  <c r="AY207" i="32" s="1"/>
  <c r="AW457" i="32"/>
  <c r="AX457" i="32"/>
  <c r="AY457" i="32" s="1"/>
  <c r="AX467" i="32"/>
  <c r="AY467" i="32" s="1"/>
  <c r="AW467" i="32"/>
  <c r="BL306" i="32"/>
  <c r="BM306" i="32" s="1"/>
  <c r="AX87" i="32"/>
  <c r="AY87" i="32" s="1"/>
  <c r="AW87" i="32"/>
  <c r="BL86" i="32" s="1"/>
  <c r="BM86" i="32" s="1"/>
  <c r="AW221" i="32"/>
  <c r="AX221" i="32"/>
  <c r="AY221" i="32" s="1"/>
  <c r="AX629" i="32"/>
  <c r="AY629" i="32" s="1"/>
  <c r="AW629" i="32"/>
  <c r="AW522" i="32"/>
  <c r="AX522" i="32"/>
  <c r="AY522" i="32" s="1"/>
  <c r="AX220" i="32"/>
  <c r="AY220" i="32" s="1"/>
  <c r="AW220" i="32"/>
  <c r="AX164" i="32"/>
  <c r="AY164" i="32" s="1"/>
  <c r="AW164" i="32"/>
  <c r="AW180" i="32"/>
  <c r="AX180" i="32"/>
  <c r="AY180" i="32" s="1"/>
  <c r="AX596" i="32"/>
  <c r="AY596" i="32" s="1"/>
  <c r="AW596" i="32"/>
  <c r="AW494" i="32"/>
  <c r="AX494" i="32"/>
  <c r="AY494" i="32" s="1"/>
  <c r="AW376" i="32"/>
  <c r="AX376" i="32"/>
  <c r="AY376" i="32" s="1"/>
  <c r="AX21" i="32"/>
  <c r="AY21" i="32" s="1"/>
  <c r="AW21" i="32"/>
  <c r="AX498" i="32"/>
  <c r="AY498" i="32" s="1"/>
  <c r="AW498" i="32"/>
  <c r="AX51" i="32"/>
  <c r="AY51" i="32" s="1"/>
  <c r="AW51" i="32"/>
  <c r="AW56" i="32"/>
  <c r="AX56" i="32"/>
  <c r="AY56" i="32" s="1"/>
  <c r="AW112" i="32"/>
  <c r="AX112" i="32"/>
  <c r="AY112" i="32" s="1"/>
  <c r="AW366" i="32"/>
  <c r="AX366" i="32"/>
  <c r="AY366" i="32" s="1"/>
  <c r="AW142" i="32"/>
  <c r="AX142" i="32"/>
  <c r="AY142" i="32" s="1"/>
  <c r="AW311" i="32"/>
  <c r="AX311" i="32"/>
  <c r="AY311" i="32" s="1"/>
  <c r="AX437" i="32"/>
  <c r="AY437" i="32" s="1"/>
  <c r="AW437" i="32"/>
  <c r="AW561" i="32"/>
  <c r="BL560" i="32" s="1"/>
  <c r="BM560" i="32" s="1"/>
  <c r="AX561" i="32"/>
  <c r="AY561" i="32" s="1"/>
  <c r="AW218" i="32"/>
  <c r="AX218" i="32"/>
  <c r="AY218" i="32" s="1"/>
  <c r="AX156" i="32"/>
  <c r="AY156" i="32" s="1"/>
  <c r="AW156" i="32"/>
  <c r="AW403" i="32"/>
  <c r="BL402" i="32" s="1"/>
  <c r="BM402" i="32" s="1"/>
  <c r="AX403" i="32"/>
  <c r="AY403" i="32" s="1"/>
  <c r="AX81" i="32"/>
  <c r="AY81" i="32" s="1"/>
  <c r="AW81" i="32"/>
  <c r="BL80" i="32" s="1"/>
  <c r="BM80" i="32" s="1"/>
  <c r="AW205" i="32"/>
  <c r="AX205" i="32"/>
  <c r="AY205" i="32" s="1"/>
  <c r="AX247" i="32"/>
  <c r="AY247" i="32" s="1"/>
  <c r="AW247" i="32"/>
  <c r="AW181" i="32"/>
  <c r="AX181" i="32"/>
  <c r="AY181" i="32" s="1"/>
  <c r="AW171" i="32"/>
  <c r="BL170" i="32" s="1"/>
  <c r="BM170" i="32" s="1"/>
  <c r="AX171" i="32"/>
  <c r="AY171" i="32" s="1"/>
  <c r="AW513" i="32"/>
  <c r="BL512" i="32" s="1"/>
  <c r="BM512" i="32" s="1"/>
  <c r="AX513" i="32"/>
  <c r="AY513" i="32" s="1"/>
  <c r="AW246" i="32"/>
  <c r="AX246" i="32"/>
  <c r="AY246" i="32" s="1"/>
  <c r="AX271" i="32"/>
  <c r="AY271" i="32" s="1"/>
  <c r="AW271" i="32"/>
  <c r="AW310" i="32"/>
  <c r="AX310" i="32"/>
  <c r="AY310" i="32" s="1"/>
  <c r="AW186" i="32"/>
  <c r="AX186" i="32"/>
  <c r="AY186" i="32" s="1"/>
  <c r="BL257" i="32"/>
  <c r="BM257" i="32" s="1"/>
  <c r="BL191" i="32"/>
  <c r="BM191" i="32" s="1"/>
  <c r="AW479" i="32"/>
  <c r="BL478" i="32" s="1"/>
  <c r="BM478" i="32" s="1"/>
  <c r="AX479" i="32"/>
  <c r="AY479" i="32" s="1"/>
  <c r="AX390" i="32"/>
  <c r="AY390" i="32" s="1"/>
  <c r="AW390" i="32"/>
  <c r="AW346" i="32"/>
  <c r="AX346" i="32"/>
  <c r="AY346" i="32" s="1"/>
  <c r="AW281" i="32"/>
  <c r="BL281" i="32" s="1"/>
  <c r="BM281" i="32" s="1"/>
  <c r="AX281" i="32"/>
  <c r="AY281" i="32" s="1"/>
  <c r="AW473" i="32"/>
  <c r="AX473" i="32"/>
  <c r="AY473" i="32" s="1"/>
  <c r="AX155" i="32"/>
  <c r="AY155" i="32" s="1"/>
  <c r="AW155" i="32"/>
  <c r="AX625" i="32"/>
  <c r="AY625" i="32" s="1"/>
  <c r="AW625" i="32"/>
  <c r="H635" i="32" s="1"/>
  <c r="AX404" i="32"/>
  <c r="AY404" i="32" s="1"/>
  <c r="AW404" i="32"/>
  <c r="BL175" i="32"/>
  <c r="BM175" i="32" s="1"/>
  <c r="AW25" i="32"/>
  <c r="BL24" i="32" s="1"/>
  <c r="BM24" i="32" s="1"/>
  <c r="AX25" i="32"/>
  <c r="AY25" i="32" s="1"/>
  <c r="AX174" i="32"/>
  <c r="AY174" i="32" s="1"/>
  <c r="AW174" i="32"/>
  <c r="BL173" i="32" s="1"/>
  <c r="BM173" i="32" s="1"/>
  <c r="AW123" i="32"/>
  <c r="BL122" i="32" s="1"/>
  <c r="BM122" i="32" s="1"/>
  <c r="AX123" i="32"/>
  <c r="AY123" i="32" s="1"/>
  <c r="AX280" i="32"/>
  <c r="AY280" i="32" s="1"/>
  <c r="AW280" i="32"/>
  <c r="AW539" i="32"/>
  <c r="AX539" i="32"/>
  <c r="AY539" i="32" s="1"/>
  <c r="AW133" i="32"/>
  <c r="AX133" i="32"/>
  <c r="AY133" i="32" s="1"/>
  <c r="AW254" i="32"/>
  <c r="AX254" i="32"/>
  <c r="AY254" i="32" s="1"/>
  <c r="AW389" i="32"/>
  <c r="AX389" i="32"/>
  <c r="AY389" i="32" s="1"/>
  <c r="AW268" i="32"/>
  <c r="AX268" i="32"/>
  <c r="AY268" i="32" s="1"/>
  <c r="AX134" i="32"/>
  <c r="AY134" i="32" s="1"/>
  <c r="AW134" i="32"/>
  <c r="AX182" i="32"/>
  <c r="AY182" i="32" s="1"/>
  <c r="AW182" i="32"/>
  <c r="AW458" i="32"/>
  <c r="AX458" i="32"/>
  <c r="AY458" i="32" s="1"/>
  <c r="AW42" i="32"/>
  <c r="AX42" i="32"/>
  <c r="AY42" i="32" s="1"/>
  <c r="AW206" i="32"/>
  <c r="AX206" i="32"/>
  <c r="AY206" i="32" s="1"/>
  <c r="AW530" i="32"/>
  <c r="AX530" i="32"/>
  <c r="AY530" i="32" s="1"/>
  <c r="AW399" i="32"/>
  <c r="AX399" i="32"/>
  <c r="AY399" i="32" s="1"/>
  <c r="AW196" i="32"/>
  <c r="AX196" i="32"/>
  <c r="AY196" i="32" s="1"/>
  <c r="AW178" i="32"/>
  <c r="AX178" i="32"/>
  <c r="AY178" i="32" s="1"/>
  <c r="AX487" i="32"/>
  <c r="AY487" i="32" s="1"/>
  <c r="AW487" i="32"/>
  <c r="BL486" i="32" s="1"/>
  <c r="BM486" i="32" s="1"/>
  <c r="AX313" i="32"/>
  <c r="AY313" i="32" s="1"/>
  <c r="AW313" i="32"/>
  <c r="AX231" i="32"/>
  <c r="AY231" i="32" s="1"/>
  <c r="AW231" i="32"/>
  <c r="AW599" i="32"/>
  <c r="BL598" i="32" s="1"/>
  <c r="BM598" i="32" s="1"/>
  <c r="AX599" i="32"/>
  <c r="AY599" i="32" s="1"/>
  <c r="AX158" i="32"/>
  <c r="AY158" i="32" s="1"/>
  <c r="AW158" i="32"/>
  <c r="BL183" i="32"/>
  <c r="BM183" i="32" s="1"/>
  <c r="AW264" i="32"/>
  <c r="AX264" i="32"/>
  <c r="AY264" i="32" s="1"/>
  <c r="AX19" i="32"/>
  <c r="AY19" i="32" s="1"/>
  <c r="AW19" i="32"/>
  <c r="BL18" i="32" s="1"/>
  <c r="BM18" i="32" s="1"/>
  <c r="AX497" i="32"/>
  <c r="AY497" i="32" s="1"/>
  <c r="AW497" i="32"/>
  <c r="AW483" i="32"/>
  <c r="AX483" i="32"/>
  <c r="AY483" i="32" s="1"/>
  <c r="AX540" i="32"/>
  <c r="AY540" i="32" s="1"/>
  <c r="AW540" i="32"/>
  <c r="AX411" i="32"/>
  <c r="AY411" i="32" s="1"/>
  <c r="AW411" i="32"/>
  <c r="BL410" i="32" s="1"/>
  <c r="BM410" i="32" s="1"/>
  <c r="AW83" i="32"/>
  <c r="BL82" i="32" s="1"/>
  <c r="BM82" i="32" s="1"/>
  <c r="AX83" i="32"/>
  <c r="AY83" i="32" s="1"/>
  <c r="AW338" i="32"/>
  <c r="AX338" i="32"/>
  <c r="AY338" i="32" s="1"/>
  <c r="BL543" i="32"/>
  <c r="BM543" i="32" s="1"/>
  <c r="AX531" i="32"/>
  <c r="AY531" i="32" s="1"/>
  <c r="AW531" i="32"/>
  <c r="AX527" i="32"/>
  <c r="AY527" i="32" s="1"/>
  <c r="AW527" i="32"/>
  <c r="AX293" i="32"/>
  <c r="AY293" i="32" s="1"/>
  <c r="AW293" i="32"/>
  <c r="AX581" i="32"/>
  <c r="AY581" i="32" s="1"/>
  <c r="AW581" i="32"/>
  <c r="AW523" i="32"/>
  <c r="AX523" i="32"/>
  <c r="AY523" i="32" s="1"/>
  <c r="BL485" i="32"/>
  <c r="BM485" i="32" s="1"/>
  <c r="AW73" i="32"/>
  <c r="BL72" i="32" s="1"/>
  <c r="BM72" i="32" s="1"/>
  <c r="AX73" i="32"/>
  <c r="AY73" i="32" s="1"/>
  <c r="AX129" i="32"/>
  <c r="AY129" i="32" s="1"/>
  <c r="AW129" i="32"/>
  <c r="BL129" i="32" s="1"/>
  <c r="BM129" i="32" s="1"/>
  <c r="AX265" i="32"/>
  <c r="AY265" i="32" s="1"/>
  <c r="AW265" i="32"/>
  <c r="AX297" i="32"/>
  <c r="AY297" i="32" s="1"/>
  <c r="AW297" i="32"/>
  <c r="AW275" i="32"/>
  <c r="AX275" i="32"/>
  <c r="AY275" i="32" s="1"/>
  <c r="AX428" i="32"/>
  <c r="AY428" i="32" s="1"/>
  <c r="AW428" i="32"/>
  <c r="BL427" i="32" s="1"/>
  <c r="BM427" i="32" s="1"/>
  <c r="AX28" i="32"/>
  <c r="AY28" i="32" s="1"/>
  <c r="AW28" i="32"/>
  <c r="AW573" i="32"/>
  <c r="AX573" i="32"/>
  <c r="AY573" i="32" s="1"/>
  <c r="AX97" i="32"/>
  <c r="AY97" i="32" s="1"/>
  <c r="AW97" i="32"/>
  <c r="BL96" i="32" s="1"/>
  <c r="BM96" i="32" s="1"/>
  <c r="AW154" i="32"/>
  <c r="AX154" i="32"/>
  <c r="AY154" i="32" s="1"/>
  <c r="AX287" i="32"/>
  <c r="AY287" i="32" s="1"/>
  <c r="AW287" i="32"/>
  <c r="AX578" i="32"/>
  <c r="AY578" i="32" s="1"/>
  <c r="AW578" i="32"/>
  <c r="AW236" i="32"/>
  <c r="BL235" i="32" s="1"/>
  <c r="BM235" i="32" s="1"/>
  <c r="AX236" i="32"/>
  <c r="AY236" i="32" s="1"/>
  <c r="AX98" i="32"/>
  <c r="AY98" i="32" s="1"/>
  <c r="AW98" i="32"/>
  <c r="AX585" i="32"/>
  <c r="AY585" i="32" s="1"/>
  <c r="AW585" i="32"/>
  <c r="AW92" i="32"/>
  <c r="AX92" i="32"/>
  <c r="AY92" i="32" s="1"/>
  <c r="AX414" i="32"/>
  <c r="AY414" i="32" s="1"/>
  <c r="AW414" i="32"/>
  <c r="AW524" i="32"/>
  <c r="AX524" i="32"/>
  <c r="AY524" i="32" s="1"/>
  <c r="AW534" i="32"/>
  <c r="AX534" i="32"/>
  <c r="AY534" i="32" s="1"/>
  <c r="AW239" i="32"/>
  <c r="BL238" i="32" s="1"/>
  <c r="BM238" i="32" s="1"/>
  <c r="AX239" i="32"/>
  <c r="AY239" i="32" s="1"/>
  <c r="AX110" i="32"/>
  <c r="AY110" i="32" s="1"/>
  <c r="AW110" i="32"/>
  <c r="AX396" i="32"/>
  <c r="AY396" i="32" s="1"/>
  <c r="AW396" i="32"/>
  <c r="AW343" i="32"/>
  <c r="BL342" i="32" s="1"/>
  <c r="BM342" i="32" s="1"/>
  <c r="AX343" i="32"/>
  <c r="AY343" i="32" s="1"/>
  <c r="AW95" i="32"/>
  <c r="BL94" i="32" s="1"/>
  <c r="BM94" i="32" s="1"/>
  <c r="AX95" i="32"/>
  <c r="AY95" i="32" s="1"/>
  <c r="AW209" i="32"/>
  <c r="AX209" i="32"/>
  <c r="AY209" i="32" s="1"/>
  <c r="AX139" i="32"/>
  <c r="AY139" i="32" s="1"/>
  <c r="AW139" i="32"/>
  <c r="AW347" i="32"/>
  <c r="AX347" i="32"/>
  <c r="AY347" i="32" s="1"/>
  <c r="AX477" i="32"/>
  <c r="AY477" i="32" s="1"/>
  <c r="AW477" i="32"/>
  <c r="BL459" i="32"/>
  <c r="BM459" i="32" s="1"/>
  <c r="AW286" i="32"/>
  <c r="AX286" i="32"/>
  <c r="AY286" i="32" s="1"/>
  <c r="AX559" i="32"/>
  <c r="AY559" i="32" s="1"/>
  <c r="AW559" i="32"/>
  <c r="BL558" i="32" s="1"/>
  <c r="BM558" i="32" s="1"/>
  <c r="AW514" i="32"/>
  <c r="AX514" i="32"/>
  <c r="AY514" i="32" s="1"/>
  <c r="AX63" i="32"/>
  <c r="AY63" i="32" s="1"/>
  <c r="AW63" i="32"/>
  <c r="AX591" i="32"/>
  <c r="AY591" i="32" s="1"/>
  <c r="AW591" i="32"/>
  <c r="AX626" i="32"/>
  <c r="AY626" i="32" s="1"/>
  <c r="AW626" i="32"/>
  <c r="H636" i="32" s="1"/>
  <c r="AW312" i="32"/>
  <c r="AX312" i="32"/>
  <c r="AY312" i="32" s="1"/>
  <c r="AX438" i="32"/>
  <c r="AY438" i="32" s="1"/>
  <c r="AW438" i="32"/>
  <c r="AW331" i="32"/>
  <c r="AX331" i="32"/>
  <c r="AY331" i="32" s="1"/>
  <c r="AW608" i="32"/>
  <c r="AX608" i="32"/>
  <c r="AY608" i="32" s="1"/>
  <c r="AX199" i="32"/>
  <c r="AY199" i="32" s="1"/>
  <c r="AW199" i="32"/>
  <c r="AX605" i="32"/>
  <c r="AY605" i="32" s="1"/>
  <c r="AW605" i="32"/>
  <c r="AW188" i="32"/>
  <c r="AX188" i="32"/>
  <c r="AY188" i="32" s="1"/>
  <c r="AX464" i="32"/>
  <c r="AY464" i="32" s="1"/>
  <c r="AW464" i="32"/>
  <c r="AX273" i="32"/>
  <c r="AY273" i="32" s="1"/>
  <c r="AW273" i="32"/>
  <c r="BL272" i="32" s="1"/>
  <c r="BM272" i="32" s="1"/>
  <c r="AW260" i="32"/>
  <c r="AX260" i="32"/>
  <c r="AY260" i="32" s="1"/>
  <c r="AW305" i="32"/>
  <c r="BL305" i="32" s="1"/>
  <c r="BM305" i="32" s="1"/>
  <c r="AX305" i="32"/>
  <c r="AY305" i="32" s="1"/>
  <c r="AX149" i="32"/>
  <c r="AY149" i="32" s="1"/>
  <c r="AW149" i="32"/>
  <c r="AX93" i="32"/>
  <c r="AY93" i="32" s="1"/>
  <c r="AW93" i="32"/>
  <c r="BL92" i="32" s="1"/>
  <c r="BM92" i="32" s="1"/>
  <c r="AW44" i="32"/>
  <c r="AX44" i="32"/>
  <c r="AY44" i="32" s="1"/>
  <c r="AX339" i="32"/>
  <c r="AY339" i="32" s="1"/>
  <c r="AW339" i="32"/>
  <c r="AX233" i="32"/>
  <c r="AY233" i="32" s="1"/>
  <c r="AW233" i="32"/>
  <c r="AW562" i="32"/>
  <c r="AX562" i="32"/>
  <c r="AY562" i="32" s="1"/>
  <c r="AW55" i="32"/>
  <c r="BL54" i="32" s="1"/>
  <c r="BM54" i="32" s="1"/>
  <c r="AX55" i="32"/>
  <c r="AY55" i="32" s="1"/>
  <c r="AX546" i="32"/>
  <c r="AY546" i="32" s="1"/>
  <c r="AW546" i="32"/>
  <c r="AW628" i="32"/>
  <c r="H637" i="32" s="1"/>
  <c r="AX628" i="32"/>
  <c r="AY628" i="32" s="1"/>
  <c r="AW601" i="32"/>
  <c r="AX601" i="32"/>
  <c r="AY601" i="32" s="1"/>
  <c r="AW91" i="32"/>
  <c r="BL90" i="32" s="1"/>
  <c r="BM90" i="32" s="1"/>
  <c r="AX91" i="32"/>
  <c r="AY91" i="32" s="1"/>
  <c r="AX594" i="32"/>
  <c r="AY594" i="32" s="1"/>
  <c r="AW594" i="32"/>
  <c r="BL593" i="32" s="1"/>
  <c r="BM593" i="32" s="1"/>
  <c r="AW382" i="32"/>
  <c r="AX382" i="32"/>
  <c r="AY382" i="32" s="1"/>
  <c r="AX330" i="32"/>
  <c r="AY330" i="32" s="1"/>
  <c r="AW330" i="32"/>
  <c r="AX613" i="32"/>
  <c r="AY613" i="32" s="1"/>
  <c r="AW613" i="32"/>
  <c r="AW475" i="32"/>
  <c r="AX475" i="32"/>
  <c r="AY475" i="32" s="1"/>
  <c r="AW302" i="32"/>
  <c r="AX302" i="32"/>
  <c r="AY302" i="32" s="1"/>
  <c r="AW270" i="32"/>
  <c r="AX270" i="32"/>
  <c r="AY270" i="32" s="1"/>
  <c r="AW583" i="32"/>
  <c r="BL582" i="32" s="1"/>
  <c r="BM582" i="32" s="1"/>
  <c r="AX583" i="32"/>
  <c r="AY583" i="32" s="1"/>
  <c r="AX213" i="32"/>
  <c r="AY213" i="32" s="1"/>
  <c r="AW213" i="32"/>
  <c r="AW126" i="32"/>
  <c r="AX126" i="32"/>
  <c r="AY126" i="32" s="1"/>
  <c r="AW165" i="32"/>
  <c r="AX165" i="32"/>
  <c r="AY165" i="32" s="1"/>
  <c r="AW364" i="32"/>
  <c r="AX364" i="32"/>
  <c r="AY364" i="32" s="1"/>
  <c r="AX229" i="32"/>
  <c r="AY229" i="32" s="1"/>
  <c r="AW229" i="32"/>
  <c r="AX36" i="32"/>
  <c r="AY36" i="32" s="1"/>
  <c r="AW36" i="32"/>
  <c r="AX602" i="32"/>
  <c r="AY602" i="32" s="1"/>
  <c r="AW602" i="32"/>
  <c r="BL423" i="32"/>
  <c r="BM423" i="32" s="1"/>
  <c r="AW230" i="32"/>
  <c r="AX230" i="32"/>
  <c r="AY230" i="32" s="1"/>
  <c r="AW500" i="32"/>
  <c r="AX500" i="32"/>
  <c r="AY500" i="32" s="1"/>
  <c r="AX584" i="32"/>
  <c r="AY584" i="32" s="1"/>
  <c r="AW584" i="32"/>
  <c r="AX340" i="32"/>
  <c r="AY340" i="32" s="1"/>
  <c r="AW340" i="32"/>
  <c r="BL151" i="32"/>
  <c r="BM151" i="32" s="1"/>
  <c r="AW263" i="32"/>
  <c r="AX263" i="32"/>
  <c r="AY263" i="32" s="1"/>
  <c r="AX415" i="32"/>
  <c r="AY415" i="32" s="1"/>
  <c r="AW415" i="32"/>
  <c r="AW148" i="32"/>
  <c r="AX148" i="32"/>
  <c r="AY148" i="32" s="1"/>
  <c r="AX119" i="32"/>
  <c r="AY119" i="32" s="1"/>
  <c r="AW119" i="32"/>
  <c r="AX600" i="32"/>
  <c r="AY600" i="32" s="1"/>
  <c r="AW600" i="32"/>
  <c r="AX327" i="32"/>
  <c r="AY327" i="32" s="1"/>
  <c r="AW327" i="32"/>
  <c r="AW476" i="32"/>
  <c r="AX476" i="32"/>
  <c r="AY476" i="32" s="1"/>
  <c r="AX501" i="32"/>
  <c r="AY501" i="32" s="1"/>
  <c r="AW501" i="32"/>
  <c r="BL586" i="32" l="1"/>
  <c r="BM586" i="32" s="1"/>
  <c r="BL269" i="32"/>
  <c r="BM269" i="32" s="1"/>
  <c r="BL50" i="32"/>
  <c r="BM50" i="32" s="1"/>
  <c r="BL104" i="32"/>
  <c r="BM104" i="32" s="1"/>
  <c r="BL451" i="32"/>
  <c r="BM451" i="32" s="1"/>
  <c r="BL291" i="32"/>
  <c r="BM291" i="32" s="1"/>
  <c r="BL216" i="32"/>
  <c r="BM216" i="32" s="1"/>
  <c r="BL610" i="32"/>
  <c r="BM610" i="32" s="1"/>
  <c r="BL521" i="32"/>
  <c r="BM521" i="32" s="1"/>
  <c r="BL537" i="32"/>
  <c r="BM537" i="32" s="1"/>
  <c r="BL307" i="32"/>
  <c r="BM307" i="32" s="1"/>
  <c r="BL285" i="32"/>
  <c r="BM285" i="32" s="1"/>
  <c r="BL561" i="32"/>
  <c r="BM561" i="32" s="1"/>
  <c r="BL279" i="32"/>
  <c r="BM279" i="32" s="1"/>
  <c r="BL317" i="32"/>
  <c r="BM317" i="32" s="1"/>
  <c r="BL253" i="32"/>
  <c r="BM253" i="32" s="1"/>
  <c r="BL208" i="32"/>
  <c r="BM208" i="32" s="1"/>
  <c r="BL267" i="32"/>
  <c r="BM267" i="32" s="1"/>
  <c r="BL385" i="32"/>
  <c r="BM385" i="32" s="1"/>
  <c r="BL179" i="32"/>
  <c r="BM179" i="32" s="1"/>
  <c r="BL316" i="32"/>
  <c r="BM316" i="32" s="1"/>
  <c r="BL323" i="32"/>
  <c r="BM323" i="32" s="1"/>
  <c r="BL294" i="32"/>
  <c r="BM294" i="32" s="1"/>
  <c r="BL424" i="32"/>
  <c r="BM424" i="32" s="1"/>
  <c r="BL299" i="32"/>
  <c r="BM299" i="32" s="1"/>
  <c r="BL195" i="32"/>
  <c r="BM195" i="32" s="1"/>
  <c r="BL381" i="32"/>
  <c r="BM381" i="32" s="1"/>
  <c r="BL375" i="32"/>
  <c r="BM375" i="32" s="1"/>
  <c r="BL311" i="32"/>
  <c r="BM311" i="32" s="1"/>
  <c r="BL60" i="32"/>
  <c r="BM60" i="32" s="1"/>
  <c r="BL533" i="32"/>
  <c r="BM533" i="32" s="1"/>
  <c r="BL20" i="32"/>
  <c r="BM20" i="32" s="1"/>
  <c r="BL153" i="32"/>
  <c r="BM153" i="32" s="1"/>
  <c r="BL590" i="32"/>
  <c r="BM590" i="32" s="1"/>
  <c r="BL109" i="32"/>
  <c r="BM109" i="32" s="1"/>
  <c r="BL492" i="32"/>
  <c r="BM492" i="32" s="1"/>
  <c r="BL556" i="32"/>
  <c r="BM556" i="32" s="1"/>
  <c r="BL65" i="32"/>
  <c r="BM65" i="32" s="1"/>
  <c r="BL141" i="32"/>
  <c r="BM141" i="32" s="1"/>
  <c r="BL283" i="32"/>
  <c r="BM283" i="32" s="1"/>
  <c r="BL436" i="32"/>
  <c r="BM436" i="32" s="1"/>
  <c r="BL580" i="32"/>
  <c r="BM580" i="32" s="1"/>
  <c r="BL118" i="32"/>
  <c r="BM118" i="32" s="1"/>
  <c r="BL337" i="32"/>
  <c r="BM337" i="32" s="1"/>
  <c r="BL100" i="32"/>
  <c r="BM100" i="32" s="1"/>
  <c r="BL507" i="32"/>
  <c r="BM507" i="32" s="1"/>
  <c r="BL395" i="32"/>
  <c r="BM395" i="32" s="1"/>
  <c r="BL472" i="32"/>
  <c r="BM472" i="32" s="1"/>
  <c r="BL292" i="32"/>
  <c r="BM292" i="32" s="1"/>
  <c r="BL329" i="32"/>
  <c r="BM329" i="32" s="1"/>
  <c r="BL499" i="32"/>
  <c r="BM499" i="32" s="1"/>
  <c r="BL301" i="32"/>
  <c r="BM301" i="32" s="1"/>
  <c r="BL138" i="32"/>
  <c r="BM138" i="32" s="1"/>
  <c r="BL255" i="32"/>
  <c r="BM255" i="32" s="1"/>
  <c r="BL57" i="32"/>
  <c r="BM57" i="32" s="1"/>
  <c r="BL261" i="32"/>
  <c r="BM261" i="32" s="1"/>
  <c r="BL157" i="32"/>
  <c r="BM157" i="32" s="1"/>
  <c r="BL371" i="32"/>
  <c r="BM371" i="32" s="1"/>
  <c r="BL571" i="32"/>
  <c r="BM571" i="32" s="1"/>
  <c r="BL532" i="32"/>
  <c r="BM532" i="32" s="1"/>
  <c r="BL217" i="32"/>
  <c r="BM217" i="32" s="1"/>
  <c r="BL443" i="32"/>
  <c r="BM443" i="32" s="1"/>
  <c r="BL518" i="32"/>
  <c r="BM518" i="32" s="1"/>
  <c r="BL463" i="32"/>
  <c r="BM463" i="32" s="1"/>
  <c r="BL41" i="32"/>
  <c r="BM41" i="32" s="1"/>
  <c r="BL430" i="32"/>
  <c r="BM430" i="32" s="1"/>
  <c r="BL295" i="32"/>
  <c r="BM295" i="32" s="1"/>
  <c r="BL262" i="32"/>
  <c r="BM262" i="32" s="1"/>
  <c r="BL111" i="32"/>
  <c r="BM111" i="32" s="1"/>
  <c r="BL308" i="32"/>
  <c r="BM308" i="32" s="1"/>
  <c r="BL607" i="32"/>
  <c r="BM607" i="32" s="1"/>
  <c r="BL529" i="32"/>
  <c r="BM529" i="32" s="1"/>
  <c r="BL61" i="32"/>
  <c r="BM61" i="32" s="1"/>
  <c r="BL369" i="32"/>
  <c r="BM369" i="32" s="1"/>
  <c r="BL547" i="32"/>
  <c r="BM547" i="32" s="1"/>
  <c r="BL59" i="32"/>
  <c r="BM59" i="32" s="1"/>
  <c r="BL189" i="32"/>
  <c r="BM189" i="32" s="1"/>
  <c r="BL363" i="32"/>
  <c r="BM363" i="32" s="1"/>
  <c r="BL577" i="32"/>
  <c r="BM577" i="32" s="1"/>
  <c r="BL379" i="32"/>
  <c r="BM379" i="32" s="1"/>
  <c r="BL33" i="32"/>
  <c r="BM33" i="32" s="1"/>
  <c r="BL361" i="32"/>
  <c r="BM361" i="32" s="1"/>
  <c r="BL160" i="32"/>
  <c r="BM160" i="32" s="1"/>
  <c r="BL99" i="32"/>
  <c r="BM99" i="32" s="1"/>
  <c r="BL185" i="32"/>
  <c r="BM185" i="32" s="1"/>
  <c r="BL77" i="32"/>
  <c r="BM77" i="32" s="1"/>
  <c r="BL277" i="32"/>
  <c r="BM277" i="32" s="1"/>
  <c r="BL240" i="32"/>
  <c r="BM240" i="32" s="1"/>
  <c r="BL462" i="32"/>
  <c r="BM462" i="32" s="1"/>
  <c r="BL557" i="32"/>
  <c r="BM557" i="32" s="1"/>
  <c r="BL429" i="32"/>
  <c r="BM429" i="32" s="1"/>
  <c r="BL132" i="32"/>
  <c r="BM132" i="32" s="1"/>
  <c r="BL204" i="32"/>
  <c r="BM204" i="32" s="1"/>
  <c r="BL357" i="32"/>
  <c r="BM357" i="32" s="1"/>
  <c r="BL212" i="32"/>
  <c r="BM212" i="32" s="1"/>
  <c r="BL444" i="32"/>
  <c r="BM444" i="32" s="1"/>
  <c r="BL493" i="32"/>
  <c r="BM493" i="32" s="1"/>
  <c r="BL67" i="32"/>
  <c r="BM67" i="32" s="1"/>
  <c r="BL309" i="32"/>
  <c r="BM309" i="32" s="1"/>
  <c r="BL417" i="32"/>
  <c r="BM417" i="32" s="1"/>
  <c r="BL251" i="32"/>
  <c r="BM251" i="32" s="1"/>
  <c r="BL147" i="32"/>
  <c r="BM147" i="32" s="1"/>
  <c r="BL457" i="32"/>
  <c r="BM457" i="32" s="1"/>
  <c r="BL388" i="32"/>
  <c r="BM388" i="32" s="1"/>
  <c r="BL248" i="32"/>
  <c r="BM248" i="32" s="1"/>
  <c r="BL599" i="32"/>
  <c r="BM599" i="32" s="1"/>
  <c r="BL576" i="32"/>
  <c r="BM576" i="32" s="1"/>
  <c r="BL346" i="32"/>
  <c r="BM346" i="32" s="1"/>
  <c r="BL604" i="32"/>
  <c r="BM604" i="32" s="1"/>
  <c r="BL413" i="32"/>
  <c r="BM413" i="32" s="1"/>
  <c r="BL15" i="32"/>
  <c r="BM15" i="32" s="1"/>
  <c r="BL538" i="32"/>
  <c r="BM538" i="32" s="1"/>
  <c r="BL595" i="32"/>
  <c r="BM595" i="32" s="1"/>
  <c r="BM70" i="32"/>
  <c r="BL513" i="32"/>
  <c r="BM513" i="32" s="1"/>
  <c r="BL320" i="32"/>
  <c r="BM320" i="32" s="1"/>
  <c r="BL365" i="32"/>
  <c r="BM365" i="32" s="1"/>
  <c r="BL603" i="32"/>
  <c r="BM603" i="32" s="1"/>
  <c r="BL508" i="32"/>
  <c r="BM508" i="32" s="1"/>
  <c r="BL517" i="32"/>
  <c r="BM517" i="32" s="1"/>
  <c r="BL572" i="32"/>
  <c r="BM572" i="32" s="1"/>
  <c r="BL137" i="32"/>
  <c r="BM137" i="32" s="1"/>
  <c r="BL373" i="32"/>
  <c r="BM373" i="32" s="1"/>
  <c r="BL322" i="32"/>
  <c r="BM322" i="32" s="1"/>
  <c r="BL542" i="32"/>
  <c r="BM542" i="32" s="1"/>
  <c r="BL522" i="32"/>
  <c r="BM522" i="32" s="1"/>
  <c r="BL447" i="32"/>
  <c r="BM447" i="32" s="1"/>
  <c r="BL579" i="32"/>
  <c r="BM579" i="32" s="1"/>
  <c r="BL589" i="32"/>
  <c r="BM589" i="32" s="1"/>
  <c r="BL449" i="32"/>
  <c r="BM449" i="32" s="1"/>
  <c r="BL27" i="32"/>
  <c r="BM27" i="32" s="1"/>
  <c r="BL338" i="32"/>
  <c r="BM338" i="32" s="1"/>
  <c r="BL177" i="32"/>
  <c r="BM177" i="32" s="1"/>
  <c r="BL345" i="32"/>
  <c r="BM345" i="32" s="1"/>
  <c r="BL456" i="32"/>
  <c r="BM456" i="32" s="1"/>
  <c r="BL474" i="32"/>
  <c r="BM474" i="32" s="1"/>
  <c r="BL174" i="32"/>
  <c r="BM174" i="32" s="1"/>
  <c r="BL286" i="32"/>
  <c r="BM286" i="32" s="1"/>
  <c r="BL180" i="32"/>
  <c r="BM180" i="32" s="1"/>
  <c r="BL568" i="32"/>
  <c r="BM568" i="32" s="1"/>
  <c r="BL581" i="32"/>
  <c r="BM581" i="32" s="1"/>
  <c r="BL133" i="32"/>
  <c r="BM133" i="32" s="1"/>
  <c r="BL246" i="32"/>
  <c r="BM246" i="32" s="1"/>
  <c r="BL563" i="32"/>
  <c r="BM563" i="32" s="1"/>
  <c r="BL328" i="32"/>
  <c r="BM328" i="32" s="1"/>
  <c r="BL475" i="32"/>
  <c r="BM475" i="32" s="1"/>
  <c r="BL154" i="32"/>
  <c r="BM154" i="32" s="1"/>
  <c r="BL389" i="32"/>
  <c r="BM389" i="32" s="1"/>
  <c r="BL115" i="32"/>
  <c r="BM115" i="32" s="1"/>
  <c r="BL500" i="32"/>
  <c r="BM500" i="32" s="1"/>
  <c r="BL229" i="32"/>
  <c r="BM229" i="32" s="1"/>
  <c r="BL228" i="32"/>
  <c r="BM228" i="32" s="1"/>
  <c r="BL330" i="32"/>
  <c r="BM330" i="32" s="1"/>
  <c r="BL97" i="32"/>
  <c r="BM97" i="32" s="1"/>
  <c r="BL205" i="32"/>
  <c r="BM205" i="32" s="1"/>
  <c r="BL310" i="32"/>
  <c r="BM310" i="32" s="1"/>
  <c r="BL55" i="32"/>
  <c r="BM55" i="32" s="1"/>
  <c r="BL164" i="32"/>
  <c r="BM164" i="32" s="1"/>
  <c r="BL163" i="32"/>
  <c r="BM163" i="32" s="1"/>
  <c r="BL366" i="32"/>
  <c r="BM366" i="32" s="1"/>
  <c r="BL131" i="32"/>
  <c r="BM131" i="32" s="1"/>
  <c r="BL130" i="32"/>
  <c r="BM130" i="32" s="1"/>
  <c r="BL448" i="32"/>
  <c r="BM448" i="32" s="1"/>
  <c r="BL142" i="32"/>
  <c r="BM142" i="32" s="1"/>
  <c r="BL274" i="32"/>
  <c r="BM274" i="32" s="1"/>
  <c r="BL273" i="32"/>
  <c r="BM273" i="32" s="1"/>
  <c r="BL505" i="32"/>
  <c r="BM505" i="32" s="1"/>
  <c r="BL504" i="32"/>
  <c r="BM504" i="32" s="1"/>
  <c r="BL101" i="32"/>
  <c r="BM101" i="32" s="1"/>
  <c r="BL245" i="32"/>
  <c r="BM245" i="32" s="1"/>
  <c r="BL244" i="32"/>
  <c r="BM244" i="32" s="1"/>
  <c r="BL494" i="32"/>
  <c r="BM494" i="32" s="1"/>
  <c r="BL218" i="32"/>
  <c r="BM218" i="32" s="1"/>
  <c r="BL187" i="32"/>
  <c r="BM187" i="32" s="1"/>
  <c r="BL186" i="32"/>
  <c r="BM186" i="32" s="1"/>
  <c r="BL125" i="32"/>
  <c r="BM125" i="32" s="1"/>
  <c r="BL124" i="32"/>
  <c r="BM124" i="32" s="1"/>
  <c r="BL502" i="32"/>
  <c r="BM502" i="32" s="1"/>
  <c r="BL284" i="32"/>
  <c r="BM284" i="32" s="1"/>
  <c r="BL555" i="32"/>
  <c r="BM555" i="32" s="1"/>
  <c r="BL52" i="32"/>
  <c r="BM52" i="32" s="1"/>
  <c r="BL254" i="32"/>
  <c r="BM254" i="32" s="1"/>
  <c r="BL149" i="32"/>
  <c r="BM149" i="32" s="1"/>
  <c r="BL150" i="32"/>
  <c r="BM150" i="32" s="1"/>
  <c r="BL347" i="32"/>
  <c r="BM347" i="32" s="1"/>
  <c r="BL89" i="32"/>
  <c r="BM89" i="32" s="1"/>
  <c r="BL387" i="32"/>
  <c r="BM387" i="32" s="1"/>
  <c r="BL405" i="32"/>
  <c r="BM405" i="32" s="1"/>
  <c r="BL382" i="32"/>
  <c r="BM382" i="32" s="1"/>
  <c r="BL420" i="32"/>
  <c r="BM420" i="32" s="1"/>
  <c r="BL419" i="32"/>
  <c r="BM419" i="32" s="1"/>
  <c r="BL107" i="32"/>
  <c r="BM107" i="32" s="1"/>
  <c r="BL106" i="32"/>
  <c r="BM106" i="32" s="1"/>
  <c r="BL546" i="32"/>
  <c r="BM546" i="32" s="1"/>
  <c r="BL545" i="32"/>
  <c r="BM545" i="32" s="1"/>
  <c r="BL340" i="32"/>
  <c r="BM340" i="32" s="1"/>
  <c r="BL339" i="32"/>
  <c r="BM339" i="32" s="1"/>
  <c r="BL613" i="32"/>
  <c r="BM613" i="32" s="1"/>
  <c r="BL612" i="32"/>
  <c r="BM612" i="32" s="1"/>
  <c r="BL438" i="32"/>
  <c r="BM438" i="32" s="1"/>
  <c r="BL437" i="32"/>
  <c r="BM437" i="32" s="1"/>
  <c r="BL62" i="32"/>
  <c r="BM62" i="32" s="1"/>
  <c r="BL63" i="32"/>
  <c r="BM63" i="32" s="1"/>
  <c r="BL523" i="32"/>
  <c r="BM523" i="32" s="1"/>
  <c r="BL540" i="32"/>
  <c r="BM540" i="32" s="1"/>
  <c r="BL539" i="32"/>
  <c r="BM539" i="32" s="1"/>
  <c r="BL230" i="32"/>
  <c r="BM230" i="32" s="1"/>
  <c r="BL524" i="32"/>
  <c r="BM524" i="32" s="1"/>
  <c r="BL190" i="32"/>
  <c r="BM190" i="32" s="1"/>
  <c r="BL605" i="32"/>
  <c r="BM605" i="32" s="1"/>
  <c r="BL362" i="32"/>
  <c r="BM362" i="32" s="1"/>
  <c r="BL73" i="32"/>
  <c r="BM73" i="32" s="1"/>
  <c r="BL464" i="32"/>
  <c r="BM464" i="32" s="1"/>
  <c r="BL304" i="32"/>
  <c r="BM304" i="32" s="1"/>
  <c r="BL303" i="32"/>
  <c r="BM303" i="32" s="1"/>
  <c r="BL491" i="32"/>
  <c r="BM491" i="32" s="1"/>
  <c r="BL119" i="32"/>
  <c r="BM119" i="32" s="1"/>
  <c r="BL553" i="32"/>
  <c r="BM553" i="32" s="1"/>
  <c r="BL554" i="32"/>
  <c r="BM554" i="32" s="1"/>
  <c r="BL376" i="32"/>
  <c r="BM376" i="32" s="1"/>
  <c r="BL514" i="32"/>
  <c r="BM514" i="32" s="1"/>
  <c r="BL19" i="32"/>
  <c r="BM19" i="32" s="1"/>
  <c r="BL412" i="32"/>
  <c r="BM412" i="32" s="1"/>
  <c r="BL411" i="32"/>
  <c r="BM411" i="32" s="1"/>
  <c r="BL103" i="32"/>
  <c r="BM103" i="32" s="1"/>
  <c r="BL121" i="32"/>
  <c r="BM121" i="32" s="1"/>
  <c r="BL56" i="32"/>
  <c r="BM56" i="32" s="1"/>
  <c r="U13" i="32"/>
  <c r="B18" i="32"/>
  <c r="B25" i="32"/>
  <c r="BL201" i="32"/>
  <c r="BM201" i="32" s="1"/>
  <c r="BL314" i="32"/>
  <c r="BM314" i="32" s="1"/>
  <c r="BL250" i="32"/>
  <c r="BM250" i="32" s="1"/>
  <c r="BL359" i="32"/>
  <c r="BM359" i="32" s="1"/>
  <c r="BL232" i="32"/>
  <c r="BM232" i="32" s="1"/>
  <c r="BL231" i="32"/>
  <c r="BM231" i="32" s="1"/>
  <c r="BL276" i="32"/>
  <c r="BM276" i="32" s="1"/>
  <c r="BL516" i="32"/>
  <c r="BM516" i="32" s="1"/>
  <c r="BL421" i="32"/>
  <c r="BM421" i="32" s="1"/>
  <c r="BL611" i="32"/>
  <c r="BM611" i="32" s="1"/>
  <c r="BL256" i="32"/>
  <c r="BM256" i="32" s="1"/>
  <c r="BL98" i="32"/>
  <c r="BM98" i="32" s="1"/>
  <c r="BL332" i="32"/>
  <c r="BM332" i="32" s="1"/>
  <c r="BL331" i="32"/>
  <c r="BM331" i="32" s="1"/>
  <c r="BL380" i="32"/>
  <c r="BM380" i="32" s="1"/>
  <c r="BL263" i="32"/>
  <c r="BM263" i="32" s="1"/>
  <c r="BL220" i="32"/>
  <c r="BM220" i="32" s="1"/>
  <c r="BL219" i="32"/>
  <c r="BM219" i="32" s="1"/>
  <c r="BL399" i="32"/>
  <c r="BM399" i="32" s="1"/>
  <c r="BL128" i="32"/>
  <c r="BM128" i="32" s="1"/>
  <c r="BL158" i="32"/>
  <c r="BM158" i="32" s="1"/>
  <c r="BL392" i="32"/>
  <c r="BM392" i="32" s="1"/>
  <c r="BL393" i="32"/>
  <c r="BM393" i="32" s="1"/>
  <c r="BL390" i="32"/>
  <c r="BM390" i="32" s="1"/>
  <c r="BL608" i="32"/>
  <c r="BM608" i="32" s="1"/>
  <c r="BL498" i="32"/>
  <c r="BM498" i="32" s="1"/>
  <c r="BL578" i="32"/>
  <c r="BM578" i="32" s="1"/>
  <c r="BL318" i="32"/>
  <c r="BM318" i="32" s="1"/>
  <c r="BL367" i="32"/>
  <c r="BM367" i="32" s="1"/>
  <c r="BL87" i="32"/>
  <c r="BM87" i="32" s="1"/>
  <c r="BL525" i="32"/>
  <c r="BM525" i="32" s="1"/>
  <c r="BL224" i="32"/>
  <c r="BM224" i="32" s="1"/>
  <c r="BL531" i="32"/>
  <c r="BM531" i="32" s="1"/>
  <c r="BL259" i="32"/>
  <c r="BM259" i="32" s="1"/>
  <c r="BL258" i="32"/>
  <c r="BM258" i="32" s="1"/>
  <c r="AX13" i="32"/>
  <c r="AY13" i="32" s="1"/>
  <c r="AW13" i="32"/>
  <c r="BL13" i="32" s="1"/>
  <c r="BL95" i="32"/>
  <c r="BM95" i="32" s="1"/>
  <c r="BL194" i="32"/>
  <c r="BM194" i="32" s="1"/>
  <c r="BL66" i="32"/>
  <c r="BM66" i="32" s="1"/>
  <c r="BL68" i="32"/>
  <c r="BM68" i="32" s="1"/>
  <c r="BL588" i="32"/>
  <c r="BM588" i="32" s="1"/>
  <c r="BL587" i="32"/>
  <c r="BM587" i="32" s="1"/>
  <c r="BL479" i="32"/>
  <c r="BM479" i="32" s="1"/>
  <c r="BL58" i="32"/>
  <c r="BM58" i="32" s="1"/>
  <c r="BL541" i="32"/>
  <c r="BM541" i="32" s="1"/>
  <c r="BL327" i="32"/>
  <c r="BM327" i="32" s="1"/>
  <c r="BL326" i="32"/>
  <c r="BM326" i="32" s="1"/>
  <c r="BL199" i="32"/>
  <c r="BM199" i="32" s="1"/>
  <c r="BL198" i="32"/>
  <c r="BM198" i="32" s="1"/>
  <c r="BL477" i="32"/>
  <c r="BM477" i="32" s="1"/>
  <c r="BL476" i="32"/>
  <c r="BM476" i="32" s="1"/>
  <c r="BL313" i="32"/>
  <c r="BM313" i="32" s="1"/>
  <c r="BL312" i="32"/>
  <c r="BM312" i="32" s="1"/>
  <c r="BL162" i="32"/>
  <c r="BM162" i="32" s="1"/>
  <c r="BL161" i="32"/>
  <c r="BM161" i="32" s="1"/>
  <c r="BL597" i="32"/>
  <c r="BM597" i="32" s="1"/>
  <c r="BL596" i="32"/>
  <c r="BM596" i="32" s="1"/>
  <c r="BL400" i="32"/>
  <c r="BM400" i="32" s="1"/>
  <c r="BL401" i="32"/>
  <c r="BM401" i="32" s="1"/>
  <c r="BL44" i="32"/>
  <c r="BM44" i="32" s="1"/>
  <c r="BL171" i="32"/>
  <c r="BM171" i="32" s="1"/>
  <c r="BL473" i="32"/>
  <c r="BM473" i="32" s="1"/>
  <c r="BL45" i="32"/>
  <c r="BM45" i="32" s="1"/>
  <c r="BL594" i="32"/>
  <c r="BM594" i="32" s="1"/>
  <c r="BL483" i="32"/>
  <c r="BM483" i="32" s="1"/>
  <c r="BL188" i="32"/>
  <c r="BM188" i="32" s="1"/>
  <c r="BL193" i="32"/>
  <c r="BM193" i="32" s="1"/>
  <c r="BL140" i="32"/>
  <c r="BM140" i="32" s="1"/>
  <c r="BL343" i="32"/>
  <c r="BM343" i="32" s="1"/>
  <c r="BL117" i="32"/>
  <c r="BM117" i="32" s="1"/>
  <c r="BL116" i="32"/>
  <c r="BM116" i="32" s="1"/>
  <c r="BL569" i="32"/>
  <c r="BM569" i="32" s="1"/>
  <c r="BL260" i="32"/>
  <c r="BM260" i="32" s="1"/>
  <c r="BL209" i="32"/>
  <c r="BM209" i="32" s="1"/>
  <c r="BL559" i="32"/>
  <c r="BM559" i="32" s="1"/>
  <c r="BL351" i="32"/>
  <c r="BM351" i="32" s="1"/>
  <c r="BL319" i="32"/>
  <c r="BM319" i="32" s="1"/>
  <c r="BL349" i="32"/>
  <c r="BM349" i="32" s="1"/>
  <c r="BL534" i="32"/>
  <c r="BM534" i="32" s="1"/>
  <c r="BL535" i="32"/>
  <c r="BM535" i="32" s="1"/>
  <c r="BL315" i="32"/>
  <c r="BM315" i="32" s="1"/>
  <c r="BL113" i="32"/>
  <c r="BM113" i="32" s="1"/>
  <c r="BL112" i="32"/>
  <c r="BM112" i="32" s="1"/>
  <c r="BL414" i="32"/>
  <c r="BM414" i="32" s="1"/>
  <c r="BL415" i="32"/>
  <c r="BM415" i="32" s="1"/>
  <c r="BL600" i="32"/>
  <c r="BM600" i="32" s="1"/>
  <c r="BL206" i="32"/>
  <c r="BM206" i="32" s="1"/>
  <c r="BL302" i="32"/>
  <c r="BM302" i="32" s="1"/>
  <c r="BL289" i="32"/>
  <c r="BM289" i="32" s="1"/>
  <c r="BL288" i="32"/>
  <c r="BM288" i="32" s="1"/>
  <c r="BL46" i="32"/>
  <c r="BM46" i="32" s="1"/>
  <c r="BL353" i="32"/>
  <c r="BM353" i="32" s="1"/>
  <c r="BL275" i="32"/>
  <c r="BM275" i="32" s="1"/>
  <c r="BL165" i="32"/>
  <c r="BM165" i="32" s="1"/>
  <c r="BL567" i="32"/>
  <c r="BM567" i="32" s="1"/>
  <c r="BL548" i="32"/>
  <c r="BM548" i="32" s="1"/>
  <c r="BL196" i="32"/>
  <c r="BM196" i="32" s="1"/>
  <c r="BL178" i="32"/>
  <c r="BM178" i="32" s="1"/>
  <c r="BL515" i="32"/>
  <c r="BM515" i="32" s="1"/>
  <c r="BL407" i="32"/>
  <c r="BM407" i="32" s="1"/>
  <c r="BL406" i="32"/>
  <c r="BM406" i="32" s="1"/>
  <c r="BL233" i="32"/>
  <c r="BM233" i="32" s="1"/>
  <c r="BL234" i="32"/>
  <c r="BM234" i="32" s="1"/>
  <c r="BL203" i="32"/>
  <c r="BM203" i="32" s="1"/>
  <c r="BL202" i="32"/>
  <c r="BM202" i="32" s="1"/>
  <c r="BL211" i="32"/>
  <c r="BM211" i="32" s="1"/>
  <c r="BL210" i="32"/>
  <c r="BM210" i="32" s="1"/>
  <c r="BL93" i="32"/>
  <c r="BM93" i="32" s="1"/>
  <c r="BL374" i="32"/>
  <c r="BM374" i="32" s="1"/>
  <c r="BL169" i="32"/>
  <c r="BM169" i="32" s="1"/>
  <c r="BL168" i="32"/>
  <c r="BM168" i="32" s="1"/>
  <c r="BL271" i="32"/>
  <c r="BM271" i="32" s="1"/>
  <c r="BL583" i="32"/>
  <c r="BM583" i="32" s="1"/>
  <c r="BL602" i="32"/>
  <c r="BM602" i="32" s="1"/>
  <c r="BL601" i="32"/>
  <c r="BM601" i="32" s="1"/>
  <c r="BL36" i="32"/>
  <c r="BM36" i="32" s="1"/>
  <c r="BL35" i="32"/>
  <c r="BM35" i="32" s="1"/>
  <c r="BL148" i="32"/>
  <c r="BM148" i="32" s="1"/>
  <c r="BL91" i="32"/>
  <c r="BM91" i="32" s="1"/>
  <c r="BL297" i="32"/>
  <c r="BM297" i="32" s="1"/>
  <c r="BL296" i="32"/>
  <c r="BM296" i="32" s="1"/>
  <c r="BL527" i="32"/>
  <c r="BM527" i="32" s="1"/>
  <c r="BL526" i="32"/>
  <c r="BM526" i="32" s="1"/>
  <c r="BL497" i="32"/>
  <c r="BM497" i="32" s="1"/>
  <c r="BL496" i="32"/>
  <c r="BM496" i="32" s="1"/>
  <c r="BL181" i="32"/>
  <c r="BM181" i="32" s="1"/>
  <c r="BL270" i="32"/>
  <c r="BM270" i="32" s="1"/>
  <c r="BL83" i="32"/>
  <c r="BM83" i="32" s="1"/>
  <c r="BL335" i="32"/>
  <c r="BM335" i="32" s="1"/>
  <c r="BL334" i="32"/>
  <c r="BM334" i="32" s="1"/>
  <c r="BL501" i="32"/>
  <c r="BM501" i="32" s="1"/>
  <c r="BL38" i="32"/>
  <c r="BM38" i="32" s="1"/>
  <c r="BL39" i="32"/>
  <c r="BM39" i="32" s="1"/>
  <c r="BL123" i="32"/>
  <c r="BM123" i="32" s="1"/>
  <c r="BL562" i="32"/>
  <c r="BM562" i="32" s="1"/>
  <c r="BL21" i="32"/>
  <c r="BM21" i="32" s="1"/>
  <c r="BL575" i="32"/>
  <c r="BM575" i="32" s="1"/>
  <c r="BL207" i="32"/>
  <c r="BM207" i="32" s="1"/>
  <c r="BL354" i="32"/>
  <c r="BM354" i="32" s="1"/>
  <c r="BL278" i="32"/>
  <c r="BM278" i="32" s="1"/>
  <c r="BL398" i="32"/>
  <c r="BM398" i="32" s="1"/>
  <c r="BL397" i="32"/>
  <c r="BM397" i="32" s="1"/>
  <c r="BL49" i="32"/>
  <c r="BM49" i="32" s="1"/>
  <c r="BL237" i="32"/>
  <c r="BM237" i="32" s="1"/>
  <c r="BL236" i="32"/>
  <c r="BM236" i="32" s="1"/>
  <c r="BL26" i="32"/>
  <c r="BM26" i="32" s="1"/>
  <c r="BL84" i="32"/>
  <c r="BM84" i="32" s="1"/>
  <c r="BL29" i="32"/>
  <c r="BM29" i="32" s="1"/>
  <c r="BL28" i="32"/>
  <c r="BM28" i="32" s="1"/>
  <c r="BL182" i="32"/>
  <c r="BM182" i="32" s="1"/>
  <c r="BL324" i="32"/>
  <c r="BM324" i="32" s="1"/>
  <c r="BL573" i="32"/>
  <c r="BM573" i="32" s="1"/>
  <c r="BL200" i="32"/>
  <c r="BM200" i="32" s="1"/>
  <c r="BL239" i="32"/>
  <c r="BM239" i="32" s="1"/>
  <c r="BL564" i="32"/>
  <c r="BM564" i="32" s="1"/>
  <c r="BL241" i="32"/>
  <c r="BM241" i="32" s="1"/>
  <c r="BL487" i="32"/>
  <c r="BM487" i="32" s="1"/>
  <c r="BL484" i="32"/>
  <c r="BM484" i="32" s="1"/>
  <c r="BL455" i="32"/>
  <c r="BM455" i="32" s="1"/>
  <c r="BL428" i="32"/>
  <c r="BM428" i="32" s="1"/>
  <c r="BL409" i="32"/>
  <c r="BM409" i="32" s="1"/>
  <c r="BL585" i="32"/>
  <c r="BM585" i="32" s="1"/>
  <c r="BL584" i="32"/>
  <c r="BM584" i="32" s="1"/>
  <c r="BL404" i="32"/>
  <c r="BM404" i="32" s="1"/>
  <c r="BL403" i="32"/>
  <c r="BM403" i="32" s="1"/>
  <c r="BL25" i="32"/>
  <c r="BM25" i="32" s="1"/>
  <c r="BL213" i="32"/>
  <c r="BM213" i="32" s="1"/>
  <c r="BL214" i="32"/>
  <c r="BM214" i="32" s="1"/>
  <c r="BL134" i="32"/>
  <c r="BM134" i="32" s="1"/>
  <c r="BL446" i="32"/>
  <c r="BM446" i="32" s="1"/>
  <c r="BL364" i="32"/>
  <c r="BM364" i="32" s="1"/>
  <c r="BL81" i="32"/>
  <c r="BM81" i="32" s="1"/>
  <c r="BL221" i="32"/>
  <c r="BM221" i="32" s="1"/>
  <c r="BL222" i="32"/>
  <c r="BM222" i="32" s="1"/>
  <c r="BL252" i="32"/>
  <c r="BM252" i="32" s="1"/>
  <c r="BL268" i="32"/>
  <c r="BM268" i="32" s="1"/>
  <c r="BL249" i="32"/>
  <c r="BM249" i="32" s="1"/>
  <c r="BL465" i="32"/>
  <c r="BM465" i="32" s="1"/>
  <c r="BL108" i="32"/>
  <c r="BM108" i="32" s="1"/>
  <c r="BL76" i="32"/>
  <c r="BM76" i="32" s="1"/>
  <c r="BL435" i="32"/>
  <c r="BM435" i="32" s="1"/>
  <c r="BL434" i="32"/>
  <c r="BM434" i="32" s="1"/>
  <c r="BL469" i="32"/>
  <c r="BM469" i="32" s="1"/>
  <c r="BL333" i="32"/>
  <c r="BM333" i="32" s="1"/>
  <c r="BL431" i="32"/>
  <c r="BM431" i="32" s="1"/>
  <c r="BL17" i="32"/>
  <c r="BM17" i="32" s="1"/>
  <c r="BL495" i="32"/>
  <c r="BM495" i="32" s="1"/>
  <c r="BL452" i="32"/>
  <c r="BM452" i="32" s="1"/>
  <c r="BL145" i="32"/>
  <c r="BM145" i="32" s="1"/>
  <c r="BL265" i="32"/>
  <c r="BM265" i="32" s="1"/>
  <c r="BL264" i="32"/>
  <c r="BM264" i="32" s="1"/>
  <c r="BL530" i="32"/>
  <c r="BM530" i="32" s="1"/>
  <c r="BL280" i="32"/>
  <c r="BM280" i="32" s="1"/>
  <c r="BL156" i="32"/>
  <c r="BM156" i="32" s="1"/>
  <c r="BL155" i="32"/>
  <c r="BM155" i="32" s="1"/>
  <c r="BL467" i="32"/>
  <c r="BM467" i="32" s="1"/>
  <c r="BL466" i="32"/>
  <c r="BM466" i="32" s="1"/>
  <c r="BL490" i="32"/>
  <c r="BM490" i="32" s="1"/>
  <c r="BL489" i="32"/>
  <c r="BM489" i="32" s="1"/>
  <c r="BL51" i="32"/>
  <c r="BM51" i="32" s="1"/>
  <c r="BL396" i="32"/>
  <c r="BM396" i="32" s="1"/>
  <c r="BL43" i="32"/>
  <c r="BM43" i="32" s="1"/>
  <c r="BL42" i="32"/>
  <c r="BM42" i="32" s="1"/>
  <c r="BL592" i="32"/>
  <c r="BM592" i="32" s="1"/>
  <c r="BL591" i="32"/>
  <c r="BM591" i="32" s="1"/>
  <c r="BL287" i="32"/>
  <c r="BM287" i="32" s="1"/>
  <c r="BL440" i="32"/>
  <c r="BM440" i="32" s="1"/>
  <c r="BL441" i="32"/>
  <c r="BM441" i="32" s="1"/>
  <c r="BL510" i="32"/>
  <c r="BM510" i="32" s="1"/>
  <c r="BL509" i="32"/>
  <c r="BM509" i="32" s="1"/>
  <c r="BL471" i="32"/>
  <c r="BM471" i="32" s="1"/>
  <c r="BL139" i="32"/>
  <c r="BM139" i="32" s="1"/>
  <c r="BL247" i="32"/>
  <c r="BM247" i="32" s="1"/>
  <c r="BL110" i="32"/>
  <c r="BM110" i="32" s="1"/>
  <c r="BL78" i="32"/>
  <c r="BM78" i="32" s="1"/>
  <c r="BL75" i="32"/>
  <c r="BM75" i="32" s="1"/>
  <c r="BL74" i="32"/>
  <c r="BM74" i="32" s="1"/>
  <c r="BL482" i="32"/>
  <c r="BM482" i="32" s="1"/>
  <c r="BL481" i="32"/>
  <c r="BM481" i="32" s="1"/>
  <c r="BL23" i="32"/>
  <c r="BM23" i="32" s="1"/>
  <c r="BL300" i="32"/>
  <c r="BM300" i="32" s="1"/>
  <c r="BL549" i="32"/>
  <c r="BM549" i="32" s="1"/>
  <c r="BL126" i="32"/>
  <c r="BM126" i="32" s="1"/>
  <c r="BL458" i="32"/>
  <c r="BM458" i="32" s="1"/>
  <c r="BL422" i="32"/>
  <c r="BM422" i="32" s="1"/>
  <c r="BL432" i="32"/>
  <c r="BM432" i="32" s="1"/>
  <c r="BL570" i="32"/>
  <c r="BM570" i="32" s="1"/>
  <c r="BL609" i="32"/>
  <c r="BM609" i="32" s="1"/>
  <c r="BL450" i="32"/>
  <c r="BM450" i="32" s="1"/>
  <c r="BL550" i="32"/>
  <c r="BM550" i="32" s="1"/>
  <c r="BL172" i="32"/>
  <c r="BM172" i="32" s="1"/>
  <c r="BL293" i="32"/>
  <c r="BM293" i="32" s="1"/>
  <c r="BL197" i="32"/>
  <c r="BM197" i="32" s="1"/>
  <c r="BL30" i="32"/>
  <c r="BM30" i="32" s="1"/>
  <c r="BL31" i="32"/>
  <c r="BM31" i="32" s="1"/>
  <c r="BM13" i="32" l="1"/>
  <c r="BM9" i="32" s="1"/>
  <c r="U5" i="32" s="1"/>
  <c r="D505" i="2" s="1"/>
  <c r="BM8" i="32"/>
  <c r="U4" i="32" s="1"/>
  <c r="D504" i="2" l="1"/>
  <c r="D617" i="32"/>
  <c r="C639" i="32"/>
  <c r="C640" i="32"/>
  <c r="A505" i="2"/>
  <c r="B505" i="2"/>
  <c r="A475" i="2"/>
  <c r="W617" i="32" l="1"/>
  <c r="AM617" i="32"/>
  <c r="G617" i="32"/>
  <c r="H617" i="32" s="1"/>
  <c r="I617" i="32" s="1"/>
  <c r="AC617" i="32"/>
  <c r="F617" i="32"/>
  <c r="AP617" i="32"/>
  <c r="K617" i="32"/>
  <c r="Z617" i="32"/>
  <c r="E617" i="32"/>
  <c r="AJ617" i="32"/>
  <c r="D618" i="32"/>
  <c r="D619" i="32" s="1"/>
  <c r="B504" i="2"/>
  <c r="A504" i="2"/>
  <c r="C72" i="16"/>
  <c r="D72" i="16" s="1"/>
  <c r="B475" i="2"/>
  <c r="AS617" i="32" l="1"/>
  <c r="BB617" i="32" s="1"/>
  <c r="AA617" i="32"/>
  <c r="AB617" i="32"/>
  <c r="AQ617" i="32"/>
  <c r="AR617" i="32"/>
  <c r="J617" i="32"/>
  <c r="M617" i="32" s="1"/>
  <c r="AE617" i="32"/>
  <c r="AD617" i="32"/>
  <c r="AL617" i="32"/>
  <c r="AK617" i="32"/>
  <c r="AO617" i="32"/>
  <c r="AN617" i="32"/>
  <c r="Y617" i="32"/>
  <c r="X617" i="32"/>
  <c r="AF617" i="32"/>
  <c r="BC617" i="32" l="1"/>
  <c r="AT617" i="32"/>
  <c r="AU617" i="32"/>
  <c r="AH617" i="32"/>
  <c r="AG617" i="32"/>
  <c r="N617" i="32"/>
  <c r="S617" i="32"/>
  <c r="P617" i="32" l="1"/>
  <c r="O617" i="32"/>
  <c r="BE617" i="32"/>
  <c r="BF617" i="32"/>
  <c r="T617" i="32" l="1"/>
  <c r="AV617" i="32" s="1"/>
  <c r="Q617" i="32"/>
  <c r="U617" i="32" s="1"/>
  <c r="AX617" i="32" l="1"/>
  <c r="AW617" i="32"/>
  <c r="AX619" i="32" l="1"/>
  <c r="AY619" i="32" s="1"/>
  <c r="AY617" i="32"/>
  <c r="AY618" i="32" s="1"/>
  <c r="AX620" i="32"/>
  <c r="AY620"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BMC-BCS</author>
    <author>BDATSC</author>
  </authors>
  <commentList>
    <comment ref="A3" authorId="0" shapeId="0" xr:uid="{00000000-0006-0000-0000-000001000000}">
      <text>
        <r>
          <rPr>
            <b/>
            <sz val="12"/>
            <color indexed="10"/>
            <rFont val="Tahoma"/>
            <family val="2"/>
          </rPr>
          <t>Welcome to the LM51772 Quickstart Design Tool</t>
        </r>
        <r>
          <rPr>
            <sz val="9"/>
            <color indexed="81"/>
            <rFont val="Tahoma"/>
            <family val="2"/>
          </rPr>
          <t xml:space="preserve">
This stand-alone tool facilitates and assists the power supply engineer with design of a DC/DC buck-boost converter based on the </t>
        </r>
        <r>
          <rPr>
            <b/>
            <sz val="9"/>
            <color indexed="81"/>
            <rFont val="Tahoma"/>
            <family val="2"/>
          </rPr>
          <t>LM51772 current-mode buck-boost controller</t>
        </r>
        <r>
          <rPr>
            <sz val="9"/>
            <color indexed="81"/>
            <rFont val="Tahoma"/>
            <family val="2"/>
          </rPr>
          <t xml:space="preserve">. As such, the user can expeditiously arrive at an optimized design by virtue of the following:
- Determine filter inductance and input and output filter capacitances
- Select components for soft-start, input UVLO and dither
- Optimize compensation values, slope compensation, and pole/zero placement in terms of control loop stability using crossover frequency as a performance metric
- Inspect converter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text>
    </comment>
    <comment ref="F7" authorId="0" shapeId="0" xr:uid="{0E7DE9E0-DE80-4F14-97D5-922DAC45C135}">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LM51772 input voltage operating range is 3.3V to 55V.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LM51772 input voltage operating range is 3.3V to 55V.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9" authorId="0" shapeId="0" xr:uid="{52FC8C5E-1EAD-44CD-ADC2-7790DC54AC85}">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LM51772 input voltage operating range is 3.3V to 55V.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sz val="9"/>
            <color indexed="81"/>
            <rFont val="Tahoma"/>
            <family val="2"/>
          </rPr>
          <t>-The output voltage is below</t>
        </r>
        <r>
          <rPr>
            <b/>
            <sz val="9"/>
            <color indexed="10"/>
            <rFont val="Tahoma"/>
            <family val="2"/>
          </rPr>
          <t xml:space="preserve"> 3.3V 
</t>
        </r>
        <r>
          <rPr>
            <sz val="9"/>
            <color indexed="81"/>
            <rFont val="Tahoma"/>
            <family val="2"/>
          </rPr>
          <t>-The output voltage is above</t>
        </r>
        <r>
          <rPr>
            <b/>
            <sz val="9"/>
            <color indexed="10"/>
            <rFont val="Tahoma"/>
            <family val="2"/>
          </rPr>
          <t xml:space="preserve"> 78V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free-running switching frequency set by the R</t>
        </r>
        <r>
          <rPr>
            <vertAlign val="subscript"/>
            <sz val="9"/>
            <color indexed="81"/>
            <rFont val="Tahoma"/>
            <family val="2"/>
          </rPr>
          <t>T</t>
        </r>
        <r>
          <rPr>
            <sz val="9"/>
            <color indexed="81"/>
            <rFont val="Tahoma"/>
            <family val="2"/>
          </rPr>
          <t xml:space="preserve"> resistor. 
</t>
        </r>
        <r>
          <rPr>
            <b/>
            <sz val="9"/>
            <color indexed="81"/>
            <rFont val="Tahoma"/>
            <family val="2"/>
          </rPr>
          <t xml:space="preserve">The text in the cell is flagged red if:
</t>
        </r>
        <r>
          <rPr>
            <sz val="9"/>
            <color indexed="81"/>
            <rFont val="Tahoma"/>
            <family val="2"/>
          </rPr>
          <t>-The frequency is below</t>
        </r>
        <r>
          <rPr>
            <b/>
            <sz val="9"/>
            <color indexed="10"/>
            <rFont val="Tahoma"/>
            <family val="2"/>
          </rPr>
          <t xml:space="preserve"> 100 kHz
</t>
        </r>
        <r>
          <rPr>
            <sz val="9"/>
            <color indexed="81"/>
            <rFont val="Tahoma"/>
            <family val="2"/>
          </rPr>
          <t>-The frequency is above</t>
        </r>
        <r>
          <rPr>
            <b/>
            <sz val="9"/>
            <color indexed="10"/>
            <rFont val="Tahoma"/>
            <family val="2"/>
          </rPr>
          <t xml:space="preserve"> 2200 kHz</t>
        </r>
        <r>
          <rPr>
            <sz val="11"/>
            <color indexed="81"/>
            <rFont val="Tahoma"/>
            <family val="2"/>
          </rPr>
          <t xml:space="preserve">
</t>
        </r>
      </text>
    </comment>
    <comment ref="F16" authorId="0" shapeId="0" xr:uid="{ADE317F7-0535-4759-B8C4-F021D13DCFA8}">
      <text>
        <r>
          <rPr>
            <b/>
            <u/>
            <sz val="9"/>
            <color indexed="81"/>
            <rFont val="Tahoma"/>
            <family val="2"/>
          </rPr>
          <t>Recommended Filter Inductance</t>
        </r>
        <r>
          <rPr>
            <b/>
            <sz val="9"/>
            <color indexed="81"/>
            <rFont val="Tahoma"/>
            <family val="2"/>
          </rPr>
          <t xml:space="preserve">:
</t>
        </r>
        <r>
          <rPr>
            <sz val="9"/>
            <color indexed="81"/>
            <rFont val="Tahoma"/>
            <family val="2"/>
          </rPr>
          <t xml:space="preserve">The recommended inductor is selected for an average current of ~ 60% of the peak current limit (nominal value) and a slope factor of 1.
The recommended value is limited by the limits defined in the datasheet:
- Equation 12
- Equation 13
</t>
        </r>
      </text>
    </comment>
    <comment ref="F17" authorId="0" shapeId="0" xr:uid="{025DE409-06DA-46C2-98B1-A2630EE759DE}">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
        </r>
        <r>
          <rPr>
            <sz val="9"/>
            <color indexed="81"/>
            <rFont val="Tahoma"/>
            <family val="2"/>
          </rPr>
          <t xml:space="preserve">
The largest inductor (peak-to-peak) ripple currrent appears at the DC full load </t>
        </r>
        <r>
          <rPr>
            <u/>
            <sz val="9"/>
            <color indexed="81"/>
            <rFont val="Tahoma"/>
            <family val="2"/>
          </rPr>
          <t>output</t>
        </r>
        <r>
          <rPr>
            <sz val="9"/>
            <color indexed="81"/>
            <rFont val="Tahoma"/>
            <family val="2"/>
          </rPr>
          <t xml:space="preserve"> current in BUCK mode at highest input voltage.
The highest inductor average currrent appears at the DC full load </t>
        </r>
        <r>
          <rPr>
            <u/>
            <sz val="9"/>
            <color indexed="81"/>
            <rFont val="Tahoma"/>
            <family val="2"/>
          </rPr>
          <t>output</t>
        </r>
        <r>
          <rPr>
            <sz val="9"/>
            <color indexed="81"/>
            <rFont val="Tahoma"/>
            <family val="2"/>
          </rPr>
          <t xml:space="preserve"> current in BOOST mode at lowest input voltage.
The cell gets marked red if the value is outside the recommended range.</t>
        </r>
      </text>
    </comment>
    <comment ref="F18" authorId="0" shapeId="0" xr:uid="{575C06E1-3E0A-4744-84D6-27FF04CE04BB}">
      <text>
        <r>
          <rPr>
            <b/>
            <u/>
            <sz val="9"/>
            <color indexed="81"/>
            <rFont val="Tahoma"/>
            <family val="2"/>
          </rPr>
          <t>Filter Inductance</t>
        </r>
        <r>
          <rPr>
            <b/>
            <sz val="9"/>
            <color indexed="81"/>
            <rFont val="Tahoma"/>
            <family val="2"/>
          </rPr>
          <t xml:space="preserve">:
</t>
        </r>
        <r>
          <rPr>
            <sz val="9"/>
            <color indexed="81"/>
            <rFont val="Tahoma"/>
            <family val="2"/>
          </rPr>
          <t xml:space="preserve">Enter the filter inductance here.
</t>
        </r>
        <r>
          <rPr>
            <b/>
            <sz val="9"/>
            <color indexed="81"/>
            <rFont val="Tahoma"/>
            <family val="2"/>
          </rPr>
          <t>Use the derated value of the inductance at the Peak Inductor Over-Current Limit, I</t>
        </r>
        <r>
          <rPr>
            <b/>
            <vertAlign val="subscript"/>
            <sz val="9"/>
            <color indexed="81"/>
            <rFont val="Tahoma"/>
            <family val="2"/>
          </rPr>
          <t>LPK,Limit</t>
        </r>
        <r>
          <rPr>
            <b/>
            <sz val="9"/>
            <color indexed="81"/>
            <rFont val="Tahoma"/>
            <family val="2"/>
          </rPr>
          <t xml:space="preserve">
</t>
        </r>
        <r>
          <rPr>
            <sz val="9"/>
            <color indexed="81"/>
            <rFont val="Tahoma"/>
            <family val="2"/>
          </rPr>
          <t xml:space="preserve">
The cell gets marked red if the value is outside the recommended range.</t>
        </r>
      </text>
    </comment>
    <comment ref="F19" authorId="0" shapeId="0" xr:uid="{6CB1E1F7-7C69-4233-A324-3F47EC3D5A2B}">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6" authorId="0" shapeId="0" xr:uid="{32516B19-C134-453D-92AB-D40AB30FCF64}">
      <text>
        <r>
          <rPr>
            <b/>
            <u/>
            <sz val="9"/>
            <color indexed="81"/>
            <rFont val="Tahoma"/>
            <family val="2"/>
          </rPr>
          <t>Current Sense Filter</t>
        </r>
        <r>
          <rPr>
            <b/>
            <sz val="9"/>
            <color indexed="81"/>
            <rFont val="Tahoma"/>
            <family val="2"/>
          </rPr>
          <t>:</t>
        </r>
        <r>
          <rPr>
            <sz val="9"/>
            <color indexed="81"/>
            <rFont val="Tahoma"/>
            <family val="2"/>
          </rPr>
          <t xml:space="preserve">
Use this filter on in the input of CSA/CSB.
The resistances of </t>
        </r>
        <r>
          <rPr>
            <b/>
            <sz val="9"/>
            <color indexed="81"/>
            <rFont val="Tahoma"/>
            <family val="2"/>
          </rPr>
          <t>R</t>
        </r>
        <r>
          <rPr>
            <b/>
            <vertAlign val="subscript"/>
            <sz val="9"/>
            <color indexed="81"/>
            <rFont val="Tahoma"/>
            <family val="2"/>
          </rPr>
          <t>CSA</t>
        </r>
        <r>
          <rPr>
            <sz val="9"/>
            <color indexed="81"/>
            <rFont val="Tahoma"/>
            <family val="2"/>
          </rPr>
          <t xml:space="preserve"> and </t>
        </r>
        <r>
          <rPr>
            <b/>
            <sz val="9"/>
            <color indexed="81"/>
            <rFont val="Tahoma"/>
            <family val="2"/>
          </rPr>
          <t>R</t>
        </r>
        <r>
          <rPr>
            <b/>
            <vertAlign val="subscript"/>
            <sz val="9"/>
            <color indexed="81"/>
            <rFont val="Tahoma"/>
            <family val="2"/>
          </rPr>
          <t>CSB</t>
        </r>
        <r>
          <rPr>
            <sz val="9"/>
            <color indexed="81"/>
            <rFont val="Tahoma"/>
            <family val="2"/>
          </rPr>
          <t xml:space="preserve"> are equal for balanced common-mode filtering to the CSA and CSB pins.</t>
        </r>
      </text>
    </comment>
    <comment ref="F30" authorId="1" shapeId="0" xr:uid="{C173A9EE-DAC3-4249-8D12-09990EC43A66}">
      <text>
        <r>
          <rPr>
            <b/>
            <sz val="9"/>
            <color indexed="81"/>
            <rFont val="Tahoma"/>
            <family val="2"/>
          </rPr>
          <t>Peak Current Limit Margin</t>
        </r>
        <r>
          <rPr>
            <sz val="9"/>
            <color indexed="81"/>
            <rFont val="Tahoma"/>
            <family val="2"/>
          </rPr>
          <t xml:space="preserve">
Margin above the calculated peak inductor current. Margin must be given to allow for load transients and component tolerances.
Value should be higher then 15% to avoid false triggers.
</t>
        </r>
      </text>
    </comment>
    <comment ref="F31" authorId="0" shapeId="0" xr:uid="{A0D18336-96C9-4A5F-B6DF-31B2F877AF2E}">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 xml:space="preserve">.
The threshold in BUCK and BOOST modes is 50mV. The variance of the the peak current limit threshold needs toi be considered within the Peak Current Limit Margin. 
The resistances of </t>
        </r>
        <r>
          <rPr>
            <b/>
            <sz val="9"/>
            <color indexed="81"/>
            <rFont val="Tahoma"/>
            <family val="2"/>
          </rPr>
          <t>R</t>
        </r>
        <r>
          <rPr>
            <b/>
            <vertAlign val="subscript"/>
            <sz val="9"/>
            <color indexed="81"/>
            <rFont val="Tahoma"/>
            <family val="2"/>
          </rPr>
          <t>CSA</t>
        </r>
        <r>
          <rPr>
            <sz val="9"/>
            <color indexed="81"/>
            <rFont val="Tahoma"/>
            <family val="2"/>
          </rPr>
          <t xml:space="preserve"> and </t>
        </r>
        <r>
          <rPr>
            <b/>
            <sz val="9"/>
            <color indexed="81"/>
            <rFont val="Tahoma"/>
            <family val="2"/>
          </rPr>
          <t>R</t>
        </r>
        <r>
          <rPr>
            <b/>
            <vertAlign val="subscript"/>
            <sz val="9"/>
            <color indexed="81"/>
            <rFont val="Tahoma"/>
            <family val="2"/>
          </rPr>
          <t>CSB</t>
        </r>
        <r>
          <rPr>
            <sz val="9"/>
            <color indexed="81"/>
            <rFont val="Tahoma"/>
            <family val="2"/>
          </rPr>
          <t xml:space="preserve"> are equal for balanced common-mode filtering to the CSA and CSB pins.</t>
        </r>
      </text>
    </comment>
    <comment ref="F32" authorId="0" shapeId="0" xr:uid="{4A5BDDD2-82AA-4460-8C16-2BB4F3628929}">
      <text>
        <r>
          <rPr>
            <b/>
            <u/>
            <sz val="9"/>
            <color indexed="81"/>
            <rFont val="Tahoma"/>
            <family val="2"/>
          </rPr>
          <t>Selected Sense Resistance</t>
        </r>
        <r>
          <rPr>
            <b/>
            <sz val="9"/>
            <color indexed="81"/>
            <rFont val="Tahoma"/>
            <family val="2"/>
          </rPr>
          <t>:</t>
        </r>
        <r>
          <rPr>
            <sz val="9"/>
            <color indexed="81"/>
            <rFont val="Tahoma"/>
            <family val="2"/>
          </rPr>
          <t xml:space="preserve">
This resistor to sense current and set the cycle-by-cycle overcurrent protection. 
The cell gets marked orange if the value is greater then the recommended Sense Resistor.</t>
        </r>
      </text>
    </comment>
    <comment ref="F33" authorId="0" shapeId="0" xr:uid="{013CACC7-722E-4132-924F-F417DA568C55}">
      <text>
        <r>
          <rPr>
            <b/>
            <u/>
            <sz val="9"/>
            <color indexed="81"/>
            <rFont val="Tahoma"/>
            <family val="2"/>
          </rPr>
          <t>Peak Inductor Current Limit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corresponds to current limit and is intended as a guide to inductor selection as it relates to saturation current.
The upper limit of the peak current limit is used for calculation but tolerance of the R</t>
        </r>
        <r>
          <rPr>
            <vertAlign val="subscript"/>
            <sz val="9"/>
            <color indexed="81"/>
            <rFont val="Tahoma"/>
            <family val="2"/>
          </rPr>
          <t>S</t>
        </r>
        <r>
          <rPr>
            <sz val="9"/>
            <color indexed="81"/>
            <rFont val="Tahoma"/>
            <family val="2"/>
          </rPr>
          <t xml:space="preserve"> and margin needs to be added.
The cell gets marked red if the Peak Inductor Current plus given Peak Current Limit Margin is above this Peak Inductor Current Limit
(upper limit of over current limit is used).
</t>
        </r>
      </text>
    </comment>
    <comment ref="F34" authorId="0" shapeId="0" xr:uid="{7C44227D-09C1-478C-AD61-8BE069CBDBB7}">
      <text>
        <r>
          <rPr>
            <b/>
            <u/>
            <sz val="9"/>
            <color indexed="81"/>
            <rFont val="Tahoma"/>
            <family val="2"/>
          </rPr>
          <t>Max Peak Inductor Current</t>
        </r>
        <r>
          <rPr>
            <b/>
            <sz val="9"/>
            <color indexed="81"/>
            <rFont val="Tahoma"/>
            <family val="2"/>
          </rPr>
          <t>:</t>
        </r>
        <r>
          <rPr>
            <sz val="9"/>
            <color indexed="81"/>
            <rFont val="Tahoma"/>
            <family val="2"/>
          </rPr>
          <t xml:space="preserve">
Maximum current in the inductor usually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xml:space="preserve">. 
The cell gets marked red if the Peak Inductor Current plus given Peak Current Limit Margin is above this Peak Inductor Current Limit
(lower limit of over current limit is used).
</t>
        </r>
      </text>
    </comment>
    <comment ref="F35" authorId="0" shapeId="0" xr:uid="{ADAEA951-2318-4A5D-8C25-ACEDDF02FF7E}">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or V</t>
        </r>
        <r>
          <rPr>
            <vertAlign val="subscript"/>
            <sz val="9"/>
            <color indexed="81"/>
            <rFont val="Tahoma"/>
            <family val="2"/>
          </rPr>
          <t>IN(max)</t>
        </r>
        <r>
          <rPr>
            <sz val="9"/>
            <color indexed="81"/>
            <rFont val="Tahoma"/>
            <family val="2"/>
          </rPr>
          <t>. The result is provided at full load current.
Of course, the dissipation is higher in an overcurrent condition, and the shunt should be rated for this condition.</t>
        </r>
      </text>
    </comment>
    <comment ref="F36" authorId="0" shapeId="0" xr:uid="{975699AB-7684-4604-82B5-8349670B95FA}">
      <text>
        <r>
          <rPr>
            <b/>
            <u/>
            <sz val="9"/>
            <color indexed="81"/>
            <rFont val="Tahoma"/>
            <family val="2"/>
          </rPr>
          <t>Slope Compensation Resistance</t>
        </r>
        <r>
          <rPr>
            <b/>
            <sz val="9"/>
            <color indexed="81"/>
            <rFont val="Tahoma"/>
            <family val="2"/>
          </rPr>
          <t>:</t>
        </r>
        <r>
          <rPr>
            <sz val="9"/>
            <color indexed="81"/>
            <rFont val="Tahoma"/>
            <family val="2"/>
          </rPr>
          <t xml:space="preserve">
According to peak current mode control theory, slope compensation is required at a operation with duty cycle greater than 50%.
It gets marked red if R</t>
        </r>
        <r>
          <rPr>
            <vertAlign val="subscript"/>
            <sz val="9"/>
            <color indexed="81"/>
            <rFont val="Tahoma"/>
            <family val="2"/>
          </rPr>
          <t>s</t>
        </r>
        <r>
          <rPr>
            <sz val="9"/>
            <color indexed="81"/>
            <rFont val="Tahoma"/>
            <family val="2"/>
          </rPr>
          <t>/L</t>
        </r>
        <r>
          <rPr>
            <vertAlign val="subscript"/>
            <sz val="9"/>
            <color indexed="81"/>
            <rFont val="Tahoma"/>
            <family val="2"/>
          </rPr>
          <t>f</t>
        </r>
        <r>
          <rPr>
            <sz val="9"/>
            <color indexed="81"/>
            <rFont val="Tahoma"/>
            <family val="2"/>
          </rPr>
          <t xml:space="preserve"> is not within the recommended range, see Datasheet
This needs to be set via R_CFG1 or I2C.</t>
        </r>
      </text>
    </comment>
    <comment ref="F37" authorId="0" shapeId="0" xr:uid="{D0B6C9D1-432B-49B2-AFEE-F35D52C90E1E}">
      <text>
        <r>
          <rPr>
            <b/>
            <u/>
            <sz val="9"/>
            <color indexed="81"/>
            <rFont val="Tahoma"/>
            <family val="2"/>
          </rPr>
          <t>Inductor De-Rate</t>
        </r>
        <r>
          <rPr>
            <b/>
            <sz val="9"/>
            <color indexed="81"/>
            <rFont val="Tahoma"/>
            <family val="2"/>
          </rPr>
          <t>:</t>
        </r>
        <r>
          <rPr>
            <sz val="9"/>
            <color indexed="81"/>
            <rFont val="Tahoma"/>
            <family val="2"/>
          </rPr>
          <t xml:space="preserve">
The percentage of the inducutor de-rate between the nominal value and the effecitve inductance at max current. The value is calculated out of the inductance values given above. 
The value can be used to set the Indcutor-Derate value within the registers accessed by I2C or the R2D interface.</t>
        </r>
      </text>
    </comment>
    <comment ref="F43" authorId="0" shapeId="0" xr:uid="{00000000-0006-0000-0000-000010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sz val="9"/>
            <color indexed="39"/>
            <rFont val="Tahoma"/>
            <family val="2"/>
          </rPr>
          <t xml:space="preserve">
Max output ripple will likely occur at VIN(min) in BOOST mode or perhaps at VIN(max) in BUCK mode.</t>
        </r>
        <r>
          <rPr>
            <b/>
            <sz val="9"/>
            <color indexed="81"/>
            <rFont val="Tahoma"/>
            <family val="2"/>
          </rPr>
          <t xml:space="preserve">
The text in the cell is flagged red if:
</t>
        </r>
        <r>
          <rPr>
            <b/>
            <sz val="9"/>
            <color indexed="10"/>
            <rFont val="Tahoma"/>
            <family val="2"/>
          </rPr>
          <t>-The output voltage ripple is zero.</t>
        </r>
      </text>
    </comment>
    <comment ref="F45" authorId="0" shapeId="0" xr:uid="{00000000-0006-0000-0000-000011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P46" authorId="0" shapeId="0" xr:uid="{49EC0340-0798-4130-8984-384D8814CDB6}">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
If using I2C, set the Slope compensation value via I2C.</t>
        </r>
      </text>
    </comment>
    <comment ref="F47" authorId="0" shapeId="0" xr:uid="{00000000-0006-0000-0000-000012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P47" authorId="0" shapeId="0" xr:uid="{08320127-A5B0-47A3-A689-88F70A67B928}">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t>
        </r>
      </text>
    </comment>
    <comment ref="P48" authorId="0" shapeId="0" xr:uid="{81FCD381-C5F1-4C08-B2EA-A05BAE7BC3C6}">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
If using I2C, set the configuration value via I2C.</t>
        </r>
      </text>
    </comment>
    <comment ref="P49" authorId="0" shapeId="0" xr:uid="{677E049C-59DC-4763-8EB5-0F6A83C48408}">
      <text>
        <r>
          <rPr>
            <b/>
            <u/>
            <sz val="9"/>
            <color indexed="81"/>
            <rFont val="Tahoma"/>
            <family val="2"/>
          </rPr>
          <t xml:space="preserve">R2D Configuration:
</t>
        </r>
        <r>
          <rPr>
            <sz val="9"/>
            <color indexed="81"/>
            <rFont val="Tahoma"/>
            <family val="2"/>
          </rPr>
          <t>The resistor value R</t>
        </r>
        <r>
          <rPr>
            <vertAlign val="subscript"/>
            <sz val="9"/>
            <color indexed="81"/>
            <rFont val="Tahoma"/>
            <family val="2"/>
          </rPr>
          <t>CFG</t>
        </r>
        <r>
          <rPr>
            <sz val="9"/>
            <color indexed="81"/>
            <rFont val="Tahoma"/>
            <family val="2"/>
          </rPr>
          <t xml:space="preserve"> to be attached to the CFG pin.
If using I2C, set the configuration value via I2C.</t>
        </r>
      </text>
    </comment>
    <comment ref="F52" authorId="0" shapeId="0" xr:uid="{00000000-0006-0000-0000-000013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L53" authorId="0" shapeId="0" xr:uid="{BF897946-09B9-4D4A-AA82-9356B8136A77}">
      <text>
        <r>
          <rPr>
            <b/>
            <u/>
            <sz val="9"/>
            <color indexed="81"/>
            <rFont val="Tahoma"/>
            <family val="2"/>
          </rPr>
          <t>Maximum Current</t>
        </r>
        <r>
          <rPr>
            <b/>
            <sz val="9"/>
            <color indexed="81"/>
            <rFont val="Tahoma"/>
            <family val="2"/>
          </rPr>
          <t>:</t>
        </r>
        <r>
          <rPr>
            <sz val="9"/>
            <color indexed="81"/>
            <rFont val="Tahoma"/>
            <family val="2"/>
          </rPr>
          <t xml:space="preserve">
Enter the maximum current in "A" if this optional feature is being used.
</t>
        </r>
      </text>
    </comment>
    <comment ref="P53" authorId="0" shapeId="0" xr:uid="{DA3369A6-BADA-4BE7-A710-4CB375F3FD74}">
      <text>
        <r>
          <rPr>
            <b/>
            <u/>
            <sz val="9"/>
            <color indexed="81"/>
            <rFont val="Tahoma"/>
            <family val="2"/>
          </rPr>
          <t>Constant Current Loop</t>
        </r>
        <r>
          <rPr>
            <b/>
            <sz val="9"/>
            <color indexed="81"/>
            <rFont val="Tahoma"/>
            <family val="2"/>
          </rPr>
          <t>:</t>
        </r>
        <r>
          <rPr>
            <sz val="9"/>
            <color indexed="81"/>
            <rFont val="Tahoma"/>
            <family val="2"/>
          </rPr>
          <t xml:space="preserve">
Enter the required current limit in "A" if this optional feature is being used.
</t>
        </r>
      </text>
    </comment>
    <comment ref="F54" authorId="0" shapeId="0" xr:uid="{00000000-0006-0000-0000-000014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P54" authorId="0" shapeId="0" xr:uid="{56441EA2-F386-425B-940F-88E62671CC96}">
      <text>
        <r>
          <rPr>
            <b/>
            <u/>
            <sz val="9"/>
            <color indexed="81"/>
            <rFont val="Tahoma"/>
            <family val="2"/>
          </rPr>
          <t>DAC ILIM Thresholdutput Shunt Resistance</t>
        </r>
        <r>
          <rPr>
            <b/>
            <sz val="9"/>
            <color indexed="81"/>
            <rFont val="Tahoma"/>
            <family val="2"/>
          </rPr>
          <t xml:space="preserve">:
</t>
        </r>
        <r>
          <rPr>
            <sz val="9"/>
            <color indexed="81"/>
            <rFont val="Tahoma"/>
            <family val="2"/>
          </rPr>
          <t>This the the value of the DAC to be set for the targeted current limit threshold.</t>
        </r>
        <r>
          <rPr>
            <b/>
            <sz val="9"/>
            <color indexed="81"/>
            <rFont val="Tahoma"/>
            <family val="2"/>
          </rPr>
          <t xml:space="preserve">
</t>
        </r>
        <r>
          <rPr>
            <sz val="9"/>
            <color indexed="81"/>
            <rFont val="Tahoma"/>
            <family val="2"/>
          </rPr>
          <t>The value can be set between 0 and 255. If set outside then the cell becomes red.
As the value is clamped at 10 and 140 the cell becomes orange when set outside this values.</t>
        </r>
      </text>
    </comment>
    <comment ref="L55" authorId="0" shapeId="0" xr:uid="{C5B8A289-8E85-496D-A31D-6416FB8444FA}">
      <text>
        <r>
          <rPr>
            <b/>
            <u/>
            <sz val="9"/>
            <color indexed="81"/>
            <rFont val="Tahoma"/>
            <family val="2"/>
          </rPr>
          <t>Output Shunt Resistance</t>
        </r>
        <r>
          <rPr>
            <b/>
            <sz val="9"/>
            <color indexed="81"/>
            <rFont val="Tahoma"/>
            <family val="2"/>
          </rPr>
          <t>:
R</t>
        </r>
        <r>
          <rPr>
            <b/>
            <vertAlign val="subscript"/>
            <sz val="9"/>
            <color indexed="81"/>
            <rFont val="Tahoma"/>
            <family val="2"/>
          </rPr>
          <t>SNS</t>
        </r>
        <r>
          <rPr>
            <sz val="9"/>
            <color indexed="81"/>
            <rFont val="Tahoma"/>
            <family val="2"/>
          </rPr>
          <t xml:space="preserve"> is calculated based on the threshold voltage of 50mV and the selected maximum current.
</t>
        </r>
      </text>
    </comment>
    <comment ref="P55" authorId="0" shapeId="0" xr:uid="{09AE9C4E-CC11-45A3-998B-DB517B5FBDC6}">
      <text>
        <r>
          <rPr>
            <b/>
            <u/>
            <sz val="9"/>
            <color indexed="81"/>
            <rFont val="Tahoma"/>
            <family val="2"/>
          </rPr>
          <t>Output Shunt Resistance</t>
        </r>
        <r>
          <rPr>
            <b/>
            <sz val="9"/>
            <color indexed="81"/>
            <rFont val="Tahoma"/>
            <family val="2"/>
          </rPr>
          <t>:
R</t>
        </r>
        <r>
          <rPr>
            <b/>
            <vertAlign val="subscript"/>
            <sz val="9"/>
            <color indexed="81"/>
            <rFont val="Tahoma"/>
            <family val="2"/>
          </rPr>
          <t>ISNS</t>
        </r>
        <r>
          <rPr>
            <sz val="9"/>
            <color indexed="81"/>
            <rFont val="Tahoma"/>
            <family val="2"/>
          </rPr>
          <t xml:space="preserve"> is calculated based on the desired constant current loop setpoint.
</t>
        </r>
      </text>
    </comment>
    <comment ref="F56" authorId="0" shapeId="0" xr:uid="{00000000-0006-0000-0000-000015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L56" authorId="0" shapeId="0" xr:uid="{C696B84B-D9BE-491F-8408-A824944A9F96}">
      <text>
        <r>
          <rPr>
            <b/>
            <u/>
            <sz val="9"/>
            <color indexed="81"/>
            <rFont val="Tahoma"/>
            <family val="2"/>
          </rPr>
          <t>Output Shunt Resistance</t>
        </r>
        <r>
          <rPr>
            <b/>
            <sz val="9"/>
            <color indexed="81"/>
            <rFont val="Tahoma"/>
            <family val="2"/>
          </rPr>
          <t>:
R</t>
        </r>
        <r>
          <rPr>
            <b/>
            <vertAlign val="subscript"/>
            <sz val="9"/>
            <color indexed="81"/>
            <rFont val="Tahoma"/>
            <family val="2"/>
          </rPr>
          <t>ISNS</t>
        </r>
        <r>
          <rPr>
            <sz val="9"/>
            <color indexed="81"/>
            <rFont val="Tahoma"/>
            <family val="2"/>
          </rPr>
          <t xml:space="preserve"> which is used in the design.</t>
        </r>
      </text>
    </comment>
    <comment ref="P56" authorId="0" shapeId="0" xr:uid="{186033A6-215B-40E6-9F74-1365AA5E4631}">
      <text>
        <r>
          <rPr>
            <b/>
            <u/>
            <sz val="9"/>
            <color indexed="81"/>
            <rFont val="Tahoma"/>
            <family val="2"/>
          </rPr>
          <t>Output Shunt Resistance</t>
        </r>
        <r>
          <rPr>
            <b/>
            <sz val="9"/>
            <color indexed="81"/>
            <rFont val="Tahoma"/>
            <family val="2"/>
          </rPr>
          <t>:
R</t>
        </r>
        <r>
          <rPr>
            <b/>
            <vertAlign val="subscript"/>
            <sz val="9"/>
            <color indexed="81"/>
            <rFont val="Tahoma"/>
            <family val="2"/>
          </rPr>
          <t>ISNS</t>
        </r>
        <r>
          <rPr>
            <sz val="9"/>
            <color indexed="81"/>
            <rFont val="Tahoma"/>
            <family val="2"/>
          </rPr>
          <t xml:space="preserve"> used in the design.
</t>
        </r>
      </text>
    </comment>
    <comment ref="L57" authorId="0" shapeId="0" xr:uid="{3B5F3C25-66BA-4E47-B9C4-7D6D2622F110}">
      <text>
        <r>
          <rPr>
            <b/>
            <u/>
            <sz val="9"/>
            <color indexed="81"/>
            <rFont val="Tahoma"/>
            <family val="2"/>
          </rPr>
          <t>Current Monitor Resistance</t>
        </r>
        <r>
          <rPr>
            <b/>
            <sz val="9"/>
            <color indexed="81"/>
            <rFont val="Tahoma"/>
            <family val="2"/>
          </rPr>
          <t>:
R</t>
        </r>
        <r>
          <rPr>
            <b/>
            <vertAlign val="subscript"/>
            <sz val="9"/>
            <color indexed="81"/>
            <rFont val="Tahoma"/>
            <family val="2"/>
          </rPr>
          <t>CDC</t>
        </r>
        <r>
          <rPr>
            <sz val="9"/>
            <color indexed="81"/>
            <rFont val="Tahoma"/>
            <family val="2"/>
          </rPr>
          <t xml:space="preserve"> is calculated based on the desired current monitor voltage or CDC level.
This is set based on the provided inputs for the maximum average current and the desired output voltage which should be representing this current.</t>
        </r>
      </text>
    </comment>
    <comment ref="P57" authorId="0" shapeId="0" xr:uid="{578210F2-10FD-4174-A85D-1AAC2452B104}">
      <text>
        <r>
          <rPr>
            <b/>
            <u/>
            <sz val="9"/>
            <color indexed="81"/>
            <rFont val="Tahoma"/>
            <family val="2"/>
          </rPr>
          <t>Current Monitor Resistance</t>
        </r>
        <r>
          <rPr>
            <b/>
            <sz val="9"/>
            <color indexed="81"/>
            <rFont val="Tahoma"/>
            <family val="2"/>
          </rPr>
          <t>:
R</t>
        </r>
        <r>
          <rPr>
            <b/>
            <vertAlign val="subscript"/>
            <sz val="9"/>
            <color indexed="81"/>
            <rFont val="Tahoma"/>
            <family val="2"/>
          </rPr>
          <t>IMON</t>
        </r>
        <r>
          <rPr>
            <sz val="9"/>
            <color indexed="81"/>
            <rFont val="Tahoma"/>
            <family val="2"/>
          </rPr>
          <t xml:space="preserve"> is calculated based on the desired average current monitor voltage level.
This is set based on the provided inputs for the maximum average current and the desired output voltage which should be representing this current.
</t>
        </r>
        <r>
          <rPr>
            <b/>
            <sz val="9"/>
            <color indexed="81"/>
            <rFont val="Tahoma"/>
            <family val="2"/>
          </rPr>
          <t>Effective average Current Limit (when ILIOM_DAC selected):</t>
        </r>
        <r>
          <rPr>
            <sz val="9"/>
            <color indexed="81"/>
            <rFont val="Tahoma"/>
            <family val="2"/>
          </rPr>
          <t xml:space="preserve">
Shows the effective average Current Limit when ILIOM_DAC is selected.</t>
        </r>
      </text>
    </comment>
    <comment ref="P58" authorId="0" shapeId="0" xr:uid="{C0AC026F-D5EF-488F-92D8-2F9C1E325DB6}">
      <text>
        <r>
          <rPr>
            <b/>
            <u/>
            <sz val="9"/>
            <color indexed="81"/>
            <rFont val="Tahoma"/>
            <family val="2"/>
          </rPr>
          <t>Current Limiter Filter Capacitor</t>
        </r>
        <r>
          <rPr>
            <b/>
            <sz val="9"/>
            <color indexed="81"/>
            <rFont val="Tahoma"/>
            <family val="2"/>
          </rPr>
          <t xml:space="preserve">
C</t>
        </r>
        <r>
          <rPr>
            <b/>
            <vertAlign val="subscript"/>
            <sz val="9"/>
            <color indexed="81"/>
            <rFont val="Tahoma"/>
            <family val="2"/>
          </rPr>
          <t>ILIM</t>
        </r>
        <r>
          <rPr>
            <sz val="9"/>
            <color indexed="81"/>
            <rFont val="Tahoma"/>
            <family val="2"/>
          </rPr>
          <t xml:space="preserve"> is calculated based powerstage bandwidth and the used current sense resistors.
</t>
        </r>
        <r>
          <rPr>
            <b/>
            <sz val="9"/>
            <color indexed="81"/>
            <rFont val="Tahoma"/>
            <family val="2"/>
          </rPr>
          <t>C</t>
        </r>
        <r>
          <rPr>
            <b/>
            <vertAlign val="subscript"/>
            <sz val="9"/>
            <color indexed="81"/>
            <rFont val="Tahoma"/>
            <family val="2"/>
          </rPr>
          <t>ILIM,HF</t>
        </r>
        <r>
          <rPr>
            <sz val="9"/>
            <color indexed="81"/>
            <rFont val="Tahoma"/>
            <family val="2"/>
          </rPr>
          <t xml:space="preserve"> is used to avoid HF distrubance and is set to halve of the switching frequency.
</t>
        </r>
      </text>
    </comment>
    <comment ref="P59" authorId="0" shapeId="0" xr:uid="{1DF8DE9B-857E-4753-843B-6F368416DF2E}">
      <text>
        <r>
          <rPr>
            <b/>
            <u/>
            <sz val="9"/>
            <color indexed="81"/>
            <rFont val="Tahoma"/>
            <family val="2"/>
          </rPr>
          <t>Output Capacitor C</t>
        </r>
        <r>
          <rPr>
            <b/>
            <u/>
            <vertAlign val="subscript"/>
            <sz val="9"/>
            <color indexed="81"/>
            <rFont val="Tahoma"/>
            <family val="2"/>
          </rPr>
          <t xml:space="preserve">OUT2
</t>
        </r>
        <r>
          <rPr>
            <b/>
            <sz val="9"/>
            <color indexed="81"/>
            <rFont val="Tahoma"/>
            <family val="2"/>
          </rPr>
          <t xml:space="preserve">
</t>
        </r>
        <r>
          <rPr>
            <sz val="9"/>
            <color indexed="81"/>
            <rFont val="Tahoma"/>
            <family val="2"/>
          </rPr>
          <t>C</t>
        </r>
        <r>
          <rPr>
            <vertAlign val="subscript"/>
            <sz val="9"/>
            <color indexed="81"/>
            <rFont val="Tahoma"/>
            <family val="2"/>
          </rPr>
          <t>OUT2</t>
        </r>
        <r>
          <rPr>
            <sz val="9"/>
            <color indexed="81"/>
            <rFont val="Tahoma"/>
            <family val="2"/>
          </rPr>
          <t xml:space="preserve"> is placed behind the current sense resistor R</t>
        </r>
        <r>
          <rPr>
            <vertAlign val="subscript"/>
            <sz val="9"/>
            <color indexed="81"/>
            <rFont val="Tahoma"/>
            <family val="2"/>
          </rPr>
          <t>ISNS</t>
        </r>
        <r>
          <rPr>
            <sz val="9"/>
            <color indexed="81"/>
            <rFont val="Tahoma"/>
            <family val="2"/>
          </rPr>
          <t>.
The total output capacitance C</t>
        </r>
        <r>
          <rPr>
            <vertAlign val="subscript"/>
            <sz val="9"/>
            <color indexed="81"/>
            <rFont val="Tahoma"/>
            <family val="2"/>
          </rPr>
          <t>OUT</t>
        </r>
        <r>
          <rPr>
            <sz val="9"/>
            <color indexed="81"/>
            <rFont val="Tahoma"/>
            <family val="2"/>
          </rPr>
          <t xml:space="preserve"> should be splitted to C</t>
        </r>
        <r>
          <rPr>
            <vertAlign val="subscript"/>
            <sz val="9"/>
            <color indexed="81"/>
            <rFont val="Tahoma"/>
            <family val="2"/>
          </rPr>
          <t>OUT1</t>
        </r>
        <r>
          <rPr>
            <sz val="9"/>
            <color indexed="81"/>
            <rFont val="Tahoma"/>
            <family val="2"/>
          </rPr>
          <t xml:space="preserve"> and C</t>
        </r>
        <r>
          <rPr>
            <vertAlign val="subscript"/>
            <sz val="9"/>
            <color indexed="81"/>
            <rFont val="Tahoma"/>
            <family val="2"/>
          </rPr>
          <t>OUT2</t>
        </r>
        <r>
          <rPr>
            <sz val="9"/>
            <color indexed="81"/>
            <rFont val="Tahoma"/>
            <family val="2"/>
          </rPr>
          <t xml:space="preserve"> if the current limit function is used. </t>
        </r>
      </text>
    </comment>
    <comment ref="F61" authorId="0" shapeId="0" xr:uid="{00000000-0006-0000-0000-000016000000}">
      <text>
        <r>
          <rPr>
            <b/>
            <u/>
            <sz val="8"/>
            <color indexed="81"/>
            <rFont val="Tahoma"/>
            <family val="2"/>
          </rPr>
          <t>Soft-Start Time</t>
        </r>
        <r>
          <rPr>
            <b/>
            <sz val="8"/>
            <color indexed="81"/>
            <rFont val="Tahoma"/>
            <family val="2"/>
          </rPr>
          <t xml:space="preserve">:
</t>
        </r>
        <r>
          <rPr>
            <sz val="8"/>
            <color indexed="81"/>
            <rFont val="Tahoma"/>
            <family val="2"/>
          </rPr>
          <t>Minimum soft-start time to not trigger overcurrent set with I</t>
        </r>
        <r>
          <rPr>
            <vertAlign val="subscript"/>
            <sz val="8"/>
            <color indexed="81"/>
            <rFont val="Tahoma"/>
            <family val="2"/>
          </rPr>
          <t>SCP</t>
        </r>
        <r>
          <rPr>
            <sz val="8"/>
            <color indexed="81"/>
            <rFont val="Tahoma"/>
            <family val="2"/>
          </rPr>
          <t>. It does consider load current during startup phase.</t>
        </r>
      </text>
    </comment>
    <comment ref="F62" authorId="0" shapeId="0" xr:uid="{49FF2FC0-2D92-4262-A525-252EE6320BD5}">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The soft-start time cannot be shorter than the internal 1.28 ms soft-start timer.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1.28 ms.</t>
        </r>
      </text>
    </comment>
    <comment ref="F65" authorId="0" shapeId="0" xr:uid="{00000000-0006-0000-0000-000018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LM5177 input operating voltage range is 2.8V to 78V.
</t>
        </r>
        <r>
          <rPr>
            <b/>
            <sz val="9"/>
            <color indexed="81"/>
            <rFont val="Tahoma"/>
            <family val="2"/>
          </rPr>
          <t>The text in the cell is flagged red if:</t>
        </r>
        <r>
          <rPr>
            <sz val="9"/>
            <color indexed="81"/>
            <rFont val="Tahoma"/>
            <family val="2"/>
          </rPr>
          <t xml:space="preserve">
-The input voltage is below </t>
        </r>
        <r>
          <rPr>
            <b/>
            <sz val="9"/>
            <color indexed="10"/>
            <rFont val="Tahoma"/>
            <family val="2"/>
          </rPr>
          <t>2.8V</t>
        </r>
        <r>
          <rPr>
            <sz val="9"/>
            <color indexed="81"/>
            <rFont val="Tahoma"/>
            <family val="2"/>
          </rPr>
          <t xml:space="preserve">
-The input voltage is above </t>
        </r>
        <r>
          <rPr>
            <b/>
            <sz val="9"/>
            <color indexed="10"/>
            <rFont val="Tahoma"/>
            <family val="2"/>
          </rPr>
          <t>78V</t>
        </r>
      </text>
    </comment>
    <comment ref="F67" authorId="0" shapeId="0" xr:uid="{00000000-0006-0000-0000-000019000000}">
      <text>
        <r>
          <rPr>
            <b/>
            <u/>
            <sz val="9"/>
            <color indexed="81"/>
            <rFont val="Tahoma"/>
            <family val="2"/>
          </rPr>
          <t>Nominal UVLO Upper Resistor</t>
        </r>
        <r>
          <rPr>
            <b/>
            <sz val="9"/>
            <color indexed="81"/>
            <rFont val="Tahoma"/>
            <family val="2"/>
          </rPr>
          <t>:</t>
        </r>
        <r>
          <rPr>
            <sz val="9"/>
            <color indexed="81"/>
            <rFont val="Tahoma"/>
            <family val="2"/>
          </rPr>
          <t xml:space="preserve">
This is the upper UVLO resistor that sets the input voltage turn on. </t>
        </r>
        <r>
          <rPr>
            <sz val="9"/>
            <color indexed="81"/>
            <rFont val="Tahoma"/>
            <family val="2"/>
          </rPr>
          <t xml:space="preserve">
If the hysteresis is selected to low N/A is shown.</t>
        </r>
      </text>
    </comment>
    <comment ref="F76" authorId="0" shapeId="0" xr:uid="{00000000-0006-0000-0000-00001A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(the lower value of 5% to 20% of switching frequency and f</t>
        </r>
        <r>
          <rPr>
            <vertAlign val="subscript"/>
            <sz val="9"/>
            <color indexed="81"/>
            <rFont val="Tahoma"/>
            <family val="2"/>
          </rPr>
          <t>RHPZ</t>
        </r>
        <r>
          <rPr>
            <sz val="9"/>
            <color indexed="81"/>
            <rFont val="Tahoma"/>
            <family val="2"/>
          </rPr>
          <t xml:space="preserve">/4). This feedback compensation components are determined based on this target performance metric.
</t>
        </r>
        <r>
          <rPr>
            <b/>
            <sz val="9"/>
            <color indexed="39"/>
            <rFont val="Tahoma"/>
            <family val="2"/>
          </rPr>
          <t>Note:</t>
        </r>
        <r>
          <rPr>
            <sz val="9"/>
            <color indexed="81"/>
            <rFont val="Tahoma"/>
            <family val="2"/>
          </rPr>
          <t xml:space="preserve">
</t>
        </r>
        <r>
          <rPr>
            <b/>
            <sz val="9"/>
            <color indexed="81"/>
            <rFont val="Tahoma"/>
            <family val="2"/>
          </rPr>
          <t>Compensaton components are calculated based on the nominal input voltage entered in Step 1.</t>
        </r>
        <r>
          <rPr>
            <sz val="9"/>
            <color indexed="81"/>
            <rFont val="Tahoma"/>
            <family val="2"/>
          </rPr>
          <t xml:space="preserve">
</t>
        </r>
        <r>
          <rPr>
            <b/>
            <sz val="9"/>
            <color indexed="10"/>
            <rFont val="Tahoma"/>
            <family val="2"/>
          </rPr>
          <t xml:space="preserve">
** After fixing the compensation components, sweep VIN(nom) across the input range to ensure adequate stability performance, especially at low VIN **</t>
        </r>
      </text>
    </comment>
    <comment ref="F78" authorId="0" shapeId="0" xr:uid="{00000000-0006-0000-0000-00001B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FBT</t>
        </r>
        <r>
          <rPr>
            <sz val="9"/>
            <color indexed="81"/>
            <rFont val="Tahoma"/>
            <family val="2"/>
          </rPr>
          <t xml:space="preserve"> is 100kΩ.</t>
        </r>
      </text>
    </comment>
    <comment ref="F89" authorId="0" shapeId="0" xr:uid="{00000000-0006-0000-0000-00001C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Sweep VIN(nom) across the required input range to ensure adequate stability performance, especially at low VIN.</t>
        </r>
      </text>
    </comment>
    <comment ref="O89" authorId="0" shapeId="0" xr:uid="{1D5F5C95-AEAE-4972-A4B7-0E23431A7248}">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nominal input voltage from Step 1 and Compensation of the voltage loop.</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Sweep VIN(nom) across the required input range to ensure adequate stability performance, especially at low VIN.</t>
        </r>
      </text>
    </comment>
    <comment ref="E99" authorId="2" shapeId="0" xr:uid="{458B588D-0E24-44BC-906A-EDA44992119F}">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99" authorId="2" shapeId="0" xr:uid="{2C0CE323-6798-492B-8268-5EEF0395BA3D}">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100" authorId="2" shapeId="0" xr:uid="{CE6D5A61-2CB1-4C9C-9667-9A58799FD6A3}">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100" authorId="2" shapeId="0" xr:uid="{AA261E3E-42CF-4193-9F39-4FD39834E382}">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E101" authorId="2" shapeId="0" xr:uid="{2AD52FCD-54A4-416D-8EE7-A1BBDE98628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101" authorId="2" shapeId="0" xr:uid="{D69027B8-5411-4E3A-83C1-CB639E1C928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E102" authorId="2" shapeId="0" xr:uid="{AE6EC439-2C3E-44AD-B857-6DD28DBBDC09}">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02" authorId="2" shapeId="0" xr:uid="{6685CB03-13AF-4036-B018-8BF0311E3D08}">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03" authorId="2" shapeId="0" xr:uid="{E1CD17BD-A5F2-4F67-B67D-E7E523BFDF01}">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103" authorId="2" shapeId="0" xr:uid="{1D53B343-75FC-40AF-9837-5778DECA504D}">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104" authorId="2" shapeId="0" xr:uid="{21B81A84-F742-43F3-8C1C-DFE20F80F2A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04" authorId="2" shapeId="0" xr:uid="{98975F12-9E5F-4AFA-B465-7E3B5FF7491E}">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105" authorId="2" shapeId="0" xr:uid="{4CC216A4-146C-4A22-94A4-7B578F57D17E}">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05" authorId="2" shapeId="0" xr:uid="{A14B684C-FA96-490F-8811-37C9F752FF17}">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06" authorId="2" shapeId="0" xr:uid="{6AF299C2-554C-41F7-9B14-8EFC34DC6466}">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06" authorId="2" shapeId="0" xr:uid="{CCA51F66-638E-42B8-B68B-45F167663FC1}">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07" authorId="2" shapeId="0" xr:uid="{740FB857-9A78-4D87-BC16-28A95C8917DF}">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8" authorId="2" shapeId="0" xr:uid="{DEE6977B-FF4A-454B-8A93-A80871F011B3}">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8" authorId="2" shapeId="0" xr:uid="{DB6A72B9-097E-455B-9B07-0F8D79D839F8}">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12" authorId="2" shapeId="0" xr:uid="{A9990DA7-1058-4634-95CB-67C68CD95949}">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112" authorId="2" shapeId="0" xr:uid="{5BCD6D38-250F-4C50-B467-E7C2A23B109D}">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7.5V).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113" authorId="2" shapeId="0" xr:uid="{A0F33137-B0CF-475D-9E77-BE291972FB72}">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F113" authorId="2" shapeId="0" xr:uid="{D10205D4-5896-463A-ACCB-1BA88673789A}">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7.5V).</t>
        </r>
      </text>
    </comment>
    <comment ref="E114" authorId="2" shapeId="0" xr:uid="{49F0D0B6-DD19-4DB8-9058-32C34E044D36}">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114" authorId="2" shapeId="0" xr:uid="{3BD61B88-2EA3-4950-BEF4-FC3EF058FA49}">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E115" authorId="2" shapeId="0" xr:uid="{521BBB48-C1D6-4693-B2E6-7F17B98954BF}">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F115" authorId="2" shapeId="0" xr:uid="{B1437302-1EDB-40F5-8EBB-187DB7577322}">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116" authorId="2" shapeId="0" xr:uid="{D17F2257-66F0-4014-BE1F-21D087B7257D}">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116" authorId="2" shapeId="0" xr:uid="{0010656E-30A0-4C69-8924-72E14E0DF0D6}">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117" authorId="2" shapeId="0" xr:uid="{4CEDCACC-88AA-430B-BF20-C9AEE7BE6022}">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117" authorId="2" shapeId="0" xr:uid="{F25312DB-6EAE-4B64-83EB-D29C4CE04138}">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118" authorId="2" shapeId="0" xr:uid="{341B4330-8995-4AF5-A8B1-AA3E2520C8D5}">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118" authorId="2" shapeId="0" xr:uid="{7B880678-F22B-4DA4-86CC-CFF53BE51B73}">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119" authorId="2" shapeId="0" xr:uid="{A388C7D6-7322-4922-8EFE-215CB2C8F746}">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119" authorId="2" shapeId="0" xr:uid="{0C52903E-327B-4827-B302-C6CAC8E6A94C}">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120" authorId="2" shapeId="0" xr:uid="{00000000-0006-0000-0000-000042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boost high-side MOSFET body diode here. </t>
        </r>
      </text>
    </comment>
    <comment ref="E121" authorId="2" shapeId="0" xr:uid="{00000000-0006-0000-0000-00004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21" authorId="2" shapeId="0" xr:uid="{00000000-0006-0000-0000-00004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24" authorId="2" shapeId="0" xr:uid="{00000000-0006-0000-0000-000045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F124" authorId="2" shapeId="0" xr:uid="{00000000-0006-0000-0000-000046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25" authorId="2" shapeId="0" xr:uid="{00000000-0006-0000-0000-000047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25" authorId="2" shapeId="0" xr:uid="{00000000-0006-0000-0000-000048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s>
  <commentList>
    <comment ref="F7" authorId="0" shapeId="0" xr:uid="{5CB57432-789D-4911-AE6E-7C746698B0AC}">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FBT</t>
        </r>
        <r>
          <rPr>
            <sz val="9"/>
            <color indexed="81"/>
            <rFont val="Tahoma"/>
            <family val="2"/>
          </rPr>
          <t xml:space="preserve"> is 100kΩ.</t>
        </r>
      </text>
    </comment>
    <comment ref="F20" authorId="0" shapeId="0" xr:uid="{F0510F79-FE30-41B1-BE6F-799F1102A4B8}">
      <text>
        <r>
          <rPr>
            <b/>
            <u/>
            <sz val="9"/>
            <color indexed="81"/>
            <rFont val="Tahoma"/>
            <family val="2"/>
          </rPr>
          <t>Mode Transition on Vin</t>
        </r>
        <r>
          <rPr>
            <b/>
            <sz val="9"/>
            <color indexed="81"/>
            <rFont val="Tahoma"/>
            <family val="2"/>
          </rPr>
          <t>:</t>
        </r>
        <r>
          <rPr>
            <sz val="9"/>
            <color indexed="81"/>
            <rFont val="Tahoma"/>
            <family val="2"/>
          </rPr>
          <t xml:space="preserve">
Device Transtion from Buck to BuckBoost mode at this input voltage.</t>
        </r>
      </text>
    </comment>
    <comment ref="F21" authorId="0" shapeId="0" xr:uid="{0B1BF78A-9F5F-442C-963B-20CE790C1D56}">
      <text>
        <r>
          <rPr>
            <b/>
            <u/>
            <sz val="9"/>
            <color indexed="81"/>
            <rFont val="Tahoma"/>
            <family val="2"/>
          </rPr>
          <t xml:space="preserve">Mode Transition on Vin:
</t>
        </r>
        <r>
          <rPr>
            <sz val="9"/>
            <color indexed="81"/>
            <rFont val="Tahoma"/>
            <family val="2"/>
          </rPr>
          <t>Device Transtion from BuckBoost to Buck mode at this input voltage.</t>
        </r>
      </text>
    </comment>
    <comment ref="F22" authorId="0" shapeId="0" xr:uid="{6C7FD7DC-2361-4458-8B54-FD96BA98A6EE}">
      <text>
        <r>
          <rPr>
            <b/>
            <u/>
            <sz val="9"/>
            <color indexed="81"/>
            <rFont val="Tahoma"/>
            <family val="2"/>
          </rPr>
          <t xml:space="preserve">Mode Transition on Vin:
</t>
        </r>
        <r>
          <rPr>
            <sz val="9"/>
            <color indexed="81"/>
            <rFont val="Tahoma"/>
            <family val="2"/>
          </rPr>
          <t>Device Transtion from Boost to BuckBoost mode at this input voltage.</t>
        </r>
      </text>
    </comment>
    <comment ref="F23" authorId="0" shapeId="0" xr:uid="{A70C801F-3FE8-4154-8AD5-0B38B88F1DEA}">
      <text>
        <r>
          <rPr>
            <b/>
            <u/>
            <sz val="9"/>
            <color indexed="81"/>
            <rFont val="Tahoma"/>
            <family val="2"/>
          </rPr>
          <t xml:space="preserve">Mode Transition on Vin:
</t>
        </r>
        <r>
          <rPr>
            <sz val="9"/>
            <color indexed="81"/>
            <rFont val="Tahoma"/>
            <family val="2"/>
          </rPr>
          <t>Device Transtion from BuckBoost to Boost mode at this input voltage.</t>
        </r>
      </text>
    </comment>
  </commentList>
</comments>
</file>

<file path=xl/sharedStrings.xml><?xml version="1.0" encoding="utf-8"?>
<sst xmlns="http://schemas.openxmlformats.org/spreadsheetml/2006/main" count="2678" uniqueCount="1293">
  <si>
    <t>V</t>
  </si>
  <si>
    <t>Output Voltage</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</si>
  <si>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</si>
  <si>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</si>
  <si>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</si>
  <si>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</si>
  <si>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</si>
  <si>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</si>
  <si>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</si>
  <si>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</si>
  <si>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</si>
  <si>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</si>
  <si>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</si>
  <si>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</si>
  <si>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</si>
  <si>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</si>
  <si>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</si>
  <si>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</si>
  <si>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</si>
  <si>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</si>
  <si>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</si>
  <si>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</si>
  <si>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</si>
  <si>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Minimum Output Capacitnace</t>
  </si>
  <si>
    <t>Coutmin</t>
  </si>
  <si>
    <t>uF</t>
  </si>
  <si>
    <t>F</t>
  </si>
  <si>
    <t>Cout</t>
  </si>
  <si>
    <t>Fesr</t>
  </si>
  <si>
    <t>Q</t>
  </si>
  <si>
    <t>V/V</t>
  </si>
  <si>
    <t>Rfb1</t>
  </si>
  <si>
    <t>pF</t>
  </si>
  <si>
    <t>Cc1ea</t>
  </si>
  <si>
    <t>Cc2ea</t>
  </si>
  <si>
    <t>Rcea1</t>
  </si>
  <si>
    <t>Rcea1_u</t>
  </si>
  <si>
    <t>Cc1ea_u</t>
  </si>
  <si>
    <t>Cc2ea_u</t>
  </si>
  <si>
    <t>Fz1</t>
  </si>
  <si>
    <t>Fp1</t>
  </si>
  <si>
    <t>Pi</t>
  </si>
  <si>
    <t>Vp-p</t>
  </si>
  <si>
    <t>Rfb2</t>
  </si>
  <si>
    <t>Vref</t>
  </si>
  <si>
    <t>Reference Voltage</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</si>
  <si>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</si>
  <si>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</si>
  <si>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</si>
  <si>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</si>
  <si>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</si>
  <si>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</si>
  <si>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</si>
  <si>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</si>
  <si>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</si>
  <si>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</si>
  <si>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</si>
  <si>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</si>
  <si>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</si>
  <si>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</si>
  <si>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</si>
  <si>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</si>
  <si>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</si>
  <si>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</si>
  <si>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</si>
  <si>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</si>
  <si>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</si>
  <si>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</si>
  <si>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</si>
  <si>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</si>
  <si>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</si>
  <si>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</si>
  <si>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</si>
  <si>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</si>
  <si>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</si>
  <si>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</si>
  <si>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</si>
  <si>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</si>
  <si>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</si>
  <si>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</si>
  <si>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</si>
  <si>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</si>
  <si>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</si>
  <si>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</si>
  <si>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</si>
  <si>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</si>
  <si>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</si>
  <si>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</si>
  <si>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RCoutEsr</t>
  </si>
  <si>
    <t>RCinEsr</t>
  </si>
  <si>
    <t>DCR    Loss</t>
  </si>
  <si>
    <t>Tr</t>
  </si>
  <si>
    <t>Tf</t>
  </si>
  <si>
    <t>RGateTop</t>
  </si>
  <si>
    <t>RGateBot</t>
  </si>
  <si>
    <t>VthTop</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</si>
  <si>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</si>
  <si>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</si>
  <si>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</si>
  <si>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</si>
  <si>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</si>
  <si>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</si>
  <si>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</si>
  <si>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</si>
  <si>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</si>
  <si>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</si>
  <si>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</si>
  <si>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</si>
  <si>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</si>
  <si>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</si>
  <si>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</si>
  <si>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</si>
  <si>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</si>
  <si>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</si>
  <si>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</si>
  <si>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</si>
  <si>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</si>
  <si>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</si>
  <si>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</si>
  <si>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</si>
  <si>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</si>
  <si>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</si>
  <si>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</si>
  <si>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</si>
  <si>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</si>
  <si>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</si>
  <si>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</si>
  <si>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</si>
  <si>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</si>
  <si>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</si>
  <si>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</si>
  <si>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</si>
  <si>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</si>
  <si>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</si>
  <si>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</si>
  <si>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</si>
  <si>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</si>
  <si>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</si>
  <si>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</si>
  <si>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</si>
  <si>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</si>
  <si>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</si>
  <si>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</si>
  <si>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</si>
  <si>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</si>
  <si>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</si>
  <si>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</si>
  <si>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RdsonDRB2</t>
  </si>
  <si>
    <t>RdsonDRT2</t>
  </si>
  <si>
    <t>EFF_1 @ 25°C</t>
  </si>
  <si>
    <t>Efficiency</t>
  </si>
  <si>
    <t>Pdis</t>
  </si>
  <si>
    <t>Vin=10V</t>
  </si>
  <si>
    <t>Vout=5.1V</t>
  </si>
  <si>
    <t xml:space="preserve">L=3.3uH/30mOhm </t>
  </si>
  <si>
    <t>4394 Top and Bottom Fets</t>
  </si>
  <si>
    <t xml:space="preserve">IQ </t>
  </si>
  <si>
    <t>ThetaCa</t>
  </si>
  <si>
    <t>Core to Ambient Thermal Resistance</t>
  </si>
  <si>
    <t>Quiescent Current Of Controller (Not Switching!)</t>
  </si>
  <si>
    <t>This pole cancels the zero from the Output Cap ESR</t>
  </si>
  <si>
    <t>s</t>
  </si>
  <si>
    <t>Part Characteristics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</si>
  <si>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</si>
  <si>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</si>
  <si>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</si>
  <si>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</si>
  <si>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</si>
  <si>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</si>
  <si>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</si>
  <si>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</si>
  <si>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</si>
  <si>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</si>
  <si>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</si>
  <si>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</si>
  <si>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</si>
  <si>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</si>
  <si>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</si>
  <si>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</si>
  <si>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</si>
  <si>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</si>
  <si>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</si>
  <si>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</si>
  <si>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</si>
  <si>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</si>
  <si>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</si>
  <si>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</si>
  <si>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</si>
  <si>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</si>
  <si>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Rh</t>
  </si>
  <si>
    <t>Capacitors</t>
  </si>
  <si>
    <t>(pF)</t>
  </si>
  <si>
    <t>Standard Result</t>
  </si>
  <si>
    <t>Inputs</t>
  </si>
  <si>
    <t>Css_u</t>
  </si>
  <si>
    <t>Resistors</t>
  </si>
  <si>
    <t>inputs</t>
  </si>
  <si>
    <t>Rs</t>
  </si>
  <si>
    <t xml:space="preserve">                </t>
  </si>
  <si>
    <t>Cc1</t>
  </si>
  <si>
    <t>Cc2</t>
  </si>
  <si>
    <t>Csby</t>
  </si>
  <si>
    <t>Rc1</t>
  </si>
  <si>
    <t>Other Input Variables</t>
  </si>
  <si>
    <r>
      <t>R</t>
    </r>
    <r>
      <rPr>
        <vertAlign val="subscript"/>
        <sz val="10"/>
        <rFont val="Arial"/>
        <family val="2"/>
      </rPr>
      <t>PG</t>
    </r>
  </si>
  <si>
    <r>
      <t>R</t>
    </r>
    <r>
      <rPr>
        <vertAlign val="subscript"/>
        <sz val="10"/>
        <rFont val="Arial"/>
        <family val="2"/>
      </rPr>
      <t>SB</t>
    </r>
  </si>
  <si>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</si>
  <si>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</si>
  <si>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</si>
  <si>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</si>
  <si>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</si>
  <si>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</si>
  <si>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</si>
  <si>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</si>
  <si>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</si>
  <si>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</si>
  <si>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</si>
  <si>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</si>
  <si>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</si>
  <si>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</si>
  <si>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</si>
  <si>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</si>
  <si>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</si>
  <si>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</si>
  <si>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</si>
  <si>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</si>
  <si>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</si>
  <si>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</si>
  <si>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</si>
  <si>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</si>
  <si>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</si>
  <si>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</si>
  <si>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</si>
  <si>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</si>
  <si>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</si>
  <si>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VsdTop</t>
  </si>
  <si>
    <t>Switching Current Diss</t>
  </si>
  <si>
    <t>°C/W</t>
  </si>
  <si>
    <t>SCHEMATIC LABELS</t>
  </si>
  <si>
    <t>OUTPUT CURRENT</t>
  </si>
  <si>
    <t>Dmax</t>
  </si>
  <si>
    <t>Ipp</t>
  </si>
  <si>
    <t>Current (switching)</t>
  </si>
  <si>
    <t>Qrr Current</t>
  </si>
  <si>
    <t>Diode Current</t>
  </si>
  <si>
    <t>Std Units</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</si>
  <si>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</si>
  <si>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</si>
  <si>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</si>
  <si>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</si>
  <si>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</si>
  <si>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</si>
  <si>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</si>
  <si>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</si>
  <si>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</si>
  <si>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</si>
  <si>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</si>
  <si>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</si>
  <si>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</si>
  <si>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</si>
  <si>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</si>
  <si>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</si>
  <si>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</si>
  <si>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</si>
  <si>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</si>
  <si>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</si>
  <si>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</si>
  <si>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</si>
  <si>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</si>
  <si>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</si>
  <si>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</si>
  <si>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</si>
  <si>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Output =</t>
  </si>
  <si>
    <t>OTP</t>
  </si>
  <si>
    <t>RS</t>
  </si>
  <si>
    <t>Bottom Schottky</t>
  </si>
  <si>
    <t>Step 2: Filter Inductor</t>
  </si>
  <si>
    <t>Step 1: Operating Specifications</t>
  </si>
  <si>
    <t>°C</t>
  </si>
  <si>
    <t>Std Values</t>
  </si>
  <si>
    <t>Actual P/Z Frequencies</t>
  </si>
  <si>
    <r>
      <t>A</t>
    </r>
    <r>
      <rPr>
        <vertAlign val="subscript"/>
        <sz val="10"/>
        <rFont val="Arial"/>
        <family val="2"/>
      </rPr>
      <t>pk-pk</t>
    </r>
  </si>
  <si>
    <r>
      <t>mV</t>
    </r>
    <r>
      <rPr>
        <b/>
        <vertAlign val="subscript"/>
        <sz val="10"/>
        <rFont val="Arial"/>
        <family val="2"/>
      </rPr>
      <t>pk-pk</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</si>
  <si>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</si>
  <si>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</si>
  <si>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</si>
  <si>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</si>
  <si>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</si>
  <si>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</si>
  <si>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Maximum Permitted ESR </t>
  </si>
  <si>
    <t xml:space="preserve">Output Capacitor ESR </t>
  </si>
  <si>
    <t xml:space="preserve">Input Capacitor ESR </t>
  </si>
  <si>
    <t>About</t>
  </si>
  <si>
    <t>xx</t>
  </si>
  <si>
    <t>Max ESR before ripple exceeds Vripple1</t>
  </si>
  <si>
    <t>Chosen ESR</t>
  </si>
  <si>
    <t>Input capacitance series resistance (ESR)</t>
  </si>
  <si>
    <r>
      <t>VIN</t>
    </r>
    <r>
      <rPr>
        <vertAlign val="subscript"/>
        <sz val="10"/>
        <rFont val="Arial"/>
        <family val="2"/>
      </rPr>
      <t>UVLO_ON</t>
    </r>
  </si>
  <si>
    <t>Rising UVLO/EN Threshold</t>
  </si>
  <si>
    <t>Falling UVLO/EN Threshold</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</si>
  <si>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</si>
  <si>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</si>
  <si>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</si>
  <si>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</si>
  <si>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</si>
  <si>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</si>
  <si>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</si>
  <si>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</si>
  <si>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</si>
  <si>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</si>
  <si>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</si>
  <si>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</si>
  <si>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CS</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</si>
  <si>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</si>
  <si>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</si>
  <si>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</si>
  <si>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</si>
  <si>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</si>
  <si>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</si>
  <si>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</si>
  <si>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t>-</t>
  </si>
  <si>
    <r>
      <t>R</t>
    </r>
    <r>
      <rPr>
        <vertAlign val="subscript"/>
        <sz val="10"/>
        <rFont val="Arial"/>
        <family val="2"/>
      </rPr>
      <t>C1</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</si>
  <si>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</si>
  <si>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</si>
  <si>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</si>
  <si>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</si>
  <si>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</si>
  <si>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</si>
  <si>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</si>
  <si>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</si>
  <si>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</si>
  <si>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</si>
  <si>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Ruv1</t>
  </si>
  <si>
    <t>Ruv2</t>
  </si>
  <si>
    <t># of input caps</t>
  </si>
  <si>
    <t>Capacitance per component (Cin)</t>
  </si>
  <si>
    <t>Capacitance per component (Cout)</t>
  </si>
  <si>
    <t># of output caps</t>
  </si>
  <si>
    <t>Input Voltage UVLO Off</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</si>
  <si>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</si>
  <si>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</si>
  <si>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</si>
  <si>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</si>
  <si>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</si>
  <si>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</si>
  <si>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</si>
  <si>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</si>
  <si>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</si>
  <si>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</si>
  <si>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</si>
  <si>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</si>
  <si>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</si>
  <si>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</si>
  <si>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</si>
  <si>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T</t>
    </r>
    <r>
      <rPr>
        <sz val="10"/>
        <rFont val="Arial"/>
        <family val="2"/>
      </rPr>
      <t xml:space="preserve"> </t>
    </r>
  </si>
  <si>
    <r>
      <t>Output Capacitance, C</t>
    </r>
    <r>
      <rPr>
        <b/>
        <vertAlign val="subscript"/>
        <sz val="10"/>
        <rFont val="Arial"/>
        <family val="2"/>
      </rPr>
      <t>OUT</t>
    </r>
    <r>
      <rPr>
        <b/>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</si>
  <si>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</si>
  <si>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</si>
  <si>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</si>
  <si>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</si>
  <si>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</si>
  <si>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</si>
  <si>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</si>
  <si>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</si>
  <si>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</si>
  <si>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</si>
  <si>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Maximum Output Current</t>
  </si>
  <si>
    <t>Nominal Switching Frequency</t>
  </si>
  <si>
    <t>Voltage Hysteresis</t>
  </si>
  <si>
    <t>Falling UVLO/EN Current</t>
  </si>
  <si>
    <t>Rising UVLO/EN Current</t>
  </si>
  <si>
    <t>mV</t>
  </si>
  <si>
    <r>
      <t>Lower UVLO Resistor, R</t>
    </r>
    <r>
      <rPr>
        <vertAlign val="subscript"/>
        <sz val="10"/>
        <rFont val="Arial"/>
        <family val="2"/>
      </rPr>
      <t>UV2</t>
    </r>
  </si>
  <si>
    <r>
      <t>Upper UVLO Resistor, R</t>
    </r>
    <r>
      <rPr>
        <b/>
        <vertAlign val="subscript"/>
        <sz val="10"/>
        <rFont val="Arial"/>
        <family val="2"/>
      </rPr>
      <t>UV1</t>
    </r>
  </si>
  <si>
    <t>Required Input Voltage UVLO On</t>
  </si>
  <si>
    <r>
      <t>C</t>
    </r>
    <r>
      <rPr>
        <vertAlign val="subscript"/>
        <sz val="10"/>
        <rFont val="Arial"/>
        <family val="2"/>
      </rPr>
      <t>OUT</t>
    </r>
    <r>
      <rPr>
        <sz val="10"/>
        <rFont val="Arial"/>
        <family val="2"/>
      </rPr>
      <t xml:space="preserve"> ESR Zero Frequency </t>
    </r>
  </si>
  <si>
    <t>Load Pole Frequency</t>
  </si>
  <si>
    <t>Ideal Duty Cycle at VIN(nom)</t>
  </si>
  <si>
    <t>Ideal 1- Duty Cycle at VIN(nom)</t>
  </si>
  <si>
    <t>Don_Vinmin</t>
  </si>
  <si>
    <t>Don_Vinmax</t>
  </si>
  <si>
    <t>Lf_Vinmin</t>
  </si>
  <si>
    <t>Lf_Vinmax</t>
  </si>
  <si>
    <t>Lf</t>
  </si>
  <si>
    <t>Pout</t>
  </si>
  <si>
    <t>Iin_Vinmin</t>
  </si>
  <si>
    <t>Iin_Vinnom</t>
  </si>
  <si>
    <t>Iin_Vinmax</t>
  </si>
  <si>
    <t>Pin</t>
  </si>
  <si>
    <t>Iripple_Vinmin</t>
  </si>
  <si>
    <t>Iripple_Vinnom</t>
  </si>
  <si>
    <t>Iripple_Vinmax</t>
  </si>
  <si>
    <t>L_Vinmin</t>
  </si>
  <si>
    <t>L_Vinnom</t>
  </si>
  <si>
    <t>L_Vinmax</t>
  </si>
  <si>
    <t>Lf_Vinnom</t>
  </si>
  <si>
    <t>Lopt</t>
  </si>
  <si>
    <t>Don_Vinnom</t>
  </si>
  <si>
    <t>Don_Vinmin_2</t>
  </si>
  <si>
    <t>Don_Vinnom_2</t>
  </si>
  <si>
    <t>Don_Vinmax_2</t>
  </si>
  <si>
    <t>% Ripple Current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</si>
  <si>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</si>
  <si>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IN(min)</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</si>
  <si>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</si>
  <si>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IN(max)</t>
    </r>
  </si>
  <si>
    <r>
      <t>Sense Resistance, R</t>
    </r>
    <r>
      <rPr>
        <b/>
        <vertAlign val="subscript"/>
        <sz val="10"/>
        <color theme="1"/>
        <rFont val="Arial"/>
        <family val="2"/>
      </rPr>
      <t>S</t>
    </r>
  </si>
  <si>
    <t>Recommended Sense Resistance</t>
  </si>
  <si>
    <t>Buck CS threshold</t>
  </si>
  <si>
    <t>Boost CS Threshold</t>
  </si>
  <si>
    <t>Max inductor ripple current</t>
  </si>
  <si>
    <t>Calculate input power assuming 90% efficiency</t>
  </si>
  <si>
    <t>Output power</t>
  </si>
  <si>
    <t>Input currents at min, nom, max Vin</t>
  </si>
  <si>
    <t>Frequency Set Resistor</t>
  </si>
  <si>
    <t>Rs_ideal</t>
  </si>
  <si>
    <t>Selected (starndard value) current limit sense resistor</t>
  </si>
  <si>
    <t>Cslope_ideal</t>
  </si>
  <si>
    <t>mΩ</t>
  </si>
  <si>
    <t>Cslope</t>
  </si>
  <si>
    <t>V/s</t>
  </si>
  <si>
    <t>at VIN_min</t>
  </si>
  <si>
    <t>at VIN_nom</t>
  </si>
  <si>
    <t>at VIN_max</t>
  </si>
  <si>
    <t>Islope_fixed</t>
  </si>
  <si>
    <t>SLOPE comp dv/dt = I_slope_total/Cslope</t>
  </si>
  <si>
    <t xml:space="preserve">BUCK </t>
  </si>
  <si>
    <t>BOOST</t>
  </si>
  <si>
    <t>Required Constant Current Loop Setpoint</t>
  </si>
  <si>
    <t>Current Limit Threshold</t>
  </si>
  <si>
    <t>Shunt Resistor in Output Leg</t>
  </si>
  <si>
    <t>Rshunt</t>
  </si>
  <si>
    <t>TBD</t>
  </si>
  <si>
    <t>Output Cap RMS current</t>
  </si>
  <si>
    <t>Icoutrms_VINmin</t>
  </si>
  <si>
    <t>Icoutrms_VINnom</t>
  </si>
  <si>
    <t>Icoutrms_VINmax</t>
  </si>
  <si>
    <r>
      <rPr>
        <sz val="10"/>
        <rFont val="Symbol"/>
        <family val="1"/>
        <charset val="2"/>
      </rPr>
      <t>D</t>
    </r>
    <r>
      <rPr>
        <sz val="10"/>
        <rFont val="Arial"/>
        <family val="2"/>
      </rPr>
      <t>V_SLOPEcomp at Vinmin</t>
    </r>
  </si>
  <si>
    <r>
      <rPr>
        <sz val="10"/>
        <rFont val="Symbol"/>
        <family val="1"/>
        <charset val="2"/>
      </rPr>
      <t>D</t>
    </r>
    <r>
      <rPr>
        <sz val="10"/>
        <rFont val="Arial"/>
        <family val="2"/>
      </rPr>
      <t>V_SLOPEcomp at Vinnom</t>
    </r>
  </si>
  <si>
    <r>
      <rPr>
        <sz val="10"/>
        <rFont val="Symbol"/>
        <family val="1"/>
        <charset val="2"/>
      </rPr>
      <t>D</t>
    </r>
    <r>
      <rPr>
        <sz val="10"/>
        <rFont val="Arial"/>
        <family val="2"/>
      </rPr>
      <t>V_SLOPEcomp at Vinmax</t>
    </r>
  </si>
  <si>
    <t>Chosen Output Capacitance</t>
  </si>
  <si>
    <t>Frhp</t>
  </si>
  <si>
    <t>Rout</t>
  </si>
  <si>
    <t>Load resistance</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</si>
  <si>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</si>
  <si>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</si>
  <si>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</si>
  <si>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</si>
  <si>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</si>
  <si>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</si>
  <si>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</si>
  <si>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</si>
  <si>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</si>
  <si>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</si>
  <si>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</si>
  <si>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</si>
  <si>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</si>
  <si>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</si>
  <si>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</si>
  <si>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</si>
  <si>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</si>
  <si>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</si>
  <si>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</si>
  <si>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</si>
  <si>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</si>
  <si>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</si>
  <si>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</si>
  <si>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</si>
  <si>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</si>
  <si>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</si>
  <si>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</si>
  <si>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</si>
  <si>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</si>
  <si>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Phase (°)</t>
  </si>
  <si>
    <t>Gain(dB)</t>
  </si>
  <si>
    <t>Phase(Deg)</t>
  </si>
  <si>
    <t>Pole/Zero Locations for Chart</t>
  </si>
  <si>
    <t>crossover</t>
  </si>
  <si>
    <t>System</t>
  </si>
  <si>
    <t>Plant</t>
  </si>
  <si>
    <t>Ri</t>
  </si>
  <si>
    <t>Error Amp Transconductance</t>
  </si>
  <si>
    <t>Se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</si>
  <si>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</si>
  <si>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</si>
  <si>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</si>
  <si>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</si>
  <si>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</si>
  <si>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</si>
  <si>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</si>
  <si>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</si>
  <si>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</si>
  <si>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</si>
  <si>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</si>
  <si>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</si>
  <si>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</si>
  <si>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</si>
  <si>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</si>
  <si>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</si>
  <si>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</si>
  <si>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mc*D</t>
  </si>
  <si>
    <t>Off-time Slope</t>
  </si>
  <si>
    <t>Sf</t>
  </si>
  <si>
    <t>mc = 1 + Se/Sf for valley current-mode buck</t>
  </si>
  <si>
    <t>gm_slopecomp</t>
  </si>
  <si>
    <t>adaptive slope comp gm amplifier transconductance</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</si>
  <si>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</si>
  <si>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</si>
  <si>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</si>
  <si>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</si>
  <si>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</si>
  <si>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</si>
  <si>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</si>
  <si>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</si>
  <si>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</si>
  <si>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</si>
  <si>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</si>
  <si>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</si>
  <si>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Isc_const</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</si>
  <si>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</si>
  <si>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</si>
  <si>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</si>
  <si>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</si>
  <si>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</si>
  <si>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</si>
  <si>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</si>
  <si>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</si>
  <si>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</si>
  <si>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Diode Forward Voltage of Low-side FET Body Diode</t>
  </si>
  <si>
    <t>slope comp constant current source</t>
  </si>
  <si>
    <t>Duty cycles adjusted for DCR and shunt voltage drops</t>
  </si>
  <si>
    <t>Desired Crossover Frequency</t>
  </si>
  <si>
    <t>Cout ESR zero frequency</t>
  </si>
  <si>
    <t>Boost RHP zero frequency (if applicable)</t>
  </si>
  <si>
    <t>Error Amp LF pole -- related to amplifier ouptut resistance and comp cap</t>
  </si>
  <si>
    <t>Buck dominant pole frequency -- note slope comp influence</t>
  </si>
  <si>
    <t>Boost dominant pole frequency -- need to add slope comp component</t>
  </si>
  <si>
    <t>Fp_load_boost</t>
  </si>
  <si>
    <t>Fp_load_buck</t>
  </si>
  <si>
    <t>IC Power Disipation</t>
  </si>
  <si>
    <t>Iteration</t>
  </si>
  <si>
    <t>Output Ripple Spec (pk-pk)</t>
  </si>
  <si>
    <t>Rmode</t>
  </si>
  <si>
    <t>zero-order sample and hold effects of current-mode control modeled as pole at Fsw/2</t>
  </si>
  <si>
    <t>F_mod</t>
  </si>
  <si>
    <t>Am_buck</t>
  </si>
  <si>
    <t>mc_boost</t>
  </si>
  <si>
    <t>k_boost</t>
  </si>
  <si>
    <t>Am_boost</t>
  </si>
  <si>
    <t>DC Gain is Adc = AEA*Afb*Am</t>
  </si>
  <si>
    <t>A/V</t>
  </si>
  <si>
    <t>Power Stage Poles/Zeros</t>
  </si>
  <si>
    <t>Complex Pole Pair</t>
  </si>
  <si>
    <t>Divider Network &amp; EA Poles/Zeros</t>
  </si>
  <si>
    <t>mc_buck</t>
  </si>
  <si>
    <t>k_buck</t>
  </si>
  <si>
    <t>mV/μs</t>
  </si>
  <si>
    <t>mc*(1-D)</t>
  </si>
  <si>
    <t>Error Amp (EA)</t>
  </si>
  <si>
    <t>Boost modulator gain -- need to adjust for adaptive slope comp</t>
  </si>
  <si>
    <r>
      <t>need to include R</t>
    </r>
    <r>
      <rPr>
        <vertAlign val="subscript"/>
        <sz val="10"/>
        <color rgb="FFFF0000"/>
        <rFont val="Arial"/>
        <family val="2"/>
      </rPr>
      <t>DS(on)</t>
    </r>
    <r>
      <rPr>
        <sz val="10"/>
        <color rgb="FFFF0000"/>
        <rFont val="Arial"/>
        <family val="2"/>
      </rPr>
      <t xml:space="preserve"> later</t>
    </r>
  </si>
  <si>
    <t>BOOST current limit - peak</t>
  </si>
  <si>
    <t>Iout_OCP_Vinmin</t>
  </si>
  <si>
    <t>Iout_OCP_Vinmax</t>
  </si>
  <si>
    <t>ILpeak_OCP_Vinmin</t>
  </si>
  <si>
    <t>ILpeak_OCP_Vinnom</t>
  </si>
  <si>
    <t>ILpeak_OCP_Vinmax</t>
  </si>
  <si>
    <t>Peak inductor currents in OCP</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</si>
  <si>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</si>
  <si>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</si>
  <si>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</si>
  <si>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 xml:space="preserve">Minimum Output Capacitance </t>
  </si>
  <si>
    <t>Load cap current during soft start</t>
  </si>
  <si>
    <t>Soft-start time</t>
  </si>
  <si>
    <t>zRHP</t>
  </si>
  <si>
    <t>p-dom</t>
  </si>
  <si>
    <t>p_dom</t>
  </si>
  <si>
    <t>z_ESR</t>
  </si>
  <si>
    <t>z_RHP</t>
  </si>
  <si>
    <t>uses Vin(nom)!!</t>
  </si>
  <si>
    <t>Low-side MOSFET/Diode</t>
  </si>
  <si>
    <t>EA pole, p2</t>
  </si>
  <si>
    <t>EA pole, p1</t>
  </si>
  <si>
    <t>EA zero, z1</t>
  </si>
  <si>
    <t>Fp_dominant</t>
  </si>
  <si>
    <t>p_sampling</t>
  </si>
  <si>
    <t>ESR zero</t>
  </si>
  <si>
    <t>EA pole</t>
  </si>
  <si>
    <t>EA zero</t>
  </si>
  <si>
    <t>RHP zero</t>
  </si>
  <si>
    <t>This zero is set at or close to the dominant load pole</t>
  </si>
  <si>
    <t>Freq (Hz)</t>
  </si>
  <si>
    <t>scaling factor to calculate Rcomp - buck</t>
  </si>
  <si>
    <t>scaling factor to calculate Rcomp - boost</t>
  </si>
  <si>
    <r>
      <t>Hz  (F</t>
    </r>
    <r>
      <rPr>
        <vertAlign val="subscript"/>
        <sz val="10"/>
        <rFont val="Arial"/>
        <family val="2"/>
      </rPr>
      <t>PEA</t>
    </r>
    <r>
      <rPr>
        <sz val="10"/>
        <rFont val="Arial"/>
        <family val="2"/>
      </rPr>
      <t>)</t>
    </r>
  </si>
  <si>
    <t>KM</t>
  </si>
  <si>
    <t>KD</t>
  </si>
  <si>
    <t>Se_fixed</t>
  </si>
  <si>
    <t>Se_proportional</t>
  </si>
  <si>
    <t>Se_ext</t>
  </si>
  <si>
    <t>Buck modulator gain</t>
  </si>
  <si>
    <t>Feedback gain from Vout to FB</t>
  </si>
  <si>
    <t>V_sc_fixed</t>
  </si>
  <si>
    <t>V_sc_proportional</t>
  </si>
  <si>
    <t>V_sc_total</t>
  </si>
  <si>
    <t>Slope comp slope - internal</t>
  </si>
  <si>
    <t>EA DC gain = gm*RoEA</t>
  </si>
  <si>
    <t>EA output resistance</t>
  </si>
  <si>
    <t>EA effective bandwidth limiting capacitance = gm/(2*Pi*GBW)</t>
  </si>
  <si>
    <t>EA gain-bandwidth product</t>
  </si>
  <si>
    <t>mc = 1 + Se/Sn for peak current-mode boost</t>
  </si>
  <si>
    <t>K_SL</t>
  </si>
  <si>
    <t>Fixed slope comp amplitude over full period</t>
  </si>
  <si>
    <t>Proportional slope comp amplitude over full period</t>
  </si>
  <si>
    <t>Total slope comp amplitude over full period</t>
  </si>
  <si>
    <t>Proportional slope comp factor, where Vslope= Abs(Vin-Vout)*KSL</t>
  </si>
  <si>
    <t>KSL = gm/(Cslope*Fsw)</t>
  </si>
  <si>
    <t>K_1</t>
  </si>
  <si>
    <t>Take the buck or boost parameter as appropriate</t>
  </si>
  <si>
    <t>2*Pi*Ri/gm -- scaling factor to calculate Rcomp given desired buck crossover frequency</t>
  </si>
  <si>
    <t>2*Pi*Ri/gm -- scaling factor to calculate Rcomp given desired boost crossover frequency</t>
  </si>
  <si>
    <t>Diode/FET</t>
  </si>
  <si>
    <t>High Efficiency Synchronous Buck-Boost Regulator BOM</t>
  </si>
  <si>
    <t>Iout_OCP_Vinnom</t>
  </si>
  <si>
    <t>IL_peak_OCP</t>
  </si>
  <si>
    <t>Peak inductor current over the full input range</t>
  </si>
  <si>
    <r>
      <t>L</t>
    </r>
    <r>
      <rPr>
        <vertAlign val="subscript"/>
        <sz val="10"/>
        <rFont val="Arial"/>
        <family val="2"/>
      </rPr>
      <t>F</t>
    </r>
  </si>
  <si>
    <r>
      <t>R</t>
    </r>
    <r>
      <rPr>
        <vertAlign val="subscript"/>
        <sz val="10"/>
        <rFont val="Arial"/>
        <family val="2"/>
      </rPr>
      <t>CS</t>
    </r>
    <r>
      <rPr>
        <sz val="10"/>
        <rFont val="Arial"/>
        <family val="2"/>
      </rPr>
      <t>, R</t>
    </r>
    <r>
      <rPr>
        <vertAlign val="subscript"/>
        <sz val="10"/>
        <rFont val="Arial"/>
        <family val="2"/>
      </rPr>
      <t>CSG</t>
    </r>
  </si>
  <si>
    <r>
      <t>R</t>
    </r>
    <r>
      <rPr>
        <vertAlign val="subscript"/>
        <sz val="10"/>
        <rFont val="Arial"/>
        <family val="2"/>
      </rPr>
      <t>T</t>
    </r>
  </si>
  <si>
    <t>** Effective input and output capacitances should be appropriately derated for applied voltage and temperature, particularly with ceramics **</t>
  </si>
  <si>
    <t>Schottky Diode, 200mA</t>
  </si>
  <si>
    <r>
      <t>D</t>
    </r>
    <r>
      <rPr>
        <vertAlign val="subscript"/>
        <sz val="10"/>
        <rFont val="Arial"/>
        <family val="2"/>
      </rPr>
      <t>BOOT1</t>
    </r>
    <r>
      <rPr>
        <sz val="10"/>
        <rFont val="Arial"/>
        <family val="2"/>
      </rPr>
      <t>, D</t>
    </r>
    <r>
      <rPr>
        <vertAlign val="subscript"/>
        <sz val="10"/>
        <rFont val="Arial"/>
        <family val="2"/>
      </rPr>
      <t xml:space="preserve">BOOT2, </t>
    </r>
    <r>
      <rPr>
        <sz val="10"/>
        <rFont val="Arial"/>
        <family val="2"/>
      </rPr>
      <t>D</t>
    </r>
    <r>
      <rPr>
        <vertAlign val="subscript"/>
        <sz val="10"/>
        <rFont val="Arial"/>
        <family val="2"/>
      </rPr>
      <t xml:space="preserve">VIN </t>
    </r>
  </si>
  <si>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</si>
  <si>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</si>
  <si>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r>
      <t>C</t>
    </r>
    <r>
      <rPr>
        <vertAlign val="subscript"/>
        <sz val="10"/>
        <rFont val="Arial"/>
        <family val="2"/>
      </rPr>
      <t>VCC</t>
    </r>
  </si>
  <si>
    <t>Step 3: OCP, Sense Resistors, Slope Comp</t>
  </si>
  <si>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</si>
  <si>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</si>
  <si>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</si>
  <si>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</si>
  <si>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</si>
  <si>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</si>
  <si>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</si>
  <si>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</si>
  <si>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</si>
  <si>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</si>
  <si>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</si>
  <si>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</si>
  <si>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</si>
  <si>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</si>
  <si>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t>with 85mA current limit</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</si>
  <si>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</si>
  <si>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</si>
  <si>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</si>
  <si>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</si>
  <si>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</si>
  <si>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</si>
  <si>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</si>
  <si>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</si>
  <si>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</si>
  <si>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</si>
  <si>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</si>
  <si>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</si>
  <si>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</si>
  <si>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t>Controller IC Losses</t>
  </si>
  <si>
    <t>Total IC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</si>
  <si>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</si>
  <si>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</si>
  <si>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</si>
  <si>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</si>
  <si>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</si>
  <si>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</si>
  <si>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</si>
  <si>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Output Rs</t>
  </si>
  <si>
    <t>Iout Shunt Loss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</si>
  <si>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</si>
  <si>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</si>
  <si>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</si>
  <si>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</si>
  <si>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</si>
  <si>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</si>
  <si>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</si>
  <si>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</si>
  <si>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</si>
  <si>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</si>
  <si>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</si>
  <si>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</si>
  <si>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</si>
  <si>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</si>
  <si>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</si>
  <si>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</si>
  <si>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</si>
  <si>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Pk-to-Pk Ripple Current at V</t>
    </r>
    <r>
      <rPr>
        <vertAlign val="subscript"/>
        <sz val="10"/>
        <rFont val="Arial"/>
        <family val="2"/>
      </rPr>
      <t>IN(min)</t>
    </r>
    <r>
      <rPr>
        <sz val="10"/>
        <rFont val="Arial"/>
        <family val="2"/>
      </rPr>
      <t xml:space="preserve">, </t>
    </r>
    <r>
      <rPr>
        <sz val="10"/>
        <rFont val="Symbol"/>
        <family val="1"/>
        <charset val="2"/>
      </rPr>
      <t>D</t>
    </r>
    <r>
      <rPr>
        <sz val="10"/>
        <rFont val="Arial"/>
        <family val="2"/>
      </rPr>
      <t>I</t>
    </r>
    <r>
      <rPr>
        <vertAlign val="subscript"/>
        <sz val="10"/>
        <rFont val="Arial"/>
        <family val="2"/>
      </rPr>
      <t>L1</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</si>
  <si>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L2</t>
    </r>
  </si>
  <si>
    <r>
      <t>Pk-to-Pk Ripple Current at V</t>
    </r>
    <r>
      <rPr>
        <vertAlign val="subscript"/>
        <sz val="10"/>
        <rFont val="Arial"/>
        <family val="2"/>
      </rPr>
      <t>IN(max)</t>
    </r>
    <r>
      <rPr>
        <sz val="10"/>
        <rFont val="Arial"/>
        <family val="2"/>
      </rPr>
      <t xml:space="preserve">, </t>
    </r>
    <r>
      <rPr>
        <sz val="10"/>
        <rFont val="Symbol"/>
        <family val="1"/>
        <charset val="2"/>
      </rPr>
      <t>D</t>
    </r>
    <r>
      <rPr>
        <sz val="10"/>
        <rFont val="Arial"/>
        <family val="2"/>
      </rPr>
      <t>I</t>
    </r>
    <r>
      <rPr>
        <vertAlign val="subscript"/>
        <sz val="10"/>
        <rFont val="Arial"/>
        <family val="2"/>
      </rPr>
      <t>L3</t>
    </r>
  </si>
  <si>
    <t>Buck CS threshold_min</t>
  </si>
  <si>
    <t>Boost CS Threshold_min</t>
  </si>
  <si>
    <t>Chosen OCP level - based on output current</t>
  </si>
  <si>
    <r>
      <t>I</t>
    </r>
    <r>
      <rPr>
        <vertAlign val="subscript"/>
        <sz val="10"/>
        <rFont val="Arial"/>
        <family val="2"/>
      </rPr>
      <t>OUT(typ)</t>
    </r>
    <r>
      <rPr>
        <sz val="10"/>
        <rFont val="Arial"/>
        <family val="2"/>
      </rPr>
      <t xml:space="preserve"> at OCP Inception:</t>
    </r>
  </si>
  <si>
    <t>Buck CS threshold_max</t>
  </si>
  <si>
    <t>Boost CS Threshold_max</t>
  </si>
  <si>
    <t>RMS current in Rs</t>
  </si>
  <si>
    <t>Power diss in Rs</t>
  </si>
  <si>
    <t>Total Cin Loss</t>
  </si>
  <si>
    <t>Inductor Cu &amp; Core Loss</t>
  </si>
  <si>
    <t>Total Cout Loss</t>
  </si>
  <si>
    <t>Total Inductor Loss</t>
  </si>
  <si>
    <t>Gate Charge at VCC = 7.5V</t>
  </si>
  <si>
    <t>Boost hi-side</t>
  </si>
  <si>
    <t>Buck lo-side</t>
  </si>
  <si>
    <t>Anti-parallel Schottky Diode (optional)</t>
  </si>
  <si>
    <t>High- &amp; low-side boost MOSFETs</t>
  </si>
  <si>
    <t>High- &amp; low-side buck MOSFETs</t>
  </si>
  <si>
    <t>Drain-Source Resistances of Boost FETs</t>
  </si>
  <si>
    <t>Gate Charge Of Boost FETs</t>
  </si>
  <si>
    <t>Transconductance of Boost FETs</t>
  </si>
  <si>
    <t>Threshold Voltage Boost FETs</t>
  </si>
  <si>
    <t>Switch Point Voltage of Boost FETs</t>
  </si>
  <si>
    <t>Transconductance of Buck FETs</t>
  </si>
  <si>
    <t>Drain-Source Resistances of Buck FETs</t>
  </si>
  <si>
    <t>Threshold Voltage of Buck FETs</t>
  </si>
  <si>
    <t>Switch Point Voltage of Buck FETs</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</si>
  <si>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</si>
  <si>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</si>
  <si>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Hi-side</t>
  </si>
  <si>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</si>
  <si>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</si>
  <si>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</si>
  <si>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</si>
  <si>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</si>
  <si>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</si>
  <si>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</si>
  <si>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</si>
  <si>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</si>
  <si>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</si>
  <si>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</si>
  <si>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</si>
  <si>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</si>
  <si>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</si>
  <si>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</si>
  <si>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</si>
  <si>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VsdBot - Boost</t>
  </si>
  <si>
    <t>Vsd - Buck</t>
  </si>
  <si>
    <r>
      <rPr>
        <i/>
        <sz val="10"/>
        <rFont val="Arial"/>
        <family val="2"/>
      </rPr>
      <t>Buck</t>
    </r>
    <r>
      <rPr>
        <sz val="10"/>
        <rFont val="Arial"/>
        <family val="2"/>
      </rPr>
      <t xml:space="preserve"> Leg</t>
    </r>
  </si>
  <si>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</si>
  <si>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</si>
  <si>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</si>
  <si>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</si>
  <si>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</si>
  <si>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r>
      <t>R</t>
    </r>
    <r>
      <rPr>
        <vertAlign val="subscript"/>
        <sz val="10"/>
        <rFont val="Arial"/>
        <family val="2"/>
      </rPr>
      <t>CS(out)</t>
    </r>
  </si>
  <si>
    <r>
      <rPr>
        <b/>
        <i/>
        <u/>
        <sz val="10"/>
        <color rgb="FF0000FF"/>
        <rFont val="Arial"/>
        <family val="2"/>
      </rPr>
      <t>Boost</t>
    </r>
    <r>
      <rPr>
        <b/>
        <sz val="10"/>
        <color rgb="FF0000FF"/>
        <rFont val="Arial"/>
        <family val="2"/>
      </rPr>
      <t>-Leg Power MOSFETs (Q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</si>
  <si>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r>
      <rPr>
        <b/>
        <i/>
        <u/>
        <sz val="10"/>
        <color rgb="FF0000FF"/>
        <rFont val="Arial"/>
        <family val="2"/>
      </rPr>
      <t>Buck</t>
    </r>
    <r>
      <rPr>
        <b/>
        <sz val="10"/>
        <color rgb="FF0000FF"/>
        <rFont val="Arial"/>
        <family val="2"/>
      </rPr>
      <t>-Leg Power MOSFETs (Q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</si>
  <si>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 xml:space="preserve">  Low-side</t>
  </si>
  <si>
    <r>
      <rPr>
        <i/>
        <sz val="10"/>
        <rFont val="Arial"/>
        <family val="2"/>
      </rPr>
      <t xml:space="preserve">   Boost</t>
    </r>
    <r>
      <rPr>
        <sz val="10"/>
        <rFont val="Arial"/>
        <family val="2"/>
      </rPr>
      <t xml:space="preserve"> Leg</t>
    </r>
  </si>
  <si>
    <t>Tie to GND or VCC for DCM/CCM, respectively. Use 93.1k or 200k for hiccup in DCM, CCM, respectively.</t>
  </si>
  <si>
    <t>sec</t>
  </si>
  <si>
    <t>Toff_Vinmax</t>
  </si>
  <si>
    <t>COMP max voltage</t>
  </si>
  <si>
    <t>COMP min voltage</t>
  </si>
  <si>
    <t>BUCK</t>
  </si>
  <si>
    <t>Ton_Vinmin</t>
  </si>
  <si>
    <t>VIN_edgebuckboost</t>
  </si>
  <si>
    <t>LM5175EVM-HD PCB Layout</t>
  </si>
  <si>
    <t>LM5175EVM-HP PCB Layout</t>
  </si>
  <si>
    <t>LM5175EVM PCB Layout</t>
  </si>
  <si>
    <t>Calculated inductance for 30% ripple at VIN(min)</t>
  </si>
  <si>
    <t>Chosen inductance</t>
  </si>
  <si>
    <t>Chosen inductor DCR</t>
  </si>
  <si>
    <t>edge of buck-boost</t>
  </si>
  <si>
    <r>
      <rPr>
        <b/>
        <sz val="10"/>
        <rFont val="Arial"/>
        <family val="2"/>
      </rPr>
      <t>Peak</t>
    </r>
    <r>
      <rPr>
        <sz val="10"/>
        <rFont val="Arial"/>
        <family val="2"/>
      </rPr>
      <t xml:space="preserve"> inductor current limit in </t>
    </r>
    <r>
      <rPr>
        <b/>
        <sz val="10"/>
        <rFont val="Arial"/>
        <family val="2"/>
      </rPr>
      <t>BOOST</t>
    </r>
  </si>
  <si>
    <t>Shunt required to get OCP at VIN(min)</t>
  </si>
  <si>
    <t>Shunt required to get OCP at VIN(nom)</t>
  </si>
  <si>
    <t>Shunt required to get OCP at VIN(max)</t>
  </si>
  <si>
    <t>Ideal Rs for the required OCP -- based on 80mV or 160mV CL threshold</t>
  </si>
  <si>
    <t>Assume we'd like to achieve current limit particularly at VIN(min) and boost side of buck-boost region; accept inevitable variation over line thereafter</t>
  </si>
  <si>
    <t>Icinrms_VINmin</t>
  </si>
  <si>
    <t>Icinrms_VINnom</t>
  </si>
  <si>
    <t>Icinrms_VINmiax</t>
  </si>
  <si>
    <t>Max Cout rms current</t>
  </si>
  <si>
    <t xml:space="preserve">Resulting Input Voltage Ripple (max) </t>
  </si>
  <si>
    <t xml:space="preserve">Resulting Output Voltage Ripple (max) </t>
  </si>
  <si>
    <t xml:space="preserve">Output Capacitor RMS Current (max) </t>
  </si>
  <si>
    <t>Input Capacitor RMS Current (max)</t>
  </si>
  <si>
    <t>Max Cin rms current</t>
  </si>
  <si>
    <t>Input voltage ripple spec (pk-pk)</t>
  </si>
  <si>
    <t>Reported Coutmin</t>
  </si>
  <si>
    <t>Output Voltage Ripple Spec</t>
  </si>
  <si>
    <t>Input Voltage Ripple Spec</t>
  </si>
  <si>
    <t>Minimum Input Capacitance</t>
  </si>
  <si>
    <t>Period</t>
  </si>
  <si>
    <t>Ts</t>
  </si>
  <si>
    <t>VIN_boost_to_BB</t>
  </si>
  <si>
    <t>VIN_BB_to_boost</t>
  </si>
  <si>
    <t>VIN_BB_to_buck</t>
  </si>
  <si>
    <t>VIN_buck_to_BB</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</si>
  <si>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</si>
  <si>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</si>
  <si>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</si>
  <si>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</si>
  <si>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</si>
  <si>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</si>
  <si>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</si>
  <si>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</si>
  <si>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</si>
  <si>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</si>
  <si>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</si>
  <si>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</si>
  <si>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</si>
  <si>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</si>
  <si>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</si>
  <si>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</si>
  <si>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6b: Other Components - UVLO, Dither, MODE</t>
  </si>
  <si>
    <t>Step 6a: Soft Start</t>
  </si>
  <si>
    <t>…report highest of these</t>
  </si>
  <si>
    <t>…report this</t>
  </si>
  <si>
    <t>PLOT_TYPE</t>
  </si>
  <si>
    <r>
      <t>Full Load Output Current, I</t>
    </r>
    <r>
      <rPr>
        <b/>
        <vertAlign val="subscript"/>
        <sz val="10"/>
        <color theme="1"/>
        <rFont val="Arial"/>
        <family val="2"/>
      </rPr>
      <t>OUT(max)</t>
    </r>
  </si>
  <si>
    <t>BUCK-BOOST CONTROLLER POWER TOOL</t>
  </si>
  <si>
    <r>
      <t>Q1/Q3 R</t>
    </r>
    <r>
      <rPr>
        <b/>
        <vertAlign val="subscript"/>
        <sz val="10"/>
        <rFont val="Arial"/>
        <family val="2"/>
      </rPr>
      <t>DS(on)</t>
    </r>
    <r>
      <rPr>
        <b/>
        <sz val="10"/>
        <rFont val="Arial"/>
        <family val="2"/>
      </rPr>
      <t xml:space="preserve"> Loss @ D = 100%</t>
    </r>
  </si>
  <si>
    <t>Pass FET</t>
  </si>
  <si>
    <t>Control FET Temp Rise</t>
  </si>
  <si>
    <t>Sync FET Temp Rise</t>
  </si>
  <si>
    <t>Core Loss</t>
  </si>
  <si>
    <t>Irms Lf</t>
  </si>
  <si>
    <t xml:space="preserve">High-side BUCK "Control" MOSFET Losses </t>
  </si>
  <si>
    <t xml:space="preserve">Low-side BUCK "Sync" MOSFET Losses </t>
  </si>
  <si>
    <t xml:space="preserve">Low-side BOOST "Control" MOSFET Losses </t>
  </si>
  <si>
    <t xml:space="preserve">High-side BOOST "Sync" MOSFET Losses </t>
  </si>
  <si>
    <t>Mode</t>
  </si>
  <si>
    <t>Operating Point Condtions</t>
  </si>
  <si>
    <t>Mode Digit</t>
  </si>
  <si>
    <t>Duty Cycle BOOST Leg</t>
  </si>
  <si>
    <t>Duty Cycle BUCK Leg</t>
  </si>
  <si>
    <t>Avg IL</t>
  </si>
  <si>
    <t>Total MOSFET Loss</t>
  </si>
  <si>
    <t>Full-load/high line efficiency</t>
  </si>
  <si>
    <t>Half-load/mid-line efficiency</t>
  </si>
  <si>
    <t>Low line efficiency</t>
  </si>
  <si>
    <t>θJA-MOSFET</t>
  </si>
  <si>
    <t>θJA</t>
  </si>
  <si>
    <t>10% load</t>
  </si>
  <si>
    <t>100% load</t>
  </si>
  <si>
    <t>50% load</t>
  </si>
  <si>
    <t>Low VIN</t>
  </si>
  <si>
    <t>High VIN</t>
  </si>
  <si>
    <t>Nom VIN</t>
  </si>
  <si>
    <r>
      <t xml:space="preserve">Efficiency vs </t>
    </r>
    <r>
      <rPr>
        <b/>
        <sz val="10"/>
        <rFont val="Arial"/>
        <family val="2"/>
      </rPr>
      <t>IOUT</t>
    </r>
    <r>
      <rPr>
        <sz val="10"/>
        <rFont val="Arial"/>
        <family val="2"/>
      </rPr>
      <t xml:space="preserve"> Plot</t>
    </r>
  </si>
  <si>
    <t>Efficiency vs VIN Plot</t>
  </si>
  <si>
    <t xml:space="preserve"> LM5175 Quickstart Design Tool</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</si>
  <si>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</si>
  <si>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</si>
  <si>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</si>
  <si>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</si>
  <si>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1 = Yes, 2 = No</t>
  </si>
  <si>
    <t>Worst case peak inductor current</t>
  </si>
  <si>
    <r>
      <t>V</t>
    </r>
    <r>
      <rPr>
        <b/>
        <vertAlign val="subscript"/>
        <sz val="10"/>
        <color theme="1"/>
        <rFont val="Arial"/>
        <family val="2"/>
      </rPr>
      <t>IN(nom)</t>
    </r>
  </si>
  <si>
    <t>dB</t>
  </si>
  <si>
    <t>EA Gain</t>
  </si>
  <si>
    <t>EA Gain (dB)</t>
  </si>
  <si>
    <t>Restored to 50mV as ICTRL went away and the 25mV centering also went away.</t>
  </si>
  <si>
    <t>Edited by Vijay from 96% to 90% to match datasheet calculations.</t>
  </si>
  <si>
    <t>Cc2 calculation updated to place at 5-10x the crossover. Vijay 10/7/2016</t>
  </si>
  <si>
    <t>Vijay Edit. Changed from Fcross/2 to 1.5x of Fp_dominant</t>
  </si>
  <si>
    <t>** Tie MODE to VCC (or voltage &gt; 2.4V) for No Hiccup **</t>
  </si>
  <si>
    <t>LM5177</t>
  </si>
  <si>
    <t>IC, LM5177, Buck-Boost PWM Controller</t>
  </si>
  <si>
    <t>LM5177HTSSOP</t>
  </si>
  <si>
    <t>TSSOP-38</t>
  </si>
  <si>
    <t>edited based on LM5177 curve fit.</t>
  </si>
  <si>
    <t>50ns for LM5177</t>
  </si>
  <si>
    <t>Quiescent Current of LM5177 Controller (Not Switching!)</t>
  </si>
  <si>
    <t xml:space="preserve">to check </t>
  </si>
  <si>
    <t>Pos and neg. is identical - otherwise take lower value</t>
  </si>
  <si>
    <t>Identical for Buck and Boost</t>
  </si>
  <si>
    <t>Rslope_ideal</t>
  </si>
  <si>
    <t>Setting</t>
  </si>
  <si>
    <t>DRSS</t>
  </si>
  <si>
    <t>HICCUP</t>
  </si>
  <si>
    <t>USLEEP</t>
  </si>
  <si>
    <t>IMON_LIMIT</t>
  </si>
  <si>
    <t>R_CFG [</t>
  </si>
  <si>
    <t>CFG</t>
  </si>
  <si>
    <t>Step 6: Soft-start, UVLO, CFG</t>
  </si>
  <si>
    <t>Vref_eff</t>
  </si>
  <si>
    <t>effective Vref with Tracking</t>
  </si>
  <si>
    <r>
      <t>R</t>
    </r>
    <r>
      <rPr>
        <vertAlign val="subscript"/>
        <sz val="10"/>
        <rFont val="Arial"/>
        <family val="2"/>
      </rPr>
      <t>SLOPE</t>
    </r>
  </si>
  <si>
    <t>=Ro*(1-Don_Vinnom_2)/(Ri*KD)</t>
  </si>
  <si>
    <t>=Ro/Ri*1/((1+Ro*(k-0.5)/(Fsw*Lf)))</t>
  </si>
  <si>
    <t>=1/(2*Pi*Ro*Cout)+(k-0.5)/(2*Pi*Fsw*Lf*Cout)</t>
  </si>
  <si>
    <t>Version Number</t>
  </si>
  <si>
    <t>Version History</t>
  </si>
  <si>
    <t>Version</t>
  </si>
  <si>
    <t>Change List Description</t>
  </si>
  <si>
    <t>Initial Release</t>
  </si>
  <si>
    <r>
      <t>Upper Feedback Resistor, R</t>
    </r>
    <r>
      <rPr>
        <b/>
        <vertAlign val="subscript"/>
        <sz val="10"/>
        <rFont val="Arial"/>
        <family val="2"/>
      </rPr>
      <t xml:space="preserve">FBT </t>
    </r>
  </si>
  <si>
    <r>
      <t>Lower Feedback Resistor, R</t>
    </r>
    <r>
      <rPr>
        <vertAlign val="subscript"/>
        <sz val="10"/>
        <rFont val="Arial"/>
        <family val="2"/>
      </rPr>
      <t>FBB</t>
    </r>
    <r>
      <rPr>
        <sz val="10"/>
        <rFont val="Arial"/>
        <family val="2"/>
      </rPr>
      <t xml:space="preserve"> </t>
    </r>
  </si>
  <si>
    <t>Limit Min. output Cap</t>
  </si>
  <si>
    <t>Frhp_Vinmin</t>
  </si>
  <si>
    <t>uses Vin(min)!!</t>
  </si>
  <si>
    <r>
      <t>Boost RHP Zero Frequency @ V</t>
    </r>
    <r>
      <rPr>
        <vertAlign val="subscript"/>
        <sz val="10"/>
        <rFont val="Arial"/>
        <family val="2"/>
      </rPr>
      <t>IN(NOM)</t>
    </r>
  </si>
  <si>
    <r>
      <t>Boost RHP Zero Frequency @ V</t>
    </r>
    <r>
      <rPr>
        <vertAlign val="subscript"/>
        <sz val="10"/>
        <rFont val="Arial"/>
        <family val="2"/>
      </rPr>
      <t>IN(MIN)</t>
    </r>
  </si>
  <si>
    <t>Internal Slope Compensation Capacitor</t>
  </si>
  <si>
    <r>
      <t>recommended Soft-Start Time, t</t>
    </r>
    <r>
      <rPr>
        <vertAlign val="subscript"/>
        <sz val="10"/>
        <color theme="1"/>
        <rFont val="Arial"/>
        <family val="2"/>
      </rPr>
      <t>SS</t>
    </r>
    <r>
      <rPr>
        <sz val="10"/>
        <color theme="1"/>
        <rFont val="Arial"/>
        <family val="2"/>
      </rPr>
      <t xml:space="preserve"> for I</t>
    </r>
    <r>
      <rPr>
        <vertAlign val="subscript"/>
        <sz val="10"/>
        <color theme="1"/>
        <rFont val="Arial"/>
        <family val="2"/>
      </rPr>
      <t>SCP(MIN)</t>
    </r>
  </si>
  <si>
    <t>IL</t>
  </si>
  <si>
    <t>D</t>
  </si>
  <si>
    <t>With Rcs</t>
  </si>
  <si>
    <t>1.0.0</t>
  </si>
  <si>
    <t>removing the factor of 2 does make if fit much better to simplis - why?</t>
  </si>
  <si>
    <t>Lbuck</t>
  </si>
  <si>
    <t>Lmin</t>
  </si>
  <si>
    <t>Lboost</t>
  </si>
  <si>
    <t>Lmax</t>
  </si>
  <si>
    <t>L_avg</t>
  </si>
  <si>
    <t>L_min</t>
  </si>
  <si>
    <t>Joerg's Calculation</t>
  </si>
  <si>
    <t>average of calculated inductances at VIN(min), VIN(max) and VIN(nom)</t>
  </si>
  <si>
    <t>Ifb</t>
  </si>
  <si>
    <t>Rfb2_max</t>
  </si>
  <si>
    <t>Max value for Rfb2</t>
  </si>
  <si>
    <r>
      <t>VIN</t>
    </r>
    <r>
      <rPr>
        <vertAlign val="subscript"/>
        <sz val="10"/>
        <rFont val="Arial"/>
        <family val="2"/>
      </rPr>
      <t>UVLO_OFF</t>
    </r>
  </si>
  <si>
    <t>Error Amp</t>
  </si>
  <si>
    <t>Step 6c: Current Monitor / Current Limiter</t>
  </si>
  <si>
    <t>Monitor</t>
  </si>
  <si>
    <r>
      <t>I</t>
    </r>
    <r>
      <rPr>
        <vertAlign val="subscript"/>
        <sz val="10"/>
        <rFont val="Arial"/>
        <family val="2"/>
      </rPr>
      <t>monitor,Max</t>
    </r>
  </si>
  <si>
    <t>Flag to show current sense is used</t>
  </si>
  <si>
    <t>g_m</t>
  </si>
  <si>
    <t>g_m of Current monitor amplifier</t>
  </si>
  <si>
    <t>Resistor to be connected to IMONOUT</t>
  </si>
  <si>
    <t>max Voltage at IMONOUT</t>
  </si>
  <si>
    <t>IMONLIM_select</t>
  </si>
  <si>
    <t>CFG Setting</t>
  </si>
  <si>
    <t>IMON_LIMIT: off</t>
  </si>
  <si>
    <t>IMON: on</t>
  </si>
  <si>
    <t>DRSS: off</t>
  </si>
  <si>
    <t>DRSS: on</t>
  </si>
  <si>
    <t>HICCUP: on</t>
  </si>
  <si>
    <t>HICCUP: off</t>
  </si>
  <si>
    <t>uSleep: off</t>
  </si>
  <si>
    <t>uSleep: on</t>
  </si>
  <si>
    <t>ILimit Amplifier</t>
  </si>
  <si>
    <t>Ilimit</t>
  </si>
  <si>
    <t>AIL</t>
  </si>
  <si>
    <t>IL zero, z1</t>
  </si>
  <si>
    <t>IL pole, p1</t>
  </si>
  <si>
    <t>IL pole, p2</t>
  </si>
  <si>
    <t>gm_IL</t>
  </si>
  <si>
    <t>GBW_IL</t>
  </si>
  <si>
    <t>Cbw_IL</t>
  </si>
  <si>
    <t>RoEA_IL</t>
  </si>
  <si>
    <t>ILIMIT: negative</t>
  </si>
  <si>
    <t>ILIMIT: positive</t>
  </si>
  <si>
    <t>Column14</t>
  </si>
  <si>
    <t>Column1</t>
  </si>
  <si>
    <t>Buck ''Control'' MOSFET Loss</t>
  </si>
  <si>
    <t>Buck ''SYNC'' MOSFET Loss</t>
  </si>
  <si>
    <t>'CONTROL'' MOSFET Temp Rise</t>
  </si>
  <si>
    <t>'SYNC'' MOSFET Temp Rise</t>
  </si>
  <si>
    <t>Device</t>
  </si>
  <si>
    <t>LM51772</t>
  </si>
  <si>
    <t>CFG1</t>
  </si>
  <si>
    <t>CFG2</t>
  </si>
  <si>
    <t>CFG3</t>
  </si>
  <si>
    <t>R_CFG2 [</t>
  </si>
  <si>
    <t>SYNC_IN_FALLING</t>
  </si>
  <si>
    <t>This cell give 1 for disable and 2 for enable</t>
  </si>
  <si>
    <t>Disabled</t>
  </si>
  <si>
    <t>n/a</t>
  </si>
  <si>
    <t>CFG4</t>
  </si>
  <si>
    <t>R_CFG3 [</t>
  </si>
  <si>
    <t>R_CFG4 [</t>
  </si>
  <si>
    <t>EN_VCC1</t>
  </si>
  <si>
    <t>INC_INDUCT_De-Rate</t>
  </si>
  <si>
    <t>SCP – Hiccup Mode</t>
  </si>
  <si>
    <t>Current Limit</t>
  </si>
  <si>
    <t>Calc Setting</t>
  </si>
  <si>
    <t>Slope Comp.</t>
  </si>
  <si>
    <t>Rslope select LM51772</t>
  </si>
  <si>
    <t>SEL_SLOPE</t>
  </si>
  <si>
    <t>Factor</t>
  </si>
  <si>
    <t>LM51772 Slope table</t>
  </si>
  <si>
    <t>Rslope calc LM51772</t>
  </si>
  <si>
    <t>Rslope setting for CFG1 in LM51772</t>
  </si>
  <si>
    <t>Rslope_equ_772</t>
  </si>
  <si>
    <t>Rslope</t>
  </si>
  <si>
    <t>:Loop Phase Margin (°)</t>
  </si>
  <si>
    <t>BODEPLOT_TYPE</t>
  </si>
  <si>
    <t xml:space="preserve">EXCEL Device Parameter </t>
  </si>
  <si>
    <t>Selected Value</t>
  </si>
  <si>
    <t>LM51771</t>
  </si>
  <si>
    <t>MaxVin</t>
  </si>
  <si>
    <t>MinVin</t>
  </si>
  <si>
    <t>MaxfSW</t>
  </si>
  <si>
    <t>Decoded IMON/Limiter</t>
  </si>
  <si>
    <r>
      <t>Maximum Voltage at V</t>
    </r>
    <r>
      <rPr>
        <vertAlign val="subscript"/>
        <sz val="10"/>
        <color theme="1"/>
        <rFont val="Arial"/>
        <family val="2"/>
      </rPr>
      <t>CDC</t>
    </r>
  </si>
  <si>
    <t>CDC Gain</t>
  </si>
  <si>
    <t>Lopt_Limit</t>
  </si>
  <si>
    <t>Peak Current Limit Margin</t>
  </si>
  <si>
    <t>Ipeak_inductor_Vinmin</t>
  </si>
  <si>
    <t>Ipeak_inductor_Vinnom</t>
  </si>
  <si>
    <t>Ipeak_inductor_Vinmax</t>
  </si>
  <si>
    <t>Ipeak_inductor_buckboost</t>
  </si>
  <si>
    <t>Ilimit_Margin</t>
  </si>
  <si>
    <t>gm_CDC</t>
  </si>
  <si>
    <t>CDC Transconductance</t>
  </si>
  <si>
    <t>I2C</t>
  </si>
  <si>
    <t>ADDR LSB: 0</t>
  </si>
  <si>
    <t>ADDR LSB: 1</t>
  </si>
  <si>
    <r>
      <t>CDC Resistance, R</t>
    </r>
    <r>
      <rPr>
        <vertAlign val="subscript"/>
        <sz val="10"/>
        <rFont val="Arial"/>
        <family val="2"/>
      </rPr>
      <t>CDC</t>
    </r>
  </si>
  <si>
    <t>1.0.1</t>
  </si>
  <si>
    <t>Calculated inductance for 40% ripple at VIN(max)</t>
  </si>
  <si>
    <t>Calculated inductance for 35% ripple at VIN(nom)</t>
  </si>
  <si>
    <t>Lmax(0.5d boost)</t>
  </si>
  <si>
    <t>Iinpeakmax</t>
  </si>
  <si>
    <t>Ltyp</t>
  </si>
  <si>
    <t>Lminheadroom</t>
  </si>
  <si>
    <t>LminSC</t>
  </si>
  <si>
    <r>
      <t>Peak Inductor Over-Current Limit, I</t>
    </r>
    <r>
      <rPr>
        <vertAlign val="subscript"/>
        <sz val="10"/>
        <color theme="1"/>
        <rFont val="Arial"/>
        <family val="2"/>
      </rPr>
      <t>LPK,Limit</t>
    </r>
  </si>
  <si>
    <r>
      <t>Max Peak Inductor Current, I</t>
    </r>
    <r>
      <rPr>
        <vertAlign val="subscript"/>
        <sz val="10"/>
        <color theme="1"/>
        <rFont val="Arial"/>
        <family val="2"/>
      </rPr>
      <t>LPk,Max</t>
    </r>
  </si>
  <si>
    <t>BUCK current limit - peak</t>
  </si>
  <si>
    <r>
      <rPr>
        <b/>
        <sz val="10"/>
        <rFont val="Arial"/>
        <family val="2"/>
      </rPr>
      <t>Peak</t>
    </r>
    <r>
      <rPr>
        <sz val="10"/>
        <rFont val="Arial"/>
        <family val="2"/>
      </rPr>
      <t xml:space="preserve"> inductor current limit in </t>
    </r>
    <r>
      <rPr>
        <b/>
        <sz val="10"/>
        <rFont val="Arial"/>
        <family val="2"/>
      </rPr>
      <t>BUCK</t>
    </r>
  </si>
  <si>
    <t>Rs_in_range</t>
  </si>
  <si>
    <t>Recommended SLOPE Factor</t>
  </si>
  <si>
    <t>Ipeak_inductor_max</t>
  </si>
  <si>
    <t>Ipeak_inductor_max_margin</t>
  </si>
  <si>
    <t>Max inductor of Boost and Buck</t>
  </si>
  <si>
    <t>with added margin</t>
  </si>
  <si>
    <t>Ltyp_sugguest</t>
  </si>
  <si>
    <t>Rsns_suggest</t>
  </si>
  <si>
    <t>Ltyp_sugguest_limit</t>
  </si>
  <si>
    <t>gm_monitor</t>
  </si>
  <si>
    <r>
      <t>Used Current Sense, R</t>
    </r>
    <r>
      <rPr>
        <vertAlign val="subscript"/>
        <sz val="10"/>
        <rFont val="Arial"/>
        <family val="2"/>
      </rPr>
      <t>ISNS(out/in)</t>
    </r>
  </si>
  <si>
    <r>
      <t>Recommended Current Sense, R</t>
    </r>
    <r>
      <rPr>
        <vertAlign val="subscript"/>
        <sz val="10"/>
        <rFont val="Arial"/>
        <family val="2"/>
      </rPr>
      <t>ISNS(out/in)</t>
    </r>
  </si>
  <si>
    <t>gm_IL_DAC</t>
  </si>
  <si>
    <t>CDC_Threshold</t>
  </si>
  <si>
    <t>IMON_Threshold</t>
  </si>
  <si>
    <t>ILIM_Threshold</t>
  </si>
  <si>
    <t>Ripple</t>
  </si>
  <si>
    <t>Ripple Ratio</t>
  </si>
  <si>
    <t>IL Peak,Peak</t>
  </si>
  <si>
    <t>IL Peak</t>
  </si>
  <si>
    <t>Reworked inductor selection, updated current monitor and limiter configuration</t>
  </si>
  <si>
    <t>updated input limit to 55V</t>
  </si>
  <si>
    <t>fixed error in efficency calculation - R for ISNS was not implemented right</t>
  </si>
  <si>
    <t>Irms BuCtrl</t>
  </si>
  <si>
    <r>
      <t>R</t>
    </r>
    <r>
      <rPr>
        <b/>
        <vertAlign val="subscript"/>
        <sz val="10"/>
        <rFont val="Arial"/>
        <family val="2"/>
      </rPr>
      <t>DS(on)</t>
    </r>
    <r>
      <rPr>
        <b/>
        <sz val="10"/>
        <rFont val="Arial"/>
        <family val="2"/>
      </rPr>
      <t xml:space="preserve"> Loss BuCtrl</t>
    </r>
  </si>
  <si>
    <t>Transition Loss BuCtrl</t>
  </si>
  <si>
    <t>Dead Time Loss BuCtrl</t>
  </si>
  <si>
    <t>Total Control Bu MOSFET Loss</t>
  </si>
  <si>
    <t>Irms BuSync</t>
  </si>
  <si>
    <t>RDS(on) Loss BuSync</t>
  </si>
  <si>
    <t>Deadtime Loss BuSync</t>
  </si>
  <si>
    <t>Total Sync Bu MOSFET Loss</t>
  </si>
  <si>
    <t>Irms BoSync</t>
  </si>
  <si>
    <t>RDS(on) Loss BoSync</t>
  </si>
  <si>
    <t>Deadtime Loss BoSync</t>
  </si>
  <si>
    <t>Total Sync Bo MOSFET Loss</t>
  </si>
  <si>
    <t>Total Control Bo MOSFET Loss</t>
  </si>
  <si>
    <t>Irms BoCtlr</t>
  </si>
  <si>
    <t>RDS(on) Loss BoCtlr</t>
  </si>
  <si>
    <t>Transition Loss BoCtlr</t>
  </si>
  <si>
    <t>Dead Time Loss BoCtlr</t>
  </si>
  <si>
    <t>Deadtime Loss ext D</t>
  </si>
  <si>
    <t>"SCH772_NO_RCS"</t>
  </si>
  <si>
    <t>"SCH772_RCS_LIM"</t>
  </si>
  <si>
    <t>"SCH772_RCS_LIM_DAC"</t>
  </si>
  <si>
    <t>Fixed labeling in efficiency graph</t>
  </si>
  <si>
    <t>Co2</t>
  </si>
  <si>
    <t>from Joergs calculation</t>
  </si>
  <si>
    <t>f_p</t>
  </si>
  <si>
    <t>f_bwilim</t>
  </si>
  <si>
    <t>C_limitcomp</t>
  </si>
  <si>
    <t>HZ</t>
  </si>
  <si>
    <t>0:off / 1: ILIM (ext) / 2: ILIM (DAC)</t>
  </si>
  <si>
    <t>RiLim</t>
  </si>
  <si>
    <t>V_ILIM</t>
  </si>
  <si>
    <t>used Shunt Resistor in Output Leg</t>
  </si>
  <si>
    <t>With_CDC</t>
  </si>
  <si>
    <t>Flag to show CDC is used</t>
  </si>
  <si>
    <t>"SCH772_NO_RCS_NO_CDC"</t>
  </si>
  <si>
    <t>"SCH772_RCS_LIM_NO_CDC"</t>
  </si>
  <si>
    <t>"SCH772_RCS_LIM_DAC_NO_CDC"</t>
  </si>
  <si>
    <t>Updated Current Limit and Monitor configuration</t>
  </si>
  <si>
    <t>Internal FB disabled</t>
  </si>
  <si>
    <t>CDC disabled</t>
  </si>
  <si>
    <t>CDC enabled</t>
  </si>
  <si>
    <t>Int. FB (SEL_DIV20 = 0)</t>
  </si>
  <si>
    <t>Int. FB (SEL_DIV20 = 1)</t>
  </si>
  <si>
    <t>1.1.0</t>
  </si>
  <si>
    <t>1.1.1</t>
  </si>
  <si>
    <t>Added internal FB divider configuration</t>
  </si>
  <si>
    <t>V_Ilimit</t>
  </si>
  <si>
    <t>C_ILimit_HF</t>
  </si>
  <si>
    <t>.</t>
  </si>
  <si>
    <t>C_ILimit_HF_STD</t>
  </si>
  <si>
    <t>C_limitcomp_STD</t>
  </si>
  <si>
    <t>updated calculation for ILIM with DAC and ISET</t>
  </si>
  <si>
    <t>1.1.2</t>
  </si>
  <si>
    <r>
      <t>R</t>
    </r>
    <r>
      <rPr>
        <b/>
        <vertAlign val="subscript"/>
        <sz val="10"/>
        <rFont val="Arial"/>
        <family val="2"/>
      </rPr>
      <t>COMP</t>
    </r>
  </si>
  <si>
    <r>
      <t>C</t>
    </r>
    <r>
      <rPr>
        <b/>
        <vertAlign val="subscript"/>
        <sz val="10"/>
        <rFont val="Arial"/>
        <family val="2"/>
      </rPr>
      <t>COMP</t>
    </r>
  </si>
  <si>
    <r>
      <t>C</t>
    </r>
    <r>
      <rPr>
        <b/>
        <vertAlign val="subscript"/>
        <sz val="10"/>
        <rFont val="Arial"/>
        <family val="2"/>
      </rPr>
      <t>HF</t>
    </r>
  </si>
  <si>
    <t>Fixed calculation of Softstart time</t>
  </si>
  <si>
    <t>Fixed resistor value for R(CFG) setting 3</t>
  </si>
  <si>
    <t>Adjusted Rt calculation formula</t>
  </si>
  <si>
    <r>
      <t>Recommended R</t>
    </r>
    <r>
      <rPr>
        <vertAlign val="subscript"/>
        <sz val="10"/>
        <rFont val="Arial"/>
        <family val="2"/>
      </rPr>
      <t>DIFF</t>
    </r>
    <r>
      <rPr>
        <sz val="10"/>
        <rFont val="Arial"/>
        <family val="2"/>
      </rPr>
      <t xml:space="preserve"> for Current Sense Filter</t>
    </r>
  </si>
  <si>
    <r>
      <t>Recommended C</t>
    </r>
    <r>
      <rPr>
        <vertAlign val="subscript"/>
        <sz val="10"/>
        <rFont val="Arial"/>
        <family val="2"/>
      </rPr>
      <t>DIFF</t>
    </r>
    <r>
      <rPr>
        <sz val="10"/>
        <rFont val="Arial"/>
        <family val="2"/>
      </rPr>
      <t xml:space="preserve"> for Current Sense Filter</t>
    </r>
  </si>
  <si>
    <t>t_on_min_Boost</t>
  </si>
  <si>
    <t>R_CS</t>
  </si>
  <si>
    <t>C_CS</t>
  </si>
  <si>
    <t>Added Filter for CSA/CSB</t>
  </si>
  <si>
    <t>fixed issue when selecting internal FB</t>
  </si>
  <si>
    <t>Freq[Mhz]</t>
  </si>
  <si>
    <t>Minimum off-time  Boost[ns]</t>
  </si>
  <si>
    <t>C_CS_ideal</t>
  </si>
  <si>
    <t>C_cs</t>
  </si>
  <si>
    <t>1:LM5177 / 2:LM51772</t>
  </si>
  <si>
    <t>Transition</t>
  </si>
  <si>
    <t>BuckBoost</t>
  </si>
  <si>
    <t>iripple,avg_L</t>
  </si>
  <si>
    <t>di = du/L * dt</t>
  </si>
  <si>
    <t>avg = 1/T * (I1 * dt1 + …</t>
  </si>
  <si>
    <t>Fsw [kHz]</t>
  </si>
  <si>
    <t>Buck -&gt; BuBo</t>
  </si>
  <si>
    <t>IL [A]</t>
  </si>
  <si>
    <t>BuBo -&gt; Buck</t>
  </si>
  <si>
    <t>Boost -&gt; BuBo</t>
  </si>
  <si>
    <t>Vout [V]</t>
  </si>
  <si>
    <t>BuBo -&gt; Boost</t>
  </si>
  <si>
    <t>iavg</t>
  </si>
  <si>
    <t>dI1</t>
  </si>
  <si>
    <t>dI2</t>
  </si>
  <si>
    <t>eff</t>
  </si>
  <si>
    <t>Timings [ns]</t>
  </si>
  <si>
    <t>Phase II (Q1-Q4)</t>
  </si>
  <si>
    <t>Phase I (Q1-Q3)</t>
  </si>
  <si>
    <t>Phase III (Q2-Q4)</t>
  </si>
  <si>
    <t>dI3</t>
  </si>
  <si>
    <t>Abs currents at</t>
  </si>
  <si>
    <t>BuBo center</t>
  </si>
  <si>
    <t>Simplis Align factor</t>
  </si>
  <si>
    <t>I_0</t>
  </si>
  <si>
    <t>default 0.5</t>
  </si>
  <si>
    <t>I_1</t>
  </si>
  <si>
    <t>I_2</t>
  </si>
  <si>
    <t>Duty cycles [%]</t>
  </si>
  <si>
    <t>Timings</t>
  </si>
  <si>
    <t>I_PP</t>
  </si>
  <si>
    <t>t1 - Ph. II</t>
  </si>
  <si>
    <t>t2 - Ph. I</t>
  </si>
  <si>
    <t>i_rms</t>
  </si>
  <si>
    <t>t3 - Ph. III</t>
  </si>
  <si>
    <t>t period</t>
  </si>
  <si>
    <t>Simplis</t>
  </si>
  <si>
    <t>Boost</t>
  </si>
  <si>
    <t>Ref - Calc</t>
  </si>
  <si>
    <t>Vin &lt; vout</t>
  </si>
  <si>
    <t>t[ns]</t>
  </si>
  <si>
    <t>Delta t [ns]</t>
  </si>
  <si>
    <t>t0</t>
  </si>
  <si>
    <t>I start</t>
  </si>
  <si>
    <t>Delta</t>
  </si>
  <si>
    <t>Ph. II</t>
  </si>
  <si>
    <t>Ph. I</t>
  </si>
  <si>
    <t>Ph. III</t>
  </si>
  <si>
    <t>Buck</t>
  </si>
  <si>
    <t>EVM</t>
  </si>
  <si>
    <t>XGL1060-332MEC</t>
  </si>
  <si>
    <t>T period</t>
  </si>
  <si>
    <t>Volt second balance</t>
  </si>
  <si>
    <t>U = L dI/dt</t>
  </si>
  <si>
    <t>V dt = L dI</t>
  </si>
  <si>
    <t>(Ui - Uo)* t1 + Ui * t2 - Uo * t3 = 0</t>
  </si>
  <si>
    <t>math</t>
  </si>
  <si>
    <t>t3 = T -t1 -t2</t>
  </si>
  <si>
    <t>(Ui - Uo)* t1 + Ui * t2 - Uo * (T -t1 -t2) = 0</t>
  </si>
  <si>
    <t>(Ui - Uo)*t1 -Uo*T+Uo*t1 +Uo*t2 + Ui * t2 = 0</t>
  </si>
  <si>
    <t>(Ui *t1 + (Uo + Ui) * t2 -Uo*T = 0</t>
  </si>
  <si>
    <t>(Ui *t1 + (Uo + ui) * t2 -Uo*T = 0</t>
  </si>
  <si>
    <t>t2 = (Uo*T - Ui*t1)/(Ui+Uo)</t>
  </si>
  <si>
    <t>rms = sqrt(1/T * t1 (i0 * i1 + (i1-i0)^2/3)</t>
  </si>
  <si>
    <t>rms = sqrt(1/T *   ( t1 * (i0 * i1 + ((i1-i0)^2)/3) +  t2 * (i1 * i2 + ((i2-i1)^2)/3)   +   t2 *  (i2 * i0 + ((i0-i2)^2)/3) ) )</t>
  </si>
  <si>
    <t>iripple,avg_L_out_path</t>
  </si>
  <si>
    <t>iripple,avg_L_in_path</t>
  </si>
  <si>
    <t>0: PSM  1: FPWM 2: ACM</t>
  </si>
  <si>
    <t>t1_Ph_II</t>
  </si>
  <si>
    <t>t2_Ph_I</t>
  </si>
  <si>
    <t>t3_Ph_III</t>
  </si>
  <si>
    <t>Boost ''Control'' MOSFET Loss</t>
  </si>
  <si>
    <t>Boost ''SYNC'' MOSFET Loss</t>
  </si>
  <si>
    <r>
      <t>Inductance at max Current, L</t>
    </r>
    <r>
      <rPr>
        <b/>
        <vertAlign val="subscript"/>
        <sz val="10"/>
        <color theme="1"/>
        <rFont val="Arial"/>
        <family val="2"/>
      </rPr>
      <t>F,eff</t>
    </r>
    <r>
      <rPr>
        <b/>
        <sz val="10"/>
        <color theme="1"/>
        <rFont val="Arial"/>
        <family val="2"/>
      </rPr>
      <t xml:space="preserve"> </t>
    </r>
  </si>
  <si>
    <t>Recommended Inductor De-Rating</t>
  </si>
  <si>
    <t>Updated description of Inductor Derate</t>
  </si>
  <si>
    <t>Added MOSFET details to efficiency plots</t>
  </si>
  <si>
    <t>RcIL</t>
  </si>
  <si>
    <t>Cc2IL</t>
  </si>
  <si>
    <t>Cc1IL</t>
  </si>
  <si>
    <t>IL_CompMode</t>
  </si>
  <si>
    <t>1: C only</t>
  </si>
  <si>
    <t>Adc [dB]</t>
  </si>
  <si>
    <t>ADC</t>
  </si>
  <si>
    <t>Complex</t>
  </si>
  <si>
    <t>ADC_EA</t>
  </si>
  <si>
    <t>Divider Network &amp; IL Poles/Zeros</t>
  </si>
  <si>
    <t>ADC_IL</t>
  </si>
  <si>
    <t>Iload</t>
  </si>
  <si>
    <t>Co1</t>
  </si>
  <si>
    <t>Co1_esr</t>
  </si>
  <si>
    <t>CO2_esr</t>
  </si>
  <si>
    <t>Duty</t>
  </si>
  <si>
    <t>Current limit with DAC</t>
  </si>
  <si>
    <t>L_dcr</t>
  </si>
  <si>
    <t>Zout</t>
  </si>
  <si>
    <t>ZCo1</t>
  </si>
  <si>
    <t>ZCo2</t>
  </si>
  <si>
    <t>Zout_sns</t>
  </si>
  <si>
    <t>Rsns</t>
  </si>
  <si>
    <t>Zout_all</t>
  </si>
  <si>
    <t>Rload</t>
  </si>
  <si>
    <t>IL ERROR AMP Response</t>
  </si>
  <si>
    <t>G_vc_isns</t>
  </si>
  <si>
    <t>G_d_il</t>
  </si>
  <si>
    <t>G_d_isns</t>
  </si>
  <si>
    <t>G_d_vo</t>
  </si>
  <si>
    <t>ZL</t>
  </si>
  <si>
    <t>G_d_mid</t>
  </si>
  <si>
    <t>G_vc_Il</t>
  </si>
  <si>
    <t>G_vc_vo</t>
  </si>
  <si>
    <t>He</t>
  </si>
  <si>
    <t>Vse</t>
  </si>
  <si>
    <t>Fm</t>
  </si>
  <si>
    <t>i_sns_gain</t>
  </si>
  <si>
    <t>Gm_csa</t>
  </si>
  <si>
    <t>r_v2i_ipeak</t>
  </si>
  <si>
    <t>G_d_iout</t>
  </si>
  <si>
    <t>Ilimit DAC</t>
  </si>
  <si>
    <t>Limit iSet</t>
  </si>
  <si>
    <r>
      <t>IMONOUT Filter , C</t>
    </r>
    <r>
      <rPr>
        <vertAlign val="subscript"/>
        <sz val="10"/>
        <rFont val="Arial"/>
        <family val="2"/>
      </rPr>
      <t>ISET</t>
    </r>
  </si>
  <si>
    <r>
      <t>IMONOUT Filter , R</t>
    </r>
    <r>
      <rPr>
        <vertAlign val="subscript"/>
        <sz val="10"/>
        <rFont val="Arial"/>
        <family val="2"/>
      </rPr>
      <t>ISET</t>
    </r>
  </si>
  <si>
    <r>
      <t>R</t>
    </r>
    <r>
      <rPr>
        <b/>
        <vertAlign val="subscript"/>
        <sz val="10"/>
        <rFont val="Arial"/>
        <family val="2"/>
      </rPr>
      <t>IL,COMP</t>
    </r>
  </si>
  <si>
    <r>
      <t>C</t>
    </r>
    <r>
      <rPr>
        <b/>
        <vertAlign val="subscript"/>
        <sz val="10"/>
        <rFont val="Arial"/>
        <family val="2"/>
      </rPr>
      <t>IL,COMP</t>
    </r>
  </si>
  <si>
    <r>
      <t>C</t>
    </r>
    <r>
      <rPr>
        <b/>
        <vertAlign val="subscript"/>
        <sz val="10"/>
        <rFont val="Arial"/>
        <family val="2"/>
      </rPr>
      <t>IL,HF</t>
    </r>
  </si>
  <si>
    <t>Approach:</t>
  </si>
  <si>
    <t>Cc1il</t>
  </si>
  <si>
    <t>Cc2il</t>
  </si>
  <si>
    <t>Rc1il</t>
  </si>
  <si>
    <t>calc</t>
  </si>
  <si>
    <t>STD value</t>
  </si>
  <si>
    <t>ILIMIT: iSET</t>
  </si>
  <si>
    <t>ILIMIT: ILIM_DAC</t>
  </si>
  <si>
    <t>Ilimit DAC Filter , CcIL</t>
  </si>
  <si>
    <t>Neg. Current Limit</t>
  </si>
  <si>
    <t>Current Monitor via CDC</t>
  </si>
  <si>
    <t>Added Bode plot for current limit</t>
  </si>
  <si>
    <t>Step 7.2: Current Limiter Compensation Design</t>
  </si>
  <si>
    <t>Step 7.1: Compensation Components</t>
  </si>
  <si>
    <t>"SCH772_RCS_LIM_DAC+_NO_CDC"</t>
  </si>
  <si>
    <t>"SCH772_RCS_LIM_DAC+"</t>
  </si>
  <si>
    <t>fc,IL= 1/5 * Fbw,VoltageLoop</t>
  </si>
  <si>
    <t>Fp,IL = Fz_ea</t>
  </si>
  <si>
    <t>Fz,IL:  1 Decade under Fload</t>
  </si>
  <si>
    <r>
      <t>C</t>
    </r>
    <r>
      <rPr>
        <vertAlign val="subscript"/>
        <sz val="10"/>
        <rFont val="Arial"/>
        <family val="2"/>
      </rPr>
      <t>OUT2</t>
    </r>
    <r>
      <rPr>
        <sz val="10"/>
        <rFont val="Arial"/>
        <family val="2"/>
      </rPr>
      <t xml:space="preserve"> Output Capacitance </t>
    </r>
  </si>
  <si>
    <t>ILIMIT: ILIM_DAC (RC-Filter)</t>
  </si>
  <si>
    <t>Cout2</t>
  </si>
  <si>
    <t xml:space="preserve">updated limits for peak current limit threshold </t>
  </si>
  <si>
    <t>1.1.3</t>
  </si>
  <si>
    <t>Added Inductor De-Rate and updated Comment for Inductor to use derated Inductance</t>
  </si>
  <si>
    <t>Fixed R_CFG4 value when selecting iSet</t>
  </si>
  <si>
    <t>useI2C</t>
  </si>
  <si>
    <t>Added note to set config via corresponding registers via when I2C is enabled</t>
  </si>
  <si>
    <r>
      <t>R</t>
    </r>
    <r>
      <rPr>
        <vertAlign val="subscript"/>
        <sz val="10"/>
        <rFont val="Arial"/>
        <family val="2"/>
      </rPr>
      <t>UV1</t>
    </r>
    <r>
      <rPr>
        <sz val="10"/>
        <rFont val="Arial"/>
        <family val="2"/>
      </rPr>
      <t>_STD</t>
    </r>
  </si>
  <si>
    <r>
      <t>R</t>
    </r>
    <r>
      <rPr>
        <vertAlign val="subscript"/>
        <sz val="10"/>
        <rFont val="Arial"/>
        <family val="2"/>
      </rPr>
      <t>UV2</t>
    </r>
    <r>
      <rPr>
        <sz val="10"/>
        <rFont val="Arial"/>
        <family val="2"/>
      </rPr>
      <t>_STD</t>
    </r>
  </si>
  <si>
    <t>ISZ034N06LM5ATMA1</t>
  </si>
  <si>
    <t>Reverse Recovery Loss MOSFET D BUCK</t>
  </si>
  <si>
    <t>Reverse Recovery Loss MOSFET D BOOST</t>
  </si>
  <si>
    <t>Improved calculation of Desired Crossover Frequency</t>
  </si>
  <si>
    <t>Suggested Crossover Frequency</t>
  </si>
  <si>
    <t>Error Amp Pole Frequency</t>
  </si>
  <si>
    <t>Fixed Bit naming of CFG3 (uSleep replaced by EN_CONST_TDEAD)</t>
  </si>
  <si>
    <r>
      <t>Lower Feedback Resistor, R</t>
    </r>
    <r>
      <rPr>
        <b/>
        <vertAlign val="subscript"/>
        <sz val="10"/>
        <rFont val="Arial"/>
        <family val="2"/>
      </rPr>
      <t>FBB</t>
    </r>
    <r>
      <rPr>
        <b/>
        <sz val="10"/>
        <rFont val="Arial"/>
        <family val="2"/>
      </rPr>
      <t xml:space="preserve"> </t>
    </r>
  </si>
  <si>
    <r>
      <t>FB Resisitor (calc R</t>
    </r>
    <r>
      <rPr>
        <b/>
        <vertAlign val="subscript"/>
        <sz val="12"/>
        <color rgb="FF0000FF"/>
        <rFont val="Arial"/>
        <family val="2"/>
      </rPr>
      <t>FBT</t>
    </r>
    <r>
      <rPr>
        <b/>
        <sz val="12"/>
        <color indexed="12"/>
        <rFont val="Arial"/>
        <family val="2"/>
      </rPr>
      <t>)</t>
    </r>
  </si>
  <si>
    <t>Mode Transitions</t>
  </si>
  <si>
    <t>deadtime linear approx</t>
  </si>
  <si>
    <t>m</t>
  </si>
  <si>
    <t>t</t>
  </si>
  <si>
    <t>updated deadtime dependency with fsw</t>
  </si>
  <si>
    <t>added support for LM51772-Q1</t>
  </si>
  <si>
    <t>1.2.0</t>
  </si>
  <si>
    <t>CONST_TDEAD</t>
  </si>
  <si>
    <t>PCM_HYST</t>
  </si>
  <si>
    <t>VDET</t>
  </si>
  <si>
    <t>SYNC_OUT</t>
  </si>
  <si>
    <t>LM51772-Q1</t>
  </si>
  <si>
    <t>Scale_DT</t>
  </si>
  <si>
    <t>Const_DT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</si>
</sst>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43" formatCode="_(* #,##0.00_);_(* \(#,##0.00\);_(* &quot;-&quot;??_);_(@_)"/>
    <numFmt numFmtId="164" formatCode="_-* #,##0.00\ _€_-;\-* #,##0.00\ _€_-;_-* &quot;-&quot;??\ _€_-;_-@_-"/>
    <numFmt numFmtId="165" formatCode="0.000000"/>
    <numFmt numFmtId="166" formatCode="0.00000"/>
    <numFmt numFmtId="167" formatCode="0.0000"/>
    <numFmt numFmtId="168" formatCode="0.000"/>
    <numFmt numFmtId="169" formatCode="0.0"/>
    <numFmt numFmtId="170" formatCode="0.000E+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p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E+00"/>
    <numFmt numFmtId="186" formatCode="0.0%"/>
    <numFmt numFmtId="187" formatCode="0.0E+00"/>
    <numFmt numFmtId="188" formatCode="&quot;MOSFET, N-CH, 60V, &quot;General&quot;mΩ&quot;"/>
    <numFmt numFmtId="189" formatCode="General&quot;m&quot;"/>
    <numFmt numFmtId="190" formatCode="&quot;Capacitor, Ceramic, &quot;General&quot;-µF, 50V, X7R, 20%&quot;"/>
    <numFmt numFmtId="191" formatCode="&quot;Capacitor, Ceramic, &quot;General&quot;-µF, 100V, X7R, 20%&quot;"/>
    <numFmt numFmtId="192" formatCode="&quot;Resistor, Chip, &quot;General&quot;-mΩ, 2W, 1%&quot;"/>
    <numFmt numFmtId="193" formatCode="##0.00E+0"/>
  </numFmts>
  <fonts count="1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vertAlign val="superscript"/>
      <sz val="10"/>
      <name val="Arial"/>
      <family val="2"/>
    </font>
    <font>
      <vertAlign val="subscript"/>
      <sz val="10"/>
      <color theme="1"/>
      <name val="Arial"/>
      <family val="2"/>
    </font>
    <font>
      <u/>
      <sz val="9"/>
      <color indexed="81"/>
      <name val="Tahoma"/>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b/>
      <i/>
      <u/>
      <sz val="10"/>
      <color rgb="FF0000FF"/>
      <name val="Arial"/>
      <family val="2"/>
    </font>
    <font>
      <sz val="10"/>
      <color theme="0"/>
      <name val="Arial"/>
      <family val="2"/>
    </font>
    <font>
      <u/>
      <sz val="10"/>
      <color theme="0" tint="-0.499984740745262"/>
      <name val="Arial"/>
      <family val="2"/>
    </font>
    <font>
      <b/>
      <sz val="12"/>
      <color indexed="10"/>
      <name val="Tahoma"/>
      <family val="2"/>
    </font>
    <font>
      <b/>
      <sz val="10"/>
      <color rgb="FFFF00FF"/>
      <name val="Arial"/>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sz val="11"/>
      <color theme="1"/>
      <name val="Arial"/>
      <family val="2"/>
    </font>
    <font>
      <u/>
      <sz val="11"/>
      <color theme="10"/>
      <name val="Calibri"/>
      <family val="2"/>
      <scheme val="minor"/>
    </font>
    <font>
      <b/>
      <u/>
      <sz val="10"/>
      <color theme="10"/>
      <name val="Arial"/>
      <family val="2"/>
    </font>
    <font>
      <b/>
      <sz val="10"/>
      <color theme="0"/>
      <name val="Arial"/>
      <family val="2"/>
    </font>
    <font>
      <b/>
      <u/>
      <sz val="11"/>
      <color theme="10"/>
      <name val="Arial"/>
      <family val="2"/>
    </font>
    <font>
      <vertAlign val="subscript"/>
      <sz val="8"/>
      <color indexed="81"/>
      <name val="Tahoma"/>
      <family val="2"/>
    </font>
    <font>
      <u/>
      <sz val="10"/>
      <color theme="0"/>
      <name val="Arial"/>
      <family val="2"/>
    </font>
    <font>
      <b/>
      <sz val="22"/>
      <color theme="0"/>
      <name val="Calibri"/>
      <family val="2"/>
    </font>
    <font>
      <sz val="11"/>
      <color rgb="FF006100"/>
      <name val="Calibri"/>
      <family val="2"/>
      <scheme val="minor"/>
    </font>
    <font>
      <sz val="11"/>
      <color rgb="FF3F3F76"/>
      <name val="Calibri"/>
      <family val="2"/>
      <scheme val="minor"/>
    </font>
    <font>
      <b/>
      <sz val="11"/>
      <color rgb="FF3F3F3F"/>
      <name val="Calibri"/>
      <family val="2"/>
      <scheme val="minor"/>
    </font>
    <font>
      <sz val="8"/>
      <color rgb="FF000000"/>
      <name val="Segoe UI"/>
      <family val="2"/>
    </font>
    <font>
      <sz val="10"/>
      <color theme="1"/>
      <name val="Calibri"/>
      <family val="2"/>
      <scheme val="minor"/>
    </font>
    <font>
      <sz val="10"/>
      <color indexed="9"/>
      <name val="Arial"/>
      <family val="2"/>
    </font>
    <font>
      <sz val="10"/>
      <name val="Arial"/>
      <family val="2"/>
    </font>
    <font>
      <b/>
      <sz val="12"/>
      <name val="Arial"/>
      <family val="2"/>
    </font>
    <font>
      <sz val="11"/>
      <color rgb="FF9C5700"/>
      <name val="Calibri"/>
      <family val="2"/>
      <scheme val="minor"/>
    </font>
    <font>
      <b/>
      <sz val="11"/>
      <color rgb="FFFA7D00"/>
      <name val="Calibri"/>
      <family val="2"/>
      <scheme val="minor"/>
    </font>
    <font>
      <sz val="11"/>
      <name val="Calibri"/>
      <family val="2"/>
      <scheme val="minor"/>
    </font>
    <font>
      <b/>
      <sz val="11"/>
      <color rgb="FF3F3F76"/>
      <name val="Calibri"/>
      <family val="2"/>
      <scheme val="minor"/>
    </font>
    <font>
      <b/>
      <sz val="11"/>
      <name val="Calibri"/>
      <family val="2"/>
      <scheme val="minor"/>
    </font>
    <font>
      <b/>
      <sz val="10"/>
      <color theme="0"/>
      <name val="Calibri"/>
      <family val="2"/>
    </font>
    <font>
      <b/>
      <u/>
      <vertAlign val="subscript"/>
      <sz val="9"/>
      <color indexed="81"/>
      <name val="Tahoma"/>
      <family val="2"/>
    </font>
    <font>
      <b/>
      <vertAlign val="subscript"/>
      <sz val="12"/>
      <color rgb="FF0000FF"/>
      <name val="Arial"/>
      <family val="2"/>
    </font>
  </fonts>
  <fills count="35">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92D050"/>
        <bgColor indexed="64"/>
      </patternFill>
    </fill>
    <fill>
      <patternFill patternType="solid">
        <fgColor rgb="FFDE0000"/>
        <bgColor indexed="64"/>
      </patternFill>
    </fill>
    <fill>
      <patternFill patternType="solid">
        <fgColor rgb="FFC6EFCE"/>
      </patternFill>
    </fill>
    <fill>
      <patternFill patternType="solid">
        <fgColor rgb="FFFFC000"/>
        <bgColor indexed="64"/>
      </patternFill>
    </fill>
    <fill>
      <patternFill patternType="solid">
        <fgColor rgb="FFFFCC99"/>
      </patternFill>
    </fill>
    <fill>
      <patternFill patternType="solid">
        <fgColor rgb="FFF2F2F2"/>
      </patternFill>
    </fill>
    <fill>
      <patternFill patternType="solid">
        <fgColor rgb="FFFFEB9C"/>
      </patternFill>
    </fill>
  </fills>
  <borders count="8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hair">
        <color auto="1"/>
      </left>
      <right style="hair">
        <color auto="1"/>
      </right>
      <top style="hair">
        <color auto="1"/>
      </top>
      <bottom style="hair">
        <color auto="1"/>
      </bottom>
      <diagonal/>
    </border>
    <border>
      <left style="medium">
        <color auto="1"/>
      </left>
      <right/>
      <top/>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thin">
        <color indexed="64"/>
      </bottom>
      <diagonal/>
    </border>
  </borders>
  <cellStyleXfs count="25">
    <xf numFmtId="0" fontId="0" fillId="0" borderId="0"/>
    <xf numFmtId="43" fontId="7" fillId="0" borderId="0" applyFont="0" applyFill="0" applyBorder="0" applyAlignment="0" applyProtection="0"/>
    <xf numFmtId="0" fontId="15" fillId="0" borderId="0" applyNumberFormat="0" applyFill="0" applyBorder="0" applyAlignment="0" applyProtection="0">
      <alignment vertical="top"/>
      <protection locked="0"/>
    </xf>
    <xf numFmtId="0" fontId="7" fillId="0" borderId="0"/>
    <xf numFmtId="0" fontId="6" fillId="0" borderId="0"/>
    <xf numFmtId="43" fontId="6" fillId="0" borderId="0" applyFont="0" applyFill="0" applyBorder="0" applyAlignment="0" applyProtection="0"/>
    <xf numFmtId="0" fontId="5" fillId="0" borderId="0"/>
    <xf numFmtId="0" fontId="95" fillId="0" borderId="0" applyNumberFormat="0" applyFill="0" applyBorder="0" applyAlignment="0" applyProtection="0"/>
    <xf numFmtId="0" fontId="4" fillId="0" borderId="0"/>
    <xf numFmtId="0" fontId="102" fillId="30" borderId="0" applyNumberFormat="0" applyBorder="0" applyAlignment="0" applyProtection="0"/>
    <xf numFmtId="0" fontId="103" fillId="32" borderId="79" applyNumberFormat="0" applyAlignment="0" applyProtection="0"/>
    <xf numFmtId="0" fontId="104" fillId="33" borderId="80" applyNumberFormat="0" applyAlignment="0" applyProtection="0"/>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2" fillId="0" borderId="0"/>
    <xf numFmtId="164" fontId="2" fillId="0" borderId="0" applyFont="0" applyFill="0" applyBorder="0" applyAlignment="0" applyProtection="0"/>
    <xf numFmtId="0" fontId="2" fillId="0" borderId="0"/>
    <xf numFmtId="0" fontId="2" fillId="0" borderId="0"/>
    <xf numFmtId="9" fontId="108" fillId="0" borderId="0" applyFont="0" applyFill="0" applyBorder="0" applyAlignment="0" applyProtection="0"/>
    <xf numFmtId="0" fontId="110" fillId="34" borderId="0" applyNumberFormat="0" applyBorder="0" applyAlignment="0" applyProtection="0"/>
    <xf numFmtId="0" fontId="111" fillId="33" borderId="79" applyNumberFormat="0" applyAlignment="0" applyProtection="0"/>
    <xf numFmtId="0" fontId="1" fillId="0" borderId="0"/>
  </cellStyleXfs>
  <cellXfs count="934">
    <xf numFmtId="0" fontId="0" fillId="0" borderId="0" xfId="0"/>
    <xf numFmtId="0" fontId="12" fillId="0" borderId="0" xfId="0" applyFont="1"/>
    <xf numFmtId="0" fontId="8" fillId="0" borderId="0" xfId="0" applyFont="1"/>
    <xf numFmtId="0" fontId="13" fillId="0" borderId="0" xfId="0" applyFont="1"/>
    <xf numFmtId="2" fontId="0" fillId="0" borderId="0" xfId="0" applyNumberFormat="1"/>
    <xf numFmtId="0" fontId="0" fillId="2" borderId="0" xfId="0" applyFill="1"/>
    <xf numFmtId="0" fontId="0" fillId="3" borderId="0" xfId="0" applyFill="1"/>
    <xf numFmtId="0" fontId="8" fillId="2" borderId="0" xfId="0" applyFont="1" applyFill="1"/>
    <xf numFmtId="170" fontId="0" fillId="0" borderId="0" xfId="0" applyNumberFormat="1"/>
    <xf numFmtId="10" fontId="0" fillId="0" borderId="0" xfId="0" applyNumberFormat="1"/>
    <xf numFmtId="0" fontId="19" fillId="3" borderId="0" xfId="0" applyFont="1" applyFill="1" applyAlignment="1">
      <alignment horizontal="right"/>
    </xf>
    <xf numFmtId="0" fontId="19" fillId="3" borderId="0" xfId="0" applyFont="1" applyFill="1"/>
    <xf numFmtId="0" fontId="0" fillId="4" borderId="2" xfId="0" applyFill="1" applyBorder="1"/>
    <xf numFmtId="0" fontId="21" fillId="3" borderId="4" xfId="0" applyFont="1" applyFill="1" applyBorder="1"/>
    <xf numFmtId="0" fontId="8" fillId="5" borderId="8" xfId="0" applyFont="1" applyFill="1" applyBorder="1"/>
    <xf numFmtId="0" fontId="8" fillId="5" borderId="9" xfId="0" applyFont="1" applyFill="1" applyBorder="1"/>
    <xf numFmtId="0" fontId="8" fillId="5" borderId="10" xfId="0" applyFont="1" applyFill="1" applyBorder="1"/>
    <xf numFmtId="0" fontId="8" fillId="5" borderId="11" xfId="0" applyFont="1" applyFill="1" applyBorder="1"/>
    <xf numFmtId="0" fontId="13"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8" fillId="5" borderId="0" xfId="0" applyFont="1" applyFill="1"/>
    <xf numFmtId="0" fontId="0" fillId="6" borderId="0" xfId="0" applyFill="1"/>
    <xf numFmtId="0" fontId="0" fillId="0" borderId="13" xfId="0" applyBorder="1"/>
    <xf numFmtId="0" fontId="13" fillId="2" borderId="0" xfId="0" applyFont="1" applyFill="1"/>
    <xf numFmtId="0" fontId="0" fillId="6" borderId="13" xfId="0" applyFill="1" applyBorder="1"/>
    <xf numFmtId="0" fontId="0" fillId="4" borderId="0" xfId="0" applyFill="1"/>
    <xf numFmtId="11" fontId="0" fillId="0" borderId="0" xfId="0" applyNumberFormat="1"/>
    <xf numFmtId="0" fontId="17" fillId="3" borderId="0" xfId="0" applyFont="1" applyFill="1"/>
    <xf numFmtId="0" fontId="0" fillId="4" borderId="12" xfId="0" applyFill="1" applyBorder="1"/>
    <xf numFmtId="0" fontId="0" fillId="4" borderId="14" xfId="0" applyFill="1" applyBorder="1"/>
    <xf numFmtId="0" fontId="8" fillId="4" borderId="11" xfId="0" applyFont="1" applyFill="1" applyBorder="1"/>
    <xf numFmtId="0" fontId="0" fillId="6" borderId="8" xfId="0" applyFill="1" applyBorder="1"/>
    <xf numFmtId="0" fontId="0" fillId="4" borderId="8" xfId="0" applyFill="1" applyBorder="1"/>
    <xf numFmtId="0" fontId="8"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20" fillId="0" borderId="0" xfId="0" applyFont="1"/>
    <xf numFmtId="0" fontId="0" fillId="10" borderId="0" xfId="0" applyFill="1"/>
    <xf numFmtId="0" fontId="0" fillId="0" borderId="0" xfId="0" applyAlignment="1">
      <alignment horizontal="right"/>
    </xf>
    <xf numFmtId="0" fontId="22" fillId="0" borderId="0" xfId="0" applyFont="1"/>
    <xf numFmtId="11" fontId="12" fillId="0" borderId="0" xfId="0" applyNumberFormat="1" applyFont="1"/>
    <xf numFmtId="0" fontId="0" fillId="11" borderId="0" xfId="0" applyFill="1"/>
    <xf numFmtId="169" fontId="0" fillId="0" borderId="0" xfId="0" applyNumberFormat="1"/>
    <xf numFmtId="0" fontId="8" fillId="0" borderId="0" xfId="0" applyFont="1" applyAlignment="1">
      <alignment horizontal="center"/>
    </xf>
    <xf numFmtId="0" fontId="8" fillId="4" borderId="0" xfId="0" applyFont="1" applyFill="1" applyAlignment="1">
      <alignment horizontal="center"/>
    </xf>
    <xf numFmtId="0" fontId="8" fillId="12" borderId="0" xfId="0" applyFont="1" applyFill="1" applyAlignment="1">
      <alignment horizontal="center"/>
    </xf>
    <xf numFmtId="0" fontId="8" fillId="13" borderId="0" xfId="0" applyFont="1" applyFill="1" applyAlignment="1">
      <alignment horizontal="center"/>
    </xf>
    <xf numFmtId="166" fontId="0" fillId="0" borderId="0" xfId="0" applyNumberFormat="1"/>
    <xf numFmtId="171" fontId="22" fillId="3" borderId="0" xfId="0" applyNumberFormat="1" applyFont="1" applyFill="1" applyAlignment="1">
      <alignment horizontal="center"/>
    </xf>
    <xf numFmtId="171" fontId="30" fillId="3" borderId="0" xfId="0" applyNumberFormat="1" applyFont="1" applyFill="1" applyAlignment="1">
      <alignment horizontal="center"/>
    </xf>
    <xf numFmtId="0" fontId="0" fillId="0" borderId="28" xfId="0" applyBorder="1"/>
    <xf numFmtId="0" fontId="0" fillId="0" borderId="29" xfId="0" applyBorder="1"/>
    <xf numFmtId="0" fontId="13"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12" fillId="0" borderId="28" xfId="0" applyFont="1" applyBorder="1"/>
    <xf numFmtId="0" fontId="8" fillId="0" borderId="28" xfId="0" applyFont="1" applyBorder="1"/>
    <xf numFmtId="11" fontId="0" fillId="12" borderId="0" xfId="0" applyNumberFormat="1" applyFill="1"/>
    <xf numFmtId="0" fontId="0" fillId="0" borderId="31" xfId="0" applyBorder="1" applyAlignment="1">
      <alignment horizontal="right"/>
    </xf>
    <xf numFmtId="11" fontId="12"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0" fillId="7" borderId="11" xfId="0" applyFill="1" applyBorder="1"/>
    <xf numFmtId="0" fontId="20" fillId="7" borderId="11" xfId="0" applyFont="1" applyFill="1" applyBorder="1"/>
    <xf numFmtId="0" fontId="13" fillId="7" borderId="11" xfId="0" applyFont="1" applyFill="1" applyBorder="1"/>
    <xf numFmtId="0" fontId="13" fillId="9" borderId="11" xfId="0" applyFont="1" applyFill="1" applyBorder="1"/>
    <xf numFmtId="0" fontId="22" fillId="3" borderId="0" xfId="0" applyFont="1" applyFill="1"/>
    <xf numFmtId="0" fontId="23" fillId="9" borderId="0" xfId="0" applyFont="1" applyFill="1"/>
    <xf numFmtId="0" fontId="22" fillId="9" borderId="0" xfId="0" applyFont="1" applyFill="1" applyAlignment="1">
      <alignment horizontal="right"/>
    </xf>
    <xf numFmtId="0" fontId="23" fillId="9" borderId="0" xfId="0" applyFont="1" applyFill="1" applyAlignment="1">
      <alignment horizontal="right"/>
    </xf>
    <xf numFmtId="0" fontId="22" fillId="9" borderId="0" xfId="0" applyFont="1" applyFill="1"/>
    <xf numFmtId="0" fontId="30" fillId="15" borderId="19" xfId="0" applyFont="1" applyFill="1" applyBorder="1"/>
    <xf numFmtId="0" fontId="30" fillId="15" borderId="20" xfId="0" applyFont="1" applyFill="1" applyBorder="1"/>
    <xf numFmtId="0" fontId="30" fillId="3" borderId="0" xfId="0" applyFont="1" applyFill="1"/>
    <xf numFmtId="0" fontId="22" fillId="9" borderId="0" xfId="0" applyFont="1" applyFill="1" applyAlignment="1">
      <alignment horizontal="center"/>
    </xf>
    <xf numFmtId="0" fontId="22" fillId="9" borderId="0" xfId="0" applyFont="1" applyFill="1" applyAlignment="1">
      <alignment horizontal="left"/>
    </xf>
    <xf numFmtId="0" fontId="26" fillId="0" borderId="0" xfId="0" applyFont="1"/>
    <xf numFmtId="0" fontId="0" fillId="0" borderId="1" xfId="0" applyBorder="1"/>
    <xf numFmtId="0" fontId="8" fillId="0" borderId="1" xfId="0" applyFont="1" applyBorder="1"/>
    <xf numFmtId="0" fontId="0" fillId="0" borderId="2" xfId="0" applyBorder="1" applyAlignment="1">
      <alignment horizontal="right"/>
    </xf>
    <xf numFmtId="0" fontId="27" fillId="0" borderId="0" xfId="0" applyFont="1"/>
    <xf numFmtId="0" fontId="35" fillId="0" borderId="0" xfId="0" applyFont="1"/>
    <xf numFmtId="0" fontId="35" fillId="4" borderId="0" xfId="0" applyFont="1" applyFill="1"/>
    <xf numFmtId="0" fontId="26" fillId="0" borderId="38" xfId="0" applyFont="1" applyBorder="1"/>
    <xf numFmtId="0" fontId="0" fillId="0" borderId="33" xfId="0" applyBorder="1"/>
    <xf numFmtId="0" fontId="0" fillId="0" borderId="35" xfId="0" applyBorder="1"/>
    <xf numFmtId="0" fontId="13" fillId="0" borderId="39" xfId="0" applyFont="1" applyBorder="1"/>
    <xf numFmtId="0" fontId="0" fillId="0" borderId="36" xfId="0" applyBorder="1"/>
    <xf numFmtId="0" fontId="35" fillId="0" borderId="39" xfId="0" applyFont="1" applyBorder="1"/>
    <xf numFmtId="0" fontId="35" fillId="0" borderId="40" xfId="0" applyFont="1" applyBorder="1"/>
    <xf numFmtId="0" fontId="35" fillId="0" borderId="34" xfId="0" applyFont="1" applyBorder="1"/>
    <xf numFmtId="0" fontId="0" fillId="0" borderId="34" xfId="0" applyBorder="1"/>
    <xf numFmtId="0" fontId="0" fillId="0" borderId="37" xfId="0" applyBorder="1"/>
    <xf numFmtId="0" fontId="13" fillId="0" borderId="31" xfId="0" applyFont="1" applyBorder="1"/>
    <xf numFmtId="0" fontId="13" fillId="13" borderId="0" xfId="0" applyFont="1" applyFill="1"/>
    <xf numFmtId="0" fontId="22" fillId="9" borderId="29" xfId="0" applyFont="1" applyFill="1" applyBorder="1"/>
    <xf numFmtId="0" fontId="24" fillId="9" borderId="0" xfId="0" applyFont="1" applyFill="1"/>
    <xf numFmtId="168" fontId="22" fillId="9" borderId="0" xfId="0" applyNumberFormat="1" applyFont="1" applyFill="1"/>
    <xf numFmtId="2" fontId="35" fillId="12" borderId="0" xfId="0" applyNumberFormat="1" applyFont="1" applyFill="1"/>
    <xf numFmtId="0" fontId="22" fillId="16" borderId="0" xfId="0" applyFont="1" applyFill="1"/>
    <xf numFmtId="0" fontId="7" fillId="0" borderId="0" xfId="0" applyFont="1"/>
    <xf numFmtId="2" fontId="7" fillId="0" borderId="0" xfId="0" quotePrefix="1" applyNumberFormat="1" applyFont="1"/>
    <xf numFmtId="0" fontId="0" fillId="0" borderId="0" xfId="0" applyAlignment="1">
      <alignment horizontal="left"/>
    </xf>
    <xf numFmtId="0" fontId="7" fillId="0" borderId="2" xfId="0" applyFont="1" applyBorder="1"/>
    <xf numFmtId="0" fontId="7" fillId="0" borderId="31" xfId="0" applyFont="1" applyBorder="1"/>
    <xf numFmtId="0" fontId="37" fillId="9" borderId="0" xfId="0" applyFont="1" applyFill="1"/>
    <xf numFmtId="0" fontId="25" fillId="19" borderId="0" xfId="0" applyFont="1" applyFill="1" applyAlignment="1">
      <alignment vertical="center"/>
    </xf>
    <xf numFmtId="0" fontId="0" fillId="18" borderId="0" xfId="0" applyFill="1"/>
    <xf numFmtId="0" fontId="56" fillId="18" borderId="0" xfId="0" applyFont="1" applyFill="1"/>
    <xf numFmtId="0" fontId="28" fillId="9" borderId="0" xfId="0" applyFont="1" applyFill="1" applyAlignment="1">
      <alignment horizontal="right"/>
    </xf>
    <xf numFmtId="0" fontId="8" fillId="9" borderId="0" xfId="0" applyFont="1" applyFill="1" applyAlignment="1">
      <alignment horizontal="right"/>
    </xf>
    <xf numFmtId="0" fontId="7" fillId="9" borderId="0" xfId="0" applyFont="1" applyFill="1" applyAlignment="1">
      <alignment horizontal="right"/>
    </xf>
    <xf numFmtId="0" fontId="7" fillId="9" borderId="31" xfId="0" applyFont="1" applyFill="1" applyBorder="1" applyAlignment="1">
      <alignment horizontal="right"/>
    </xf>
    <xf numFmtId="0" fontId="7" fillId="9" borderId="28" xfId="0" applyFont="1" applyFill="1" applyBorder="1"/>
    <xf numFmtId="0" fontId="7" fillId="9" borderId="0" xfId="0" applyFont="1" applyFill="1"/>
    <xf numFmtId="0" fontId="8" fillId="19" borderId="0" xfId="0" applyFont="1" applyFill="1" applyProtection="1">
      <protection locked="0"/>
    </xf>
    <xf numFmtId="0" fontId="59" fillId="9" borderId="0" xfId="0" applyFont="1" applyFill="1"/>
    <xf numFmtId="1" fontId="8" fillId="19" borderId="0" xfId="0" applyNumberFormat="1" applyFont="1" applyFill="1" applyProtection="1">
      <protection locked="0"/>
    </xf>
    <xf numFmtId="0" fontId="60" fillId="9" borderId="0" xfId="0" applyFont="1" applyFill="1"/>
    <xf numFmtId="0" fontId="11" fillId="9" borderId="0" xfId="0" applyFont="1" applyFill="1" applyAlignment="1">
      <alignment horizontal="right"/>
    </xf>
    <xf numFmtId="0" fontId="58" fillId="9" borderId="0" xfId="0" applyFont="1" applyFill="1"/>
    <xf numFmtId="0" fontId="61" fillId="9" borderId="0" xfId="0" applyFont="1" applyFill="1"/>
    <xf numFmtId="0" fontId="8" fillId="9" borderId="0" xfId="0" applyFont="1" applyFill="1"/>
    <xf numFmtId="169" fontId="8" fillId="9" borderId="0" xfId="0" applyNumberFormat="1" applyFont="1" applyFill="1"/>
    <xf numFmtId="0" fontId="7" fillId="16" borderId="0" xfId="0" applyFont="1" applyFill="1"/>
    <xf numFmtId="0" fontId="8" fillId="9" borderId="28" xfId="0" applyFont="1" applyFill="1" applyBorder="1"/>
    <xf numFmtId="0" fontId="61" fillId="16" borderId="0" xfId="0" applyFont="1" applyFill="1"/>
    <xf numFmtId="0" fontId="63" fillId="15" borderId="19" xfId="0" applyFont="1" applyFill="1" applyBorder="1"/>
    <xf numFmtId="0" fontId="61" fillId="9" borderId="0" xfId="0" applyFont="1" applyFill="1" applyAlignment="1">
      <alignment vertical="center"/>
    </xf>
    <xf numFmtId="0" fontId="12" fillId="9" borderId="0" xfId="0" applyFont="1" applyFill="1" applyAlignment="1">
      <alignment horizontal="right"/>
    </xf>
    <xf numFmtId="169" fontId="12" fillId="9" borderId="0" xfId="0" applyNumberFormat="1" applyFont="1" applyFill="1"/>
    <xf numFmtId="0" fontId="12" fillId="9" borderId="0" xfId="0" applyFont="1" applyFill="1"/>
    <xf numFmtId="0" fontId="7" fillId="16" borderId="0" xfId="0" applyFont="1" applyFill="1" applyAlignment="1">
      <alignment horizontal="left"/>
    </xf>
    <xf numFmtId="1" fontId="7" fillId="16" borderId="0" xfId="0" applyNumberFormat="1" applyFont="1" applyFill="1" applyAlignment="1">
      <alignment horizontal="right"/>
    </xf>
    <xf numFmtId="0" fontId="64" fillId="9" borderId="0" xfId="0" applyFont="1" applyFill="1"/>
    <xf numFmtId="0" fontId="7" fillId="9" borderId="0" xfId="0" applyFont="1" applyFill="1" applyAlignment="1">
      <alignment horizontal="left"/>
    </xf>
    <xf numFmtId="0" fontId="62" fillId="19" borderId="0" xfId="0" applyFont="1" applyFill="1" applyAlignment="1" applyProtection="1">
      <alignment horizontal="right"/>
      <protection locked="0" hidden="1"/>
    </xf>
    <xf numFmtId="0" fontId="65" fillId="15" borderId="19" xfId="0" applyFont="1" applyFill="1" applyBorder="1"/>
    <xf numFmtId="0" fontId="27" fillId="9" borderId="28" xfId="0" applyFont="1" applyFill="1" applyBorder="1"/>
    <xf numFmtId="1" fontId="7" fillId="9" borderId="0" xfId="0" applyNumberFormat="1" applyFont="1" applyFill="1"/>
    <xf numFmtId="0" fontId="67" fillId="9" borderId="0" xfId="0" applyFont="1" applyFill="1" applyAlignment="1">
      <alignment horizontal="right"/>
    </xf>
    <xf numFmtId="0" fontId="7" fillId="9" borderId="2" xfId="0" applyFont="1" applyFill="1" applyBorder="1"/>
    <xf numFmtId="0" fontId="7" fillId="9" borderId="2" xfId="0" applyFont="1" applyFill="1" applyBorder="1" applyAlignment="1">
      <alignment horizontal="right"/>
    </xf>
    <xf numFmtId="0" fontId="67" fillId="9" borderId="2" xfId="0" applyFont="1" applyFill="1" applyBorder="1" applyAlignment="1">
      <alignment horizontal="right"/>
    </xf>
    <xf numFmtId="0" fontId="8" fillId="9" borderId="3" xfId="0" applyFont="1" applyFill="1" applyBorder="1"/>
    <xf numFmtId="0" fontId="8" fillId="9" borderId="29" xfId="0" applyFont="1" applyFill="1" applyBorder="1"/>
    <xf numFmtId="0" fontId="7" fillId="9" borderId="30" xfId="0" applyFont="1" applyFill="1" applyBorder="1"/>
    <xf numFmtId="0" fontId="7" fillId="9" borderId="31" xfId="0" applyFont="1" applyFill="1" applyBorder="1"/>
    <xf numFmtId="0" fontId="7" fillId="9" borderId="32" xfId="0" applyFont="1" applyFill="1" applyBorder="1"/>
    <xf numFmtId="0" fontId="7" fillId="9" borderId="29" xfId="0" applyFont="1" applyFill="1" applyBorder="1"/>
    <xf numFmtId="169" fontId="7" fillId="9" borderId="31" xfId="0" applyNumberFormat="1" applyFont="1" applyFill="1" applyBorder="1"/>
    <xf numFmtId="0" fontId="8" fillId="9" borderId="2" xfId="0" applyFont="1" applyFill="1" applyBorder="1"/>
    <xf numFmtId="0" fontId="8" fillId="9" borderId="2" xfId="0" applyFont="1" applyFill="1" applyBorder="1" applyAlignment="1">
      <alignment horizontal="right"/>
    </xf>
    <xf numFmtId="1" fontId="8" fillId="19" borderId="2" xfId="0" applyNumberFormat="1" applyFont="1" applyFill="1" applyBorder="1" applyProtection="1">
      <protection locked="0"/>
    </xf>
    <xf numFmtId="0" fontId="7" fillId="16" borderId="41" xfId="0" applyFont="1" applyFill="1" applyBorder="1" applyAlignment="1">
      <alignment horizontal="left"/>
    </xf>
    <xf numFmtId="0" fontId="62" fillId="19" borderId="41" xfId="0" applyFont="1" applyFill="1" applyBorder="1" applyAlignment="1" applyProtection="1">
      <alignment horizontal="right"/>
      <protection locked="0" hidden="1"/>
    </xf>
    <xf numFmtId="0" fontId="62" fillId="9" borderId="42" xfId="0" applyFont="1" applyFill="1" applyBorder="1" applyAlignment="1">
      <alignment horizontal="left"/>
    </xf>
    <xf numFmtId="0" fontId="62" fillId="9" borderId="29" xfId="0" applyFont="1" applyFill="1" applyBorder="1" applyAlignment="1">
      <alignment horizontal="left"/>
    </xf>
    <xf numFmtId="0" fontId="8" fillId="9" borderId="43" xfId="0" applyFont="1" applyFill="1" applyBorder="1" applyAlignment="1">
      <alignment horizontal="center"/>
    </xf>
    <xf numFmtId="0" fontId="8" fillId="9" borderId="28" xfId="0" applyFont="1" applyFill="1" applyBorder="1" applyAlignment="1">
      <alignment horizontal="center"/>
    </xf>
    <xf numFmtId="0" fontId="8" fillId="9" borderId="43" xfId="0" applyFont="1" applyFill="1" applyBorder="1"/>
    <xf numFmtId="0" fontId="8" fillId="9" borderId="41" xfId="0" applyFont="1" applyFill="1" applyBorder="1"/>
    <xf numFmtId="0" fontId="7" fillId="9" borderId="41" xfId="0" applyFont="1" applyFill="1" applyBorder="1"/>
    <xf numFmtId="0" fontId="7" fillId="9" borderId="42" xfId="0" applyFont="1" applyFill="1" applyBorder="1"/>
    <xf numFmtId="0" fontId="7" fillId="9" borderId="41" xfId="0" applyFont="1" applyFill="1" applyBorder="1" applyAlignment="1">
      <alignment vertical="center"/>
    </xf>
    <xf numFmtId="0" fontId="7" fillId="9" borderId="45" xfId="0" applyFont="1" applyFill="1" applyBorder="1"/>
    <xf numFmtId="0" fontId="8" fillId="9" borderId="45" xfId="0" applyFont="1" applyFill="1" applyBorder="1" applyAlignment="1">
      <alignment horizontal="right"/>
    </xf>
    <xf numFmtId="0" fontId="7" fillId="9" borderId="46" xfId="0" applyFont="1" applyFill="1" applyBorder="1"/>
    <xf numFmtId="0" fontId="7" fillId="16" borderId="45" xfId="0" applyFont="1" applyFill="1" applyBorder="1" applyAlignment="1">
      <alignment horizontal="left"/>
    </xf>
    <xf numFmtId="0" fontId="62" fillId="19" borderId="45" xfId="0" applyFont="1" applyFill="1" applyBorder="1" applyAlignment="1" applyProtection="1">
      <alignment horizontal="right"/>
      <protection locked="0" hidden="1"/>
    </xf>
    <xf numFmtId="0" fontId="62" fillId="9" borderId="46" xfId="0" applyFont="1" applyFill="1" applyBorder="1" applyAlignment="1">
      <alignment horizontal="left"/>
    </xf>
    <xf numFmtId="169" fontId="7" fillId="9" borderId="41" xfId="0" applyNumberFormat="1" applyFont="1" applyFill="1" applyBorder="1" applyAlignment="1">
      <alignment horizontal="left" vertical="center"/>
    </xf>
    <xf numFmtId="1" fontId="7" fillId="9" borderId="45" xfId="0" applyNumberFormat="1" applyFont="1" applyFill="1" applyBorder="1" applyAlignment="1">
      <alignment horizontal="left" vertical="center"/>
    </xf>
    <xf numFmtId="0" fontId="27" fillId="9" borderId="28" xfId="0" applyFont="1" applyFill="1" applyBorder="1" applyAlignment="1">
      <alignment vertical="center"/>
    </xf>
    <xf numFmtId="0" fontId="7" fillId="9" borderId="43" xfId="0" applyFont="1" applyFill="1" applyBorder="1"/>
    <xf numFmtId="0" fontId="7" fillId="16" borderId="28" xfId="0" applyFont="1" applyFill="1" applyBorder="1"/>
    <xf numFmtId="0" fontId="63" fillId="15" borderId="47" xfId="0" applyFont="1" applyFill="1" applyBorder="1"/>
    <xf numFmtId="0" fontId="22" fillId="3" borderId="28" xfId="0" applyFont="1" applyFill="1" applyBorder="1"/>
    <xf numFmtId="171" fontId="22" fillId="18" borderId="0" xfId="0" applyNumberFormat="1" applyFont="1" applyFill="1" applyAlignment="1">
      <alignment horizontal="center"/>
    </xf>
    <xf numFmtId="0" fontId="22" fillId="18" borderId="0" xfId="0" applyFont="1" applyFill="1"/>
    <xf numFmtId="171" fontId="30" fillId="18" borderId="0" xfId="0" applyNumberFormat="1" applyFont="1" applyFill="1" applyAlignment="1">
      <alignment horizontal="center"/>
    </xf>
    <xf numFmtId="0" fontId="30" fillId="18" borderId="0" xfId="0" applyFont="1" applyFill="1"/>
    <xf numFmtId="0" fontId="7" fillId="9" borderId="44" xfId="0" applyFont="1" applyFill="1" applyBorder="1"/>
    <xf numFmtId="0" fontId="8" fillId="9" borderId="45" xfId="0" applyFont="1" applyFill="1" applyBorder="1"/>
    <xf numFmtId="0" fontId="7" fillId="9" borderId="48" xfId="0" applyFont="1" applyFill="1" applyBorder="1"/>
    <xf numFmtId="171" fontId="71" fillId="18" borderId="0" xfId="0" applyNumberFormat="1" applyFont="1" applyFill="1" applyAlignment="1">
      <alignment horizontal="center"/>
    </xf>
    <xf numFmtId="0" fontId="71" fillId="18" borderId="0" xfId="0" applyFont="1" applyFill="1"/>
    <xf numFmtId="171" fontId="71" fillId="3" borderId="0" xfId="0" applyNumberFormat="1" applyFont="1" applyFill="1" applyAlignment="1">
      <alignment horizontal="center"/>
    </xf>
    <xf numFmtId="0" fontId="71" fillId="3" borderId="0" xfId="0" applyFont="1" applyFill="1"/>
    <xf numFmtId="0" fontId="69" fillId="9" borderId="41" xfId="0" applyFont="1" applyFill="1" applyBorder="1" applyAlignment="1">
      <alignment horizontal="right"/>
    </xf>
    <xf numFmtId="0" fontId="7" fillId="16" borderId="31" xfId="0" applyFont="1" applyFill="1" applyBorder="1"/>
    <xf numFmtId="0" fontId="22" fillId="9" borderId="31" xfId="0" applyFont="1" applyFill="1" applyBorder="1"/>
    <xf numFmtId="0" fontId="22" fillId="9" borderId="32" xfId="0" applyFont="1" applyFill="1" applyBorder="1"/>
    <xf numFmtId="0" fontId="70" fillId="9" borderId="28" xfId="0" applyFont="1" applyFill="1" applyBorder="1" applyAlignment="1">
      <alignment vertical="center"/>
    </xf>
    <xf numFmtId="0" fontId="69" fillId="9" borderId="0" xfId="0" applyFont="1" applyFill="1" applyAlignment="1">
      <alignment horizontal="right" vertical="center"/>
    </xf>
    <xf numFmtId="169" fontId="69" fillId="9" borderId="45" xfId="0" applyNumberFormat="1" applyFont="1" applyFill="1" applyBorder="1" applyAlignment="1">
      <alignment horizontal="center" vertical="center"/>
    </xf>
    <xf numFmtId="0" fontId="7" fillId="0" borderId="1" xfId="0" applyFont="1" applyBorder="1"/>
    <xf numFmtId="0" fontId="7" fillId="0" borderId="28" xfId="0" applyFont="1" applyBorder="1"/>
    <xf numFmtId="2" fontId="0" fillId="0" borderId="0" xfId="0" applyNumberFormat="1" applyAlignment="1">
      <alignment horizontal="right"/>
    </xf>
    <xf numFmtId="0" fontId="74" fillId="0" borderId="0" xfId="0" applyFont="1"/>
    <xf numFmtId="0" fontId="7" fillId="9" borderId="0" xfId="3" applyFill="1"/>
    <xf numFmtId="49" fontId="7" fillId="9" borderId="0" xfId="3" applyNumberFormat="1" applyFill="1"/>
    <xf numFmtId="0" fontId="16" fillId="9" borderId="0" xfId="3" applyFont="1" applyFill="1" applyAlignment="1">
      <alignment vertical="center"/>
    </xf>
    <xf numFmtId="0" fontId="7" fillId="20" borderId="18" xfId="3" applyFill="1" applyBorder="1" applyAlignment="1">
      <alignment horizontal="center" vertical="center"/>
    </xf>
    <xf numFmtId="0" fontId="7" fillId="9" borderId="18" xfId="3" applyFill="1" applyBorder="1" applyAlignment="1">
      <alignment horizontal="center" vertical="center"/>
    </xf>
    <xf numFmtId="0" fontId="7" fillId="9" borderId="11" xfId="3" applyFill="1" applyBorder="1" applyAlignment="1">
      <alignment vertical="center" wrapText="1"/>
    </xf>
    <xf numFmtId="0" fontId="7" fillId="9" borderId="11" xfId="3" applyFill="1" applyBorder="1" applyAlignment="1">
      <alignment horizontal="left" vertical="center"/>
    </xf>
    <xf numFmtId="0" fontId="7" fillId="9" borderId="0" xfId="3" applyFill="1" applyAlignment="1">
      <alignment vertical="center"/>
    </xf>
    <xf numFmtId="49" fontId="7" fillId="9" borderId="0" xfId="3" applyNumberFormat="1" applyFill="1" applyAlignment="1">
      <alignment vertical="center"/>
    </xf>
    <xf numFmtId="0" fontId="7" fillId="21" borderId="18" xfId="3" applyFill="1" applyBorder="1" applyAlignment="1">
      <alignment horizontal="center" vertical="center"/>
    </xf>
    <xf numFmtId="0" fontId="7" fillId="21" borderId="11" xfId="3" applyFill="1" applyBorder="1" applyAlignment="1">
      <alignment vertical="center" wrapText="1"/>
    </xf>
    <xf numFmtId="173" fontId="7" fillId="21" borderId="11" xfId="3" applyNumberFormat="1" applyFill="1" applyBorder="1" applyAlignment="1">
      <alignment horizontal="center" vertical="center"/>
    </xf>
    <xf numFmtId="0" fontId="7" fillId="21" borderId="11" xfId="3" quotePrefix="1" applyFill="1" applyBorder="1" applyAlignment="1">
      <alignment horizontal="left" vertical="center"/>
    </xf>
    <xf numFmtId="0" fontId="7" fillId="21" borderId="11" xfId="3" applyFill="1" applyBorder="1" applyAlignment="1">
      <alignment horizontal="left" vertical="center"/>
    </xf>
    <xf numFmtId="0" fontId="7" fillId="16" borderId="18" xfId="3" applyFill="1" applyBorder="1" applyAlignment="1">
      <alignment horizontal="center" vertical="center"/>
    </xf>
    <xf numFmtId="0" fontId="7" fillId="16" borderId="11" xfId="3" applyFill="1" applyBorder="1" applyAlignment="1">
      <alignment vertical="center" wrapText="1"/>
    </xf>
    <xf numFmtId="173" fontId="7" fillId="16" borderId="11" xfId="3" applyNumberFormat="1" applyFill="1" applyBorder="1" applyAlignment="1">
      <alignment horizontal="center" vertical="center"/>
    </xf>
    <xf numFmtId="0" fontId="7" fillId="16" borderId="11" xfId="3" quotePrefix="1" applyFill="1" applyBorder="1" applyAlignment="1">
      <alignment horizontal="left" vertical="center"/>
    </xf>
    <xf numFmtId="0" fontId="7" fillId="16" borderId="11" xfId="3" applyFill="1" applyBorder="1" applyAlignment="1">
      <alignment horizontal="left" vertical="center"/>
    </xf>
    <xf numFmtId="175" fontId="7" fillId="9" borderId="11" xfId="3" applyNumberFormat="1" applyFill="1" applyBorder="1" applyAlignment="1">
      <alignment horizontal="center" vertical="center"/>
    </xf>
    <xf numFmtId="0" fontId="7" fillId="9" borderId="15" xfId="3" applyFill="1" applyBorder="1" applyAlignment="1">
      <alignment horizontal="left" vertical="center"/>
    </xf>
    <xf numFmtId="49" fontId="7" fillId="9" borderId="11" xfId="3" applyNumberFormat="1" applyFill="1" applyBorder="1" applyAlignment="1">
      <alignment horizontal="left" vertical="center"/>
    </xf>
    <xf numFmtId="0" fontId="7" fillId="20" borderId="11" xfId="3" applyFill="1" applyBorder="1" applyAlignment="1">
      <alignment vertical="center" wrapText="1"/>
    </xf>
    <xf numFmtId="174" fontId="7" fillId="20" borderId="11" xfId="3" applyNumberFormat="1" applyFill="1" applyBorder="1" applyAlignment="1">
      <alignment horizontal="center" vertical="center"/>
    </xf>
    <xf numFmtId="0" fontId="7" fillId="20" borderId="15" xfId="3" applyFill="1" applyBorder="1" applyAlignment="1">
      <alignment horizontal="left" vertical="center"/>
    </xf>
    <xf numFmtId="0" fontId="7" fillId="20" borderId="11" xfId="3" quotePrefix="1" applyFill="1" applyBorder="1" applyAlignment="1">
      <alignment horizontal="left" vertical="center"/>
    </xf>
    <xf numFmtId="0" fontId="7" fillId="20" borderId="11" xfId="3" applyFill="1" applyBorder="1" applyAlignment="1">
      <alignment horizontal="left" vertical="center"/>
    </xf>
    <xf numFmtId="174" fontId="7" fillId="16" borderId="11" xfId="3" applyNumberFormat="1" applyFill="1" applyBorder="1" applyAlignment="1">
      <alignment horizontal="center" vertical="center"/>
    </xf>
    <xf numFmtId="0" fontId="7" fillId="16" borderId="15" xfId="3" applyFill="1" applyBorder="1" applyAlignment="1">
      <alignment horizontal="left" vertical="center"/>
    </xf>
    <xf numFmtId="175" fontId="7" fillId="16" borderId="11" xfId="3" applyNumberFormat="1" applyFill="1" applyBorder="1" applyAlignment="1">
      <alignment horizontal="center" vertical="center"/>
    </xf>
    <xf numFmtId="175" fontId="7" fillId="20" borderId="11" xfId="3" applyNumberFormat="1" applyFill="1" applyBorder="1" applyAlignment="1">
      <alignment horizontal="center" vertical="center"/>
    </xf>
    <xf numFmtId="172" fontId="7" fillId="20" borderId="11" xfId="3" applyNumberFormat="1" applyFill="1" applyBorder="1" applyAlignment="1">
      <alignment horizontal="center" vertical="center"/>
    </xf>
    <xf numFmtId="0" fontId="7" fillId="16" borderId="11" xfId="3" applyFill="1" applyBorder="1" applyAlignment="1">
      <alignment horizontal="center" vertical="center"/>
    </xf>
    <xf numFmtId="49" fontId="7" fillId="16" borderId="11" xfId="3" applyNumberFormat="1" applyFill="1" applyBorder="1" applyAlignment="1">
      <alignment horizontal="left" vertical="center"/>
    </xf>
    <xf numFmtId="181" fontId="7" fillId="20" borderId="11" xfId="3" applyNumberFormat="1" applyFill="1" applyBorder="1" applyAlignment="1">
      <alignment horizontal="center" vertical="center"/>
    </xf>
    <xf numFmtId="0" fontId="7" fillId="16" borderId="0" xfId="3" applyFill="1"/>
    <xf numFmtId="49" fontId="7" fillId="16" borderId="0" xfId="3" applyNumberFormat="1" applyFill="1"/>
    <xf numFmtId="0" fontId="8" fillId="19" borderId="45" xfId="0" applyFont="1" applyFill="1" applyBorder="1" applyProtection="1">
      <protection locked="0"/>
    </xf>
    <xf numFmtId="0" fontId="8" fillId="19" borderId="0" xfId="0" applyFont="1" applyFill="1" applyAlignment="1" applyProtection="1">
      <alignment horizontal="right"/>
      <protection locked="0"/>
    </xf>
    <xf numFmtId="0" fontId="8" fillId="19" borderId="45" xfId="0" applyFont="1" applyFill="1" applyBorder="1" applyAlignment="1" applyProtection="1">
      <alignment horizontal="right"/>
      <protection locked="0"/>
    </xf>
    <xf numFmtId="0" fontId="76" fillId="16" borderId="0" xfId="0" applyFont="1" applyFill="1"/>
    <xf numFmtId="169" fontId="8" fillId="19" borderId="0" xfId="0" applyNumberFormat="1" applyFont="1" applyFill="1" applyProtection="1">
      <protection locked="0"/>
    </xf>
    <xf numFmtId="0" fontId="8" fillId="9" borderId="0" xfId="3" applyFont="1" applyFill="1"/>
    <xf numFmtId="0" fontId="64" fillId="9" borderId="41" xfId="0" applyFont="1" applyFill="1" applyBorder="1" applyProtection="1">
      <protection locked="0"/>
    </xf>
    <xf numFmtId="1" fontId="0" fillId="4" borderId="0" xfId="0" applyNumberFormat="1" applyFill="1"/>
    <xf numFmtId="0" fontId="7" fillId="9" borderId="0" xfId="0" applyFont="1" applyFill="1" applyAlignment="1">
      <alignment vertical="center"/>
    </xf>
    <xf numFmtId="0" fontId="7" fillId="9" borderId="28" xfId="0" applyFont="1" applyFill="1" applyBorder="1" applyAlignment="1">
      <alignment vertical="center"/>
    </xf>
    <xf numFmtId="0" fontId="7" fillId="9" borderId="0" xfId="0" applyFont="1" applyFill="1" applyAlignment="1">
      <alignment horizontal="right" vertical="center"/>
    </xf>
    <xf numFmtId="169" fontId="7" fillId="9" borderId="0" xfId="0" applyNumberFormat="1" applyFont="1" applyFill="1" applyAlignment="1">
      <alignment vertical="center"/>
    </xf>
    <xf numFmtId="0" fontId="7" fillId="9" borderId="29" xfId="0" applyFont="1" applyFill="1" applyBorder="1" applyAlignment="1">
      <alignment vertical="center"/>
    </xf>
    <xf numFmtId="1" fontId="7" fillId="9" borderId="0" xfId="0" applyNumberFormat="1" applyFont="1" applyFill="1" applyAlignment="1">
      <alignment vertical="center"/>
    </xf>
    <xf numFmtId="0" fontId="7" fillId="9" borderId="30" xfId="0" applyFont="1" applyFill="1" applyBorder="1" applyAlignment="1">
      <alignment vertical="center"/>
    </xf>
    <xf numFmtId="0" fontId="7" fillId="9" borderId="31" xfId="0" applyFont="1" applyFill="1" applyBorder="1" applyAlignment="1">
      <alignment vertical="center"/>
    </xf>
    <xf numFmtId="0" fontId="7" fillId="9" borderId="31" xfId="0" applyFont="1" applyFill="1" applyBorder="1" applyAlignment="1">
      <alignment horizontal="right" vertical="center"/>
    </xf>
    <xf numFmtId="0" fontId="7" fillId="9" borderId="32" xfId="0" applyFont="1" applyFill="1" applyBorder="1" applyAlignment="1">
      <alignment vertical="center"/>
    </xf>
    <xf numFmtId="0" fontId="7" fillId="9" borderId="43" xfId="0" applyFont="1" applyFill="1" applyBorder="1" applyAlignment="1">
      <alignment vertical="center"/>
    </xf>
    <xf numFmtId="0" fontId="7" fillId="9" borderId="2" xfId="0" applyFont="1" applyFill="1" applyBorder="1" applyAlignment="1">
      <alignment vertical="center"/>
    </xf>
    <xf numFmtId="0" fontId="7" fillId="9" borderId="2" xfId="0" applyFont="1" applyFill="1" applyBorder="1" applyAlignment="1">
      <alignment horizontal="right" vertical="center"/>
    </xf>
    <xf numFmtId="0" fontId="67" fillId="9" borderId="0" xfId="0" applyFont="1" applyFill="1" applyAlignment="1">
      <alignment horizontal="right" vertical="center"/>
    </xf>
    <xf numFmtId="0" fontId="8" fillId="19" borderId="0" xfId="0" applyFont="1" applyFill="1" applyAlignment="1" applyProtection="1">
      <alignment vertical="center"/>
      <protection locked="0"/>
    </xf>
    <xf numFmtId="0" fontId="8" fillId="9" borderId="29" xfId="0" applyFont="1" applyFill="1" applyBorder="1" applyAlignment="1">
      <alignment vertical="center"/>
    </xf>
    <xf numFmtId="1" fontId="8" fillId="19" borderId="0" xfId="0" applyNumberFormat="1" applyFont="1" applyFill="1" applyAlignment="1" applyProtection="1">
      <alignment vertical="center"/>
      <protection locked="0"/>
    </xf>
    <xf numFmtId="1" fontId="7" fillId="9" borderId="0" xfId="0" applyNumberFormat="1" applyFont="1" applyFill="1" applyAlignment="1">
      <alignment horizontal="right" vertical="center"/>
    </xf>
    <xf numFmtId="0" fontId="67" fillId="16" borderId="0" xfId="0" applyFont="1" applyFill="1" applyAlignment="1">
      <alignment horizontal="right" vertical="center"/>
    </xf>
    <xf numFmtId="0" fontId="8" fillId="9" borderId="0" xfId="0" applyFont="1" applyFill="1" applyAlignment="1">
      <alignment vertical="center"/>
    </xf>
    <xf numFmtId="0" fontId="8" fillId="9" borderId="0" xfId="0" applyFont="1" applyFill="1" applyAlignment="1">
      <alignment horizontal="right" vertical="center"/>
    </xf>
    <xf numFmtId="0" fontId="8" fillId="19" borderId="0" xfId="0" applyFont="1" applyFill="1" applyAlignment="1" applyProtection="1">
      <alignment horizontal="right" vertical="center"/>
      <protection locked="0"/>
    </xf>
    <xf numFmtId="0" fontId="7" fillId="9" borderId="45" xfId="0" applyFont="1" applyFill="1" applyBorder="1" applyAlignment="1">
      <alignment horizontal="right" vertical="center"/>
    </xf>
    <xf numFmtId="0" fontId="7" fillId="9" borderId="44" xfId="0" applyFont="1" applyFill="1" applyBorder="1" applyAlignment="1">
      <alignment vertical="center"/>
    </xf>
    <xf numFmtId="0" fontId="7" fillId="9" borderId="45" xfId="0" applyFont="1" applyFill="1" applyBorder="1" applyAlignment="1">
      <alignment vertical="center"/>
    </xf>
    <xf numFmtId="0" fontId="7" fillId="9" borderId="46" xfId="0" applyFont="1" applyFill="1" applyBorder="1" applyAlignment="1">
      <alignment vertical="center"/>
    </xf>
    <xf numFmtId="0" fontId="7" fillId="9" borderId="3" xfId="0" applyFont="1" applyFill="1" applyBorder="1" applyAlignment="1">
      <alignment vertical="center"/>
    </xf>
    <xf numFmtId="1" fontId="67" fillId="19" borderId="0" xfId="0" applyNumberFormat="1" applyFont="1" applyFill="1" applyAlignment="1" applyProtection="1">
      <alignment horizontal="right" vertical="center"/>
      <protection locked="0"/>
    </xf>
    <xf numFmtId="0" fontId="8" fillId="9" borderId="29" xfId="0" applyFont="1" applyFill="1" applyBorder="1" applyAlignment="1">
      <alignment horizontal="left" vertical="center"/>
    </xf>
    <xf numFmtId="0" fontId="67" fillId="19" borderId="0" xfId="0" applyFont="1" applyFill="1" applyAlignment="1" applyProtection="1">
      <alignment vertical="center"/>
      <protection locked="0"/>
    </xf>
    <xf numFmtId="2" fontId="12" fillId="12" borderId="2" xfId="0" applyNumberFormat="1" applyFont="1" applyFill="1" applyBorder="1"/>
    <xf numFmtId="2" fontId="12" fillId="12" borderId="0" xfId="0" applyNumberFormat="1" applyFont="1" applyFill="1"/>
    <xf numFmtId="0" fontId="0" fillId="0" borderId="41" xfId="0" applyBorder="1"/>
    <xf numFmtId="0" fontId="0" fillId="22" borderId="0" xfId="0" applyFill="1"/>
    <xf numFmtId="0" fontId="7" fillId="0" borderId="0" xfId="0" applyFont="1" applyAlignment="1">
      <alignment horizontal="right"/>
    </xf>
    <xf numFmtId="0" fontId="8" fillId="0" borderId="41" xfId="0" applyFont="1" applyBorder="1" applyAlignment="1">
      <alignment horizontal="right"/>
    </xf>
    <xf numFmtId="0" fontId="8" fillId="0" borderId="31" xfId="0" applyFont="1" applyBorder="1" applyAlignment="1">
      <alignment horizontal="right"/>
    </xf>
    <xf numFmtId="0" fontId="8" fillId="0" borderId="0" xfId="0" applyFont="1" applyAlignment="1">
      <alignment horizontal="right"/>
    </xf>
    <xf numFmtId="0" fontId="8" fillId="0" borderId="41" xfId="0" applyFont="1" applyBorder="1"/>
    <xf numFmtId="0" fontId="8" fillId="0" borderId="31" xfId="0" applyFont="1" applyBorder="1"/>
    <xf numFmtId="0" fontId="8" fillId="0" borderId="0" xfId="0" applyFont="1" applyAlignment="1">
      <alignment horizontal="left"/>
    </xf>
    <xf numFmtId="168" fontId="12" fillId="12" borderId="0" xfId="0" applyNumberFormat="1" applyFont="1" applyFill="1"/>
    <xf numFmtId="168" fontId="13" fillId="12" borderId="0" xfId="0" applyNumberFormat="1" applyFont="1" applyFill="1"/>
    <xf numFmtId="168" fontId="8" fillId="22" borderId="2" xfId="0" applyNumberFormat="1" applyFont="1" applyFill="1" applyBorder="1"/>
    <xf numFmtId="0" fontId="66" fillId="16" borderId="0" xfId="0" applyFont="1" applyFill="1" applyAlignment="1">
      <alignment horizontal="center"/>
    </xf>
    <xf numFmtId="169" fontId="7" fillId="9" borderId="0" xfId="0" applyNumberFormat="1" applyFont="1" applyFill="1"/>
    <xf numFmtId="2" fontId="0" fillId="13" borderId="0" xfId="0" applyNumberFormat="1" applyFill="1"/>
    <xf numFmtId="2" fontId="0" fillId="22" borderId="0" xfId="0" applyNumberFormat="1" applyFill="1"/>
    <xf numFmtId="1" fontId="0" fillId="12" borderId="0" xfId="0" applyNumberFormat="1" applyFill="1"/>
    <xf numFmtId="1" fontId="0" fillId="22" borderId="0" xfId="0" applyNumberFormat="1" applyFill="1"/>
    <xf numFmtId="1" fontId="0" fillId="0" borderId="0" xfId="0" applyNumberFormat="1"/>
    <xf numFmtId="1" fontId="0" fillId="24" borderId="0" xfId="0" applyNumberFormat="1" applyFill="1"/>
    <xf numFmtId="167" fontId="0" fillId="0" borderId="0" xfId="0" applyNumberFormat="1"/>
    <xf numFmtId="0" fontId="0" fillId="23" borderId="0" xfId="0" applyFill="1"/>
    <xf numFmtId="169" fontId="0" fillId="22" borderId="0" xfId="0" applyNumberFormat="1" applyFill="1"/>
    <xf numFmtId="0" fontId="7" fillId="0" borderId="41" xfId="0" applyFont="1" applyBorder="1"/>
    <xf numFmtId="169" fontId="0" fillId="12" borderId="2" xfId="0" applyNumberFormat="1" applyFill="1" applyBorder="1"/>
    <xf numFmtId="0" fontId="7" fillId="0" borderId="30" xfId="0" applyFont="1" applyBorder="1"/>
    <xf numFmtId="0" fontId="12" fillId="0" borderId="31" xfId="0" applyFont="1" applyBorder="1"/>
    <xf numFmtId="0" fontId="8" fillId="0" borderId="54" xfId="0" applyFont="1" applyBorder="1"/>
    <xf numFmtId="0" fontId="0" fillId="24" borderId="0" xfId="0" applyFill="1"/>
    <xf numFmtId="0" fontId="20" fillId="0" borderId="34" xfId="0" applyFont="1" applyBorder="1"/>
    <xf numFmtId="0" fontId="7" fillId="0" borderId="18" xfId="3" applyBorder="1" applyAlignment="1">
      <alignment horizontal="left"/>
    </xf>
    <xf numFmtId="0" fontId="7" fillId="0" borderId="11" xfId="3" applyBorder="1"/>
    <xf numFmtId="0" fontId="7" fillId="0" borderId="58" xfId="3" applyBorder="1"/>
    <xf numFmtId="0" fontId="7" fillId="0" borderId="18" xfId="3" applyBorder="1"/>
    <xf numFmtId="1" fontId="7" fillId="0" borderId="11" xfId="3" applyNumberFormat="1" applyBorder="1"/>
    <xf numFmtId="0" fontId="7" fillId="0" borderId="15" xfId="3" applyBorder="1"/>
    <xf numFmtId="0" fontId="7" fillId="8" borderId="18" xfId="3" applyFill="1" applyBorder="1"/>
    <xf numFmtId="0" fontId="7" fillId="8" borderId="11" xfId="3" applyFill="1" applyBorder="1"/>
    <xf numFmtId="0" fontId="7" fillId="8" borderId="58" xfId="3" applyFill="1" applyBorder="1"/>
    <xf numFmtId="169" fontId="7" fillId="0" borderId="11" xfId="3" applyNumberFormat="1" applyBorder="1"/>
    <xf numFmtId="0" fontId="12" fillId="0" borderId="5" xfId="3" applyFont="1" applyBorder="1" applyAlignment="1">
      <alignment horizontal="center"/>
    </xf>
    <xf numFmtId="0" fontId="12" fillId="0" borderId="6" xfId="3" applyFont="1" applyBorder="1" applyAlignment="1">
      <alignment horizontal="center"/>
    </xf>
    <xf numFmtId="0" fontId="12" fillId="0" borderId="7" xfId="3" applyFont="1" applyBorder="1" applyAlignment="1">
      <alignment horizontal="center"/>
    </xf>
    <xf numFmtId="0" fontId="12" fillId="0" borderId="18" xfId="3" applyFont="1" applyBorder="1"/>
    <xf numFmtId="0" fontId="12" fillId="0" borderId="58" xfId="3" applyFont="1" applyBorder="1"/>
    <xf numFmtId="0" fontId="7" fillId="0" borderId="66" xfId="3" applyBorder="1" applyAlignment="1">
      <alignment horizontal="center"/>
    </xf>
    <xf numFmtId="167" fontId="7" fillId="0" borderId="67" xfId="3" applyNumberFormat="1" applyBorder="1" applyAlignment="1">
      <alignment horizontal="center"/>
    </xf>
    <xf numFmtId="167" fontId="7" fillId="0" borderId="12" xfId="3" applyNumberFormat="1" applyBorder="1" applyAlignment="1">
      <alignment horizontal="center"/>
    </xf>
    <xf numFmtId="167" fontId="7" fillId="0" borderId="68" xfId="3" applyNumberFormat="1" applyBorder="1" applyAlignment="1">
      <alignment horizontal="center"/>
    </xf>
    <xf numFmtId="167" fontId="7" fillId="0" borderId="69" xfId="3" applyNumberFormat="1" applyBorder="1" applyAlignment="1">
      <alignment horizontal="center"/>
    </xf>
    <xf numFmtId="2" fontId="7" fillId="0" borderId="67" xfId="3" applyNumberFormat="1" applyBorder="1" applyAlignment="1">
      <alignment horizontal="center"/>
    </xf>
    <xf numFmtId="2" fontId="7" fillId="0" borderId="12" xfId="3" applyNumberFormat="1" applyBorder="1" applyAlignment="1">
      <alignment horizontal="center"/>
    </xf>
    <xf numFmtId="2" fontId="7" fillId="0" borderId="18" xfId="3" applyNumberFormat="1" applyBorder="1" applyAlignment="1">
      <alignment horizontal="center"/>
    </xf>
    <xf numFmtId="2" fontId="7" fillId="0" borderId="58" xfId="3" applyNumberFormat="1" applyBorder="1" applyAlignment="1">
      <alignment horizontal="center"/>
    </xf>
    <xf numFmtId="0" fontId="7" fillId="0" borderId="63" xfId="3" applyBorder="1" applyAlignment="1">
      <alignment horizontal="center"/>
    </xf>
    <xf numFmtId="167" fontId="7" fillId="0" borderId="11" xfId="3" applyNumberFormat="1" applyBorder="1" applyAlignment="1">
      <alignment horizontal="center"/>
    </xf>
    <xf numFmtId="167" fontId="7" fillId="0" borderId="58" xfId="3" applyNumberFormat="1" applyBorder="1" applyAlignment="1">
      <alignment horizontal="center"/>
    </xf>
    <xf numFmtId="0" fontId="7" fillId="0" borderId="0" xfId="3" applyAlignment="1">
      <alignment horizontal="center"/>
    </xf>
    <xf numFmtId="167" fontId="7" fillId="0" borderId="0" xfId="3" applyNumberFormat="1" applyAlignment="1">
      <alignment horizontal="center"/>
    </xf>
    <xf numFmtId="165" fontId="7" fillId="0" borderId="0" xfId="3" applyNumberFormat="1" applyAlignment="1">
      <alignment horizontal="center"/>
    </xf>
    <xf numFmtId="2" fontId="7" fillId="0" borderId="0" xfId="3" applyNumberFormat="1" applyAlignment="1">
      <alignment horizontal="center"/>
    </xf>
    <xf numFmtId="0" fontId="7" fillId="0" borderId="0" xfId="3" applyAlignment="1">
      <alignment horizontal="right"/>
    </xf>
    <xf numFmtId="2" fontId="7" fillId="0" borderId="0" xfId="3" applyNumberFormat="1"/>
    <xf numFmtId="168" fontId="0" fillId="0" borderId="0" xfId="0" applyNumberFormat="1"/>
    <xf numFmtId="1" fontId="12" fillId="12" borderId="0" xfId="0" applyNumberFormat="1" applyFont="1" applyFill="1"/>
    <xf numFmtId="0" fontId="64" fillId="0" borderId="0" xfId="0" applyFont="1"/>
    <xf numFmtId="2" fontId="7" fillId="0" borderId="11" xfId="3" applyNumberFormat="1" applyBorder="1"/>
    <xf numFmtId="2" fontId="7" fillId="0" borderId="58" xfId="3" applyNumberFormat="1" applyBorder="1"/>
    <xf numFmtId="2" fontId="12" fillId="0" borderId="7" xfId="3" applyNumberFormat="1" applyFont="1" applyBorder="1" applyAlignment="1">
      <alignment horizontal="center"/>
    </xf>
    <xf numFmtId="2" fontId="7" fillId="0" borderId="68" xfId="3" applyNumberFormat="1" applyBorder="1"/>
    <xf numFmtId="1" fontId="7" fillId="9" borderId="2" xfId="0" applyNumberFormat="1" applyFont="1" applyFill="1" applyBorder="1" applyAlignment="1">
      <alignment vertical="center"/>
    </xf>
    <xf numFmtId="0" fontId="8" fillId="9" borderId="44" xfId="0" applyFont="1" applyFill="1" applyBorder="1" applyAlignment="1">
      <alignment horizontal="center"/>
    </xf>
    <xf numFmtId="11" fontId="7" fillId="0" borderId="0" xfId="0" applyNumberFormat="1" applyFont="1"/>
    <xf numFmtId="1" fontId="7" fillId="0" borderId="0" xfId="0" applyNumberFormat="1" applyFont="1"/>
    <xf numFmtId="1" fontId="7" fillId="12" borderId="0" xfId="0" applyNumberFormat="1" applyFont="1" applyFill="1"/>
    <xf numFmtId="0" fontId="7" fillId="23" borderId="0" xfId="0" applyFont="1" applyFill="1"/>
    <xf numFmtId="0" fontId="7" fillId="0" borderId="73" xfId="0" applyFont="1" applyBorder="1"/>
    <xf numFmtId="11" fontId="12" fillId="0" borderId="75" xfId="0" applyNumberFormat="1" applyFont="1" applyBorder="1"/>
    <xf numFmtId="0" fontId="74" fillId="0" borderId="75" xfId="0" applyFont="1" applyBorder="1"/>
    <xf numFmtId="1" fontId="64" fillId="0" borderId="0" xfId="0" applyNumberFormat="1" applyFont="1"/>
    <xf numFmtId="0" fontId="82" fillId="0" borderId="0" xfId="0" applyFont="1"/>
    <xf numFmtId="1" fontId="66" fillId="0" borderId="0" xfId="0" applyNumberFormat="1" applyFont="1"/>
    <xf numFmtId="0" fontId="66" fillId="0" borderId="0" xfId="0" applyFont="1"/>
    <xf numFmtId="2" fontId="66" fillId="0" borderId="0" xfId="0" applyNumberFormat="1" applyFont="1"/>
    <xf numFmtId="168" fontId="64" fillId="0" borderId="0" xfId="0" applyNumberFormat="1" applyFont="1"/>
    <xf numFmtId="0" fontId="8" fillId="0" borderId="30" xfId="0" applyFont="1" applyBorder="1"/>
    <xf numFmtId="166" fontId="8" fillId="0" borderId="0" xfId="0" applyNumberFormat="1" applyFont="1"/>
    <xf numFmtId="11" fontId="8" fillId="0" borderId="0" xfId="0" applyNumberFormat="1" applyFont="1"/>
    <xf numFmtId="1" fontId="7" fillId="22" borderId="0" xfId="0" applyNumberFormat="1" applyFont="1" applyFill="1"/>
    <xf numFmtId="1" fontId="67" fillId="0" borderId="0" xfId="0" applyNumberFormat="1" applyFont="1"/>
    <xf numFmtId="0" fontId="67" fillId="0" borderId="0" xfId="0" applyFont="1"/>
    <xf numFmtId="0" fontId="74" fillId="0" borderId="58" xfId="3" applyFont="1" applyBorder="1"/>
    <xf numFmtId="168" fontId="0" fillId="12" borderId="0" xfId="0" applyNumberFormat="1" applyFill="1"/>
    <xf numFmtId="185" fontId="7" fillId="0" borderId="0" xfId="0" applyNumberFormat="1" applyFont="1"/>
    <xf numFmtId="167" fontId="12" fillId="12" borderId="0" xfId="0" applyNumberFormat="1" applyFont="1" applyFill="1"/>
    <xf numFmtId="185" fontId="0" fillId="23" borderId="0" xfId="0" applyNumberFormat="1" applyFill="1"/>
    <xf numFmtId="11" fontId="0" fillId="22" borderId="0" xfId="0" applyNumberFormat="1" applyFill="1" applyAlignment="1">
      <alignment horizontal="right"/>
    </xf>
    <xf numFmtId="0" fontId="0" fillId="24" borderId="0" xfId="0" applyFill="1" applyAlignment="1">
      <alignment horizontal="right"/>
    </xf>
    <xf numFmtId="168" fontId="35" fillId="22" borderId="0" xfId="0" applyNumberFormat="1" applyFont="1" applyFill="1"/>
    <xf numFmtId="167" fontId="35" fillId="22" borderId="34" xfId="0" applyNumberFormat="1" applyFont="1" applyFill="1" applyBorder="1"/>
    <xf numFmtId="0" fontId="0" fillId="23" borderId="0" xfId="0" applyFill="1" applyAlignment="1">
      <alignment horizontal="right"/>
    </xf>
    <xf numFmtId="2" fontId="0" fillId="22" borderId="0" xfId="0" applyNumberFormat="1" applyFill="1" applyAlignment="1">
      <alignment horizontal="right"/>
    </xf>
    <xf numFmtId="0" fontId="82" fillId="0" borderId="28" xfId="0" applyFont="1" applyBorder="1"/>
    <xf numFmtId="168" fontId="7" fillId="0" borderId="0" xfId="0" applyNumberFormat="1" applyFont="1"/>
    <xf numFmtId="0" fontId="7" fillId="0" borderId="24" xfId="3" applyBorder="1" applyAlignment="1">
      <alignment horizontal="left"/>
    </xf>
    <xf numFmtId="0" fontId="7" fillId="0" borderId="45" xfId="3" applyBorder="1"/>
    <xf numFmtId="0" fontId="7" fillId="0" borderId="46" xfId="3" applyBorder="1"/>
    <xf numFmtId="168" fontId="7" fillId="0" borderId="45" xfId="3" applyNumberFormat="1" applyBorder="1"/>
    <xf numFmtId="0" fontId="7" fillId="8" borderId="15" xfId="3" applyFill="1" applyBorder="1"/>
    <xf numFmtId="11" fontId="7" fillId="0" borderId="11" xfId="3" applyNumberFormat="1" applyBorder="1"/>
    <xf numFmtId="1" fontId="7" fillId="0" borderId="45" xfId="3" applyNumberFormat="1" applyBorder="1"/>
    <xf numFmtId="168" fontId="7" fillId="0" borderId="11" xfId="3" applyNumberFormat="1" applyBorder="1"/>
    <xf numFmtId="0" fontId="7" fillId="0" borderId="0" xfId="3" applyAlignment="1">
      <alignment horizontal="left"/>
    </xf>
    <xf numFmtId="1" fontId="7" fillId="0" borderId="0" xfId="3" applyNumberFormat="1"/>
    <xf numFmtId="0" fontId="7" fillId="0" borderId="0" xfId="3"/>
    <xf numFmtId="168" fontId="7" fillId="0" borderId="0" xfId="3" applyNumberFormat="1"/>
    <xf numFmtId="185" fontId="7" fillId="23" borderId="0" xfId="0" applyNumberFormat="1" applyFont="1" applyFill="1" applyAlignment="1">
      <alignment horizontal="right" vertical="center"/>
    </xf>
    <xf numFmtId="186" fontId="13" fillId="12" borderId="0" xfId="0" applyNumberFormat="1" applyFont="1" applyFill="1"/>
    <xf numFmtId="2" fontId="7" fillId="0" borderId="0" xfId="0" applyNumberFormat="1" applyFont="1"/>
    <xf numFmtId="1" fontId="7" fillId="24" borderId="0" xfId="0" applyNumberFormat="1" applyFont="1" applyFill="1"/>
    <xf numFmtId="0" fontId="7" fillId="24" borderId="0" xfId="0" applyFont="1" applyFill="1"/>
    <xf numFmtId="167" fontId="7" fillId="22" borderId="31" xfId="0" applyNumberFormat="1" applyFont="1" applyFill="1" applyBorder="1"/>
    <xf numFmtId="169" fontId="66" fillId="9" borderId="2" xfId="1" applyNumberFormat="1" applyFont="1" applyFill="1" applyBorder="1" applyAlignment="1" applyProtection="1">
      <alignment horizontal="right"/>
    </xf>
    <xf numFmtId="0" fontId="7" fillId="0" borderId="8" xfId="3" applyBorder="1"/>
    <xf numFmtId="169" fontId="7" fillId="0" borderId="8" xfId="3" applyNumberFormat="1" applyBorder="1"/>
    <xf numFmtId="0" fontId="7" fillId="8" borderId="64" xfId="3" applyFill="1" applyBorder="1"/>
    <xf numFmtId="168" fontId="7" fillId="0" borderId="44" xfId="3" applyNumberFormat="1" applyBorder="1"/>
    <xf numFmtId="168" fontId="67" fillId="0" borderId="0" xfId="0" applyNumberFormat="1" applyFont="1"/>
    <xf numFmtId="1" fontId="8" fillId="0" borderId="0" xfId="0" applyNumberFormat="1" applyFont="1"/>
    <xf numFmtId="187" fontId="8" fillId="12" borderId="0" xfId="0" applyNumberFormat="1" applyFont="1" applyFill="1"/>
    <xf numFmtId="187" fontId="7" fillId="4" borderId="0" xfId="0" applyNumberFormat="1" applyFont="1" applyFill="1"/>
    <xf numFmtId="187" fontId="35" fillId="4" borderId="0" xfId="0" applyNumberFormat="1" applyFont="1" applyFill="1"/>
    <xf numFmtId="0" fontId="7" fillId="0" borderId="8" xfId="3" applyBorder="1" applyAlignment="1">
      <alignment horizontal="left"/>
    </xf>
    <xf numFmtId="2" fontId="7" fillId="0" borderId="59" xfId="3" applyNumberFormat="1" applyBorder="1" applyAlignment="1">
      <alignment horizontal="center"/>
    </xf>
    <xf numFmtId="1" fontId="7" fillId="0" borderId="0" xfId="3" applyNumberFormat="1" applyAlignment="1">
      <alignment horizontal="right"/>
    </xf>
    <xf numFmtId="168" fontId="7" fillId="8" borderId="11" xfId="3" applyNumberFormat="1" applyFill="1" applyBorder="1"/>
    <xf numFmtId="0" fontId="7" fillId="9" borderId="74" xfId="0" applyFont="1" applyFill="1" applyBorder="1" applyAlignment="1">
      <alignment horizontal="left"/>
    </xf>
    <xf numFmtId="169" fontId="7" fillId="9" borderId="28" xfId="0" applyNumberFormat="1" applyFont="1" applyFill="1" applyBorder="1" applyAlignment="1">
      <alignment horizontal="right"/>
    </xf>
    <xf numFmtId="0" fontId="7" fillId="9" borderId="29" xfId="0" applyFont="1" applyFill="1" applyBorder="1" applyAlignment="1">
      <alignment horizontal="left"/>
    </xf>
    <xf numFmtId="0" fontId="7" fillId="9" borderId="46" xfId="0" applyFont="1" applyFill="1" applyBorder="1" applyAlignment="1">
      <alignment horizontal="left"/>
    </xf>
    <xf numFmtId="167" fontId="66" fillId="0" borderId="0" xfId="0" applyNumberFormat="1" applyFont="1"/>
    <xf numFmtId="169" fontId="7" fillId="22" borderId="0" xfId="0" applyNumberFormat="1" applyFont="1" applyFill="1"/>
    <xf numFmtId="1" fontId="8" fillId="22" borderId="0" xfId="0" applyNumberFormat="1" applyFont="1" applyFill="1"/>
    <xf numFmtId="1" fontId="7" fillId="9" borderId="44" xfId="0" applyNumberFormat="1" applyFont="1" applyFill="1" applyBorder="1" applyAlignment="1">
      <alignment horizontal="right"/>
    </xf>
    <xf numFmtId="0" fontId="7" fillId="16" borderId="0" xfId="3" applyFill="1" applyAlignment="1">
      <alignment vertical="center"/>
    </xf>
    <xf numFmtId="49" fontId="7" fillId="16" borderId="0" xfId="3" applyNumberFormat="1" applyFill="1" applyAlignment="1">
      <alignment vertical="center"/>
    </xf>
    <xf numFmtId="189" fontId="7" fillId="21" borderId="11" xfId="3" applyNumberFormat="1" applyFill="1" applyBorder="1" applyAlignment="1">
      <alignment horizontal="center" vertical="center"/>
    </xf>
    <xf numFmtId="172" fontId="7" fillId="21" borderId="11" xfId="3" applyNumberFormat="1" applyFill="1" applyBorder="1" applyAlignment="1">
      <alignment horizontal="center" vertical="center"/>
    </xf>
    <xf numFmtId="0" fontId="7" fillId="21" borderId="15" xfId="3" applyFill="1" applyBorder="1" applyAlignment="1">
      <alignment horizontal="left" vertical="center"/>
    </xf>
    <xf numFmtId="0" fontId="7" fillId="0" borderId="11" xfId="0" applyFont="1" applyBorder="1"/>
    <xf numFmtId="0" fontId="7" fillId="0" borderId="15" xfId="0" applyFont="1" applyBorder="1"/>
    <xf numFmtId="0" fontId="7" fillId="0" borderId="16" xfId="0" applyFont="1" applyBorder="1"/>
    <xf numFmtId="0" fontId="7" fillId="0" borderId="17" xfId="0" applyFont="1" applyBorder="1"/>
    <xf numFmtId="0" fontId="74" fillId="0" borderId="11" xfId="0" applyFont="1" applyBorder="1"/>
    <xf numFmtId="0" fontId="7" fillId="0" borderId="13" xfId="0" applyFont="1" applyBorder="1"/>
    <xf numFmtId="0" fontId="7" fillId="4" borderId="11" xfId="0" applyFont="1" applyFill="1" applyBorder="1"/>
    <xf numFmtId="2" fontId="0" fillId="2" borderId="0" xfId="0" applyNumberFormat="1" applyFill="1"/>
    <xf numFmtId="0" fontId="7" fillId="6" borderId="11" xfId="0" applyFont="1" applyFill="1" applyBorder="1"/>
    <xf numFmtId="167" fontId="20" fillId="7" borderId="0" xfId="0" applyNumberFormat="1" applyFont="1" applyFill="1"/>
    <xf numFmtId="2" fontId="20" fillId="7" borderId="0" xfId="0" applyNumberFormat="1" applyFont="1" applyFill="1"/>
    <xf numFmtId="0" fontId="8" fillId="2" borderId="5" xfId="0" applyFont="1" applyFill="1" applyBorder="1" applyAlignment="1">
      <alignment horizontal="center" vertical="center" wrapText="1"/>
    </xf>
    <xf numFmtId="0" fontId="8" fillId="2" borderId="6" xfId="0" applyFont="1" applyFill="1" applyBorder="1" applyAlignment="1">
      <alignment horizontal="center" vertical="center" wrapText="1"/>
    </xf>
    <xf numFmtId="0" fontId="8" fillId="7" borderId="7" xfId="0" applyFont="1" applyFill="1" applyBorder="1" applyAlignment="1">
      <alignment horizontal="center" vertical="center" wrapText="1"/>
    </xf>
    <xf numFmtId="170" fontId="8" fillId="2" borderId="6" xfId="0" applyNumberFormat="1" applyFont="1" applyFill="1" applyBorder="1" applyAlignment="1">
      <alignment horizontal="center" vertical="center" wrapText="1"/>
    </xf>
    <xf numFmtId="0" fontId="8" fillId="2" borderId="21" xfId="0" applyFont="1" applyFill="1" applyBorder="1" applyAlignment="1">
      <alignment horizontal="center" vertical="center" wrapText="1"/>
    </xf>
    <xf numFmtId="0" fontId="8" fillId="7" borderId="22" xfId="0" applyFont="1" applyFill="1" applyBorder="1" applyAlignment="1">
      <alignment horizontal="center" vertical="center" wrapText="1"/>
    </xf>
    <xf numFmtId="0" fontId="8" fillId="2" borderId="24" xfId="0" applyFont="1" applyFill="1" applyBorder="1" applyAlignment="1">
      <alignment horizontal="center" vertical="center" wrapText="1"/>
    </xf>
    <xf numFmtId="0" fontId="8" fillId="2" borderId="25" xfId="0" applyFont="1" applyFill="1" applyBorder="1" applyAlignment="1">
      <alignment horizontal="center" vertical="center" wrapText="1"/>
    </xf>
    <xf numFmtId="0" fontId="8" fillId="2" borderId="26" xfId="0" applyFont="1" applyFill="1" applyBorder="1" applyAlignment="1">
      <alignment horizontal="center" vertical="center" wrapText="1"/>
    </xf>
    <xf numFmtId="0" fontId="8" fillId="7" borderId="27" xfId="0" applyFont="1" applyFill="1" applyBorder="1" applyAlignment="1">
      <alignment horizontal="center" vertical="center" wrapText="1"/>
    </xf>
    <xf numFmtId="0" fontId="8" fillId="14" borderId="5" xfId="0" applyFont="1" applyFill="1" applyBorder="1" applyAlignment="1">
      <alignment horizontal="center" vertical="center" wrapText="1"/>
    </xf>
    <xf numFmtId="2" fontId="8" fillId="14" borderId="6" xfId="0" applyNumberFormat="1" applyFont="1" applyFill="1" applyBorder="1" applyAlignment="1">
      <alignment horizontal="center" vertical="center" wrapText="1"/>
    </xf>
    <xf numFmtId="168" fontId="8" fillId="2" borderId="6" xfId="0" applyNumberFormat="1" applyFont="1" applyFill="1" applyBorder="1" applyAlignment="1">
      <alignment horizontal="center" vertical="center" wrapText="1"/>
    </xf>
    <xf numFmtId="167" fontId="8" fillId="2" borderId="5" xfId="0" applyNumberFormat="1" applyFont="1" applyFill="1" applyBorder="1" applyAlignment="1">
      <alignment horizontal="center" vertical="center" wrapText="1"/>
    </xf>
    <xf numFmtId="167" fontId="8" fillId="2" borderId="6" xfId="0" applyNumberFormat="1" applyFont="1" applyFill="1" applyBorder="1" applyAlignment="1">
      <alignment horizontal="center" vertical="center" wrapText="1"/>
    </xf>
    <xf numFmtId="0" fontId="8" fillId="4" borderId="3" xfId="0" applyFont="1" applyFill="1" applyBorder="1" applyAlignment="1">
      <alignment horizontal="center"/>
    </xf>
    <xf numFmtId="0" fontId="8" fillId="4" borderId="2" xfId="0" applyFont="1" applyFill="1" applyBorder="1" applyAlignment="1">
      <alignment horizontal="center"/>
    </xf>
    <xf numFmtId="167" fontId="8" fillId="4" borderId="78" xfId="0" applyNumberFormat="1" applyFont="1" applyFill="1" applyBorder="1" applyAlignment="1">
      <alignment horizontal="center"/>
    </xf>
    <xf numFmtId="167" fontId="8" fillId="4" borderId="2" xfId="0" applyNumberFormat="1" applyFont="1" applyFill="1" applyBorder="1" applyAlignment="1">
      <alignment horizontal="center"/>
    </xf>
    <xf numFmtId="167" fontId="8" fillId="7" borderId="23" xfId="0" applyNumberFormat="1" applyFont="1" applyFill="1" applyBorder="1" applyAlignment="1">
      <alignment horizontal="center" vertical="center" wrapText="1"/>
    </xf>
    <xf numFmtId="0" fontId="64" fillId="19" borderId="23" xfId="0" applyFont="1" applyFill="1" applyBorder="1" applyAlignment="1">
      <alignment horizontal="center" vertical="center" wrapText="1"/>
    </xf>
    <xf numFmtId="0" fontId="8" fillId="9" borderId="75" xfId="0" applyFont="1" applyFill="1" applyBorder="1"/>
    <xf numFmtId="0" fontId="7" fillId="9" borderId="75" xfId="0" applyFont="1" applyFill="1" applyBorder="1"/>
    <xf numFmtId="0" fontId="7" fillId="9" borderId="74" xfId="0" applyFont="1" applyFill="1" applyBorder="1"/>
    <xf numFmtId="0" fontId="81" fillId="9" borderId="28" xfId="0" applyFont="1" applyFill="1" applyBorder="1"/>
    <xf numFmtId="0" fontId="20" fillId="0" borderId="39" xfId="0" applyFont="1" applyBorder="1"/>
    <xf numFmtId="2" fontId="20" fillId="4" borderId="0" xfId="0" applyNumberFormat="1" applyFont="1" applyFill="1" applyAlignment="1">
      <alignment horizontal="right"/>
    </xf>
    <xf numFmtId="2" fontId="35" fillId="22" borderId="0" xfId="0" applyNumberFormat="1" applyFont="1" applyFill="1" applyAlignment="1">
      <alignment horizontal="right"/>
    </xf>
    <xf numFmtId="167" fontId="8" fillId="12" borderId="0" xfId="0" applyNumberFormat="1" applyFont="1" applyFill="1"/>
    <xf numFmtId="168" fontId="13" fillId="0" borderId="0" xfId="0" applyNumberFormat="1" applyFont="1"/>
    <xf numFmtId="168" fontId="0" fillId="13" borderId="0" xfId="0" applyNumberFormat="1" applyFill="1"/>
    <xf numFmtId="0" fontId="84" fillId="0" borderId="0" xfId="0" applyFont="1"/>
    <xf numFmtId="2" fontId="8" fillId="0" borderId="0" xfId="0" applyNumberFormat="1" applyFont="1"/>
    <xf numFmtId="0" fontId="22" fillId="16" borderId="28" xfId="0" applyFont="1" applyFill="1" applyBorder="1"/>
    <xf numFmtId="0" fontId="7" fillId="9" borderId="0" xfId="0" applyFont="1" applyFill="1" applyAlignment="1">
      <alignment horizontal="right" vertical="top"/>
    </xf>
    <xf numFmtId="169" fontId="7" fillId="9" borderId="0" xfId="0" applyNumberFormat="1" applyFont="1" applyFill="1" applyAlignment="1">
      <alignment horizontal="left" vertical="center"/>
    </xf>
    <xf numFmtId="0" fontId="69" fillId="9" borderId="75" xfId="0" applyFont="1" applyFill="1" applyBorder="1" applyAlignment="1">
      <alignment horizontal="left"/>
    </xf>
    <xf numFmtId="0" fontId="8" fillId="4" borderId="0" xfId="0" applyFont="1" applyFill="1"/>
    <xf numFmtId="0" fontId="75" fillId="3" borderId="49" xfId="3" applyFont="1" applyFill="1" applyBorder="1" applyAlignment="1">
      <alignment horizontal="center" vertical="center"/>
    </xf>
    <xf numFmtId="0" fontId="75" fillId="3" borderId="50" xfId="3" applyFont="1" applyFill="1" applyBorder="1" applyAlignment="1">
      <alignment horizontal="center" vertical="center"/>
    </xf>
    <xf numFmtId="0" fontId="75" fillId="3" borderId="50" xfId="3" applyFont="1" applyFill="1" applyBorder="1" applyAlignment="1">
      <alignment horizontal="left" vertical="center"/>
    </xf>
    <xf numFmtId="0" fontId="7" fillId="9" borderId="75" xfId="0" applyFont="1" applyFill="1" applyBorder="1" applyAlignment="1">
      <alignment horizontal="right" vertical="center"/>
    </xf>
    <xf numFmtId="0" fontId="7" fillId="9" borderId="41" xfId="0" applyFont="1" applyFill="1" applyBorder="1" applyAlignment="1">
      <alignment horizontal="left" vertical="center"/>
    </xf>
    <xf numFmtId="0" fontId="7" fillId="9" borderId="0" xfId="0" applyFont="1" applyFill="1" applyAlignment="1">
      <alignment horizontal="left" vertical="top"/>
    </xf>
    <xf numFmtId="0" fontId="7" fillId="9" borderId="0" xfId="0" applyFont="1" applyFill="1" applyAlignment="1">
      <alignment horizontal="right" vertical="top" readingOrder="1"/>
    </xf>
    <xf numFmtId="169" fontId="0" fillId="0" borderId="0" xfId="0" applyNumberFormat="1" applyAlignment="1">
      <alignment horizontal="left"/>
    </xf>
    <xf numFmtId="187" fontId="66" fillId="0" borderId="0" xfId="0" applyNumberFormat="1" applyFont="1"/>
    <xf numFmtId="11" fontId="66" fillId="0" borderId="0" xfId="0" applyNumberFormat="1" applyFont="1"/>
    <xf numFmtId="168" fontId="69" fillId="0" borderId="0" xfId="0" applyNumberFormat="1" applyFont="1"/>
    <xf numFmtId="0" fontId="69" fillId="0" borderId="0" xfId="0" applyFont="1"/>
    <xf numFmtId="0" fontId="86" fillId="0" borderId="0" xfId="0" applyFont="1"/>
    <xf numFmtId="0" fontId="8" fillId="5" borderId="69" xfId="0" applyFont="1" applyFill="1" applyBorder="1"/>
    <xf numFmtId="0" fontId="25" fillId="25" borderId="43" xfId="0" applyFont="1" applyFill="1" applyBorder="1"/>
    <xf numFmtId="0" fontId="25" fillId="25" borderId="41" xfId="0" applyFont="1" applyFill="1" applyBorder="1"/>
    <xf numFmtId="0" fontId="22" fillId="25" borderId="41" xfId="0" applyFont="1" applyFill="1" applyBorder="1"/>
    <xf numFmtId="171" fontId="22" fillId="25" borderId="0" xfId="0" applyNumberFormat="1" applyFont="1" applyFill="1" applyAlignment="1">
      <alignment horizontal="center"/>
    </xf>
    <xf numFmtId="0" fontId="22" fillId="25" borderId="0" xfId="0" applyFont="1" applyFill="1"/>
    <xf numFmtId="171" fontId="71" fillId="25" borderId="0" xfId="0" applyNumberFormat="1" applyFont="1" applyFill="1" applyAlignment="1">
      <alignment horizontal="center"/>
    </xf>
    <xf numFmtId="171" fontId="30" fillId="25" borderId="0" xfId="0" applyNumberFormat="1" applyFont="1" applyFill="1" applyAlignment="1">
      <alignment horizontal="center"/>
    </xf>
    <xf numFmtId="0" fontId="31" fillId="25" borderId="28" xfId="0" applyFont="1" applyFill="1" applyBorder="1" applyAlignment="1">
      <alignment horizontal="left"/>
    </xf>
    <xf numFmtId="0" fontId="31" fillId="25" borderId="0" xfId="0" applyFont="1" applyFill="1" applyAlignment="1">
      <alignment horizontal="left"/>
    </xf>
    <xf numFmtId="0" fontId="29" fillId="25" borderId="28" xfId="0" applyFont="1" applyFill="1" applyBorder="1" applyAlignment="1">
      <alignment horizontal="left" vertical="center"/>
    </xf>
    <xf numFmtId="0" fontId="29" fillId="25" borderId="0" xfId="0" applyFont="1" applyFill="1" applyAlignment="1">
      <alignment horizontal="left" vertical="center"/>
    </xf>
    <xf numFmtId="0" fontId="73" fillId="25" borderId="0" xfId="0" applyFont="1" applyFill="1" applyAlignment="1">
      <alignment horizontal="left" vertical="center"/>
    </xf>
    <xf numFmtId="0" fontId="25" fillId="25" borderId="31" xfId="0" applyFont="1" applyFill="1" applyBorder="1"/>
    <xf numFmtId="0" fontId="29" fillId="25" borderId="0" xfId="0" quotePrefix="1" applyFont="1" applyFill="1" applyAlignment="1">
      <alignment vertical="center"/>
    </xf>
    <xf numFmtId="0" fontId="25" fillId="25" borderId="0" xfId="0" applyFont="1" applyFill="1" applyAlignment="1">
      <alignment vertical="center"/>
    </xf>
    <xf numFmtId="0" fontId="34" fillId="25" borderId="0" xfId="0" applyFont="1" applyFill="1" applyAlignment="1">
      <alignment vertical="center"/>
    </xf>
    <xf numFmtId="0" fontId="32" fillId="25" borderId="31" xfId="0" applyFont="1" applyFill="1" applyBorder="1"/>
    <xf numFmtId="0" fontId="32" fillId="25" borderId="45" xfId="0" applyFont="1" applyFill="1" applyBorder="1"/>
    <xf numFmtId="0" fontId="87" fillId="25" borderId="0" xfId="2" applyFont="1" applyFill="1" applyBorder="1" applyAlignment="1" applyProtection="1">
      <alignment horizontal="left" vertical="center"/>
    </xf>
    <xf numFmtId="1" fontId="7" fillId="9" borderId="73" xfId="0" applyNumberFormat="1" applyFont="1" applyFill="1" applyBorder="1" applyAlignment="1">
      <alignment horizontal="right"/>
    </xf>
    <xf numFmtId="0" fontId="89" fillId="0" borderId="28" xfId="0" applyFont="1" applyBorder="1"/>
    <xf numFmtId="169" fontId="8" fillId="22" borderId="0" xfId="0" applyNumberFormat="1" applyFont="1" applyFill="1"/>
    <xf numFmtId="169" fontId="8" fillId="0" borderId="0" xfId="0" applyNumberFormat="1" applyFont="1"/>
    <xf numFmtId="168" fontId="0" fillId="22" borderId="0" xfId="0" applyNumberFormat="1" applyFill="1"/>
    <xf numFmtId="2" fontId="13" fillId="12" borderId="0" xfId="0" applyNumberFormat="1" applyFont="1" applyFill="1"/>
    <xf numFmtId="169" fontId="20" fillId="4" borderId="0" xfId="0" applyNumberFormat="1" applyFont="1" applyFill="1" applyAlignment="1">
      <alignment horizontal="right"/>
    </xf>
    <xf numFmtId="187" fontId="8" fillId="0" borderId="0" xfId="0" applyNumberFormat="1" applyFont="1"/>
    <xf numFmtId="2" fontId="35" fillId="0" borderId="0" xfId="0" applyNumberFormat="1" applyFont="1"/>
    <xf numFmtId="0" fontId="76" fillId="0" borderId="0" xfId="0" applyFont="1"/>
    <xf numFmtId="169" fontId="7" fillId="9" borderId="0" xfId="0" applyNumberFormat="1" applyFont="1" applyFill="1" applyAlignment="1">
      <alignment horizontal="right"/>
    </xf>
    <xf numFmtId="169" fontId="7" fillId="9" borderId="0" xfId="0" applyNumberFormat="1" applyFont="1" applyFill="1" applyAlignment="1">
      <alignment horizontal="right" vertical="center"/>
    </xf>
    <xf numFmtId="11" fontId="66" fillId="22" borderId="0" xfId="0" applyNumberFormat="1" applyFont="1" applyFill="1"/>
    <xf numFmtId="2" fontId="0" fillId="4" borderId="0" xfId="0" applyNumberFormat="1" applyFill="1"/>
    <xf numFmtId="0" fontId="0" fillId="0" borderId="31" xfId="0" applyBorder="1" applyAlignment="1">
      <alignment horizontal="left"/>
    </xf>
    <xf numFmtId="0" fontId="66" fillId="9" borderId="0" xfId="0" applyFont="1" applyFill="1" applyAlignment="1">
      <alignment horizontal="right"/>
    </xf>
    <xf numFmtId="2" fontId="7" fillId="16" borderId="0" xfId="0" applyNumberFormat="1" applyFont="1" applyFill="1"/>
    <xf numFmtId="11" fontId="35" fillId="22" borderId="0" xfId="0" applyNumberFormat="1" applyFont="1" applyFill="1" applyAlignment="1">
      <alignment horizontal="right"/>
    </xf>
    <xf numFmtId="11" fontId="0" fillId="22" borderId="0" xfId="0" applyNumberFormat="1" applyFill="1"/>
    <xf numFmtId="167" fontId="0" fillId="22" borderId="0" xfId="0" applyNumberFormat="1" applyFill="1"/>
    <xf numFmtId="168" fontId="35" fillId="0" borderId="0" xfId="0" applyNumberFormat="1" applyFont="1"/>
    <xf numFmtId="0" fontId="76" fillId="0" borderId="0" xfId="0" applyFont="1" applyAlignment="1">
      <alignment horizontal="left"/>
    </xf>
    <xf numFmtId="0" fontId="64" fillId="0" borderId="0" xfId="0" applyFont="1" applyAlignment="1">
      <alignment horizontal="right"/>
    </xf>
    <xf numFmtId="0" fontId="0" fillId="16" borderId="0" xfId="0" applyFill="1"/>
    <xf numFmtId="0" fontId="8" fillId="2" borderId="23" xfId="0" applyFont="1" applyFill="1" applyBorder="1" applyAlignment="1">
      <alignment horizontal="center" vertical="center" wrapText="1"/>
    </xf>
    <xf numFmtId="2" fontId="8" fillId="2" borderId="5" xfId="0" applyNumberFormat="1" applyFont="1" applyFill="1" applyBorder="1" applyAlignment="1">
      <alignment horizontal="center" vertical="center" wrapText="1"/>
    </xf>
    <xf numFmtId="2" fontId="8" fillId="2" borderId="7" xfId="0" applyNumberFormat="1" applyFont="1" applyFill="1" applyBorder="1" applyAlignment="1">
      <alignment horizontal="center" vertical="center" wrapText="1"/>
    </xf>
    <xf numFmtId="168" fontId="0" fillId="0" borderId="0" xfId="0" applyNumberFormat="1" applyAlignment="1">
      <alignment horizontal="right"/>
    </xf>
    <xf numFmtId="186" fontId="0" fillId="0" borderId="0" xfId="0" applyNumberFormat="1"/>
    <xf numFmtId="0" fontId="8" fillId="0" borderId="28" xfId="0" applyFont="1" applyBorder="1" applyAlignment="1">
      <alignment horizontal="center"/>
    </xf>
    <xf numFmtId="167" fontId="8" fillId="26" borderId="0" xfId="0" applyNumberFormat="1" applyFont="1" applyFill="1" applyAlignment="1">
      <alignment horizontal="center" vertical="center" wrapText="1"/>
    </xf>
    <xf numFmtId="0" fontId="8"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68" fontId="8" fillId="2" borderId="21" xfId="0" applyNumberFormat="1" applyFont="1" applyFill="1" applyBorder="1" applyAlignment="1">
      <alignment horizontal="center" vertical="center" wrapText="1"/>
    </xf>
    <xf numFmtId="1" fontId="8" fillId="16" borderId="0" xfId="0" applyNumberFormat="1" applyFont="1" applyFill="1" applyAlignment="1" applyProtection="1">
      <alignment horizontal="right" vertical="center"/>
      <protection hidden="1"/>
    </xf>
    <xf numFmtId="0" fontId="64" fillId="2" borderId="6" xfId="0" applyFont="1" applyFill="1" applyBorder="1" applyAlignment="1">
      <alignment horizontal="center" vertical="center" wrapText="1"/>
    </xf>
    <xf numFmtId="169" fontId="82" fillId="0" borderId="0" xfId="0" applyNumberFormat="1" applyFont="1"/>
    <xf numFmtId="10" fontId="82" fillId="0" borderId="0" xfId="0" applyNumberFormat="1" applyFont="1" applyAlignment="1">
      <alignment horizontal="center"/>
    </xf>
    <xf numFmtId="0" fontId="15" fillId="9" borderId="0" xfId="2" applyFill="1" applyAlignment="1" applyProtection="1"/>
    <xf numFmtId="0" fontId="64" fillId="0" borderId="0" xfId="0" applyFont="1" applyAlignment="1">
      <alignment horizontal="left"/>
    </xf>
    <xf numFmtId="169" fontId="7" fillId="16" borderId="0" xfId="0" applyNumberFormat="1" applyFont="1" applyFill="1"/>
    <xf numFmtId="0" fontId="8" fillId="9" borderId="45" xfId="0" applyFont="1" applyFill="1" applyBorder="1" applyAlignment="1">
      <alignment horizontal="left" vertical="center"/>
    </xf>
    <xf numFmtId="0" fontId="0" fillId="19" borderId="0" xfId="0" applyFill="1"/>
    <xf numFmtId="0" fontId="7" fillId="19" borderId="0" xfId="0" applyFont="1" applyFill="1"/>
    <xf numFmtId="169" fontId="7" fillId="19" borderId="0" xfId="0" applyNumberFormat="1" applyFont="1" applyFill="1"/>
    <xf numFmtId="0" fontId="8" fillId="27" borderId="0" xfId="0" applyFont="1" applyFill="1" applyAlignment="1">
      <alignment horizontal="center"/>
    </xf>
    <xf numFmtId="2" fontId="7" fillId="19" borderId="0" xfId="0" applyNumberFormat="1" applyFont="1" applyFill="1"/>
    <xf numFmtId="0" fontId="7" fillId="0" borderId="0" xfId="0" applyFont="1" applyAlignment="1">
      <alignment horizontal="center"/>
    </xf>
    <xf numFmtId="0" fontId="7" fillId="9" borderId="0" xfId="0" applyFont="1" applyFill="1" applyAlignment="1" applyProtection="1">
      <alignment horizontal="right" vertical="center"/>
      <protection hidden="1"/>
    </xf>
    <xf numFmtId="0" fontId="7" fillId="28" borderId="75" xfId="0" applyFont="1" applyFill="1" applyBorder="1"/>
    <xf numFmtId="0" fontId="7" fillId="28" borderId="0" xfId="0" applyFont="1" applyFill="1"/>
    <xf numFmtId="48" fontId="0" fillId="22" borderId="0" xfId="0" applyNumberFormat="1" applyFill="1"/>
    <xf numFmtId="48" fontId="7" fillId="28" borderId="0" xfId="0" applyNumberFormat="1" applyFont="1" applyFill="1"/>
    <xf numFmtId="173" fontId="7" fillId="20" borderId="11" xfId="3" applyNumberFormat="1" applyFill="1" applyBorder="1" applyAlignment="1">
      <alignment horizontal="center" vertical="center"/>
    </xf>
    <xf numFmtId="0" fontId="7" fillId="0" borderId="0" xfId="0" quotePrefix="1" applyFont="1"/>
    <xf numFmtId="0" fontId="0" fillId="0" borderId="0" xfId="0" quotePrefix="1"/>
    <xf numFmtId="0" fontId="94" fillId="0" borderId="0" xfId="6" applyFont="1"/>
    <xf numFmtId="0" fontId="67" fillId="0" borderId="0" xfId="6" applyFont="1" applyAlignment="1">
      <alignment horizontal="center"/>
    </xf>
    <xf numFmtId="0" fontId="67" fillId="0" borderId="0" xfId="6" applyFont="1" applyAlignment="1">
      <alignment horizontal="left"/>
    </xf>
    <xf numFmtId="0" fontId="66" fillId="0" borderId="0" xfId="6" applyFont="1"/>
    <xf numFmtId="0" fontId="96" fillId="0" borderId="0" xfId="7" applyFont="1" applyFill="1" applyBorder="1" applyAlignment="1">
      <alignment vertical="center"/>
    </xf>
    <xf numFmtId="0" fontId="96" fillId="0" borderId="0" xfId="7" applyFont="1" applyFill="1" applyBorder="1" applyAlignment="1">
      <alignment horizontal="right" vertical="center"/>
    </xf>
    <xf numFmtId="0" fontId="94" fillId="0" borderId="0" xfId="6" applyFont="1" applyAlignment="1">
      <alignment horizontal="center"/>
    </xf>
    <xf numFmtId="0" fontId="94" fillId="0" borderId="0" xfId="6" applyFont="1" applyAlignment="1">
      <alignment horizontal="left"/>
    </xf>
    <xf numFmtId="0" fontId="66" fillId="0" borderId="0" xfId="6" applyFont="1" applyAlignment="1">
      <alignment horizontal="center"/>
    </xf>
    <xf numFmtId="0" fontId="7" fillId="0" borderId="0" xfId="6" applyFont="1"/>
    <xf numFmtId="0" fontId="97" fillId="18" borderId="0" xfId="6" applyFont="1" applyFill="1" applyAlignment="1">
      <alignment horizontal="center"/>
    </xf>
    <xf numFmtId="0" fontId="98" fillId="0" borderId="0" xfId="7" applyFont="1" applyFill="1" applyBorder="1" applyAlignment="1">
      <alignment vertical="center"/>
    </xf>
    <xf numFmtId="0" fontId="8" fillId="0" borderId="0" xfId="0" applyFont="1" applyProtection="1">
      <protection hidden="1"/>
    </xf>
    <xf numFmtId="0" fontId="66" fillId="16" borderId="2" xfId="0" applyFont="1" applyFill="1" applyBorder="1" applyAlignment="1">
      <alignment horizontal="right" vertical="center"/>
    </xf>
    <xf numFmtId="169" fontId="7" fillId="0" borderId="2" xfId="0" applyNumberFormat="1" applyFont="1" applyBorder="1" applyAlignment="1" applyProtection="1">
      <alignment vertical="center"/>
      <protection hidden="1"/>
    </xf>
    <xf numFmtId="0" fontId="90" fillId="27" borderId="0" xfId="0" applyFont="1" applyFill="1" applyAlignment="1">
      <alignment horizontal="left"/>
    </xf>
    <xf numFmtId="2" fontId="90" fillId="27" borderId="0" xfId="0" applyNumberFormat="1" applyFont="1" applyFill="1" applyAlignment="1">
      <alignment horizontal="left"/>
    </xf>
    <xf numFmtId="1" fontId="0" fillId="27" borderId="0" xfId="0" applyNumberFormat="1" applyFill="1" applyAlignment="1">
      <alignment horizontal="left"/>
    </xf>
    <xf numFmtId="0" fontId="0" fillId="27" borderId="0" xfId="0" applyFill="1"/>
    <xf numFmtId="0" fontId="8" fillId="27" borderId="0" xfId="0" applyFont="1" applyFill="1" applyAlignment="1">
      <alignment horizontal="left"/>
    </xf>
    <xf numFmtId="2" fontId="8" fillId="27" borderId="0" xfId="0" applyNumberFormat="1" applyFont="1" applyFill="1" applyAlignment="1">
      <alignment horizontal="left"/>
    </xf>
    <xf numFmtId="48" fontId="0" fillId="27" borderId="0" xfId="0" applyNumberFormat="1" applyFill="1"/>
    <xf numFmtId="48" fontId="7" fillId="27" borderId="0" xfId="0" applyNumberFormat="1" applyFont="1" applyFill="1"/>
    <xf numFmtId="48" fontId="0" fillId="0" borderId="0" xfId="0" applyNumberFormat="1"/>
    <xf numFmtId="48" fontId="0" fillId="12" borderId="0" xfId="0" applyNumberFormat="1" applyFill="1"/>
    <xf numFmtId="48" fontId="8" fillId="24" borderId="0" xfId="0" applyNumberFormat="1" applyFont="1" applyFill="1" applyAlignment="1">
      <alignment horizontal="right"/>
    </xf>
    <xf numFmtId="48" fontId="0" fillId="4" borderId="31" xfId="0" applyNumberFormat="1" applyFill="1" applyBorder="1"/>
    <xf numFmtId="0" fontId="101" fillId="25" borderId="0" xfId="0" applyFont="1" applyFill="1" applyAlignment="1">
      <alignment horizontal="left"/>
    </xf>
    <xf numFmtId="0" fontId="100" fillId="25" borderId="0" xfId="2" applyFont="1" applyFill="1" applyAlignment="1" applyProtection="1">
      <alignment horizontal="left"/>
      <protection locked="0"/>
    </xf>
    <xf numFmtId="0" fontId="90" fillId="0" borderId="0" xfId="0" applyFont="1"/>
    <xf numFmtId="0" fontId="8" fillId="19" borderId="0" xfId="0" applyFont="1" applyFill="1" applyAlignment="1">
      <alignment horizontal="left" vertical="center"/>
    </xf>
    <xf numFmtId="48" fontId="12" fillId="12" borderId="0" xfId="0" applyNumberFormat="1" applyFont="1" applyFill="1"/>
    <xf numFmtId="0" fontId="69" fillId="9" borderId="0" xfId="0" applyFont="1" applyFill="1" applyAlignment="1">
      <alignment vertical="center"/>
    </xf>
    <xf numFmtId="0" fontId="69" fillId="0" borderId="45" xfId="0" applyFont="1" applyBorder="1" applyAlignment="1">
      <alignment horizontal="left" vertical="center"/>
    </xf>
    <xf numFmtId="0" fontId="70" fillId="9" borderId="45" xfId="0" applyFont="1" applyFill="1" applyBorder="1" applyAlignment="1">
      <alignment vertical="center"/>
    </xf>
    <xf numFmtId="48" fontId="0" fillId="13" borderId="0" xfId="0" applyNumberFormat="1" applyFill="1"/>
    <xf numFmtId="0" fontId="7" fillId="0" borderId="45" xfId="0" applyFont="1" applyBorder="1"/>
    <xf numFmtId="0" fontId="74" fillId="0" borderId="4" xfId="0" applyFont="1" applyBorder="1"/>
    <xf numFmtId="0" fontId="0" fillId="0" borderId="41" xfId="0" applyBorder="1" applyAlignment="1">
      <alignment horizontal="right"/>
    </xf>
    <xf numFmtId="0" fontId="0" fillId="0" borderId="74" xfId="0" applyBorder="1"/>
    <xf numFmtId="0" fontId="0" fillId="0" borderId="45" xfId="0" applyBorder="1"/>
    <xf numFmtId="0" fontId="0" fillId="0" borderId="46" xfId="0" applyBorder="1"/>
    <xf numFmtId="0" fontId="8" fillId="0" borderId="73" xfId="0" applyFont="1" applyBorder="1"/>
    <xf numFmtId="48" fontId="0" fillId="28" borderId="0" xfId="0" applyNumberFormat="1" applyFill="1"/>
    <xf numFmtId="48" fontId="0" fillId="31" borderId="0" xfId="0" applyNumberFormat="1" applyFill="1" applyAlignment="1">
      <alignment horizontal="right"/>
    </xf>
    <xf numFmtId="0" fontId="67" fillId="16" borderId="0" xfId="0" applyFont="1" applyFill="1" applyAlignment="1">
      <alignment horizontal="right"/>
    </xf>
    <xf numFmtId="1" fontId="7" fillId="9" borderId="0" xfId="0" applyNumberFormat="1" applyFont="1" applyFill="1" applyAlignment="1" applyProtection="1">
      <alignment horizontal="right"/>
      <protection hidden="1"/>
    </xf>
    <xf numFmtId="0" fontId="66" fillId="16" borderId="45" xfId="0" applyFont="1" applyFill="1" applyBorder="1" applyAlignment="1">
      <alignment horizontal="center"/>
    </xf>
    <xf numFmtId="169" fontId="7" fillId="9" borderId="45" xfId="0" applyNumberFormat="1" applyFont="1" applyFill="1" applyBorder="1" applyAlignment="1">
      <alignment vertical="center"/>
    </xf>
    <xf numFmtId="11" fontId="7" fillId="0" borderId="0" xfId="3" applyNumberFormat="1"/>
    <xf numFmtId="1" fontId="7" fillId="16" borderId="0" xfId="0" applyNumberFormat="1" applyFont="1" applyFill="1"/>
    <xf numFmtId="48" fontId="7" fillId="0" borderId="0" xfId="3" applyNumberFormat="1"/>
    <xf numFmtId="0" fontId="64" fillId="2" borderId="6" xfId="0" quotePrefix="1" applyFont="1" applyFill="1" applyBorder="1" applyAlignment="1">
      <alignment horizontal="center" vertical="center" wrapText="1"/>
    </xf>
    <xf numFmtId="48" fontId="7" fillId="13" borderId="0" xfId="0" applyNumberFormat="1" applyFont="1" applyFill="1"/>
    <xf numFmtId="0" fontId="104" fillId="33" borderId="80" xfId="11"/>
    <xf numFmtId="0" fontId="103" fillId="32" borderId="79" xfId="10"/>
    <xf numFmtId="0" fontId="22" fillId="9" borderId="29" xfId="0" applyFont="1" applyFill="1" applyBorder="1" applyAlignment="1">
      <alignment vertical="center"/>
    </xf>
    <xf numFmtId="0" fontId="22" fillId="9" borderId="45" xfId="0" applyFont="1" applyFill="1" applyBorder="1"/>
    <xf numFmtId="0" fontId="22" fillId="9" borderId="46" xfId="0" applyFont="1" applyFill="1" applyBorder="1"/>
    <xf numFmtId="0" fontId="22" fillId="9" borderId="28" xfId="0" applyFont="1" applyFill="1" applyBorder="1" applyAlignment="1">
      <alignment vertical="top"/>
    </xf>
    <xf numFmtId="0" fontId="8" fillId="0" borderId="0" xfId="0" applyFont="1" applyAlignment="1" applyProtection="1">
      <alignment horizontal="right" vertical="center"/>
      <protection hidden="1"/>
    </xf>
    <xf numFmtId="0" fontId="0" fillId="0" borderId="6" xfId="0" applyBorder="1"/>
    <xf numFmtId="0" fontId="0" fillId="0" borderId="12" xfId="0" applyBorder="1"/>
    <xf numFmtId="0" fontId="0" fillId="0" borderId="12" xfId="0" applyBorder="1" applyAlignment="1">
      <alignment horizontal="right" vertical="top"/>
    </xf>
    <xf numFmtId="0" fontId="0" fillId="0" borderId="13" xfId="0" applyBorder="1" applyAlignment="1">
      <alignment horizontal="right" vertical="top"/>
    </xf>
    <xf numFmtId="0" fontId="0" fillId="0" borderId="11" xfId="0" applyBorder="1" applyAlignment="1">
      <alignment horizontal="right" vertical="top"/>
    </xf>
    <xf numFmtId="1" fontId="74" fillId="0" borderId="0" xfId="0" applyNumberFormat="1" applyFont="1"/>
    <xf numFmtId="0" fontId="64" fillId="0" borderId="0" xfId="0" applyFont="1" applyAlignment="1">
      <alignment horizontal="center" vertical="top"/>
    </xf>
    <xf numFmtId="0" fontId="66" fillId="9" borderId="0" xfId="0" applyFont="1" applyFill="1" applyAlignment="1" applyProtection="1">
      <alignment horizontal="right"/>
      <protection hidden="1"/>
    </xf>
    <xf numFmtId="0" fontId="8" fillId="9" borderId="29" xfId="0" applyFont="1" applyFill="1" applyBorder="1" applyProtection="1">
      <protection hidden="1"/>
    </xf>
    <xf numFmtId="0" fontId="0" fillId="4" borderId="41" xfId="0" applyFill="1" applyBorder="1"/>
    <xf numFmtId="0" fontId="7" fillId="28" borderId="2" xfId="0" applyFont="1" applyFill="1" applyBorder="1"/>
    <xf numFmtId="0" fontId="0" fillId="28" borderId="2" xfId="0" applyFill="1" applyBorder="1"/>
    <xf numFmtId="0" fontId="0" fillId="28" borderId="0" xfId="0" applyFill="1"/>
    <xf numFmtId="0" fontId="106" fillId="16" borderId="41" xfId="3" applyFont="1" applyFill="1" applyBorder="1" applyAlignment="1" applyProtection="1">
      <alignment horizontal="right"/>
      <protection hidden="1"/>
    </xf>
    <xf numFmtId="0" fontId="0" fillId="19" borderId="41" xfId="0" applyFill="1" applyBorder="1" applyProtection="1">
      <protection locked="0" hidden="1"/>
    </xf>
    <xf numFmtId="0" fontId="107" fillId="25" borderId="30" xfId="0" applyFont="1" applyFill="1" applyBorder="1"/>
    <xf numFmtId="0" fontId="107" fillId="25" borderId="31" xfId="0" applyFont="1" applyFill="1" applyBorder="1"/>
    <xf numFmtId="0" fontId="7" fillId="0" borderId="44" xfId="3" applyBorder="1"/>
    <xf numFmtId="48" fontId="7" fillId="28" borderId="0" xfId="3" applyNumberFormat="1" applyFill="1"/>
    <xf numFmtId="0" fontId="67" fillId="16" borderId="0" xfId="3" applyFont="1" applyFill="1" applyAlignment="1">
      <alignment horizontal="right" vertical="center"/>
    </xf>
    <xf numFmtId="0" fontId="15" fillId="25" borderId="0" xfId="2" applyFill="1" applyAlignment="1" applyProtection="1">
      <alignment horizontal="left"/>
      <protection locked="0"/>
    </xf>
    <xf numFmtId="0" fontId="22" fillId="9" borderId="41" xfId="0" applyFont="1" applyFill="1" applyBorder="1"/>
    <xf numFmtId="0" fontId="22" fillId="9" borderId="74" xfId="0" applyFont="1" applyFill="1" applyBorder="1" applyAlignment="1">
      <alignment vertical="center"/>
    </xf>
    <xf numFmtId="48" fontId="102" fillId="30" borderId="0" xfId="9" applyNumberFormat="1"/>
    <xf numFmtId="0" fontId="7" fillId="9" borderId="73" xfId="0" applyFont="1" applyFill="1" applyBorder="1"/>
    <xf numFmtId="0" fontId="66" fillId="9" borderId="41" xfId="0" applyFont="1" applyFill="1" applyBorder="1" applyAlignment="1">
      <alignment horizontal="right"/>
    </xf>
    <xf numFmtId="0" fontId="8" fillId="19" borderId="41" xfId="0" applyFont="1" applyFill="1" applyBorder="1" applyAlignment="1" applyProtection="1">
      <alignment horizontal="right" vertical="center"/>
      <protection locked="0"/>
    </xf>
    <xf numFmtId="0" fontId="8" fillId="9" borderId="74" xfId="0" applyFont="1" applyFill="1" applyBorder="1"/>
    <xf numFmtId="9" fontId="0" fillId="0" borderId="0" xfId="21" applyFont="1"/>
    <xf numFmtId="43" fontId="0" fillId="0" borderId="0" xfId="1" applyFont="1"/>
    <xf numFmtId="168" fontId="84" fillId="23" borderId="0" xfId="0" applyNumberFormat="1" applyFont="1" applyFill="1" applyAlignment="1">
      <alignment horizontal="center" vertical="center"/>
    </xf>
    <xf numFmtId="167" fontId="8" fillId="23" borderId="0" xfId="0" applyNumberFormat="1" applyFont="1" applyFill="1" applyAlignment="1">
      <alignment horizontal="center" vertical="center" wrapText="1"/>
    </xf>
    <xf numFmtId="0" fontId="109" fillId="0" borderId="0" xfId="0" applyFont="1"/>
    <xf numFmtId="0" fontId="109" fillId="16" borderId="0" xfId="0" applyFont="1" applyFill="1"/>
    <xf numFmtId="48" fontId="0" fillId="24" borderId="0" xfId="0" applyNumberFormat="1" applyFill="1"/>
    <xf numFmtId="0" fontId="0" fillId="0" borderId="0" xfId="0" applyProtection="1">
      <protection hidden="1"/>
    </xf>
    <xf numFmtId="1" fontId="11" fillId="12" borderId="0" xfId="0" applyNumberFormat="1" applyFont="1" applyFill="1"/>
    <xf numFmtId="49" fontId="66" fillId="0" borderId="0" xfId="6" applyNumberFormat="1" applyFont="1" applyAlignment="1">
      <alignment horizontal="center"/>
    </xf>
    <xf numFmtId="169" fontId="7" fillId="9" borderId="0" xfId="0" applyNumberFormat="1" applyFont="1" applyFill="1" applyAlignment="1" applyProtection="1">
      <alignment horizontal="right"/>
      <protection hidden="1"/>
    </xf>
    <xf numFmtId="169" fontId="7" fillId="19" borderId="0" xfId="0" applyNumberFormat="1" applyFont="1" applyFill="1" applyAlignment="1" applyProtection="1">
      <alignment horizontal="right"/>
      <protection locked="0" hidden="1"/>
    </xf>
    <xf numFmtId="49" fontId="94" fillId="0" borderId="0" xfId="6" applyNumberFormat="1" applyFont="1" applyAlignment="1">
      <alignment horizontal="center"/>
    </xf>
    <xf numFmtId="0" fontId="8" fillId="0" borderId="0" xfId="3" applyFont="1"/>
    <xf numFmtId="0" fontId="7" fillId="9" borderId="45" xfId="0" applyFont="1" applyFill="1" applyBorder="1" applyAlignment="1" applyProtection="1">
      <alignment horizontal="right" vertical="center"/>
      <protection hidden="1"/>
    </xf>
    <xf numFmtId="0" fontId="7" fillId="9" borderId="29" xfId="0" applyFont="1" applyFill="1" applyBorder="1" applyProtection="1">
      <protection hidden="1"/>
    </xf>
    <xf numFmtId="0" fontId="7" fillId="9" borderId="46" xfId="0" applyFont="1" applyFill="1" applyBorder="1" applyProtection="1">
      <protection hidden="1"/>
    </xf>
    <xf numFmtId="0" fontId="0" fillId="31" borderId="0" xfId="0" applyFill="1"/>
    <xf numFmtId="48" fontId="0" fillId="31" borderId="0" xfId="0" applyNumberFormat="1" applyFill="1"/>
    <xf numFmtId="1" fontId="7" fillId="9" borderId="0" xfId="0" applyNumberFormat="1" applyFont="1" applyFill="1" applyAlignment="1" applyProtection="1">
      <alignment vertical="center"/>
      <protection hidden="1"/>
    </xf>
    <xf numFmtId="1" fontId="7" fillId="9" borderId="45" xfId="0" applyNumberFormat="1" applyFont="1" applyFill="1" applyBorder="1" applyAlignment="1" applyProtection="1">
      <alignment vertical="center"/>
      <protection hidden="1"/>
    </xf>
    <xf numFmtId="0" fontId="66" fillId="0" borderId="0" xfId="6" applyFont="1" applyAlignment="1">
      <alignment wrapText="1"/>
    </xf>
    <xf numFmtId="168" fontId="102" fillId="30" borderId="0" xfId="9" applyNumberFormat="1"/>
    <xf numFmtId="0" fontId="112" fillId="16" borderId="81" xfId="24" applyFont="1" applyFill="1" applyBorder="1"/>
    <xf numFmtId="48" fontId="112" fillId="16" borderId="81" xfId="24" applyNumberFormat="1" applyFont="1" applyFill="1" applyBorder="1"/>
    <xf numFmtId="11" fontId="110" fillId="34" borderId="81" xfId="22" applyNumberFormat="1" applyBorder="1"/>
    <xf numFmtId="0" fontId="111" fillId="33" borderId="79" xfId="23"/>
    <xf numFmtId="0" fontId="111" fillId="33" borderId="79" xfId="23" applyProtection="1"/>
    <xf numFmtId="48" fontId="111" fillId="33" borderId="79" xfId="23" applyNumberFormat="1"/>
    <xf numFmtId="0" fontId="1" fillId="0" borderId="0" xfId="24"/>
    <xf numFmtId="48" fontId="111" fillId="33" borderId="79" xfId="23" applyNumberFormat="1" applyProtection="1"/>
    <xf numFmtId="0" fontId="110" fillId="34" borderId="81" xfId="22" applyBorder="1"/>
    <xf numFmtId="11" fontId="112" fillId="16" borderId="81" xfId="24" applyNumberFormat="1" applyFont="1" applyFill="1" applyBorder="1"/>
    <xf numFmtId="169" fontId="111" fillId="33" borderId="79" xfId="23" applyNumberFormat="1"/>
    <xf numFmtId="169" fontId="111" fillId="33" borderId="79" xfId="23" applyNumberFormat="1" applyProtection="1"/>
    <xf numFmtId="0" fontId="111" fillId="33" borderId="79" xfId="23" applyNumberFormat="1" applyProtection="1"/>
    <xf numFmtId="0" fontId="112" fillId="16" borderId="0" xfId="24" applyFont="1" applyFill="1"/>
    <xf numFmtId="0" fontId="113" fillId="32" borderId="79" xfId="10" applyFont="1" applyProtection="1"/>
    <xf numFmtId="0" fontId="114" fillId="16" borderId="0" xfId="24" applyFont="1" applyFill="1"/>
    <xf numFmtId="0" fontId="103" fillId="32" borderId="79" xfId="10" applyProtection="1"/>
    <xf numFmtId="0" fontId="110" fillId="34" borderId="0" xfId="22" applyProtection="1"/>
    <xf numFmtId="48" fontId="103" fillId="32" borderId="79" xfId="10" applyNumberFormat="1" applyProtection="1"/>
    <xf numFmtId="48" fontId="112" fillId="16" borderId="0" xfId="24" applyNumberFormat="1" applyFont="1" applyFill="1"/>
    <xf numFmtId="193" fontId="0" fillId="0" borderId="0" xfId="0" applyNumberFormat="1"/>
    <xf numFmtId="0" fontId="7" fillId="9" borderId="82" xfId="0" applyFont="1" applyFill="1" applyBorder="1"/>
    <xf numFmtId="1" fontId="67" fillId="9" borderId="0" xfId="0" applyNumberFormat="1" applyFont="1" applyFill="1" applyAlignment="1">
      <alignment horizontal="right"/>
    </xf>
    <xf numFmtId="0" fontId="8" fillId="0" borderId="55" xfId="3" applyFont="1" applyBorder="1" applyAlignment="1">
      <alignment horizontal="center"/>
    </xf>
    <xf numFmtId="0" fontId="8" fillId="0" borderId="56" xfId="3" applyFont="1" applyBorder="1" applyAlignment="1">
      <alignment horizontal="center"/>
    </xf>
    <xf numFmtId="0" fontId="8" fillId="0" borderId="57" xfId="3" applyFont="1" applyBorder="1" applyAlignment="1">
      <alignment horizontal="center"/>
    </xf>
    <xf numFmtId="0" fontId="8" fillId="0" borderId="18" xfId="3" applyFont="1" applyBorder="1" applyAlignment="1">
      <alignment horizontal="center"/>
    </xf>
    <xf numFmtId="0" fontId="7" fillId="0" borderId="56" xfId="3" applyBorder="1" applyAlignment="1">
      <alignment horizontal="center"/>
    </xf>
    <xf numFmtId="0" fontId="7" fillId="0" borderId="57" xfId="3" applyBorder="1" applyAlignment="1">
      <alignment horizontal="center"/>
    </xf>
    <xf numFmtId="0" fontId="81" fillId="4" borderId="60" xfId="3" applyFont="1" applyFill="1" applyBorder="1" applyAlignment="1">
      <alignment horizontal="center"/>
    </xf>
    <xf numFmtId="0" fontId="7" fillId="0" borderId="82" xfId="0" applyFont="1" applyBorder="1"/>
    <xf numFmtId="0" fontId="0" fillId="12" borderId="0" xfId="0" applyFill="1"/>
    <xf numFmtId="0" fontId="7" fillId="2" borderId="0" xfId="3" applyFill="1"/>
    <xf numFmtId="0" fontId="7" fillId="0" borderId="63" xfId="3" applyBorder="1"/>
    <xf numFmtId="0" fontId="8" fillId="0" borderId="83" xfId="3" applyFont="1" applyBorder="1" applyAlignment="1">
      <alignment horizontal="center"/>
    </xf>
    <xf numFmtId="0" fontId="12" fillId="0" borderId="6" xfId="3" applyFont="1" applyBorder="1"/>
    <xf numFmtId="0" fontId="12" fillId="0" borderId="0" xfId="3" applyFont="1"/>
    <xf numFmtId="0" fontId="7" fillId="0" borderId="84" xfId="3" applyBorder="1" applyAlignment="1">
      <alignment horizontal="center"/>
    </xf>
    <xf numFmtId="167" fontId="7" fillId="0" borderId="61" xfId="3" applyNumberFormat="1" applyBorder="1" applyAlignment="1">
      <alignment horizontal="center"/>
    </xf>
    <xf numFmtId="167" fontId="7" fillId="0" borderId="62" xfId="3" applyNumberFormat="1" applyBorder="1" applyAlignment="1">
      <alignment horizontal="center"/>
    </xf>
    <xf numFmtId="167" fontId="7" fillId="0" borderId="4" xfId="3" applyNumberFormat="1" applyBorder="1" applyAlignment="1">
      <alignment horizontal="center"/>
    </xf>
    <xf numFmtId="167" fontId="7" fillId="0" borderId="17" xfId="3" applyNumberFormat="1" applyBorder="1" applyAlignment="1">
      <alignment horizontal="center"/>
    </xf>
    <xf numFmtId="167" fontId="7" fillId="0" borderId="60" xfId="3" applyNumberFormat="1" applyBorder="1" applyAlignment="1">
      <alignment horizontal="center"/>
    </xf>
    <xf numFmtId="167" fontId="7" fillId="0" borderId="85" xfId="3" applyNumberFormat="1" applyBorder="1" applyAlignment="1">
      <alignment horizontal="center"/>
    </xf>
    <xf numFmtId="167" fontId="7" fillId="0" borderId="86" xfId="3" applyNumberFormat="1" applyBorder="1" applyAlignment="1">
      <alignment horizontal="center"/>
    </xf>
    <xf numFmtId="165" fontId="7" fillId="0" borderId="4" xfId="3" applyNumberFormat="1" applyBorder="1" applyAlignment="1">
      <alignment horizontal="center"/>
    </xf>
    <xf numFmtId="0" fontId="7" fillId="0" borderId="5" xfId="3" applyBorder="1"/>
    <xf numFmtId="169" fontId="7" fillId="0" borderId="6" xfId="3" applyNumberFormat="1" applyBorder="1"/>
    <xf numFmtId="0" fontId="7" fillId="0" borderId="7" xfId="3" applyBorder="1"/>
    <xf numFmtId="167" fontId="7" fillId="0" borderId="66" xfId="3" applyNumberFormat="1" applyBorder="1" applyAlignment="1">
      <alignment horizontal="center"/>
    </xf>
    <xf numFmtId="167" fontId="7" fillId="0" borderId="87" xfId="3" applyNumberFormat="1" applyBorder="1" applyAlignment="1">
      <alignment horizontal="center"/>
    </xf>
    <xf numFmtId="0" fontId="8" fillId="0" borderId="64" xfId="3" applyFont="1" applyBorder="1" applyAlignment="1">
      <alignment horizontal="center"/>
    </xf>
    <xf numFmtId="0" fontId="8" fillId="0" borderId="9" xfId="3" applyFont="1" applyBorder="1" applyAlignment="1">
      <alignment horizontal="center"/>
    </xf>
    <xf numFmtId="0" fontId="8" fillId="0" borderId="65" xfId="3" applyFont="1" applyBorder="1" applyAlignment="1">
      <alignment horizontal="center"/>
    </xf>
    <xf numFmtId="0" fontId="7" fillId="0" borderId="9" xfId="3" applyBorder="1" applyAlignment="1">
      <alignment horizontal="left"/>
    </xf>
    <xf numFmtId="169" fontId="7" fillId="0" borderId="9" xfId="3" applyNumberFormat="1" applyBorder="1"/>
    <xf numFmtId="0" fontId="7" fillId="8" borderId="9" xfId="3" applyFill="1" applyBorder="1"/>
    <xf numFmtId="0" fontId="12" fillId="0" borderId="10" xfId="3" applyFont="1" applyBorder="1" applyAlignment="1">
      <alignment horizontal="center"/>
    </xf>
    <xf numFmtId="48" fontId="7" fillId="0" borderId="0" xfId="0" applyNumberFormat="1" applyFont="1"/>
    <xf numFmtId="48" fontId="8" fillId="2" borderId="0" xfId="0" applyNumberFormat="1" applyFont="1" applyFill="1"/>
    <xf numFmtId="0" fontId="115" fillId="25" borderId="31" xfId="0" applyFont="1" applyFill="1" applyBorder="1"/>
    <xf numFmtId="0" fontId="22" fillId="9" borderId="0" xfId="0" applyFont="1" applyFill="1" applyProtection="1">
      <protection hidden="1"/>
    </xf>
    <xf numFmtId="0" fontId="8" fillId="9" borderId="43" xfId="0" applyFont="1" applyFill="1" applyBorder="1" applyAlignment="1" applyProtection="1">
      <alignment horizontal="center"/>
      <protection hidden="1"/>
    </xf>
    <xf numFmtId="169" fontId="7" fillId="9" borderId="41" xfId="0" applyNumberFormat="1" applyFont="1" applyFill="1" applyBorder="1" applyAlignment="1" applyProtection="1">
      <alignment horizontal="left" vertical="center"/>
      <protection hidden="1"/>
    </xf>
    <xf numFmtId="0" fontId="7" fillId="16" borderId="41" xfId="0" applyFont="1" applyFill="1" applyBorder="1" applyAlignment="1" applyProtection="1">
      <alignment horizontal="left"/>
      <protection hidden="1"/>
    </xf>
    <xf numFmtId="0" fontId="8" fillId="9" borderId="0" xfId="0" applyFont="1" applyFill="1" applyAlignment="1" applyProtection="1">
      <alignment horizontal="left"/>
      <protection hidden="1"/>
    </xf>
    <xf numFmtId="0" fontId="8" fillId="9" borderId="28" xfId="0" applyFont="1" applyFill="1" applyBorder="1" applyAlignment="1" applyProtection="1">
      <alignment horizontal="center"/>
      <protection hidden="1"/>
    </xf>
    <xf numFmtId="169" fontId="7" fillId="9" borderId="0" xfId="0" applyNumberFormat="1" applyFont="1" applyFill="1" applyAlignment="1" applyProtection="1">
      <alignment horizontal="left" vertical="center"/>
      <protection hidden="1"/>
    </xf>
    <xf numFmtId="48" fontId="7" fillId="16" borderId="0" xfId="0" applyNumberFormat="1" applyFont="1" applyFill="1" applyAlignment="1" applyProtection="1">
      <alignment horizontal="left"/>
      <protection hidden="1"/>
    </xf>
    <xf numFmtId="0" fontId="8" fillId="9" borderId="44" xfId="0" applyFont="1" applyFill="1" applyBorder="1" applyAlignment="1" applyProtection="1">
      <alignment horizontal="center"/>
      <protection hidden="1"/>
    </xf>
    <xf numFmtId="169" fontId="7" fillId="9" borderId="45" xfId="0" applyNumberFormat="1" applyFont="1" applyFill="1" applyBorder="1" applyAlignment="1" applyProtection="1">
      <alignment horizontal="left" vertical="center"/>
      <protection hidden="1"/>
    </xf>
    <xf numFmtId="48" fontId="7" fillId="16" borderId="45" xfId="0" applyNumberFormat="1" applyFont="1" applyFill="1" applyBorder="1" applyAlignment="1" applyProtection="1">
      <alignment horizontal="left"/>
      <protection hidden="1"/>
    </xf>
    <xf numFmtId="0" fontId="8" fillId="9" borderId="45" xfId="0" applyFont="1" applyFill="1" applyBorder="1" applyAlignment="1" applyProtection="1">
      <alignment horizontal="left"/>
      <protection hidden="1"/>
    </xf>
    <xf numFmtId="0" fontId="62" fillId="9" borderId="42" xfId="0" applyFont="1" applyFill="1" applyBorder="1" applyAlignment="1" applyProtection="1">
      <alignment horizontal="left"/>
      <protection hidden="1"/>
    </xf>
    <xf numFmtId="0" fontId="22" fillId="9" borderId="29" xfId="0" applyFont="1" applyFill="1" applyBorder="1" applyProtection="1">
      <protection hidden="1"/>
    </xf>
    <xf numFmtId="0" fontId="62" fillId="9" borderId="29" xfId="0" applyFont="1" applyFill="1" applyBorder="1" applyAlignment="1" applyProtection="1">
      <alignment horizontal="left"/>
      <protection hidden="1"/>
    </xf>
    <xf numFmtId="0" fontId="62" fillId="9" borderId="46" xfId="0" applyFont="1" applyFill="1" applyBorder="1" applyAlignment="1" applyProtection="1">
      <alignment horizontal="left"/>
      <protection hidden="1"/>
    </xf>
    <xf numFmtId="0" fontId="81" fillId="9" borderId="0" xfId="0" applyFont="1" applyFill="1" applyProtection="1">
      <protection hidden="1"/>
    </xf>
    <xf numFmtId="0" fontId="61" fillId="9" borderId="0" xfId="0" applyFont="1" applyFill="1" applyAlignment="1" applyProtection="1">
      <alignment vertical="center"/>
      <protection hidden="1"/>
    </xf>
    <xf numFmtId="0" fontId="8" fillId="9" borderId="0" xfId="0" applyFont="1" applyFill="1" applyProtection="1">
      <protection hidden="1"/>
    </xf>
    <xf numFmtId="0" fontId="8" fillId="9" borderId="0" xfId="0" applyFont="1" applyFill="1" applyAlignment="1" applyProtection="1">
      <alignment horizontal="left" vertical="center"/>
      <protection hidden="1"/>
    </xf>
    <xf numFmtId="169" fontId="8" fillId="9" borderId="0" xfId="0" applyNumberFormat="1" applyFont="1" applyFill="1" applyProtection="1">
      <protection hidden="1"/>
    </xf>
    <xf numFmtId="0" fontId="71" fillId="9" borderId="0" xfId="0" applyFont="1" applyFill="1" applyProtection="1">
      <protection hidden="1"/>
    </xf>
    <xf numFmtId="0" fontId="70" fillId="9" borderId="45" xfId="0" applyFont="1" applyFill="1" applyBorder="1" applyAlignment="1" applyProtection="1">
      <alignment vertical="center"/>
      <protection hidden="1"/>
    </xf>
    <xf numFmtId="0" fontId="69" fillId="9" borderId="0" xfId="0" applyFont="1" applyFill="1" applyAlignment="1" applyProtection="1">
      <alignment horizontal="right" vertical="center"/>
      <protection hidden="1"/>
    </xf>
    <xf numFmtId="0" fontId="69" fillId="0" borderId="45" xfId="0" applyFont="1" applyBorder="1" applyAlignment="1" applyProtection="1">
      <alignment horizontal="left" vertical="center"/>
      <protection hidden="1"/>
    </xf>
    <xf numFmtId="169" fontId="69" fillId="9" borderId="45" xfId="0" applyNumberFormat="1" applyFont="1" applyFill="1" applyBorder="1" applyAlignment="1" applyProtection="1">
      <alignment horizontal="center" vertical="center"/>
      <protection hidden="1"/>
    </xf>
    <xf numFmtId="0" fontId="8" fillId="9" borderId="45" xfId="0" applyFont="1" applyFill="1" applyBorder="1" applyAlignment="1" applyProtection="1">
      <alignment horizontal="left" vertical="center"/>
      <protection hidden="1"/>
    </xf>
    <xf numFmtId="0" fontId="71" fillId="9" borderId="29" xfId="0" applyFont="1" applyFill="1" applyBorder="1" applyProtection="1">
      <protection hidden="1"/>
    </xf>
    <xf numFmtId="0" fontId="7" fillId="9" borderId="28" xfId="0" applyFont="1" applyFill="1" applyBorder="1" applyAlignment="1" applyProtection="1">
      <alignment vertical="center"/>
      <protection hidden="1"/>
    </xf>
    <xf numFmtId="0" fontId="7" fillId="9" borderId="0" xfId="0" applyFont="1" applyFill="1" applyAlignment="1" applyProtection="1">
      <alignment vertical="center"/>
      <protection hidden="1"/>
    </xf>
    <xf numFmtId="0" fontId="7" fillId="9" borderId="0" xfId="0" applyFont="1" applyFill="1" applyProtection="1">
      <protection hidden="1"/>
    </xf>
    <xf numFmtId="0" fontId="67" fillId="16" borderId="0" xfId="0" applyFont="1" applyFill="1" applyAlignment="1" applyProtection="1">
      <alignment horizontal="right"/>
      <protection hidden="1"/>
    </xf>
    <xf numFmtId="169" fontId="7" fillId="9" borderId="0" xfId="0" applyNumberFormat="1" applyFont="1" applyFill="1" applyAlignment="1" applyProtection="1">
      <alignment vertical="center"/>
      <protection hidden="1"/>
    </xf>
    <xf numFmtId="0" fontId="7" fillId="9" borderId="41" xfId="0" applyFont="1" applyFill="1" applyBorder="1" applyAlignment="1" applyProtection="1">
      <alignment vertical="center"/>
      <protection hidden="1"/>
    </xf>
    <xf numFmtId="1" fontId="8" fillId="16" borderId="28" xfId="0" applyNumberFormat="1" applyFont="1" applyFill="1" applyBorder="1" applyAlignment="1" applyProtection="1">
      <alignment horizontal="right" vertical="center"/>
      <protection hidden="1"/>
    </xf>
    <xf numFmtId="0" fontId="7" fillId="16" borderId="0" xfId="0" applyFont="1" applyFill="1" applyProtection="1">
      <protection hidden="1"/>
    </xf>
    <xf numFmtId="0" fontId="7" fillId="0" borderId="44" xfId="0" applyFont="1" applyBorder="1"/>
    <xf numFmtId="48" fontId="0" fillId="24" borderId="45" xfId="0" applyNumberFormat="1" applyFill="1" applyBorder="1"/>
    <xf numFmtId="0" fontId="8" fillId="0" borderId="45" xfId="0" applyFont="1" applyBorder="1" applyAlignment="1">
      <alignment horizontal="left"/>
    </xf>
    <xf numFmtId="0" fontId="22" fillId="9" borderId="82" xfId="0" applyFont="1" applyFill="1" applyBorder="1"/>
    <xf numFmtId="2" fontId="7" fillId="9" borderId="0" xfId="0" applyNumberFormat="1" applyFont="1" applyFill="1"/>
    <xf numFmtId="0" fontId="7" fillId="9" borderId="44" xfId="0" applyFont="1" applyFill="1" applyBorder="1" applyProtection="1">
      <protection hidden="1"/>
    </xf>
    <xf numFmtId="0" fontId="22" fillId="9" borderId="45" xfId="0" applyFont="1" applyFill="1" applyBorder="1" applyProtection="1">
      <protection hidden="1"/>
    </xf>
    <xf numFmtId="0" fontId="22" fillId="9" borderId="46" xfId="0" applyFont="1" applyFill="1" applyBorder="1" applyProtection="1">
      <protection hidden="1"/>
    </xf>
    <xf numFmtId="0" fontId="22" fillId="9" borderId="44" xfId="0" applyFont="1" applyFill="1" applyBorder="1" applyProtection="1">
      <protection hidden="1"/>
    </xf>
    <xf numFmtId="0" fontId="7" fillId="9" borderId="45" xfId="0" applyFont="1" applyFill="1" applyBorder="1" applyAlignment="1" applyProtection="1">
      <alignment horizontal="right"/>
      <protection hidden="1"/>
    </xf>
    <xf numFmtId="0" fontId="7" fillId="9" borderId="45" xfId="0" applyFont="1" applyFill="1" applyBorder="1" applyProtection="1">
      <protection hidden="1"/>
    </xf>
    <xf numFmtId="49" fontId="67" fillId="0" borderId="0" xfId="6" applyNumberFormat="1" applyFont="1" applyAlignment="1">
      <alignment horizontal="left"/>
    </xf>
    <xf numFmtId="0" fontId="27" fillId="9" borderId="28" xfId="0" applyFont="1" applyFill="1" applyBorder="1" applyAlignment="1" applyProtection="1">
      <alignment vertical="center"/>
      <protection hidden="1"/>
    </xf>
    <xf numFmtId="0" fontId="37" fillId="9" borderId="0" xfId="0" applyFont="1" applyFill="1" applyProtection="1">
      <protection hidden="1"/>
    </xf>
    <xf numFmtId="0" fontId="23" fillId="9" borderId="0" xfId="0" applyFont="1" applyFill="1" applyProtection="1">
      <protection hidden="1"/>
    </xf>
    <xf numFmtId="0" fontId="23" fillId="9" borderId="0" xfId="0" applyFont="1" applyFill="1" applyAlignment="1" applyProtection="1">
      <alignment horizontal="right"/>
      <protection hidden="1"/>
    </xf>
    <xf numFmtId="0" fontId="7" fillId="9" borderId="43" xfId="0" applyFont="1" applyFill="1" applyBorder="1" applyAlignment="1" applyProtection="1">
      <alignment vertical="center"/>
      <protection hidden="1"/>
    </xf>
    <xf numFmtId="0" fontId="7" fillId="9" borderId="2" xfId="0" applyFont="1" applyFill="1" applyBorder="1" applyAlignment="1" applyProtection="1">
      <alignment vertical="center"/>
      <protection hidden="1"/>
    </xf>
    <xf numFmtId="0" fontId="7" fillId="9" borderId="2" xfId="0" applyFont="1" applyFill="1" applyBorder="1" applyAlignment="1" applyProtection="1">
      <alignment horizontal="right" vertical="center"/>
      <protection hidden="1"/>
    </xf>
    <xf numFmtId="0" fontId="67" fillId="9" borderId="2" xfId="0" applyFont="1" applyFill="1" applyBorder="1" applyAlignment="1" applyProtection="1">
      <alignment horizontal="right" vertical="center"/>
      <protection hidden="1"/>
    </xf>
    <xf numFmtId="0" fontId="67" fillId="9" borderId="0" xfId="0" applyFont="1" applyFill="1" applyAlignment="1" applyProtection="1">
      <alignment horizontal="right" vertical="center"/>
      <protection hidden="1"/>
    </xf>
    <xf numFmtId="0" fontId="7" fillId="9" borderId="30" xfId="0" applyFont="1" applyFill="1" applyBorder="1" applyAlignment="1" applyProtection="1">
      <alignment vertical="center"/>
      <protection hidden="1"/>
    </xf>
    <xf numFmtId="0" fontId="7" fillId="9" borderId="31" xfId="0" applyFont="1" applyFill="1" applyBorder="1" applyAlignment="1" applyProtection="1">
      <alignment vertical="center"/>
      <protection hidden="1"/>
    </xf>
    <xf numFmtId="0" fontId="7" fillId="9" borderId="31" xfId="0" applyFont="1" applyFill="1" applyBorder="1" applyAlignment="1" applyProtection="1">
      <alignment horizontal="right" vertical="center"/>
      <protection hidden="1"/>
    </xf>
    <xf numFmtId="0" fontId="7" fillId="9" borderId="32" xfId="0" applyFont="1" applyFill="1" applyBorder="1" applyAlignment="1" applyProtection="1">
      <alignment vertical="center"/>
      <protection hidden="1"/>
    </xf>
    <xf numFmtId="0" fontId="8" fillId="9" borderId="0" xfId="0" applyFont="1" applyFill="1" applyAlignment="1" applyProtection="1">
      <alignment horizontal="right" vertical="center"/>
      <protection hidden="1"/>
    </xf>
    <xf numFmtId="0" fontId="7" fillId="9" borderId="73" xfId="0" applyFont="1" applyFill="1" applyBorder="1" applyAlignment="1" applyProtection="1">
      <alignment vertical="center"/>
      <protection hidden="1"/>
    </xf>
    <xf numFmtId="0" fontId="7" fillId="9" borderId="41" xfId="0" applyFont="1" applyFill="1" applyBorder="1" applyAlignment="1" applyProtection="1">
      <alignment horizontal="right" vertical="center"/>
      <protection hidden="1"/>
    </xf>
    <xf numFmtId="0" fontId="8" fillId="9" borderId="41" xfId="0" applyFont="1" applyFill="1" applyBorder="1" applyAlignment="1" applyProtection="1">
      <alignment horizontal="right" vertical="center"/>
      <protection hidden="1"/>
    </xf>
    <xf numFmtId="0" fontId="8" fillId="9" borderId="74" xfId="0" applyFont="1" applyFill="1" applyBorder="1" applyAlignment="1" applyProtection="1">
      <alignment vertical="center"/>
      <protection hidden="1"/>
    </xf>
    <xf numFmtId="0" fontId="8" fillId="9" borderId="31" xfId="0" applyFont="1" applyFill="1" applyBorder="1" applyAlignment="1" applyProtection="1">
      <alignment horizontal="right" vertical="center"/>
      <protection hidden="1"/>
    </xf>
    <xf numFmtId="1" fontId="8" fillId="0" borderId="0" xfId="0" applyNumberFormat="1" applyFont="1" applyAlignment="1" applyProtection="1">
      <alignment vertical="center"/>
      <protection hidden="1"/>
    </xf>
    <xf numFmtId="0" fontId="8" fillId="9" borderId="41" xfId="0" applyFont="1" applyFill="1" applyBorder="1" applyAlignment="1" applyProtection="1">
      <alignment vertical="center"/>
      <protection hidden="1"/>
    </xf>
    <xf numFmtId="0" fontId="67" fillId="19" borderId="41" xfId="0" applyFont="1" applyFill="1" applyBorder="1" applyAlignment="1" applyProtection="1">
      <alignment vertical="center"/>
      <protection locked="0" hidden="1"/>
    </xf>
    <xf numFmtId="2" fontId="7" fillId="16" borderId="2" xfId="0" applyNumberFormat="1" applyFont="1" applyFill="1" applyBorder="1" applyAlignment="1" applyProtection="1">
      <alignment vertical="center"/>
      <protection hidden="1"/>
    </xf>
    <xf numFmtId="0" fontId="7" fillId="9" borderId="3" xfId="0" applyFont="1" applyFill="1" applyBorder="1" applyAlignment="1" applyProtection="1">
      <alignment vertical="center"/>
      <protection hidden="1"/>
    </xf>
    <xf numFmtId="2" fontId="7" fillId="16" borderId="0" xfId="0" applyNumberFormat="1" applyFont="1" applyFill="1" applyAlignment="1" applyProtection="1">
      <alignment vertical="center"/>
      <protection hidden="1"/>
    </xf>
    <xf numFmtId="0" fontId="7" fillId="9" borderId="29" xfId="0" applyFont="1" applyFill="1" applyBorder="1" applyAlignment="1" applyProtection="1">
      <alignment horizontal="left" vertical="center"/>
      <protection hidden="1"/>
    </xf>
    <xf numFmtId="0" fontId="7" fillId="9" borderId="29" xfId="0" applyFont="1" applyFill="1" applyBorder="1" applyAlignment="1" applyProtection="1">
      <alignment vertical="center"/>
      <protection hidden="1"/>
    </xf>
    <xf numFmtId="0" fontId="8" fillId="9" borderId="3" xfId="0" applyFont="1" applyFill="1" applyBorder="1" applyAlignment="1" applyProtection="1">
      <alignment vertical="center"/>
      <protection hidden="1"/>
    </xf>
    <xf numFmtId="0" fontId="24" fillId="9" borderId="0" xfId="0" applyFont="1" applyFill="1" applyProtection="1">
      <protection hidden="1"/>
    </xf>
    <xf numFmtId="0" fontId="22" fillId="25" borderId="0" xfId="0" applyFont="1" applyFill="1" applyProtection="1">
      <protection hidden="1"/>
    </xf>
    <xf numFmtId="0" fontId="22" fillId="3" borderId="0" xfId="0" applyFont="1" applyFill="1" applyProtection="1">
      <protection hidden="1"/>
    </xf>
    <xf numFmtId="0" fontId="8" fillId="19" borderId="2" xfId="0" applyFont="1" applyFill="1" applyBorder="1" applyAlignment="1" applyProtection="1">
      <alignment vertical="center"/>
      <protection locked="0" hidden="1"/>
    </xf>
    <xf numFmtId="0" fontId="7" fillId="9" borderId="82" xfId="0" applyFont="1" applyFill="1" applyBorder="1" applyAlignment="1">
      <alignment vertical="center"/>
    </xf>
    <xf numFmtId="48" fontId="0" fillId="4" borderId="0" xfId="0" applyNumberFormat="1" applyFill="1"/>
    <xf numFmtId="0" fontId="55" fillId="17" borderId="43" xfId="0" applyFont="1" applyFill="1" applyBorder="1" applyAlignment="1">
      <alignment horizontal="center" vertical="center"/>
    </xf>
    <xf numFmtId="0" fontId="55" fillId="17" borderId="41" xfId="0" applyFont="1" applyFill="1" applyBorder="1" applyAlignment="1">
      <alignment horizontal="center" vertical="center"/>
    </xf>
    <xf numFmtId="0" fontId="7" fillId="9" borderId="0" xfId="0" applyFont="1" applyFill="1" applyAlignment="1">
      <alignment horizontal="left" vertical="top"/>
    </xf>
    <xf numFmtId="0" fontId="7" fillId="9" borderId="29" xfId="0" applyFont="1" applyFill="1" applyBorder="1" applyAlignment="1">
      <alignment horizontal="left" vertical="top"/>
    </xf>
    <xf numFmtId="0" fontId="22" fillId="9" borderId="29" xfId="0" applyFont="1" applyFill="1" applyBorder="1" applyAlignment="1">
      <alignment horizontal="left" vertical="center"/>
    </xf>
    <xf numFmtId="0" fontId="66" fillId="0" borderId="0" xfId="6" applyFont="1"/>
    <xf numFmtId="0" fontId="94" fillId="0" borderId="0" xfId="6" applyFont="1" applyAlignment="1">
      <alignment horizontal="center"/>
    </xf>
    <xf numFmtId="0" fontId="94" fillId="29" borderId="0" xfId="6" applyFont="1" applyFill="1" applyAlignment="1">
      <alignment horizontal="center"/>
    </xf>
    <xf numFmtId="0" fontId="97" fillId="18" borderId="0" xfId="6" applyFont="1" applyFill="1" applyAlignment="1">
      <alignment horizontal="left"/>
    </xf>
    <xf numFmtId="0" fontId="66" fillId="0" borderId="0" xfId="6" applyFont="1" applyAlignment="1">
      <alignment horizontal="left"/>
    </xf>
    <xf numFmtId="183" fontId="7" fillId="21" borderId="8" xfId="3" applyNumberFormat="1" applyFill="1" applyBorder="1" applyAlignment="1">
      <alignment horizontal="left" vertical="center"/>
    </xf>
    <xf numFmtId="183" fontId="7" fillId="21" borderId="9" xfId="3" applyNumberFormat="1" applyFill="1" applyBorder="1" applyAlignment="1">
      <alignment horizontal="left" vertical="center"/>
    </xf>
    <xf numFmtId="183" fontId="7" fillId="21" borderId="15" xfId="3" applyNumberFormat="1" applyFill="1" applyBorder="1" applyAlignment="1">
      <alignment horizontal="left" vertical="center"/>
    </xf>
    <xf numFmtId="184" fontId="7" fillId="16" borderId="8" xfId="3" applyNumberFormat="1" applyFill="1" applyBorder="1" applyAlignment="1">
      <alignment horizontal="left" vertical="center"/>
    </xf>
    <xf numFmtId="184" fontId="7" fillId="16" borderId="9" xfId="3" applyNumberFormat="1" applyFill="1" applyBorder="1" applyAlignment="1">
      <alignment horizontal="left" vertical="center"/>
    </xf>
    <xf numFmtId="184" fontId="7" fillId="16" borderId="15" xfId="3" applyNumberFormat="1" applyFill="1" applyBorder="1" applyAlignment="1">
      <alignment horizontal="left" vertical="center"/>
    </xf>
    <xf numFmtId="190" fontId="7" fillId="9" borderId="8" xfId="3" applyNumberFormat="1" applyFill="1" applyBorder="1" applyAlignment="1">
      <alignment horizontal="left" vertical="center"/>
    </xf>
    <xf numFmtId="190" fontId="7" fillId="9" borderId="9" xfId="3" applyNumberFormat="1" applyFill="1" applyBorder="1" applyAlignment="1">
      <alignment horizontal="left" vertical="center"/>
    </xf>
    <xf numFmtId="178" fontId="7" fillId="20" borderId="8" xfId="3" applyNumberFormat="1" applyFill="1" applyBorder="1" applyAlignment="1">
      <alignment horizontal="left" vertical="center"/>
    </xf>
    <xf numFmtId="178" fontId="7" fillId="20" borderId="9" xfId="3" applyNumberFormat="1" applyFill="1" applyBorder="1" applyAlignment="1">
      <alignment horizontal="left" vertical="center"/>
    </xf>
    <xf numFmtId="176" fontId="7" fillId="20" borderId="8" xfId="3" applyNumberFormat="1" applyFill="1" applyBorder="1" applyAlignment="1">
      <alignment horizontal="left" vertical="center"/>
    </xf>
    <xf numFmtId="176" fontId="7" fillId="20" borderId="9" xfId="3" applyNumberFormat="1" applyFill="1" applyBorder="1" applyAlignment="1">
      <alignment horizontal="left" vertical="center"/>
    </xf>
    <xf numFmtId="191" fontId="7" fillId="16" borderId="8" xfId="3" applyNumberFormat="1" applyFill="1" applyBorder="1" applyAlignment="1">
      <alignment horizontal="left" vertical="center"/>
    </xf>
    <xf numFmtId="191" fontId="7" fillId="16" borderId="9" xfId="3" applyNumberFormat="1" applyFill="1" applyBorder="1" applyAlignment="1">
      <alignment horizontal="left" vertical="center"/>
    </xf>
    <xf numFmtId="177" fontId="7" fillId="20" borderId="8" xfId="3" applyNumberFormat="1" applyFill="1" applyBorder="1" applyAlignment="1">
      <alignment horizontal="left" vertical="center"/>
    </xf>
    <xf numFmtId="177" fontId="7" fillId="20" borderId="9" xfId="3" applyNumberFormat="1" applyFill="1" applyBorder="1" applyAlignment="1">
      <alignment horizontal="left" vertical="center"/>
    </xf>
    <xf numFmtId="179" fontId="7" fillId="16" borderId="8" xfId="3" applyNumberFormat="1" applyFill="1" applyBorder="1" applyAlignment="1">
      <alignment horizontal="left" vertical="center"/>
    </xf>
    <xf numFmtId="179" fontId="7" fillId="16" borderId="9" xfId="3" applyNumberFormat="1" applyFill="1" applyBorder="1" applyAlignment="1">
      <alignment horizontal="left" vertical="center"/>
    </xf>
    <xf numFmtId="180" fontId="7" fillId="16" borderId="8" xfId="3" applyNumberFormat="1" applyFill="1" applyBorder="1" applyAlignment="1">
      <alignment horizontal="left" vertical="center"/>
    </xf>
    <xf numFmtId="180" fontId="7" fillId="16" borderId="9" xfId="3" applyNumberFormat="1" applyFill="1" applyBorder="1" applyAlignment="1">
      <alignment horizontal="left" vertical="center"/>
    </xf>
    <xf numFmtId="190" fontId="7" fillId="20" borderId="8" xfId="3" applyNumberFormat="1" applyFill="1" applyBorder="1" applyAlignment="1">
      <alignment horizontal="left" vertical="center"/>
    </xf>
    <xf numFmtId="190" fontId="7" fillId="20" borderId="9" xfId="3" applyNumberFormat="1" applyFill="1" applyBorder="1" applyAlignment="1">
      <alignment horizontal="left" vertical="center"/>
    </xf>
    <xf numFmtId="176" fontId="7" fillId="16" borderId="8" xfId="3" applyNumberFormat="1" applyFill="1" applyBorder="1" applyAlignment="1">
      <alignment horizontal="left" vertical="center"/>
    </xf>
    <xf numFmtId="0" fontId="0" fillId="0" borderId="9" xfId="0" applyBorder="1"/>
    <xf numFmtId="0" fontId="75" fillId="3" borderId="51" xfId="3" applyFont="1" applyFill="1" applyBorder="1" applyAlignment="1">
      <alignment horizontal="left" vertical="center"/>
    </xf>
    <xf numFmtId="0" fontId="75" fillId="3" borderId="52" xfId="3" applyFont="1" applyFill="1" applyBorder="1" applyAlignment="1">
      <alignment horizontal="left" vertical="center"/>
    </xf>
    <xf numFmtId="0" fontId="75" fillId="3" borderId="53" xfId="3" applyFont="1" applyFill="1" applyBorder="1" applyAlignment="1">
      <alignment horizontal="left" vertical="center"/>
    </xf>
    <xf numFmtId="178" fontId="7" fillId="21" borderId="8" xfId="3" applyNumberFormat="1" applyFill="1" applyBorder="1" applyAlignment="1">
      <alignment horizontal="left" vertical="center"/>
    </xf>
    <xf numFmtId="178" fontId="7" fillId="21" borderId="9" xfId="3" applyNumberFormat="1" applyFill="1" applyBorder="1" applyAlignment="1">
      <alignment horizontal="left" vertical="center"/>
    </xf>
    <xf numFmtId="183" fontId="7" fillId="16" borderId="8" xfId="3" applyNumberFormat="1" applyFill="1" applyBorder="1" applyAlignment="1">
      <alignment horizontal="left" vertical="center"/>
    </xf>
    <xf numFmtId="183" fontId="7" fillId="16" borderId="9" xfId="3" applyNumberFormat="1" applyFill="1" applyBorder="1" applyAlignment="1">
      <alignment horizontal="left" vertical="center"/>
    </xf>
    <xf numFmtId="183" fontId="7" fillId="16" borderId="15" xfId="3" applyNumberFormat="1" applyFill="1" applyBorder="1" applyAlignment="1">
      <alignment horizontal="left" vertical="center"/>
    </xf>
    <xf numFmtId="188" fontId="7" fillId="16" borderId="8" xfId="3" applyNumberFormat="1" applyFill="1" applyBorder="1" applyAlignment="1">
      <alignment horizontal="left" vertical="center"/>
    </xf>
    <xf numFmtId="188" fontId="7" fillId="16" borderId="9" xfId="3" applyNumberFormat="1" applyFill="1" applyBorder="1" applyAlignment="1">
      <alignment horizontal="left" vertical="center"/>
    </xf>
    <xf numFmtId="188" fontId="7" fillId="16" borderId="15" xfId="3" applyNumberFormat="1" applyFill="1" applyBorder="1" applyAlignment="1">
      <alignment horizontal="left" vertical="center"/>
    </xf>
    <xf numFmtId="192" fontId="7" fillId="21" borderId="8" xfId="3" applyNumberFormat="1" applyFill="1" applyBorder="1" applyAlignment="1">
      <alignment horizontal="left" vertical="center"/>
    </xf>
    <xf numFmtId="192" fontId="7" fillId="21" borderId="9" xfId="3" applyNumberFormat="1" applyFill="1" applyBorder="1" applyAlignment="1">
      <alignment horizontal="left" vertical="center"/>
    </xf>
    <xf numFmtId="192" fontId="7" fillId="21" borderId="15" xfId="3" applyNumberFormat="1" applyFill="1" applyBorder="1" applyAlignment="1">
      <alignment horizontal="left" vertical="center"/>
    </xf>
    <xf numFmtId="182" fontId="7" fillId="20" borderId="8" xfId="3" applyNumberFormat="1" applyFill="1" applyBorder="1" applyAlignment="1">
      <alignment horizontal="left" vertical="center"/>
    </xf>
    <xf numFmtId="182" fontId="7" fillId="20" borderId="9" xfId="3" applyNumberFormat="1" applyFill="1" applyBorder="1" applyAlignment="1">
      <alignment horizontal="left" vertical="center"/>
    </xf>
    <xf numFmtId="182" fontId="7" fillId="20" borderId="15" xfId="3" applyNumberFormat="1" applyFill="1" applyBorder="1" applyAlignment="1">
      <alignment horizontal="left" vertical="center"/>
    </xf>
    <xf numFmtId="0" fontId="8" fillId="9" borderId="77" xfId="3" applyFont="1" applyFill="1" applyBorder="1" applyAlignment="1">
      <alignment horizontal="center" vertical="center"/>
    </xf>
    <xf numFmtId="0" fontId="8" fillId="9" borderId="67" xfId="3" applyFont="1" applyFill="1" applyBorder="1" applyAlignment="1">
      <alignment horizontal="center" vertical="center"/>
    </xf>
    <xf numFmtId="0" fontId="8" fillId="9" borderId="14" xfId="3" applyFont="1" applyFill="1" applyBorder="1" applyAlignment="1">
      <alignment horizontal="left" vertical="center"/>
    </xf>
    <xf numFmtId="0" fontId="8" fillId="9" borderId="12" xfId="3" applyFont="1" applyFill="1" applyBorder="1" applyAlignment="1">
      <alignment horizontal="left" vertical="center"/>
    </xf>
    <xf numFmtId="0" fontId="8" fillId="9" borderId="76" xfId="3" applyFont="1" applyFill="1" applyBorder="1" applyAlignment="1">
      <alignment horizontal="left" vertical="center"/>
    </xf>
    <xf numFmtId="0" fontId="8" fillId="9" borderId="10" xfId="3" applyFont="1" applyFill="1" applyBorder="1" applyAlignment="1">
      <alignment horizontal="left" vertical="center"/>
    </xf>
    <xf numFmtId="0" fontId="8" fillId="9" borderId="16" xfId="3" applyFont="1" applyFill="1" applyBorder="1" applyAlignment="1">
      <alignment horizontal="left" vertical="center"/>
    </xf>
    <xf numFmtId="0" fontId="8" fillId="9" borderId="69" xfId="3" applyFont="1" applyFill="1" applyBorder="1" applyAlignment="1">
      <alignment horizontal="left" vertical="center"/>
    </xf>
    <xf numFmtId="0" fontId="8" fillId="9" borderId="4" xfId="3" applyFont="1" applyFill="1" applyBorder="1" applyAlignment="1">
      <alignment horizontal="left" vertical="center"/>
    </xf>
    <xf numFmtId="0" fontId="8" fillId="9" borderId="17" xfId="3" applyFont="1" applyFill="1" applyBorder="1" applyAlignment="1">
      <alignment horizontal="left" vertical="center"/>
    </xf>
    <xf numFmtId="0" fontId="64" fillId="9" borderId="14" xfId="3" applyFont="1" applyFill="1" applyBorder="1" applyAlignment="1">
      <alignment horizontal="center" vertical="center"/>
    </xf>
    <xf numFmtId="0" fontId="64" fillId="9" borderId="12" xfId="3" applyFont="1" applyFill="1" applyBorder="1" applyAlignment="1">
      <alignment horizontal="center" vertical="center"/>
    </xf>
    <xf numFmtId="0" fontId="8" fillId="9" borderId="14" xfId="3" applyFont="1" applyFill="1" applyBorder="1" applyAlignment="1">
      <alignment horizontal="left" vertical="center" wrapText="1"/>
    </xf>
    <xf numFmtId="0" fontId="8" fillId="9" borderId="12" xfId="3" applyFont="1" applyFill="1" applyBorder="1" applyAlignment="1">
      <alignment horizontal="left" vertical="center" wrapText="1"/>
    </xf>
    <xf numFmtId="0" fontId="54" fillId="16" borderId="28" xfId="0" applyFont="1" applyFill="1" applyBorder="1" applyAlignment="1">
      <alignment horizontal="left" vertical="center"/>
    </xf>
    <xf numFmtId="0" fontId="54" fillId="16" borderId="0" xfId="0" applyFont="1" applyFill="1" applyAlignment="1">
      <alignment horizontal="left" vertical="center"/>
    </xf>
    <xf numFmtId="0" fontId="9" fillId="3" borderId="0" xfId="0" applyFont="1" applyFill="1" applyAlignment="1">
      <alignment horizontal="center"/>
    </xf>
    <xf numFmtId="0" fontId="8" fillId="0" borderId="0" xfId="0" applyFont="1" applyAlignment="1">
      <alignment horizontal="center"/>
    </xf>
    <xf numFmtId="0" fontId="81" fillId="4" borderId="53" xfId="3" applyFont="1" applyFill="1" applyBorder="1" applyAlignment="1">
      <alignment horizontal="center"/>
    </xf>
    <xf numFmtId="0" fontId="7" fillId="4" borderId="61" xfId="3" applyFill="1" applyBorder="1" applyAlignment="1">
      <alignment horizontal="center"/>
    </xf>
    <xf numFmtId="0" fontId="7" fillId="4" borderId="62" xfId="3" applyFill="1" applyBorder="1" applyAlignment="1">
      <alignment horizontal="center"/>
    </xf>
    <xf numFmtId="0" fontId="8" fillId="4" borderId="60" xfId="3" applyFont="1" applyFill="1" applyBorder="1"/>
    <xf numFmtId="0" fontId="8" fillId="4" borderId="62" xfId="3" applyFont="1" applyFill="1" applyBorder="1"/>
    <xf numFmtId="0" fontId="8" fillId="0" borderId="64" xfId="3" applyFont="1" applyBorder="1" applyAlignment="1">
      <alignment horizontal="center"/>
    </xf>
    <xf numFmtId="0" fontId="8" fillId="0" borderId="9" xfId="3" applyFont="1" applyBorder="1" applyAlignment="1">
      <alignment horizontal="center"/>
    </xf>
    <xf numFmtId="0" fontId="8" fillId="0" borderId="65" xfId="3" applyFont="1" applyBorder="1" applyAlignment="1">
      <alignment horizontal="center"/>
    </xf>
    <xf numFmtId="0" fontId="8" fillId="0" borderId="15" xfId="3" applyFont="1" applyBorder="1" applyAlignment="1">
      <alignment horizontal="center"/>
    </xf>
    <xf numFmtId="0" fontId="8" fillId="0" borderId="8" xfId="3" applyFont="1" applyBorder="1" applyAlignment="1">
      <alignment horizontal="center"/>
    </xf>
    <xf numFmtId="0" fontId="8" fillId="0" borderId="55" xfId="3" applyFont="1" applyBorder="1" applyAlignment="1">
      <alignment horizontal="center"/>
    </xf>
    <xf numFmtId="0" fontId="8" fillId="0" borderId="56" xfId="3" applyFont="1" applyBorder="1" applyAlignment="1">
      <alignment horizontal="center"/>
    </xf>
    <xf numFmtId="0" fontId="8" fillId="0" borderId="57" xfId="3" applyFont="1" applyBorder="1" applyAlignment="1">
      <alignment horizontal="center"/>
    </xf>
    <xf numFmtId="0" fontId="81" fillId="4" borderId="72" xfId="3" applyFont="1" applyFill="1" applyBorder="1" applyAlignment="1">
      <alignment horizontal="center" vertical="top" shrinkToFit="1"/>
    </xf>
    <xf numFmtId="0" fontId="7" fillId="4" borderId="71" xfId="3" applyFill="1" applyBorder="1" applyAlignment="1">
      <alignment horizontal="center" vertical="top" shrinkToFit="1"/>
    </xf>
    <xf numFmtId="0" fontId="7" fillId="4" borderId="70" xfId="3" applyFill="1" applyBorder="1" applyAlignment="1">
      <alignment horizontal="center" vertical="top" shrinkToFit="1"/>
    </xf>
    <xf numFmtId="0" fontId="81" fillId="4" borderId="55" xfId="3" applyFont="1" applyFill="1" applyBorder="1" applyAlignment="1">
      <alignment horizontal="center"/>
    </xf>
    <xf numFmtId="0" fontId="81" fillId="4" borderId="56" xfId="3" applyFont="1" applyFill="1" applyBorder="1" applyAlignment="1">
      <alignment horizontal="center"/>
    </xf>
    <xf numFmtId="0" fontId="81" fillId="4" borderId="57" xfId="3" applyFont="1" applyFill="1" applyBorder="1" applyAlignment="1">
      <alignment horizontal="center"/>
    </xf>
    <xf numFmtId="0" fontId="8" fillId="4" borderId="55" xfId="0" applyFont="1" applyFill="1" applyBorder="1" applyAlignment="1">
      <alignment horizontal="center"/>
    </xf>
    <xf numFmtId="0" fontId="8" fillId="4" borderId="56" xfId="0" applyFont="1" applyFill="1" applyBorder="1" applyAlignment="1">
      <alignment horizontal="center"/>
    </xf>
    <xf numFmtId="0" fontId="8" fillId="4" borderId="57" xfId="0" applyFont="1" applyFill="1" applyBorder="1" applyAlignment="1">
      <alignment horizontal="center"/>
    </xf>
    <xf numFmtId="0" fontId="18" fillId="3" borderId="0" xfId="0" applyFont="1" applyFill="1" applyAlignment="1">
      <alignment horizontal="left"/>
    </xf>
    <xf numFmtId="0" fontId="8" fillId="0" borderId="0" xfId="0" applyFont="1" applyAlignment="1">
      <alignment horizontal="left" wrapText="1"/>
    </xf>
    <xf numFmtId="170" fontId="8" fillId="4" borderId="55" xfId="0" applyNumberFormat="1" applyFont="1" applyFill="1" applyBorder="1" applyAlignment="1">
      <alignment horizontal="center"/>
    </xf>
    <xf numFmtId="170" fontId="8" fillId="4" borderId="56" xfId="0" applyNumberFormat="1" applyFont="1" applyFill="1" applyBorder="1" applyAlignment="1">
      <alignment horizontal="center"/>
    </xf>
    <xf numFmtId="170" fontId="8" fillId="4" borderId="57" xfId="0" applyNumberFormat="1" applyFont="1" applyFill="1" applyBorder="1" applyAlignment="1">
      <alignment horizontal="center"/>
    </xf>
    <xf numFmtId="0" fontId="8" fillId="4" borderId="47" xfId="0" applyFont="1" applyFill="1" applyBorder="1" applyAlignment="1">
      <alignment horizontal="center"/>
    </xf>
    <xf numFmtId="0" fontId="8" fillId="4" borderId="48" xfId="0" applyFont="1" applyFill="1" applyBorder="1" applyAlignment="1">
      <alignment horizontal="center"/>
    </xf>
    <xf numFmtId="0" fontId="8" fillId="4" borderId="20" xfId="0" applyFont="1" applyFill="1" applyBorder="1" applyAlignment="1">
      <alignment horizontal="center"/>
    </xf>
    <xf numFmtId="0" fontId="8" fillId="24" borderId="0" xfId="0" applyFont="1" applyFill="1" applyAlignment="1">
      <alignment horizontal="center"/>
    </xf>
  </cellXfs>
  <cellStyles count="25">
    <cellStyle name="Calculation" xfId="23" builtinId="22"/>
    <cellStyle name="Comma" xfId="1" builtinId="3"/>
    <cellStyle name="Comma 2" xfId="5" xr:uid="{00000000-0005-0000-0000-000001000000}"/>
    <cellStyle name="Comma 2 2" xfId="14" xr:uid="{00000000-0005-0000-0000-000001000000}"/>
    <cellStyle name="Comma 2 3" xfId="18" xr:uid="{00000000-0005-0000-0000-000001000000}"/>
    <cellStyle name="Comma 3" xfId="12" xr:uid="{00000000-0005-0000-0000-000037000000}"/>
    <cellStyle name="Good" xfId="9" builtinId="26"/>
    <cellStyle name="Hyperlink" xfId="2" builtinId="8"/>
    <cellStyle name="Hyperlink 2" xfId="7" xr:uid="{F9D1D541-CD73-4814-9B85-00B709F7B410}"/>
    <cellStyle name="Input" xfId="10" builtinId="20"/>
    <cellStyle name="Neutral" xfId="22" builtinId="28"/>
    <cellStyle name="Normal" xfId="0" builtinId="0"/>
    <cellStyle name="Normal 2" xfId="3" xr:uid="{00000000-0005-0000-0000-000004000000}"/>
    <cellStyle name="Normal 3" xfId="4" xr:uid="{00000000-0005-0000-0000-000005000000}"/>
    <cellStyle name="Normal 3 2" xfId="13" xr:uid="{00000000-0005-0000-0000-000005000000}"/>
    <cellStyle name="Normal 3 3" xfId="17" xr:uid="{00000000-0005-0000-0000-000005000000}"/>
    <cellStyle name="Normal 4" xfId="6" xr:uid="{CDE138C0-FC15-4C2D-B327-45A7741F15BA}"/>
    <cellStyle name="Normal 4 2" xfId="15" xr:uid="{CDE138C0-FC15-4C2D-B327-45A7741F15BA}"/>
    <cellStyle name="Normal 4 3" xfId="19" xr:uid="{CDE138C0-FC15-4C2D-B327-45A7741F15BA}"/>
    <cellStyle name="Normal 5" xfId="8" xr:uid="{C3EAB774-DFF2-4E39-8A42-95F6F7C23D18}"/>
    <cellStyle name="Normal 5 2" xfId="16" xr:uid="{C3EAB774-DFF2-4E39-8A42-95F6F7C23D18}"/>
    <cellStyle name="Normal 5 3" xfId="20" xr:uid="{C3EAB774-DFF2-4E39-8A42-95F6F7C23D18}"/>
    <cellStyle name="Normal 6" xfId="24" xr:uid="{D87B6CF3-F7DC-4ADD-AEBF-D74FE2034E7F}"/>
    <cellStyle name="Output" xfId="11" builtinId="21"/>
    <cellStyle name="Percent" xfId="21" builtinId="5"/>
  </cellStyles>
  <dxfs count="180">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2" formatCode="0.00"/>
    </dxf>
    <dxf>
      <numFmt numFmtId="14" formatCode="0.00%"/>
    </dxf>
    <dxf>
      <font>
        <b val="0"/>
        <i val="0"/>
        <strike val="0"/>
        <condense val="0"/>
        <extend val="0"/>
        <outline val="0"/>
        <shadow val="0"/>
        <u val="none"/>
        <vertAlign val="baseline"/>
        <sz val="10"/>
        <color rgb="FFFF0000"/>
        <name val="Arial"/>
        <family val="2"/>
        <scheme val="none"/>
      </font>
      <numFmt numFmtId="169" formatCode="0.0"/>
    </dxf>
    <dxf>
      <font>
        <b val="0"/>
        <i val="0"/>
        <strike val="0"/>
        <condense val="0"/>
        <extend val="0"/>
        <outline val="0"/>
        <shadow val="0"/>
        <u val="none"/>
        <vertAlign val="baseline"/>
        <sz val="10"/>
        <color rgb="FFFF0000"/>
        <name val="Arial"/>
        <family val="2"/>
        <scheme val="none"/>
      </font>
      <numFmt numFmtId="169" formatCode="0.0"/>
    </dxf>
    <dxf>
      <numFmt numFmtId="186" formatCode="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alignment horizontal="right" vertical="bottom" textRotation="0" wrapText="0" indent="0" justifyLastLine="0" shrinkToFit="0" readingOrder="0"/>
    </dxf>
    <dxf>
      <numFmt numFmtId="168" formatCode="0.000"/>
      <alignment horizontal="general" vertical="bottom" textRotation="0" wrapText="0" indent="0" justifyLastLine="0" shrinkToFit="0" readingOrder="0"/>
    </dxf>
    <dxf>
      <numFmt numFmtId="168" formatCode="0.000"/>
    </dxf>
    <dxf>
      <numFmt numFmtId="168" formatCode="0.000"/>
    </dxf>
    <dxf>
      <numFmt numFmtId="168" formatCode="0.000"/>
    </dxf>
    <dxf>
      <numFmt numFmtId="2" formatCode="0.00"/>
    </dxf>
    <dxf>
      <numFmt numFmtId="168" formatCode="0.000"/>
    </dxf>
    <dxf>
      <numFmt numFmtId="168" formatCode="0.000"/>
    </dxf>
    <dxf>
      <numFmt numFmtId="168" formatCode="0.000"/>
    </dxf>
    <dxf>
      <numFmt numFmtId="168" formatCode="0.000"/>
    </dxf>
    <dxf>
      <numFmt numFmtId="2" formatCode="0.00"/>
    </dxf>
    <dxf>
      <numFmt numFmtId="168" formatCode="0.000"/>
    </dxf>
    <dxf>
      <numFmt numFmtId="168" formatCode="0.000"/>
    </dxf>
    <dxf>
      <numFmt numFmtId="2" formatCode="0.00"/>
    </dxf>
    <dxf>
      <numFmt numFmtId="2" formatCode="0.00"/>
    </dxf>
    <dxf>
      <numFmt numFmtId="2" formatCode="0.00"/>
    </dxf>
    <dxf>
      <numFmt numFmtId="2" formatCode="0.00"/>
    </dxf>
    <dxf>
      <numFmt numFmtId="16" formatCode="##0.0E+0"/>
    </dxf>
    <dxf>
      <numFmt numFmtId="16" formatCode="##0.0E+0"/>
    </dxf>
    <dxf>
      <numFmt numFmtId="193" formatCode="##0.00E+0"/>
    </dxf>
    <dxf>
      <numFmt numFmtId="2" formatCode="0.00"/>
    </dxf>
    <dxf>
      <numFmt numFmtId="168" formatCode="0.000"/>
    </dxf>
    <dxf>
      <numFmt numFmtId="0" formatCode="General"/>
    </dxf>
    <dxf>
      <numFmt numFmtId="2" formatCode="0.00"/>
    </dxf>
    <dxf>
      <numFmt numFmtId="2" formatCode="0.0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67" formatCode="0.0000"/>
      <fill>
        <patternFill patternType="solid">
          <fgColor indexed="64"/>
          <bgColor rgb="FFFFFFCC"/>
        </patternFill>
      </fill>
      <alignment horizontal="center" vertical="center" textRotation="0" wrapText="1" indent="0" justifyLastLine="0" shrinkToFit="0" readingOrder="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2" formatCode="0.00"/>
    </dxf>
    <dxf>
      <numFmt numFmtId="14" formatCode="0.00%"/>
    </dxf>
    <dxf>
      <font>
        <b val="0"/>
        <i val="0"/>
        <strike val="0"/>
        <condense val="0"/>
        <extend val="0"/>
        <outline val="0"/>
        <shadow val="0"/>
        <u val="none"/>
        <vertAlign val="baseline"/>
        <sz val="10"/>
        <color rgb="FFFF0000"/>
        <name val="Arial"/>
        <family val="2"/>
        <scheme val="none"/>
      </font>
      <numFmt numFmtId="169" formatCode="0.0"/>
    </dxf>
    <dxf>
      <font>
        <b val="0"/>
        <i val="0"/>
        <strike val="0"/>
        <condense val="0"/>
        <extend val="0"/>
        <outline val="0"/>
        <shadow val="0"/>
        <u val="none"/>
        <vertAlign val="baseline"/>
        <sz val="10"/>
        <color rgb="FFFF0000"/>
        <name val="Arial"/>
        <family val="2"/>
        <scheme val="none"/>
      </font>
      <numFmt numFmtId="169" formatCode="0.0"/>
    </dxf>
    <dxf>
      <numFmt numFmtId="186" formatCode="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numFmt numFmtId="0" formatCode="General"/>
    </dxf>
    <dxf>
      <numFmt numFmtId="168" formatCode="0.000"/>
    </dxf>
    <dxf>
      <numFmt numFmtId="168" formatCode="0.000"/>
    </dxf>
    <dxf>
      <numFmt numFmtId="168" formatCode="0.000"/>
    </dxf>
    <dxf>
      <numFmt numFmtId="168" formatCode="0.000"/>
      <alignment horizontal="right" vertical="bottom" textRotation="0" wrapText="0" indent="0" justifyLastLine="0" shrinkToFit="0" readingOrder="0"/>
    </dxf>
    <dxf>
      <numFmt numFmtId="168" formatCode="0.000"/>
      <alignment horizontal="general" vertical="bottom" textRotation="0" wrapText="0" indent="0" justifyLastLine="0" shrinkToFit="0" readingOrder="0"/>
    </dxf>
    <dxf>
      <numFmt numFmtId="168" formatCode="0.000"/>
    </dxf>
    <dxf>
      <numFmt numFmtId="168" formatCode="0.000"/>
    </dxf>
    <dxf>
      <numFmt numFmtId="168" formatCode="0.000"/>
    </dxf>
    <dxf>
      <numFmt numFmtId="2" formatCode="0.00"/>
    </dxf>
    <dxf>
      <numFmt numFmtId="168" formatCode="0.000"/>
    </dxf>
    <dxf>
      <numFmt numFmtId="168" formatCode="0.000"/>
    </dxf>
    <dxf>
      <numFmt numFmtId="168" formatCode="0.000"/>
    </dxf>
    <dxf>
      <numFmt numFmtId="168" formatCode="0.000"/>
    </dxf>
    <dxf>
      <numFmt numFmtId="2" formatCode="0.00"/>
    </dxf>
    <dxf>
      <numFmt numFmtId="168" formatCode="0.000"/>
    </dxf>
    <dxf>
      <numFmt numFmtId="168" formatCode="0.000"/>
    </dxf>
    <dxf>
      <numFmt numFmtId="2" formatCode="0.00"/>
    </dxf>
    <dxf>
      <numFmt numFmtId="2" formatCode="0.00"/>
    </dxf>
    <dxf>
      <numFmt numFmtId="2" formatCode="0.00"/>
    </dxf>
    <dxf>
      <numFmt numFmtId="2" formatCode="0.00"/>
    </dxf>
    <dxf>
      <numFmt numFmtId="16" formatCode="##0.0E+0"/>
    </dxf>
    <dxf>
      <numFmt numFmtId="16" formatCode="##0.0E+0"/>
    </dxf>
    <dxf>
      <numFmt numFmtId="193" formatCode="##0.00E+0"/>
    </dxf>
    <dxf>
      <numFmt numFmtId="2" formatCode="0.00"/>
    </dxf>
    <dxf>
      <numFmt numFmtId="0" formatCode="General"/>
    </dxf>
    <dxf>
      <numFmt numFmtId="2" formatCode="0.00"/>
    </dxf>
    <dxf>
      <numFmt numFmtId="2" formatCode="0.0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67" formatCode="0.0000"/>
      <fill>
        <patternFill patternType="solid">
          <fgColor indexed="64"/>
          <bgColor rgb="FFFFFFCC"/>
        </patternFill>
      </fill>
      <alignment horizontal="center" vertical="center" textRotation="0" wrapText="1" indent="0" justifyLastLine="0" shrinkToFit="0" readingOrder="0"/>
    </dxf>
    <dxf>
      <font>
        <color theme="0"/>
      </font>
      <fill>
        <patternFill patternType="solid">
          <bgColor theme="0"/>
        </patternFill>
      </fill>
    </dxf>
    <dxf>
      <font>
        <color theme="0"/>
      </font>
      <fill>
        <patternFill patternType="solid">
          <bgColor theme="0"/>
        </patternFill>
      </fill>
    </dxf>
    <dxf>
      <font>
        <b/>
        <i val="0"/>
      </font>
      <fill>
        <patternFill>
          <bgColor rgb="FFFF0000"/>
        </patternFill>
      </fill>
    </dxf>
    <dxf>
      <font>
        <b/>
        <i val="0"/>
        <condense val="0"/>
        <extend val="0"/>
        <color indexed="10"/>
      </font>
    </dxf>
    <dxf>
      <font>
        <b/>
        <i val="0"/>
        <condense val="0"/>
        <extend val="0"/>
        <color indexed="10"/>
      </font>
    </dxf>
    <dxf>
      <font>
        <color rgb="FFFF0000"/>
      </font>
    </dxf>
    <dxf>
      <font>
        <b/>
        <i val="0"/>
        <color rgb="FFFF0000"/>
      </font>
    </dxf>
    <dxf>
      <font>
        <b/>
        <i val="0"/>
        <condense val="0"/>
        <extend val="0"/>
        <color indexed="10"/>
      </font>
    </dxf>
    <dxf>
      <font>
        <strike/>
        <color theme="0"/>
      </font>
      <fill>
        <patternFill>
          <bgColor theme="0"/>
        </patternFill>
      </fill>
    </dxf>
    <dxf>
      <font>
        <color theme="0"/>
      </font>
    </dxf>
    <dxf>
      <font>
        <color theme="0"/>
      </font>
      <fill>
        <patternFill>
          <bgColor theme="0"/>
        </patternFill>
      </fill>
      <border>
        <left/>
        <right/>
        <top/>
        <bottom/>
      </border>
    </dxf>
    <dxf>
      <font>
        <color theme="0"/>
      </font>
      <fill>
        <patternFill patternType="none">
          <bgColor auto="1"/>
        </patternFill>
      </fill>
      <border>
        <left/>
        <right style="thin">
          <color theme="0"/>
        </right>
        <top style="thin">
          <color theme="0"/>
        </top>
        <bottom style="thin">
          <color theme="0"/>
        </bottom>
      </border>
    </dxf>
    <dxf>
      <font>
        <b/>
        <i val="0"/>
      </font>
      <fill>
        <patternFill>
          <bgColor rgb="FFFF0000"/>
        </patternFill>
      </fill>
    </dxf>
    <dxf>
      <font>
        <b/>
        <i val="0"/>
      </font>
      <fill>
        <patternFill>
          <bgColor rgb="FFFF0000"/>
        </patternFill>
      </fill>
    </dxf>
    <dxf>
      <font>
        <color theme="0"/>
      </font>
      <fill>
        <patternFill patternType="solid">
          <bgColor theme="0"/>
        </patternFill>
      </fill>
    </dxf>
    <dxf>
      <font>
        <color theme="0"/>
      </font>
      <fill>
        <patternFill>
          <bgColor theme="0"/>
        </patternFill>
      </fill>
    </dxf>
    <dxf>
      <font>
        <strike/>
        <color theme="0"/>
      </font>
      <fill>
        <patternFill>
          <bgColor theme="0"/>
        </patternFill>
      </fill>
    </dxf>
    <dxf>
      <font>
        <strike/>
        <color theme="0"/>
      </font>
      <fill>
        <patternFill>
          <bgColor theme="0"/>
        </patternFill>
      </fill>
    </dxf>
    <dxf>
      <font>
        <strike/>
        <color theme="0"/>
      </font>
      <fill>
        <patternFill>
          <bgColor theme="0"/>
        </patternFill>
      </fill>
    </dxf>
    <dxf>
      <font>
        <strike/>
        <color theme="0"/>
      </font>
      <fill>
        <patternFill>
          <bgColor theme="0"/>
        </patternFill>
      </fill>
    </dxf>
    <dxf>
      <font>
        <strike/>
        <color theme="0"/>
      </font>
      <fill>
        <patternFill>
          <bgColor theme="0"/>
        </patternFill>
      </fill>
    </dxf>
    <dxf>
      <font>
        <color theme="0"/>
      </font>
      <fill>
        <patternFill>
          <bgColor theme="0"/>
        </patternFill>
      </fill>
    </dxf>
    <dxf>
      <font>
        <strike val="0"/>
        <color theme="0"/>
      </font>
      <fill>
        <patternFill>
          <bgColor theme="0"/>
        </patternFill>
      </fill>
    </dxf>
    <dxf>
      <fill>
        <patternFill>
          <bgColor theme="0" tint="-0.499984740745262"/>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ndense val="0"/>
        <extend val="0"/>
        <color indexed="10"/>
      </font>
    </dxf>
    <dxf>
      <font>
        <b/>
        <i val="0"/>
        <condense val="0"/>
        <extend val="0"/>
        <color indexed="10"/>
      </font>
    </dxf>
    <dxf>
      <fill>
        <patternFill>
          <bgColor rgb="FFFFC000"/>
        </patternFill>
      </fill>
    </dxf>
    <dxf>
      <font>
        <b/>
        <i val="0"/>
        <color rgb="FFFF0000"/>
      </font>
      <fill>
        <patternFill>
          <bgColor rgb="FFFFFF00"/>
        </patternFill>
      </fill>
    </dxf>
    <dxf>
      <fill>
        <patternFill>
          <bgColor rgb="FFFFC000"/>
        </patternFill>
      </fill>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s>
  <tableStyles count="0" defaultTableStyle="TableStyleMedium9" defaultPivotStyle="PivotStyleLight16"/>
  <colors>
    <mruColors>
      <color rgb="FFFF9900"/>
      <color rgb="FF0000FF"/>
      <color rgb="FFC0C0C0"/>
      <color rgb="FFC00000"/>
      <color rgb="FFCC00FF"/>
      <color rgb="FFCCFFFF"/>
      <color rgb="FFFFFFCC"/>
      <color rgb="FFFF00FF"/>
      <color rgb="FF99CC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Calculations'!$BO$9:$BO$209</c:f>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0-AFE0-4300-9BF2-235D7250B897}"/>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Calculations'!$BP$9:$BP$209</c:f>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val>
          <c:smooth val="0"/>
          <c:extLst>
            <c:ext xmlns:c16="http://schemas.microsoft.com/office/drawing/2014/chart" uri="{C3380CC4-5D6E-409C-BE32-E72D297353CC}">
              <c16:uniqueId val="{00000001-AFE0-4300-9BF2-235D7250B897}"/>
            </c:ext>
          </c:extLst>
        </c:ser>
        <c:ser>
          <c:idx val="1"/>
          <c:order val="3"/>
          <c:tx>
            <c:v>Shunt Loss</c:v>
          </c:tx>
          <c:spPr>
            <a:ln w="38100">
              <a:solidFill>
                <a:srgbClr val="002060"/>
              </a:solidFill>
              <a:prstDash val="sysDot"/>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Calculations'!$BV$9:$BV$209</c:f>
              <c:numCache>
                <c:formatCode>0.000</c:formatCode>
                <c:ptCount val="201"/>
                <c:pt idx="0">
                  <c:v>9.5243761045760475E-2</c:v>
                </c:pt>
                <c:pt idx="1">
                  <c:v>9.6176996127100636E-2</c:v>
                </c:pt>
                <c:pt idx="2">
                  <c:v>9.7103942143320229E-2</c:v>
                </c:pt>
                <c:pt idx="3">
                  <c:v>9.8024664140531112E-2</c:v>
                </c:pt>
                <c:pt idx="4">
                  <c:v>9.8939226247063222E-2</c:v>
                </c:pt>
                <c:pt idx="5">
                  <c:v>9.9847691689993287E-2</c:v>
                </c:pt>
                <c:pt idx="6">
                  <c:v>0.10075012281131032</c:v>
                </c:pt>
                <c:pt idx="7">
                  <c:v>0.10164658108372684</c:v>
                </c:pt>
                <c:pt idx="8">
                  <c:v>0.10253712712614538</c:v>
                </c:pt>
                <c:pt idx="9">
                  <c:v>0.10342182071878886</c:v>
                </c:pt>
                <c:pt idx="10">
                  <c:v>0.10430072081800383</c:v>
                </c:pt>
                <c:pt idx="11">
                  <c:v>0.10517388557074457</c:v>
                </c:pt>
                <c:pt idx="12">
                  <c:v>0.10604137232874646</c:v>
                </c:pt>
                <c:pt idx="13">
                  <c:v>0.10690323766239641</c:v>
                </c:pt>
                <c:pt idx="14">
                  <c:v>0.10775953737430781</c:v>
                </c:pt>
                <c:pt idx="15">
                  <c:v>0.10861032651260794</c:v>
                </c:pt>
                <c:pt idx="16">
                  <c:v>0.10945565938394397</c:v>
                </c:pt>
                <c:pt idx="17">
                  <c:v>0.11029558956621666</c:v>
                </c:pt>
                <c:pt idx="18">
                  <c:v>0.11113016992104552</c:v>
                </c:pt>
                <c:pt idx="19">
                  <c:v>0.11195945260597535</c:v>
                </c:pt>
                <c:pt idx="20">
                  <c:v>0.11278348908642792</c:v>
                </c:pt>
                <c:pt idx="21">
                  <c:v>0.11360233014740644</c:v>
                </c:pt>
                <c:pt idx="22">
                  <c:v>0.11441602590495836</c:v>
                </c:pt>
                <c:pt idx="23">
                  <c:v>0.11522462581740282</c:v>
                </c:pt>
                <c:pt idx="24">
                  <c:v>0.11602817869632817</c:v>
                </c:pt>
                <c:pt idx="25">
                  <c:v>0.11682673271736467</c:v>
                </c:pt>
                <c:pt idx="26">
                  <c:v>0.11762033543073909</c:v>
                </c:pt>
                <c:pt idx="27">
                  <c:v>0.11840903377161496</c:v>
                </c:pt>
                <c:pt idx="28">
                  <c:v>0.11919287407022439</c:v>
                </c:pt>
                <c:pt idx="29">
                  <c:v>0.119971902061797</c:v>
                </c:pt>
                <c:pt idx="30">
                  <c:v>0.1207461628962888</c:v>
                </c:pt>
                <c:pt idx="31">
                  <c:v>0.12151570114791836</c:v>
                </c:pt>
                <c:pt idx="32">
                  <c:v>0.12228056082451272</c:v>
                </c:pt>
                <c:pt idx="33">
                  <c:v>0.12304078537666861</c:v>
                </c:pt>
                <c:pt idx="34">
                  <c:v>0.12379641770673275</c:v>
                </c:pt>
                <c:pt idx="35">
                  <c:v>0.12454750017760573</c:v>
                </c:pt>
                <c:pt idx="36">
                  <c:v>0.12529407462137399</c:v>
                </c:pt>
                <c:pt idx="37">
                  <c:v>0.12603618234777253</c:v>
                </c:pt>
                <c:pt idx="38">
                  <c:v>0.12677386415248401</c:v>
                </c:pt>
                <c:pt idx="39">
                  <c:v>0.12750716032527651</c:v>
                </c:pt>
                <c:pt idx="40">
                  <c:v>0.12823611065798432</c:v>
                </c:pt>
                <c:pt idx="41">
                  <c:v>0.12896075445233587</c:v>
                </c:pt>
                <c:pt idx="42">
                  <c:v>0.12968113052763078</c:v>
                </c:pt>
                <c:pt idx="43">
                  <c:v>0.13039727722827077</c:v>
                </c:pt>
                <c:pt idx="44">
                  <c:v>0.13110923243114761</c:v>
                </c:pt>
                <c:pt idx="45">
                  <c:v>0.13181703355289076</c:v>
                </c:pt>
                <c:pt idx="46">
                  <c:v>0.13252071755697739</c:v>
                </c:pt>
                <c:pt idx="47">
                  <c:v>0.13322032096070976</c:v>
                </c:pt>
                <c:pt idx="48">
                  <c:v>0.13391587984206133</c:v>
                </c:pt>
                <c:pt idx="49">
                  <c:v>0.13460742984639404</c:v>
                </c:pt>
                <c:pt idx="50">
                  <c:v>0.13529500619305165</c:v>
                </c:pt>
                <c:pt idx="51">
                  <c:v>0.13597864368183005</c:v>
                </c:pt>
                <c:pt idx="52">
                  <c:v>0.13665837669932793</c:v>
                </c:pt>
                <c:pt idx="53">
                  <c:v>0.13733423922518001</c:v>
                </c:pt>
                <c:pt idx="54">
                  <c:v>0.13800626483817699</c:v>
                </c:pt>
                <c:pt idx="55">
                  <c:v>0.13867448672227178</c:v>
                </c:pt>
                <c:pt idx="56">
                  <c:v>0.1393389376724771</c:v>
                </c:pt>
                <c:pt idx="57">
                  <c:v>0.13999965010065565</c:v>
                </c:pt>
                <c:pt idx="58">
                  <c:v>0.1406566560412052</c:v>
                </c:pt>
                <c:pt idx="59">
                  <c:v>0.1413099871566412</c:v>
                </c:pt>
                <c:pt idx="60">
                  <c:v>0.14195967474307819</c:v>
                </c:pt>
                <c:pt idx="61">
                  <c:v>0.14260574973561396</c:v>
                </c:pt>
                <c:pt idx="62">
                  <c:v>0.14324824271361644</c:v>
                </c:pt>
                <c:pt idx="63">
                  <c:v>0.14388718390591657</c:v>
                </c:pt>
                <c:pt idx="64">
                  <c:v>0.14452260319590926</c:v>
                </c:pt>
                <c:pt idx="65">
                  <c:v>0.14515453012656349</c:v>
                </c:pt>
                <c:pt idx="66">
                  <c:v>0.14578299390534422</c:v>
                </c:pt>
                <c:pt idx="67">
                  <c:v>0.14640802340904782</c:v>
                </c:pt>
                <c:pt idx="68">
                  <c:v>0.14702964718855258</c:v>
                </c:pt>
                <c:pt idx="69">
                  <c:v>0.14764789347348578</c:v>
                </c:pt>
                <c:pt idx="70">
                  <c:v>0.14826279017681024</c:v>
                </c:pt>
                <c:pt idx="71">
                  <c:v>0.14887436489933031</c:v>
                </c:pt>
                <c:pt idx="72">
                  <c:v>0.1494826449341207</c:v>
                </c:pt>
                <c:pt idx="73">
                  <c:v>0.15008765727087794</c:v>
                </c:pt>
                <c:pt idx="74">
                  <c:v>0.15068942860019804</c:v>
                </c:pt>
                <c:pt idx="75">
                  <c:v>0.15128798531777973</c:v>
                </c:pt>
                <c:pt idx="76">
                  <c:v>0.1518833535285565</c:v>
                </c:pt>
                <c:pt idx="77">
                  <c:v>0.1524755590507583</c:v>
                </c:pt>
                <c:pt idx="78">
                  <c:v>0.15306462741990351</c:v>
                </c:pt>
                <c:pt idx="79">
                  <c:v>0.15365058389272418</c:v>
                </c:pt>
                <c:pt idx="80">
                  <c:v>0.15423345345102449</c:v>
                </c:pt>
                <c:pt idx="81">
                  <c:v>0.15481326080547408</c:v>
                </c:pt>
                <c:pt idx="82">
                  <c:v>0.15539003039933866</c:v>
                </c:pt>
                <c:pt idx="83">
                  <c:v>0.15596378641214675</c:v>
                </c:pt>
                <c:pt idx="84">
                  <c:v>0.15653455276329697</c:v>
                </c:pt>
                <c:pt idx="85">
                  <c:v>0.1571023531156038</c:v>
                </c:pt>
                <c:pt idx="86">
                  <c:v>0.15766721087878552</c:v>
                </c:pt>
                <c:pt idx="87">
                  <c:v>0.15822914921289444</c:v>
                </c:pt>
                <c:pt idx="88">
                  <c:v>0.15878819103169034</c:v>
                </c:pt>
                <c:pt idx="89">
                  <c:v>0.15934435900595817</c:v>
                </c:pt>
                <c:pt idx="90">
                  <c:v>0.15989767556677256</c:v>
                </c:pt>
                <c:pt idx="91">
                  <c:v>0.16044816290870798</c:v>
                </c:pt>
                <c:pt idx="92">
                  <c:v>0.16099584299299696</c:v>
                </c:pt>
                <c:pt idx="93">
                  <c:v>0.16154073755063716</c:v>
                </c:pt>
                <c:pt idx="94">
                  <c:v>0.16208286808544808</c:v>
                </c:pt>
                <c:pt idx="95">
                  <c:v>0.16262225587707857</c:v>
                </c:pt>
                <c:pt idx="96">
                  <c:v>0.163158921983966</c:v>
                </c:pt>
                <c:pt idx="97">
                  <c:v>0.16369288724624742</c:v>
                </c:pt>
                <c:pt idx="98">
                  <c:v>0.16422417228862493</c:v>
                </c:pt>
                <c:pt idx="99">
                  <c:v>0.16475279752318517</c:v>
                </c:pt>
                <c:pt idx="100">
                  <c:v>0.1652787831521734</c:v>
                </c:pt>
                <c:pt idx="101">
                  <c:v>0.16580214917072458</c:v>
                </c:pt>
                <c:pt idx="102">
                  <c:v>0.1663229153695501</c:v>
                </c:pt>
                <c:pt idx="103">
                  <c:v>0.16684110133758387</c:v>
                </c:pt>
                <c:pt idx="104">
                  <c:v>0.16735672646458483</c:v>
                </c:pt>
                <c:pt idx="105">
                  <c:v>0.16786980994370002</c:v>
                </c:pt>
                <c:pt idx="106">
                  <c:v>0.16838037077398726</c:v>
                </c:pt>
                <c:pt idx="107">
                  <c:v>0.16888842776289834</c:v>
                </c:pt>
                <c:pt idx="108">
                  <c:v>0.16939399952872411</c:v>
                </c:pt>
                <c:pt idx="109">
                  <c:v>0.16989710450300105</c:v>
                </c:pt>
                <c:pt idx="110">
                  <c:v>0.17039776093288103</c:v>
                </c:pt>
                <c:pt idx="111">
                  <c:v>0.17089598688346475</c:v>
                </c:pt>
                <c:pt idx="112">
                  <c:v>0.17139180024009879</c:v>
                </c:pt>
                <c:pt idx="113">
                  <c:v>0.17188521871063814</c:v>
                </c:pt>
                <c:pt idx="114">
                  <c:v>0.17237625982767349</c:v>
                </c:pt>
                <c:pt idx="115">
                  <c:v>0.17286494095072491</c:v>
                </c:pt>
                <c:pt idx="116">
                  <c:v>0.17335127926840257</c:v>
                </c:pt>
                <c:pt idx="117">
                  <c:v>0.17383529180053425</c:v>
                </c:pt>
                <c:pt idx="118">
                  <c:v>0.17431699540026038</c:v>
                </c:pt>
                <c:pt idx="119">
                  <c:v>0.17479640675609839</c:v>
                </c:pt>
                <c:pt idx="120">
                  <c:v>0.17527354239397575</c:v>
                </c:pt>
                <c:pt idx="121">
                  <c:v>0.17574841867923222</c:v>
                </c:pt>
                <c:pt idx="122">
                  <c:v>0.17622105181859207</c:v>
                </c:pt>
                <c:pt idx="123">
                  <c:v>0.17669145786210769</c:v>
                </c:pt>
                <c:pt idx="124">
                  <c:v>0.17715965270507372</c:v>
                </c:pt>
                <c:pt idx="125">
                  <c:v>0.1776256520899126</c:v>
                </c:pt>
                <c:pt idx="126">
                  <c:v>0.17808947160803332</c:v>
                </c:pt>
                <c:pt idx="127">
                  <c:v>0.17855112670166093</c:v>
                </c:pt>
                <c:pt idx="128">
                  <c:v>0.17901063266564149</c:v>
                </c:pt>
                <c:pt idx="129">
                  <c:v>0.17946800464921808</c:v>
                </c:pt>
                <c:pt idx="130">
                  <c:v>0.17992325765778311</c:v>
                </c:pt>
                <c:pt idx="131">
                  <c:v>0.18037640655460313</c:v>
                </c:pt>
                <c:pt idx="132">
                  <c:v>0.18082746606252023</c:v>
                </c:pt>
                <c:pt idx="133">
                  <c:v>0.18127645076562737</c:v>
                </c:pt>
                <c:pt idx="134">
                  <c:v>0.18172337511092054</c:v>
                </c:pt>
                <c:pt idx="135">
                  <c:v>0.18216825340992585</c:v>
                </c:pt>
                <c:pt idx="136">
                  <c:v>0.18261109984030491</c:v>
                </c:pt>
                <c:pt idx="137">
                  <c:v>0.1830519284474352</c:v>
                </c:pt>
                <c:pt idx="138">
                  <c:v>0.18349075314596974</c:v>
                </c:pt>
                <c:pt idx="139">
                  <c:v>0.18392758772137274</c:v>
                </c:pt>
                <c:pt idx="140">
                  <c:v>0.18436244583143466</c:v>
                </c:pt>
                <c:pt idx="141">
                  <c:v>0.18479534100776485</c:v>
                </c:pt>
                <c:pt idx="142">
                  <c:v>0.18522628665726396</c:v>
                </c:pt>
                <c:pt idx="143">
                  <c:v>0.18565529606357425</c:v>
                </c:pt>
                <c:pt idx="144">
                  <c:v>0.18608238238851102</c:v>
                </c:pt>
                <c:pt idx="145">
                  <c:v>0.18650755867347235</c:v>
                </c:pt>
                <c:pt idx="146">
                  <c:v>0.18693083784083039</c:v>
                </c:pt>
                <c:pt idx="147">
                  <c:v>0.18735223269530224</c:v>
                </c:pt>
                <c:pt idx="148">
                  <c:v>0.18777175592530185</c:v>
                </c:pt>
                <c:pt idx="149">
                  <c:v>0.18818942010427378</c:v>
                </c:pt>
                <c:pt idx="150">
                  <c:v>0.18860523769200777</c:v>
                </c:pt>
                <c:pt idx="151">
                  <c:v>0.18901922103593477</c:v>
                </c:pt>
                <c:pt idx="152">
                  <c:v>0.18943138237240628</c:v>
                </c:pt>
                <c:pt idx="153">
                  <c:v>0.1898417338279548</c:v>
                </c:pt>
                <c:pt idx="154">
                  <c:v>0.19025028742053757</c:v>
                </c:pt>
                <c:pt idx="155">
                  <c:v>0.19065705506076364</c:v>
                </c:pt>
                <c:pt idx="156">
                  <c:v>0.19106204855310263</c:v>
                </c:pt>
                <c:pt idx="157">
                  <c:v>0.19146527959707904</c:v>
                </c:pt>
                <c:pt idx="158">
                  <c:v>0.19186675978844844</c:v>
                </c:pt>
                <c:pt idx="159">
                  <c:v>0.19226650062035955</c:v>
                </c:pt>
                <c:pt idx="160">
                  <c:v>0.19266451348449792</c:v>
                </c:pt>
                <c:pt idx="161">
                  <c:v>0.19306080967221775</c:v>
                </c:pt>
                <c:pt idx="162">
                  <c:v>0.19345540037565465</c:v>
                </c:pt>
                <c:pt idx="163">
                  <c:v>0.19384829668882655</c:v>
                </c:pt>
                <c:pt idx="164">
                  <c:v>0.19423950960871764</c:v>
                </c:pt>
                <c:pt idx="165">
                  <c:v>0.19462905003634923</c:v>
                </c:pt>
                <c:pt idx="166">
                  <c:v>0.19501692877783569</c:v>
                </c:pt>
                <c:pt idx="167">
                  <c:v>0.19540315654542606</c:v>
                </c:pt>
                <c:pt idx="168">
                  <c:v>0.19578774395853263</c:v>
                </c:pt>
                <c:pt idx="169">
                  <c:v>0.19617070154474509</c:v>
                </c:pt>
                <c:pt idx="170">
                  <c:v>0.1965520397408313</c:v>
                </c:pt>
                <c:pt idx="171">
                  <c:v>0.1969317688937261</c:v>
                </c:pt>
                <c:pt idx="172">
                  <c:v>0.197309899261505</c:v>
                </c:pt>
                <c:pt idx="173">
                  <c:v>0.19768644101434718</c:v>
                </c:pt>
                <c:pt idx="174">
                  <c:v>0.19806140423548393</c:v>
                </c:pt>
                <c:pt idx="175">
                  <c:v>0.19843479892213658</c:v>
                </c:pt>
                <c:pt idx="176">
                  <c:v>0.19880663498644066</c:v>
                </c:pt>
                <c:pt idx="177">
                  <c:v>0.19917692225635911</c:v>
                </c:pt>
                <c:pt idx="178">
                  <c:v>0.19954567047658259</c:v>
                </c:pt>
                <c:pt idx="179">
                  <c:v>0.19991288930941939</c:v>
                </c:pt>
                <c:pt idx="180">
                  <c:v>0.20027858833567269</c:v>
                </c:pt>
                <c:pt idx="181">
                  <c:v>0.20064277705550712</c:v>
                </c:pt>
                <c:pt idx="182">
                  <c:v>0.20100546488930435</c:v>
                </c:pt>
                <c:pt idx="183">
                  <c:v>0.20136666117850671</c:v>
                </c:pt>
                <c:pt idx="184">
                  <c:v>0.20172637518645123</c:v>
                </c:pt>
                <c:pt idx="185">
                  <c:v>0.20208461609919265</c:v>
                </c:pt>
                <c:pt idx="186">
                  <c:v>0.202441393026315</c:v>
                </c:pt>
                <c:pt idx="187">
                  <c:v>0.20279671500173457</c:v>
                </c:pt>
                <c:pt idx="188">
                  <c:v>0.20315059098449087</c:v>
                </c:pt>
                <c:pt idx="189">
                  <c:v>0.20350302985952923</c:v>
                </c:pt>
                <c:pt idx="190">
                  <c:v>0.20385404043847249</c:v>
                </c:pt>
                <c:pt idx="191">
                  <c:v>0.20420363146038278</c:v>
                </c:pt>
                <c:pt idx="192">
                  <c:v>0.2045518115925147</c:v>
                </c:pt>
                <c:pt idx="193">
                  <c:v>0.20489858943105854</c:v>
                </c:pt>
                <c:pt idx="194">
                  <c:v>0.20524397350187404</c:v>
                </c:pt>
                <c:pt idx="195">
                  <c:v>0.20558797226121475</c:v>
                </c:pt>
                <c:pt idx="196">
                  <c:v>0.20593059409644426</c:v>
                </c:pt>
                <c:pt idx="197">
                  <c:v>0.20627184732674303</c:v>
                </c:pt>
                <c:pt idx="198">
                  <c:v>0.20661174020380574</c:v>
                </c:pt>
                <c:pt idx="199">
                  <c:v>0.20695028091253165</c:v>
                </c:pt>
                <c:pt idx="200">
                  <c:v>0.20728747757170468</c:v>
                </c:pt>
              </c:numCache>
            </c:numRef>
          </c:val>
          <c:smooth val="0"/>
          <c:extLst>
            <c:ext xmlns:c16="http://schemas.microsoft.com/office/drawing/2014/chart" uri="{C3380CC4-5D6E-409C-BE32-E72D297353CC}">
              <c16:uniqueId val="{00000003-AFE0-4300-9BF2-235D7250B897}"/>
            </c:ext>
          </c:extLst>
        </c:ser>
        <c:ser>
          <c:idx val="4"/>
          <c:order val="4"/>
          <c:tx>
            <c:strRef>
              <c:f>'Efficiency vs VIN Calculations'!$AK$8</c:f>
              <c:strCache>
                <c:ptCount val="1"/>
                <c:pt idx="0">
                  <c:v>Total Control Bu MOSFET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Calculations'!$AK$9:$AK$209</c:f>
              <c:numCache>
                <c:formatCode>0.000</c:formatCode>
                <c:ptCount val="201"/>
                <c:pt idx="0">
                  <c:v>3.1666385121192331</c:v>
                </c:pt>
                <c:pt idx="1">
                  <c:v>3.1729581350464509</c:v>
                </c:pt>
                <c:pt idx="2">
                  <c:v>3.1792936199445592</c:v>
                </c:pt>
                <c:pt idx="3">
                  <c:v>3.1856447761917663</c:v>
                </c:pt>
                <c:pt idx="4">
                  <c:v>3.1920114162546822</c:v>
                </c:pt>
                <c:pt idx="5">
                  <c:v>3.1983933556253223</c:v>
                </c:pt>
                <c:pt idx="6">
                  <c:v>3.2047904127596665</c:v>
                </c:pt>
                <c:pt idx="7">
                  <c:v>3.2112024090177109</c:v>
                </c:pt>
                <c:pt idx="8">
                  <c:v>3.2176291686049869</c:v>
                </c:pt>
                <c:pt idx="9">
                  <c:v>3.2240705185155027</c:v>
                </c:pt>
                <c:pt idx="10">
                  <c:v>3.2305262884760442</c:v>
                </c:pt>
                <c:pt idx="11">
                  <c:v>3.2369963108918434</c:v>
                </c:pt>
                <c:pt idx="12">
                  <c:v>3.2434804207935253</c:v>
                </c:pt>
                <c:pt idx="13">
                  <c:v>3.2499784557853326</c:v>
                </c:pt>
                <c:pt idx="14">
                  <c:v>3.2564902559945779</c:v>
                </c:pt>
                <c:pt idx="15">
                  <c:v>3.2630156640222894</c:v>
                </c:pt>
                <c:pt idx="16">
                  <c:v>3.2695545248950224</c:v>
                </c:pt>
                <c:pt idx="17">
                  <c:v>3.2761066860178043</c:v>
                </c:pt>
                <c:pt idx="18">
                  <c:v>3.282671997128169</c:v>
                </c:pt>
                <c:pt idx="19">
                  <c:v>3.2892503102512789</c:v>
                </c:pt>
                <c:pt idx="20">
                  <c:v>3.2958414796560689</c:v>
                </c:pt>
                <c:pt idx="21">
                  <c:v>3.3024453618124179</c:v>
                </c:pt>
                <c:pt idx="22">
                  <c:v>3.3090618153492928</c:v>
                </c:pt>
                <c:pt idx="23">
                  <c:v>3.3156907010138652</c:v>
                </c:pt>
                <c:pt idx="24">
                  <c:v>3.3223318816315497</c:v>
                </c:pt>
                <c:pt idx="25">
                  <c:v>3.3289852220669585</c:v>
                </c:pt>
                <c:pt idx="26">
                  <c:v>3.3356505891857298</c:v>
                </c:pt>
                <c:pt idx="27">
                  <c:v>3.3423278518172301</c:v>
                </c:pt>
                <c:pt idx="28">
                  <c:v>3.3490168807180889</c:v>
                </c:pt>
                <c:pt idx="29">
                  <c:v>3.355717548536544</c:v>
                </c:pt>
                <c:pt idx="30">
                  <c:v>3.3624297297775882</c:v>
                </c:pt>
                <c:pt idx="31">
                  <c:v>3.3691533007688865</c:v>
                </c:pt>
                <c:pt idx="32">
                  <c:v>3.3758881396274552</c:v>
                </c:pt>
                <c:pt idx="33">
                  <c:v>3.3826341262270612</c:v>
                </c:pt>
                <c:pt idx="34">
                  <c:v>3.3893911421663523</c:v>
                </c:pt>
                <c:pt idx="35">
                  <c:v>3.3961590707376645</c:v>
                </c:pt>
                <c:pt idx="36">
                  <c:v>3.4029377968965386</c:v>
                </c:pt>
                <c:pt idx="37">
                  <c:v>3.409727207231867</c:v>
                </c:pt>
                <c:pt idx="38">
                  <c:v>3.4165271899367062</c:v>
                </c:pt>
                <c:pt idx="39">
                  <c:v>3.423337634779712</c:v>
                </c:pt>
                <c:pt idx="40">
                  <c:v>3.4301584330771866</c:v>
                </c:pt>
                <c:pt idx="41">
                  <c:v>3.4369894776657279</c:v>
                </c:pt>
                <c:pt idx="42">
                  <c:v>3.4438306628754507</c:v>
                </c:pt>
                <c:pt idx="43">
                  <c:v>3.4506818845037914</c:v>
                </c:pt>
                <c:pt idx="44">
                  <c:v>3.4575430397898574</c:v>
                </c:pt>
                <c:pt idx="45">
                  <c:v>3.4644140273893167</c:v>
                </c:pt>
                <c:pt idx="46">
                  <c:v>3.4712947473498188</c:v>
                </c:pt>
                <c:pt idx="47">
                  <c:v>3.4781851010869258</c:v>
                </c:pt>
                <c:pt idx="48">
                  <c:v>3.4850849913605462</c:v>
                </c:pt>
                <c:pt idx="49">
                  <c:v>3.4919943222518639</c:v>
                </c:pt>
                <c:pt idx="50">
                  <c:v>3.4989129991407326</c:v>
                </c:pt>
                <c:pt idx="51">
                  <c:v>3.5058409286835497</c:v>
                </c:pt>
                <c:pt idx="52">
                  <c:v>3.5127780187915696</c:v>
                </c:pt>
                <c:pt idx="53">
                  <c:v>3.5197241786096805</c:v>
                </c:pt>
                <c:pt idx="54">
                  <c:v>3.5266793184955949</c:v>
                </c:pt>
                <c:pt idx="55">
                  <c:v>3.5336433499994766</c:v>
                </c:pt>
                <c:pt idx="56">
                  <c:v>3.5406161858439678</c:v>
                </c:pt>
                <c:pt idx="57">
                  <c:v>3.5475977399046381</c:v>
                </c:pt>
                <c:pt idx="58">
                  <c:v>3.5545879271908016</c:v>
                </c:pt>
                <c:pt idx="59">
                  <c:v>3.5615866638267466</c:v>
                </c:pt>
                <c:pt idx="60">
                  <c:v>3.5685938670333135</c:v>
                </c:pt>
                <c:pt idx="61">
                  <c:v>3.5756094551098587</c:v>
                </c:pt>
                <c:pt idx="62">
                  <c:v>3.5826333474165679</c:v>
                </c:pt>
                <c:pt idx="63">
                  <c:v>3.5896654643571195</c:v>
                </c:pt>
                <c:pt idx="64">
                  <c:v>3.5967057273616909</c:v>
                </c:pt>
                <c:pt idx="65">
                  <c:v>3.603754058870297</c:v>
                </c:pt>
                <c:pt idx="66">
                  <c:v>3.6108103823164601</c:v>
                </c:pt>
                <c:pt idx="67">
                  <c:v>3.6178746221111888</c:v>
                </c:pt>
                <c:pt idx="68">
                  <c:v>3.6249467036272716</c:v>
                </c:pt>
                <c:pt idx="69">
                  <c:v>3.6320265531838873</c:v>
                </c:pt>
                <c:pt idx="70">
                  <c:v>3.639114098031488</c:v>
                </c:pt>
                <c:pt idx="71">
                  <c:v>3.646209266336998</c:v>
                </c:pt>
                <c:pt idx="72">
                  <c:v>3.6533119871692743</c:v>
                </c:pt>
                <c:pt idx="73">
                  <c:v>3.6604221904848666</c:v>
                </c:pt>
                <c:pt idx="74">
                  <c:v>3.667539807114029</c:v>
                </c:pt>
                <c:pt idx="75">
                  <c:v>3.6746647687470135</c:v>
                </c:pt>
                <c:pt idx="76">
                  <c:v>3.681797007920609</c:v>
                </c:pt>
                <c:pt idx="77">
                  <c:v>3.6889364580049406</c:v>
                </c:pt>
                <c:pt idx="78">
                  <c:v>3.6960830531905251</c:v>
                </c:pt>
                <c:pt idx="79">
                  <c:v>3.7032367284755527</c:v>
                </c:pt>
                <c:pt idx="80">
                  <c:v>3.710397419653416</c:v>
                </c:pt>
                <c:pt idx="81">
                  <c:v>3.7175650633004715</c:v>
                </c:pt>
                <c:pt idx="82">
                  <c:v>3.724739596764028</c:v>
                </c:pt>
                <c:pt idx="83">
                  <c:v>3.7319209581505515</c:v>
                </c:pt>
                <c:pt idx="84">
                  <c:v>3.7391090863140954</c:v>
                </c:pt>
                <c:pt idx="85">
                  <c:v>3.7463039208449347</c:v>
                </c:pt>
                <c:pt idx="86">
                  <c:v>3.7535054020584204</c:v>
                </c:pt>
                <c:pt idx="87">
                  <c:v>3.7607134709840238</c:v>
                </c:pt>
                <c:pt idx="88">
                  <c:v>3.7679280693545913</c:v>
                </c:pt>
                <c:pt idx="89">
                  <c:v>3.7751491395957881</c:v>
                </c:pt>
                <c:pt idx="90">
                  <c:v>3.782376624815734</c:v>
                </c:pt>
                <c:pt idx="91">
                  <c:v>3.7896104687948258</c:v>
                </c:pt>
                <c:pt idx="92">
                  <c:v>3.7968506159757478</c:v>
                </c:pt>
                <c:pt idx="93">
                  <c:v>3.8040970114536514</c:v>
                </c:pt>
                <c:pt idx="94">
                  <c:v>3.8113496009665213</c:v>
                </c:pt>
                <c:pt idx="95">
                  <c:v>3.8186083308857022</c:v>
                </c:pt>
                <c:pt idx="96">
                  <c:v>3.8258731482066044</c:v>
                </c:pt>
                <c:pt idx="97">
                  <c:v>3.8331440005395625</c:v>
                </c:pt>
                <c:pt idx="98">
                  <c:v>3.8404208361008707</c:v>
                </c:pt>
                <c:pt idx="99">
                  <c:v>3.8477036037039567</c:v>
                </c:pt>
                <c:pt idx="100">
                  <c:v>3.8549922527507312</c:v>
                </c:pt>
                <c:pt idx="101">
                  <c:v>3.862286733223065</c:v>
                </c:pt>
                <c:pt idx="102">
                  <c:v>3.8695869956744389</c:v>
                </c:pt>
                <c:pt idx="103">
                  <c:v>3.876892991221724</c:v>
                </c:pt>
                <c:pt idx="104">
                  <c:v>3.8842046715371072</c:v>
                </c:pt>
                <c:pt idx="105">
                  <c:v>3.8915219888401547</c:v>
                </c:pt>
                <c:pt idx="106">
                  <c:v>3.8988448958900173</c:v>
                </c:pt>
                <c:pt idx="107">
                  <c:v>3.9061733459777677</c:v>
                </c:pt>
                <c:pt idx="108">
                  <c:v>3.9135072929188652</c:v>
                </c:pt>
                <c:pt idx="109">
                  <c:v>3.9208466910457518</c:v>
                </c:pt>
                <c:pt idx="110">
                  <c:v>3.9281914952005765</c:v>
                </c:pt>
                <c:pt idx="111">
                  <c:v>3.9355416607280378</c:v>
                </c:pt>
                <c:pt idx="112">
                  <c:v>3.9428971434683557</c:v>
                </c:pt>
                <c:pt idx="113">
                  <c:v>3.9502578997503512</c:v>
                </c:pt>
                <c:pt idx="114">
                  <c:v>3.9576238863846478</c:v>
                </c:pt>
                <c:pt idx="115">
                  <c:v>3.9649950606569937</c:v>
                </c:pt>
                <c:pt idx="116">
                  <c:v>3.9723713803216838</c:v>
                </c:pt>
                <c:pt idx="117">
                  <c:v>3.9797528035950966</c:v>
                </c:pt>
                <c:pt idx="118">
                  <c:v>3.9871392891493405</c:v>
                </c:pt>
                <c:pt idx="119">
                  <c:v>3.994530796106003</c:v>
                </c:pt>
                <c:pt idx="120">
                  <c:v>4.0019272840300033</c:v>
                </c:pt>
                <c:pt idx="121">
                  <c:v>4.0093287129235522</c:v>
                </c:pt>
                <c:pt idx="122">
                  <c:v>4.0167350432201943</c:v>
                </c:pt>
                <c:pt idx="123">
                  <c:v>4.0241462357789688</c:v>
                </c:pt>
                <c:pt idx="124">
                  <c:v>4.0315622518786576</c:v>
                </c:pt>
                <c:pt idx="125">
                  <c:v>4.0389830532121174</c:v>
                </c:pt>
                <c:pt idx="126">
                  <c:v>4.0464086018807217</c:v>
                </c:pt>
                <c:pt idx="127">
                  <c:v>4.053838860388872</c:v>
                </c:pt>
                <c:pt idx="128">
                  <c:v>4.0612737916386248</c:v>
                </c:pt>
                <c:pt idx="129">
                  <c:v>4.068713358924378</c:v>
                </c:pt>
                <c:pt idx="130">
                  <c:v>4.0761575259276572</c:v>
                </c:pt>
                <c:pt idx="131">
                  <c:v>4.0836062567119811</c:v>
                </c:pt>
                <c:pt idx="132">
                  <c:v>4.0910595157178191</c:v>
                </c:pt>
                <c:pt idx="133">
                  <c:v>4.0985172677576092</c:v>
                </c:pt>
                <c:pt idx="134">
                  <c:v>4.1059794780108732</c:v>
                </c:pt>
                <c:pt idx="135">
                  <c:v>4.1134461120194015</c:v>
                </c:pt>
                <c:pt idx="136">
                  <c:v>4.1209171356825163</c:v>
                </c:pt>
                <c:pt idx="137">
                  <c:v>4.1283925152524068</c:v>
                </c:pt>
                <c:pt idx="138">
                  <c:v>4.1358722173295401</c:v>
                </c:pt>
                <c:pt idx="139">
                  <c:v>4.1433562088581422</c:v>
                </c:pt>
                <c:pt idx="140">
                  <c:v>4.1508444571217513</c:v>
                </c:pt>
                <c:pt idx="141">
                  <c:v>4.1583369297388435</c:v>
                </c:pt>
                <c:pt idx="142">
                  <c:v>4.1658335946585154</c:v>
                </c:pt>
                <c:pt idx="143">
                  <c:v>4.1733344201562499</c:v>
                </c:pt>
                <c:pt idx="144">
                  <c:v>4.1808393748297306</c:v>
                </c:pt>
                <c:pt idx="145">
                  <c:v>4.1883484275947316</c:v>
                </c:pt>
                <c:pt idx="146">
                  <c:v>4.1958615476810754</c:v>
                </c:pt>
                <c:pt idx="147">
                  <c:v>4.2033787046286335</c:v>
                </c:pt>
                <c:pt idx="148">
                  <c:v>4.2108998682834038</c:v>
                </c:pt>
                <c:pt idx="149">
                  <c:v>4.2184250087936501</c:v>
                </c:pt>
                <c:pt idx="150">
                  <c:v>4.2259540966060865</c:v>
                </c:pt>
                <c:pt idx="151">
                  <c:v>4.2334871024621314</c:v>
                </c:pt>
                <c:pt idx="152">
                  <c:v>4.2410239973942145</c:v>
                </c:pt>
                <c:pt idx="153">
                  <c:v>4.2485647527221371</c:v>
                </c:pt>
                <c:pt idx="154">
                  <c:v>4.2561093400494903</c:v>
                </c:pt>
                <c:pt idx="155">
                  <c:v>4.26365773126013</c:v>
                </c:pt>
                <c:pt idx="156">
                  <c:v>4.2712098985146936</c:v>
                </c:pt>
                <c:pt idx="157">
                  <c:v>4.2787658142471843</c:v>
                </c:pt>
                <c:pt idx="158">
                  <c:v>4.2863254511615922</c:v>
                </c:pt>
                <c:pt idx="159">
                  <c:v>4.2938887822285725</c:v>
                </c:pt>
                <c:pt idx="160">
                  <c:v>4.3014557806821747</c:v>
                </c:pt>
                <c:pt idx="161">
                  <c:v>4.3090264200166155</c:v>
                </c:pt>
                <c:pt idx="162">
                  <c:v>4.3166006739831015</c:v>
                </c:pt>
                <c:pt idx="163">
                  <c:v>4.3241785165866995</c:v>
                </c:pt>
                <c:pt idx="164">
                  <c:v>4.3317599220832506</c:v>
                </c:pt>
                <c:pt idx="165">
                  <c:v>4.3393448649763293</c:v>
                </c:pt>
                <c:pt idx="166">
                  <c:v>4.3469333200142533</c:v>
                </c:pt>
                <c:pt idx="167">
                  <c:v>4.354525262187126</c:v>
                </c:pt>
                <c:pt idx="168">
                  <c:v>4.3621206667239312</c:v>
                </c:pt>
                <c:pt idx="169">
                  <c:v>4.3697195090896663</c:v>
                </c:pt>
                <c:pt idx="170">
                  <c:v>4.3773217649825149</c:v>
                </c:pt>
                <c:pt idx="171">
                  <c:v>4.384927410331068</c:v>
                </c:pt>
                <c:pt idx="172">
                  <c:v>4.3925364212915738</c:v>
                </c:pt>
                <c:pt idx="173">
                  <c:v>4.4001487742452339</c:v>
                </c:pt>
                <c:pt idx="174">
                  <c:v>4.4077644457955403</c:v>
                </c:pt>
                <c:pt idx="175">
                  <c:v>4.4153834127656477</c:v>
                </c:pt>
                <c:pt idx="176">
                  <c:v>4.4230056521957737</c:v>
                </c:pt>
                <c:pt idx="177">
                  <c:v>4.4306311413406574</c:v>
                </c:pt>
                <c:pt idx="178">
                  <c:v>4.4382598576670347</c:v>
                </c:pt>
                <c:pt idx="179">
                  <c:v>4.4458917788511592</c:v>
                </c:pt>
                <c:pt idx="180">
                  <c:v>4.4535268827763517</c:v>
                </c:pt>
                <c:pt idx="181">
                  <c:v>4.4611651475305889</c:v>
                </c:pt>
                <c:pt idx="182">
                  <c:v>4.4688065514041266</c:v>
                </c:pt>
                <c:pt idx="183">
                  <c:v>4.4764510728871549</c:v>
                </c:pt>
                <c:pt idx="184">
                  <c:v>4.48409869066748</c:v>
                </c:pt>
                <c:pt idx="185">
                  <c:v>4.4917493836282523</c:v>
                </c:pt>
                <c:pt idx="186">
                  <c:v>4.499403130845705</c:v>
                </c:pt>
                <c:pt idx="187">
                  <c:v>4.5070599115869543</c:v>
                </c:pt>
                <c:pt idx="188">
                  <c:v>4.5147197053077956</c:v>
                </c:pt>
                <c:pt idx="189">
                  <c:v>4.5223824916505553</c:v>
                </c:pt>
                <c:pt idx="190">
                  <c:v>4.5300482504419648</c:v>
                </c:pt>
                <c:pt idx="191">
                  <c:v>4.537716961691058</c:v>
                </c:pt>
                <c:pt idx="192">
                  <c:v>4.545388605587104</c:v>
                </c:pt>
                <c:pt idx="193">
                  <c:v>4.5530631624975717</c:v>
                </c:pt>
                <c:pt idx="194">
                  <c:v>4.5607406129661037</c:v>
                </c:pt>
                <c:pt idx="195">
                  <c:v>4.568420937710548</c:v>
                </c:pt>
                <c:pt idx="196">
                  <c:v>4.5761041176209867</c:v>
                </c:pt>
                <c:pt idx="197">
                  <c:v>4.5837901337578062</c:v>
                </c:pt>
                <c:pt idx="198">
                  <c:v>4.591478967349798</c:v>
                </c:pt>
                <c:pt idx="199">
                  <c:v>4.5991705997922674</c:v>
                </c:pt>
                <c:pt idx="200">
                  <c:v>4.6068650126451924</c:v>
                </c:pt>
              </c:numCache>
            </c:numRef>
          </c:val>
          <c:smooth val="0"/>
          <c:extLst>
            <c:ext xmlns:c16="http://schemas.microsoft.com/office/drawing/2014/chart" uri="{C3380CC4-5D6E-409C-BE32-E72D297353CC}">
              <c16:uniqueId val="{00000004-AFE0-4300-9BF2-235D7250B897}"/>
            </c:ext>
          </c:extLst>
        </c:ser>
        <c:ser>
          <c:idx val="5"/>
          <c:order val="5"/>
          <c:tx>
            <c:strRef>
              <c:f>'Efficiency vs VIN Calculations'!$AO$8</c:f>
              <c:strCache>
                <c:ptCount val="1"/>
                <c:pt idx="0">
                  <c:v>Total Sync Bu MOSFET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Calculations'!$AO$9:$AO$209</c:f>
              <c:numCache>
                <c:formatCode>0.000</c:formatCode>
                <c:ptCount val="201"/>
                <c:pt idx="0">
                  <c:v>0.76682892981848416</c:v>
                </c:pt>
                <c:pt idx="1">
                  <c:v>0.76876019929867889</c:v>
                </c:pt>
                <c:pt idx="2">
                  <c:v>0.77067995133071665</c:v>
                </c:pt>
                <c:pt idx="3">
                  <c:v>0.77258829213482738</c:v>
                </c:pt>
                <c:pt idx="4">
                  <c:v>0.77448532657974101</c:v>
                </c:pt>
                <c:pt idx="5">
                  <c:v>0.77637115820492941</c:v>
                </c:pt>
                <c:pt idx="6">
                  <c:v>0.77824588924239702</c:v>
                </c:pt>
                <c:pt idx="7">
                  <c:v>0.78010962063802802</c:v>
                </c:pt>
                <c:pt idx="8">
                  <c:v>0.78196245207250448</c:v>
                </c:pt>
                <c:pt idx="9">
                  <c:v>0.78380448198180097</c:v>
                </c:pt>
                <c:pt idx="10">
                  <c:v>0.78563580757727103</c:v>
                </c:pt>
                <c:pt idx="11">
                  <c:v>0.78745652486533035</c:v>
                </c:pt>
                <c:pt idx="12">
                  <c:v>0.78926672866675163</c:v>
                </c:pt>
                <c:pt idx="13">
                  <c:v>0.79106651263557459</c:v>
                </c:pt>
                <c:pt idx="14">
                  <c:v>0.7928559692776449</c:v>
                </c:pt>
                <c:pt idx="15">
                  <c:v>0.79463518996878812</c:v>
                </c:pt>
                <c:pt idx="16">
                  <c:v>0.79640426497262817</c:v>
                </c:pt>
                <c:pt idx="17">
                  <c:v>0.79816328345805931</c:v>
                </c:pt>
                <c:pt idx="18">
                  <c:v>0.79991233351637692</c:v>
                </c:pt>
                <c:pt idx="19">
                  <c:v>0.80165150217808012</c:v>
                </c:pt>
                <c:pt idx="20">
                  <c:v>0.80338087542934766</c:v>
                </c:pt>
                <c:pt idx="21">
                  <c:v>0.80510053822819927</c:v>
                </c:pt>
                <c:pt idx="22">
                  <c:v>0.80681057452034755</c:v>
                </c:pt>
                <c:pt idx="23">
                  <c:v>0.80851106725474797</c:v>
                </c:pt>
                <c:pt idx="24">
                  <c:v>0.81020209839885504</c:v>
                </c:pt>
                <c:pt idx="25">
                  <c:v>0.81188374895358728</c:v>
                </c:pt>
                <c:pt idx="26">
                  <c:v>0.81355609896801429</c:v>
                </c:pt>
                <c:pt idx="27">
                  <c:v>0.81521922755376441</c:v>
                </c:pt>
                <c:pt idx="28">
                  <c:v>0.81687321289916603</c:v>
                </c:pt>
                <c:pt idx="29">
                  <c:v>0.81851813228312464</c:v>
                </c:pt>
                <c:pt idx="30">
                  <c:v>0.82015406208874098</c:v>
                </c:pt>
                <c:pt idx="31">
                  <c:v>0.82178107781668097</c:v>
                </c:pt>
                <c:pt idx="32">
                  <c:v>0.82339925409829551</c:v>
                </c:pt>
                <c:pt idx="33">
                  <c:v>0.82500866470850276</c:v>
                </c:pt>
                <c:pt idx="34">
                  <c:v>0.82660938257843231</c:v>
                </c:pt>
                <c:pt idx="35">
                  <c:v>0.82820147980784142</c:v>
                </c:pt>
                <c:pt idx="36">
                  <c:v>0.82978502767730455</c:v>
                </c:pt>
                <c:pt idx="37">
                  <c:v>0.83136009666018207</c:v>
                </c:pt>
                <c:pt idx="38">
                  <c:v>0.83292675643437541</c:v>
                </c:pt>
                <c:pt idx="39">
                  <c:v>0.83448507589386844</c:v>
                </c:pt>
                <c:pt idx="40">
                  <c:v>0.83603512316006456</c:v>
                </c:pt>
                <c:pt idx="41">
                  <c:v>0.83757696559292061</c:v>
                </c:pt>
                <c:pt idx="42">
                  <c:v>0.8391106698018832</c:v>
                </c:pt>
                <c:pt idx="43">
                  <c:v>0.8406363016566315</c:v>
                </c:pt>
                <c:pt idx="44">
                  <c:v>0.84215392629763086</c:v>
                </c:pt>
                <c:pt idx="45">
                  <c:v>0.84366360814650077</c:v>
                </c:pt>
                <c:pt idx="46">
                  <c:v>0.84516541091620023</c:v>
                </c:pt>
                <c:pt idx="47">
                  <c:v>0.84665939762103681</c:v>
                </c:pt>
                <c:pt idx="48">
                  <c:v>0.8481456305865015</c:v>
                </c:pt>
                <c:pt idx="49">
                  <c:v>0.84962417145893154</c:v>
                </c:pt>
                <c:pt idx="50">
                  <c:v>0.85109508121500776</c:v>
                </c:pt>
                <c:pt idx="51">
                  <c:v>0.85255842017108852</c:v>
                </c:pt>
                <c:pt idx="52">
                  <c:v>0.8540142479923819</c:v>
                </c:pt>
                <c:pt idx="53">
                  <c:v>0.85546262370196247</c:v>
                </c:pt>
                <c:pt idx="54">
                  <c:v>0.85690360568963519</c:v>
                </c:pt>
                <c:pt idx="55">
                  <c:v>0.8583372517206459</c:v>
                </c:pt>
                <c:pt idx="56">
                  <c:v>0.85976361894424647</c:v>
                </c:pt>
                <c:pt idx="57">
                  <c:v>0.86118276390211557</c:v>
                </c:pt>
                <c:pt idx="58">
                  <c:v>0.86259474253663693</c:v>
                </c:pt>
                <c:pt idx="59">
                  <c:v>0.86399961019903926</c:v>
                </c:pt>
                <c:pt idx="60">
                  <c:v>0.86539742165739941</c:v>
                </c:pt>
                <c:pt idx="61">
                  <c:v>0.86678823110451408</c:v>
                </c:pt>
                <c:pt idx="62">
                  <c:v>0.86817209216563918</c:v>
                </c:pt>
                <c:pt idx="63">
                  <c:v>0.8695490579061016</c:v>
                </c:pt>
                <c:pt idx="64">
                  <c:v>0.87091918083878606</c:v>
                </c:pt>
                <c:pt idx="65">
                  <c:v>0.87228251293149806</c:v>
                </c:pt>
                <c:pt idx="66">
                  <c:v>0.87363910561420688</c:v>
                </c:pt>
                <c:pt idx="67">
                  <c:v>0.87498900978617</c:v>
                </c:pt>
                <c:pt idx="68">
                  <c:v>0.87633227582294171</c:v>
                </c:pt>
                <c:pt idx="69">
                  <c:v>0.87766895358326769</c:v>
                </c:pt>
                <c:pt idx="70">
                  <c:v>0.87899909241586827</c:v>
                </c:pt>
                <c:pt idx="71">
                  <c:v>0.88032274116611264</c:v>
                </c:pt>
                <c:pt idx="72">
                  <c:v>0.8816399481825854</c:v>
                </c:pt>
                <c:pt idx="73">
                  <c:v>0.88295076132354755</c:v>
                </c:pt>
                <c:pt idx="74">
                  <c:v>0.88425522796329536</c:v>
                </c:pt>
                <c:pt idx="75">
                  <c:v>0.88555339499841679</c:v>
                </c:pt>
                <c:pt idx="76">
                  <c:v>0.88684530885394941</c:v>
                </c:pt>
                <c:pt idx="77">
                  <c:v>0.88813101548944129</c:v>
                </c:pt>
                <c:pt idx="78">
                  <c:v>0.88941056040491417</c:v>
                </c:pt>
                <c:pt idx="79">
                  <c:v>0.89068398864673604</c:v>
                </c:pt>
                <c:pt idx="80">
                  <c:v>0.89195134481339899</c:v>
                </c:pt>
                <c:pt idx="81">
                  <c:v>0.89321267306120677</c:v>
                </c:pt>
                <c:pt idx="82">
                  <c:v>0.89446801710987722</c:v>
                </c:pt>
                <c:pt idx="83">
                  <c:v>0.89571742024805279</c:v>
                </c:pt>
                <c:pt idx="84">
                  <c:v>0.89696092533872873</c:v>
                </c:pt>
                <c:pt idx="85">
                  <c:v>0.89819857482459753</c:v>
                </c:pt>
                <c:pt idx="86">
                  <c:v>0.89943041073330832</c:v>
                </c:pt>
                <c:pt idx="87">
                  <c:v>0.9006564746826502</c:v>
                </c:pt>
                <c:pt idx="88">
                  <c:v>0.90187680788565172</c:v>
                </c:pt>
                <c:pt idx="89">
                  <c:v>0.90309145115560452</c:v>
                </c:pt>
                <c:pt idx="90">
                  <c:v>0.9043004449110108</c:v>
                </c:pt>
                <c:pt idx="91">
                  <c:v>0.90550382918045602</c:v>
                </c:pt>
                <c:pt idx="92">
                  <c:v>0.90670164360740579</c:v>
                </c:pt>
                <c:pt idx="93">
                  <c:v>0.90789392745493303</c:v>
                </c:pt>
                <c:pt idx="94">
                  <c:v>0.90908071961037218</c:v>
                </c:pt>
                <c:pt idx="95">
                  <c:v>0.91026205858990517</c:v>
                </c:pt>
                <c:pt idx="96">
                  <c:v>0.91143798254307751</c:v>
                </c:pt>
                <c:pt idx="97">
                  <c:v>0.91260852925724734</c:v>
                </c:pt>
                <c:pt idx="98">
                  <c:v>0.91377373616196889</c:v>
                </c:pt>
                <c:pt idx="99">
                  <c:v>0.91493364033331115</c:v>
                </c:pt>
                <c:pt idx="100">
                  <c:v>0.91608827849811103</c:v>
                </c:pt>
                <c:pt idx="101">
                  <c:v>0.9172376870381671</c:v>
                </c:pt>
                <c:pt idx="102">
                  <c:v>0.91838190199436642</c:v>
                </c:pt>
                <c:pt idx="103">
                  <c:v>0.91952095907075815</c:v>
                </c:pt>
                <c:pt idx="104">
                  <c:v>0.92065489363856057</c:v>
                </c:pt>
                <c:pt idx="105">
                  <c:v>0.92178374074011404</c:v>
                </c:pt>
                <c:pt idx="106">
                  <c:v>0.92290753509277534</c:v>
                </c:pt>
                <c:pt idx="107">
                  <c:v>0.92402631109275468</c:v>
                </c:pt>
                <c:pt idx="108">
                  <c:v>0.92514010281889936</c:v>
                </c:pt>
                <c:pt idx="109">
                  <c:v>0.92624894403642088</c:v>
                </c:pt>
                <c:pt idx="110">
                  <c:v>0.92735286820056895</c:v>
                </c:pt>
                <c:pt idx="111">
                  <c:v>0.92845190846025438</c:v>
                </c:pt>
                <c:pt idx="112">
                  <c:v>0.92954609766161789</c:v>
                </c:pt>
                <c:pt idx="113">
                  <c:v>0.93063546835154998</c:v>
                </c:pt>
                <c:pt idx="114">
                  <c:v>0.9317200527811591</c:v>
                </c:pt>
                <c:pt idx="115">
                  <c:v>0.93279988290919202</c:v>
                </c:pt>
                <c:pt idx="116">
                  <c:v>0.933874990405406</c:v>
                </c:pt>
                <c:pt idx="117">
                  <c:v>0.93494540665389192</c:v>
                </c:pt>
                <c:pt idx="118">
                  <c:v>0.93601116275635154</c:v>
                </c:pt>
                <c:pt idx="119">
                  <c:v>0.93707228953532895</c:v>
                </c:pt>
                <c:pt idx="120">
                  <c:v>0.93812881753739774</c:v>
                </c:pt>
                <c:pt idx="121">
                  <c:v>0.93918077703630165</c:v>
                </c:pt>
                <c:pt idx="122">
                  <c:v>0.94022819803605207</c:v>
                </c:pt>
                <c:pt idx="123">
                  <c:v>0.94127111027398458</c:v>
                </c:pt>
                <c:pt idx="124">
                  <c:v>0.94230954322377058</c:v>
                </c:pt>
                <c:pt idx="125">
                  <c:v>0.9433435260983889</c:v>
                </c:pt>
                <c:pt idx="126">
                  <c:v>0.94437308785305663</c:v>
                </c:pt>
                <c:pt idx="127">
                  <c:v>0.94539825718811765</c:v>
                </c:pt>
                <c:pt idx="128">
                  <c:v>0.9464190625518949</c:v>
                </c:pt>
                <c:pt idx="129">
                  <c:v>0.94743553214350074</c:v>
                </c:pt>
                <c:pt idx="130">
                  <c:v>0.94844769391561101</c:v>
                </c:pt>
                <c:pt idx="131">
                  <c:v>0.9494555755771994</c:v>
                </c:pt>
                <c:pt idx="132">
                  <c:v>0.95045920459623856</c:v>
                </c:pt>
                <c:pt idx="133">
                  <c:v>0.9514586082023585</c:v>
                </c:pt>
                <c:pt idx="134">
                  <c:v>0.95245381338947666</c:v>
                </c:pt>
                <c:pt idx="135">
                  <c:v>0.95344484691838527</c:v>
                </c:pt>
                <c:pt idx="136">
                  <c:v>0.95443173531931014</c:v>
                </c:pt>
                <c:pt idx="137">
                  <c:v>0.9554145048944308</c:v>
                </c:pt>
                <c:pt idx="138">
                  <c:v>0.95639318172037024</c:v>
                </c:pt>
                <c:pt idx="139">
                  <c:v>0.95736779165064889</c:v>
                </c:pt>
                <c:pt idx="140">
                  <c:v>0.95833836031810749</c:v>
                </c:pt>
                <c:pt idx="141">
                  <c:v>0.9593049131372976</c:v>
                </c:pt>
                <c:pt idx="142">
                  <c:v>0.96026747530684109</c:v>
                </c:pt>
                <c:pt idx="143">
                  <c:v>0.96122607181175657</c:v>
                </c:pt>
                <c:pt idx="144">
                  <c:v>0.962180727425758</c:v>
                </c:pt>
                <c:pt idx="145">
                  <c:v>0.96313146671352068</c:v>
                </c:pt>
                <c:pt idx="146">
                  <c:v>0.96407831403291944</c:v>
                </c:pt>
                <c:pt idx="147">
                  <c:v>0.96502129353723698</c:v>
                </c:pt>
                <c:pt idx="148">
                  <c:v>0.96596042917734182</c:v>
                </c:pt>
                <c:pt idx="149">
                  <c:v>0.96689574470384154</c:v>
                </c:pt>
                <c:pt idx="150">
                  <c:v>0.96782726366920513</c:v>
                </c:pt>
                <c:pt idx="151">
                  <c:v>0.96875500942985826</c:v>
                </c:pt>
                <c:pt idx="152">
                  <c:v>0.96967900514825323</c:v>
                </c:pt>
                <c:pt idx="153">
                  <c:v>0.9705992737949104</c:v>
                </c:pt>
                <c:pt idx="154">
                  <c:v>0.97151583815043518</c:v>
                </c:pt>
                <c:pt idx="155">
                  <c:v>0.97242872080750753</c:v>
                </c:pt>
                <c:pt idx="156">
                  <c:v>0.9733379441728468</c:v>
                </c:pt>
                <c:pt idx="157">
                  <c:v>0.97424353046915213</c:v>
                </c:pt>
                <c:pt idx="158">
                  <c:v>0.97514550173701653</c:v>
                </c:pt>
                <c:pt idx="159">
                  <c:v>0.97604387983682028</c:v>
                </c:pt>
                <c:pt idx="160">
                  <c:v>0.97693868645059367</c:v>
                </c:pt>
                <c:pt idx="161">
                  <c:v>0.9778299430838655</c:v>
                </c:pt>
                <c:pt idx="162">
                  <c:v>0.97871767106747887</c:v>
                </c:pt>
                <c:pt idx="163">
                  <c:v>0.9796018915593917</c:v>
                </c:pt>
                <c:pt idx="164">
                  <c:v>0.9804826255464496</c:v>
                </c:pt>
                <c:pt idx="165">
                  <c:v>0.98135989384613975</c:v>
                </c:pt>
                <c:pt idx="166">
                  <c:v>0.98223371710832152</c:v>
                </c:pt>
                <c:pt idx="167">
                  <c:v>0.98310411581693513</c:v>
                </c:pt>
                <c:pt idx="168">
                  <c:v>0.98397111029169038</c:v>
                </c:pt>
                <c:pt idx="169">
                  <c:v>0.98483472068973432</c:v>
                </c:pt>
                <c:pt idx="170">
                  <c:v>0.98569496700729542</c:v>
                </c:pt>
                <c:pt idx="171">
                  <c:v>0.98655186908131387</c:v>
                </c:pt>
                <c:pt idx="172">
                  <c:v>0.9874054465910439</c:v>
                </c:pt>
                <c:pt idx="173">
                  <c:v>0.98825571905964349</c:v>
                </c:pt>
                <c:pt idx="174">
                  <c:v>0.98910270585573901</c:v>
                </c:pt>
                <c:pt idx="175">
                  <c:v>0.9899464261949753</c:v>
                </c:pt>
                <c:pt idx="176">
                  <c:v>0.99078689914154328</c:v>
                </c:pt>
                <c:pt idx="177">
                  <c:v>0.9916241436096922</c:v>
                </c:pt>
                <c:pt idx="178">
                  <c:v>0.99245817836521943</c:v>
                </c:pt>
                <c:pt idx="179">
                  <c:v>0.99328902202694769</c:v>
                </c:pt>
                <c:pt idx="180">
                  <c:v>0.99411669306817918</c:v>
                </c:pt>
                <c:pt idx="181">
                  <c:v>0.99494120981813472</c:v>
                </c:pt>
                <c:pt idx="182">
                  <c:v>0.99576259046337701</c:v>
                </c:pt>
                <c:pt idx="183">
                  <c:v>0.99658085304921262</c:v>
                </c:pt>
                <c:pt idx="184">
                  <c:v>0.9973960154810807</c:v>
                </c:pt>
                <c:pt idx="185">
                  <c:v>0.99820809552592615</c:v>
                </c:pt>
                <c:pt idx="186">
                  <c:v>0.99901711081355027</c:v>
                </c:pt>
                <c:pt idx="187">
                  <c:v>0.99982307883795363</c:v>
                </c:pt>
                <c:pt idx="188">
                  <c:v>1.0006260169586552</c:v>
                </c:pt>
                <c:pt idx="189">
                  <c:v>1.0014259424020024</c:v>
                </c:pt>
                <c:pt idx="190">
                  <c:v>1.0022228722624618</c:v>
                </c:pt>
                <c:pt idx="191">
                  <c:v>1.0030168235038939</c:v>
                </c:pt>
                <c:pt idx="192">
                  <c:v>1.0038078129608174</c:v>
                </c:pt>
                <c:pt idx="193">
                  <c:v>1.0045958573396538</c:v>
                </c:pt>
                <c:pt idx="194">
                  <c:v>1.0053809732199614</c:v>
                </c:pt>
                <c:pt idx="195">
                  <c:v>1.0061631770556496</c:v>
                </c:pt>
                <c:pt idx="196">
                  <c:v>1.0069424851761863</c:v>
                </c:pt>
                <c:pt idx="197">
                  <c:v>1.0077189137877849</c:v>
                </c:pt>
                <c:pt idx="198">
                  <c:v>1.0084924789745804</c:v>
                </c:pt>
                <c:pt idx="199">
                  <c:v>1.0092631966997918</c:v>
                </c:pt>
                <c:pt idx="200">
                  <c:v>1.010031082806871</c:v>
                </c:pt>
              </c:numCache>
            </c:numRef>
          </c:val>
          <c:smooth val="0"/>
          <c:extLst>
            <c:ext xmlns:c16="http://schemas.microsoft.com/office/drawing/2014/chart" uri="{C3380CC4-5D6E-409C-BE32-E72D297353CC}">
              <c16:uniqueId val="{00000005-AFE0-4300-9BF2-235D7250B897}"/>
            </c:ext>
          </c:extLst>
        </c:ser>
        <c:ser>
          <c:idx val="6"/>
          <c:order val="6"/>
          <c:tx>
            <c:strRef>
              <c:f>'Efficiency vs VIN Calculations'!$AT$8</c:f>
              <c:strCache>
                <c:ptCount val="1"/>
                <c:pt idx="0">
                  <c:v>Total Control Bo MOSFET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Calculations'!$AT$9:$AT$209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6-AFE0-4300-9BF2-235D7250B897}"/>
            </c:ext>
          </c:extLst>
        </c:ser>
        <c:ser>
          <c:idx val="7"/>
          <c:order val="7"/>
          <c:tx>
            <c:strRef>
              <c:f>'Efficiency vs VIN Calculations'!$AX$8</c:f>
              <c:strCache>
                <c:ptCount val="1"/>
                <c:pt idx="0">
                  <c:v>Total Sync Bo MOSFET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Calculations'!$AX$9:$AX$209</c:f>
              <c:numCache>
                <c:formatCode>0.000</c:formatCode>
                <c:ptCount val="201"/>
                <c:pt idx="0">
                  <c:v>0.71051455693915033</c:v>
                </c:pt>
                <c:pt idx="1">
                  <c:v>0.71057185755438468</c:v>
                </c:pt>
                <c:pt idx="2">
                  <c:v>0.71062929431359978</c:v>
                </c:pt>
                <c:pt idx="3">
                  <c:v>0.71068686032140771</c:v>
                </c:pt>
                <c:pt idx="4">
                  <c:v>0.7107445488526366</c:v>
                </c:pt>
                <c:pt idx="5">
                  <c:v>0.71080235334812214</c:v>
                </c:pt>
                <c:pt idx="6">
                  <c:v>0.71086026741060471</c:v>
                </c:pt>
                <c:pt idx="7">
                  <c:v>0.71091828480074304</c:v>
                </c:pt>
                <c:pt idx="8">
                  <c:v>0.71097639943322877</c:v>
                </c:pt>
                <c:pt idx="9">
                  <c:v>0.71103460537300878</c:v>
                </c:pt>
                <c:pt idx="10">
                  <c:v>0.71109289683160382</c:v>
                </c:pt>
                <c:pt idx="11">
                  <c:v>0.7111512681635288</c:v>
                </c:pt>
                <c:pt idx="12">
                  <c:v>0.71120971386280474</c:v>
                </c:pt>
                <c:pt idx="13">
                  <c:v>0.7112682285595614</c:v>
                </c:pt>
                <c:pt idx="14">
                  <c:v>0.71132680701673412</c:v>
                </c:pt>
                <c:pt idx="15">
                  <c:v>0.71138544412684313</c:v>
                </c:pt>
                <c:pt idx="16">
                  <c:v>0.71144413490885572</c:v>
                </c:pt>
                <c:pt idx="17">
                  <c:v>0.71150287450513694</c:v>
                </c:pt>
                <c:pt idx="18">
                  <c:v>0.71156165817847028</c:v>
                </c:pt>
                <c:pt idx="19">
                  <c:v>0.71162048130916433</c:v>
                </c:pt>
                <c:pt idx="20">
                  <c:v>0.71167933939222783</c:v>
                </c:pt>
                <c:pt idx="21">
                  <c:v>0.7117382280346215</c:v>
                </c:pt>
                <c:pt idx="22">
                  <c:v>0.71179714295257812</c:v>
                </c:pt>
                <c:pt idx="23">
                  <c:v>0.71185607996899358</c:v>
                </c:pt>
                <c:pt idx="24">
                  <c:v>0.71191503501088294</c:v>
                </c:pt>
                <c:pt idx="25">
                  <c:v>0.71197400410690137</c:v>
                </c:pt>
                <c:pt idx="26">
                  <c:v>0.71203298338493093</c:v>
                </c:pt>
                <c:pt idx="27">
                  <c:v>0.71209196906972516</c:v>
                </c:pt>
                <c:pt idx="28">
                  <c:v>0.7121509574806143</c:v>
                </c:pt>
                <c:pt idx="29">
                  <c:v>0.71220994502927193</c:v>
                </c:pt>
                <c:pt idx="30">
                  <c:v>0.71226892821753163</c:v>
                </c:pt>
                <c:pt idx="31">
                  <c:v>0.71232790363526544</c:v>
                </c:pt>
                <c:pt idx="32">
                  <c:v>0.71238686795830952</c:v>
                </c:pt>
                <c:pt idx="33">
                  <c:v>0.71244581794644679</c:v>
                </c:pt>
                <c:pt idx="34">
                  <c:v>0.71250475044143669</c:v>
                </c:pt>
                <c:pt idx="35">
                  <c:v>0.71256366236509316</c:v>
                </c:pt>
                <c:pt idx="36">
                  <c:v>0.71262255071741665</c:v>
                </c:pt>
                <c:pt idx="37">
                  <c:v>0.71268141257476481</c:v>
                </c:pt>
                <c:pt idx="38">
                  <c:v>0.71274024508807221</c:v>
                </c:pt>
                <c:pt idx="39">
                  <c:v>0.71279904548111461</c:v>
                </c:pt>
                <c:pt idx="40">
                  <c:v>0.7128578110488154</c:v>
                </c:pt>
                <c:pt idx="41">
                  <c:v>0.7129165391555915</c:v>
                </c:pt>
                <c:pt idx="42">
                  <c:v>0.71297522723374396</c:v>
                </c:pt>
                <c:pt idx="43">
                  <c:v>0.71303387278188257</c:v>
                </c:pt>
                <c:pt idx="44">
                  <c:v>0.71309247336339565</c:v>
                </c:pt>
                <c:pt idx="45">
                  <c:v>0.71315102660495133</c:v>
                </c:pt>
                <c:pt idx="46">
                  <c:v>0.71320953019503774</c:v>
                </c:pt>
                <c:pt idx="47">
                  <c:v>0.71326798188253859</c:v>
                </c:pt>
                <c:pt idx="48">
                  <c:v>0.71332637947534305</c:v>
                </c:pt>
                <c:pt idx="49">
                  <c:v>0.71338472083898952</c:v>
                </c:pt>
                <c:pt idx="50">
                  <c:v>0.71344300389534065</c:v>
                </c:pt>
                <c:pt idx="51">
                  <c:v>0.71350122662129301</c:v>
                </c:pt>
                <c:pt idx="52">
                  <c:v>0.71355938704751409</c:v>
                </c:pt>
                <c:pt idx="53">
                  <c:v>0.71361748325721286</c:v>
                </c:pt>
                <c:pt idx="54">
                  <c:v>0.71367551338493884</c:v>
                </c:pt>
                <c:pt idx="55">
                  <c:v>0.71373347561540867</c:v>
                </c:pt>
                <c:pt idx="56">
                  <c:v>0.71379136818235966</c:v>
                </c:pt>
                <c:pt idx="57">
                  <c:v>0.71384918936743647</c:v>
                </c:pt>
                <c:pt idx="58">
                  <c:v>0.71390693749909595</c:v>
                </c:pt>
                <c:pt idx="59">
                  <c:v>0.71396461095154373</c:v>
                </c:pt>
                <c:pt idx="60">
                  <c:v>0.71402220814369499</c:v>
                </c:pt>
                <c:pt idx="61">
                  <c:v>0.71407972753815607</c:v>
                </c:pt>
                <c:pt idx="62">
                  <c:v>0.71413716764023671</c:v>
                </c:pt>
                <c:pt idx="63">
                  <c:v>0.71419452699697816</c:v>
                </c:pt>
                <c:pt idx="64">
                  <c:v>0.71425180419620959</c:v>
                </c:pt>
                <c:pt idx="65">
                  <c:v>0.71430899786562352</c:v>
                </c:pt>
                <c:pt idx="66">
                  <c:v>0.71436610667187483</c:v>
                </c:pt>
                <c:pt idx="67">
                  <c:v>0.7144231293196992</c:v>
                </c:pt>
                <c:pt idx="68">
                  <c:v>0.7144800645510524</c:v>
                </c:pt>
                <c:pt idx="69">
                  <c:v>0.7145369111442702</c:v>
                </c:pt>
                <c:pt idx="70">
                  <c:v>0.71459366791324774</c:v>
                </c:pt>
                <c:pt idx="71">
                  <c:v>0.714650333706637</c:v>
                </c:pt>
                <c:pt idx="72">
                  <c:v>0.71470690740706289</c:v>
                </c:pt>
                <c:pt idx="73">
                  <c:v>0.71476338793035887</c:v>
                </c:pt>
                <c:pt idx="74">
                  <c:v>0.71481977422481846</c:v>
                </c:pt>
                <c:pt idx="75">
                  <c:v>0.71487606527046488</c:v>
                </c:pt>
                <c:pt idx="76">
                  <c:v>0.7149322600783371</c:v>
                </c:pt>
                <c:pt idx="77">
                  <c:v>0.71498835768979241</c:v>
                </c:pt>
                <c:pt idx="78">
                  <c:v>0.71504435717582426</c:v>
                </c:pt>
                <c:pt idx="79">
                  <c:v>0.71510025763639717</c:v>
                </c:pt>
                <c:pt idx="80">
                  <c:v>0.71515605819979522</c:v>
                </c:pt>
                <c:pt idx="81">
                  <c:v>0.71521175802198578</c:v>
                </c:pt>
                <c:pt idx="82">
                  <c:v>0.71526735628599858</c:v>
                </c:pt>
                <c:pt idx="83">
                  <c:v>0.71532285220131775</c:v>
                </c:pt>
                <c:pt idx="84">
                  <c:v>0.71537824500328751</c:v>
                </c:pt>
                <c:pt idx="85">
                  <c:v>0.71543353395253284</c:v>
                </c:pt>
                <c:pt idx="86">
                  <c:v>0.71548871833439087</c:v>
                </c:pt>
                <c:pt idx="87">
                  <c:v>0.71554379745835794</c:v>
                </c:pt>
                <c:pt idx="88">
                  <c:v>0.71559877065754696</c:v>
                </c:pt>
                <c:pt idx="89">
                  <c:v>0.71565363728815523</c:v>
                </c:pt>
                <c:pt idx="90">
                  <c:v>0.7157083967289497</c:v>
                </c:pt>
                <c:pt idx="91">
                  <c:v>0.71576304838075977</c:v>
                </c:pt>
                <c:pt idx="92">
                  <c:v>0.71581759166598036</c:v>
                </c:pt>
                <c:pt idx="93">
                  <c:v>0.71587202602808941</c:v>
                </c:pt>
                <c:pt idx="94">
                  <c:v>0.71592635093117518</c:v>
                </c:pt>
                <c:pt idx="95">
                  <c:v>0.71598056585947045</c:v>
                </c:pt>
                <c:pt idx="96">
                  <c:v>0.71603467031690382</c:v>
                </c:pt>
                <c:pt idx="97">
                  <c:v>0.71608866382665493</c:v>
                </c:pt>
                <c:pt idx="98">
                  <c:v>0.71614254593072213</c:v>
                </c:pt>
                <c:pt idx="99">
                  <c:v>0.71619631618949964</c:v>
                </c:pt>
                <c:pt idx="100">
                  <c:v>0.71624997418136394</c:v>
                </c:pt>
                <c:pt idx="101">
                  <c:v>0.716303519502269</c:v>
                </c:pt>
                <c:pt idx="102">
                  <c:v>0.71635695176534997</c:v>
                </c:pt>
                <c:pt idx="103">
                  <c:v>0.71641027060053708</c:v>
                </c:pt>
                <c:pt idx="104">
                  <c:v>0.71646347565417712</c:v>
                </c:pt>
                <c:pt idx="105">
                  <c:v>0.71651656658866203</c:v>
                </c:pt>
                <c:pt idx="106">
                  <c:v>0.71656954308206799</c:v>
                </c:pt>
                <c:pt idx="107">
                  <c:v>0.71662240482780071</c:v>
                </c:pt>
                <c:pt idx="108">
                  <c:v>0.71667515153424932</c:v>
                </c:pt>
                <c:pt idx="109">
                  <c:v>0.71672778292444705</c:v>
                </c:pt>
                <c:pt idx="110">
                  <c:v>0.71678029873573956</c:v>
                </c:pt>
                <c:pt idx="111">
                  <c:v>0.71683269871946176</c:v>
                </c:pt>
                <c:pt idx="112">
                  <c:v>0.71688498264061973</c:v>
                </c:pt>
                <c:pt idx="113">
                  <c:v>0.71693715027757987</c:v>
                </c:pt>
                <c:pt idx="114">
                  <c:v>0.71698920142176636</c:v>
                </c:pt>
                <c:pt idx="115">
                  <c:v>0.71704113587736373</c:v>
                </c:pt>
                <c:pt idx="116">
                  <c:v>0.71709295346102542</c:v>
                </c:pt>
                <c:pt idx="117">
                  <c:v>0.71714465400159133</c:v>
                </c:pt>
                <c:pt idx="118">
                  <c:v>0.71719623733980808</c:v>
                </c:pt>
                <c:pt idx="119">
                  <c:v>0.71724770332805632</c:v>
                </c:pt>
                <c:pt idx="120">
                  <c:v>0.71729905183008602</c:v>
                </c:pt>
                <c:pt idx="121">
                  <c:v>0.7173502827207564</c:v>
                </c:pt>
                <c:pt idx="122">
                  <c:v>0.71740139588577734</c:v>
                </c:pt>
                <c:pt idx="123">
                  <c:v>0.71745239122146354</c:v>
                </c:pt>
                <c:pt idx="124">
                  <c:v>0.71750326863448888</c:v>
                </c:pt>
                <c:pt idx="125">
                  <c:v>0.71755402804164781</c:v>
                </c:pt>
                <c:pt idx="126">
                  <c:v>0.71760466936962075</c:v>
                </c:pt>
                <c:pt idx="127">
                  <c:v>0.71765519255474641</c:v>
                </c:pt>
                <c:pt idx="128">
                  <c:v>0.71770559754279717</c:v>
                </c:pt>
                <c:pt idx="129">
                  <c:v>0.71775588428876025</c:v>
                </c:pt>
                <c:pt idx="130">
                  <c:v>0.71780605275662246</c:v>
                </c:pt>
                <c:pt idx="131">
                  <c:v>0.71785610291916147</c:v>
                </c:pt>
                <c:pt idx="132">
                  <c:v>0.71790603475773995</c:v>
                </c:pt>
                <c:pt idx="133">
                  <c:v>0.71795584826210446</c:v>
                </c:pt>
                <c:pt idx="134">
                  <c:v>0.71800554343018774</c:v>
                </c:pt>
                <c:pt idx="135">
                  <c:v>0.71805512026791762</c:v>
                </c:pt>
                <c:pt idx="136">
                  <c:v>0.71810457878902823</c:v>
                </c:pt>
                <c:pt idx="137">
                  <c:v>0.71815391901487358</c:v>
                </c:pt>
                <c:pt idx="138">
                  <c:v>0.7182031409742512</c:v>
                </c:pt>
                <c:pt idx="139">
                  <c:v>0.71825224470321891</c:v>
                </c:pt>
                <c:pt idx="140">
                  <c:v>0.71830123024492853</c:v>
                </c:pt>
                <c:pt idx="141">
                  <c:v>0.71835009764945201</c:v>
                </c:pt>
                <c:pt idx="142">
                  <c:v>0.71839884697361778</c:v>
                </c:pt>
                <c:pt idx="143">
                  <c:v>0.71844747828084643</c:v>
                </c:pt>
                <c:pt idx="144">
                  <c:v>0.71849599164099476</c:v>
                </c:pt>
                <c:pt idx="145">
                  <c:v>0.71854438713019742</c:v>
                </c:pt>
                <c:pt idx="146">
                  <c:v>0.71859266483071604</c:v>
                </c:pt>
                <c:pt idx="147">
                  <c:v>0.7186408248307905</c:v>
                </c:pt>
                <c:pt idx="148">
                  <c:v>0.71868886722449099</c:v>
                </c:pt>
                <c:pt idx="149">
                  <c:v>0.71873679211157915</c:v>
                </c:pt>
                <c:pt idx="150">
                  <c:v>0.71878459959736318</c:v>
                </c:pt>
                <c:pt idx="151">
                  <c:v>0.71883228979256475</c:v>
                </c:pt>
                <c:pt idx="152">
                  <c:v>0.71887986281318372</c:v>
                </c:pt>
                <c:pt idx="153">
                  <c:v>0.71892731878036664</c:v>
                </c:pt>
                <c:pt idx="154">
                  <c:v>0.71897465782027836</c:v>
                </c:pt>
                <c:pt idx="155">
                  <c:v>0.71902188006397683</c:v>
                </c:pt>
                <c:pt idx="156">
                  <c:v>0.71906898564729005</c:v>
                </c:pt>
                <c:pt idx="157">
                  <c:v>0.71911597471069411</c:v>
                </c:pt>
                <c:pt idx="158">
                  <c:v>0.719162847399196</c:v>
                </c:pt>
                <c:pt idx="159">
                  <c:v>0.71920960386222033</c:v>
                </c:pt>
                <c:pt idx="160">
                  <c:v>0.71925624425349088</c:v>
                </c:pt>
                <c:pt idx="161">
                  <c:v>0.71930276873092602</c:v>
                </c:pt>
                <c:pt idx="162">
                  <c:v>0.71934917745652505</c:v>
                </c:pt>
                <c:pt idx="163">
                  <c:v>0.7193954705962653</c:v>
                </c:pt>
                <c:pt idx="164">
                  <c:v>0.71944164831999735</c:v>
                </c:pt>
                <c:pt idx="165">
                  <c:v>0.71948771080134211</c:v>
                </c:pt>
                <c:pt idx="166">
                  <c:v>0.71953365821759319</c:v>
                </c:pt>
                <c:pt idx="167">
                  <c:v>0.71957949074961713</c:v>
                </c:pt>
                <c:pt idx="168">
                  <c:v>0.7196252085817596</c:v>
                </c:pt>
                <c:pt idx="169">
                  <c:v>0.71967081190175131</c:v>
                </c:pt>
                <c:pt idx="170">
                  <c:v>0.71971630090061556</c:v>
                </c:pt>
                <c:pt idx="171">
                  <c:v>0.71976167577257966</c:v>
                </c:pt>
                <c:pt idx="172">
                  <c:v>0.71980693671498774</c:v>
                </c:pt>
                <c:pt idx="173">
                  <c:v>0.71985208392821298</c:v>
                </c:pt>
                <c:pt idx="174">
                  <c:v>0.71989711761557373</c:v>
                </c:pt>
                <c:pt idx="175">
                  <c:v>0.7199420379832534</c:v>
                </c:pt>
                <c:pt idx="176">
                  <c:v>0.71998684524021606</c:v>
                </c:pt>
                <c:pt idx="177">
                  <c:v>0.72003153959813149</c:v>
                </c:pt>
                <c:pt idx="178">
                  <c:v>0.72007612127129417</c:v>
                </c:pt>
                <c:pt idx="179">
                  <c:v>0.72012059047655008</c:v>
                </c:pt>
                <c:pt idx="180">
                  <c:v>0.72016494743322113</c:v>
                </c:pt>
                <c:pt idx="181">
                  <c:v>0.72020919236303327</c:v>
                </c:pt>
                <c:pt idx="182">
                  <c:v>0.72025332549004506</c:v>
                </c:pt>
                <c:pt idx="183">
                  <c:v>0.72029734704057957</c:v>
                </c:pt>
                <c:pt idx="184">
                  <c:v>0.72034125724315157</c:v>
                </c:pt>
                <c:pt idx="185">
                  <c:v>0.72038505632840788</c:v>
                </c:pt>
                <c:pt idx="186">
                  <c:v>0.72042874452905614</c:v>
                </c:pt>
                <c:pt idx="187">
                  <c:v>0.72047232207980372</c:v>
                </c:pt>
                <c:pt idx="188">
                  <c:v>0.72051578921729431</c:v>
                </c:pt>
                <c:pt idx="189">
                  <c:v>0.72055914618004646</c:v>
                </c:pt>
                <c:pt idx="190">
                  <c:v>0.7206023932083947</c:v>
                </c:pt>
                <c:pt idx="191">
                  <c:v>0.72064553054442815</c:v>
                </c:pt>
                <c:pt idx="192">
                  <c:v>0.72068855843193713</c:v>
                </c:pt>
                <c:pt idx="193">
                  <c:v>0.72073147711635299</c:v>
                </c:pt>
                <c:pt idx="194">
                  <c:v>0.72077428684469491</c:v>
                </c:pt>
                <c:pt idx="195">
                  <c:v>0.72081698786551496</c:v>
                </c:pt>
                <c:pt idx="196">
                  <c:v>0.72085958042884679</c:v>
                </c:pt>
                <c:pt idx="197">
                  <c:v>0.72090206478615193</c:v>
                </c:pt>
                <c:pt idx="198">
                  <c:v>0.72094444119027157</c:v>
                </c:pt>
                <c:pt idx="199">
                  <c:v>0.72098670989537395</c:v>
                </c:pt>
                <c:pt idx="200">
                  <c:v>0.7210288711569085</c:v>
                </c:pt>
              </c:numCache>
            </c:numRef>
          </c:val>
          <c:smooth val="0"/>
          <c:extLst>
            <c:ext xmlns:c16="http://schemas.microsoft.com/office/drawing/2014/chart" uri="{C3380CC4-5D6E-409C-BE32-E72D297353CC}">
              <c16:uniqueId val="{00000007-AFE0-4300-9BF2-235D7250B897}"/>
            </c:ext>
          </c:extLst>
        </c:ser>
        <c:ser>
          <c:idx val="8"/>
          <c:order val="8"/>
          <c:tx>
            <c:strRef>
              <c:f>'Efficiency vs VIN Calculations'!$BB$8</c:f>
              <c:strCache>
                <c:ptCount val="1"/>
                <c:pt idx="0">
                  <c:v>Reverse Recovery Loss MOSFET D BOOST</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Calculations'!$BB$9:$BB$209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8-AFE0-4300-9BF2-235D7250B897}"/>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2"/>
                <c:order val="2"/>
                <c:tx>
                  <c:v>Total MOSFET Loss</c:v>
                </c:tx>
                <c:spPr>
                  <a:ln w="38100">
                    <a:solidFill>
                      <a:srgbClr val="808000"/>
                    </a:solidFill>
                    <a:prstDash val="sysDash"/>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Calculations'!$BQ$9:$BQ$209</c15:sqref>
                        </c15:formulaRef>
                      </c:ext>
                    </c:extLst>
                    <c:numCache>
                      <c:formatCode>0.000</c:formatCode>
                      <c:ptCount val="201"/>
                      <c:pt idx="0">
                        <c:v>4.8833771988768673</c:v>
                      </c:pt>
                      <c:pt idx="1">
                        <c:v>4.8925253918995137</c:v>
                      </c:pt>
                      <c:pt idx="2">
                        <c:v>4.9016780655888761</c:v>
                      </c:pt>
                      <c:pt idx="3">
                        <c:v>4.9108351286480012</c:v>
                      </c:pt>
                      <c:pt idx="4">
                        <c:v>4.9199964916870602</c:v>
                      </c:pt>
                      <c:pt idx="5">
                        <c:v>4.9291620671783738</c:v>
                      </c:pt>
                      <c:pt idx="6">
                        <c:v>4.9383317694126685</c:v>
                      </c:pt>
                      <c:pt idx="7">
                        <c:v>4.9475055144564823</c:v>
                      </c:pt>
                      <c:pt idx="8">
                        <c:v>4.9566832201107207</c:v>
                      </c:pt>
                      <c:pt idx="9">
                        <c:v>4.9658648058703125</c:v>
                      </c:pt>
                      <c:pt idx="10">
                        <c:v>4.9750501928849182</c:v>
                      </c:pt>
                      <c:pt idx="11">
                        <c:v>4.9842393039207025</c:v>
                      </c:pt>
                      <c:pt idx="12">
                        <c:v>4.9934320633230813</c:v>
                      </c:pt>
                      <c:pt idx="13">
                        <c:v>5.0026283969804686</c:v>
                      </c:pt>
                      <c:pt idx="14">
                        <c:v>5.0118282322889574</c:v>
                      </c:pt>
                      <c:pt idx="15">
                        <c:v>5.02103149811792</c:v>
                      </c:pt>
                      <c:pt idx="16">
                        <c:v>5.0302381247765062</c:v>
                      </c:pt>
                      <c:pt idx="17">
                        <c:v>5.0394480439810003</c:v>
                      </c:pt>
                      <c:pt idx="18">
                        <c:v>5.0486611888230168</c:v>
                      </c:pt>
                      <c:pt idx="19">
                        <c:v>5.0578774937385234</c:v>
                      </c:pt>
                      <c:pt idx="20">
                        <c:v>5.0670968944776442</c:v>
                      </c:pt>
                      <c:pt idx="21">
                        <c:v>5.0763193280752388</c:v>
                      </c:pt>
                      <c:pt idx="22">
                        <c:v>5.0855447328222185</c:v>
                      </c:pt>
                      <c:pt idx="23">
                        <c:v>5.0947730482376068</c:v>
                      </c:pt>
                      <c:pt idx="24">
                        <c:v>5.1040042150412885</c:v>
                      </c:pt>
                      <c:pt idx="25">
                        <c:v>5.1132381751274467</c:v>
                      </c:pt>
                      <c:pt idx="26">
                        <c:v>5.1224748715386745</c:v>
                      </c:pt>
                      <c:pt idx="27">
                        <c:v>5.1317142484407192</c:v>
                      </c:pt>
                      <c:pt idx="28">
                        <c:v>5.1409562510978697</c:v>
                      </c:pt>
                      <c:pt idx="29">
                        <c:v>5.1502008258489411</c:v>
                      </c:pt>
                      <c:pt idx="30">
                        <c:v>5.1594479200838617</c:v>
                      </c:pt>
                      <c:pt idx="31">
                        <c:v>5.1686974822208329</c:v>
                      </c:pt>
                      <c:pt idx="32">
                        <c:v>5.1779494616840598</c:v>
                      </c:pt>
                      <c:pt idx="33">
                        <c:v>5.1872038088820114</c:v>
                      </c:pt>
                      <c:pt idx="34">
                        <c:v>5.196460475186222</c:v>
                      </c:pt>
                      <c:pt idx="35">
                        <c:v>5.2057194129105984</c:v>
                      </c:pt>
                      <c:pt idx="36">
                        <c:v>5.2149805752912588</c:v>
                      </c:pt>
                      <c:pt idx="37">
                        <c:v>5.2242439164668131</c:v>
                      </c:pt>
                      <c:pt idx="38">
                        <c:v>5.2335093914591546</c:v>
                      </c:pt>
                      <c:pt idx="39">
                        <c:v>5.2427769561546951</c:v>
                      </c:pt>
                      <c:pt idx="40">
                        <c:v>5.252046567286067</c:v>
                      </c:pt>
                      <c:pt idx="41">
                        <c:v>5.2613181824142394</c:v>
                      </c:pt>
                      <c:pt idx="42">
                        <c:v>5.2705917599110776</c:v>
                      </c:pt>
                      <c:pt idx="43">
                        <c:v>5.2798672589423052</c:v>
                      </c:pt>
                      <c:pt idx="44">
                        <c:v>5.2891446394508845</c:v>
                      </c:pt>
                      <c:pt idx="45">
                        <c:v>5.2984238621407691</c:v>
                      </c:pt>
                      <c:pt idx="46">
                        <c:v>5.3077048884610569</c:v>
                      </c:pt>
                      <c:pt idx="47">
                        <c:v>5.3169876805905014</c:v>
                      </c:pt>
                      <c:pt idx="48">
                        <c:v>5.3262722014223911</c:v>
                      </c:pt>
                      <c:pt idx="49">
                        <c:v>5.3355584145497854</c:v>
                      </c:pt>
                      <c:pt idx="50">
                        <c:v>5.3448462842510818</c:v>
                      </c:pt>
                      <c:pt idx="51">
                        <c:v>5.3541357754759309</c:v>
                      </c:pt>
                      <c:pt idx="52">
                        <c:v>5.3634268538314656</c:v>
                      </c:pt>
                      <c:pt idx="53">
                        <c:v>5.3727194855688563</c:v>
                      </c:pt>
                      <c:pt idx="54">
                        <c:v>5.3820136375701688</c:v>
                      </c:pt>
                      <c:pt idx="55">
                        <c:v>5.391309277335532</c:v>
                      </c:pt>
                      <c:pt idx="56">
                        <c:v>5.4006063729705733</c:v>
                      </c:pt>
                      <c:pt idx="57">
                        <c:v>5.4099048931741898</c:v>
                      </c:pt>
                      <c:pt idx="58">
                        <c:v>5.4192048072265342</c:v>
                      </c:pt>
                      <c:pt idx="59">
                        <c:v>5.4285060849773297</c:v>
                      </c:pt>
                      <c:pt idx="60">
                        <c:v>5.4378086968344084</c:v>
                      </c:pt>
                      <c:pt idx="61">
                        <c:v>5.4471126137525285</c:v>
                      </c:pt>
                      <c:pt idx="62">
                        <c:v>5.4564178072224436</c:v>
                      </c:pt>
                      <c:pt idx="63">
                        <c:v>5.4657242492601998</c:v>
                      </c:pt>
                      <c:pt idx="64">
                        <c:v>5.4750319123966866</c:v>
                      </c:pt>
                      <c:pt idx="65">
                        <c:v>5.4843407696674191</c:v>
                      </c:pt>
                      <c:pt idx="66">
                        <c:v>5.4936507946025417</c:v>
                      </c:pt>
                      <c:pt idx="67">
                        <c:v>5.5029619612170579</c:v>
                      </c:pt>
                      <c:pt idx="68">
                        <c:v>5.512274244001266</c:v>
                      </c:pt>
                      <c:pt idx="69">
                        <c:v>5.5215876179114254</c:v>
                      </c:pt>
                      <c:pt idx="70">
                        <c:v>5.5309020583606046</c:v>
                      </c:pt>
                      <c:pt idx="71">
                        <c:v>5.5402175412097474</c:v>
                      </c:pt>
                      <c:pt idx="72">
                        <c:v>5.5495340427589221</c:v>
                      </c:pt>
                      <c:pt idx="73">
                        <c:v>5.5588515397387726</c:v>
                      </c:pt>
                      <c:pt idx="74">
                        <c:v>5.5681700093021433</c:v>
                      </c:pt>
                      <c:pt idx="75">
                        <c:v>5.5774894290158956</c:v>
                      </c:pt>
                      <c:pt idx="76">
                        <c:v>5.5868097768528955</c:v>
                      </c:pt>
                      <c:pt idx="77">
                        <c:v>5.5961310311841741</c:v>
                      </c:pt>
                      <c:pt idx="78">
                        <c:v>5.6054531707712627</c:v>
                      </c:pt>
                      <c:pt idx="79">
                        <c:v>5.6147761747586857</c:v>
                      </c:pt>
                      <c:pt idx="80">
                        <c:v>5.6241000226666111</c:v>
                      </c:pt>
                      <c:pt idx="81">
                        <c:v>5.6334246943836632</c:v>
                      </c:pt>
                      <c:pt idx="82">
                        <c:v>5.6427501701599034</c:v>
                      </c:pt>
                      <c:pt idx="83">
                        <c:v>5.652076430599922</c:v>
                      </c:pt>
                      <c:pt idx="84">
                        <c:v>5.661403456656112</c:v>
                      </c:pt>
                      <c:pt idx="85">
                        <c:v>5.6707312296220653</c:v>
                      </c:pt>
                      <c:pt idx="86">
                        <c:v>5.6800597311261196</c:v>
                      </c:pt>
                      <c:pt idx="87">
                        <c:v>5.6893889431250324</c:v>
                      </c:pt>
                      <c:pt idx="88">
                        <c:v>5.6987188478977897</c:v>
                      </c:pt>
                      <c:pt idx="89">
                        <c:v>5.7080494280395477</c:v>
                      </c:pt>
                      <c:pt idx="90">
                        <c:v>5.7173806664556945</c:v>
                      </c:pt>
                      <c:pt idx="91">
                        <c:v>5.7267125463560422</c:v>
                      </c:pt>
                      <c:pt idx="92">
                        <c:v>5.7360450512491337</c:v>
                      </c:pt>
                      <c:pt idx="93">
                        <c:v>5.7453781649366737</c:v>
                      </c:pt>
                      <c:pt idx="94">
                        <c:v>5.7547118715080687</c:v>
                      </c:pt>
                      <c:pt idx="95">
                        <c:v>5.7640461553350777</c:v>
                      </c:pt>
                      <c:pt idx="96">
                        <c:v>5.7733810010665865</c:v>
                      </c:pt>
                      <c:pt idx="97">
                        <c:v>5.7827163936234642</c:v>
                      </c:pt>
                      <c:pt idx="98">
                        <c:v>5.7920523181935621</c:v>
                      </c:pt>
                      <c:pt idx="99">
                        <c:v>5.8013887602267671</c:v>
                      </c:pt>
                      <c:pt idx="100">
                        <c:v>5.8107257054302064</c:v>
                      </c:pt>
                      <c:pt idx="101">
                        <c:v>5.8200631397635014</c:v>
                      </c:pt>
                      <c:pt idx="102">
                        <c:v>5.8294010494341553</c:v>
                      </c:pt>
                      <c:pt idx="103">
                        <c:v>5.8387394208930194</c:v>
                      </c:pt>
                      <c:pt idx="104">
                        <c:v>5.8480782408298451</c:v>
                      </c:pt>
                      <c:pt idx="105">
                        <c:v>5.8574174961689307</c:v>
                      </c:pt>
                      <c:pt idx="106">
                        <c:v>5.866757174064861</c:v>
                      </c:pt>
                      <c:pt idx="107">
                        <c:v>5.8760972618983232</c:v>
                      </c:pt>
                      <c:pt idx="108">
                        <c:v>5.8854377472720136</c:v>
                      </c:pt>
                      <c:pt idx="109">
                        <c:v>5.8947786180066197</c:v>
                      </c:pt>
                      <c:pt idx="110">
                        <c:v>5.9041198621368851</c:v>
                      </c:pt>
                      <c:pt idx="111">
                        <c:v>5.9134614679077542</c:v>
                      </c:pt>
                      <c:pt idx="112">
                        <c:v>5.9228034237705929</c:v>
                      </c:pt>
                      <c:pt idx="113">
                        <c:v>5.9321457183794815</c:v>
                      </c:pt>
                      <c:pt idx="114">
                        <c:v>5.9414883405875729</c:v>
                      </c:pt>
                      <c:pt idx="115">
                        <c:v>5.9508312794435492</c:v>
                      </c:pt>
                      <c:pt idx="116">
                        <c:v>5.9601745241881154</c:v>
                      </c:pt>
                      <c:pt idx="117">
                        <c:v>5.969518064250579</c:v>
                      </c:pt>
                      <c:pt idx="118">
                        <c:v>5.9788618892454997</c:v>
                      </c:pt>
                      <c:pt idx="119">
                        <c:v>5.9882059889693888</c:v>
                      </c:pt>
                      <c:pt idx="120">
                        <c:v>5.9975503533974868</c:v>
                      </c:pt>
                      <c:pt idx="121">
                        <c:v>6.0068949726806107</c:v>
                      </c:pt>
                      <c:pt idx="122">
                        <c:v>6.0162398371420229</c:v>
                      </c:pt>
                      <c:pt idx="123">
                        <c:v>6.0255849372744175</c:v>
                      </c:pt>
                      <c:pt idx="124">
                        <c:v>6.0349302637369169</c:v>
                      </c:pt>
                      <c:pt idx="125">
                        <c:v>6.0442758073521539</c:v>
                      </c:pt>
                      <c:pt idx="126">
                        <c:v>6.0536215591033997</c:v>
                      </c:pt>
                      <c:pt idx="127">
                        <c:v>6.0629675101317364</c:v>
                      </c:pt>
                      <c:pt idx="128">
                        <c:v>6.0723136517333165</c:v>
                      </c:pt>
                      <c:pt idx="129">
                        <c:v>6.0816599753566383</c:v>
                      </c:pt>
                      <c:pt idx="130">
                        <c:v>6.0910064725998909</c:v>
                      </c:pt>
                      <c:pt idx="131">
                        <c:v>6.1003531352083424</c:v>
                      </c:pt>
                      <c:pt idx="132">
                        <c:v>6.1096999550717968</c:v>
                      </c:pt>
                      <c:pt idx="133">
                        <c:v>6.1190469242220713</c:v>
                      </c:pt>
                      <c:pt idx="134">
                        <c:v>6.1283940348305377</c:v>
                      </c:pt>
                      <c:pt idx="135">
                        <c:v>6.1377412792057049</c:v>
                      </c:pt>
                      <c:pt idx="136">
                        <c:v>6.147088649790855</c:v>
                      </c:pt>
                      <c:pt idx="137">
                        <c:v>6.1564361391617108</c:v>
                      </c:pt>
                      <c:pt idx="138">
                        <c:v>6.1657837400241613</c:v>
                      </c:pt>
                      <c:pt idx="139">
                        <c:v>6.1751314452120099</c:v>
                      </c:pt>
                      <c:pt idx="140">
                        <c:v>6.184479247684787</c:v>
                      </c:pt>
                      <c:pt idx="141">
                        <c:v>6.1938271405255936</c:v>
                      </c:pt>
                      <c:pt idx="142">
                        <c:v>6.2031751169389739</c:v>
                      </c:pt>
                      <c:pt idx="143">
                        <c:v>6.2125231702488524</c:v>
                      </c:pt>
                      <c:pt idx="144">
                        <c:v>6.2218712938964833</c:v>
                      </c:pt>
                      <c:pt idx="145">
                        <c:v>6.2312194814384503</c:v>
                      </c:pt>
                      <c:pt idx="146">
                        <c:v>6.240567726544711</c:v>
                      </c:pt>
                      <c:pt idx="147">
                        <c:v>6.2499160229966622</c:v>
                      </c:pt>
                      <c:pt idx="148">
                        <c:v>6.2592643646852357</c:v>
                      </c:pt>
                      <c:pt idx="149">
                        <c:v>6.2686127456090706</c:v>
                      </c:pt>
                      <c:pt idx="150">
                        <c:v>6.277961159872655</c:v>
                      </c:pt>
                      <c:pt idx="151">
                        <c:v>6.2873096016845551</c:v>
                      </c:pt>
                      <c:pt idx="152">
                        <c:v>6.2966580653556523</c:v>
                      </c:pt>
                      <c:pt idx="153">
                        <c:v>6.3060065452974134</c:v>
                      </c:pt>
                      <c:pt idx="154">
                        <c:v>6.315355036020204</c:v>
                      </c:pt>
                      <c:pt idx="155">
                        <c:v>6.3247035321316147</c:v>
                      </c:pt>
                      <c:pt idx="156">
                        <c:v>6.3340520283348303</c:v>
                      </c:pt>
                      <c:pt idx="157">
                        <c:v>6.3434005194270302</c:v>
                      </c:pt>
                      <c:pt idx="158">
                        <c:v>6.3527490002978046</c:v>
                      </c:pt>
                      <c:pt idx="159">
                        <c:v>6.3620974659276124</c:v>
                      </c:pt>
                      <c:pt idx="160">
                        <c:v>6.3714459113862594</c:v>
                      </c:pt>
                      <c:pt idx="161">
                        <c:v>6.3807943318314075</c:v>
                      </c:pt>
                      <c:pt idx="162">
                        <c:v>6.3901427225071057</c:v>
                      </c:pt>
                      <c:pt idx="163">
                        <c:v>6.399491078742356</c:v>
                      </c:pt>
                      <c:pt idx="164">
                        <c:v>6.4088393959496974</c:v>
                      </c:pt>
                      <c:pt idx="165">
                        <c:v>6.4181876696238112</c:v>
                      </c:pt>
                      <c:pt idx="166">
                        <c:v>6.4275358953401689</c:v>
                      </c:pt>
                      <c:pt idx="167">
                        <c:v>6.4368840687536792</c:v>
                      </c:pt>
                      <c:pt idx="168">
                        <c:v>6.4462321855973803</c:v>
                      </c:pt>
                      <c:pt idx="169">
                        <c:v>6.4555802416811519</c:v>
                      </c:pt>
                      <c:pt idx="170">
                        <c:v>6.4649282328904256</c:v>
                      </c:pt>
                      <c:pt idx="171">
                        <c:v>6.4742761551849615</c:v>
                      </c:pt>
                      <c:pt idx="172">
                        <c:v>6.4836240045976057</c:v>
                      </c:pt>
                      <c:pt idx="173">
                        <c:v>6.4929717772330902</c:v>
                      </c:pt>
                      <c:pt idx="174">
                        <c:v>6.5023194692668529</c:v>
                      </c:pt>
                      <c:pt idx="175">
                        <c:v>6.5116670769438763</c:v>
                      </c:pt>
                      <c:pt idx="176">
                        <c:v>6.5210145965775332</c:v>
                      </c:pt>
                      <c:pt idx="177">
                        <c:v>6.5303620245484808</c:v>
                      </c:pt>
                      <c:pt idx="178">
                        <c:v>6.5397093573035479</c:v>
                      </c:pt>
                      <c:pt idx="179">
                        <c:v>6.549056591354657</c:v>
                      </c:pt>
                      <c:pt idx="180">
                        <c:v>6.5584037232777517</c:v>
                      </c:pt>
                      <c:pt idx="181">
                        <c:v>6.5677507497117569</c:v>
                      </c:pt>
                      <c:pt idx="182">
                        <c:v>6.577097667357549</c:v>
                      </c:pt>
                      <c:pt idx="183">
                        <c:v>6.5864444729769467</c:v>
                      </c:pt>
                      <c:pt idx="184">
                        <c:v>6.5957911633917119</c:v>
                      </c:pt>
                      <c:pt idx="185">
                        <c:v>6.605137735482586</c:v>
                      </c:pt>
                      <c:pt idx="186">
                        <c:v>6.6144841861883119</c:v>
                      </c:pt>
                      <c:pt idx="187">
                        <c:v>6.6238305125047114</c:v>
                      </c:pt>
                      <c:pt idx="188">
                        <c:v>6.6331767114837445</c:v>
                      </c:pt>
                      <c:pt idx="189">
                        <c:v>6.6425227802326043</c:v>
                      </c:pt>
                      <c:pt idx="190">
                        <c:v>6.6518687159128209</c:v>
                      </c:pt>
                      <c:pt idx="191">
                        <c:v>6.6612145157393803</c:v>
                      </c:pt>
                      <c:pt idx="192">
                        <c:v>6.6705601769798593</c:v>
                      </c:pt>
                      <c:pt idx="193">
                        <c:v>6.6799056969535791</c:v>
                      </c:pt>
                      <c:pt idx="194">
                        <c:v>6.6892510730307597</c:v>
                      </c:pt>
                      <c:pt idx="195">
                        <c:v>6.6985963026317128</c:v>
                      </c:pt>
                      <c:pt idx="196">
                        <c:v>6.7079413832260206</c:v>
                      </c:pt>
                      <c:pt idx="197">
                        <c:v>6.7172863123317432</c:v>
                      </c:pt>
                      <c:pt idx="198">
                        <c:v>6.7266310875146491</c:v>
                      </c:pt>
                      <c:pt idx="199">
                        <c:v>6.7359757063874337</c:v>
                      </c:pt>
                      <c:pt idx="200">
                        <c:v>6.7453201666089724</c:v>
                      </c:pt>
                    </c:numCache>
                  </c:numRef>
                </c:val>
                <c:smooth val="0"/>
                <c:extLst>
                  <c:ext xmlns:c16="http://schemas.microsoft.com/office/drawing/2014/chart" uri="{C3380CC4-5D6E-409C-BE32-E72D297353CC}">
                    <c16:uniqueId val="{00000002-AFE0-4300-9BF2-235D7250B897}"/>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7058275101309873"/>
          <c:y val="2.0343390532745328E-3"/>
          <c:w val="0.53719372417252065"/>
          <c:h val="0.11830196826136105"/>
        </c:manualLayout>
      </c:layout>
      <c:overlay val="0"/>
      <c:spPr>
        <a:solidFill>
          <a:srgbClr val="FFFFFF"/>
        </a:solidFill>
        <a:ln w="9525">
          <a:solidFill>
            <a:schemeClr val="tx1"/>
          </a:solidFill>
        </a:ln>
      </c:spPr>
      <c:txPr>
        <a:bodyPr/>
        <a:lstStyle/>
        <a:p>
          <a:pPr>
            <a:defRPr sz="8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solidFill>
      <a:schemeClr val="bg1"/>
    </a:solid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Calculations'!$BO$9:$BO$109</c:f>
              <c:numCache>
                <c:formatCode>0.00</c:formatCode>
                <c:ptCount val="101"/>
                <c:pt idx="0">
                  <c:v>0</c:v>
                </c:pt>
                <c:pt idx="1">
                  <c:v>39.448163134226519</c:v>
                </c:pt>
                <c:pt idx="2">
                  <c:v>56.259382098437385</c:v>
                </c:pt>
                <c:pt idx="3">
                  <c:v>65.568350682646866</c:v>
                </c:pt>
                <c:pt idx="4">
                  <c:v>71.476812236597453</c:v>
                </c:pt>
                <c:pt idx="5">
                  <c:v>75.55733580381937</c:v>
                </c:pt>
                <c:pt idx="6">
                  <c:v>78.542339931254261</c:v>
                </c:pt>
                <c:pt idx="7">
                  <c:v>80.819050654560513</c:v>
                </c:pt>
                <c:pt idx="8">
                  <c:v>82.611429013221368</c:v>
                </c:pt>
                <c:pt idx="9">
                  <c:v>84.058011998037557</c:v>
                </c:pt>
                <c:pt idx="10">
                  <c:v>85.249095183073223</c:v>
                </c:pt>
                <c:pt idx="11">
                  <c:v>86.246049240461488</c:v>
                </c:pt>
                <c:pt idx="12">
                  <c:v>87.092043118907839</c:v>
                </c:pt>
                <c:pt idx="13">
                  <c:v>87.818326090264634</c:v>
                </c:pt>
                <c:pt idx="14">
                  <c:v>88.448076008719127</c:v>
                </c:pt>
                <c:pt idx="15">
                  <c:v>88.993004916253241</c:v>
                </c:pt>
                <c:pt idx="16">
                  <c:v>89.462093801013481</c:v>
                </c:pt>
                <c:pt idx="17">
                  <c:v>89.87795752959785</c:v>
                </c:pt>
                <c:pt idx="18">
                  <c:v>90.248800390803424</c:v>
                </c:pt>
                <c:pt idx="19">
                  <c:v>90.58122045277068</c:v>
                </c:pt>
                <c:pt idx="20">
                  <c:v>90.880584231613042</c:v>
                </c:pt>
                <c:pt idx="21">
                  <c:v>91.151301158914137</c:v>
                </c:pt>
                <c:pt idx="22">
                  <c:v>91.397027777996158</c:v>
                </c:pt>
                <c:pt idx="23">
                  <c:v>91.620821799843654</c:v>
                </c:pt>
                <c:pt idx="24">
                  <c:v>91.825259817860157</c:v>
                </c:pt>
                <c:pt idx="25">
                  <c:v>92.012528304606292</c:v>
                </c:pt>
                <c:pt idx="26">
                  <c:v>92.184494707575112</c:v>
                </c:pt>
                <c:pt idx="27">
                  <c:v>92.342763543128541</c:v>
                </c:pt>
                <c:pt idx="28">
                  <c:v>92.488721056209329</c:v>
                </c:pt>
                <c:pt idx="29">
                  <c:v>92.623571075677575</c:v>
                </c:pt>
                <c:pt idx="30">
                  <c:v>92.748364025841838</c:v>
                </c:pt>
                <c:pt idx="31">
                  <c:v>92.864020571185762</c:v>
                </c:pt>
                <c:pt idx="32">
                  <c:v>92.97135101788966</c:v>
                </c:pt>
                <c:pt idx="33">
                  <c:v>93.071071334709075</c:v>
                </c:pt>
                <c:pt idx="34">
                  <c:v>93.163816461036333</c:v>
                </c:pt>
                <c:pt idx="35">
                  <c:v>93.250151423336717</c:v>
                </c:pt>
                <c:pt idx="36">
                  <c:v>93.330580669770498</c:v>
                </c:pt>
                <c:pt idx="37">
                  <c:v>93.405555947512113</c:v>
                </c:pt>
                <c:pt idx="38">
                  <c:v>93.475482981446021</c:v>
                </c:pt>
                <c:pt idx="39">
                  <c:v>93.540727161739071</c:v>
                </c:pt>
                <c:pt idx="40">
                  <c:v>93.601618407726278</c:v>
                </c:pt>
                <c:pt idx="41">
                  <c:v>93.658455343981615</c:v>
                </c:pt>
                <c:pt idx="42">
                  <c:v>93.711508899419215</c:v>
                </c:pt>
                <c:pt idx="43">
                  <c:v>93.761025420314837</c:v>
                </c:pt>
                <c:pt idx="44">
                  <c:v>93.807229372132895</c:v>
                </c:pt>
                <c:pt idx="45">
                  <c:v>93.850325692143585</c:v>
                </c:pt>
                <c:pt idx="46">
                  <c:v>93.890501844360074</c:v>
                </c:pt>
                <c:pt idx="47">
                  <c:v>93.927929619814947</c:v>
                </c:pt>
                <c:pt idx="48">
                  <c:v>93.962766718232771</c:v>
                </c:pt>
                <c:pt idx="49">
                  <c:v>93.995158141436747</c:v>
                </c:pt>
                <c:pt idx="50">
                  <c:v>94.025237424108113</c:v>
                </c:pt>
                <c:pt idx="51">
                  <c:v>94.05312772360854</c:v>
                </c:pt>
                <c:pt idx="52">
                  <c:v>94.078942787325389</c:v>
                </c:pt>
                <c:pt idx="53">
                  <c:v>94.102787813286199</c:v>
                </c:pt>
                <c:pt idx="54">
                  <c:v>94.124760217516894</c:v>
                </c:pt>
                <c:pt idx="55">
                  <c:v>94.144950319707405</c:v>
                </c:pt>
                <c:pt idx="56">
                  <c:v>94.163441957137849</c:v>
                </c:pt>
                <c:pt idx="57">
                  <c:v>94.180313035455683</c:v>
                </c:pt>
                <c:pt idx="58">
                  <c:v>94.195636023737976</c:v>
                </c:pt>
                <c:pt idx="59">
                  <c:v>94.209478400288148</c:v>
                </c:pt>
                <c:pt idx="60">
                  <c:v>94.221903054777357</c:v>
                </c:pt>
                <c:pt idx="61">
                  <c:v>94.232968651621178</c:v>
                </c:pt>
                <c:pt idx="62">
                  <c:v>94.242729958865397</c:v>
                </c:pt>
                <c:pt idx="63">
                  <c:v>94.251238146324056</c:v>
                </c:pt>
                <c:pt idx="64">
                  <c:v>94.258541056255424</c:v>
                </c:pt>
                <c:pt idx="65">
                  <c:v>94.264683449464727</c:v>
                </c:pt>
                <c:pt idx="66">
                  <c:v>94.269707229381012</c:v>
                </c:pt>
                <c:pt idx="67">
                  <c:v>94.273651646356413</c:v>
                </c:pt>
                <c:pt idx="68">
                  <c:v>94.276553484177498</c:v>
                </c:pt>
                <c:pt idx="69">
                  <c:v>94.278447230552032</c:v>
                </c:pt>
                <c:pt idx="70">
                  <c:v>94.27936523313673</c:v>
                </c:pt>
                <c:pt idx="71">
                  <c:v>94.279337842498848</c:v>
                </c:pt>
                <c:pt idx="72">
                  <c:v>94.278393543252037</c:v>
                </c:pt>
                <c:pt idx="73">
                  <c:v>94.276559074473766</c:v>
                </c:pt>
                <c:pt idx="74">
                  <c:v>94.273859540393801</c:v>
                </c:pt>
                <c:pt idx="75">
                  <c:v>94.270318512239641</c:v>
                </c:pt>
                <c:pt idx="76">
                  <c:v>94.265958122032629</c:v>
                </c:pt>
                <c:pt idx="77">
                  <c:v>94.260799149047898</c:v>
                </c:pt>
                <c:pt idx="78">
                  <c:v>94.254861099578903</c:v>
                </c:pt>
                <c:pt idx="79">
                  <c:v>94.248162280583131</c:v>
                </c:pt>
                <c:pt idx="80">
                  <c:v>94.240719867729268</c:v>
                </c:pt>
                <c:pt idx="81">
                  <c:v>94.232549968314743</c:v>
                </c:pt>
                <c:pt idx="82">
                  <c:v>94.223667679477913</c:v>
                </c:pt>
                <c:pt idx="83">
                  <c:v>94.214087142088161</c:v>
                </c:pt>
                <c:pt idx="84">
                  <c:v>94.203821590661221</c:v>
                </c:pt>
                <c:pt idx="85">
                  <c:v>94.192883399615042</c:v>
                </c:pt>
                <c:pt idx="86">
                  <c:v>94.181284126151326</c:v>
                </c:pt>
                <c:pt idx="87">
                  <c:v>94.169034550023085</c:v>
                </c:pt>
                <c:pt idx="88">
                  <c:v>94.156144710423519</c:v>
                </c:pt>
                <c:pt idx="89">
                  <c:v>94.142623940211791</c:v>
                </c:pt>
                <c:pt idx="90">
                  <c:v>94.128480897670855</c:v>
                </c:pt>
                <c:pt idx="91">
                  <c:v>94.113723595976069</c:v>
                </c:pt>
                <c:pt idx="92">
                  <c:v>94.098359430537258</c:v>
                </c:pt>
                <c:pt idx="93">
                  <c:v>94.082395204362598</c:v>
                </c:pt>
                <c:pt idx="94">
                  <c:v>94.065837151580439</c:v>
                </c:pt>
                <c:pt idx="95">
                  <c:v>94.048690959242734</c:v>
                </c:pt>
                <c:pt idx="96">
                  <c:v>94.030961787523538</c:v>
                </c:pt>
                <c:pt idx="97">
                  <c:v>94.012654288416613</c:v>
                </c:pt>
                <c:pt idx="98">
                  <c:v>93.993772623026459</c:v>
                </c:pt>
                <c:pt idx="99">
                  <c:v>93.974320477540303</c:v>
                </c:pt>
                <c:pt idx="100">
                  <c:v>93.954301077959883</c:v>
                </c:pt>
              </c:numCache>
            </c:numRef>
          </c:val>
          <c:smooth val="0"/>
          <c:extLst>
            <c:ext xmlns:c16="http://schemas.microsoft.com/office/drawing/2014/chart" uri="{C3380CC4-5D6E-409C-BE32-E72D297353CC}">
              <c16:uniqueId val="{00000000-CD13-4AE6-B19C-8777E1F9C3A3}"/>
            </c:ext>
          </c:extLst>
        </c:ser>
        <c:dLbls>
          <c:showLegendKey val="0"/>
          <c:showVal val="0"/>
          <c:showCatName val="0"/>
          <c:showSerName val="0"/>
          <c:showPercent val="0"/>
          <c:showBubbleSize val="0"/>
        </c:dLbls>
        <c:marker val="1"/>
        <c:smooth val="0"/>
        <c:axId val="196357120"/>
        <c:axId val="196359296"/>
      </c:lineChart>
      <c:lineChart>
        <c:grouping val="standard"/>
        <c:varyColors val="0"/>
        <c:ser>
          <c:idx val="2"/>
          <c:order val="1"/>
          <c:tx>
            <c:strRef>
              <c:f>'Efficiency vs Load Calculations'!$BR$8</c:f>
              <c:strCache>
                <c:ptCount val="1"/>
                <c:pt idx="0">
                  <c:v>Buck ''Control'' MOSFET Loss</c:v>
                </c:pt>
              </c:strCache>
            </c:strRef>
          </c:tx>
          <c:spPr>
            <a:ln w="38100">
              <a:solidFill>
                <a:srgbClr val="808000"/>
              </a:solidFill>
              <a:prstDash val="sys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Calculations'!$BR$9:$BR$109</c:f>
              <c:numCache>
                <c:formatCode>0.000</c:formatCode>
                <c:ptCount val="101"/>
                <c:pt idx="0">
                  <c:v>4.4984845120413425E-2</c:v>
                </c:pt>
                <c:pt idx="1">
                  <c:v>7.3811254439551013E-2</c:v>
                </c:pt>
                <c:pt idx="2">
                  <c:v>0.10109358024235901</c:v>
                </c:pt>
                <c:pt idx="3">
                  <c:v>0.12850272131739288</c:v>
                </c:pt>
                <c:pt idx="4">
                  <c:v>0.15604093255942802</c:v>
                </c:pt>
                <c:pt idx="5">
                  <c:v>0.18371049217879878</c:v>
                </c:pt>
                <c:pt idx="6">
                  <c:v>0.21151370237569167</c:v>
                </c:pt>
                <c:pt idx="7">
                  <c:v>0.23945289002537551</c:v>
                </c:pt>
                <c:pt idx="8">
                  <c:v>0.26753040737479589</c:v>
                </c:pt>
                <c:pt idx="9">
                  <c:v>0.29574863275097318</c:v>
                </c:pt>
                <c:pt idx="10">
                  <c:v>0.3241099712816522</c:v>
                </c:pt>
                <c:pt idx="11">
                  <c:v>0.35261685562866285</c:v>
                </c:pt>
                <c:pt idx="12">
                  <c:v>0.38127174673446207</c:v>
                </c:pt>
                <c:pt idx="13">
                  <c:v>0.41007713458234113</c:v>
                </c:pt>
                <c:pt idx="14">
                  <c:v>0.43903553897078917</c:v>
                </c:pt>
                <c:pt idx="15">
                  <c:v>0.46911874922683483</c:v>
                </c:pt>
                <c:pt idx="16">
                  <c:v>0.50128813937130312</c:v>
                </c:pt>
                <c:pt idx="17">
                  <c:v>0.53362111198547213</c:v>
                </c:pt>
                <c:pt idx="18">
                  <c:v>0.56612057228196166</c:v>
                </c:pt>
                <c:pt idx="19">
                  <c:v>0.59878946044345294</c:v>
                </c:pt>
                <c:pt idx="20">
                  <c:v>0.63163075257159529</c:v>
                </c:pt>
                <c:pt idx="21">
                  <c:v>0.66464746165467081</c:v>
                </c:pt>
                <c:pt idx="22">
                  <c:v>0.69784263855468109</c:v>
                </c:pt>
                <c:pt idx="23">
                  <c:v>0.73121937301454076</c:v>
                </c:pt>
                <c:pt idx="24">
                  <c:v>0.7647807946860854</c:v>
                </c:pt>
                <c:pt idx="25">
                  <c:v>0.79853007417961308</c:v>
                </c:pt>
                <c:pt idx="26">
                  <c:v>0.83247042413571126</c:v>
                </c:pt>
                <c:pt idx="27">
                  <c:v>0.86660510032013605</c:v>
                </c:pt>
                <c:pt idx="28">
                  <c:v>0.90093740274253442</c:v>
                </c:pt>
                <c:pt idx="29">
                  <c:v>0.93547067679982843</c:v>
                </c:pt>
                <c:pt idx="30">
                  <c:v>0.97020831444510092</c:v>
                </c:pt>
                <c:pt idx="31">
                  <c:v>1.0051537553828525</c:v>
                </c:pt>
                <c:pt idx="32">
                  <c:v>1.0403104882915237</c:v>
                </c:pt>
                <c:pt idx="33">
                  <c:v>1.0756820520742114</c:v>
                </c:pt>
                <c:pt idx="34">
                  <c:v>1.1112720371385236</c:v>
                </c:pt>
                <c:pt idx="35">
                  <c:v>1.1470840867065717</c:v>
                </c:pt>
                <c:pt idx="36">
                  <c:v>1.1831218981561062</c:v>
                </c:pt>
                <c:pt idx="37">
                  <c:v>1.219389224393854</c:v>
                </c:pt>
                <c:pt idx="38">
                  <c:v>1.2558898752621419</c:v>
                </c:pt>
                <c:pt idx="39">
                  <c:v>1.2926277189799333</c:v>
                </c:pt>
                <c:pt idx="40">
                  <c:v>1.3296066836194327</c:v>
                </c:pt>
                <c:pt idx="41">
                  <c:v>1.3668307586194672</c:v>
                </c:pt>
                <c:pt idx="42">
                  <c:v>1.4043039963368882</c:v>
                </c:pt>
                <c:pt idx="43">
                  <c:v>1.4420305136372731</c:v>
                </c:pt>
                <c:pt idx="44">
                  <c:v>1.4800144935262687</c:v>
                </c:pt>
                <c:pt idx="45">
                  <c:v>1.5182601868229459</c:v>
                </c:pt>
                <c:pt idx="46">
                  <c:v>1.5567719138766047</c:v>
                </c:pt>
                <c:pt idx="47">
                  <c:v>1.5955540663285004</c:v>
                </c:pt>
                <c:pt idx="48">
                  <c:v>1.6346111089200233</c:v>
                </c:pt>
                <c:pt idx="49">
                  <c:v>1.6739475813489368</c:v>
                </c:pt>
                <c:pt idx="50">
                  <c:v>1.7135681001752954</c:v>
                </c:pt>
                <c:pt idx="51">
                  <c:v>1.7534773607787733</c:v>
                </c:pt>
                <c:pt idx="52">
                  <c:v>1.7936801393691648</c:v>
                </c:pt>
                <c:pt idx="53">
                  <c:v>1.834181295051893</c:v>
                </c:pt>
                <c:pt idx="54">
                  <c:v>1.8749857719504364</c:v>
                </c:pt>
                <c:pt idx="55">
                  <c:v>1.9160986013876502</c:v>
                </c:pt>
                <c:pt idx="56">
                  <c:v>1.9575249041280425</c:v>
                </c:pt>
                <c:pt idx="57">
                  <c:v>1.9992698926831218</c:v>
                </c:pt>
                <c:pt idx="58">
                  <c:v>2.0413388736820544</c:v>
                </c:pt>
                <c:pt idx="59">
                  <c:v>2.083737250309905</c:v>
                </c:pt>
                <c:pt idx="60">
                  <c:v>2.1264705248158782</c:v>
                </c:pt>
                <c:pt idx="61">
                  <c:v>2.1695443010940174</c:v>
                </c:pt>
                <c:pt idx="62">
                  <c:v>2.212964287338969</c:v>
                </c:pt>
                <c:pt idx="63">
                  <c:v>2.2567362987794715</c:v>
                </c:pt>
                <c:pt idx="64">
                  <c:v>2.3008662604923806</c:v>
                </c:pt>
                <c:pt idx="65">
                  <c:v>2.3453602103001234</c:v>
                </c:pt>
                <c:pt idx="66">
                  <c:v>2.3902243017545977</c:v>
                </c:pt>
                <c:pt idx="67">
                  <c:v>2.435464807210677</c:v>
                </c:pt>
                <c:pt idx="68">
                  <c:v>2.4810881209925673</c:v>
                </c:pt>
                <c:pt idx="69">
                  <c:v>2.5271007626564455</c:v>
                </c:pt>
                <c:pt idx="70">
                  <c:v>2.5735093803529105</c:v>
                </c:pt>
                <c:pt idx="71">
                  <c:v>2.6203207542929374</c:v>
                </c:pt>
                <c:pt idx="72">
                  <c:v>2.6675418003212061</c:v>
                </c:pt>
                <c:pt idx="73">
                  <c:v>2.7151795736007753</c:v>
                </c:pt>
                <c:pt idx="74">
                  <c:v>2.7632412724133224</c:v>
                </c:pt>
                <c:pt idx="75">
                  <c:v>2.8117342420792646</c:v>
                </c:pt>
                <c:pt idx="76">
                  <c:v>2.8606659790023454</c:v>
                </c:pt>
                <c:pt idx="77">
                  <c:v>2.9100441348433774</c:v>
                </c:pt>
                <c:pt idx="78">
                  <c:v>2.9598765208281299</c:v>
                </c:pt>
                <c:pt idx="79">
                  <c:v>3.0101711121944796</c:v>
                </c:pt>
                <c:pt idx="80">
                  <c:v>3.0609360527842298</c:v>
                </c:pt>
                <c:pt idx="81">
                  <c:v>3.1121796597852129</c:v>
                </c:pt>
                <c:pt idx="82">
                  <c:v>3.1639104286295345</c:v>
                </c:pt>
                <c:pt idx="83">
                  <c:v>3.2161370380540943</c:v>
                </c:pt>
                <c:pt idx="84">
                  <c:v>3.2688683553297864</c:v>
                </c:pt>
                <c:pt idx="85">
                  <c:v>3.3221134416660751</c:v>
                </c:pt>
                <c:pt idx="86">
                  <c:v>3.3758815577979213</c:v>
                </c:pt>
                <c:pt idx="87">
                  <c:v>3.4301821697623835</c:v>
                </c:pt>
                <c:pt idx="88">
                  <c:v>3.4850249548725554</c:v>
                </c:pt>
                <c:pt idx="89">
                  <c:v>3.540419807896793</c:v>
                </c:pt>
                <c:pt idx="90">
                  <c:v>3.5963768474516651</c:v>
                </c:pt>
                <c:pt idx="91">
                  <c:v>3.6529064226173174</c:v>
                </c:pt>
                <c:pt idx="92">
                  <c:v>3.7100191197844774</c:v>
                </c:pt>
                <c:pt idx="93">
                  <c:v>3.76772576974267</c:v>
                </c:pt>
                <c:pt idx="94">
                  <c:v>3.8260374550197116</c:v>
                </c:pt>
                <c:pt idx="95">
                  <c:v>3.884965517483026</c:v>
                </c:pt>
                <c:pt idx="96">
                  <c:v>3.9445215662138189</c:v>
                </c:pt>
                <c:pt idx="97">
                  <c:v>4.0047174856656973</c:v>
                </c:pt>
                <c:pt idx="98">
                  <c:v>4.0655654441198621</c:v>
                </c:pt>
                <c:pt idx="99">
                  <c:v>4.1270779024496438</c:v>
                </c:pt>
                <c:pt idx="100">
                  <c:v>4.1892676232076838</c:v>
                </c:pt>
              </c:numCache>
            </c:numRef>
          </c:val>
          <c:smooth val="0"/>
          <c:extLst>
            <c:ext xmlns:c16="http://schemas.microsoft.com/office/drawing/2014/chart" uri="{C3380CC4-5D6E-409C-BE32-E72D297353CC}">
              <c16:uniqueId val="{00000001-CD13-4AE6-B19C-8777E1F9C3A3}"/>
            </c:ext>
          </c:extLst>
        </c:ser>
        <c:ser>
          <c:idx val="3"/>
          <c:order val="2"/>
          <c:tx>
            <c:v>Inductor Loss</c:v>
          </c:tx>
          <c:spPr>
            <a:ln w="38100">
              <a:solidFill>
                <a:srgbClr val="800080"/>
              </a:solidFill>
              <a:prstDash val="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Calculations'!$BP$9:$BP$109</c:f>
              <c:numCache>
                <c:formatCode>0.000</c:formatCode>
                <c:ptCount val="101"/>
                <c:pt idx="0">
                  <c:v>0.58797803073057131</c:v>
                </c:pt>
                <c:pt idx="1">
                  <c:v>0.58818343461577127</c:v>
                </c:pt>
                <c:pt idx="2">
                  <c:v>0.58855605730201044</c:v>
                </c:pt>
                <c:pt idx="3">
                  <c:v>0.58909591899561842</c:v>
                </c:pt>
                <c:pt idx="4">
                  <c:v>0.58980305332115146</c:v>
                </c:pt>
                <c:pt idx="5">
                  <c:v>0.59067750732812641</c:v>
                </c:pt>
                <c:pt idx="6">
                  <c:v>0.59171934150047079</c:v>
                </c:pt>
                <c:pt idx="7">
                  <c:v>0.59292862976865324</c:v>
                </c:pt>
                <c:pt idx="8">
                  <c:v>0.59430545952453029</c:v>
                </c:pt>
                <c:pt idx="9">
                  <c:v>0.595849931638887</c:v>
                </c:pt>
                <c:pt idx="10">
                  <c:v>0.59756216048170685</c:v>
                </c:pt>
                <c:pt idx="11">
                  <c:v>0.59944227394515426</c:v>
                </c:pt>
                <c:pt idx="12">
                  <c:v>0.60149041346929066</c:v>
                </c:pt>
                <c:pt idx="13">
                  <c:v>0.60370673407053554</c:v>
                </c:pt>
                <c:pt idx="14">
                  <c:v>0.60609140437286846</c:v>
                </c:pt>
                <c:pt idx="15">
                  <c:v>0.60864460664181097</c:v>
                </c:pt>
                <c:pt idx="16">
                  <c:v>0.61136653682116215</c:v>
                </c:pt>
                <c:pt idx="17">
                  <c:v>0.61425740457254829</c:v>
                </c:pt>
                <c:pt idx="18">
                  <c:v>0.61731743331775746</c:v>
                </c:pt>
                <c:pt idx="19">
                  <c:v>0.62054686028390282</c:v>
                </c:pt>
                <c:pt idx="20">
                  <c:v>0.62394593655142661</c:v>
                </c:pt>
                <c:pt idx="21">
                  <c:v>0.62751492710495649</c:v>
                </c:pt>
                <c:pt idx="22">
                  <c:v>0.63125411088703409</c:v>
                </c:pt>
                <c:pt idx="23">
                  <c:v>0.63516378085474712</c:v>
                </c:pt>
                <c:pt idx="24">
                  <c:v>0.6392442440392726</c:v>
                </c:pt>
                <c:pt idx="25">
                  <c:v>0.64349582160835672</c:v>
                </c:pt>
                <c:pt idx="26">
                  <c:v>0.64791884893177076</c:v>
                </c:pt>
                <c:pt idx="27">
                  <c:v>0.65251367564974583</c:v>
                </c:pt>
                <c:pt idx="28">
                  <c:v>0.65728066574442157</c:v>
                </c:pt>
                <c:pt idx="29">
                  <c:v>0.66222019761434636</c:v>
                </c:pt>
                <c:pt idx="30">
                  <c:v>0.66733266415203496</c:v>
                </c:pt>
                <c:pt idx="31">
                  <c:v>0.67261847282464393</c:v>
                </c:pt>
                <c:pt idx="32">
                  <c:v>0.67807804575776165</c:v>
                </c:pt>
                <c:pt idx="33">
                  <c:v>0.68371181982237883</c:v>
                </c:pt>
                <c:pt idx="34">
                  <c:v>0.68952024672504098</c:v>
                </c:pt>
                <c:pt idx="35">
                  <c:v>0.69550379310124866</c:v>
                </c:pt>
                <c:pt idx="36">
                  <c:v>0.70166294061212142</c:v>
                </c:pt>
                <c:pt idx="37">
                  <c:v>0.70799818604436049</c:v>
                </c:pt>
                <c:pt idx="38">
                  <c:v>0.71451004141357721</c:v>
                </c:pt>
                <c:pt idx="39">
                  <c:v>0.72119903407098851</c:v>
                </c:pt>
                <c:pt idx="40">
                  <c:v>0.72806570681355354</c:v>
                </c:pt>
                <c:pt idx="41">
                  <c:v>0.7351106179975766</c:v>
                </c:pt>
                <c:pt idx="42">
                  <c:v>0.74233434165583789</c:v>
                </c:pt>
                <c:pt idx="43">
                  <c:v>0.74973746761826554</c:v>
                </c:pt>
                <c:pt idx="44">
                  <c:v>0.75732060163624593</c:v>
                </c:pt>
                <c:pt idx="45">
                  <c:v>0.76508436551057946</c:v>
                </c:pt>
                <c:pt idx="46">
                  <c:v>0.77302939722315034</c:v>
                </c:pt>
                <c:pt idx="47">
                  <c:v>0.78115635107236892</c:v>
                </c:pt>
                <c:pt idx="48">
                  <c:v>0.7894658978124226</c:v>
                </c:pt>
                <c:pt idx="49">
                  <c:v>0.7979587247964175</c:v>
                </c:pt>
                <c:pt idx="50">
                  <c:v>0.80663553612343974</c:v>
                </c:pt>
                <c:pt idx="51">
                  <c:v>0.81549705278962326</c:v>
                </c:pt>
                <c:pt idx="52">
                  <c:v>0.82454401284326095</c:v>
                </c:pt>
                <c:pt idx="53">
                  <c:v>0.83377717154404907</c:v>
                </c:pt>
                <c:pt idx="54">
                  <c:v>0.84319730152650907</c:v>
                </c:pt>
                <c:pt idx="55">
                  <c:v>0.852805192967654</c:v>
                </c:pt>
                <c:pt idx="56">
                  <c:v>0.862601653758995</c:v>
                </c:pt>
                <c:pt idx="57">
                  <c:v>0.87258750968292031</c:v>
                </c:pt>
                <c:pt idx="58">
                  <c:v>0.8827636045935594</c:v>
                </c:pt>
                <c:pt idx="59">
                  <c:v>0.89313080060217631</c:v>
                </c:pt>
                <c:pt idx="60">
                  <c:v>0.90368997826718966</c:v>
                </c:pt>
                <c:pt idx="61">
                  <c:v>0.91444203678889124</c:v>
                </c:pt>
                <c:pt idx="62">
                  <c:v>0.92538789420894907</c:v>
                </c:pt>
                <c:pt idx="63">
                  <c:v>0.93652848761477636</c:v>
                </c:pt>
                <c:pt idx="64">
                  <c:v>0.94786477334885899</c:v>
                </c:pt>
                <c:pt idx="65">
                  <c:v>0.95939772722312477</c:v>
                </c:pt>
                <c:pt idx="66">
                  <c:v>0.971128344738453</c:v>
                </c:pt>
                <c:pt idx="67">
                  <c:v>0.98305764130941364</c:v>
                </c:pt>
                <c:pt idx="68">
                  <c:v>0.99518665249434202</c:v>
                </c:pt>
                <c:pt idx="69">
                  <c:v>1.0075164342308351</c:v>
                </c:pt>
                <c:pt idx="70">
                  <c:v>1.0200480630767987</c:v>
                </c:pt>
                <c:pt idx="71">
                  <c:v>1.0327826364571071</c:v>
                </c:pt>
                <c:pt idx="72">
                  <c:v>1.0457212729160472</c:v>
                </c:pt>
                <c:pt idx="73">
                  <c:v>1.0588651123755906</c:v>
                </c:pt>
                <c:pt idx="74">
                  <c:v>1.0722153163996722</c:v>
                </c:pt>
                <c:pt idx="75">
                  <c:v>1.0857730684645426</c:v>
                </c:pt>
                <c:pt idx="76">
                  <c:v>1.0995395742353458</c:v>
                </c:pt>
                <c:pt idx="77">
                  <c:v>1.1135160618490469</c:v>
                </c:pt>
                <c:pt idx="78">
                  <c:v>1.1277037822038256</c:v>
                </c:pt>
                <c:pt idx="79">
                  <c:v>1.1421040092550681</c:v>
                </c:pt>
                <c:pt idx="80">
                  <c:v>1.1567180403181148</c:v>
                </c:pt>
                <c:pt idx="81">
                  <c:v>1.1715471963778761</c:v>
                </c:pt>
                <c:pt idx="82">
                  <c:v>1.1865928224054787</c:v>
                </c:pt>
                <c:pt idx="83">
                  <c:v>1.2018562876820895</c:v>
                </c:pt>
                <c:pt idx="84">
                  <c:v>1.2173389861300468</c:v>
                </c:pt>
                <c:pt idx="85">
                  <c:v>1.2330423366514949</c:v>
                </c:pt>
                <c:pt idx="86">
                  <c:v>1.2489677834746504</c:v>
                </c:pt>
                <c:pt idx="87">
                  <c:v>1.2651167965078729</c:v>
                </c:pt>
                <c:pt idx="88">
                  <c:v>1.2814908717017168</c:v>
                </c:pt>
                <c:pt idx="89">
                  <c:v>1.2980915314191397</c:v>
                </c:pt>
                <c:pt idx="90">
                  <c:v>1.3149203248140346</c:v>
                </c:pt>
                <c:pt idx="91">
                  <c:v>1.331978828218281</c:v>
                </c:pt>
                <c:pt idx="92">
                  <c:v>1.3492686455375122</c:v>
                </c:pt>
                <c:pt idx="93">
                  <c:v>1.3667914086557662</c:v>
                </c:pt>
                <c:pt idx="94">
                  <c:v>1.384548777849256</c:v>
                </c:pt>
                <c:pt idx="95">
                  <c:v>1.4025424422094392</c:v>
                </c:pt>
                <c:pt idx="96">
                  <c:v>1.4207741200756181</c:v>
                </c:pt>
                <c:pt idx="97">
                  <c:v>1.4392455594772695</c:v>
                </c:pt>
                <c:pt idx="98">
                  <c:v>1.4579585385863476</c:v>
                </c:pt>
                <c:pt idx="99">
                  <c:v>1.4769148661797844</c:v>
                </c:pt>
                <c:pt idx="100">
                  <c:v>1.4961163821124126</c:v>
                </c:pt>
              </c:numCache>
            </c:numRef>
          </c:val>
          <c:smooth val="0"/>
          <c:extLst>
            <c:ext xmlns:c16="http://schemas.microsoft.com/office/drawing/2014/chart" uri="{C3380CC4-5D6E-409C-BE32-E72D297353CC}">
              <c16:uniqueId val="{00000002-CD13-4AE6-B19C-8777E1F9C3A3}"/>
            </c:ext>
          </c:extLst>
        </c:ser>
        <c:ser>
          <c:idx val="1"/>
          <c:order val="3"/>
          <c:tx>
            <c:strRef>
              <c:f>'Efficiency vs Load Calculations'!$BS$8</c:f>
              <c:strCache>
                <c:ptCount val="1"/>
                <c:pt idx="0">
                  <c:v>Buck ''SYNC'' MOSFET Loss</c:v>
                </c:pt>
              </c:strCache>
            </c:strRef>
          </c:tx>
          <c:spPr>
            <a:ln w="38100">
              <a:solidFill>
                <a:srgbClr val="002060"/>
              </a:solidFill>
              <a:prstDash val="sysDot"/>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Calculations'!$BS$9:$BS$109</c:f>
              <c:numCache>
                <c:formatCode>0.000</c:formatCode>
                <c:ptCount val="101"/>
                <c:pt idx="0">
                  <c:v>4.3947230618573384E-2</c:v>
                </c:pt>
                <c:pt idx="1">
                  <c:v>5.0543770858579244E-2</c:v>
                </c:pt>
                <c:pt idx="2">
                  <c:v>5.4556697502999185E-2</c:v>
                </c:pt>
                <c:pt idx="3">
                  <c:v>5.8692576134737842E-2</c:v>
                </c:pt>
                <c:pt idx="4">
                  <c:v>6.29517128059702E-2</c:v>
                </c:pt>
                <c:pt idx="5">
                  <c:v>6.7334435182355573E-2</c:v>
                </c:pt>
                <c:pt idx="6">
                  <c:v>7.1841092649326865E-2</c:v>
                </c:pt>
                <c:pt idx="7">
                  <c:v>7.6472056427928758E-2</c:v>
                </c:pt>
                <c:pt idx="8">
                  <c:v>8.1227719700284029E-2</c:v>
                </c:pt>
                <c:pt idx="9">
                  <c:v>8.6108497744776136E-2</c:v>
                </c:pt>
                <c:pt idx="10">
                  <c:v>9.1114828081042862E-2</c:v>
                </c:pt>
                <c:pt idx="11">
                  <c:v>9.6247170624885206E-2</c:v>
                </c:pt>
                <c:pt idx="12">
                  <c:v>0.10150600785320302</c:v>
                </c:pt>
                <c:pt idx="13">
                  <c:v>0.10689184497907815</c:v>
                </c:pt>
                <c:pt idx="14">
                  <c:v>0.1124052101371335</c:v>
                </c:pt>
                <c:pt idx="15">
                  <c:v>0.11901589350361692</c:v>
                </c:pt>
                <c:pt idx="16">
                  <c:v>0.1276832618637741</c:v>
                </c:pt>
                <c:pt idx="17">
                  <c:v>0.13648270187561654</c:v>
                </c:pt>
                <c:pt idx="18">
                  <c:v>0.14541509353253104</c:v>
                </c:pt>
                <c:pt idx="19">
                  <c:v>0.15448134188793988</c:v>
                </c:pt>
                <c:pt idx="20">
                  <c:v>0.16368237738397232</c:v>
                </c:pt>
                <c:pt idx="21">
                  <c:v>0.17301915619231273</c:v>
                </c:pt>
                <c:pt idx="22">
                  <c:v>0.18249266056748209</c:v>
                </c:pt>
                <c:pt idx="23">
                  <c:v>0.19210389921281895</c:v>
                </c:pt>
                <c:pt idx="24">
                  <c:v>0.20185390765943911</c:v>
                </c:pt>
                <c:pt idx="25">
                  <c:v>0.2117437486584639</c:v>
                </c:pt>
                <c:pt idx="26">
                  <c:v>0.22177451258682135</c:v>
                </c:pt>
                <c:pt idx="27">
                  <c:v>0.23194731786693504</c:v>
                </c:pt>
                <c:pt idx="28">
                  <c:v>0.24226331140063032</c:v>
                </c:pt>
                <c:pt idx="29">
                  <c:v>0.25272366901760079</c:v>
                </c:pt>
                <c:pt idx="30">
                  <c:v>0.26332959593879091</c:v>
                </c:pt>
                <c:pt idx="31">
                  <c:v>0.27408232725506776</c:v>
                </c:pt>
                <c:pt idx="32">
                  <c:v>0.28498312842156714</c:v>
                </c:pt>
                <c:pt idx="33">
                  <c:v>0.29603329576811688</c:v>
                </c:pt>
                <c:pt idx="34">
                  <c:v>0.30723415702615514</c:v>
                </c:pt>
                <c:pt idx="35">
                  <c:v>0.31858707187257906</c:v>
                </c:pt>
                <c:pt idx="36">
                  <c:v>0.33009343249097661</c:v>
                </c:pt>
                <c:pt idx="37">
                  <c:v>0.34175466415071043</c:v>
                </c:pt>
                <c:pt idx="38">
                  <c:v>0.35357222580434505</c:v>
                </c:pt>
                <c:pt idx="39">
                  <c:v>0.36554761070392289</c:v>
                </c:pt>
                <c:pt idx="40">
                  <c:v>0.3776823470366199</c:v>
                </c:pt>
                <c:pt idx="41">
                  <c:v>0.38997799858032867</c:v>
                </c:pt>
                <c:pt idx="42">
                  <c:v>0.4024361653797412</c:v>
                </c:pt>
                <c:pt idx="43">
                  <c:v>0.41505848444352167</c:v>
                </c:pt>
                <c:pt idx="44">
                  <c:v>0.42784663046318949</c:v>
                </c:pt>
                <c:pt idx="45">
                  <c:v>0.44080231655435126</c:v>
                </c:pt>
                <c:pt idx="46">
                  <c:v>0.45392729502094858</c:v>
                </c:pt>
                <c:pt idx="47">
                  <c:v>0.46722335814321281</c:v>
                </c:pt>
                <c:pt idx="48">
                  <c:v>0.48069233899004793</c:v>
                </c:pt>
                <c:pt idx="49">
                  <c:v>0.4943361122565893</c:v>
                </c:pt>
                <c:pt idx="50">
                  <c:v>0.50815659512771438</c:v>
                </c:pt>
                <c:pt idx="51">
                  <c:v>0.52215574816831611</c:v>
                </c:pt>
                <c:pt idx="52">
                  <c:v>0.53633557624117656</c:v>
                </c:pt>
                <c:pt idx="53">
                  <c:v>0.55069812945331775</c:v>
                </c:pt>
                <c:pt idx="54">
                  <c:v>0.56524550413173569</c:v>
                </c:pt>
                <c:pt idx="55">
                  <c:v>0.57997984382946288</c:v>
                </c:pt>
                <c:pt idx="56">
                  <c:v>0.59490334036294523</c:v>
                </c:pt>
                <c:pt idx="57">
                  <c:v>0.61001823488174867</c:v>
                </c:pt>
                <c:pt idx="58">
                  <c:v>0.62532681897166709</c:v>
                </c:pt>
                <c:pt idx="59">
                  <c:v>0.64083143579233193</c:v>
                </c:pt>
                <c:pt idx="60">
                  <c:v>0.65653448125047531</c:v>
                </c:pt>
                <c:pt idx="61">
                  <c:v>0.6724384052100485</c:v>
                </c:pt>
                <c:pt idx="62">
                  <c:v>0.68854571274043674</c:v>
                </c:pt>
                <c:pt idx="63">
                  <c:v>0.70485896540407278</c:v>
                </c:pt>
                <c:pt idx="64">
                  <c:v>0.72138078258479865</c:v>
                </c:pt>
                <c:pt idx="65">
                  <c:v>0.73811384285838089</c:v>
                </c:pt>
                <c:pt idx="66">
                  <c:v>0.75506088540664751</c:v>
                </c:pt>
                <c:pt idx="67">
                  <c:v>0.77222471147677174</c:v>
                </c:pt>
                <c:pt idx="68">
                  <c:v>0.78960818588728965</c:v>
                </c:pt>
                <c:pt idx="69">
                  <c:v>0.80721423858251251</c:v>
                </c:pt>
                <c:pt idx="70">
                  <c:v>0.82504586623705789</c:v>
                </c:pt>
                <c:pt idx="71">
                  <c:v>0.84310613391229527</c:v>
                </c:pt>
                <c:pt idx="72">
                  <c:v>0.86139817676659314</c:v>
                </c:pt>
                <c:pt idx="73">
                  <c:v>0.87992520182130607</c:v>
                </c:pt>
                <c:pt idx="74">
                  <c:v>0.89869048978456001</c:v>
                </c:pt>
                <c:pt idx="75">
                  <c:v>0.91769739693494812</c:v>
                </c:pt>
                <c:pt idx="76">
                  <c:v>0.93694935706736526</c:v>
                </c:pt>
                <c:pt idx="77">
                  <c:v>0.95644988350329674</c:v>
                </c:pt>
                <c:pt idx="78">
                  <c:v>0.97620257116797404</c:v>
                </c:pt>
                <c:pt idx="79">
                  <c:v>0.99621109873692659</c:v>
                </c:pt>
                <c:pt idx="80">
                  <c:v>1.0164792308545605</c:v>
                </c:pt>
                <c:pt idx="81">
                  <c:v>1.0370108204275206</c:v>
                </c:pt>
                <c:pt idx="82">
                  <c:v>1.0578098109957046</c:v>
                </c:pt>
                <c:pt idx="83">
                  <c:v>1.0788802391839394</c:v>
                </c:pt>
                <c:pt idx="84">
                  <c:v>1.1002262372374529</c:v>
                </c:pt>
                <c:pt idx="85">
                  <c:v>1.1218520356444279</c:v>
                </c:pt>
                <c:pt idx="86">
                  <c:v>1.143761965849065</c:v>
                </c:pt>
                <c:pt idx="87">
                  <c:v>1.1659604630587406</c:v>
                </c:pt>
                <c:pt idx="88">
                  <c:v>1.1884520691490219</c:v>
                </c:pt>
                <c:pt idx="89">
                  <c:v>1.2112414356704539</c:v>
                </c:pt>
                <c:pt idx="90">
                  <c:v>1.2343333269612404</c:v>
                </c:pt>
                <c:pt idx="91">
                  <c:v>1.2577326233701065</c:v>
                </c:pt>
                <c:pt idx="92">
                  <c:v>1.2814443245938656</c:v>
                </c:pt>
                <c:pt idx="93">
                  <c:v>1.3054735531343928</c:v>
                </c:pt>
                <c:pt idx="94">
                  <c:v>1.3298255578799558</c:v>
                </c:pt>
                <c:pt idx="95">
                  <c:v>1.3545057178160829</c:v>
                </c:pt>
                <c:pt idx="96">
                  <c:v>1.3795195458713922</c:v>
                </c:pt>
                <c:pt idx="97">
                  <c:v>1.4048726929040871</c:v>
                </c:pt>
                <c:pt idx="98">
                  <c:v>1.4305709518350684</c:v>
                </c:pt>
                <c:pt idx="99">
                  <c:v>1.4566202619339461</c:v>
                </c:pt>
                <c:pt idx="100">
                  <c:v>1.4830267132645085</c:v>
                </c:pt>
              </c:numCache>
            </c:numRef>
          </c:val>
          <c:smooth val="0"/>
          <c:extLst>
            <c:ext xmlns:c16="http://schemas.microsoft.com/office/drawing/2014/chart" uri="{C3380CC4-5D6E-409C-BE32-E72D297353CC}">
              <c16:uniqueId val="{00000003-CD13-4AE6-B19C-8777E1F9C3A3}"/>
            </c:ext>
          </c:extLst>
        </c:ser>
        <c:dLbls>
          <c:showLegendKey val="0"/>
          <c:showVal val="0"/>
          <c:showCatName val="0"/>
          <c:showSerName val="0"/>
          <c:showPercent val="0"/>
          <c:showBubbleSize val="0"/>
        </c:dLbls>
        <c:marker val="1"/>
        <c:smooth val="0"/>
        <c:axId val="196371584"/>
        <c:axId val="196361216"/>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61417999772302789"/>
          <c:h val="9.0576560908423698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Calculations'!$BO$9:$BO$209</c:f>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0-26DC-4494-B390-60A38ACC8FFF}"/>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Calculations'!$BP$9:$BP$209</c:f>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val>
          <c:smooth val="0"/>
          <c:extLst>
            <c:ext xmlns:c16="http://schemas.microsoft.com/office/drawing/2014/chart" uri="{C3380CC4-5D6E-409C-BE32-E72D297353CC}">
              <c16:uniqueId val="{00000001-26DC-4494-B390-60A38ACC8FFF}"/>
            </c:ext>
          </c:extLst>
        </c:ser>
        <c:ser>
          <c:idx val="2"/>
          <c:order val="2"/>
          <c:tx>
            <c:v>Total MOSFET Loss</c:v>
          </c:tx>
          <c:spPr>
            <a:ln w="38100">
              <a:solidFill>
                <a:srgbClr val="808000"/>
              </a:solidFill>
              <a:prstDash val="sysDash"/>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Calculations'!$BQ$9:$BQ$209</c:f>
              <c:numCache>
                <c:formatCode>0.000</c:formatCode>
                <c:ptCount val="201"/>
                <c:pt idx="0">
                  <c:v>4.8833771988768673</c:v>
                </c:pt>
                <c:pt idx="1">
                  <c:v>4.8925253918995137</c:v>
                </c:pt>
                <c:pt idx="2">
                  <c:v>4.9016780655888761</c:v>
                </c:pt>
                <c:pt idx="3">
                  <c:v>4.9108351286480012</c:v>
                </c:pt>
                <c:pt idx="4">
                  <c:v>4.9199964916870602</c:v>
                </c:pt>
                <c:pt idx="5">
                  <c:v>4.9291620671783738</c:v>
                </c:pt>
                <c:pt idx="6">
                  <c:v>4.9383317694126685</c:v>
                </c:pt>
                <c:pt idx="7">
                  <c:v>4.9475055144564823</c:v>
                </c:pt>
                <c:pt idx="8">
                  <c:v>4.9566832201107207</c:v>
                </c:pt>
                <c:pt idx="9">
                  <c:v>4.9658648058703125</c:v>
                </c:pt>
                <c:pt idx="10">
                  <c:v>4.9750501928849182</c:v>
                </c:pt>
                <c:pt idx="11">
                  <c:v>4.9842393039207025</c:v>
                </c:pt>
                <c:pt idx="12">
                  <c:v>4.9934320633230813</c:v>
                </c:pt>
                <c:pt idx="13">
                  <c:v>5.0026283969804686</c:v>
                </c:pt>
                <c:pt idx="14">
                  <c:v>5.0118282322889574</c:v>
                </c:pt>
                <c:pt idx="15">
                  <c:v>5.02103149811792</c:v>
                </c:pt>
                <c:pt idx="16">
                  <c:v>5.0302381247765062</c:v>
                </c:pt>
                <c:pt idx="17">
                  <c:v>5.0394480439810003</c:v>
                </c:pt>
                <c:pt idx="18">
                  <c:v>5.0486611888230168</c:v>
                </c:pt>
                <c:pt idx="19">
                  <c:v>5.0578774937385234</c:v>
                </c:pt>
                <c:pt idx="20">
                  <c:v>5.0670968944776442</c:v>
                </c:pt>
                <c:pt idx="21">
                  <c:v>5.0763193280752388</c:v>
                </c:pt>
                <c:pt idx="22">
                  <c:v>5.0855447328222185</c:v>
                </c:pt>
                <c:pt idx="23">
                  <c:v>5.0947730482376068</c:v>
                </c:pt>
                <c:pt idx="24">
                  <c:v>5.1040042150412885</c:v>
                </c:pt>
                <c:pt idx="25">
                  <c:v>5.1132381751274467</c:v>
                </c:pt>
                <c:pt idx="26">
                  <c:v>5.1224748715386745</c:v>
                </c:pt>
                <c:pt idx="27">
                  <c:v>5.1317142484407192</c:v>
                </c:pt>
                <c:pt idx="28">
                  <c:v>5.1409562510978697</c:v>
                </c:pt>
                <c:pt idx="29">
                  <c:v>5.1502008258489411</c:v>
                </c:pt>
                <c:pt idx="30">
                  <c:v>5.1594479200838617</c:v>
                </c:pt>
                <c:pt idx="31">
                  <c:v>5.1686974822208329</c:v>
                </c:pt>
                <c:pt idx="32">
                  <c:v>5.1779494616840598</c:v>
                </c:pt>
                <c:pt idx="33">
                  <c:v>5.1872038088820114</c:v>
                </c:pt>
                <c:pt idx="34">
                  <c:v>5.196460475186222</c:v>
                </c:pt>
                <c:pt idx="35">
                  <c:v>5.2057194129105984</c:v>
                </c:pt>
                <c:pt idx="36">
                  <c:v>5.2149805752912588</c:v>
                </c:pt>
                <c:pt idx="37">
                  <c:v>5.2242439164668131</c:v>
                </c:pt>
                <c:pt idx="38">
                  <c:v>5.2335093914591546</c:v>
                </c:pt>
                <c:pt idx="39">
                  <c:v>5.2427769561546951</c:v>
                </c:pt>
                <c:pt idx="40">
                  <c:v>5.252046567286067</c:v>
                </c:pt>
                <c:pt idx="41">
                  <c:v>5.2613181824142394</c:v>
                </c:pt>
                <c:pt idx="42">
                  <c:v>5.2705917599110776</c:v>
                </c:pt>
                <c:pt idx="43">
                  <c:v>5.2798672589423052</c:v>
                </c:pt>
                <c:pt idx="44">
                  <c:v>5.2891446394508845</c:v>
                </c:pt>
                <c:pt idx="45">
                  <c:v>5.2984238621407691</c:v>
                </c:pt>
                <c:pt idx="46">
                  <c:v>5.3077048884610569</c:v>
                </c:pt>
                <c:pt idx="47">
                  <c:v>5.3169876805905014</c:v>
                </c:pt>
                <c:pt idx="48">
                  <c:v>5.3262722014223911</c:v>
                </c:pt>
                <c:pt idx="49">
                  <c:v>5.3355584145497854</c:v>
                </c:pt>
                <c:pt idx="50">
                  <c:v>5.3448462842510818</c:v>
                </c:pt>
                <c:pt idx="51">
                  <c:v>5.3541357754759309</c:v>
                </c:pt>
                <c:pt idx="52">
                  <c:v>5.3634268538314656</c:v>
                </c:pt>
                <c:pt idx="53">
                  <c:v>5.3727194855688563</c:v>
                </c:pt>
                <c:pt idx="54">
                  <c:v>5.3820136375701688</c:v>
                </c:pt>
                <c:pt idx="55">
                  <c:v>5.391309277335532</c:v>
                </c:pt>
                <c:pt idx="56">
                  <c:v>5.4006063729705733</c:v>
                </c:pt>
                <c:pt idx="57">
                  <c:v>5.4099048931741898</c:v>
                </c:pt>
                <c:pt idx="58">
                  <c:v>5.4192048072265342</c:v>
                </c:pt>
                <c:pt idx="59">
                  <c:v>5.4285060849773297</c:v>
                </c:pt>
                <c:pt idx="60">
                  <c:v>5.4378086968344084</c:v>
                </c:pt>
                <c:pt idx="61">
                  <c:v>5.4471126137525285</c:v>
                </c:pt>
                <c:pt idx="62">
                  <c:v>5.4564178072224436</c:v>
                </c:pt>
                <c:pt idx="63">
                  <c:v>5.4657242492601998</c:v>
                </c:pt>
                <c:pt idx="64">
                  <c:v>5.4750319123966866</c:v>
                </c:pt>
                <c:pt idx="65">
                  <c:v>5.4843407696674191</c:v>
                </c:pt>
                <c:pt idx="66">
                  <c:v>5.4936507946025417</c:v>
                </c:pt>
                <c:pt idx="67">
                  <c:v>5.5029619612170579</c:v>
                </c:pt>
                <c:pt idx="68">
                  <c:v>5.512274244001266</c:v>
                </c:pt>
                <c:pt idx="69">
                  <c:v>5.5215876179114254</c:v>
                </c:pt>
                <c:pt idx="70">
                  <c:v>5.5309020583606046</c:v>
                </c:pt>
                <c:pt idx="71">
                  <c:v>5.5402175412097474</c:v>
                </c:pt>
                <c:pt idx="72">
                  <c:v>5.5495340427589221</c:v>
                </c:pt>
                <c:pt idx="73">
                  <c:v>5.5588515397387726</c:v>
                </c:pt>
                <c:pt idx="74">
                  <c:v>5.5681700093021433</c:v>
                </c:pt>
                <c:pt idx="75">
                  <c:v>5.5774894290158956</c:v>
                </c:pt>
                <c:pt idx="76">
                  <c:v>5.5868097768528955</c:v>
                </c:pt>
                <c:pt idx="77">
                  <c:v>5.5961310311841741</c:v>
                </c:pt>
                <c:pt idx="78">
                  <c:v>5.6054531707712627</c:v>
                </c:pt>
                <c:pt idx="79">
                  <c:v>5.6147761747586857</c:v>
                </c:pt>
                <c:pt idx="80">
                  <c:v>5.6241000226666111</c:v>
                </c:pt>
                <c:pt idx="81">
                  <c:v>5.6334246943836632</c:v>
                </c:pt>
                <c:pt idx="82">
                  <c:v>5.6427501701599034</c:v>
                </c:pt>
                <c:pt idx="83">
                  <c:v>5.652076430599922</c:v>
                </c:pt>
                <c:pt idx="84">
                  <c:v>5.661403456656112</c:v>
                </c:pt>
                <c:pt idx="85">
                  <c:v>5.6707312296220653</c:v>
                </c:pt>
                <c:pt idx="86">
                  <c:v>5.6800597311261196</c:v>
                </c:pt>
                <c:pt idx="87">
                  <c:v>5.6893889431250324</c:v>
                </c:pt>
                <c:pt idx="88">
                  <c:v>5.6987188478977897</c:v>
                </c:pt>
                <c:pt idx="89">
                  <c:v>5.7080494280395477</c:v>
                </c:pt>
                <c:pt idx="90">
                  <c:v>5.7173806664556945</c:v>
                </c:pt>
                <c:pt idx="91">
                  <c:v>5.7267125463560422</c:v>
                </c:pt>
                <c:pt idx="92">
                  <c:v>5.7360450512491337</c:v>
                </c:pt>
                <c:pt idx="93">
                  <c:v>5.7453781649366737</c:v>
                </c:pt>
                <c:pt idx="94">
                  <c:v>5.7547118715080687</c:v>
                </c:pt>
                <c:pt idx="95">
                  <c:v>5.7640461553350777</c:v>
                </c:pt>
                <c:pt idx="96">
                  <c:v>5.7733810010665865</c:v>
                </c:pt>
                <c:pt idx="97">
                  <c:v>5.7827163936234642</c:v>
                </c:pt>
                <c:pt idx="98">
                  <c:v>5.7920523181935621</c:v>
                </c:pt>
                <c:pt idx="99">
                  <c:v>5.8013887602267671</c:v>
                </c:pt>
                <c:pt idx="100">
                  <c:v>5.8107257054302064</c:v>
                </c:pt>
                <c:pt idx="101">
                  <c:v>5.8200631397635014</c:v>
                </c:pt>
                <c:pt idx="102">
                  <c:v>5.8294010494341553</c:v>
                </c:pt>
                <c:pt idx="103">
                  <c:v>5.8387394208930194</c:v>
                </c:pt>
                <c:pt idx="104">
                  <c:v>5.8480782408298451</c:v>
                </c:pt>
                <c:pt idx="105">
                  <c:v>5.8574174961689307</c:v>
                </c:pt>
                <c:pt idx="106">
                  <c:v>5.866757174064861</c:v>
                </c:pt>
                <c:pt idx="107">
                  <c:v>5.8760972618983232</c:v>
                </c:pt>
                <c:pt idx="108">
                  <c:v>5.8854377472720136</c:v>
                </c:pt>
                <c:pt idx="109">
                  <c:v>5.8947786180066197</c:v>
                </c:pt>
                <c:pt idx="110">
                  <c:v>5.9041198621368851</c:v>
                </c:pt>
                <c:pt idx="111">
                  <c:v>5.9134614679077542</c:v>
                </c:pt>
                <c:pt idx="112">
                  <c:v>5.9228034237705929</c:v>
                </c:pt>
                <c:pt idx="113">
                  <c:v>5.9321457183794815</c:v>
                </c:pt>
                <c:pt idx="114">
                  <c:v>5.9414883405875729</c:v>
                </c:pt>
                <c:pt idx="115">
                  <c:v>5.9508312794435492</c:v>
                </c:pt>
                <c:pt idx="116">
                  <c:v>5.9601745241881154</c:v>
                </c:pt>
                <c:pt idx="117">
                  <c:v>5.969518064250579</c:v>
                </c:pt>
                <c:pt idx="118">
                  <c:v>5.9788618892454997</c:v>
                </c:pt>
                <c:pt idx="119">
                  <c:v>5.9882059889693888</c:v>
                </c:pt>
                <c:pt idx="120">
                  <c:v>5.9975503533974868</c:v>
                </c:pt>
                <c:pt idx="121">
                  <c:v>6.0068949726806107</c:v>
                </c:pt>
                <c:pt idx="122">
                  <c:v>6.0162398371420229</c:v>
                </c:pt>
                <c:pt idx="123">
                  <c:v>6.0255849372744175</c:v>
                </c:pt>
                <c:pt idx="124">
                  <c:v>6.0349302637369169</c:v>
                </c:pt>
                <c:pt idx="125">
                  <c:v>6.0442758073521539</c:v>
                </c:pt>
                <c:pt idx="126">
                  <c:v>6.0536215591033997</c:v>
                </c:pt>
                <c:pt idx="127">
                  <c:v>6.0629675101317364</c:v>
                </c:pt>
                <c:pt idx="128">
                  <c:v>6.0723136517333165</c:v>
                </c:pt>
                <c:pt idx="129">
                  <c:v>6.0816599753566383</c:v>
                </c:pt>
                <c:pt idx="130">
                  <c:v>6.0910064725998909</c:v>
                </c:pt>
                <c:pt idx="131">
                  <c:v>6.1003531352083424</c:v>
                </c:pt>
                <c:pt idx="132">
                  <c:v>6.1096999550717968</c:v>
                </c:pt>
                <c:pt idx="133">
                  <c:v>6.1190469242220713</c:v>
                </c:pt>
                <c:pt idx="134">
                  <c:v>6.1283940348305377</c:v>
                </c:pt>
                <c:pt idx="135">
                  <c:v>6.1377412792057049</c:v>
                </c:pt>
                <c:pt idx="136">
                  <c:v>6.147088649790855</c:v>
                </c:pt>
                <c:pt idx="137">
                  <c:v>6.1564361391617108</c:v>
                </c:pt>
                <c:pt idx="138">
                  <c:v>6.1657837400241613</c:v>
                </c:pt>
                <c:pt idx="139">
                  <c:v>6.1751314452120099</c:v>
                </c:pt>
                <c:pt idx="140">
                  <c:v>6.184479247684787</c:v>
                </c:pt>
                <c:pt idx="141">
                  <c:v>6.1938271405255936</c:v>
                </c:pt>
                <c:pt idx="142">
                  <c:v>6.2031751169389739</c:v>
                </c:pt>
                <c:pt idx="143">
                  <c:v>6.2125231702488524</c:v>
                </c:pt>
                <c:pt idx="144">
                  <c:v>6.2218712938964833</c:v>
                </c:pt>
                <c:pt idx="145">
                  <c:v>6.2312194814384503</c:v>
                </c:pt>
                <c:pt idx="146">
                  <c:v>6.240567726544711</c:v>
                </c:pt>
                <c:pt idx="147">
                  <c:v>6.2499160229966622</c:v>
                </c:pt>
                <c:pt idx="148">
                  <c:v>6.2592643646852357</c:v>
                </c:pt>
                <c:pt idx="149">
                  <c:v>6.2686127456090706</c:v>
                </c:pt>
                <c:pt idx="150">
                  <c:v>6.277961159872655</c:v>
                </c:pt>
                <c:pt idx="151">
                  <c:v>6.2873096016845551</c:v>
                </c:pt>
                <c:pt idx="152">
                  <c:v>6.2966580653556523</c:v>
                </c:pt>
                <c:pt idx="153">
                  <c:v>6.3060065452974134</c:v>
                </c:pt>
                <c:pt idx="154">
                  <c:v>6.315355036020204</c:v>
                </c:pt>
                <c:pt idx="155">
                  <c:v>6.3247035321316147</c:v>
                </c:pt>
                <c:pt idx="156">
                  <c:v>6.3340520283348303</c:v>
                </c:pt>
                <c:pt idx="157">
                  <c:v>6.3434005194270302</c:v>
                </c:pt>
                <c:pt idx="158">
                  <c:v>6.3527490002978046</c:v>
                </c:pt>
                <c:pt idx="159">
                  <c:v>6.3620974659276124</c:v>
                </c:pt>
                <c:pt idx="160">
                  <c:v>6.3714459113862594</c:v>
                </c:pt>
                <c:pt idx="161">
                  <c:v>6.3807943318314075</c:v>
                </c:pt>
                <c:pt idx="162">
                  <c:v>6.3901427225071057</c:v>
                </c:pt>
                <c:pt idx="163">
                  <c:v>6.399491078742356</c:v>
                </c:pt>
                <c:pt idx="164">
                  <c:v>6.4088393959496974</c:v>
                </c:pt>
                <c:pt idx="165">
                  <c:v>6.4181876696238112</c:v>
                </c:pt>
                <c:pt idx="166">
                  <c:v>6.4275358953401689</c:v>
                </c:pt>
                <c:pt idx="167">
                  <c:v>6.4368840687536792</c:v>
                </c:pt>
                <c:pt idx="168">
                  <c:v>6.4462321855973803</c:v>
                </c:pt>
                <c:pt idx="169">
                  <c:v>6.4555802416811519</c:v>
                </c:pt>
                <c:pt idx="170">
                  <c:v>6.4649282328904256</c:v>
                </c:pt>
                <c:pt idx="171">
                  <c:v>6.4742761551849615</c:v>
                </c:pt>
                <c:pt idx="172">
                  <c:v>6.4836240045976057</c:v>
                </c:pt>
                <c:pt idx="173">
                  <c:v>6.4929717772330902</c:v>
                </c:pt>
                <c:pt idx="174">
                  <c:v>6.5023194692668529</c:v>
                </c:pt>
                <c:pt idx="175">
                  <c:v>6.5116670769438763</c:v>
                </c:pt>
                <c:pt idx="176">
                  <c:v>6.5210145965775332</c:v>
                </c:pt>
                <c:pt idx="177">
                  <c:v>6.5303620245484808</c:v>
                </c:pt>
                <c:pt idx="178">
                  <c:v>6.5397093573035479</c:v>
                </c:pt>
                <c:pt idx="179">
                  <c:v>6.549056591354657</c:v>
                </c:pt>
                <c:pt idx="180">
                  <c:v>6.5584037232777517</c:v>
                </c:pt>
                <c:pt idx="181">
                  <c:v>6.5677507497117569</c:v>
                </c:pt>
                <c:pt idx="182">
                  <c:v>6.577097667357549</c:v>
                </c:pt>
                <c:pt idx="183">
                  <c:v>6.5864444729769467</c:v>
                </c:pt>
                <c:pt idx="184">
                  <c:v>6.5957911633917119</c:v>
                </c:pt>
                <c:pt idx="185">
                  <c:v>6.605137735482586</c:v>
                </c:pt>
                <c:pt idx="186">
                  <c:v>6.6144841861883119</c:v>
                </c:pt>
                <c:pt idx="187">
                  <c:v>6.6238305125047114</c:v>
                </c:pt>
                <c:pt idx="188">
                  <c:v>6.6331767114837445</c:v>
                </c:pt>
                <c:pt idx="189">
                  <c:v>6.6425227802326043</c:v>
                </c:pt>
                <c:pt idx="190">
                  <c:v>6.6518687159128209</c:v>
                </c:pt>
                <c:pt idx="191">
                  <c:v>6.6612145157393803</c:v>
                </c:pt>
                <c:pt idx="192">
                  <c:v>6.6705601769798593</c:v>
                </c:pt>
                <c:pt idx="193">
                  <c:v>6.6799056969535791</c:v>
                </c:pt>
                <c:pt idx="194">
                  <c:v>6.6892510730307597</c:v>
                </c:pt>
                <c:pt idx="195">
                  <c:v>6.6985963026317128</c:v>
                </c:pt>
                <c:pt idx="196">
                  <c:v>6.7079413832260206</c:v>
                </c:pt>
                <c:pt idx="197">
                  <c:v>6.7172863123317432</c:v>
                </c:pt>
                <c:pt idx="198">
                  <c:v>6.7266310875146491</c:v>
                </c:pt>
                <c:pt idx="199">
                  <c:v>6.7359757063874337</c:v>
                </c:pt>
                <c:pt idx="200">
                  <c:v>6.7453201666089724</c:v>
                </c:pt>
              </c:numCache>
            </c:numRef>
          </c:val>
          <c:smooth val="0"/>
          <c:extLst>
            <c:ext xmlns:c16="http://schemas.microsoft.com/office/drawing/2014/chart" uri="{C3380CC4-5D6E-409C-BE32-E72D297353CC}">
              <c16:uniqueId val="{00000002-26DC-4494-B390-60A38ACC8FFF}"/>
            </c:ext>
          </c:extLst>
        </c:ser>
        <c:ser>
          <c:idx val="1"/>
          <c:order val="3"/>
          <c:tx>
            <c:v>Shunt Loss</c:v>
          </c:tx>
          <c:spPr>
            <a:ln w="38100">
              <a:solidFill>
                <a:srgbClr val="002060"/>
              </a:solidFill>
              <a:prstDash val="sysDot"/>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Calculations'!$BV$9:$BV$209</c:f>
              <c:numCache>
                <c:formatCode>0.000</c:formatCode>
                <c:ptCount val="201"/>
                <c:pt idx="0">
                  <c:v>9.5243761045760475E-2</c:v>
                </c:pt>
                <c:pt idx="1">
                  <c:v>9.6176996127100636E-2</c:v>
                </c:pt>
                <c:pt idx="2">
                  <c:v>9.7103942143320229E-2</c:v>
                </c:pt>
                <c:pt idx="3">
                  <c:v>9.8024664140531112E-2</c:v>
                </c:pt>
                <c:pt idx="4">
                  <c:v>9.8939226247063222E-2</c:v>
                </c:pt>
                <c:pt idx="5">
                  <c:v>9.9847691689993287E-2</c:v>
                </c:pt>
                <c:pt idx="6">
                  <c:v>0.10075012281131032</c:v>
                </c:pt>
                <c:pt idx="7">
                  <c:v>0.10164658108372684</c:v>
                </c:pt>
                <c:pt idx="8">
                  <c:v>0.10253712712614538</c:v>
                </c:pt>
                <c:pt idx="9">
                  <c:v>0.10342182071878886</c:v>
                </c:pt>
                <c:pt idx="10">
                  <c:v>0.10430072081800383</c:v>
                </c:pt>
                <c:pt idx="11">
                  <c:v>0.10517388557074457</c:v>
                </c:pt>
                <c:pt idx="12">
                  <c:v>0.10604137232874646</c:v>
                </c:pt>
                <c:pt idx="13">
                  <c:v>0.10690323766239641</c:v>
                </c:pt>
                <c:pt idx="14">
                  <c:v>0.10775953737430781</c:v>
                </c:pt>
                <c:pt idx="15">
                  <c:v>0.10861032651260794</c:v>
                </c:pt>
                <c:pt idx="16">
                  <c:v>0.10945565938394397</c:v>
                </c:pt>
                <c:pt idx="17">
                  <c:v>0.11029558956621666</c:v>
                </c:pt>
                <c:pt idx="18">
                  <c:v>0.11113016992104552</c:v>
                </c:pt>
                <c:pt idx="19">
                  <c:v>0.11195945260597535</c:v>
                </c:pt>
                <c:pt idx="20">
                  <c:v>0.11278348908642792</c:v>
                </c:pt>
                <c:pt idx="21">
                  <c:v>0.11360233014740644</c:v>
                </c:pt>
                <c:pt idx="22">
                  <c:v>0.11441602590495836</c:v>
                </c:pt>
                <c:pt idx="23">
                  <c:v>0.11522462581740282</c:v>
                </c:pt>
                <c:pt idx="24">
                  <c:v>0.11602817869632817</c:v>
                </c:pt>
                <c:pt idx="25">
                  <c:v>0.11682673271736467</c:v>
                </c:pt>
                <c:pt idx="26">
                  <c:v>0.11762033543073909</c:v>
                </c:pt>
                <c:pt idx="27">
                  <c:v>0.11840903377161496</c:v>
                </c:pt>
                <c:pt idx="28">
                  <c:v>0.11919287407022439</c:v>
                </c:pt>
                <c:pt idx="29">
                  <c:v>0.119971902061797</c:v>
                </c:pt>
                <c:pt idx="30">
                  <c:v>0.1207461628962888</c:v>
                </c:pt>
                <c:pt idx="31">
                  <c:v>0.12151570114791836</c:v>
                </c:pt>
                <c:pt idx="32">
                  <c:v>0.12228056082451272</c:v>
                </c:pt>
                <c:pt idx="33">
                  <c:v>0.12304078537666861</c:v>
                </c:pt>
                <c:pt idx="34">
                  <c:v>0.12379641770673275</c:v>
                </c:pt>
                <c:pt idx="35">
                  <c:v>0.12454750017760573</c:v>
                </c:pt>
                <c:pt idx="36">
                  <c:v>0.12529407462137399</c:v>
                </c:pt>
                <c:pt idx="37">
                  <c:v>0.12603618234777253</c:v>
                </c:pt>
                <c:pt idx="38">
                  <c:v>0.12677386415248401</c:v>
                </c:pt>
                <c:pt idx="39">
                  <c:v>0.12750716032527651</c:v>
                </c:pt>
                <c:pt idx="40">
                  <c:v>0.12823611065798432</c:v>
                </c:pt>
                <c:pt idx="41">
                  <c:v>0.12896075445233587</c:v>
                </c:pt>
                <c:pt idx="42">
                  <c:v>0.12968113052763078</c:v>
                </c:pt>
                <c:pt idx="43">
                  <c:v>0.13039727722827077</c:v>
                </c:pt>
                <c:pt idx="44">
                  <c:v>0.13110923243114761</c:v>
                </c:pt>
                <c:pt idx="45">
                  <c:v>0.13181703355289076</c:v>
                </c:pt>
                <c:pt idx="46">
                  <c:v>0.13252071755697739</c:v>
                </c:pt>
                <c:pt idx="47">
                  <c:v>0.13322032096070976</c:v>
                </c:pt>
                <c:pt idx="48">
                  <c:v>0.13391587984206133</c:v>
                </c:pt>
                <c:pt idx="49">
                  <c:v>0.13460742984639404</c:v>
                </c:pt>
                <c:pt idx="50">
                  <c:v>0.13529500619305165</c:v>
                </c:pt>
                <c:pt idx="51">
                  <c:v>0.13597864368183005</c:v>
                </c:pt>
                <c:pt idx="52">
                  <c:v>0.13665837669932793</c:v>
                </c:pt>
                <c:pt idx="53">
                  <c:v>0.13733423922518001</c:v>
                </c:pt>
                <c:pt idx="54">
                  <c:v>0.13800626483817699</c:v>
                </c:pt>
                <c:pt idx="55">
                  <c:v>0.13867448672227178</c:v>
                </c:pt>
                <c:pt idx="56">
                  <c:v>0.1393389376724771</c:v>
                </c:pt>
                <c:pt idx="57">
                  <c:v>0.13999965010065565</c:v>
                </c:pt>
                <c:pt idx="58">
                  <c:v>0.1406566560412052</c:v>
                </c:pt>
                <c:pt idx="59">
                  <c:v>0.1413099871566412</c:v>
                </c:pt>
                <c:pt idx="60">
                  <c:v>0.14195967474307819</c:v>
                </c:pt>
                <c:pt idx="61">
                  <c:v>0.14260574973561396</c:v>
                </c:pt>
                <c:pt idx="62">
                  <c:v>0.14324824271361644</c:v>
                </c:pt>
                <c:pt idx="63">
                  <c:v>0.14388718390591657</c:v>
                </c:pt>
                <c:pt idx="64">
                  <c:v>0.14452260319590926</c:v>
                </c:pt>
                <c:pt idx="65">
                  <c:v>0.14515453012656349</c:v>
                </c:pt>
                <c:pt idx="66">
                  <c:v>0.14578299390534422</c:v>
                </c:pt>
                <c:pt idx="67">
                  <c:v>0.14640802340904782</c:v>
                </c:pt>
                <c:pt idx="68">
                  <c:v>0.14702964718855258</c:v>
                </c:pt>
                <c:pt idx="69">
                  <c:v>0.14764789347348578</c:v>
                </c:pt>
                <c:pt idx="70">
                  <c:v>0.14826279017681024</c:v>
                </c:pt>
                <c:pt idx="71">
                  <c:v>0.14887436489933031</c:v>
                </c:pt>
                <c:pt idx="72">
                  <c:v>0.1494826449341207</c:v>
                </c:pt>
                <c:pt idx="73">
                  <c:v>0.15008765727087794</c:v>
                </c:pt>
                <c:pt idx="74">
                  <c:v>0.15068942860019804</c:v>
                </c:pt>
                <c:pt idx="75">
                  <c:v>0.15128798531777973</c:v>
                </c:pt>
                <c:pt idx="76">
                  <c:v>0.1518833535285565</c:v>
                </c:pt>
                <c:pt idx="77">
                  <c:v>0.1524755590507583</c:v>
                </c:pt>
                <c:pt idx="78">
                  <c:v>0.15306462741990351</c:v>
                </c:pt>
                <c:pt idx="79">
                  <c:v>0.15365058389272418</c:v>
                </c:pt>
                <c:pt idx="80">
                  <c:v>0.15423345345102449</c:v>
                </c:pt>
                <c:pt idx="81">
                  <c:v>0.15481326080547408</c:v>
                </c:pt>
                <c:pt idx="82">
                  <c:v>0.15539003039933866</c:v>
                </c:pt>
                <c:pt idx="83">
                  <c:v>0.15596378641214675</c:v>
                </c:pt>
                <c:pt idx="84">
                  <c:v>0.15653455276329697</c:v>
                </c:pt>
                <c:pt idx="85">
                  <c:v>0.1571023531156038</c:v>
                </c:pt>
                <c:pt idx="86">
                  <c:v>0.15766721087878552</c:v>
                </c:pt>
                <c:pt idx="87">
                  <c:v>0.15822914921289444</c:v>
                </c:pt>
                <c:pt idx="88">
                  <c:v>0.15878819103169034</c:v>
                </c:pt>
                <c:pt idx="89">
                  <c:v>0.15934435900595817</c:v>
                </c:pt>
                <c:pt idx="90">
                  <c:v>0.15989767556677256</c:v>
                </c:pt>
                <c:pt idx="91">
                  <c:v>0.16044816290870798</c:v>
                </c:pt>
                <c:pt idx="92">
                  <c:v>0.16099584299299696</c:v>
                </c:pt>
                <c:pt idx="93">
                  <c:v>0.16154073755063716</c:v>
                </c:pt>
                <c:pt idx="94">
                  <c:v>0.16208286808544808</c:v>
                </c:pt>
                <c:pt idx="95">
                  <c:v>0.16262225587707857</c:v>
                </c:pt>
                <c:pt idx="96">
                  <c:v>0.163158921983966</c:v>
                </c:pt>
                <c:pt idx="97">
                  <c:v>0.16369288724624742</c:v>
                </c:pt>
                <c:pt idx="98">
                  <c:v>0.16422417228862493</c:v>
                </c:pt>
                <c:pt idx="99">
                  <c:v>0.16475279752318517</c:v>
                </c:pt>
                <c:pt idx="100">
                  <c:v>0.1652787831521734</c:v>
                </c:pt>
                <c:pt idx="101">
                  <c:v>0.16580214917072458</c:v>
                </c:pt>
                <c:pt idx="102">
                  <c:v>0.1663229153695501</c:v>
                </c:pt>
                <c:pt idx="103">
                  <c:v>0.16684110133758387</c:v>
                </c:pt>
                <c:pt idx="104">
                  <c:v>0.16735672646458483</c:v>
                </c:pt>
                <c:pt idx="105">
                  <c:v>0.16786980994370002</c:v>
                </c:pt>
                <c:pt idx="106">
                  <c:v>0.16838037077398726</c:v>
                </c:pt>
                <c:pt idx="107">
                  <c:v>0.16888842776289834</c:v>
                </c:pt>
                <c:pt idx="108">
                  <c:v>0.16939399952872411</c:v>
                </c:pt>
                <c:pt idx="109">
                  <c:v>0.16989710450300105</c:v>
                </c:pt>
                <c:pt idx="110">
                  <c:v>0.17039776093288103</c:v>
                </c:pt>
                <c:pt idx="111">
                  <c:v>0.17089598688346475</c:v>
                </c:pt>
                <c:pt idx="112">
                  <c:v>0.17139180024009879</c:v>
                </c:pt>
                <c:pt idx="113">
                  <c:v>0.17188521871063814</c:v>
                </c:pt>
                <c:pt idx="114">
                  <c:v>0.17237625982767349</c:v>
                </c:pt>
                <c:pt idx="115">
                  <c:v>0.17286494095072491</c:v>
                </c:pt>
                <c:pt idx="116">
                  <c:v>0.17335127926840257</c:v>
                </c:pt>
                <c:pt idx="117">
                  <c:v>0.17383529180053425</c:v>
                </c:pt>
                <c:pt idx="118">
                  <c:v>0.17431699540026038</c:v>
                </c:pt>
                <c:pt idx="119">
                  <c:v>0.17479640675609839</c:v>
                </c:pt>
                <c:pt idx="120">
                  <c:v>0.17527354239397575</c:v>
                </c:pt>
                <c:pt idx="121">
                  <c:v>0.17574841867923222</c:v>
                </c:pt>
                <c:pt idx="122">
                  <c:v>0.17622105181859207</c:v>
                </c:pt>
                <c:pt idx="123">
                  <c:v>0.17669145786210769</c:v>
                </c:pt>
                <c:pt idx="124">
                  <c:v>0.17715965270507372</c:v>
                </c:pt>
                <c:pt idx="125">
                  <c:v>0.1776256520899126</c:v>
                </c:pt>
                <c:pt idx="126">
                  <c:v>0.17808947160803332</c:v>
                </c:pt>
                <c:pt idx="127">
                  <c:v>0.17855112670166093</c:v>
                </c:pt>
                <c:pt idx="128">
                  <c:v>0.17901063266564149</c:v>
                </c:pt>
                <c:pt idx="129">
                  <c:v>0.17946800464921808</c:v>
                </c:pt>
                <c:pt idx="130">
                  <c:v>0.17992325765778311</c:v>
                </c:pt>
                <c:pt idx="131">
                  <c:v>0.18037640655460313</c:v>
                </c:pt>
                <c:pt idx="132">
                  <c:v>0.18082746606252023</c:v>
                </c:pt>
                <c:pt idx="133">
                  <c:v>0.18127645076562737</c:v>
                </c:pt>
                <c:pt idx="134">
                  <c:v>0.18172337511092054</c:v>
                </c:pt>
                <c:pt idx="135">
                  <c:v>0.18216825340992585</c:v>
                </c:pt>
                <c:pt idx="136">
                  <c:v>0.18261109984030491</c:v>
                </c:pt>
                <c:pt idx="137">
                  <c:v>0.1830519284474352</c:v>
                </c:pt>
                <c:pt idx="138">
                  <c:v>0.18349075314596974</c:v>
                </c:pt>
                <c:pt idx="139">
                  <c:v>0.18392758772137274</c:v>
                </c:pt>
                <c:pt idx="140">
                  <c:v>0.18436244583143466</c:v>
                </c:pt>
                <c:pt idx="141">
                  <c:v>0.18479534100776485</c:v>
                </c:pt>
                <c:pt idx="142">
                  <c:v>0.18522628665726396</c:v>
                </c:pt>
                <c:pt idx="143">
                  <c:v>0.18565529606357425</c:v>
                </c:pt>
                <c:pt idx="144">
                  <c:v>0.18608238238851102</c:v>
                </c:pt>
                <c:pt idx="145">
                  <c:v>0.18650755867347235</c:v>
                </c:pt>
                <c:pt idx="146">
                  <c:v>0.18693083784083039</c:v>
                </c:pt>
                <c:pt idx="147">
                  <c:v>0.18735223269530224</c:v>
                </c:pt>
                <c:pt idx="148">
                  <c:v>0.18777175592530185</c:v>
                </c:pt>
                <c:pt idx="149">
                  <c:v>0.18818942010427378</c:v>
                </c:pt>
                <c:pt idx="150">
                  <c:v>0.18860523769200777</c:v>
                </c:pt>
                <c:pt idx="151">
                  <c:v>0.18901922103593477</c:v>
                </c:pt>
                <c:pt idx="152">
                  <c:v>0.18943138237240628</c:v>
                </c:pt>
                <c:pt idx="153">
                  <c:v>0.1898417338279548</c:v>
                </c:pt>
                <c:pt idx="154">
                  <c:v>0.19025028742053757</c:v>
                </c:pt>
                <c:pt idx="155">
                  <c:v>0.19065705506076364</c:v>
                </c:pt>
                <c:pt idx="156">
                  <c:v>0.19106204855310263</c:v>
                </c:pt>
                <c:pt idx="157">
                  <c:v>0.19146527959707904</c:v>
                </c:pt>
                <c:pt idx="158">
                  <c:v>0.19186675978844844</c:v>
                </c:pt>
                <c:pt idx="159">
                  <c:v>0.19226650062035955</c:v>
                </c:pt>
                <c:pt idx="160">
                  <c:v>0.19266451348449792</c:v>
                </c:pt>
                <c:pt idx="161">
                  <c:v>0.19306080967221775</c:v>
                </c:pt>
                <c:pt idx="162">
                  <c:v>0.19345540037565465</c:v>
                </c:pt>
                <c:pt idx="163">
                  <c:v>0.19384829668882655</c:v>
                </c:pt>
                <c:pt idx="164">
                  <c:v>0.19423950960871764</c:v>
                </c:pt>
                <c:pt idx="165">
                  <c:v>0.19462905003634923</c:v>
                </c:pt>
                <c:pt idx="166">
                  <c:v>0.19501692877783569</c:v>
                </c:pt>
                <c:pt idx="167">
                  <c:v>0.19540315654542606</c:v>
                </c:pt>
                <c:pt idx="168">
                  <c:v>0.19578774395853263</c:v>
                </c:pt>
                <c:pt idx="169">
                  <c:v>0.19617070154474509</c:v>
                </c:pt>
                <c:pt idx="170">
                  <c:v>0.1965520397408313</c:v>
                </c:pt>
                <c:pt idx="171">
                  <c:v>0.1969317688937261</c:v>
                </c:pt>
                <c:pt idx="172">
                  <c:v>0.197309899261505</c:v>
                </c:pt>
                <c:pt idx="173">
                  <c:v>0.19768644101434718</c:v>
                </c:pt>
                <c:pt idx="174">
                  <c:v>0.19806140423548393</c:v>
                </c:pt>
                <c:pt idx="175">
                  <c:v>0.19843479892213658</c:v>
                </c:pt>
                <c:pt idx="176">
                  <c:v>0.19880663498644066</c:v>
                </c:pt>
                <c:pt idx="177">
                  <c:v>0.19917692225635911</c:v>
                </c:pt>
                <c:pt idx="178">
                  <c:v>0.19954567047658259</c:v>
                </c:pt>
                <c:pt idx="179">
                  <c:v>0.19991288930941939</c:v>
                </c:pt>
                <c:pt idx="180">
                  <c:v>0.20027858833567269</c:v>
                </c:pt>
                <c:pt idx="181">
                  <c:v>0.20064277705550712</c:v>
                </c:pt>
                <c:pt idx="182">
                  <c:v>0.20100546488930435</c:v>
                </c:pt>
                <c:pt idx="183">
                  <c:v>0.20136666117850671</c:v>
                </c:pt>
                <c:pt idx="184">
                  <c:v>0.20172637518645123</c:v>
                </c:pt>
                <c:pt idx="185">
                  <c:v>0.20208461609919265</c:v>
                </c:pt>
                <c:pt idx="186">
                  <c:v>0.202441393026315</c:v>
                </c:pt>
                <c:pt idx="187">
                  <c:v>0.20279671500173457</c:v>
                </c:pt>
                <c:pt idx="188">
                  <c:v>0.20315059098449087</c:v>
                </c:pt>
                <c:pt idx="189">
                  <c:v>0.20350302985952923</c:v>
                </c:pt>
                <c:pt idx="190">
                  <c:v>0.20385404043847249</c:v>
                </c:pt>
                <c:pt idx="191">
                  <c:v>0.20420363146038278</c:v>
                </c:pt>
                <c:pt idx="192">
                  <c:v>0.2045518115925147</c:v>
                </c:pt>
                <c:pt idx="193">
                  <c:v>0.20489858943105854</c:v>
                </c:pt>
                <c:pt idx="194">
                  <c:v>0.20524397350187404</c:v>
                </c:pt>
                <c:pt idx="195">
                  <c:v>0.20558797226121475</c:v>
                </c:pt>
                <c:pt idx="196">
                  <c:v>0.20593059409644426</c:v>
                </c:pt>
                <c:pt idx="197">
                  <c:v>0.20627184732674303</c:v>
                </c:pt>
                <c:pt idx="198">
                  <c:v>0.20661174020380574</c:v>
                </c:pt>
                <c:pt idx="199">
                  <c:v>0.20695028091253165</c:v>
                </c:pt>
                <c:pt idx="200">
                  <c:v>0.20728747757170468</c:v>
                </c:pt>
              </c:numCache>
            </c:numRef>
          </c:val>
          <c:smooth val="0"/>
          <c:extLst>
            <c:ext xmlns:c16="http://schemas.microsoft.com/office/drawing/2014/chart" uri="{C3380CC4-5D6E-409C-BE32-E72D297353CC}">
              <c16:uniqueId val="{00000003-26DC-4494-B390-60A38ACC8FFF}"/>
            </c:ext>
          </c:extLst>
        </c:ser>
        <c:dLbls>
          <c:showLegendKey val="0"/>
          <c:showVal val="0"/>
          <c:showCatName val="0"/>
          <c:showSerName val="0"/>
          <c:showPercent val="0"/>
          <c:showBubbleSize val="0"/>
        </c:dLbls>
        <c:marker val="1"/>
        <c:smooth val="0"/>
        <c:axId val="196432256"/>
        <c:axId val="196421888"/>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7214586160317298"/>
          <c:y val="1.1892546194234431E-2"/>
          <c:w val="0.6110537765428794"/>
          <c:h val="9.0576560908423698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Calculations'!$BO$9:$BO$109</c15:sqref>
                        </c15:formulaRef>
                      </c:ext>
                    </c:extLst>
                    <c:numCache>
                      <c:formatCode>0.00</c:formatCode>
                      <c:ptCount val="101"/>
                      <c:pt idx="0">
                        <c:v>0</c:v>
                      </c:pt>
                      <c:pt idx="1">
                        <c:v>39.448163134226519</c:v>
                      </c:pt>
                      <c:pt idx="2">
                        <c:v>56.259382098437385</c:v>
                      </c:pt>
                      <c:pt idx="3">
                        <c:v>65.568350682646866</c:v>
                      </c:pt>
                      <c:pt idx="4">
                        <c:v>71.476812236597453</c:v>
                      </c:pt>
                      <c:pt idx="5">
                        <c:v>75.55733580381937</c:v>
                      </c:pt>
                      <c:pt idx="6">
                        <c:v>78.542339931254261</c:v>
                      </c:pt>
                      <c:pt idx="7">
                        <c:v>80.819050654560513</c:v>
                      </c:pt>
                      <c:pt idx="8">
                        <c:v>82.611429013221368</c:v>
                      </c:pt>
                      <c:pt idx="9">
                        <c:v>84.058011998037557</c:v>
                      </c:pt>
                      <c:pt idx="10">
                        <c:v>85.249095183073223</c:v>
                      </c:pt>
                      <c:pt idx="11">
                        <c:v>86.246049240461488</c:v>
                      </c:pt>
                      <c:pt idx="12">
                        <c:v>87.092043118907839</c:v>
                      </c:pt>
                      <c:pt idx="13">
                        <c:v>87.818326090264634</c:v>
                      </c:pt>
                      <c:pt idx="14">
                        <c:v>88.448076008719127</c:v>
                      </c:pt>
                      <c:pt idx="15">
                        <c:v>88.993004916253241</c:v>
                      </c:pt>
                      <c:pt idx="16">
                        <c:v>89.462093801013481</c:v>
                      </c:pt>
                      <c:pt idx="17">
                        <c:v>89.87795752959785</c:v>
                      </c:pt>
                      <c:pt idx="18">
                        <c:v>90.248800390803424</c:v>
                      </c:pt>
                      <c:pt idx="19">
                        <c:v>90.58122045277068</c:v>
                      </c:pt>
                      <c:pt idx="20">
                        <c:v>90.880584231613042</c:v>
                      </c:pt>
                      <c:pt idx="21">
                        <c:v>91.151301158914137</c:v>
                      </c:pt>
                      <c:pt idx="22">
                        <c:v>91.397027777996158</c:v>
                      </c:pt>
                      <c:pt idx="23">
                        <c:v>91.620821799843654</c:v>
                      </c:pt>
                      <c:pt idx="24">
                        <c:v>91.825259817860157</c:v>
                      </c:pt>
                      <c:pt idx="25">
                        <c:v>92.012528304606292</c:v>
                      </c:pt>
                      <c:pt idx="26">
                        <c:v>92.184494707575112</c:v>
                      </c:pt>
                      <c:pt idx="27">
                        <c:v>92.342763543128541</c:v>
                      </c:pt>
                      <c:pt idx="28">
                        <c:v>92.488721056209329</c:v>
                      </c:pt>
                      <c:pt idx="29">
                        <c:v>92.623571075677575</c:v>
                      </c:pt>
                      <c:pt idx="30">
                        <c:v>92.748364025841838</c:v>
                      </c:pt>
                      <c:pt idx="31">
                        <c:v>92.864020571185762</c:v>
                      </c:pt>
                      <c:pt idx="32">
                        <c:v>92.97135101788966</c:v>
                      </c:pt>
                      <c:pt idx="33">
                        <c:v>93.071071334709075</c:v>
                      </c:pt>
                      <c:pt idx="34">
                        <c:v>93.163816461036333</c:v>
                      </c:pt>
                      <c:pt idx="35">
                        <c:v>93.250151423336717</c:v>
                      </c:pt>
                      <c:pt idx="36">
                        <c:v>93.330580669770498</c:v>
                      </c:pt>
                      <c:pt idx="37">
                        <c:v>93.405555947512113</c:v>
                      </c:pt>
                      <c:pt idx="38">
                        <c:v>93.475482981446021</c:v>
                      </c:pt>
                      <c:pt idx="39">
                        <c:v>93.540727161739071</c:v>
                      </c:pt>
                      <c:pt idx="40">
                        <c:v>93.601618407726278</c:v>
                      </c:pt>
                      <c:pt idx="41">
                        <c:v>93.658455343981615</c:v>
                      </c:pt>
                      <c:pt idx="42">
                        <c:v>93.711508899419215</c:v>
                      </c:pt>
                      <c:pt idx="43">
                        <c:v>93.761025420314837</c:v>
                      </c:pt>
                      <c:pt idx="44">
                        <c:v>93.807229372132895</c:v>
                      </c:pt>
                      <c:pt idx="45">
                        <c:v>93.850325692143585</c:v>
                      </c:pt>
                      <c:pt idx="46">
                        <c:v>93.890501844360074</c:v>
                      </c:pt>
                      <c:pt idx="47">
                        <c:v>93.927929619814947</c:v>
                      </c:pt>
                      <c:pt idx="48">
                        <c:v>93.962766718232771</c:v>
                      </c:pt>
                      <c:pt idx="49">
                        <c:v>93.995158141436747</c:v>
                      </c:pt>
                      <c:pt idx="50">
                        <c:v>94.025237424108113</c:v>
                      </c:pt>
                      <c:pt idx="51">
                        <c:v>94.05312772360854</c:v>
                      </c:pt>
                      <c:pt idx="52">
                        <c:v>94.078942787325389</c:v>
                      </c:pt>
                      <c:pt idx="53">
                        <c:v>94.102787813286199</c:v>
                      </c:pt>
                      <c:pt idx="54">
                        <c:v>94.124760217516894</c:v>
                      </c:pt>
                      <c:pt idx="55">
                        <c:v>94.144950319707405</c:v>
                      </c:pt>
                      <c:pt idx="56">
                        <c:v>94.163441957137849</c:v>
                      </c:pt>
                      <c:pt idx="57">
                        <c:v>94.180313035455683</c:v>
                      </c:pt>
                      <c:pt idx="58">
                        <c:v>94.195636023737976</c:v>
                      </c:pt>
                      <c:pt idx="59">
                        <c:v>94.209478400288148</c:v>
                      </c:pt>
                      <c:pt idx="60">
                        <c:v>94.221903054777357</c:v>
                      </c:pt>
                      <c:pt idx="61">
                        <c:v>94.232968651621178</c:v>
                      </c:pt>
                      <c:pt idx="62">
                        <c:v>94.242729958865397</c:v>
                      </c:pt>
                      <c:pt idx="63">
                        <c:v>94.251238146324056</c:v>
                      </c:pt>
                      <c:pt idx="64">
                        <c:v>94.258541056255424</c:v>
                      </c:pt>
                      <c:pt idx="65">
                        <c:v>94.264683449464727</c:v>
                      </c:pt>
                      <c:pt idx="66">
                        <c:v>94.269707229381012</c:v>
                      </c:pt>
                      <c:pt idx="67">
                        <c:v>94.273651646356413</c:v>
                      </c:pt>
                      <c:pt idx="68">
                        <c:v>94.276553484177498</c:v>
                      </c:pt>
                      <c:pt idx="69">
                        <c:v>94.278447230552032</c:v>
                      </c:pt>
                      <c:pt idx="70">
                        <c:v>94.27936523313673</c:v>
                      </c:pt>
                      <c:pt idx="71">
                        <c:v>94.279337842498848</c:v>
                      </c:pt>
                      <c:pt idx="72">
                        <c:v>94.278393543252037</c:v>
                      </c:pt>
                      <c:pt idx="73">
                        <c:v>94.276559074473766</c:v>
                      </c:pt>
                      <c:pt idx="74">
                        <c:v>94.273859540393801</c:v>
                      </c:pt>
                      <c:pt idx="75">
                        <c:v>94.270318512239641</c:v>
                      </c:pt>
                      <c:pt idx="76">
                        <c:v>94.265958122032629</c:v>
                      </c:pt>
                      <c:pt idx="77">
                        <c:v>94.260799149047898</c:v>
                      </c:pt>
                      <c:pt idx="78">
                        <c:v>94.254861099578903</c:v>
                      </c:pt>
                      <c:pt idx="79">
                        <c:v>94.248162280583131</c:v>
                      </c:pt>
                      <c:pt idx="80">
                        <c:v>94.240719867729268</c:v>
                      </c:pt>
                      <c:pt idx="81">
                        <c:v>94.232549968314743</c:v>
                      </c:pt>
                      <c:pt idx="82">
                        <c:v>94.223667679477913</c:v>
                      </c:pt>
                      <c:pt idx="83">
                        <c:v>94.214087142088161</c:v>
                      </c:pt>
                      <c:pt idx="84">
                        <c:v>94.203821590661221</c:v>
                      </c:pt>
                      <c:pt idx="85">
                        <c:v>94.192883399615042</c:v>
                      </c:pt>
                      <c:pt idx="86">
                        <c:v>94.181284126151326</c:v>
                      </c:pt>
                      <c:pt idx="87">
                        <c:v>94.169034550023085</c:v>
                      </c:pt>
                      <c:pt idx="88">
                        <c:v>94.156144710423519</c:v>
                      </c:pt>
                      <c:pt idx="89">
                        <c:v>94.142623940211791</c:v>
                      </c:pt>
                      <c:pt idx="90">
                        <c:v>94.128480897670855</c:v>
                      </c:pt>
                      <c:pt idx="91">
                        <c:v>94.113723595976069</c:v>
                      </c:pt>
                      <c:pt idx="92">
                        <c:v>94.098359430537258</c:v>
                      </c:pt>
                      <c:pt idx="93">
                        <c:v>94.082395204362598</c:v>
                      </c:pt>
                      <c:pt idx="94">
                        <c:v>94.065837151580439</c:v>
                      </c:pt>
                      <c:pt idx="95">
                        <c:v>94.048690959242734</c:v>
                      </c:pt>
                      <c:pt idx="96">
                        <c:v>94.030961787523538</c:v>
                      </c:pt>
                      <c:pt idx="97">
                        <c:v>94.012654288416613</c:v>
                      </c:pt>
                      <c:pt idx="98">
                        <c:v>93.993772623026459</c:v>
                      </c:pt>
                      <c:pt idx="99">
                        <c:v>93.974320477540303</c:v>
                      </c:pt>
                      <c:pt idx="100">
                        <c:v>93.954301077959883</c:v>
                      </c:pt>
                    </c:numCache>
                  </c:numRef>
                </c:val>
                <c:smooth val="0"/>
                <c:extLst>
                  <c:ext xmlns:c16="http://schemas.microsoft.com/office/drawing/2014/chart" uri="{C3380CC4-5D6E-409C-BE32-E72D297353CC}">
                    <c16:uniqueId val="{00000005-8897-4E0E-B39C-97315E8CCE9C}"/>
                  </c:ext>
                </c:extLst>
              </c15:ser>
            </c15:filteredLineSeries>
          </c:ext>
        </c:extLst>
      </c:lineChart>
      <c:lineChart>
        <c:grouping val="standard"/>
        <c:varyColors val="0"/>
        <c:ser>
          <c:idx val="10"/>
          <c:order val="1"/>
          <c:tx>
            <c:strRef>
              <c:f>'Efficiency vs Load Calculations'!$BB$8</c:f>
              <c:strCache>
                <c:ptCount val="1"/>
                <c:pt idx="0">
                  <c:v>Reverse Recovery Loss MOSFET D BOOST</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Calculations'!$BB$9:$BB$109</c:f>
              <c:numCache>
                <c:formatCode>0.000</c:formatCode>
                <c:ptCount val="101"/>
                <c:pt idx="0">
                  <c:v>0</c:v>
                </c:pt>
                <c:pt idx="1">
                  <c:v>2.8319395200000004E-3</c:v>
                </c:pt>
                <c:pt idx="2">
                  <c:v>5.6637580800000011E-3</c:v>
                </c:pt>
                <c:pt idx="3">
                  <c:v>8.4954556799999997E-3</c:v>
                </c:pt>
                <c:pt idx="4">
                  <c:v>1.1327032320000001E-2</c:v>
                </c:pt>
                <c:pt idx="5">
                  <c:v>1.4158488000000002E-2</c:v>
                </c:pt>
                <c:pt idx="6">
                  <c:v>1.6989822720000002E-2</c:v>
                </c:pt>
                <c:pt idx="7">
                  <c:v>1.9821036480000002E-2</c:v>
                </c:pt>
                <c:pt idx="8">
                  <c:v>2.2652129280000002E-2</c:v>
                </c:pt>
                <c:pt idx="9">
                  <c:v>2.5483101120000001E-2</c:v>
                </c:pt>
                <c:pt idx="10">
                  <c:v>2.8313952000000003E-2</c:v>
                </c:pt>
                <c:pt idx="11">
                  <c:v>3.1144681920000007E-2</c:v>
                </c:pt>
                <c:pt idx="12">
                  <c:v>3.3975290880000002E-2</c:v>
                </c:pt>
                <c:pt idx="13">
                  <c:v>3.6805778880000001E-2</c:v>
                </c:pt>
                <c:pt idx="14">
                  <c:v>3.9636145920000004E-2</c:v>
                </c:pt>
                <c:pt idx="15">
                  <c:v>4.2466392000000006E-2</c:v>
                </c:pt>
                <c:pt idx="16">
                  <c:v>4.5296517120000004E-2</c:v>
                </c:pt>
                <c:pt idx="17">
                  <c:v>4.8126521280000008E-2</c:v>
                </c:pt>
                <c:pt idx="18">
                  <c:v>5.0956404480000002E-2</c:v>
                </c:pt>
                <c:pt idx="19">
                  <c:v>5.378616672E-2</c:v>
                </c:pt>
                <c:pt idx="20">
                  <c:v>5.6615808000000011E-2</c:v>
                </c:pt>
                <c:pt idx="21">
                  <c:v>5.9445328320000004E-2</c:v>
                </c:pt>
                <c:pt idx="22">
                  <c:v>6.227472768000001E-2</c:v>
                </c:pt>
                <c:pt idx="23">
                  <c:v>6.5104006079999999E-2</c:v>
                </c:pt>
                <c:pt idx="24">
                  <c:v>6.7933163520000006E-2</c:v>
                </c:pt>
                <c:pt idx="25">
                  <c:v>7.0762200000000025E-2</c:v>
                </c:pt>
                <c:pt idx="26">
                  <c:v>7.3591115520000014E-2</c:v>
                </c:pt>
                <c:pt idx="27">
                  <c:v>7.6419910080000014E-2</c:v>
                </c:pt>
                <c:pt idx="28">
                  <c:v>7.9248583679999998E-2</c:v>
                </c:pt>
                <c:pt idx="29">
                  <c:v>8.2077136320000008E-2</c:v>
                </c:pt>
                <c:pt idx="30">
                  <c:v>8.4905568000000015E-2</c:v>
                </c:pt>
                <c:pt idx="31">
                  <c:v>8.7733878720000019E-2</c:v>
                </c:pt>
                <c:pt idx="32">
                  <c:v>9.0562068480000008E-2</c:v>
                </c:pt>
                <c:pt idx="33">
                  <c:v>9.3390137279999993E-2</c:v>
                </c:pt>
                <c:pt idx="34">
                  <c:v>9.6218085120000005E-2</c:v>
                </c:pt>
                <c:pt idx="35">
                  <c:v>9.9045912000000014E-2</c:v>
                </c:pt>
                <c:pt idx="36">
                  <c:v>0.10187361792000001</c:v>
                </c:pt>
                <c:pt idx="37">
                  <c:v>0.10470120288000002</c:v>
                </c:pt>
                <c:pt idx="38">
                  <c:v>0.10752866688000001</c:v>
                </c:pt>
                <c:pt idx="39">
                  <c:v>0.11035600991999998</c:v>
                </c:pt>
                <c:pt idx="40">
                  <c:v>0.11318323200000001</c:v>
                </c:pt>
                <c:pt idx="41">
                  <c:v>0.11601033311999999</c:v>
                </c:pt>
                <c:pt idx="42">
                  <c:v>0.11883731328000001</c:v>
                </c:pt>
                <c:pt idx="43">
                  <c:v>0.12166417248000003</c:v>
                </c:pt>
                <c:pt idx="44">
                  <c:v>0.12449091072000001</c:v>
                </c:pt>
                <c:pt idx="45">
                  <c:v>0.12731752800000001</c:v>
                </c:pt>
                <c:pt idx="46">
                  <c:v>0.13014402432</c:v>
                </c:pt>
                <c:pt idx="47">
                  <c:v>0.13297039968000002</c:v>
                </c:pt>
                <c:pt idx="48">
                  <c:v>0.13579665408000002</c:v>
                </c:pt>
                <c:pt idx="49">
                  <c:v>0.13862278752000001</c:v>
                </c:pt>
                <c:pt idx="50">
                  <c:v>0.14144880000000001</c:v>
                </c:pt>
                <c:pt idx="51">
                  <c:v>0.14427469152000003</c:v>
                </c:pt>
                <c:pt idx="52">
                  <c:v>0.14710046207999999</c:v>
                </c:pt>
                <c:pt idx="53">
                  <c:v>0.14992611168</c:v>
                </c:pt>
                <c:pt idx="54">
                  <c:v>0.15275164032000005</c:v>
                </c:pt>
                <c:pt idx="55">
                  <c:v>0.15557704800000002</c:v>
                </c:pt>
                <c:pt idx="56">
                  <c:v>0.15840233471999998</c:v>
                </c:pt>
                <c:pt idx="57">
                  <c:v>0.16122750048000001</c:v>
                </c:pt>
                <c:pt idx="58">
                  <c:v>0.16405254528000002</c:v>
                </c:pt>
                <c:pt idx="59">
                  <c:v>0.16687746912000001</c:v>
                </c:pt>
                <c:pt idx="60">
                  <c:v>0.16970227200000004</c:v>
                </c:pt>
                <c:pt idx="61">
                  <c:v>0.17252695392000003</c:v>
                </c:pt>
                <c:pt idx="62">
                  <c:v>0.17535151488</c:v>
                </c:pt>
                <c:pt idx="63">
                  <c:v>0.17817595488000001</c:v>
                </c:pt>
                <c:pt idx="64">
                  <c:v>0.18100027392000001</c:v>
                </c:pt>
                <c:pt idx="65">
                  <c:v>0.18382447200000002</c:v>
                </c:pt>
                <c:pt idx="66">
                  <c:v>0.18664854912000001</c:v>
                </c:pt>
                <c:pt idx="67">
                  <c:v>0.18947250528000004</c:v>
                </c:pt>
                <c:pt idx="68">
                  <c:v>0.19229634048000002</c:v>
                </c:pt>
                <c:pt idx="69">
                  <c:v>0.19512005471999999</c:v>
                </c:pt>
                <c:pt idx="70">
                  <c:v>0.19794364800000003</c:v>
                </c:pt>
                <c:pt idx="71">
                  <c:v>0.20076712032000002</c:v>
                </c:pt>
                <c:pt idx="72">
                  <c:v>0.20359047168000002</c:v>
                </c:pt>
                <c:pt idx="73">
                  <c:v>0.20641370208000004</c:v>
                </c:pt>
                <c:pt idx="74">
                  <c:v>0.20923681152000001</c:v>
                </c:pt>
                <c:pt idx="75">
                  <c:v>0.21205979999999999</c:v>
                </c:pt>
                <c:pt idx="76">
                  <c:v>0.21488266752000001</c:v>
                </c:pt>
                <c:pt idx="77">
                  <c:v>0.21770541408000005</c:v>
                </c:pt>
                <c:pt idx="78">
                  <c:v>0.22052803967999998</c:v>
                </c:pt>
                <c:pt idx="79">
                  <c:v>0.22335054432000001</c:v>
                </c:pt>
                <c:pt idx="80">
                  <c:v>0.22617292800000002</c:v>
                </c:pt>
                <c:pt idx="81">
                  <c:v>0.22899519072000005</c:v>
                </c:pt>
                <c:pt idx="82">
                  <c:v>0.23181733247999997</c:v>
                </c:pt>
                <c:pt idx="83">
                  <c:v>0.23463935328000002</c:v>
                </c:pt>
                <c:pt idx="84">
                  <c:v>0.23746125312000005</c:v>
                </c:pt>
                <c:pt idx="85">
                  <c:v>0.24028303200000001</c:v>
                </c:pt>
                <c:pt idx="86">
                  <c:v>0.24310468992000003</c:v>
                </c:pt>
                <c:pt idx="87">
                  <c:v>0.24592622687999999</c:v>
                </c:pt>
                <c:pt idx="88">
                  <c:v>0.24874764288000006</c:v>
                </c:pt>
                <c:pt idx="89">
                  <c:v>0.25156893792000001</c:v>
                </c:pt>
                <c:pt idx="90">
                  <c:v>0.25439011200000006</c:v>
                </c:pt>
                <c:pt idx="91">
                  <c:v>0.25721116512000003</c:v>
                </c:pt>
                <c:pt idx="92">
                  <c:v>0.26003209727999999</c:v>
                </c:pt>
                <c:pt idx="93">
                  <c:v>0.26285290848000004</c:v>
                </c:pt>
                <c:pt idx="94">
                  <c:v>0.26567359872000001</c:v>
                </c:pt>
                <c:pt idx="95">
                  <c:v>0.26849416800000003</c:v>
                </c:pt>
                <c:pt idx="96">
                  <c:v>0.27131461632000003</c:v>
                </c:pt>
                <c:pt idx="97">
                  <c:v>0.27413494368000002</c:v>
                </c:pt>
                <c:pt idx="98">
                  <c:v>0.27695515007999999</c:v>
                </c:pt>
                <c:pt idx="99">
                  <c:v>0.27977523552000005</c:v>
                </c:pt>
                <c:pt idx="100">
                  <c:v>0.28259520000000005</c:v>
                </c:pt>
              </c:numCache>
            </c:numRef>
          </c:val>
          <c:smooth val="0"/>
          <c:extLst>
            <c:ext xmlns:c16="http://schemas.microsoft.com/office/drawing/2014/chart" uri="{C3380CC4-5D6E-409C-BE32-E72D297353CC}">
              <c16:uniqueId val="{00000000-8897-4E0E-B39C-97315E8CCE9C}"/>
            </c:ext>
          </c:extLst>
        </c:ser>
        <c:ser>
          <c:idx val="9"/>
          <c:order val="3"/>
          <c:tx>
            <c:strRef>
              <c:f>'Efficiency vs Load Calculations'!$AU$7</c:f>
              <c:strCache>
                <c:ptCount val="1"/>
                <c:pt idx="0">
                  <c:v>High-side BOOST "Sync"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Calculations'!$AX$9:$AX$109</c:f>
              <c:numCache>
                <c:formatCode>0.000</c:formatCode>
                <c:ptCount val="101"/>
                <c:pt idx="0">
                  <c:v>4.3288783558793047E-3</c:v>
                </c:pt>
                <c:pt idx="1">
                  <c:v>4.3902652679926515E-3</c:v>
                </c:pt>
                <c:pt idx="2">
                  <c:v>4.5728761650243007E-3</c:v>
                </c:pt>
                <c:pt idx="3">
                  <c:v>4.8767428922871009E-3</c:v>
                </c:pt>
                <c:pt idx="4">
                  <c:v>5.3019184500384779E-3</c:v>
                </c:pt>
                <c:pt idx="5">
                  <c:v>5.8484770165955335E-3</c:v>
                </c:pt>
                <c:pt idx="6">
                  <c:v>6.5165139806987252E-3</c:v>
                </c:pt>
                <c:pt idx="7">
                  <c:v>7.3061459831506815E-3</c:v>
                </c:pt>
                <c:pt idx="8">
                  <c:v>8.2175109677639132E-3</c:v>
                </c:pt>
                <c:pt idx="9">
                  <c:v>9.2507682416590881E-3</c:v>
                </c:pt>
                <c:pt idx="10">
                  <c:v>1.04060985449631E-2</c:v>
                </c:pt>
                <c:pt idx="11">
                  <c:v>1.1683704129963954E-2</c:v>
                </c:pt>
                <c:pt idx="12">
                  <c:v>1.3083808849787125E-2</c:v>
                </c:pt>
                <c:pt idx="13">
                  <c:v>1.4606658256666377E-2</c:v>
                </c:pt>
                <c:pt idx="14">
                  <c:v>1.6252519709889363E-2</c:v>
                </c:pt>
                <c:pt idx="15">
                  <c:v>1.8021682493507309E-2</c:v>
                </c:pt>
                <c:pt idx="16">
                  <c:v>1.9914457943905273E-2</c:v>
                </c:pt>
                <c:pt idx="17">
                  <c:v>2.1931179587338853E-2</c:v>
                </c:pt>
                <c:pt idx="18">
                  <c:v>2.4072203287550893E-2</c:v>
                </c:pt>
                <c:pt idx="19">
                  <c:v>2.6337907403590849E-2</c:v>
                </c:pt>
                <c:pt idx="20">
                  <c:v>2.8728692957968271E-2</c:v>
                </c:pt>
                <c:pt idx="21">
                  <c:v>3.1244983815280302E-2</c:v>
                </c:pt>
                <c:pt idx="22">
                  <c:v>3.3887226871463269E-2</c:v>
                </c:pt>
                <c:pt idx="23">
                  <c:v>3.6655892253826795E-2</c:v>
                </c:pt>
                <c:pt idx="24">
                  <c:v>3.9551473532039076E-2</c:v>
                </c:pt>
                <c:pt idx="25">
                  <c:v>4.257448794024149E-2</c:v>
                </c:pt>
                <c:pt idx="26">
                  <c:v>4.5725476610481222E-2</c:v>
                </c:pt>
                <c:pt idx="27">
                  <c:v>4.9005004817660097E-2</c:v>
                </c:pt>
                <c:pt idx="28">
                  <c:v>5.2413662236209253E-2</c:v>
                </c:pt>
                <c:pt idx="29">
                  <c:v>5.595206320870981E-2</c:v>
                </c:pt>
                <c:pt idx="30">
                  <c:v>5.9620847026690703E-2</c:v>
                </c:pt>
                <c:pt idx="31">
                  <c:v>6.3420678223846783E-2</c:v>
                </c:pt>
                <c:pt idx="32">
                  <c:v>6.7352246881931782E-2</c:v>
                </c:pt>
                <c:pt idx="33">
                  <c:v>7.1416268949593395E-2</c:v>
                </c:pt>
                <c:pt idx="34">
                  <c:v>7.5613486574429414E-2</c:v>
                </c:pt>
                <c:pt idx="35">
                  <c:v>7.9944668448558673E-2</c:v>
                </c:pt>
                <c:pt idx="36">
                  <c:v>8.4410610168011532E-2</c:v>
                </c:pt>
                <c:pt idx="37">
                  <c:v>8.9012134606260451E-2</c:v>
                </c:pt>
                <c:pt idx="38">
                  <c:v>9.3750092302225224E-2</c:v>
                </c:pt>
                <c:pt idx="39">
                  <c:v>9.862536186310103E-2</c:v>
                </c:pt>
                <c:pt idx="40">
                  <c:v>0.10363885038237433</c:v>
                </c:pt>
                <c:pt idx="41">
                  <c:v>0.10879149387340668</c:v>
                </c:pt>
                <c:pt idx="42">
                  <c:v>0.11408425771898377</c:v>
                </c:pt>
                <c:pt idx="43">
                  <c:v>0.11951813713724162</c:v>
                </c:pt>
                <c:pt idx="44">
                  <c:v>0.12509415766440404</c:v>
                </c:pt>
                <c:pt idx="45">
                  <c:v>0.13081337565477896</c:v>
                </c:pt>
                <c:pt idx="46">
                  <c:v>0.13667687879848356</c:v>
                </c:pt>
                <c:pt idx="47">
                  <c:v>0.14268578665738615</c:v>
                </c:pt>
                <c:pt idx="48">
                  <c:v>0.14884125121977401</c:v>
                </c:pt>
                <c:pt idx="49">
                  <c:v>0.15514445747427813</c:v>
                </c:pt>
                <c:pt idx="50">
                  <c:v>0.16159662400360622</c:v>
                </c:pt>
                <c:pt idx="51">
                  <c:v>0.16819900359866055</c:v>
                </c:pt>
                <c:pt idx="52">
                  <c:v>0.17495288389363967</c:v>
                </c:pt>
                <c:pt idx="53">
                  <c:v>0.18185958802274796</c:v>
                </c:pt>
                <c:pt idx="54">
                  <c:v>0.18892047529916475</c:v>
                </c:pt>
                <c:pt idx="55">
                  <c:v>0.19613694191694819</c:v>
                </c:pt>
                <c:pt idx="56">
                  <c:v>0.2035104216765822</c:v>
                </c:pt>
                <c:pt idx="57">
                  <c:v>0.21104238673489756</c:v>
                </c:pt>
                <c:pt idx="58">
                  <c:v>0.21873434838013689</c:v>
                </c:pt>
                <c:pt idx="59">
                  <c:v>0.22658785783295707</c:v>
                </c:pt>
                <c:pt idx="60">
                  <c:v>0.23460450707420144</c:v>
                </c:pt>
                <c:pt idx="61">
                  <c:v>0.24278592970030605</c:v>
                </c:pt>
                <c:pt idx="62">
                  <c:v>0.25113380180724221</c:v>
                </c:pt>
                <c:pt idx="63">
                  <c:v>0.25964984290393328</c:v>
                </c:pt>
                <c:pt idx="64">
                  <c:v>0.26833581685612473</c:v>
                </c:pt>
                <c:pt idx="65">
                  <c:v>0.27719353286172699</c:v>
                </c:pt>
                <c:pt idx="66">
                  <c:v>0.28622484645869362</c:v>
                </c:pt>
                <c:pt idx="67">
                  <c:v>0.2954316605665438</c:v>
                </c:pt>
                <c:pt idx="68">
                  <c:v>0.30481592656268064</c:v>
                </c:pt>
                <c:pt idx="69">
                  <c:v>0.31437964539471308</c:v>
                </c:pt>
                <c:pt idx="70">
                  <c:v>0.32412486873003443</c:v>
                </c:pt>
                <c:pt idx="71">
                  <c:v>0.33405370014396463</c:v>
                </c:pt>
                <c:pt idx="72">
                  <c:v>0.34416829634782881</c:v>
                </c:pt>
                <c:pt idx="73">
                  <c:v>0.3544708684583861</c:v>
                </c:pt>
                <c:pt idx="74">
                  <c:v>0.36496368331010531</c:v>
                </c:pt>
                <c:pt idx="75">
                  <c:v>0.3756490648118298</c:v>
                </c:pt>
                <c:pt idx="76">
                  <c:v>0.38652939534945513</c:v>
                </c:pt>
                <c:pt idx="77">
                  <c:v>0.39760711723630887</c:v>
                </c:pt>
                <c:pt idx="78">
                  <c:v>0.40888473421299304</c:v>
                </c:pt>
                <c:pt idx="79">
                  <c:v>0.42036481299853501</c:v>
                </c:pt>
                <c:pt idx="80">
                  <c:v>0.43204998489476987</c:v>
                </c:pt>
                <c:pt idx="81">
                  <c:v>0.44394294744596413</c:v>
                </c:pt>
                <c:pt idx="82">
                  <c:v>0.45604646615577998</c:v>
                </c:pt>
                <c:pt idx="83">
                  <c:v>0.46836337626377766</c:v>
                </c:pt>
                <c:pt idx="84">
                  <c:v>0.48089658458374707</c:v>
                </c:pt>
                <c:pt idx="85">
                  <c:v>0.49364907140627085</c:v>
                </c:pt>
                <c:pt idx="86">
                  <c:v>0.50662389246802675</c:v>
                </c:pt>
                <c:pt idx="87">
                  <c:v>0.51982418099044903</c:v>
                </c:pt>
                <c:pt idx="88">
                  <c:v>0.53325314979050387</c:v>
                </c:pt>
                <c:pt idx="89">
                  <c:v>0.54691409346644149</c:v>
                </c:pt>
                <c:pt idx="90">
                  <c:v>0.56081039066154037</c:v>
                </c:pt>
                <c:pt idx="91">
                  <c:v>0.57494550640898645</c:v>
                </c:pt>
                <c:pt idx="92">
                  <c:v>0.58932299456119053</c:v>
                </c:pt>
                <c:pt idx="93">
                  <c:v>0.60394650030699137</c:v>
                </c:pt>
                <c:pt idx="94">
                  <c:v>0.6188197627803691</c:v>
                </c:pt>
                <c:pt idx="95">
                  <c:v>0.63394661776445993</c:v>
                </c:pt>
                <c:pt idx="96">
                  <c:v>0.64933100049484482</c:v>
                </c:pt>
                <c:pt idx="97">
                  <c:v>0.66497694856629019</c:v>
                </c:pt>
                <c:pt idx="98">
                  <c:v>0.68088860494730019</c:v>
                </c:pt>
                <c:pt idx="99">
                  <c:v>0.69707022110708439</c:v>
                </c:pt>
                <c:pt idx="100">
                  <c:v>0.71352616025973947</c:v>
                </c:pt>
              </c:numCache>
            </c:numRef>
          </c:val>
          <c:smooth val="0"/>
          <c:extLst>
            <c:ext xmlns:c16="http://schemas.microsoft.com/office/drawing/2014/chart" uri="{C3380CC4-5D6E-409C-BE32-E72D297353CC}">
              <c16:uniqueId val="{00000001-8897-4E0E-B39C-97315E8CCE9C}"/>
            </c:ext>
          </c:extLst>
        </c:ser>
        <c:ser>
          <c:idx val="8"/>
          <c:order val="4"/>
          <c:tx>
            <c:strRef>
              <c:f>'Efficiency vs Load Calculations'!$AP$7</c:f>
              <c:strCache>
                <c:ptCount val="1"/>
                <c:pt idx="0">
                  <c:v>Low-side BOOST "Control"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Calculations'!$AT$9:$AT$109</c:f>
              <c:numCache>
                <c:formatCode>0.000</c:formatCode>
                <c:ptCount val="101"/>
                <c:pt idx="0">
                  <c:v>0</c:v>
                </c:pt>
                <c:pt idx="1">
                  <c:v>4.3902652679926515E-3</c:v>
                </c:pt>
                <c:pt idx="2">
                  <c:v>4.5728761650243007E-3</c:v>
                </c:pt>
                <c:pt idx="3">
                  <c:v>4.8767428922871009E-3</c:v>
                </c:pt>
                <c:pt idx="4">
                  <c:v>5.3019184500384779E-3</c:v>
                </c:pt>
                <c:pt idx="5">
                  <c:v>5.8484770165955335E-3</c:v>
                </c:pt>
                <c:pt idx="6">
                  <c:v>6.5165139806987252E-3</c:v>
                </c:pt>
                <c:pt idx="7">
                  <c:v>7.3061459831506815E-3</c:v>
                </c:pt>
                <c:pt idx="8">
                  <c:v>8.2175109677639132E-3</c:v>
                </c:pt>
                <c:pt idx="9">
                  <c:v>9.2507682416590881E-3</c:v>
                </c:pt>
                <c:pt idx="10">
                  <c:v>1.04060985449631E-2</c:v>
                </c:pt>
                <c:pt idx="11">
                  <c:v>1.1683704129963954E-2</c:v>
                </c:pt>
                <c:pt idx="12">
                  <c:v>1.3083808849787125E-2</c:v>
                </c:pt>
                <c:pt idx="13">
                  <c:v>1.4606658256666377E-2</c:v>
                </c:pt>
                <c:pt idx="14">
                  <c:v>1.6252519709889363E-2</c:v>
                </c:pt>
                <c:pt idx="15">
                  <c:v>1.8021682493507309E-2</c:v>
                </c:pt>
                <c:pt idx="16">
                  <c:v>1.9914457943905273E-2</c:v>
                </c:pt>
                <c:pt idx="17">
                  <c:v>2.1931179587338853E-2</c:v>
                </c:pt>
                <c:pt idx="18">
                  <c:v>2.4072203287550893E-2</c:v>
                </c:pt>
                <c:pt idx="19">
                  <c:v>2.6337907403590849E-2</c:v>
                </c:pt>
                <c:pt idx="20">
                  <c:v>2.8728692957968271E-2</c:v>
                </c:pt>
                <c:pt idx="21">
                  <c:v>3.1244983815280302E-2</c:v>
                </c:pt>
                <c:pt idx="22">
                  <c:v>3.3887226871463269E-2</c:v>
                </c:pt>
                <c:pt idx="23">
                  <c:v>3.6655892253826795E-2</c:v>
                </c:pt>
                <c:pt idx="24">
                  <c:v>3.9551473532039076E-2</c:v>
                </c:pt>
                <c:pt idx="25">
                  <c:v>4.257448794024149E-2</c:v>
                </c:pt>
                <c:pt idx="26">
                  <c:v>4.5725476610481222E-2</c:v>
                </c:pt>
                <c:pt idx="27">
                  <c:v>4.9005004817660097E-2</c:v>
                </c:pt>
                <c:pt idx="28">
                  <c:v>5.2413662236209253E-2</c:v>
                </c:pt>
                <c:pt idx="29">
                  <c:v>5.595206320870981E-2</c:v>
                </c:pt>
                <c:pt idx="30">
                  <c:v>5.9620847026690703E-2</c:v>
                </c:pt>
                <c:pt idx="31">
                  <c:v>6.3420678223846783E-2</c:v>
                </c:pt>
                <c:pt idx="32">
                  <c:v>6.7352246881931782E-2</c:v>
                </c:pt>
                <c:pt idx="33">
                  <c:v>7.1416268949593395E-2</c:v>
                </c:pt>
                <c:pt idx="34">
                  <c:v>7.5613486574429414E-2</c:v>
                </c:pt>
                <c:pt idx="35">
                  <c:v>7.9944668448558673E-2</c:v>
                </c:pt>
                <c:pt idx="36">
                  <c:v>8.4410610168011532E-2</c:v>
                </c:pt>
                <c:pt idx="37">
                  <c:v>8.9012134606260451E-2</c:v>
                </c:pt>
                <c:pt idx="38">
                  <c:v>9.3750092302225224E-2</c:v>
                </c:pt>
                <c:pt idx="39">
                  <c:v>9.862536186310103E-2</c:v>
                </c:pt>
                <c:pt idx="40">
                  <c:v>0.10363885038237433</c:v>
                </c:pt>
                <c:pt idx="41">
                  <c:v>0.10879149387340668</c:v>
                </c:pt>
                <c:pt idx="42">
                  <c:v>0.11408425771898377</c:v>
                </c:pt>
                <c:pt idx="43">
                  <c:v>0.11951813713724162</c:v>
                </c:pt>
                <c:pt idx="44">
                  <c:v>0.12509415766440404</c:v>
                </c:pt>
                <c:pt idx="45">
                  <c:v>0.13081337565477896</c:v>
                </c:pt>
                <c:pt idx="46">
                  <c:v>0.13667687879848356</c:v>
                </c:pt>
                <c:pt idx="47">
                  <c:v>0.14268578665738615</c:v>
                </c:pt>
                <c:pt idx="48">
                  <c:v>0.14884125121977401</c:v>
                </c:pt>
                <c:pt idx="49">
                  <c:v>0.15514445747427813</c:v>
                </c:pt>
                <c:pt idx="50">
                  <c:v>0.16159662400360622</c:v>
                </c:pt>
                <c:pt idx="51">
                  <c:v>0.16819900359866055</c:v>
                </c:pt>
                <c:pt idx="52">
                  <c:v>0.17495288389363967</c:v>
                </c:pt>
                <c:pt idx="53">
                  <c:v>0.18185958802274796</c:v>
                </c:pt>
                <c:pt idx="54">
                  <c:v>0.18892047529916475</c:v>
                </c:pt>
                <c:pt idx="55">
                  <c:v>0.19613694191694819</c:v>
                </c:pt>
                <c:pt idx="56">
                  <c:v>0.2035104216765822</c:v>
                </c:pt>
                <c:pt idx="57">
                  <c:v>0.21104238673489756</c:v>
                </c:pt>
                <c:pt idx="58">
                  <c:v>0.21873434838013689</c:v>
                </c:pt>
                <c:pt idx="59">
                  <c:v>0.22658785783295707</c:v>
                </c:pt>
                <c:pt idx="60">
                  <c:v>0.23460450707420144</c:v>
                </c:pt>
                <c:pt idx="61">
                  <c:v>0.24278592970030605</c:v>
                </c:pt>
                <c:pt idx="62">
                  <c:v>0.25113380180724221</c:v>
                </c:pt>
                <c:pt idx="63">
                  <c:v>0.25964984290393328</c:v>
                </c:pt>
                <c:pt idx="64">
                  <c:v>0.26833581685612473</c:v>
                </c:pt>
                <c:pt idx="65">
                  <c:v>0.27719353286172699</c:v>
                </c:pt>
                <c:pt idx="66">
                  <c:v>0.28622484645869362</c:v>
                </c:pt>
                <c:pt idx="67">
                  <c:v>0.2954316605665438</c:v>
                </c:pt>
                <c:pt idx="68">
                  <c:v>0.30481592656268064</c:v>
                </c:pt>
                <c:pt idx="69">
                  <c:v>0.31437964539471308</c:v>
                </c:pt>
                <c:pt idx="70">
                  <c:v>0.32412486873003443</c:v>
                </c:pt>
                <c:pt idx="71">
                  <c:v>0.33405370014396463</c:v>
                </c:pt>
                <c:pt idx="72">
                  <c:v>0.34416829634782881</c:v>
                </c:pt>
                <c:pt idx="73">
                  <c:v>0.3544708684583861</c:v>
                </c:pt>
                <c:pt idx="74">
                  <c:v>0.36496368331010531</c:v>
                </c:pt>
                <c:pt idx="75">
                  <c:v>0.3756490648118298</c:v>
                </c:pt>
                <c:pt idx="76">
                  <c:v>0.38652939534945513</c:v>
                </c:pt>
                <c:pt idx="77">
                  <c:v>0.39760711723630887</c:v>
                </c:pt>
                <c:pt idx="78">
                  <c:v>0.40888473421299304</c:v>
                </c:pt>
                <c:pt idx="79">
                  <c:v>0.42036481299853501</c:v>
                </c:pt>
                <c:pt idx="80">
                  <c:v>0.43204998489476987</c:v>
                </c:pt>
                <c:pt idx="81">
                  <c:v>0.44394294744596413</c:v>
                </c:pt>
                <c:pt idx="82">
                  <c:v>0.45604646615577998</c:v>
                </c:pt>
                <c:pt idx="83">
                  <c:v>0.46836337626377766</c:v>
                </c:pt>
                <c:pt idx="84">
                  <c:v>0.48089658458374707</c:v>
                </c:pt>
                <c:pt idx="85">
                  <c:v>0.49364907140627085</c:v>
                </c:pt>
                <c:pt idx="86">
                  <c:v>0.50662389246802675</c:v>
                </c:pt>
                <c:pt idx="87">
                  <c:v>0.51982418099044903</c:v>
                </c:pt>
                <c:pt idx="88">
                  <c:v>0.53325314979050387</c:v>
                </c:pt>
                <c:pt idx="89">
                  <c:v>0.54691409346644149</c:v>
                </c:pt>
                <c:pt idx="90">
                  <c:v>0.56081039066154037</c:v>
                </c:pt>
                <c:pt idx="91">
                  <c:v>0.57494550640898645</c:v>
                </c:pt>
                <c:pt idx="92">
                  <c:v>0.58932299456119053</c:v>
                </c:pt>
                <c:pt idx="93">
                  <c:v>0.60394650030699137</c:v>
                </c:pt>
                <c:pt idx="94">
                  <c:v>0.6188197627803691</c:v>
                </c:pt>
                <c:pt idx="95">
                  <c:v>0.63394661776445993</c:v>
                </c:pt>
                <c:pt idx="96">
                  <c:v>0.64933100049484482</c:v>
                </c:pt>
                <c:pt idx="97">
                  <c:v>0.66497694856629019</c:v>
                </c:pt>
                <c:pt idx="98">
                  <c:v>0.68088860494730019</c:v>
                </c:pt>
                <c:pt idx="99">
                  <c:v>0.69707022110708439</c:v>
                </c:pt>
                <c:pt idx="100">
                  <c:v>0.71352616025973947</c:v>
                </c:pt>
              </c:numCache>
            </c:numRef>
          </c:val>
          <c:smooth val="0"/>
          <c:extLst>
            <c:ext xmlns:c16="http://schemas.microsoft.com/office/drawing/2014/chart" uri="{C3380CC4-5D6E-409C-BE32-E72D297353CC}">
              <c16:uniqueId val="{00000002-8897-4E0E-B39C-97315E8CCE9C}"/>
            </c:ext>
          </c:extLst>
        </c:ser>
        <c:ser>
          <c:idx val="7"/>
          <c:order val="5"/>
          <c:tx>
            <c:strRef>
              <c:f>'Efficiency vs Load Calculations'!$AL$7</c:f>
              <c:strCache>
                <c:ptCount val="1"/>
                <c:pt idx="0">
                  <c:v>Low-side BUCK "Sync"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Calculations'!$AO$9:$AO$109</c:f>
              <c:numCache>
                <c:formatCode>0.000</c:formatCode>
                <c:ptCount val="101"/>
                <c:pt idx="0">
                  <c:v>4.3947230618573384E-2</c:v>
                </c:pt>
                <c:pt idx="1">
                  <c:v>4.9609230816979245E-2</c:v>
                </c:pt>
                <c:pt idx="2">
                  <c:v>5.2687657336599185E-2</c:v>
                </c:pt>
                <c:pt idx="3">
                  <c:v>5.5889075760337845E-2</c:v>
                </c:pt>
                <c:pt idx="4">
                  <c:v>5.9213792140370196E-2</c:v>
                </c:pt>
                <c:pt idx="5">
                  <c:v>6.2662134142355566E-2</c:v>
                </c:pt>
                <c:pt idx="6">
                  <c:v>6.6234451151726867E-2</c:v>
                </c:pt>
                <c:pt idx="7">
                  <c:v>6.9931114389528759E-2</c:v>
                </c:pt>
                <c:pt idx="8">
                  <c:v>7.3752517037884033E-2</c:v>
                </c:pt>
                <c:pt idx="9">
                  <c:v>7.7699074375176133E-2</c:v>
                </c:pt>
                <c:pt idx="10">
                  <c:v>8.1771223921042857E-2</c:v>
                </c:pt>
                <c:pt idx="11">
                  <c:v>8.5969425591285203E-2</c:v>
                </c:pt>
                <c:pt idx="12">
                  <c:v>9.0294161862803021E-2</c:v>
                </c:pt>
                <c:pt idx="13">
                  <c:v>9.4745937948678152E-2</c:v>
                </c:pt>
                <c:pt idx="14">
                  <c:v>9.9325281983533506E-2</c:v>
                </c:pt>
                <c:pt idx="15">
                  <c:v>0.10500198414361692</c:v>
                </c:pt>
                <c:pt idx="16">
                  <c:v>0.1127354112141741</c:v>
                </c:pt>
                <c:pt idx="17">
                  <c:v>0.12060094985321654</c:v>
                </c:pt>
                <c:pt idx="18">
                  <c:v>0.12859948005413105</c:v>
                </c:pt>
                <c:pt idx="19">
                  <c:v>0.13673190687033987</c:v>
                </c:pt>
                <c:pt idx="20">
                  <c:v>0.14499916074397232</c:v>
                </c:pt>
                <c:pt idx="21">
                  <c:v>0.15340219784671272</c:v>
                </c:pt>
                <c:pt idx="22">
                  <c:v>0.1619420004330821</c:v>
                </c:pt>
                <c:pt idx="23">
                  <c:v>0.17061957720641896</c:v>
                </c:pt>
                <c:pt idx="24">
                  <c:v>0.17943596369783912</c:v>
                </c:pt>
                <c:pt idx="25">
                  <c:v>0.18839222265846389</c:v>
                </c:pt>
                <c:pt idx="26">
                  <c:v>0.19748944446522135</c:v>
                </c:pt>
                <c:pt idx="27">
                  <c:v>0.20672874754053502</c:v>
                </c:pt>
                <c:pt idx="28">
                  <c:v>0.21611127878623032</c:v>
                </c:pt>
                <c:pt idx="29">
                  <c:v>0.22563821403200077</c:v>
                </c:pt>
                <c:pt idx="30">
                  <c:v>0.23531075849879088</c:v>
                </c:pt>
                <c:pt idx="31">
                  <c:v>0.24513014727746776</c:v>
                </c:pt>
                <c:pt idx="32">
                  <c:v>0.25509764582316713</c:v>
                </c:pt>
                <c:pt idx="33">
                  <c:v>0.2652145504657169</c:v>
                </c:pt>
                <c:pt idx="34">
                  <c:v>0.27548218893655513</c:v>
                </c:pt>
                <c:pt idx="35">
                  <c:v>0.28590192091257904</c:v>
                </c:pt>
                <c:pt idx="36">
                  <c:v>0.29647513857737662</c:v>
                </c:pt>
                <c:pt idx="37">
                  <c:v>0.30720326720031044</c:v>
                </c:pt>
                <c:pt idx="38">
                  <c:v>0.31808776573394504</c:v>
                </c:pt>
                <c:pt idx="39">
                  <c:v>0.32913012743032288</c:v>
                </c:pt>
                <c:pt idx="40">
                  <c:v>0.34033188047661989</c:v>
                </c:pt>
                <c:pt idx="41">
                  <c:v>0.35169458865072867</c:v>
                </c:pt>
                <c:pt idx="42">
                  <c:v>0.36321985199734119</c:v>
                </c:pt>
                <c:pt idx="43">
                  <c:v>0.37490930752512164</c:v>
                </c:pt>
                <c:pt idx="44">
                  <c:v>0.38676462992558946</c:v>
                </c:pt>
                <c:pt idx="45">
                  <c:v>0.39878753231435127</c:v>
                </c:pt>
                <c:pt idx="46">
                  <c:v>0.41097976699534861</c:v>
                </c:pt>
                <c:pt idx="47">
                  <c:v>0.42334312624881282</c:v>
                </c:pt>
                <c:pt idx="48">
                  <c:v>0.4358794431436479</c:v>
                </c:pt>
                <c:pt idx="49">
                  <c:v>0.44859059237498927</c:v>
                </c:pt>
                <c:pt idx="50">
                  <c:v>0.46147849112771433</c:v>
                </c:pt>
                <c:pt idx="51">
                  <c:v>0.47454509996671607</c:v>
                </c:pt>
                <c:pt idx="52">
                  <c:v>0.48779242375477655</c:v>
                </c:pt>
                <c:pt idx="53">
                  <c:v>0.5012225125989177</c:v>
                </c:pt>
                <c:pt idx="54">
                  <c:v>0.51483746282613563</c:v>
                </c:pt>
                <c:pt idx="55">
                  <c:v>0.5286394179894629</c:v>
                </c:pt>
                <c:pt idx="56">
                  <c:v>0.54263056990534519</c:v>
                </c:pt>
                <c:pt idx="57">
                  <c:v>0.55681315972334866</c:v>
                </c:pt>
                <c:pt idx="58">
                  <c:v>0.57118947902926709</c:v>
                </c:pt>
                <c:pt idx="59">
                  <c:v>0.58576187098273191</c:v>
                </c:pt>
                <c:pt idx="60">
                  <c:v>0.60053273149047526</c:v>
                </c:pt>
                <c:pt idx="61">
                  <c:v>0.61550451041644849</c:v>
                </c:pt>
                <c:pt idx="62">
                  <c:v>0.63067971283003676</c:v>
                </c:pt>
                <c:pt idx="63">
                  <c:v>0.6460609002936728</c:v>
                </c:pt>
                <c:pt idx="64">
                  <c:v>0.66165069219119865</c:v>
                </c:pt>
                <c:pt idx="65">
                  <c:v>0.67745176709838084</c:v>
                </c:pt>
                <c:pt idx="66">
                  <c:v>0.69346686419704751</c:v>
                </c:pt>
                <c:pt idx="67">
                  <c:v>0.70969878473437176</c:v>
                </c:pt>
                <c:pt idx="68">
                  <c:v>0.72615039352888966</c:v>
                </c:pt>
                <c:pt idx="69">
                  <c:v>0.74282462052491249</c:v>
                </c:pt>
                <c:pt idx="70">
                  <c:v>0.75972446239705782</c:v>
                </c:pt>
                <c:pt idx="71">
                  <c:v>0.77685298420669524</c:v>
                </c:pt>
                <c:pt idx="72">
                  <c:v>0.79421332111219312</c:v>
                </c:pt>
                <c:pt idx="73">
                  <c:v>0.81180868013490604</c:v>
                </c:pt>
                <c:pt idx="74">
                  <c:v>0.82964234198296005</c:v>
                </c:pt>
                <c:pt idx="75">
                  <c:v>0.8477176629349481</c:v>
                </c:pt>
                <c:pt idx="76">
                  <c:v>0.86603807678576528</c:v>
                </c:pt>
                <c:pt idx="77">
                  <c:v>0.88460709685689676</c:v>
                </c:pt>
                <c:pt idx="78">
                  <c:v>0.90342831807357404</c:v>
                </c:pt>
                <c:pt idx="79">
                  <c:v>0.92250541911132655</c:v>
                </c:pt>
                <c:pt idx="80">
                  <c:v>0.9418421646145605</c:v>
                </c:pt>
                <c:pt idx="81">
                  <c:v>0.96144240748992049</c:v>
                </c:pt>
                <c:pt idx="82">
                  <c:v>0.98131009127730451</c:v>
                </c:pt>
                <c:pt idx="83">
                  <c:v>1.0014492526015393</c:v>
                </c:pt>
                <c:pt idx="84">
                  <c:v>1.0218640237078529</c:v>
                </c:pt>
                <c:pt idx="85">
                  <c:v>1.0425586350844278</c:v>
                </c:pt>
                <c:pt idx="86">
                  <c:v>1.0635374181754649</c:v>
                </c:pt>
                <c:pt idx="87">
                  <c:v>1.0848048081883406</c:v>
                </c:pt>
                <c:pt idx="88">
                  <c:v>1.1063653469986219</c:v>
                </c:pt>
                <c:pt idx="89">
                  <c:v>1.128223686156854</c:v>
                </c:pt>
                <c:pt idx="90">
                  <c:v>1.1503845900012404</c:v>
                </c:pt>
                <c:pt idx="91">
                  <c:v>1.1728529388805065</c:v>
                </c:pt>
                <c:pt idx="92">
                  <c:v>1.1956337324914657</c:v>
                </c:pt>
                <c:pt idx="93">
                  <c:v>1.2187320933359929</c:v>
                </c:pt>
                <c:pt idx="94">
                  <c:v>1.2421532703023559</c:v>
                </c:pt>
                <c:pt idx="95">
                  <c:v>1.2659026423760829</c:v>
                </c:pt>
                <c:pt idx="96">
                  <c:v>1.2899857224857922</c:v>
                </c:pt>
                <c:pt idx="97">
                  <c:v>1.3144081614896872</c:v>
                </c:pt>
                <c:pt idx="98">
                  <c:v>1.3391757523086685</c:v>
                </c:pt>
                <c:pt idx="99">
                  <c:v>1.364294434212346</c:v>
                </c:pt>
                <c:pt idx="100">
                  <c:v>1.3897702972645085</c:v>
                </c:pt>
              </c:numCache>
            </c:numRef>
          </c:val>
          <c:smooth val="0"/>
          <c:extLst>
            <c:ext xmlns:c16="http://schemas.microsoft.com/office/drawing/2014/chart" uri="{C3380CC4-5D6E-409C-BE32-E72D297353CC}">
              <c16:uniqueId val="{00000003-8897-4E0E-B39C-97315E8CCE9C}"/>
            </c:ext>
          </c:extLst>
        </c:ser>
        <c:ser>
          <c:idx val="4"/>
          <c:order val="8"/>
          <c:tx>
            <c:strRef>
              <c:f>'Efficiency vs Load Calculations'!$AG$7</c:f>
              <c:strCache>
                <c:ptCount val="1"/>
                <c:pt idx="0">
                  <c:v>High-side BUCK "Control" MOSFET Losses </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Calculations'!$AK$9:$AK$109</c:f>
              <c:numCache>
                <c:formatCode>0.000</c:formatCode>
                <c:ptCount val="101"/>
                <c:pt idx="0">
                  <c:v>4.4984845120413425E-2</c:v>
                </c:pt>
                <c:pt idx="1">
                  <c:v>7.1942174356351016E-2</c:v>
                </c:pt>
                <c:pt idx="2">
                  <c:v>9.735549990955901E-2</c:v>
                </c:pt>
                <c:pt idx="3">
                  <c:v>0.12289572056859287</c:v>
                </c:pt>
                <c:pt idx="4">
                  <c:v>0.14856509122822803</c:v>
                </c:pt>
                <c:pt idx="5">
                  <c:v>0.17436589009879877</c:v>
                </c:pt>
                <c:pt idx="6">
                  <c:v>0.20030041938049167</c:v>
                </c:pt>
                <c:pt idx="7">
                  <c:v>0.22637100594857551</c:v>
                </c:pt>
                <c:pt idx="8">
                  <c:v>0.25258000204999587</c:v>
                </c:pt>
                <c:pt idx="9">
                  <c:v>0.27892978601177321</c:v>
                </c:pt>
                <c:pt idx="10">
                  <c:v>0.30542276296165222</c:v>
                </c:pt>
                <c:pt idx="11">
                  <c:v>0.33206136556146282</c:v>
                </c:pt>
                <c:pt idx="12">
                  <c:v>0.35884805475366205</c:v>
                </c:pt>
                <c:pt idx="13">
                  <c:v>0.38578532052154113</c:v>
                </c:pt>
                <c:pt idx="14">
                  <c:v>0.41287568266358915</c:v>
                </c:pt>
                <c:pt idx="15">
                  <c:v>0.44109093050683484</c:v>
                </c:pt>
                <c:pt idx="16">
                  <c:v>0.47139243807210307</c:v>
                </c:pt>
                <c:pt idx="17">
                  <c:v>0.50185760794067213</c:v>
                </c:pt>
                <c:pt idx="18">
                  <c:v>0.53248934532516168</c:v>
                </c:pt>
                <c:pt idx="19">
                  <c:v>0.56329059040825291</c:v>
                </c:pt>
                <c:pt idx="20">
                  <c:v>0.59426431929159529</c:v>
                </c:pt>
                <c:pt idx="21">
                  <c:v>0.62541354496347079</c:v>
                </c:pt>
                <c:pt idx="22">
                  <c:v>0.65674131828588111</c:v>
                </c:pt>
                <c:pt idx="23">
                  <c:v>0.68825072900174078</c:v>
                </c:pt>
                <c:pt idx="24">
                  <c:v>0.71994490676288536</c:v>
                </c:pt>
                <c:pt idx="25">
                  <c:v>0.75182702217961306</c:v>
                </c:pt>
                <c:pt idx="26">
                  <c:v>0.78390028789251121</c:v>
                </c:pt>
                <c:pt idx="27">
                  <c:v>0.81616795966733602</c:v>
                </c:pt>
                <c:pt idx="28">
                  <c:v>0.84863333751373438</c:v>
                </c:pt>
                <c:pt idx="29">
                  <c:v>0.88129976682862843</c:v>
                </c:pt>
                <c:pt idx="30">
                  <c:v>0.91417063956510092</c:v>
                </c:pt>
                <c:pt idx="31">
                  <c:v>0.94724939542765241</c:v>
                </c:pt>
                <c:pt idx="32">
                  <c:v>0.98053952309472381</c:v>
                </c:pt>
                <c:pt idx="33">
                  <c:v>1.0140445614694114</c:v>
                </c:pt>
                <c:pt idx="34">
                  <c:v>1.0477681009593236</c:v>
                </c:pt>
                <c:pt idx="35">
                  <c:v>1.0817137847865717</c:v>
                </c:pt>
                <c:pt idx="36">
                  <c:v>1.1158853103289061</c:v>
                </c:pt>
                <c:pt idx="37">
                  <c:v>1.150286430493054</c:v>
                </c:pt>
                <c:pt idx="38">
                  <c:v>1.184920955121342</c:v>
                </c:pt>
                <c:pt idx="39">
                  <c:v>1.2197927524327334</c:v>
                </c:pt>
                <c:pt idx="40">
                  <c:v>1.2549057504994328</c:v>
                </c:pt>
                <c:pt idx="41">
                  <c:v>1.2902639387602672</c:v>
                </c:pt>
                <c:pt idx="42">
                  <c:v>1.3258713695720881</c:v>
                </c:pt>
                <c:pt idx="43">
                  <c:v>1.361732159800473</c:v>
                </c:pt>
                <c:pt idx="44">
                  <c:v>1.3978504924510686</c:v>
                </c:pt>
                <c:pt idx="45">
                  <c:v>1.4342306183429459</c:v>
                </c:pt>
                <c:pt idx="46">
                  <c:v>1.4708768578254048</c:v>
                </c:pt>
                <c:pt idx="47">
                  <c:v>1.5077936025397003</c:v>
                </c:pt>
                <c:pt idx="48">
                  <c:v>1.5449853172272232</c:v>
                </c:pt>
                <c:pt idx="49">
                  <c:v>1.5824565415857368</c:v>
                </c:pt>
                <c:pt idx="50">
                  <c:v>1.6202118921752953</c:v>
                </c:pt>
                <c:pt idx="51">
                  <c:v>1.6582560643755733</c:v>
                </c:pt>
                <c:pt idx="52">
                  <c:v>1.6965938343963649</c:v>
                </c:pt>
                <c:pt idx="53">
                  <c:v>1.7352300613430929</c:v>
                </c:pt>
                <c:pt idx="54">
                  <c:v>1.7741696893392362</c:v>
                </c:pt>
                <c:pt idx="55">
                  <c:v>1.8134177497076502</c:v>
                </c:pt>
                <c:pt idx="56">
                  <c:v>1.8529793632128424</c:v>
                </c:pt>
                <c:pt idx="57">
                  <c:v>1.8928597423663218</c:v>
                </c:pt>
                <c:pt idx="58">
                  <c:v>1.9330641937972541</c:v>
                </c:pt>
                <c:pt idx="59">
                  <c:v>1.9735981206907052</c:v>
                </c:pt>
                <c:pt idx="60">
                  <c:v>2.0144670252958781</c:v>
                </c:pt>
                <c:pt idx="61">
                  <c:v>2.0556765115068174</c:v>
                </c:pt>
                <c:pt idx="62">
                  <c:v>2.0972322875181688</c:v>
                </c:pt>
                <c:pt idx="63">
                  <c:v>2.1391401685586713</c:v>
                </c:pt>
                <c:pt idx="64">
                  <c:v>2.1814060797051806</c:v>
                </c:pt>
                <c:pt idx="65">
                  <c:v>2.2240360587801233</c:v>
                </c:pt>
                <c:pt idx="66">
                  <c:v>2.2670362593353977</c:v>
                </c:pt>
                <c:pt idx="67">
                  <c:v>2.3104129537258769</c:v>
                </c:pt>
                <c:pt idx="68">
                  <c:v>2.3541725362757671</c:v>
                </c:pt>
                <c:pt idx="69">
                  <c:v>2.3983215265412454</c:v>
                </c:pt>
                <c:pt idx="70">
                  <c:v>2.4428665726729104</c:v>
                </c:pt>
                <c:pt idx="71">
                  <c:v>2.4878144548817374</c:v>
                </c:pt>
                <c:pt idx="72">
                  <c:v>2.5331720890124063</c:v>
                </c:pt>
                <c:pt idx="73">
                  <c:v>2.5789465302279755</c:v>
                </c:pt>
                <c:pt idx="74">
                  <c:v>2.6251449768101223</c:v>
                </c:pt>
                <c:pt idx="75">
                  <c:v>2.6717747740792648</c:v>
                </c:pt>
                <c:pt idx="76">
                  <c:v>2.7188434184391452</c:v>
                </c:pt>
                <c:pt idx="77">
                  <c:v>2.7663585615505775</c:v>
                </c:pt>
                <c:pt idx="78">
                  <c:v>2.8143280146393299</c:v>
                </c:pt>
                <c:pt idx="79">
                  <c:v>2.8627597529432798</c:v>
                </c:pt>
                <c:pt idx="80">
                  <c:v>2.9116619203042298</c:v>
                </c:pt>
                <c:pt idx="81">
                  <c:v>2.961042833910013</c:v>
                </c:pt>
                <c:pt idx="82">
                  <c:v>3.0109109891927344</c:v>
                </c:pt>
                <c:pt idx="83">
                  <c:v>3.0612750648892941</c:v>
                </c:pt>
                <c:pt idx="84">
                  <c:v>3.1121439282705863</c:v>
                </c:pt>
                <c:pt idx="85">
                  <c:v>3.1635266405460754</c:v>
                </c:pt>
                <c:pt idx="86">
                  <c:v>3.2154324624507211</c:v>
                </c:pt>
                <c:pt idx="87">
                  <c:v>3.2678708600215836</c:v>
                </c:pt>
                <c:pt idx="88">
                  <c:v>3.3208515105717553</c:v>
                </c:pt>
                <c:pt idx="89">
                  <c:v>3.3743843088695931</c:v>
                </c:pt>
                <c:pt idx="90">
                  <c:v>3.428479373531665</c:v>
                </c:pt>
                <c:pt idx="91">
                  <c:v>3.4831470536381173</c:v>
                </c:pt>
                <c:pt idx="92">
                  <c:v>3.5383979355796775</c:v>
                </c:pt>
                <c:pt idx="93">
                  <c:v>3.5942428501458701</c:v>
                </c:pt>
                <c:pt idx="94">
                  <c:v>3.6506928798645117</c:v>
                </c:pt>
                <c:pt idx="95">
                  <c:v>3.707759366603026</c:v>
                </c:pt>
                <c:pt idx="96">
                  <c:v>3.7654539194426189</c:v>
                </c:pt>
                <c:pt idx="97">
                  <c:v>3.823788422836897</c:v>
                </c:pt>
                <c:pt idx="98">
                  <c:v>3.8827750450670622</c:v>
                </c:pt>
                <c:pt idx="99">
                  <c:v>3.942426247006444</c:v>
                </c:pt>
                <c:pt idx="100">
                  <c:v>4.0027547912076837</c:v>
                </c:pt>
              </c:numCache>
            </c:numRef>
          </c:val>
          <c:smooth val="0"/>
          <c:extLst>
            <c:ext xmlns:c16="http://schemas.microsoft.com/office/drawing/2014/chart" uri="{C3380CC4-5D6E-409C-BE32-E72D297353CC}">
              <c16:uniqueId val="{00000004-8897-4E0E-B39C-97315E8CCE9C}"/>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1"/>
                <c:order val="2"/>
                <c:tx>
                  <c:strRef>
                    <c:extLst>
                      <c:ext uri="{02D57815-91ED-43cb-92C2-25804820EDAC}">
                        <c15:formulaRef>
                          <c15:sqref>'Efficiency vs Load Calculations'!$BE$7</c15:sqref>
                        </c15:formulaRef>
                      </c:ext>
                    </c:extLst>
                    <c:strCache>
                      <c:ptCount val="1"/>
                      <c:pt idx="0">
                        <c:v>Controller IC Losses</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Calculations'!$BG$9:$BG$109</c15:sqref>
                        </c15:formulaRef>
                      </c:ext>
                    </c:extLst>
                    <c:numCache>
                      <c:formatCode>0.000</c:formatCode>
                      <c:ptCount val="101"/>
                      <c:pt idx="0">
                        <c:v>0.57269042016806726</c:v>
                      </c:pt>
                      <c:pt idx="1">
                        <c:v>0.57269042016806726</c:v>
                      </c:pt>
                      <c:pt idx="2">
                        <c:v>0.57269042016806726</c:v>
                      </c:pt>
                      <c:pt idx="3">
                        <c:v>0.57269042016806726</c:v>
                      </c:pt>
                      <c:pt idx="4">
                        <c:v>0.57269042016806726</c:v>
                      </c:pt>
                      <c:pt idx="5">
                        <c:v>0.57269042016806726</c:v>
                      </c:pt>
                      <c:pt idx="6">
                        <c:v>0.57269042016806726</c:v>
                      </c:pt>
                      <c:pt idx="7">
                        <c:v>0.57269042016806726</c:v>
                      </c:pt>
                      <c:pt idx="8">
                        <c:v>0.57269042016806726</c:v>
                      </c:pt>
                      <c:pt idx="9">
                        <c:v>0.57269042016806726</c:v>
                      </c:pt>
                      <c:pt idx="10">
                        <c:v>0.57269042016806726</c:v>
                      </c:pt>
                      <c:pt idx="11">
                        <c:v>0.57269042016806726</c:v>
                      </c:pt>
                      <c:pt idx="12">
                        <c:v>0.57269042016806726</c:v>
                      </c:pt>
                      <c:pt idx="13">
                        <c:v>0.57269042016806726</c:v>
                      </c:pt>
                      <c:pt idx="14">
                        <c:v>0.57269042016806726</c:v>
                      </c:pt>
                      <c:pt idx="15">
                        <c:v>0.57269042016806726</c:v>
                      </c:pt>
                      <c:pt idx="16">
                        <c:v>0.57269042016806726</c:v>
                      </c:pt>
                      <c:pt idx="17">
                        <c:v>0.57269042016806726</c:v>
                      </c:pt>
                      <c:pt idx="18">
                        <c:v>0.57269042016806726</c:v>
                      </c:pt>
                      <c:pt idx="19">
                        <c:v>0.57269042016806726</c:v>
                      </c:pt>
                      <c:pt idx="20">
                        <c:v>0.57269042016806726</c:v>
                      </c:pt>
                      <c:pt idx="21">
                        <c:v>0.57269042016806726</c:v>
                      </c:pt>
                      <c:pt idx="22">
                        <c:v>0.57269042016806726</c:v>
                      </c:pt>
                      <c:pt idx="23">
                        <c:v>0.57269042016806726</c:v>
                      </c:pt>
                      <c:pt idx="24">
                        <c:v>0.57269042016806726</c:v>
                      </c:pt>
                      <c:pt idx="25">
                        <c:v>0.57269042016806726</c:v>
                      </c:pt>
                      <c:pt idx="26">
                        <c:v>0.57269042016806726</c:v>
                      </c:pt>
                      <c:pt idx="27">
                        <c:v>0.57269042016806726</c:v>
                      </c:pt>
                      <c:pt idx="28">
                        <c:v>0.57269042016806726</c:v>
                      </c:pt>
                      <c:pt idx="29">
                        <c:v>0.57269042016806726</c:v>
                      </c:pt>
                      <c:pt idx="30">
                        <c:v>0.57269042016806726</c:v>
                      </c:pt>
                      <c:pt idx="31">
                        <c:v>0.57269042016806726</c:v>
                      </c:pt>
                      <c:pt idx="32">
                        <c:v>0.57269042016806726</c:v>
                      </c:pt>
                      <c:pt idx="33">
                        <c:v>0.57269042016806726</c:v>
                      </c:pt>
                      <c:pt idx="34">
                        <c:v>0.57269042016806726</c:v>
                      </c:pt>
                      <c:pt idx="35">
                        <c:v>0.57269042016806726</c:v>
                      </c:pt>
                      <c:pt idx="36">
                        <c:v>0.57269042016806726</c:v>
                      </c:pt>
                      <c:pt idx="37">
                        <c:v>0.57269042016806726</c:v>
                      </c:pt>
                      <c:pt idx="38">
                        <c:v>0.57269042016806726</c:v>
                      </c:pt>
                      <c:pt idx="39">
                        <c:v>0.57269042016806726</c:v>
                      </c:pt>
                      <c:pt idx="40">
                        <c:v>0.57269042016806726</c:v>
                      </c:pt>
                      <c:pt idx="41">
                        <c:v>0.57269042016806726</c:v>
                      </c:pt>
                      <c:pt idx="42">
                        <c:v>0.57269042016806726</c:v>
                      </c:pt>
                      <c:pt idx="43">
                        <c:v>0.57269042016806726</c:v>
                      </c:pt>
                      <c:pt idx="44">
                        <c:v>0.57269042016806726</c:v>
                      </c:pt>
                      <c:pt idx="45">
                        <c:v>0.57269042016806726</c:v>
                      </c:pt>
                      <c:pt idx="46">
                        <c:v>0.57269042016806726</c:v>
                      </c:pt>
                      <c:pt idx="47">
                        <c:v>0.57269042016806726</c:v>
                      </c:pt>
                      <c:pt idx="48">
                        <c:v>0.57269042016806726</c:v>
                      </c:pt>
                      <c:pt idx="49">
                        <c:v>0.57269042016806726</c:v>
                      </c:pt>
                      <c:pt idx="50">
                        <c:v>0.57269042016806726</c:v>
                      </c:pt>
                      <c:pt idx="51">
                        <c:v>0.57269042016806726</c:v>
                      </c:pt>
                      <c:pt idx="52">
                        <c:v>0.57269042016806726</c:v>
                      </c:pt>
                      <c:pt idx="53">
                        <c:v>0.57269042016806726</c:v>
                      </c:pt>
                      <c:pt idx="54">
                        <c:v>0.57269042016806726</c:v>
                      </c:pt>
                      <c:pt idx="55">
                        <c:v>0.57269042016806726</c:v>
                      </c:pt>
                      <c:pt idx="56">
                        <c:v>0.57269042016806726</c:v>
                      </c:pt>
                      <c:pt idx="57">
                        <c:v>0.57269042016806726</c:v>
                      </c:pt>
                      <c:pt idx="58">
                        <c:v>0.57269042016806726</c:v>
                      </c:pt>
                      <c:pt idx="59">
                        <c:v>0.57269042016806726</c:v>
                      </c:pt>
                      <c:pt idx="60">
                        <c:v>0.57269042016806726</c:v>
                      </c:pt>
                      <c:pt idx="61">
                        <c:v>0.57269042016806726</c:v>
                      </c:pt>
                      <c:pt idx="62">
                        <c:v>0.57269042016806726</c:v>
                      </c:pt>
                      <c:pt idx="63">
                        <c:v>0.57269042016806726</c:v>
                      </c:pt>
                      <c:pt idx="64">
                        <c:v>0.57269042016806726</c:v>
                      </c:pt>
                      <c:pt idx="65">
                        <c:v>0.57269042016806726</c:v>
                      </c:pt>
                      <c:pt idx="66">
                        <c:v>0.57269042016806726</c:v>
                      </c:pt>
                      <c:pt idx="67">
                        <c:v>0.57269042016806726</c:v>
                      </c:pt>
                      <c:pt idx="68">
                        <c:v>0.57269042016806726</c:v>
                      </c:pt>
                      <c:pt idx="69">
                        <c:v>0.57269042016806726</c:v>
                      </c:pt>
                      <c:pt idx="70">
                        <c:v>0.57269042016806726</c:v>
                      </c:pt>
                      <c:pt idx="71">
                        <c:v>0.57269042016806726</c:v>
                      </c:pt>
                      <c:pt idx="72">
                        <c:v>0.57269042016806726</c:v>
                      </c:pt>
                      <c:pt idx="73">
                        <c:v>0.57269042016806726</c:v>
                      </c:pt>
                      <c:pt idx="74">
                        <c:v>0.57269042016806726</c:v>
                      </c:pt>
                      <c:pt idx="75">
                        <c:v>0.57269042016806726</c:v>
                      </c:pt>
                      <c:pt idx="76">
                        <c:v>0.57269042016806726</c:v>
                      </c:pt>
                      <c:pt idx="77">
                        <c:v>0.57269042016806726</c:v>
                      </c:pt>
                      <c:pt idx="78">
                        <c:v>0.57269042016806726</c:v>
                      </c:pt>
                      <c:pt idx="79">
                        <c:v>0.57269042016806726</c:v>
                      </c:pt>
                      <c:pt idx="80">
                        <c:v>0.57269042016806726</c:v>
                      </c:pt>
                      <c:pt idx="81">
                        <c:v>0.57269042016806726</c:v>
                      </c:pt>
                      <c:pt idx="82">
                        <c:v>0.57269042016806726</c:v>
                      </c:pt>
                      <c:pt idx="83">
                        <c:v>0.57269042016806726</c:v>
                      </c:pt>
                      <c:pt idx="84">
                        <c:v>0.57269042016806726</c:v>
                      </c:pt>
                      <c:pt idx="85">
                        <c:v>0.57269042016806726</c:v>
                      </c:pt>
                      <c:pt idx="86">
                        <c:v>0.57269042016806726</c:v>
                      </c:pt>
                      <c:pt idx="87">
                        <c:v>0.57269042016806726</c:v>
                      </c:pt>
                      <c:pt idx="88">
                        <c:v>0.57269042016806726</c:v>
                      </c:pt>
                      <c:pt idx="89">
                        <c:v>0.57269042016806726</c:v>
                      </c:pt>
                      <c:pt idx="90">
                        <c:v>0.57269042016806726</c:v>
                      </c:pt>
                      <c:pt idx="91">
                        <c:v>0.57269042016806726</c:v>
                      </c:pt>
                      <c:pt idx="92">
                        <c:v>0.57269042016806726</c:v>
                      </c:pt>
                      <c:pt idx="93">
                        <c:v>0.57269042016806726</c:v>
                      </c:pt>
                      <c:pt idx="94">
                        <c:v>0.57269042016806726</c:v>
                      </c:pt>
                      <c:pt idx="95">
                        <c:v>0.57269042016806726</c:v>
                      </c:pt>
                      <c:pt idx="96">
                        <c:v>0.57269042016806726</c:v>
                      </c:pt>
                      <c:pt idx="97">
                        <c:v>0.57269042016806726</c:v>
                      </c:pt>
                      <c:pt idx="98">
                        <c:v>0.57269042016806726</c:v>
                      </c:pt>
                      <c:pt idx="99">
                        <c:v>0.57269042016806726</c:v>
                      </c:pt>
                      <c:pt idx="100">
                        <c:v>0.57269042016806726</c:v>
                      </c:pt>
                    </c:numCache>
                  </c:numRef>
                </c:val>
                <c:smooth val="0"/>
                <c:extLst>
                  <c:ext xmlns:c16="http://schemas.microsoft.com/office/drawing/2014/chart" uri="{C3380CC4-5D6E-409C-BE32-E72D297353CC}">
                    <c16:uniqueId val="{00000006-8897-4E0E-B39C-97315E8CCE9C}"/>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'Efficiency vs Load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Calculations'!$AF$9:$AF$109</c15:sqref>
                        </c15:formulaRef>
                      </c:ext>
                    </c:extLst>
                    <c:numCache>
                      <c:formatCode>0.000</c:formatCode>
                      <c:ptCount val="101"/>
                      <c:pt idx="0">
                        <c:v>4.8582121847151659E-4</c:v>
                      </c:pt>
                      <c:pt idx="1">
                        <c:v>4.9267568938776533E-4</c:v>
                      </c:pt>
                      <c:pt idx="2">
                        <c:v>5.1311705769576136E-4</c:v>
                      </c:pt>
                      <c:pt idx="3">
                        <c:v>5.4714303665476369E-4</c:v>
                      </c:pt>
                      <c:pt idx="4">
                        <c:v>5.9475133749660903E-4</c:v>
                      </c:pt>
                      <c:pt idx="5">
                        <c:v>6.5593966942597713E-4</c:v>
                      </c:pt>
                      <c:pt idx="6">
                        <c:v>7.3070573962065693E-4</c:v>
                      </c:pt>
                      <c:pt idx="7">
                        <c:v>8.1904725323181035E-4</c:v>
                      </c:pt>
                      <c:pt idx="8">
                        <c:v>9.2096191338423899E-4</c:v>
                      </c:pt>
                      <c:pt idx="9">
                        <c:v>1.036447421176647E-3</c:v>
                      </c:pt>
                      <c:pt idx="10">
                        <c:v>1.1655014756819073E-3</c:v>
                      </c:pt>
                      <c:pt idx="11">
                        <c:v>1.3081217739473272E-3</c:v>
                      </c:pt>
                      <c:pt idx="12">
                        <c:v>1.4643060109949103E-3</c:v>
                      </c:pt>
                      <c:pt idx="13">
                        <c:v>1.6340518798216271E-3</c:v>
                      </c:pt>
                      <c:pt idx="14">
                        <c:v>1.8173570713996704E-3</c:v>
                      </c:pt>
                      <c:pt idx="15">
                        <c:v>2.0142192746767326E-3</c:v>
                      </c:pt>
                      <c:pt idx="16">
                        <c:v>2.2246361765762574E-3</c:v>
                      </c:pt>
                      <c:pt idx="17">
                        <c:v>2.4486054619977144E-3</c:v>
                      </c:pt>
                      <c:pt idx="18">
                        <c:v>2.6861248138168601E-3</c:v>
                      </c:pt>
                      <c:pt idx="19">
                        <c:v>2.937191912885999E-3</c:v>
                      </c:pt>
                      <c:pt idx="20">
                        <c:v>3.2018044380342594E-3</c:v>
                      </c:pt>
                      <c:pt idx="21">
                        <c:v>3.4799600660678424E-3</c:v>
                      </c:pt>
                      <c:pt idx="22">
                        <c:v>3.7716564717702999E-3</c:v>
                      </c:pt>
                      <c:pt idx="23">
                        <c:v>4.0768913279027891E-3</c:v>
                      </c:pt>
                      <c:pt idx="24">
                        <c:v>4.3956623052043469E-3</c:v>
                      </c:pt>
                      <c:pt idx="25">
                        <c:v>4.7279670723921466E-3</c:v>
                      </c:pt>
                      <c:pt idx="26">
                        <c:v>5.0738032961617644E-3</c:v>
                      </c:pt>
                      <c:pt idx="27">
                        <c:v>5.4331686411874473E-3</c:v>
                      </c:pt>
                      <c:pt idx="28">
                        <c:v>5.806060770122367E-3</c:v>
                      </c:pt>
                      <c:pt idx="29">
                        <c:v>6.192477343598902E-3</c:v>
                      </c:pt>
                      <c:pt idx="30">
                        <c:v>6.5924160202288874E-3</c:v>
                      </c:pt>
                      <c:pt idx="31">
                        <c:v>7.0058744566038802E-3</c:v>
                      </c:pt>
                      <c:pt idx="32">
                        <c:v>7.4328503072954308E-3</c:v>
                      </c:pt>
                      <c:pt idx="33">
                        <c:v>7.8733412248553417E-3</c:v>
                      </c:pt>
                      <c:pt idx="34">
                        <c:v>8.3273448598159428E-3</c:v>
                      </c:pt>
                      <c:pt idx="35">
                        <c:v>8.7948588606903202E-3</c:v>
                      </c:pt>
                      <c:pt idx="36">
                        <c:v>9.275880873972641E-3</c:v>
                      </c:pt>
                      <c:pt idx="37">
                        <c:v>9.7704085441383502E-3</c:v>
                      </c:pt>
                      <c:pt idx="38">
                        <c:v>1.0278439513644495E-2</c:v>
                      </c:pt>
                      <c:pt idx="39">
                        <c:v>1.0799971422929941E-2</c:v>
                      </c:pt>
                      <c:pt idx="40">
                        <c:v>1.1335001910415666E-2</c:v>
                      </c:pt>
                      <c:pt idx="41">
                        <c:v>1.1883528612505011E-2</c:v>
                      </c:pt>
                      <c:pt idx="42">
                        <c:v>1.2445549163583956E-2</c:v>
                      </c:pt>
                      <c:pt idx="43">
                        <c:v>1.3021061196021358E-2</c:v>
                      </c:pt>
                      <c:pt idx="44">
                        <c:v>1.3610062340169251E-2</c:v>
                      </c:pt>
                      <c:pt idx="45">
                        <c:v>1.4212550224363071E-2</c:v>
                      </c:pt>
                      <c:pt idx="46">
                        <c:v>1.4828522474921965E-2</c:v>
                      </c:pt>
                      <c:pt idx="47">
                        <c:v>1.545797671614901E-2</c:v>
                      </c:pt>
                      <c:pt idx="48">
                        <c:v>1.6100910570331514E-2</c:v>
                      </c:pt>
                      <c:pt idx="49">
                        <c:v>1.6757321657741242E-2</c:v>
                      </c:pt>
                      <c:pt idx="50">
                        <c:v>1.7427207596634711E-2</c:v>
                      </c:pt>
                      <c:pt idx="51">
                        <c:v>1.8110566003253441E-2</c:v>
                      </c:pt>
                      <c:pt idx="52">
                        <c:v>1.8807394491824229E-2</c:v>
                      </c:pt>
                      <c:pt idx="53">
                        <c:v>1.9517690674559392E-2</c:v>
                      </c:pt>
                      <c:pt idx="54">
                        <c:v>2.0241452161657042E-2</c:v>
                      </c:pt>
                      <c:pt idx="55">
                        <c:v>2.0978676561301358E-2</c:v>
                      </c:pt>
                      <c:pt idx="56">
                        <c:v>2.1729361479662854E-2</c:v>
                      </c:pt>
                      <c:pt idx="57">
                        <c:v>2.24935045208986E-2</c:v>
                      </c:pt>
                      <c:pt idx="58">
                        <c:v>2.3271103287152543E-2</c:v>
                      </c:pt>
                      <c:pt idx="59">
                        <c:v>2.4062155378555727E-2</c:v>
                      </c:pt>
                      <c:pt idx="60">
                        <c:v>2.4866658393226569E-2</c:v>
                      </c:pt>
                      <c:pt idx="61">
                        <c:v>2.5684609927271146E-2</c:v>
                      </c:pt>
                      <c:pt idx="62">
                        <c:v>2.6516007574783427E-2</c:v>
                      </c:pt>
                      <c:pt idx="63">
                        <c:v>2.736084892784554E-2</c:v>
                      </c:pt>
                      <c:pt idx="64">
                        <c:v>2.8219131576528056E-2</c:v>
                      </c:pt>
                      <c:pt idx="65">
                        <c:v>2.9090853108890237E-2</c:v>
                      </c:pt>
                      <c:pt idx="66">
                        <c:v>2.9976011110980309E-2</c:v>
                      </c:pt>
                      <c:pt idx="67">
                        <c:v>3.0874603166835685E-2</c:v>
                      </c:pt>
                      <c:pt idx="68">
                        <c:v>3.1786626858483304E-2</c:v>
                      </c:pt>
                      <c:pt idx="69">
                        <c:v>3.2712079765939817E-2</c:v>
                      </c:pt>
                      <c:pt idx="70">
                        <c:v>3.3650959467211916E-2</c:v>
                      </c:pt>
                      <c:pt idx="71">
                        <c:v>3.4603263538296521E-2</c:v>
                      </c:pt>
                      <c:pt idx="72">
                        <c:v>3.5568989553181128E-2</c:v>
                      </c:pt>
                      <c:pt idx="73">
                        <c:v>3.6548135083844031E-2</c:v>
                      </c:pt>
                      <c:pt idx="74">
                        <c:v>3.7540697700254526E-2</c:v>
                      </c:pt>
                      <c:pt idx="75">
                        <c:v>3.854667497037334E-2</c:v>
                      </c:pt>
                      <c:pt idx="76">
                        <c:v>3.9566064460152671E-2</c:v>
                      </c:pt>
                      <c:pt idx="77">
                        <c:v>4.0598863733536661E-2</c:v>
                      </c:pt>
                      <c:pt idx="78">
                        <c:v>4.1645070352461518E-2</c:v>
                      </c:pt>
                      <c:pt idx="79">
                        <c:v>4.2704681876855839E-2</c:v>
                      </c:pt>
                      <c:pt idx="80">
                        <c:v>4.377769586464083E-2</c:v>
                      </c:pt>
                      <c:pt idx="81">
                        <c:v>4.4864109871730624E-2</c:v>
                      </c:pt>
                      <c:pt idx="82">
                        <c:v>4.596392145203252E-2</c:v>
                      </c:pt>
                      <c:pt idx="83">
                        <c:v>4.7077128157447273E-2</c:v>
                      </c:pt>
                      <c:pt idx="84">
                        <c:v>4.8203727537869258E-2</c:v>
                      </c:pt>
                      <c:pt idx="85">
                        <c:v>4.9343717141186856E-2</c:v>
                      </c:pt>
                      <c:pt idx="86">
                        <c:v>5.0497094513282693E-2</c:v>
                      </c:pt>
                      <c:pt idx="87">
                        <c:v>5.1663857198033736E-2</c:v>
                      </c:pt>
                      <c:pt idx="88">
                        <c:v>5.2844002737311824E-2</c:v>
                      </c:pt>
                      <c:pt idx="89">
                        <c:v>5.4037528670983749E-2</c:v>
                      </c:pt>
                      <c:pt idx="90">
                        <c:v>5.5244432536911622E-2</c:v>
                      </c:pt>
                      <c:pt idx="91">
                        <c:v>5.646471187095297E-2</c:v>
                      </c:pt>
                      <c:pt idx="92">
                        <c:v>5.7698364206961207E-2</c:v>
                      </c:pt>
                      <c:pt idx="93">
                        <c:v>5.8945387076785774E-2</c:v>
                      </c:pt>
                      <c:pt idx="94">
                        <c:v>6.0205778010272396E-2</c:v>
                      </c:pt>
                      <c:pt idx="95">
                        <c:v>6.1479534535263461E-2</c:v>
                      </c:pt>
                      <c:pt idx="96">
                        <c:v>6.2766654177598039E-2</c:v>
                      </c:pt>
                      <c:pt idx="97">
                        <c:v>6.4067134461112479E-2</c:v>
                      </c:pt>
                      <c:pt idx="98">
                        <c:v>6.5380972907640361E-2</c:v>
                      </c:pt>
                      <c:pt idx="99">
                        <c:v>6.6708167037012975E-2</c:v>
                      </c:pt>
                      <c:pt idx="100">
                        <c:v>6.8048714367059449E-2</c:v>
                      </c:pt>
                    </c:numCache>
                  </c:numRef>
                </c:val>
                <c:smooth val="0"/>
                <c:extLst xmlns:c15="http://schemas.microsoft.com/office/drawing/2012/chart">
                  <c:ext xmlns:c16="http://schemas.microsoft.com/office/drawing/2014/chart" uri="{C3380CC4-5D6E-409C-BE32-E72D297353CC}">
                    <c16:uniqueId val="{00000007-8897-4E0E-B39C-97315E8CCE9C}"/>
                  </c:ext>
                </c:extLst>
              </c15:ser>
            </c15:filteredLineSeries>
            <c15:filteredLineSeries>
              <c15:ser>
                <c:idx val="5"/>
                <c:order val="7"/>
                <c:tx>
                  <c:strRef>
                    <c:extLst xmlns:c15="http://schemas.microsoft.com/office/drawing/2012/chart">
                      <c:ext xmlns:c15="http://schemas.microsoft.com/office/drawing/2012/chart" uri="{02D57815-91ED-43cb-92C2-25804820EDAC}">
                        <c15:formulaRef>
                          <c15:sqref>'Efficiency vs Load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Calculations'!$AC$9:$AC$109</c15:sqref>
                        </c15:formulaRef>
                      </c:ext>
                    </c:extLst>
                    <c:numCache>
                      <c:formatCode>0.000</c:formatCode>
                      <c:ptCount val="101"/>
                      <c:pt idx="0">
                        <c:v>5.1480781171974101E-3</c:v>
                      </c:pt>
                      <c:pt idx="1">
                        <c:v>5.1490050880673042E-3</c:v>
                      </c:pt>
                      <c:pt idx="2">
                        <c:v>5.1499321188159435E-3</c:v>
                      </c:pt>
                      <c:pt idx="3">
                        <c:v>5.150859209437867E-3</c:v>
                      </c:pt>
                      <c:pt idx="4">
                        <c:v>5.1517863599276079E-3</c:v>
                      </c:pt>
                      <c:pt idx="5">
                        <c:v>5.1527135702797025E-3</c:v>
                      </c:pt>
                      <c:pt idx="6">
                        <c:v>5.1536408404886892E-3</c:v>
                      </c:pt>
                      <c:pt idx="7">
                        <c:v>5.1545681705491E-3</c:v>
                      </c:pt>
                      <c:pt idx="8">
                        <c:v>5.1554955604554732E-3</c:v>
                      </c:pt>
                      <c:pt idx="9">
                        <c:v>5.1564230102023488E-3</c:v>
                      </c:pt>
                      <c:pt idx="10">
                        <c:v>5.1573505197842562E-3</c:v>
                      </c:pt>
                      <c:pt idx="11">
                        <c:v>5.1582780891957416E-3</c:v>
                      </c:pt>
                      <c:pt idx="12">
                        <c:v>5.1592057184313422E-3</c:v>
                      </c:pt>
                      <c:pt idx="13">
                        <c:v>5.1601334074855955E-3</c:v>
                      </c:pt>
                      <c:pt idx="14">
                        <c:v>5.1610611563530371E-3</c:v>
                      </c:pt>
                      <c:pt idx="15">
                        <c:v>5.1619889650282172E-3</c:v>
                      </c:pt>
                      <c:pt idx="16">
                        <c:v>5.162916833505663E-3</c:v>
                      </c:pt>
                      <c:pt idx="17">
                        <c:v>5.1638447617799238E-3</c:v>
                      </c:pt>
                      <c:pt idx="18">
                        <c:v>5.1647727498455387E-3</c:v>
                      </c:pt>
                      <c:pt idx="19">
                        <c:v>5.1657007976970469E-3</c:v>
                      </c:pt>
                      <c:pt idx="20">
                        <c:v>5.1666289053289953E-3</c:v>
                      </c:pt>
                      <c:pt idx="21">
                        <c:v>5.1675570727359238E-3</c:v>
                      </c:pt>
                      <c:pt idx="22">
                        <c:v>5.1684852999123723E-3</c:v>
                      </c:pt>
                      <c:pt idx="23">
                        <c:v>5.1694135868528834E-3</c:v>
                      </c:pt>
                      <c:pt idx="24">
                        <c:v>5.1703419335520162E-3</c:v>
                      </c:pt>
                      <c:pt idx="25">
                        <c:v>5.1712703400042916E-3</c:v>
                      </c:pt>
                      <c:pt idx="26">
                        <c:v>5.1721988062042659E-3</c:v>
                      </c:pt>
                      <c:pt idx="27">
                        <c:v>5.1731273321464896E-3</c:v>
                      </c:pt>
                      <c:pt idx="28">
                        <c:v>5.1740559178254991E-3</c:v>
                      </c:pt>
                      <c:pt idx="29">
                        <c:v>5.1749845632358448E-3</c:v>
                      </c:pt>
                      <c:pt idx="30">
                        <c:v>5.1759132683720701E-3</c:v>
                      </c:pt>
                      <c:pt idx="31">
                        <c:v>5.1768420332287202E-3</c:v>
                      </c:pt>
                      <c:pt idx="32">
                        <c:v>5.1777708578003489E-3</c:v>
                      </c:pt>
                      <c:pt idx="33">
                        <c:v>5.178699742081504E-3</c:v>
                      </c:pt>
                      <c:pt idx="34">
                        <c:v>5.1796286860667229E-3</c:v>
                      </c:pt>
                      <c:pt idx="35">
                        <c:v>5.180557689750568E-3</c:v>
                      </c:pt>
                      <c:pt idx="36">
                        <c:v>5.1814867531275802E-3</c:v>
                      </c:pt>
                      <c:pt idx="37">
                        <c:v>5.1824158761923072E-3</c:v>
                      </c:pt>
                      <c:pt idx="38">
                        <c:v>5.1833450589393003E-3</c:v>
                      </c:pt>
                      <c:pt idx="39">
                        <c:v>5.1842743013631176E-3</c:v>
                      </c:pt>
                      <c:pt idx="40">
                        <c:v>5.1852036034583035E-3</c:v>
                      </c:pt>
                      <c:pt idx="41">
                        <c:v>5.1861329652194022E-3</c:v>
                      </c:pt>
                      <c:pt idx="42">
                        <c:v>5.1870623866409771E-3</c:v>
                      </c:pt>
                      <c:pt idx="43">
                        <c:v>5.1879918677175821E-3</c:v>
                      </c:pt>
                      <c:pt idx="44">
                        <c:v>5.1889214084437545E-3</c:v>
                      </c:pt>
                      <c:pt idx="45">
                        <c:v>5.1898510088140568E-3</c:v>
                      </c:pt>
                      <c:pt idx="46">
                        <c:v>5.1907806688230437E-3</c:v>
                      </c:pt>
                      <c:pt idx="47">
                        <c:v>5.1917103884652673E-3</c:v>
                      </c:pt>
                      <c:pt idx="48">
                        <c:v>5.1926401677352815E-3</c:v>
                      </c:pt>
                      <c:pt idx="49">
                        <c:v>5.1935700066276461E-3</c:v>
                      </c:pt>
                      <c:pt idx="50">
                        <c:v>5.1944999051369021E-3</c:v>
                      </c:pt>
                      <c:pt idx="51">
                        <c:v>5.1954298632576204E-3</c:v>
                      </c:pt>
                      <c:pt idx="52">
                        <c:v>5.1963598809843508E-3</c:v>
                      </c:pt>
                      <c:pt idx="53">
                        <c:v>5.197289958311647E-3</c:v>
                      </c:pt>
                      <c:pt idx="54">
                        <c:v>5.1982200952340671E-3</c:v>
                      </c:pt>
                      <c:pt idx="55">
                        <c:v>5.1991502917461711E-3</c:v>
                      </c:pt>
                      <c:pt idx="56">
                        <c:v>5.2000805478425172E-3</c:v>
                      </c:pt>
                      <c:pt idx="57">
                        <c:v>5.2010108635176635E-3</c:v>
                      </c:pt>
                      <c:pt idx="58">
                        <c:v>5.2019412387661621E-3</c:v>
                      </c:pt>
                      <c:pt idx="59">
                        <c:v>5.2028716735825799E-3</c:v>
                      </c:pt>
                      <c:pt idx="60">
                        <c:v>5.2038021679614785E-3</c:v>
                      </c:pt>
                      <c:pt idx="61">
                        <c:v>5.2047327218974057E-3</c:v>
                      </c:pt>
                      <c:pt idx="62">
                        <c:v>5.2056633353849335E-3</c:v>
                      </c:pt>
                      <c:pt idx="63">
                        <c:v>5.2065940084186149E-3</c:v>
                      </c:pt>
                      <c:pt idx="64">
                        <c:v>5.2075247409930168E-3</c:v>
                      </c:pt>
                      <c:pt idx="65">
                        <c:v>5.2084555331026921E-3</c:v>
                      </c:pt>
                      <c:pt idx="66">
                        <c:v>5.2093863847422171E-3</c:v>
                      </c:pt>
                      <c:pt idx="67">
                        <c:v>5.2103172959061458E-3</c:v>
                      </c:pt>
                      <c:pt idx="68">
                        <c:v>5.2112482665890407E-3</c:v>
                      </c:pt>
                      <c:pt idx="69">
                        <c:v>5.2121792967854651E-3</c:v>
                      </c:pt>
                      <c:pt idx="70">
                        <c:v>5.2131103864899884E-3</c:v>
                      </c:pt>
                      <c:pt idx="71">
                        <c:v>5.2140415356971689E-3</c:v>
                      </c:pt>
                      <c:pt idx="72">
                        <c:v>5.214972744401576E-3</c:v>
                      </c:pt>
                      <c:pt idx="73">
                        <c:v>5.2159040125977687E-3</c:v>
                      </c:pt>
                      <c:pt idx="74">
                        <c:v>5.2168353402803139E-3</c:v>
                      </c:pt>
                      <c:pt idx="75">
                        <c:v>5.2177667274437888E-3</c:v>
                      </c:pt>
                      <c:pt idx="76">
                        <c:v>5.2186981740827421E-3</c:v>
                      </c:pt>
                      <c:pt idx="77">
                        <c:v>5.2196296801917509E-3</c:v>
                      </c:pt>
                      <c:pt idx="78">
                        <c:v>5.2205612457653884E-3</c:v>
                      </c:pt>
                      <c:pt idx="79">
                        <c:v>5.2214928707982099E-3</c:v>
                      </c:pt>
                      <c:pt idx="80">
                        <c:v>5.2224245552847937E-3</c:v>
                      </c:pt>
                      <c:pt idx="81">
                        <c:v>5.2233562992196969E-3</c:v>
                      </c:pt>
                      <c:pt idx="82">
                        <c:v>5.2242881025974961E-3</c:v>
                      </c:pt>
                      <c:pt idx="83">
                        <c:v>5.2252199654127737E-3</c:v>
                      </c:pt>
                      <c:pt idx="84">
                        <c:v>5.2261518876600722E-3</c:v>
                      </c:pt>
                      <c:pt idx="85">
                        <c:v>5.2270838693339802E-3</c:v>
                      </c:pt>
                      <c:pt idx="86">
                        <c:v>5.2280159104290645E-3</c:v>
                      </c:pt>
                      <c:pt idx="87">
                        <c:v>5.2289480109398998E-3</c:v>
                      </c:pt>
                      <c:pt idx="88">
                        <c:v>5.2298801708610485E-3</c:v>
                      </c:pt>
                      <c:pt idx="89">
                        <c:v>5.2308123901870975E-3</c:v>
                      </c:pt>
                      <c:pt idx="90">
                        <c:v>5.2317446689126084E-3</c:v>
                      </c:pt>
                      <c:pt idx="91">
                        <c:v>5.2326770070321499E-3</c:v>
                      </c:pt>
                      <c:pt idx="92">
                        <c:v>5.2336094045403085E-3</c:v>
                      </c:pt>
                      <c:pt idx="93">
                        <c:v>5.2345418614316496E-3</c:v>
                      </c:pt>
                      <c:pt idx="94">
                        <c:v>5.2354743777007487E-3</c:v>
                      </c:pt>
                      <c:pt idx="95">
                        <c:v>5.236406953342182E-3</c:v>
                      </c:pt>
                      <c:pt idx="96">
                        <c:v>5.2373395883505277E-3</c:v>
                      </c:pt>
                      <c:pt idx="97">
                        <c:v>5.2382722827203554E-3</c:v>
                      </c:pt>
                      <c:pt idx="98">
                        <c:v>5.2392050364462464E-3</c:v>
                      </c:pt>
                      <c:pt idx="99">
                        <c:v>5.2401378495227739E-3</c:v>
                      </c:pt>
                      <c:pt idx="100">
                        <c:v>5.241070721944509E-3</c:v>
                      </c:pt>
                    </c:numCache>
                  </c:numRef>
                </c:val>
                <c:smooth val="0"/>
                <c:extLst xmlns:c15="http://schemas.microsoft.com/office/drawing/2012/chart">
                  <c:ext xmlns:c16="http://schemas.microsoft.com/office/drawing/2014/chart" uri="{C3380CC4-5D6E-409C-BE32-E72D297353CC}">
                    <c16:uniqueId val="{00000008-8897-4E0E-B39C-97315E8CCE9C}"/>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4.4984845120413425E-2</c:v>
                      </c:pt>
                      <c:pt idx="1">
                        <c:v>7.3811254439551013E-2</c:v>
                      </c:pt>
                      <c:pt idx="2">
                        <c:v>0.10109358024235901</c:v>
                      </c:pt>
                      <c:pt idx="3">
                        <c:v>0.12850272131739288</c:v>
                      </c:pt>
                      <c:pt idx="4">
                        <c:v>0.15604093255942802</c:v>
                      </c:pt>
                      <c:pt idx="5">
                        <c:v>0.18371049217879878</c:v>
                      </c:pt>
                      <c:pt idx="6">
                        <c:v>0.21151370237569167</c:v>
                      </c:pt>
                      <c:pt idx="7">
                        <c:v>0.23945289002537551</c:v>
                      </c:pt>
                      <c:pt idx="8">
                        <c:v>0.26753040737479589</c:v>
                      </c:pt>
                      <c:pt idx="9">
                        <c:v>0.29574863275097318</c:v>
                      </c:pt>
                      <c:pt idx="10">
                        <c:v>0.3241099712816522</c:v>
                      </c:pt>
                      <c:pt idx="11">
                        <c:v>0.35261685562866285</c:v>
                      </c:pt>
                      <c:pt idx="12">
                        <c:v>0.38127174673446207</c:v>
                      </c:pt>
                      <c:pt idx="13">
                        <c:v>0.41007713458234113</c:v>
                      </c:pt>
                      <c:pt idx="14">
                        <c:v>0.43903553897078917</c:v>
                      </c:pt>
                      <c:pt idx="15">
                        <c:v>0.46911874922683483</c:v>
                      </c:pt>
                      <c:pt idx="16">
                        <c:v>0.50128813937130312</c:v>
                      </c:pt>
                      <c:pt idx="17">
                        <c:v>0.53362111198547213</c:v>
                      </c:pt>
                      <c:pt idx="18">
                        <c:v>0.56612057228196166</c:v>
                      </c:pt>
                      <c:pt idx="19">
                        <c:v>0.59878946044345294</c:v>
                      </c:pt>
                      <c:pt idx="20">
                        <c:v>0.63163075257159529</c:v>
                      </c:pt>
                      <c:pt idx="21">
                        <c:v>0.66464746165467081</c:v>
                      </c:pt>
                      <c:pt idx="22">
                        <c:v>0.69784263855468109</c:v>
                      </c:pt>
                      <c:pt idx="23">
                        <c:v>0.73121937301454076</c:v>
                      </c:pt>
                      <c:pt idx="24">
                        <c:v>0.7647807946860854</c:v>
                      </c:pt>
                      <c:pt idx="25">
                        <c:v>0.79853007417961308</c:v>
                      </c:pt>
                      <c:pt idx="26">
                        <c:v>0.83247042413571126</c:v>
                      </c:pt>
                      <c:pt idx="27">
                        <c:v>0.86660510032013605</c:v>
                      </c:pt>
                      <c:pt idx="28">
                        <c:v>0.90093740274253442</c:v>
                      </c:pt>
                      <c:pt idx="29">
                        <c:v>0.93547067679982843</c:v>
                      </c:pt>
                      <c:pt idx="30">
                        <c:v>0.97020831444510092</c:v>
                      </c:pt>
                      <c:pt idx="31">
                        <c:v>1.0051537553828525</c:v>
                      </c:pt>
                      <c:pt idx="32">
                        <c:v>1.0403104882915237</c:v>
                      </c:pt>
                      <c:pt idx="33">
                        <c:v>1.0756820520742114</c:v>
                      </c:pt>
                      <c:pt idx="34">
                        <c:v>1.1112720371385236</c:v>
                      </c:pt>
                      <c:pt idx="35">
                        <c:v>1.1470840867065717</c:v>
                      </c:pt>
                      <c:pt idx="36">
                        <c:v>1.1831218981561062</c:v>
                      </c:pt>
                      <c:pt idx="37">
                        <c:v>1.219389224393854</c:v>
                      </c:pt>
                      <c:pt idx="38">
                        <c:v>1.2558898752621419</c:v>
                      </c:pt>
                      <c:pt idx="39">
                        <c:v>1.2926277189799333</c:v>
                      </c:pt>
                      <c:pt idx="40">
                        <c:v>1.3296066836194327</c:v>
                      </c:pt>
                      <c:pt idx="41">
                        <c:v>1.3668307586194672</c:v>
                      </c:pt>
                      <c:pt idx="42">
                        <c:v>1.4043039963368882</c:v>
                      </c:pt>
                      <c:pt idx="43">
                        <c:v>1.4420305136372731</c:v>
                      </c:pt>
                      <c:pt idx="44">
                        <c:v>1.4800144935262687</c:v>
                      </c:pt>
                      <c:pt idx="45">
                        <c:v>1.5182601868229459</c:v>
                      </c:pt>
                      <c:pt idx="46">
                        <c:v>1.5567719138766047</c:v>
                      </c:pt>
                      <c:pt idx="47">
                        <c:v>1.5955540663285004</c:v>
                      </c:pt>
                      <c:pt idx="48">
                        <c:v>1.6346111089200233</c:v>
                      </c:pt>
                      <c:pt idx="49">
                        <c:v>1.6739475813489368</c:v>
                      </c:pt>
                      <c:pt idx="50">
                        <c:v>1.7135681001752954</c:v>
                      </c:pt>
                      <c:pt idx="51">
                        <c:v>1.7534773607787733</c:v>
                      </c:pt>
                      <c:pt idx="52">
                        <c:v>1.7936801393691648</c:v>
                      </c:pt>
                      <c:pt idx="53">
                        <c:v>1.834181295051893</c:v>
                      </c:pt>
                      <c:pt idx="54">
                        <c:v>1.8749857719504364</c:v>
                      </c:pt>
                      <c:pt idx="55">
                        <c:v>1.9160986013876502</c:v>
                      </c:pt>
                      <c:pt idx="56">
                        <c:v>1.9575249041280425</c:v>
                      </c:pt>
                      <c:pt idx="57">
                        <c:v>1.9992698926831218</c:v>
                      </c:pt>
                      <c:pt idx="58">
                        <c:v>2.0413388736820544</c:v>
                      </c:pt>
                      <c:pt idx="59">
                        <c:v>2.083737250309905</c:v>
                      </c:pt>
                      <c:pt idx="60">
                        <c:v>2.1264705248158782</c:v>
                      </c:pt>
                      <c:pt idx="61">
                        <c:v>2.1695443010940174</c:v>
                      </c:pt>
                      <c:pt idx="62">
                        <c:v>2.212964287338969</c:v>
                      </c:pt>
                      <c:pt idx="63">
                        <c:v>2.2567362987794715</c:v>
                      </c:pt>
                      <c:pt idx="64">
                        <c:v>2.3008662604923806</c:v>
                      </c:pt>
                      <c:pt idx="65">
                        <c:v>2.3453602103001234</c:v>
                      </c:pt>
                      <c:pt idx="66">
                        <c:v>2.3902243017545977</c:v>
                      </c:pt>
                      <c:pt idx="67">
                        <c:v>2.435464807210677</c:v>
                      </c:pt>
                      <c:pt idx="68">
                        <c:v>2.4810881209925673</c:v>
                      </c:pt>
                      <c:pt idx="69">
                        <c:v>2.5271007626564455</c:v>
                      </c:pt>
                      <c:pt idx="70">
                        <c:v>2.5735093803529105</c:v>
                      </c:pt>
                      <c:pt idx="71">
                        <c:v>2.6203207542929374</c:v>
                      </c:pt>
                      <c:pt idx="72">
                        <c:v>2.6675418003212061</c:v>
                      </c:pt>
                      <c:pt idx="73">
                        <c:v>2.7151795736007753</c:v>
                      </c:pt>
                      <c:pt idx="74">
                        <c:v>2.7632412724133224</c:v>
                      </c:pt>
                      <c:pt idx="75">
                        <c:v>2.8117342420792646</c:v>
                      </c:pt>
                      <c:pt idx="76">
                        <c:v>2.8606659790023454</c:v>
                      </c:pt>
                      <c:pt idx="77">
                        <c:v>2.9100441348433774</c:v>
                      </c:pt>
                      <c:pt idx="78">
                        <c:v>2.9598765208281299</c:v>
                      </c:pt>
                      <c:pt idx="79">
                        <c:v>3.0101711121944796</c:v>
                      </c:pt>
                      <c:pt idx="80">
                        <c:v>3.0609360527842298</c:v>
                      </c:pt>
                      <c:pt idx="81">
                        <c:v>3.1121796597852129</c:v>
                      </c:pt>
                      <c:pt idx="82">
                        <c:v>3.1639104286295345</c:v>
                      </c:pt>
                      <c:pt idx="83">
                        <c:v>3.2161370380540943</c:v>
                      </c:pt>
                      <c:pt idx="84">
                        <c:v>3.2688683553297864</c:v>
                      </c:pt>
                      <c:pt idx="85">
                        <c:v>3.3221134416660751</c:v>
                      </c:pt>
                      <c:pt idx="86">
                        <c:v>3.3758815577979213</c:v>
                      </c:pt>
                      <c:pt idx="87">
                        <c:v>3.4301821697623835</c:v>
                      </c:pt>
                      <c:pt idx="88">
                        <c:v>3.4850249548725554</c:v>
                      </c:pt>
                      <c:pt idx="89">
                        <c:v>3.540419807896793</c:v>
                      </c:pt>
                      <c:pt idx="90">
                        <c:v>3.5963768474516651</c:v>
                      </c:pt>
                      <c:pt idx="91">
                        <c:v>3.6529064226173174</c:v>
                      </c:pt>
                      <c:pt idx="92">
                        <c:v>3.7100191197844774</c:v>
                      </c:pt>
                      <c:pt idx="93">
                        <c:v>3.76772576974267</c:v>
                      </c:pt>
                      <c:pt idx="94">
                        <c:v>3.8260374550197116</c:v>
                      </c:pt>
                      <c:pt idx="95">
                        <c:v>3.884965517483026</c:v>
                      </c:pt>
                      <c:pt idx="96">
                        <c:v>3.9445215662138189</c:v>
                      </c:pt>
                      <c:pt idx="97">
                        <c:v>4.0047174856656973</c:v>
                      </c:pt>
                      <c:pt idx="98">
                        <c:v>4.0655654441198621</c:v>
                      </c:pt>
                      <c:pt idx="99">
                        <c:v>4.1270779024496438</c:v>
                      </c:pt>
                      <c:pt idx="100">
                        <c:v>4.1892676232076838</c:v>
                      </c:pt>
                    </c:numCache>
                  </c:numRef>
                </c:val>
                <c:smooth val="0"/>
                <c:extLst xmlns:c15="http://schemas.microsoft.com/office/drawing/2012/chart">
                  <c:ext xmlns:c16="http://schemas.microsoft.com/office/drawing/2014/chart" uri="{C3380CC4-5D6E-409C-BE32-E72D297353CC}">
                    <c16:uniqueId val="{00000009-8897-4E0E-B39C-97315E8CCE9C}"/>
                  </c:ext>
                </c:extLst>
              </c15:ser>
            </c15:filteredLineSeries>
            <c15:filteredLineSeries>
              <c15:ser>
                <c:idx val="3"/>
                <c:order val="10"/>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0.58797803073057131</c:v>
                      </c:pt>
                      <c:pt idx="1">
                        <c:v>0.58818343461577127</c:v>
                      </c:pt>
                      <c:pt idx="2">
                        <c:v>0.58855605730201044</c:v>
                      </c:pt>
                      <c:pt idx="3">
                        <c:v>0.58909591899561842</c:v>
                      </c:pt>
                      <c:pt idx="4">
                        <c:v>0.58980305332115146</c:v>
                      </c:pt>
                      <c:pt idx="5">
                        <c:v>0.59067750732812641</c:v>
                      </c:pt>
                      <c:pt idx="6">
                        <c:v>0.59171934150047079</c:v>
                      </c:pt>
                      <c:pt idx="7">
                        <c:v>0.59292862976865324</c:v>
                      </c:pt>
                      <c:pt idx="8">
                        <c:v>0.59430545952453029</c:v>
                      </c:pt>
                      <c:pt idx="9">
                        <c:v>0.595849931638887</c:v>
                      </c:pt>
                      <c:pt idx="10">
                        <c:v>0.59756216048170685</c:v>
                      </c:pt>
                      <c:pt idx="11">
                        <c:v>0.59944227394515426</c:v>
                      </c:pt>
                      <c:pt idx="12">
                        <c:v>0.60149041346929066</c:v>
                      </c:pt>
                      <c:pt idx="13">
                        <c:v>0.60370673407053554</c:v>
                      </c:pt>
                      <c:pt idx="14">
                        <c:v>0.60609140437286846</c:v>
                      </c:pt>
                      <c:pt idx="15">
                        <c:v>0.60864460664181097</c:v>
                      </c:pt>
                      <c:pt idx="16">
                        <c:v>0.61136653682116215</c:v>
                      </c:pt>
                      <c:pt idx="17">
                        <c:v>0.61425740457254829</c:v>
                      </c:pt>
                      <c:pt idx="18">
                        <c:v>0.61731743331775746</c:v>
                      </c:pt>
                      <c:pt idx="19">
                        <c:v>0.62054686028390282</c:v>
                      </c:pt>
                      <c:pt idx="20">
                        <c:v>0.62394593655142661</c:v>
                      </c:pt>
                      <c:pt idx="21">
                        <c:v>0.62751492710495649</c:v>
                      </c:pt>
                      <c:pt idx="22">
                        <c:v>0.63125411088703409</c:v>
                      </c:pt>
                      <c:pt idx="23">
                        <c:v>0.63516378085474712</c:v>
                      </c:pt>
                      <c:pt idx="24">
                        <c:v>0.6392442440392726</c:v>
                      </c:pt>
                      <c:pt idx="25">
                        <c:v>0.64349582160835672</c:v>
                      </c:pt>
                      <c:pt idx="26">
                        <c:v>0.64791884893177076</c:v>
                      </c:pt>
                      <c:pt idx="27">
                        <c:v>0.65251367564974583</c:v>
                      </c:pt>
                      <c:pt idx="28">
                        <c:v>0.65728066574442157</c:v>
                      </c:pt>
                      <c:pt idx="29">
                        <c:v>0.66222019761434636</c:v>
                      </c:pt>
                      <c:pt idx="30">
                        <c:v>0.66733266415203496</c:v>
                      </c:pt>
                      <c:pt idx="31">
                        <c:v>0.67261847282464393</c:v>
                      </c:pt>
                      <c:pt idx="32">
                        <c:v>0.67807804575776165</c:v>
                      </c:pt>
                      <c:pt idx="33">
                        <c:v>0.68371181982237883</c:v>
                      </c:pt>
                      <c:pt idx="34">
                        <c:v>0.68952024672504098</c:v>
                      </c:pt>
                      <c:pt idx="35">
                        <c:v>0.69550379310124866</c:v>
                      </c:pt>
                      <c:pt idx="36">
                        <c:v>0.70166294061212142</c:v>
                      </c:pt>
                      <c:pt idx="37">
                        <c:v>0.70799818604436049</c:v>
                      </c:pt>
                      <c:pt idx="38">
                        <c:v>0.71451004141357721</c:v>
                      </c:pt>
                      <c:pt idx="39">
                        <c:v>0.72119903407098851</c:v>
                      </c:pt>
                      <c:pt idx="40">
                        <c:v>0.72806570681355354</c:v>
                      </c:pt>
                      <c:pt idx="41">
                        <c:v>0.7351106179975766</c:v>
                      </c:pt>
                      <c:pt idx="42">
                        <c:v>0.74233434165583789</c:v>
                      </c:pt>
                      <c:pt idx="43">
                        <c:v>0.74973746761826554</c:v>
                      </c:pt>
                      <c:pt idx="44">
                        <c:v>0.75732060163624593</c:v>
                      </c:pt>
                      <c:pt idx="45">
                        <c:v>0.76508436551057946</c:v>
                      </c:pt>
                      <c:pt idx="46">
                        <c:v>0.77302939722315034</c:v>
                      </c:pt>
                      <c:pt idx="47">
                        <c:v>0.78115635107236892</c:v>
                      </c:pt>
                      <c:pt idx="48">
                        <c:v>0.7894658978124226</c:v>
                      </c:pt>
                      <c:pt idx="49">
                        <c:v>0.7979587247964175</c:v>
                      </c:pt>
                      <c:pt idx="50">
                        <c:v>0.80663553612343974</c:v>
                      </c:pt>
                      <c:pt idx="51">
                        <c:v>0.81549705278962326</c:v>
                      </c:pt>
                      <c:pt idx="52">
                        <c:v>0.82454401284326095</c:v>
                      </c:pt>
                      <c:pt idx="53">
                        <c:v>0.83377717154404907</c:v>
                      </c:pt>
                      <c:pt idx="54">
                        <c:v>0.84319730152650907</c:v>
                      </c:pt>
                      <c:pt idx="55">
                        <c:v>0.852805192967654</c:v>
                      </c:pt>
                      <c:pt idx="56">
                        <c:v>0.862601653758995</c:v>
                      </c:pt>
                      <c:pt idx="57">
                        <c:v>0.87258750968292031</c:v>
                      </c:pt>
                      <c:pt idx="58">
                        <c:v>0.8827636045935594</c:v>
                      </c:pt>
                      <c:pt idx="59">
                        <c:v>0.89313080060217631</c:v>
                      </c:pt>
                      <c:pt idx="60">
                        <c:v>0.90368997826718966</c:v>
                      </c:pt>
                      <c:pt idx="61">
                        <c:v>0.91444203678889124</c:v>
                      </c:pt>
                      <c:pt idx="62">
                        <c:v>0.92538789420894907</c:v>
                      </c:pt>
                      <c:pt idx="63">
                        <c:v>0.93652848761477636</c:v>
                      </c:pt>
                      <c:pt idx="64">
                        <c:v>0.94786477334885899</c:v>
                      </c:pt>
                      <c:pt idx="65">
                        <c:v>0.95939772722312477</c:v>
                      </c:pt>
                      <c:pt idx="66">
                        <c:v>0.971128344738453</c:v>
                      </c:pt>
                      <c:pt idx="67">
                        <c:v>0.98305764130941364</c:v>
                      </c:pt>
                      <c:pt idx="68">
                        <c:v>0.99518665249434202</c:v>
                      </c:pt>
                      <c:pt idx="69">
                        <c:v>1.0075164342308351</c:v>
                      </c:pt>
                      <c:pt idx="70">
                        <c:v>1.0200480630767987</c:v>
                      </c:pt>
                      <c:pt idx="71">
                        <c:v>1.0327826364571071</c:v>
                      </c:pt>
                      <c:pt idx="72">
                        <c:v>1.0457212729160472</c:v>
                      </c:pt>
                      <c:pt idx="73">
                        <c:v>1.0588651123755906</c:v>
                      </c:pt>
                      <c:pt idx="74">
                        <c:v>1.0722153163996722</c:v>
                      </c:pt>
                      <c:pt idx="75">
                        <c:v>1.0857730684645426</c:v>
                      </c:pt>
                      <c:pt idx="76">
                        <c:v>1.0995395742353458</c:v>
                      </c:pt>
                      <c:pt idx="77">
                        <c:v>1.1135160618490469</c:v>
                      </c:pt>
                      <c:pt idx="78">
                        <c:v>1.1277037822038256</c:v>
                      </c:pt>
                      <c:pt idx="79">
                        <c:v>1.1421040092550681</c:v>
                      </c:pt>
                      <c:pt idx="80">
                        <c:v>1.1567180403181148</c:v>
                      </c:pt>
                      <c:pt idx="81">
                        <c:v>1.1715471963778761</c:v>
                      </c:pt>
                      <c:pt idx="82">
                        <c:v>1.1865928224054787</c:v>
                      </c:pt>
                      <c:pt idx="83">
                        <c:v>1.2018562876820895</c:v>
                      </c:pt>
                      <c:pt idx="84">
                        <c:v>1.2173389861300468</c:v>
                      </c:pt>
                      <c:pt idx="85">
                        <c:v>1.2330423366514949</c:v>
                      </c:pt>
                      <c:pt idx="86">
                        <c:v>1.2489677834746504</c:v>
                      </c:pt>
                      <c:pt idx="87">
                        <c:v>1.2651167965078729</c:v>
                      </c:pt>
                      <c:pt idx="88">
                        <c:v>1.2814908717017168</c:v>
                      </c:pt>
                      <c:pt idx="89">
                        <c:v>1.2980915314191397</c:v>
                      </c:pt>
                      <c:pt idx="90">
                        <c:v>1.3149203248140346</c:v>
                      </c:pt>
                      <c:pt idx="91">
                        <c:v>1.331978828218281</c:v>
                      </c:pt>
                      <c:pt idx="92">
                        <c:v>1.3492686455375122</c:v>
                      </c:pt>
                      <c:pt idx="93">
                        <c:v>1.3667914086557662</c:v>
                      </c:pt>
                      <c:pt idx="94">
                        <c:v>1.384548777849256</c:v>
                      </c:pt>
                      <c:pt idx="95">
                        <c:v>1.4025424422094392</c:v>
                      </c:pt>
                      <c:pt idx="96">
                        <c:v>1.4207741200756181</c:v>
                      </c:pt>
                      <c:pt idx="97">
                        <c:v>1.4392455594772695</c:v>
                      </c:pt>
                      <c:pt idx="98">
                        <c:v>1.4579585385863476</c:v>
                      </c:pt>
                      <c:pt idx="99">
                        <c:v>1.4769148661797844</c:v>
                      </c:pt>
                      <c:pt idx="100">
                        <c:v>1.4961163821124126</c:v>
                      </c:pt>
                    </c:numCache>
                  </c:numRef>
                </c:val>
                <c:smooth val="0"/>
                <c:extLst xmlns:c15="http://schemas.microsoft.com/office/drawing/2012/chart">
                  <c:ext xmlns:c16="http://schemas.microsoft.com/office/drawing/2014/chart" uri="{C3380CC4-5D6E-409C-BE32-E72D297353CC}">
                    <c16:uniqueId val="{0000000A-8897-4E0E-B39C-97315E8CCE9C}"/>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4.3947230618573384E-2</c:v>
                      </c:pt>
                      <c:pt idx="1">
                        <c:v>5.0543770858579244E-2</c:v>
                      </c:pt>
                      <c:pt idx="2">
                        <c:v>5.4556697502999185E-2</c:v>
                      </c:pt>
                      <c:pt idx="3">
                        <c:v>5.8692576134737842E-2</c:v>
                      </c:pt>
                      <c:pt idx="4">
                        <c:v>6.29517128059702E-2</c:v>
                      </c:pt>
                      <c:pt idx="5">
                        <c:v>6.7334435182355573E-2</c:v>
                      </c:pt>
                      <c:pt idx="6">
                        <c:v>7.1841092649326865E-2</c:v>
                      </c:pt>
                      <c:pt idx="7">
                        <c:v>7.6472056427928758E-2</c:v>
                      </c:pt>
                      <c:pt idx="8">
                        <c:v>8.1227719700284029E-2</c:v>
                      </c:pt>
                      <c:pt idx="9">
                        <c:v>8.6108497744776136E-2</c:v>
                      </c:pt>
                      <c:pt idx="10">
                        <c:v>9.1114828081042862E-2</c:v>
                      </c:pt>
                      <c:pt idx="11">
                        <c:v>9.6247170624885206E-2</c:v>
                      </c:pt>
                      <c:pt idx="12">
                        <c:v>0.10150600785320302</c:v>
                      </c:pt>
                      <c:pt idx="13">
                        <c:v>0.10689184497907815</c:v>
                      </c:pt>
                      <c:pt idx="14">
                        <c:v>0.1124052101371335</c:v>
                      </c:pt>
                      <c:pt idx="15">
                        <c:v>0.11901589350361692</c:v>
                      </c:pt>
                      <c:pt idx="16">
                        <c:v>0.1276832618637741</c:v>
                      </c:pt>
                      <c:pt idx="17">
                        <c:v>0.13648270187561654</c:v>
                      </c:pt>
                      <c:pt idx="18">
                        <c:v>0.14541509353253104</c:v>
                      </c:pt>
                      <c:pt idx="19">
                        <c:v>0.15448134188793988</c:v>
                      </c:pt>
                      <c:pt idx="20">
                        <c:v>0.16368237738397232</c:v>
                      </c:pt>
                      <c:pt idx="21">
                        <c:v>0.17301915619231273</c:v>
                      </c:pt>
                      <c:pt idx="22">
                        <c:v>0.18249266056748209</c:v>
                      </c:pt>
                      <c:pt idx="23">
                        <c:v>0.19210389921281895</c:v>
                      </c:pt>
                      <c:pt idx="24">
                        <c:v>0.20185390765943911</c:v>
                      </c:pt>
                      <c:pt idx="25">
                        <c:v>0.2117437486584639</c:v>
                      </c:pt>
                      <c:pt idx="26">
                        <c:v>0.22177451258682135</c:v>
                      </c:pt>
                      <c:pt idx="27">
                        <c:v>0.23194731786693504</c:v>
                      </c:pt>
                      <c:pt idx="28">
                        <c:v>0.24226331140063032</c:v>
                      </c:pt>
                      <c:pt idx="29">
                        <c:v>0.25272366901760079</c:v>
                      </c:pt>
                      <c:pt idx="30">
                        <c:v>0.26332959593879091</c:v>
                      </c:pt>
                      <c:pt idx="31">
                        <c:v>0.27408232725506776</c:v>
                      </c:pt>
                      <c:pt idx="32">
                        <c:v>0.28498312842156714</c:v>
                      </c:pt>
                      <c:pt idx="33">
                        <c:v>0.29603329576811688</c:v>
                      </c:pt>
                      <c:pt idx="34">
                        <c:v>0.30723415702615514</c:v>
                      </c:pt>
                      <c:pt idx="35">
                        <c:v>0.31858707187257906</c:v>
                      </c:pt>
                      <c:pt idx="36">
                        <c:v>0.33009343249097661</c:v>
                      </c:pt>
                      <c:pt idx="37">
                        <c:v>0.34175466415071043</c:v>
                      </c:pt>
                      <c:pt idx="38">
                        <c:v>0.35357222580434505</c:v>
                      </c:pt>
                      <c:pt idx="39">
                        <c:v>0.36554761070392289</c:v>
                      </c:pt>
                      <c:pt idx="40">
                        <c:v>0.3776823470366199</c:v>
                      </c:pt>
                      <c:pt idx="41">
                        <c:v>0.38997799858032867</c:v>
                      </c:pt>
                      <c:pt idx="42">
                        <c:v>0.4024361653797412</c:v>
                      </c:pt>
                      <c:pt idx="43">
                        <c:v>0.41505848444352167</c:v>
                      </c:pt>
                      <c:pt idx="44">
                        <c:v>0.42784663046318949</c:v>
                      </c:pt>
                      <c:pt idx="45">
                        <c:v>0.44080231655435126</c:v>
                      </c:pt>
                      <c:pt idx="46">
                        <c:v>0.45392729502094858</c:v>
                      </c:pt>
                      <c:pt idx="47">
                        <c:v>0.46722335814321281</c:v>
                      </c:pt>
                      <c:pt idx="48">
                        <c:v>0.48069233899004793</c:v>
                      </c:pt>
                      <c:pt idx="49">
                        <c:v>0.4943361122565893</c:v>
                      </c:pt>
                      <c:pt idx="50">
                        <c:v>0.50815659512771438</c:v>
                      </c:pt>
                      <c:pt idx="51">
                        <c:v>0.52215574816831611</c:v>
                      </c:pt>
                      <c:pt idx="52">
                        <c:v>0.53633557624117656</c:v>
                      </c:pt>
                      <c:pt idx="53">
                        <c:v>0.55069812945331775</c:v>
                      </c:pt>
                      <c:pt idx="54">
                        <c:v>0.56524550413173569</c:v>
                      </c:pt>
                      <c:pt idx="55">
                        <c:v>0.57997984382946288</c:v>
                      </c:pt>
                      <c:pt idx="56">
                        <c:v>0.59490334036294523</c:v>
                      </c:pt>
                      <c:pt idx="57">
                        <c:v>0.61001823488174867</c:v>
                      </c:pt>
                      <c:pt idx="58">
                        <c:v>0.62532681897166709</c:v>
                      </c:pt>
                      <c:pt idx="59">
                        <c:v>0.64083143579233193</c:v>
                      </c:pt>
                      <c:pt idx="60">
                        <c:v>0.65653448125047531</c:v>
                      </c:pt>
                      <c:pt idx="61">
                        <c:v>0.6724384052100485</c:v>
                      </c:pt>
                      <c:pt idx="62">
                        <c:v>0.68854571274043674</c:v>
                      </c:pt>
                      <c:pt idx="63">
                        <c:v>0.70485896540407278</c:v>
                      </c:pt>
                      <c:pt idx="64">
                        <c:v>0.72138078258479865</c:v>
                      </c:pt>
                      <c:pt idx="65">
                        <c:v>0.73811384285838089</c:v>
                      </c:pt>
                      <c:pt idx="66">
                        <c:v>0.75506088540664751</c:v>
                      </c:pt>
                      <c:pt idx="67">
                        <c:v>0.77222471147677174</c:v>
                      </c:pt>
                      <c:pt idx="68">
                        <c:v>0.78960818588728965</c:v>
                      </c:pt>
                      <c:pt idx="69">
                        <c:v>0.80721423858251251</c:v>
                      </c:pt>
                      <c:pt idx="70">
                        <c:v>0.82504586623705789</c:v>
                      </c:pt>
                      <c:pt idx="71">
                        <c:v>0.84310613391229527</c:v>
                      </c:pt>
                      <c:pt idx="72">
                        <c:v>0.86139817676659314</c:v>
                      </c:pt>
                      <c:pt idx="73">
                        <c:v>0.87992520182130607</c:v>
                      </c:pt>
                      <c:pt idx="74">
                        <c:v>0.89869048978456001</c:v>
                      </c:pt>
                      <c:pt idx="75">
                        <c:v>0.91769739693494812</c:v>
                      </c:pt>
                      <c:pt idx="76">
                        <c:v>0.93694935706736526</c:v>
                      </c:pt>
                      <c:pt idx="77">
                        <c:v>0.95644988350329674</c:v>
                      </c:pt>
                      <c:pt idx="78">
                        <c:v>0.97620257116797404</c:v>
                      </c:pt>
                      <c:pt idx="79">
                        <c:v>0.99621109873692659</c:v>
                      </c:pt>
                      <c:pt idx="80">
                        <c:v>1.0164792308545605</c:v>
                      </c:pt>
                      <c:pt idx="81">
                        <c:v>1.0370108204275206</c:v>
                      </c:pt>
                      <c:pt idx="82">
                        <c:v>1.0578098109957046</c:v>
                      </c:pt>
                      <c:pt idx="83">
                        <c:v>1.0788802391839394</c:v>
                      </c:pt>
                      <c:pt idx="84">
                        <c:v>1.1002262372374529</c:v>
                      </c:pt>
                      <c:pt idx="85">
                        <c:v>1.1218520356444279</c:v>
                      </c:pt>
                      <c:pt idx="86">
                        <c:v>1.143761965849065</c:v>
                      </c:pt>
                      <c:pt idx="87">
                        <c:v>1.1659604630587406</c:v>
                      </c:pt>
                      <c:pt idx="88">
                        <c:v>1.1884520691490219</c:v>
                      </c:pt>
                      <c:pt idx="89">
                        <c:v>1.2112414356704539</c:v>
                      </c:pt>
                      <c:pt idx="90">
                        <c:v>1.2343333269612404</c:v>
                      </c:pt>
                      <c:pt idx="91">
                        <c:v>1.2577326233701065</c:v>
                      </c:pt>
                      <c:pt idx="92">
                        <c:v>1.2814443245938656</c:v>
                      </c:pt>
                      <c:pt idx="93">
                        <c:v>1.3054735531343928</c:v>
                      </c:pt>
                      <c:pt idx="94">
                        <c:v>1.3298255578799558</c:v>
                      </c:pt>
                      <c:pt idx="95">
                        <c:v>1.3545057178160829</c:v>
                      </c:pt>
                      <c:pt idx="96">
                        <c:v>1.3795195458713922</c:v>
                      </c:pt>
                      <c:pt idx="97">
                        <c:v>1.4048726929040871</c:v>
                      </c:pt>
                      <c:pt idx="98">
                        <c:v>1.4305709518350684</c:v>
                      </c:pt>
                      <c:pt idx="99">
                        <c:v>1.4566202619339461</c:v>
                      </c:pt>
                      <c:pt idx="100">
                        <c:v>1.4830267132645085</c:v>
                      </c:pt>
                    </c:numCache>
                  </c:numRef>
                </c:val>
                <c:smooth val="0"/>
                <c:extLst xmlns:c15="http://schemas.microsoft.com/office/drawing/2012/chart">
                  <c:ext xmlns:c16="http://schemas.microsoft.com/office/drawing/2014/chart" uri="{C3380CC4-5D6E-409C-BE32-E72D297353CC}">
                    <c16:uniqueId val="{0000000B-8897-4E0E-B39C-97315E8CCE9C}"/>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45342761228703388"/>
          <c:y val="4.498910833927644E-3"/>
          <c:w val="0.53563061358244635"/>
          <c:h val="0.1811510714580270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Calculations'!$BO$9:$BO$109</c:f>
              <c:numCache>
                <c:formatCode>0.00</c:formatCode>
                <c:ptCount val="101"/>
                <c:pt idx="0">
                  <c:v>0</c:v>
                </c:pt>
                <c:pt idx="1">
                  <c:v>39.448163134226519</c:v>
                </c:pt>
                <c:pt idx="2">
                  <c:v>56.259382098437385</c:v>
                </c:pt>
                <c:pt idx="3">
                  <c:v>65.568350682646866</c:v>
                </c:pt>
                <c:pt idx="4">
                  <c:v>71.476812236597453</c:v>
                </c:pt>
                <c:pt idx="5">
                  <c:v>75.55733580381937</c:v>
                </c:pt>
                <c:pt idx="6">
                  <c:v>78.542339931254261</c:v>
                </c:pt>
                <c:pt idx="7">
                  <c:v>80.819050654560513</c:v>
                </c:pt>
                <c:pt idx="8">
                  <c:v>82.611429013221368</c:v>
                </c:pt>
                <c:pt idx="9">
                  <c:v>84.058011998037557</c:v>
                </c:pt>
                <c:pt idx="10">
                  <c:v>85.249095183073223</c:v>
                </c:pt>
                <c:pt idx="11">
                  <c:v>86.246049240461488</c:v>
                </c:pt>
                <c:pt idx="12">
                  <c:v>87.092043118907839</c:v>
                </c:pt>
                <c:pt idx="13">
                  <c:v>87.818326090264634</c:v>
                </c:pt>
                <c:pt idx="14">
                  <c:v>88.448076008719127</c:v>
                </c:pt>
                <c:pt idx="15">
                  <c:v>88.993004916253241</c:v>
                </c:pt>
                <c:pt idx="16">
                  <c:v>89.462093801013481</c:v>
                </c:pt>
                <c:pt idx="17">
                  <c:v>89.87795752959785</c:v>
                </c:pt>
                <c:pt idx="18">
                  <c:v>90.248800390803424</c:v>
                </c:pt>
                <c:pt idx="19">
                  <c:v>90.58122045277068</c:v>
                </c:pt>
                <c:pt idx="20">
                  <c:v>90.880584231613042</c:v>
                </c:pt>
                <c:pt idx="21">
                  <c:v>91.151301158914137</c:v>
                </c:pt>
                <c:pt idx="22">
                  <c:v>91.397027777996158</c:v>
                </c:pt>
                <c:pt idx="23">
                  <c:v>91.620821799843654</c:v>
                </c:pt>
                <c:pt idx="24">
                  <c:v>91.825259817860157</c:v>
                </c:pt>
                <c:pt idx="25">
                  <c:v>92.012528304606292</c:v>
                </c:pt>
                <c:pt idx="26">
                  <c:v>92.184494707575112</c:v>
                </c:pt>
                <c:pt idx="27">
                  <c:v>92.342763543128541</c:v>
                </c:pt>
                <c:pt idx="28">
                  <c:v>92.488721056209329</c:v>
                </c:pt>
                <c:pt idx="29">
                  <c:v>92.623571075677575</c:v>
                </c:pt>
                <c:pt idx="30">
                  <c:v>92.748364025841838</c:v>
                </c:pt>
                <c:pt idx="31">
                  <c:v>92.864020571185762</c:v>
                </c:pt>
                <c:pt idx="32">
                  <c:v>92.97135101788966</c:v>
                </c:pt>
                <c:pt idx="33">
                  <c:v>93.071071334709075</c:v>
                </c:pt>
                <c:pt idx="34">
                  <c:v>93.163816461036333</c:v>
                </c:pt>
                <c:pt idx="35">
                  <c:v>93.250151423336717</c:v>
                </c:pt>
                <c:pt idx="36">
                  <c:v>93.330580669770498</c:v>
                </c:pt>
                <c:pt idx="37">
                  <c:v>93.405555947512113</c:v>
                </c:pt>
                <c:pt idx="38">
                  <c:v>93.475482981446021</c:v>
                </c:pt>
                <c:pt idx="39">
                  <c:v>93.540727161739071</c:v>
                </c:pt>
                <c:pt idx="40">
                  <c:v>93.601618407726278</c:v>
                </c:pt>
                <c:pt idx="41">
                  <c:v>93.658455343981615</c:v>
                </c:pt>
                <c:pt idx="42">
                  <c:v>93.711508899419215</c:v>
                </c:pt>
                <c:pt idx="43">
                  <c:v>93.761025420314837</c:v>
                </c:pt>
                <c:pt idx="44">
                  <c:v>93.807229372132895</c:v>
                </c:pt>
                <c:pt idx="45">
                  <c:v>93.850325692143585</c:v>
                </c:pt>
                <c:pt idx="46">
                  <c:v>93.890501844360074</c:v>
                </c:pt>
                <c:pt idx="47">
                  <c:v>93.927929619814947</c:v>
                </c:pt>
                <c:pt idx="48">
                  <c:v>93.962766718232771</c:v>
                </c:pt>
                <c:pt idx="49">
                  <c:v>93.995158141436747</c:v>
                </c:pt>
                <c:pt idx="50">
                  <c:v>94.025237424108113</c:v>
                </c:pt>
                <c:pt idx="51">
                  <c:v>94.05312772360854</c:v>
                </c:pt>
                <c:pt idx="52">
                  <c:v>94.078942787325389</c:v>
                </c:pt>
                <c:pt idx="53">
                  <c:v>94.102787813286199</c:v>
                </c:pt>
                <c:pt idx="54">
                  <c:v>94.124760217516894</c:v>
                </c:pt>
                <c:pt idx="55">
                  <c:v>94.144950319707405</c:v>
                </c:pt>
                <c:pt idx="56">
                  <c:v>94.163441957137849</c:v>
                </c:pt>
                <c:pt idx="57">
                  <c:v>94.180313035455683</c:v>
                </c:pt>
                <c:pt idx="58">
                  <c:v>94.195636023737976</c:v>
                </c:pt>
                <c:pt idx="59">
                  <c:v>94.209478400288148</c:v>
                </c:pt>
                <c:pt idx="60">
                  <c:v>94.221903054777357</c:v>
                </c:pt>
                <c:pt idx="61">
                  <c:v>94.232968651621178</c:v>
                </c:pt>
                <c:pt idx="62">
                  <c:v>94.242729958865397</c:v>
                </c:pt>
                <c:pt idx="63">
                  <c:v>94.251238146324056</c:v>
                </c:pt>
                <c:pt idx="64">
                  <c:v>94.258541056255424</c:v>
                </c:pt>
                <c:pt idx="65">
                  <c:v>94.264683449464727</c:v>
                </c:pt>
                <c:pt idx="66">
                  <c:v>94.269707229381012</c:v>
                </c:pt>
                <c:pt idx="67">
                  <c:v>94.273651646356413</c:v>
                </c:pt>
                <c:pt idx="68">
                  <c:v>94.276553484177498</c:v>
                </c:pt>
                <c:pt idx="69">
                  <c:v>94.278447230552032</c:v>
                </c:pt>
                <c:pt idx="70">
                  <c:v>94.27936523313673</c:v>
                </c:pt>
                <c:pt idx="71">
                  <c:v>94.279337842498848</c:v>
                </c:pt>
                <c:pt idx="72">
                  <c:v>94.278393543252037</c:v>
                </c:pt>
                <c:pt idx="73">
                  <c:v>94.276559074473766</c:v>
                </c:pt>
                <c:pt idx="74">
                  <c:v>94.273859540393801</c:v>
                </c:pt>
                <c:pt idx="75">
                  <c:v>94.270318512239641</c:v>
                </c:pt>
                <c:pt idx="76">
                  <c:v>94.265958122032629</c:v>
                </c:pt>
                <c:pt idx="77">
                  <c:v>94.260799149047898</c:v>
                </c:pt>
                <c:pt idx="78">
                  <c:v>94.254861099578903</c:v>
                </c:pt>
                <c:pt idx="79">
                  <c:v>94.248162280583131</c:v>
                </c:pt>
                <c:pt idx="80">
                  <c:v>94.240719867729268</c:v>
                </c:pt>
                <c:pt idx="81">
                  <c:v>94.232549968314743</c:v>
                </c:pt>
                <c:pt idx="82">
                  <c:v>94.223667679477913</c:v>
                </c:pt>
                <c:pt idx="83">
                  <c:v>94.214087142088161</c:v>
                </c:pt>
                <c:pt idx="84">
                  <c:v>94.203821590661221</c:v>
                </c:pt>
                <c:pt idx="85">
                  <c:v>94.192883399615042</c:v>
                </c:pt>
                <c:pt idx="86">
                  <c:v>94.181284126151326</c:v>
                </c:pt>
                <c:pt idx="87">
                  <c:v>94.169034550023085</c:v>
                </c:pt>
                <c:pt idx="88">
                  <c:v>94.156144710423519</c:v>
                </c:pt>
                <c:pt idx="89">
                  <c:v>94.142623940211791</c:v>
                </c:pt>
                <c:pt idx="90">
                  <c:v>94.128480897670855</c:v>
                </c:pt>
                <c:pt idx="91">
                  <c:v>94.113723595976069</c:v>
                </c:pt>
                <c:pt idx="92">
                  <c:v>94.098359430537258</c:v>
                </c:pt>
                <c:pt idx="93">
                  <c:v>94.082395204362598</c:v>
                </c:pt>
                <c:pt idx="94">
                  <c:v>94.065837151580439</c:v>
                </c:pt>
                <c:pt idx="95">
                  <c:v>94.048690959242734</c:v>
                </c:pt>
                <c:pt idx="96">
                  <c:v>94.030961787523538</c:v>
                </c:pt>
                <c:pt idx="97">
                  <c:v>94.012654288416613</c:v>
                </c:pt>
                <c:pt idx="98">
                  <c:v>93.993772623026459</c:v>
                </c:pt>
                <c:pt idx="99">
                  <c:v>93.974320477540303</c:v>
                </c:pt>
                <c:pt idx="100">
                  <c:v>93.954301077959883</c:v>
                </c:pt>
              </c:numCache>
            </c:numRef>
          </c:val>
          <c:smooth val="0"/>
          <c:extLst>
            <c:ext xmlns:c16="http://schemas.microsoft.com/office/drawing/2014/chart" uri="{C3380CC4-5D6E-409C-BE32-E72D297353CC}">
              <c16:uniqueId val="{00000000-0C66-4A53-91BE-779AAB69F7ED}"/>
            </c:ext>
          </c:extLst>
        </c:ser>
        <c:dLbls>
          <c:showLegendKey val="0"/>
          <c:showVal val="0"/>
          <c:showCatName val="0"/>
          <c:showSerName val="0"/>
          <c:showPercent val="0"/>
          <c:showBubbleSize val="0"/>
        </c:dLbls>
        <c:marker val="1"/>
        <c:smooth val="0"/>
        <c:axId val="196357120"/>
        <c:axId val="196359296"/>
      </c:lineChart>
      <c:lineChart>
        <c:grouping val="standard"/>
        <c:varyColors val="0"/>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2"/>
                <c:order val="1"/>
                <c:tx>
                  <c:strRef>
                    <c:extLst>
                      <c:ext uri="{02D57815-91ED-43cb-92C2-25804820EDAC}">
                        <c15:formulaRef>
                          <c15:sqref>'Efficiency vs Load Calculations'!$Y$8</c15:sqref>
                        </c15:formulaRef>
                      </c:ext>
                    </c:extLst>
                    <c:strCache>
                      <c:ptCount val="1"/>
                      <c:pt idx="0">
                        <c:v>Core Loss</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Calculations'!$Y$9:$Y$109</c15:sqref>
                        </c15:formulaRef>
                      </c:ext>
                    </c:extLst>
                    <c:numCache>
                      <c:formatCode>0.000</c:formatCode>
                      <c:ptCount val="101"/>
                      <c:pt idx="0">
                        <c:v>0.58200340578744814</c:v>
                      </c:pt>
                      <c:pt idx="1">
                        <c:v>0.58212413292576148</c:v>
                      </c:pt>
                      <c:pt idx="2">
                        <c:v>0.58224487116657753</c:v>
                      </c:pt>
                      <c:pt idx="3">
                        <c:v>0.58236562050931873</c:v>
                      </c:pt>
                      <c:pt idx="4">
                        <c:v>0.58248638095341243</c:v>
                      </c:pt>
                      <c:pt idx="5">
                        <c:v>0.58260715249827966</c:v>
                      </c:pt>
                      <c:pt idx="6">
                        <c:v>0.58272793514334553</c:v>
                      </c:pt>
                      <c:pt idx="7">
                        <c:v>0.58284872888803263</c:v>
                      </c:pt>
                      <c:pt idx="8">
                        <c:v>0.58296953373176708</c:v>
                      </c:pt>
                      <c:pt idx="9">
                        <c:v>0.58309034967397111</c:v>
                      </c:pt>
                      <c:pt idx="10">
                        <c:v>0.58321117671406941</c:v>
                      </c:pt>
                      <c:pt idx="11">
                        <c:v>0.58333201485148611</c:v>
                      </c:pt>
                      <c:pt idx="12">
                        <c:v>0.58345286408564423</c:v>
                      </c:pt>
                      <c:pt idx="13">
                        <c:v>0.58357372441596911</c:v>
                      </c:pt>
                      <c:pt idx="14">
                        <c:v>0.58369459584188221</c:v>
                      </c:pt>
                      <c:pt idx="15">
                        <c:v>0.58381547836281056</c:v>
                      </c:pt>
                      <c:pt idx="16">
                        <c:v>0.58393637197817461</c:v>
                      </c:pt>
                      <c:pt idx="17">
                        <c:v>0.58405727668740082</c:v>
                      </c:pt>
                      <c:pt idx="18">
                        <c:v>0.58417819248991332</c:v>
                      </c:pt>
                      <c:pt idx="19">
                        <c:v>0.58429911938513435</c:v>
                      </c:pt>
                      <c:pt idx="20">
                        <c:v>0.58442005737248781</c:v>
                      </c:pt>
                      <c:pt idx="21">
                        <c:v>0.58454100645139873</c:v>
                      </c:pt>
                      <c:pt idx="22">
                        <c:v>0.58466196662128955</c:v>
                      </c:pt>
                      <c:pt idx="23">
                        <c:v>0.58478293788158497</c:v>
                      </c:pt>
                      <c:pt idx="24">
                        <c:v>0.58490392023171045</c:v>
                      </c:pt>
                      <c:pt idx="25">
                        <c:v>0.585024913671087</c:v>
                      </c:pt>
                      <c:pt idx="26">
                        <c:v>0.58514591819913875</c:v>
                      </c:pt>
                      <c:pt idx="27">
                        <c:v>0.58526693381529082</c:v>
                      </c:pt>
                      <c:pt idx="28">
                        <c:v>0.58538796051896602</c:v>
                      </c:pt>
                      <c:pt idx="29">
                        <c:v>0.58550899830958991</c:v>
                      </c:pt>
                      <c:pt idx="30">
                        <c:v>0.58563004718658374</c:v>
                      </c:pt>
                      <c:pt idx="31">
                        <c:v>0.58575110714937328</c:v>
                      </c:pt>
                      <c:pt idx="32">
                        <c:v>0.58587217819738058</c:v>
                      </c:pt>
                      <c:pt idx="33">
                        <c:v>0.58599326033003163</c:v>
                      </c:pt>
                      <c:pt idx="34">
                        <c:v>0.58611435354674823</c:v>
                      </c:pt>
                      <c:pt idx="35">
                        <c:v>0.5862354578469543</c:v>
                      </c:pt>
                      <c:pt idx="36">
                        <c:v>0.58635657323007562</c:v>
                      </c:pt>
                      <c:pt idx="37">
                        <c:v>0.58647769969553298</c:v>
                      </c:pt>
                      <c:pt idx="38">
                        <c:v>0.58659883724275241</c:v>
                      </c:pt>
                      <c:pt idx="39">
                        <c:v>0.5867199858711567</c:v>
                      </c:pt>
                      <c:pt idx="40">
                        <c:v>0.58684114558016964</c:v>
                      </c:pt>
                      <c:pt idx="41">
                        <c:v>0.58696231636921337</c:v>
                      </c:pt>
                      <c:pt idx="42">
                        <c:v>0.58708349823771555</c:v>
                      </c:pt>
                      <c:pt idx="43">
                        <c:v>0.58720469118509655</c:v>
                      </c:pt>
                      <c:pt idx="44">
                        <c:v>0.58732589521078082</c:v>
                      </c:pt>
                      <c:pt idx="45">
                        <c:v>0.58744711031419261</c:v>
                      </c:pt>
                      <c:pt idx="46">
                        <c:v>0.58756833649475482</c:v>
                      </c:pt>
                      <c:pt idx="47">
                        <c:v>0.58768957375189257</c:v>
                      </c:pt>
                      <c:pt idx="48">
                        <c:v>0.58781082208502744</c:v>
                      </c:pt>
                      <c:pt idx="49">
                        <c:v>0.587932081493585</c:v>
                      </c:pt>
                      <c:pt idx="50">
                        <c:v>0.58805335197698794</c:v>
                      </c:pt>
                      <c:pt idx="51">
                        <c:v>0.58817463353466126</c:v>
                      </c:pt>
                      <c:pt idx="52">
                        <c:v>0.58829592616602622</c:v>
                      </c:pt>
                      <c:pt idx="53">
                        <c:v>0.5884172298705066</c:v>
                      </c:pt>
                      <c:pt idx="54">
                        <c:v>0.58853854464752853</c:v>
                      </c:pt>
                      <c:pt idx="55">
                        <c:v>0.58865987049651336</c:v>
                      </c:pt>
                      <c:pt idx="56">
                        <c:v>0.58878120741688666</c:v>
                      </c:pt>
                      <c:pt idx="57">
                        <c:v>0.58890255540806991</c:v>
                      </c:pt>
                      <c:pt idx="58">
                        <c:v>0.58902391446948799</c:v>
                      </c:pt>
                      <c:pt idx="59">
                        <c:v>0.58914528460056426</c:v>
                      </c:pt>
                      <c:pt idx="60">
                        <c:v>0.58926666580072229</c:v>
                      </c:pt>
                      <c:pt idx="61">
                        <c:v>0.58938805806938588</c:v>
                      </c:pt>
                      <c:pt idx="62">
                        <c:v>0.5895094614059786</c:v>
                      </c:pt>
                      <c:pt idx="63">
                        <c:v>0.58963087580992357</c:v>
                      </c:pt>
                      <c:pt idx="64">
                        <c:v>0.58975230128064449</c:v>
                      </c:pt>
                      <c:pt idx="65">
                        <c:v>0.58987373781756491</c:v>
                      </c:pt>
                      <c:pt idx="66">
                        <c:v>0.58999518542010898</c:v>
                      </c:pt>
                      <c:pt idx="67">
                        <c:v>0.59011664408769926</c:v>
                      </c:pt>
                      <c:pt idx="68">
                        <c:v>0.59023811381976055</c:v>
                      </c:pt>
                      <c:pt idx="69">
                        <c:v>0.59035959461571397</c:v>
                      </c:pt>
                      <c:pt idx="70">
                        <c:v>0.59048108647498709</c:v>
                      </c:pt>
                      <c:pt idx="71">
                        <c:v>0.5906025893969995</c:v>
                      </c:pt>
                      <c:pt idx="72">
                        <c:v>0.59072410338117753</c:v>
                      </c:pt>
                      <c:pt idx="73">
                        <c:v>0.59084562842694166</c:v>
                      </c:pt>
                      <c:pt idx="74">
                        <c:v>0.59096716453371767</c:v>
                      </c:pt>
                      <c:pt idx="75">
                        <c:v>0.59108871170093003</c:v>
                      </c:pt>
                      <c:pt idx="76">
                        <c:v>0.59121026992799974</c:v>
                      </c:pt>
                      <c:pt idx="77">
                        <c:v>0.59133183921435084</c:v>
                      </c:pt>
                      <c:pt idx="78">
                        <c:v>0.59145341955940844</c:v>
                      </c:pt>
                      <c:pt idx="79">
                        <c:v>0.59157501096259424</c:v>
                      </c:pt>
                      <c:pt idx="80">
                        <c:v>0.59169661342333302</c:v>
                      </c:pt>
                      <c:pt idx="81">
                        <c:v>0.5918182269410468</c:v>
                      </c:pt>
                      <c:pt idx="82">
                        <c:v>0.59193985151515893</c:v>
                      </c:pt>
                      <c:pt idx="83">
                        <c:v>0.59206148714509577</c:v>
                      </c:pt>
                      <c:pt idx="84">
                        <c:v>0.5921831338302781</c:v>
                      </c:pt>
                      <c:pt idx="85">
                        <c:v>0.59230479157012939</c:v>
                      </c:pt>
                      <c:pt idx="86">
                        <c:v>0.59242646036407365</c:v>
                      </c:pt>
                      <c:pt idx="87">
                        <c:v>0.59254814021153501</c:v>
                      </c:pt>
                      <c:pt idx="88">
                        <c:v>0.59266983111193583</c:v>
                      </c:pt>
                      <c:pt idx="89">
                        <c:v>0.5927915330647</c:v>
                      </c:pt>
                      <c:pt idx="90">
                        <c:v>0.59291324606925166</c:v>
                      </c:pt>
                      <c:pt idx="91">
                        <c:v>0.5930349701250115</c:v>
                      </c:pt>
                      <c:pt idx="92">
                        <c:v>0.59315670523140585</c:v>
                      </c:pt>
                      <c:pt idx="93">
                        <c:v>0.59327845138785729</c:v>
                      </c:pt>
                      <c:pt idx="94">
                        <c:v>0.59340020859378906</c:v>
                      </c:pt>
                      <c:pt idx="95">
                        <c:v>0.59352197684862307</c:v>
                      </c:pt>
                      <c:pt idx="96">
                        <c:v>0.59364375615178533</c:v>
                      </c:pt>
                      <c:pt idx="97">
                        <c:v>0.59376554650269753</c:v>
                      </c:pt>
                      <c:pt idx="98">
                        <c:v>0.59388734790078312</c:v>
                      </c:pt>
                      <c:pt idx="99">
                        <c:v>0.59400916034546647</c:v>
                      </c:pt>
                      <c:pt idx="100">
                        <c:v>0.5941309838361688</c:v>
                      </c:pt>
                    </c:numCache>
                  </c:numRef>
                </c:val>
                <c:smooth val="0"/>
                <c:extLst>
                  <c:ext xmlns:c16="http://schemas.microsoft.com/office/drawing/2014/chart" uri="{C3380CC4-5D6E-409C-BE32-E72D297353CC}">
                    <c16:uniqueId val="{00000001-0C66-4A53-91BE-779AAB69F7ED}"/>
                  </c:ext>
                </c:extLst>
              </c15:ser>
            </c15:filteredLineSeries>
            <c15:filteredLineSeries>
              <c15:ser>
                <c:idx val="13"/>
                <c:order val="2"/>
                <c:tx>
                  <c:strRef>
                    <c:extLst xmlns:c15="http://schemas.microsoft.com/office/drawing/2012/chart">
                      <c:ext xmlns:c15="http://schemas.microsoft.com/office/drawing/2012/chart" uri="{02D57815-91ED-43cb-92C2-25804820EDAC}">
                        <c15:formulaRef>
                          <c15:sqref>'Efficiency vs Load Calculations'!$BE$7</c15:sqref>
                        </c15:formulaRef>
                      </c:ext>
                    </c:extLst>
                    <c:strCache>
                      <c:ptCount val="1"/>
                      <c:pt idx="0">
                        <c:v>Controller IC Losses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Calculations'!$BG$9:$BG$109</c15:sqref>
                        </c15:formulaRef>
                      </c:ext>
                    </c:extLst>
                    <c:numCache>
                      <c:formatCode>0.000</c:formatCode>
                      <c:ptCount val="101"/>
                      <c:pt idx="0">
                        <c:v>0.57269042016806726</c:v>
                      </c:pt>
                      <c:pt idx="1">
                        <c:v>0.57269042016806726</c:v>
                      </c:pt>
                      <c:pt idx="2">
                        <c:v>0.57269042016806726</c:v>
                      </c:pt>
                      <c:pt idx="3">
                        <c:v>0.57269042016806726</c:v>
                      </c:pt>
                      <c:pt idx="4">
                        <c:v>0.57269042016806726</c:v>
                      </c:pt>
                      <c:pt idx="5">
                        <c:v>0.57269042016806726</c:v>
                      </c:pt>
                      <c:pt idx="6">
                        <c:v>0.57269042016806726</c:v>
                      </c:pt>
                      <c:pt idx="7">
                        <c:v>0.57269042016806726</c:v>
                      </c:pt>
                      <c:pt idx="8">
                        <c:v>0.57269042016806726</c:v>
                      </c:pt>
                      <c:pt idx="9">
                        <c:v>0.57269042016806726</c:v>
                      </c:pt>
                      <c:pt idx="10">
                        <c:v>0.57269042016806726</c:v>
                      </c:pt>
                      <c:pt idx="11">
                        <c:v>0.57269042016806726</c:v>
                      </c:pt>
                      <c:pt idx="12">
                        <c:v>0.57269042016806726</c:v>
                      </c:pt>
                      <c:pt idx="13">
                        <c:v>0.57269042016806726</c:v>
                      </c:pt>
                      <c:pt idx="14">
                        <c:v>0.57269042016806726</c:v>
                      </c:pt>
                      <c:pt idx="15">
                        <c:v>0.57269042016806726</c:v>
                      </c:pt>
                      <c:pt idx="16">
                        <c:v>0.57269042016806726</c:v>
                      </c:pt>
                      <c:pt idx="17">
                        <c:v>0.57269042016806726</c:v>
                      </c:pt>
                      <c:pt idx="18">
                        <c:v>0.57269042016806726</c:v>
                      </c:pt>
                      <c:pt idx="19">
                        <c:v>0.57269042016806726</c:v>
                      </c:pt>
                      <c:pt idx="20">
                        <c:v>0.57269042016806726</c:v>
                      </c:pt>
                      <c:pt idx="21">
                        <c:v>0.57269042016806726</c:v>
                      </c:pt>
                      <c:pt idx="22">
                        <c:v>0.57269042016806726</c:v>
                      </c:pt>
                      <c:pt idx="23">
                        <c:v>0.57269042016806726</c:v>
                      </c:pt>
                      <c:pt idx="24">
                        <c:v>0.57269042016806726</c:v>
                      </c:pt>
                      <c:pt idx="25">
                        <c:v>0.57269042016806726</c:v>
                      </c:pt>
                      <c:pt idx="26">
                        <c:v>0.57269042016806726</c:v>
                      </c:pt>
                      <c:pt idx="27">
                        <c:v>0.57269042016806726</c:v>
                      </c:pt>
                      <c:pt idx="28">
                        <c:v>0.57269042016806726</c:v>
                      </c:pt>
                      <c:pt idx="29">
                        <c:v>0.57269042016806726</c:v>
                      </c:pt>
                      <c:pt idx="30">
                        <c:v>0.57269042016806726</c:v>
                      </c:pt>
                      <c:pt idx="31">
                        <c:v>0.57269042016806726</c:v>
                      </c:pt>
                      <c:pt idx="32">
                        <c:v>0.57269042016806726</c:v>
                      </c:pt>
                      <c:pt idx="33">
                        <c:v>0.57269042016806726</c:v>
                      </c:pt>
                      <c:pt idx="34">
                        <c:v>0.57269042016806726</c:v>
                      </c:pt>
                      <c:pt idx="35">
                        <c:v>0.57269042016806726</c:v>
                      </c:pt>
                      <c:pt idx="36">
                        <c:v>0.57269042016806726</c:v>
                      </c:pt>
                      <c:pt idx="37">
                        <c:v>0.57269042016806726</c:v>
                      </c:pt>
                      <c:pt idx="38">
                        <c:v>0.57269042016806726</c:v>
                      </c:pt>
                      <c:pt idx="39">
                        <c:v>0.57269042016806726</c:v>
                      </c:pt>
                      <c:pt idx="40">
                        <c:v>0.57269042016806726</c:v>
                      </c:pt>
                      <c:pt idx="41">
                        <c:v>0.57269042016806726</c:v>
                      </c:pt>
                      <c:pt idx="42">
                        <c:v>0.57269042016806726</c:v>
                      </c:pt>
                      <c:pt idx="43">
                        <c:v>0.57269042016806726</c:v>
                      </c:pt>
                      <c:pt idx="44">
                        <c:v>0.57269042016806726</c:v>
                      </c:pt>
                      <c:pt idx="45">
                        <c:v>0.57269042016806726</c:v>
                      </c:pt>
                      <c:pt idx="46">
                        <c:v>0.57269042016806726</c:v>
                      </c:pt>
                      <c:pt idx="47">
                        <c:v>0.57269042016806726</c:v>
                      </c:pt>
                      <c:pt idx="48">
                        <c:v>0.57269042016806726</c:v>
                      </c:pt>
                      <c:pt idx="49">
                        <c:v>0.57269042016806726</c:v>
                      </c:pt>
                      <c:pt idx="50">
                        <c:v>0.57269042016806726</c:v>
                      </c:pt>
                      <c:pt idx="51">
                        <c:v>0.57269042016806726</c:v>
                      </c:pt>
                      <c:pt idx="52">
                        <c:v>0.57269042016806726</c:v>
                      </c:pt>
                      <c:pt idx="53">
                        <c:v>0.57269042016806726</c:v>
                      </c:pt>
                      <c:pt idx="54">
                        <c:v>0.57269042016806726</c:v>
                      </c:pt>
                      <c:pt idx="55">
                        <c:v>0.57269042016806726</c:v>
                      </c:pt>
                      <c:pt idx="56">
                        <c:v>0.57269042016806726</c:v>
                      </c:pt>
                      <c:pt idx="57">
                        <c:v>0.57269042016806726</c:v>
                      </c:pt>
                      <c:pt idx="58">
                        <c:v>0.57269042016806726</c:v>
                      </c:pt>
                      <c:pt idx="59">
                        <c:v>0.57269042016806726</c:v>
                      </c:pt>
                      <c:pt idx="60">
                        <c:v>0.57269042016806726</c:v>
                      </c:pt>
                      <c:pt idx="61">
                        <c:v>0.57269042016806726</c:v>
                      </c:pt>
                      <c:pt idx="62">
                        <c:v>0.57269042016806726</c:v>
                      </c:pt>
                      <c:pt idx="63">
                        <c:v>0.57269042016806726</c:v>
                      </c:pt>
                      <c:pt idx="64">
                        <c:v>0.57269042016806726</c:v>
                      </c:pt>
                      <c:pt idx="65">
                        <c:v>0.57269042016806726</c:v>
                      </c:pt>
                      <c:pt idx="66">
                        <c:v>0.57269042016806726</c:v>
                      </c:pt>
                      <c:pt idx="67">
                        <c:v>0.57269042016806726</c:v>
                      </c:pt>
                      <c:pt idx="68">
                        <c:v>0.57269042016806726</c:v>
                      </c:pt>
                      <c:pt idx="69">
                        <c:v>0.57269042016806726</c:v>
                      </c:pt>
                      <c:pt idx="70">
                        <c:v>0.57269042016806726</c:v>
                      </c:pt>
                      <c:pt idx="71">
                        <c:v>0.57269042016806726</c:v>
                      </c:pt>
                      <c:pt idx="72">
                        <c:v>0.57269042016806726</c:v>
                      </c:pt>
                      <c:pt idx="73">
                        <c:v>0.57269042016806726</c:v>
                      </c:pt>
                      <c:pt idx="74">
                        <c:v>0.57269042016806726</c:v>
                      </c:pt>
                      <c:pt idx="75">
                        <c:v>0.57269042016806726</c:v>
                      </c:pt>
                      <c:pt idx="76">
                        <c:v>0.57269042016806726</c:v>
                      </c:pt>
                      <c:pt idx="77">
                        <c:v>0.57269042016806726</c:v>
                      </c:pt>
                      <c:pt idx="78">
                        <c:v>0.57269042016806726</c:v>
                      </c:pt>
                      <c:pt idx="79">
                        <c:v>0.57269042016806726</c:v>
                      </c:pt>
                      <c:pt idx="80">
                        <c:v>0.57269042016806726</c:v>
                      </c:pt>
                      <c:pt idx="81">
                        <c:v>0.57269042016806726</c:v>
                      </c:pt>
                      <c:pt idx="82">
                        <c:v>0.57269042016806726</c:v>
                      </c:pt>
                      <c:pt idx="83">
                        <c:v>0.57269042016806726</c:v>
                      </c:pt>
                      <c:pt idx="84">
                        <c:v>0.57269042016806726</c:v>
                      </c:pt>
                      <c:pt idx="85">
                        <c:v>0.57269042016806726</c:v>
                      </c:pt>
                      <c:pt idx="86">
                        <c:v>0.57269042016806726</c:v>
                      </c:pt>
                      <c:pt idx="87">
                        <c:v>0.57269042016806726</c:v>
                      </c:pt>
                      <c:pt idx="88">
                        <c:v>0.57269042016806726</c:v>
                      </c:pt>
                      <c:pt idx="89">
                        <c:v>0.57269042016806726</c:v>
                      </c:pt>
                      <c:pt idx="90">
                        <c:v>0.57269042016806726</c:v>
                      </c:pt>
                      <c:pt idx="91">
                        <c:v>0.57269042016806726</c:v>
                      </c:pt>
                      <c:pt idx="92">
                        <c:v>0.57269042016806726</c:v>
                      </c:pt>
                      <c:pt idx="93">
                        <c:v>0.57269042016806726</c:v>
                      </c:pt>
                      <c:pt idx="94">
                        <c:v>0.57269042016806726</c:v>
                      </c:pt>
                      <c:pt idx="95">
                        <c:v>0.57269042016806726</c:v>
                      </c:pt>
                      <c:pt idx="96">
                        <c:v>0.57269042016806726</c:v>
                      </c:pt>
                      <c:pt idx="97">
                        <c:v>0.57269042016806726</c:v>
                      </c:pt>
                      <c:pt idx="98">
                        <c:v>0.57269042016806726</c:v>
                      </c:pt>
                      <c:pt idx="99">
                        <c:v>0.57269042016806726</c:v>
                      </c:pt>
                      <c:pt idx="100">
                        <c:v>0.57269042016806726</c:v>
                      </c:pt>
                    </c:numCache>
                  </c:numRef>
                </c:val>
                <c:smooth val="0"/>
                <c:extLst xmlns:c15="http://schemas.microsoft.com/office/drawing/2012/chart">
                  <c:ext xmlns:c16="http://schemas.microsoft.com/office/drawing/2014/chart" uri="{C3380CC4-5D6E-409C-BE32-E72D297353CC}">
                    <c16:uniqueId val="{00000002-0C66-4A53-91BE-779AAB69F7ED}"/>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Load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Calculations'!$X$9:$X$109</c15:sqref>
                        </c15:formulaRef>
                      </c:ext>
                    </c:extLst>
                    <c:numCache>
                      <c:formatCode>0.000</c:formatCode>
                      <c:ptCount val="101"/>
                      <c:pt idx="0">
                        <c:v>5.9746249431231278E-3</c:v>
                      </c:pt>
                      <c:pt idx="1">
                        <c:v>6.0593016900097755E-3</c:v>
                      </c:pt>
                      <c:pt idx="2">
                        <c:v>6.3111861354329495E-3</c:v>
                      </c:pt>
                      <c:pt idx="3">
                        <c:v>6.7302984862996898E-3</c:v>
                      </c:pt>
                      <c:pt idx="4">
                        <c:v>7.3166723677390039E-3</c:v>
                      </c:pt>
                      <c:pt idx="5">
                        <c:v>8.0703548298467955E-3</c:v>
                      </c:pt>
                      <c:pt idx="6">
                        <c:v>8.9914063571252863E-3</c:v>
                      </c:pt>
                      <c:pt idx="7">
                        <c:v>1.0079900880620642E-2</c:v>
                      </c:pt>
                      <c:pt idx="8">
                        <c:v>1.1335925792763187E-2</c:v>
                      </c:pt>
                      <c:pt idx="9">
                        <c:v>1.2759581964915849E-2</c:v>
                      </c:pt>
                      <c:pt idx="10">
                        <c:v>1.4350983767637385E-2</c:v>
                      </c:pt>
                      <c:pt idx="11">
                        <c:v>1.6110259093668106E-2</c:v>
                      </c:pt>
                      <c:pt idx="12">
                        <c:v>1.8037549383646434E-2</c:v>
                      </c:pt>
                      <c:pt idx="13">
                        <c:v>2.0133009654566391E-2</c:v>
                      </c:pt>
                      <c:pt idx="14">
                        <c:v>2.2396808530986224E-2</c:v>
                      </c:pt>
                      <c:pt idx="15">
                        <c:v>2.482912827900045E-2</c:v>
                      </c:pt>
                      <c:pt idx="16">
                        <c:v>2.7430164842987496E-2</c:v>
                      </c:pt>
                      <c:pt idx="17">
                        <c:v>3.0200127885147428E-2</c:v>
                      </c:pt>
                      <c:pt idx="18">
                        <c:v>3.3139240827844169E-2</c:v>
                      </c:pt>
                      <c:pt idx="19">
                        <c:v>3.624774089876847E-2</c:v>
                      </c:pt>
                      <c:pt idx="20">
                        <c:v>3.952587917893878E-2</c:v>
                      </c:pt>
                      <c:pt idx="21">
                        <c:v>4.2973920653557797E-2</c:v>
                      </c:pt>
                      <c:pt idx="22">
                        <c:v>4.6592144265744567E-2</c:v>
                      </c:pt>
                      <c:pt idx="23">
                        <c:v>5.0380842973162095E-2</c:v>
                      </c:pt>
                      <c:pt idx="24">
                        <c:v>5.4340323807562124E-2</c:v>
                      </c:pt>
                      <c:pt idx="25">
                        <c:v>5.8470907937269744E-2</c:v>
                      </c:pt>
                      <c:pt idx="26">
                        <c:v>6.2772930732632001E-2</c:v>
                      </c:pt>
                      <c:pt idx="27">
                        <c:v>6.7246741834454948E-2</c:v>
                      </c:pt>
                      <c:pt idx="28">
                        <c:v>7.1892705225455544E-2</c:v>
                      </c:pt>
                      <c:pt idx="29">
                        <c:v>7.671119930475645E-2</c:v>
                      </c:pt>
                      <c:pt idx="30">
                        <c:v>8.1702616965451211E-2</c:v>
                      </c:pt>
                      <c:pt idx="31">
                        <c:v>8.6867365675270619E-2</c:v>
                      </c:pt>
                      <c:pt idx="32">
                        <c:v>9.2205867560381044E-2</c:v>
                      </c:pt>
                      <c:pt idx="33">
                        <c:v>9.7718559492347201E-2</c:v>
                      </c:pt>
                      <c:pt idx="34">
                        <c:v>0.1034058931782927</c:v>
                      </c:pt>
                      <c:pt idx="35">
                        <c:v>0.10926833525429439</c:v>
                      </c:pt>
                      <c:pt idx="36">
                        <c:v>0.11530636738204576</c:v>
                      </c:pt>
                      <c:pt idx="37">
                        <c:v>0.12152048634882746</c:v>
                      </c:pt>
                      <c:pt idx="38">
                        <c:v>0.12791120417082483</c:v>
                      </c:pt>
                      <c:pt idx="39">
                        <c:v>0.13447904819983181</c:v>
                      </c:pt>
                      <c:pt idx="40">
                        <c:v>0.14122456123338387</c:v>
                      </c:pt>
                      <c:pt idx="41">
                        <c:v>0.14814830162836326</c:v>
                      </c:pt>
                      <c:pt idx="42">
                        <c:v>0.15525084341812237</c:v>
                      </c:pt>
                      <c:pt idx="43">
                        <c:v>0.16253277643316894</c:v>
                      </c:pt>
                      <c:pt idx="44">
                        <c:v>0.16999470642546516</c:v>
                      </c:pt>
                      <c:pt idx="45">
                        <c:v>0.17763725519638685</c:v>
                      </c:pt>
                      <c:pt idx="46">
                        <c:v>0.18546106072839558</c:v>
                      </c:pt>
                      <c:pt idx="47">
                        <c:v>0.1934667773204764</c:v>
                      </c:pt>
                      <c:pt idx="48">
                        <c:v>0.20165507572739516</c:v>
                      </c:pt>
                      <c:pt idx="49">
                        <c:v>0.21002664330283247</c:v>
                      </c:pt>
                      <c:pt idx="50">
                        <c:v>0.21858218414645184</c:v>
                      </c:pt>
                      <c:pt idx="51">
                        <c:v>0.22732241925496194</c:v>
                      </c:pt>
                      <c:pt idx="52">
                        <c:v>0.23624808667723474</c:v>
                      </c:pt>
                      <c:pt idx="53">
                        <c:v>0.2453599416735425</c:v>
                      </c:pt>
                      <c:pt idx="54">
                        <c:v>0.25465875687898049</c:v>
                      </c:pt>
                      <c:pt idx="55">
                        <c:v>0.26414532247114064</c:v>
                      </c:pt>
                      <c:pt idx="56">
                        <c:v>0.27382044634210834</c:v>
                      </c:pt>
                      <c:pt idx="57">
                        <c:v>0.28368495427485041</c:v>
                      </c:pt>
                      <c:pt idx="58">
                        <c:v>0.29373969012407142</c:v>
                      </c:pt>
                      <c:pt idx="59">
                        <c:v>0.30398551600161211</c:v>
                      </c:pt>
                      <c:pt idx="60">
                        <c:v>0.31442331246646738</c:v>
                      </c:pt>
                      <c:pt idx="61">
                        <c:v>0.32505397871950537</c:v>
                      </c:pt>
                      <c:pt idx="62">
                        <c:v>0.33587843280297053</c:v>
                      </c:pt>
                      <c:pt idx="63">
                        <c:v>0.34689761180485285</c:v>
                      </c:pt>
                      <c:pt idx="64">
                        <c:v>0.3581124720682145</c:v>
                      </c:pt>
                      <c:pt idx="65">
                        <c:v>0.36952398940555986</c:v>
                      </c:pt>
                      <c:pt idx="66">
                        <c:v>0.38113315931834402</c:v>
                      </c:pt>
                      <c:pt idx="67">
                        <c:v>0.39294099722171438</c:v>
                      </c:pt>
                      <c:pt idx="68">
                        <c:v>0.40494853867458147</c:v>
                      </c:pt>
                      <c:pt idx="69">
                        <c:v>0.41715683961512129</c:v>
                      </c:pt>
                      <c:pt idx="70">
                        <c:v>0.4295669766018117</c:v>
                      </c:pt>
                      <c:pt idx="71">
                        <c:v>0.44218004706010766</c:v>
                      </c:pt>
                      <c:pt idx="72">
                        <c:v>0.45499716953486968</c:v>
                      </c:pt>
                      <c:pt idx="73">
                        <c:v>0.46801948394864901</c:v>
                      </c:pt>
                      <c:pt idx="74">
                        <c:v>0.48124815186595443</c:v>
                      </c:pt>
                      <c:pt idx="75">
                        <c:v>0.49468435676361266</c:v>
                      </c:pt>
                      <c:pt idx="76">
                        <c:v>0.50832930430734602</c:v>
                      </c:pt>
                      <c:pt idx="77">
                        <c:v>0.52218422263469622</c:v>
                      </c:pt>
                      <c:pt idx="78">
                        <c:v>0.53625036264441706</c:v>
                      </c:pt>
                      <c:pt idx="79">
                        <c:v>0.5505289982924737</c:v>
                      </c:pt>
                      <c:pt idx="80">
                        <c:v>0.56502142689478185</c:v>
                      </c:pt>
                      <c:pt idx="81">
                        <c:v>0.57972896943682917</c:v>
                      </c:pt>
                      <c:pt idx="82">
                        <c:v>0.59465297089031977</c:v>
                      </c:pt>
                      <c:pt idx="83">
                        <c:v>0.60979480053699375</c:v>
                      </c:pt>
                      <c:pt idx="84">
                        <c:v>0.62515585229976867</c:v>
                      </c:pt>
                      <c:pt idx="85">
                        <c:v>0.6407375450813656</c:v>
                      </c:pt>
                      <c:pt idx="86">
                        <c:v>0.65654132311057689</c:v>
                      </c:pt>
                      <c:pt idx="87">
                        <c:v>0.67256865629633777</c:v>
                      </c:pt>
                      <c:pt idx="88">
                        <c:v>0.688821040589781</c:v>
                      </c:pt>
                      <c:pt idx="89">
                        <c:v>0.70529999835443957</c:v>
                      </c:pt>
                      <c:pt idx="90">
                        <c:v>0.72200707874478287</c:v>
                      </c:pt>
                      <c:pt idx="91">
                        <c:v>0.73894385809326946</c:v>
                      </c:pt>
                      <c:pt idx="92">
                        <c:v>0.75611194030610629</c:v>
                      </c:pt>
                      <c:pt idx="93">
                        <c:v>0.77351295726790881</c:v>
                      </c:pt>
                      <c:pt idx="94">
                        <c:v>0.79114856925546695</c:v>
                      </c:pt>
                      <c:pt idx="95">
                        <c:v>0.80902046536081607</c:v>
                      </c:pt>
                      <c:pt idx="96">
                        <c:v>0.82713036392383266</c:v>
                      </c:pt>
                      <c:pt idx="97">
                        <c:v>0.84548001297457198</c:v>
                      </c:pt>
                      <c:pt idx="98">
                        <c:v>0.86407119068556448</c:v>
                      </c:pt>
                      <c:pt idx="99">
                        <c:v>0.88290570583431793</c:v>
                      </c:pt>
                      <c:pt idx="100">
                        <c:v>0.90198539827624369</c:v>
                      </c:pt>
                    </c:numCache>
                  </c:numRef>
                </c:val>
                <c:smooth val="0"/>
                <c:extLst xmlns:c15="http://schemas.microsoft.com/office/drawing/2012/chart">
                  <c:ext xmlns:c16="http://schemas.microsoft.com/office/drawing/2014/chart" uri="{C3380CC4-5D6E-409C-BE32-E72D297353CC}">
                    <c16:uniqueId val="{00000003-0C66-4A53-91BE-779AAB69F7ED}"/>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Load Calculations'!$BB$8</c15:sqref>
                        </c15:formulaRef>
                      </c:ext>
                    </c:extLst>
                    <c:strCache>
                      <c:ptCount val="1"/>
                      <c:pt idx="0">
                        <c:v>Reverse Recovery Loss MOSFET D BOOST</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Calculations'!$BB$9:$BB$109</c15:sqref>
                        </c15:formulaRef>
                      </c:ext>
                    </c:extLst>
                    <c:numCache>
                      <c:formatCode>0.000</c:formatCode>
                      <c:ptCount val="101"/>
                      <c:pt idx="0">
                        <c:v>0</c:v>
                      </c:pt>
                      <c:pt idx="1">
                        <c:v>2.8319395200000004E-3</c:v>
                      </c:pt>
                      <c:pt idx="2">
                        <c:v>5.6637580800000011E-3</c:v>
                      </c:pt>
                      <c:pt idx="3">
                        <c:v>8.4954556799999997E-3</c:v>
                      </c:pt>
                      <c:pt idx="4">
                        <c:v>1.1327032320000001E-2</c:v>
                      </c:pt>
                      <c:pt idx="5">
                        <c:v>1.4158488000000002E-2</c:v>
                      </c:pt>
                      <c:pt idx="6">
                        <c:v>1.6989822720000002E-2</c:v>
                      </c:pt>
                      <c:pt idx="7">
                        <c:v>1.9821036480000002E-2</c:v>
                      </c:pt>
                      <c:pt idx="8">
                        <c:v>2.2652129280000002E-2</c:v>
                      </c:pt>
                      <c:pt idx="9">
                        <c:v>2.5483101120000001E-2</c:v>
                      </c:pt>
                      <c:pt idx="10">
                        <c:v>2.8313952000000003E-2</c:v>
                      </c:pt>
                      <c:pt idx="11">
                        <c:v>3.1144681920000007E-2</c:v>
                      </c:pt>
                      <c:pt idx="12">
                        <c:v>3.3975290880000002E-2</c:v>
                      </c:pt>
                      <c:pt idx="13">
                        <c:v>3.6805778880000001E-2</c:v>
                      </c:pt>
                      <c:pt idx="14">
                        <c:v>3.9636145920000004E-2</c:v>
                      </c:pt>
                      <c:pt idx="15">
                        <c:v>4.2466392000000006E-2</c:v>
                      </c:pt>
                      <c:pt idx="16">
                        <c:v>4.5296517120000004E-2</c:v>
                      </c:pt>
                      <c:pt idx="17">
                        <c:v>4.8126521280000008E-2</c:v>
                      </c:pt>
                      <c:pt idx="18">
                        <c:v>5.0956404480000002E-2</c:v>
                      </c:pt>
                      <c:pt idx="19">
                        <c:v>5.378616672E-2</c:v>
                      </c:pt>
                      <c:pt idx="20">
                        <c:v>5.6615808000000011E-2</c:v>
                      </c:pt>
                      <c:pt idx="21">
                        <c:v>5.9445328320000004E-2</c:v>
                      </c:pt>
                      <c:pt idx="22">
                        <c:v>6.227472768000001E-2</c:v>
                      </c:pt>
                      <c:pt idx="23">
                        <c:v>6.5104006079999999E-2</c:v>
                      </c:pt>
                      <c:pt idx="24">
                        <c:v>6.7933163520000006E-2</c:v>
                      </c:pt>
                      <c:pt idx="25">
                        <c:v>7.0762200000000025E-2</c:v>
                      </c:pt>
                      <c:pt idx="26">
                        <c:v>7.3591115520000014E-2</c:v>
                      </c:pt>
                      <c:pt idx="27">
                        <c:v>7.6419910080000014E-2</c:v>
                      </c:pt>
                      <c:pt idx="28">
                        <c:v>7.9248583679999998E-2</c:v>
                      </c:pt>
                      <c:pt idx="29">
                        <c:v>8.2077136320000008E-2</c:v>
                      </c:pt>
                      <c:pt idx="30">
                        <c:v>8.4905568000000015E-2</c:v>
                      </c:pt>
                      <c:pt idx="31">
                        <c:v>8.7733878720000019E-2</c:v>
                      </c:pt>
                      <c:pt idx="32">
                        <c:v>9.0562068480000008E-2</c:v>
                      </c:pt>
                      <c:pt idx="33">
                        <c:v>9.3390137279999993E-2</c:v>
                      </c:pt>
                      <c:pt idx="34">
                        <c:v>9.6218085120000005E-2</c:v>
                      </c:pt>
                      <c:pt idx="35">
                        <c:v>9.9045912000000014E-2</c:v>
                      </c:pt>
                      <c:pt idx="36">
                        <c:v>0.10187361792000001</c:v>
                      </c:pt>
                      <c:pt idx="37">
                        <c:v>0.10470120288000002</c:v>
                      </c:pt>
                      <c:pt idx="38">
                        <c:v>0.10752866688000001</c:v>
                      </c:pt>
                      <c:pt idx="39">
                        <c:v>0.11035600991999998</c:v>
                      </c:pt>
                      <c:pt idx="40">
                        <c:v>0.11318323200000001</c:v>
                      </c:pt>
                      <c:pt idx="41">
                        <c:v>0.11601033311999999</c:v>
                      </c:pt>
                      <c:pt idx="42">
                        <c:v>0.11883731328000001</c:v>
                      </c:pt>
                      <c:pt idx="43">
                        <c:v>0.12166417248000003</c:v>
                      </c:pt>
                      <c:pt idx="44">
                        <c:v>0.12449091072000001</c:v>
                      </c:pt>
                      <c:pt idx="45">
                        <c:v>0.12731752800000001</c:v>
                      </c:pt>
                      <c:pt idx="46">
                        <c:v>0.13014402432</c:v>
                      </c:pt>
                      <c:pt idx="47">
                        <c:v>0.13297039968000002</c:v>
                      </c:pt>
                      <c:pt idx="48">
                        <c:v>0.13579665408000002</c:v>
                      </c:pt>
                      <c:pt idx="49">
                        <c:v>0.13862278752000001</c:v>
                      </c:pt>
                      <c:pt idx="50">
                        <c:v>0.14144880000000001</c:v>
                      </c:pt>
                      <c:pt idx="51">
                        <c:v>0.14427469152000003</c:v>
                      </c:pt>
                      <c:pt idx="52">
                        <c:v>0.14710046207999999</c:v>
                      </c:pt>
                      <c:pt idx="53">
                        <c:v>0.14992611168</c:v>
                      </c:pt>
                      <c:pt idx="54">
                        <c:v>0.15275164032000005</c:v>
                      </c:pt>
                      <c:pt idx="55">
                        <c:v>0.15557704800000002</c:v>
                      </c:pt>
                      <c:pt idx="56">
                        <c:v>0.15840233471999998</c:v>
                      </c:pt>
                      <c:pt idx="57">
                        <c:v>0.16122750048000001</c:v>
                      </c:pt>
                      <c:pt idx="58">
                        <c:v>0.16405254528000002</c:v>
                      </c:pt>
                      <c:pt idx="59">
                        <c:v>0.16687746912000001</c:v>
                      </c:pt>
                      <c:pt idx="60">
                        <c:v>0.16970227200000004</c:v>
                      </c:pt>
                      <c:pt idx="61">
                        <c:v>0.17252695392000003</c:v>
                      </c:pt>
                      <c:pt idx="62">
                        <c:v>0.17535151488</c:v>
                      </c:pt>
                      <c:pt idx="63">
                        <c:v>0.17817595488000001</c:v>
                      </c:pt>
                      <c:pt idx="64">
                        <c:v>0.18100027392000001</c:v>
                      </c:pt>
                      <c:pt idx="65">
                        <c:v>0.18382447200000002</c:v>
                      </c:pt>
                      <c:pt idx="66">
                        <c:v>0.18664854912000001</c:v>
                      </c:pt>
                      <c:pt idx="67">
                        <c:v>0.18947250528000004</c:v>
                      </c:pt>
                      <c:pt idx="68">
                        <c:v>0.19229634048000002</c:v>
                      </c:pt>
                      <c:pt idx="69">
                        <c:v>0.19512005471999999</c:v>
                      </c:pt>
                      <c:pt idx="70">
                        <c:v>0.19794364800000003</c:v>
                      </c:pt>
                      <c:pt idx="71">
                        <c:v>0.20076712032000002</c:v>
                      </c:pt>
                      <c:pt idx="72">
                        <c:v>0.20359047168000002</c:v>
                      </c:pt>
                      <c:pt idx="73">
                        <c:v>0.20641370208000004</c:v>
                      </c:pt>
                      <c:pt idx="74">
                        <c:v>0.20923681152000001</c:v>
                      </c:pt>
                      <c:pt idx="75">
                        <c:v>0.21205979999999999</c:v>
                      </c:pt>
                      <c:pt idx="76">
                        <c:v>0.21488266752000001</c:v>
                      </c:pt>
                      <c:pt idx="77">
                        <c:v>0.21770541408000005</c:v>
                      </c:pt>
                      <c:pt idx="78">
                        <c:v>0.22052803967999998</c:v>
                      </c:pt>
                      <c:pt idx="79">
                        <c:v>0.22335054432000001</c:v>
                      </c:pt>
                      <c:pt idx="80">
                        <c:v>0.22617292800000002</c:v>
                      </c:pt>
                      <c:pt idx="81">
                        <c:v>0.22899519072000005</c:v>
                      </c:pt>
                      <c:pt idx="82">
                        <c:v>0.23181733247999997</c:v>
                      </c:pt>
                      <c:pt idx="83">
                        <c:v>0.23463935328000002</c:v>
                      </c:pt>
                      <c:pt idx="84">
                        <c:v>0.23746125312000005</c:v>
                      </c:pt>
                      <c:pt idx="85">
                        <c:v>0.24028303200000001</c:v>
                      </c:pt>
                      <c:pt idx="86">
                        <c:v>0.24310468992000003</c:v>
                      </c:pt>
                      <c:pt idx="87">
                        <c:v>0.24592622687999999</c:v>
                      </c:pt>
                      <c:pt idx="88">
                        <c:v>0.24874764288000006</c:v>
                      </c:pt>
                      <c:pt idx="89">
                        <c:v>0.25156893792000001</c:v>
                      </c:pt>
                      <c:pt idx="90">
                        <c:v>0.25439011200000006</c:v>
                      </c:pt>
                      <c:pt idx="91">
                        <c:v>0.25721116512000003</c:v>
                      </c:pt>
                      <c:pt idx="92">
                        <c:v>0.26003209727999999</c:v>
                      </c:pt>
                      <c:pt idx="93">
                        <c:v>0.26285290848000004</c:v>
                      </c:pt>
                      <c:pt idx="94">
                        <c:v>0.26567359872000001</c:v>
                      </c:pt>
                      <c:pt idx="95">
                        <c:v>0.26849416800000003</c:v>
                      </c:pt>
                      <c:pt idx="96">
                        <c:v>0.27131461632000003</c:v>
                      </c:pt>
                      <c:pt idx="97">
                        <c:v>0.27413494368000002</c:v>
                      </c:pt>
                      <c:pt idx="98">
                        <c:v>0.27695515007999999</c:v>
                      </c:pt>
                      <c:pt idx="99">
                        <c:v>0.27977523552000005</c:v>
                      </c:pt>
                      <c:pt idx="100">
                        <c:v>0.28259520000000005</c:v>
                      </c:pt>
                    </c:numCache>
                  </c:numRef>
                </c:val>
                <c:smooth val="0"/>
                <c:extLst xmlns:c15="http://schemas.microsoft.com/office/drawing/2012/chart">
                  <c:ext xmlns:c16="http://schemas.microsoft.com/office/drawing/2014/chart" uri="{C3380CC4-5D6E-409C-BE32-E72D297353CC}">
                    <c16:uniqueId val="{00000004-0C66-4A53-91BE-779AAB69F7ED}"/>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Load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Calculations'!$AX$9:$AX$109</c15:sqref>
                        </c15:formulaRef>
                      </c:ext>
                    </c:extLst>
                    <c:numCache>
                      <c:formatCode>0.000</c:formatCode>
                      <c:ptCount val="101"/>
                      <c:pt idx="0">
                        <c:v>4.3288783558793047E-3</c:v>
                      </c:pt>
                      <c:pt idx="1">
                        <c:v>4.3902652679926515E-3</c:v>
                      </c:pt>
                      <c:pt idx="2">
                        <c:v>4.5728761650243007E-3</c:v>
                      </c:pt>
                      <c:pt idx="3">
                        <c:v>4.8767428922871009E-3</c:v>
                      </c:pt>
                      <c:pt idx="4">
                        <c:v>5.3019184500384779E-3</c:v>
                      </c:pt>
                      <c:pt idx="5">
                        <c:v>5.8484770165955335E-3</c:v>
                      </c:pt>
                      <c:pt idx="6">
                        <c:v>6.5165139806987252E-3</c:v>
                      </c:pt>
                      <c:pt idx="7">
                        <c:v>7.3061459831506815E-3</c:v>
                      </c:pt>
                      <c:pt idx="8">
                        <c:v>8.2175109677639132E-3</c:v>
                      </c:pt>
                      <c:pt idx="9">
                        <c:v>9.2507682416590881E-3</c:v>
                      </c:pt>
                      <c:pt idx="10">
                        <c:v>1.04060985449631E-2</c:v>
                      </c:pt>
                      <c:pt idx="11">
                        <c:v>1.1683704129963954E-2</c:v>
                      </c:pt>
                      <c:pt idx="12">
                        <c:v>1.3083808849787125E-2</c:v>
                      </c:pt>
                      <c:pt idx="13">
                        <c:v>1.4606658256666377E-2</c:v>
                      </c:pt>
                      <c:pt idx="14">
                        <c:v>1.6252519709889363E-2</c:v>
                      </c:pt>
                      <c:pt idx="15">
                        <c:v>1.8021682493507309E-2</c:v>
                      </c:pt>
                      <c:pt idx="16">
                        <c:v>1.9914457943905273E-2</c:v>
                      </c:pt>
                      <c:pt idx="17">
                        <c:v>2.1931179587338853E-2</c:v>
                      </c:pt>
                      <c:pt idx="18">
                        <c:v>2.4072203287550893E-2</c:v>
                      </c:pt>
                      <c:pt idx="19">
                        <c:v>2.6337907403590849E-2</c:v>
                      </c:pt>
                      <c:pt idx="20">
                        <c:v>2.8728692957968271E-2</c:v>
                      </c:pt>
                      <c:pt idx="21">
                        <c:v>3.1244983815280302E-2</c:v>
                      </c:pt>
                      <c:pt idx="22">
                        <c:v>3.3887226871463269E-2</c:v>
                      </c:pt>
                      <c:pt idx="23">
                        <c:v>3.6655892253826795E-2</c:v>
                      </c:pt>
                      <c:pt idx="24">
                        <c:v>3.9551473532039076E-2</c:v>
                      </c:pt>
                      <c:pt idx="25">
                        <c:v>4.257448794024149E-2</c:v>
                      </c:pt>
                      <c:pt idx="26">
                        <c:v>4.5725476610481222E-2</c:v>
                      </c:pt>
                      <c:pt idx="27">
                        <c:v>4.9005004817660097E-2</c:v>
                      </c:pt>
                      <c:pt idx="28">
                        <c:v>5.2413662236209253E-2</c:v>
                      </c:pt>
                      <c:pt idx="29">
                        <c:v>5.595206320870981E-2</c:v>
                      </c:pt>
                      <c:pt idx="30">
                        <c:v>5.9620847026690703E-2</c:v>
                      </c:pt>
                      <c:pt idx="31">
                        <c:v>6.3420678223846783E-2</c:v>
                      </c:pt>
                      <c:pt idx="32">
                        <c:v>6.7352246881931782E-2</c:v>
                      </c:pt>
                      <c:pt idx="33">
                        <c:v>7.1416268949593395E-2</c:v>
                      </c:pt>
                      <c:pt idx="34">
                        <c:v>7.5613486574429414E-2</c:v>
                      </c:pt>
                      <c:pt idx="35">
                        <c:v>7.9944668448558673E-2</c:v>
                      </c:pt>
                      <c:pt idx="36">
                        <c:v>8.4410610168011532E-2</c:v>
                      </c:pt>
                      <c:pt idx="37">
                        <c:v>8.9012134606260451E-2</c:v>
                      </c:pt>
                      <c:pt idx="38">
                        <c:v>9.3750092302225224E-2</c:v>
                      </c:pt>
                      <c:pt idx="39">
                        <c:v>9.862536186310103E-2</c:v>
                      </c:pt>
                      <c:pt idx="40">
                        <c:v>0.10363885038237433</c:v>
                      </c:pt>
                      <c:pt idx="41">
                        <c:v>0.10879149387340668</c:v>
                      </c:pt>
                      <c:pt idx="42">
                        <c:v>0.11408425771898377</c:v>
                      </c:pt>
                      <c:pt idx="43">
                        <c:v>0.11951813713724162</c:v>
                      </c:pt>
                      <c:pt idx="44">
                        <c:v>0.12509415766440404</c:v>
                      </c:pt>
                      <c:pt idx="45">
                        <c:v>0.13081337565477896</c:v>
                      </c:pt>
                      <c:pt idx="46">
                        <c:v>0.13667687879848356</c:v>
                      </c:pt>
                      <c:pt idx="47">
                        <c:v>0.14268578665738615</c:v>
                      </c:pt>
                      <c:pt idx="48">
                        <c:v>0.14884125121977401</c:v>
                      </c:pt>
                      <c:pt idx="49">
                        <c:v>0.15514445747427813</c:v>
                      </c:pt>
                      <c:pt idx="50">
                        <c:v>0.16159662400360622</c:v>
                      </c:pt>
                      <c:pt idx="51">
                        <c:v>0.16819900359866055</c:v>
                      </c:pt>
                      <c:pt idx="52">
                        <c:v>0.17495288389363967</c:v>
                      </c:pt>
                      <c:pt idx="53">
                        <c:v>0.18185958802274796</c:v>
                      </c:pt>
                      <c:pt idx="54">
                        <c:v>0.18892047529916475</c:v>
                      </c:pt>
                      <c:pt idx="55">
                        <c:v>0.19613694191694819</c:v>
                      </c:pt>
                      <c:pt idx="56">
                        <c:v>0.2035104216765822</c:v>
                      </c:pt>
                      <c:pt idx="57">
                        <c:v>0.21104238673489756</c:v>
                      </c:pt>
                      <c:pt idx="58">
                        <c:v>0.21873434838013689</c:v>
                      </c:pt>
                      <c:pt idx="59">
                        <c:v>0.22658785783295707</c:v>
                      </c:pt>
                      <c:pt idx="60">
                        <c:v>0.23460450707420144</c:v>
                      </c:pt>
                      <c:pt idx="61">
                        <c:v>0.24278592970030605</c:v>
                      </c:pt>
                      <c:pt idx="62">
                        <c:v>0.25113380180724221</c:v>
                      </c:pt>
                      <c:pt idx="63">
                        <c:v>0.25964984290393328</c:v>
                      </c:pt>
                      <c:pt idx="64">
                        <c:v>0.26833581685612473</c:v>
                      </c:pt>
                      <c:pt idx="65">
                        <c:v>0.27719353286172699</c:v>
                      </c:pt>
                      <c:pt idx="66">
                        <c:v>0.28622484645869362</c:v>
                      </c:pt>
                      <c:pt idx="67">
                        <c:v>0.2954316605665438</c:v>
                      </c:pt>
                      <c:pt idx="68">
                        <c:v>0.30481592656268064</c:v>
                      </c:pt>
                      <c:pt idx="69">
                        <c:v>0.31437964539471308</c:v>
                      </c:pt>
                      <c:pt idx="70">
                        <c:v>0.32412486873003443</c:v>
                      </c:pt>
                      <c:pt idx="71">
                        <c:v>0.33405370014396463</c:v>
                      </c:pt>
                      <c:pt idx="72">
                        <c:v>0.34416829634782881</c:v>
                      </c:pt>
                      <c:pt idx="73">
                        <c:v>0.3544708684583861</c:v>
                      </c:pt>
                      <c:pt idx="74">
                        <c:v>0.36496368331010531</c:v>
                      </c:pt>
                      <c:pt idx="75">
                        <c:v>0.3756490648118298</c:v>
                      </c:pt>
                      <c:pt idx="76">
                        <c:v>0.38652939534945513</c:v>
                      </c:pt>
                      <c:pt idx="77">
                        <c:v>0.39760711723630887</c:v>
                      </c:pt>
                      <c:pt idx="78">
                        <c:v>0.40888473421299304</c:v>
                      </c:pt>
                      <c:pt idx="79">
                        <c:v>0.42036481299853501</c:v>
                      </c:pt>
                      <c:pt idx="80">
                        <c:v>0.43204998489476987</c:v>
                      </c:pt>
                      <c:pt idx="81">
                        <c:v>0.44394294744596413</c:v>
                      </c:pt>
                      <c:pt idx="82">
                        <c:v>0.45604646615577998</c:v>
                      </c:pt>
                      <c:pt idx="83">
                        <c:v>0.46836337626377766</c:v>
                      </c:pt>
                      <c:pt idx="84">
                        <c:v>0.48089658458374707</c:v>
                      </c:pt>
                      <c:pt idx="85">
                        <c:v>0.49364907140627085</c:v>
                      </c:pt>
                      <c:pt idx="86">
                        <c:v>0.50662389246802675</c:v>
                      </c:pt>
                      <c:pt idx="87">
                        <c:v>0.51982418099044903</c:v>
                      </c:pt>
                      <c:pt idx="88">
                        <c:v>0.53325314979050387</c:v>
                      </c:pt>
                      <c:pt idx="89">
                        <c:v>0.54691409346644149</c:v>
                      </c:pt>
                      <c:pt idx="90">
                        <c:v>0.56081039066154037</c:v>
                      </c:pt>
                      <c:pt idx="91">
                        <c:v>0.57494550640898645</c:v>
                      </c:pt>
                      <c:pt idx="92">
                        <c:v>0.58932299456119053</c:v>
                      </c:pt>
                      <c:pt idx="93">
                        <c:v>0.60394650030699137</c:v>
                      </c:pt>
                      <c:pt idx="94">
                        <c:v>0.6188197627803691</c:v>
                      </c:pt>
                      <c:pt idx="95">
                        <c:v>0.63394661776445993</c:v>
                      </c:pt>
                      <c:pt idx="96">
                        <c:v>0.64933100049484482</c:v>
                      </c:pt>
                      <c:pt idx="97">
                        <c:v>0.66497694856629019</c:v>
                      </c:pt>
                      <c:pt idx="98">
                        <c:v>0.68088860494730019</c:v>
                      </c:pt>
                      <c:pt idx="99">
                        <c:v>0.69707022110708439</c:v>
                      </c:pt>
                      <c:pt idx="100">
                        <c:v>0.71352616025973947</c:v>
                      </c:pt>
                    </c:numCache>
                  </c:numRef>
                </c:val>
                <c:smooth val="0"/>
                <c:extLst xmlns:c15="http://schemas.microsoft.com/office/drawing/2012/chart">
                  <c:ext xmlns:c16="http://schemas.microsoft.com/office/drawing/2014/chart" uri="{C3380CC4-5D6E-409C-BE32-E72D297353CC}">
                    <c16:uniqueId val="{00000005-0C66-4A53-91BE-779AAB69F7ED}"/>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Load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Calculations'!$AT$9:$AT$109</c15:sqref>
                        </c15:formulaRef>
                      </c:ext>
                    </c:extLst>
                    <c:numCache>
                      <c:formatCode>0.000</c:formatCode>
                      <c:ptCount val="101"/>
                      <c:pt idx="0">
                        <c:v>0</c:v>
                      </c:pt>
                      <c:pt idx="1">
                        <c:v>4.3902652679926515E-3</c:v>
                      </c:pt>
                      <c:pt idx="2">
                        <c:v>4.5728761650243007E-3</c:v>
                      </c:pt>
                      <c:pt idx="3">
                        <c:v>4.8767428922871009E-3</c:v>
                      </c:pt>
                      <c:pt idx="4">
                        <c:v>5.3019184500384779E-3</c:v>
                      </c:pt>
                      <c:pt idx="5">
                        <c:v>5.8484770165955335E-3</c:v>
                      </c:pt>
                      <c:pt idx="6">
                        <c:v>6.5165139806987252E-3</c:v>
                      </c:pt>
                      <c:pt idx="7">
                        <c:v>7.3061459831506815E-3</c:v>
                      </c:pt>
                      <c:pt idx="8">
                        <c:v>8.2175109677639132E-3</c:v>
                      </c:pt>
                      <c:pt idx="9">
                        <c:v>9.2507682416590881E-3</c:v>
                      </c:pt>
                      <c:pt idx="10">
                        <c:v>1.04060985449631E-2</c:v>
                      </c:pt>
                      <c:pt idx="11">
                        <c:v>1.1683704129963954E-2</c:v>
                      </c:pt>
                      <c:pt idx="12">
                        <c:v>1.3083808849787125E-2</c:v>
                      </c:pt>
                      <c:pt idx="13">
                        <c:v>1.4606658256666377E-2</c:v>
                      </c:pt>
                      <c:pt idx="14">
                        <c:v>1.6252519709889363E-2</c:v>
                      </c:pt>
                      <c:pt idx="15">
                        <c:v>1.8021682493507309E-2</c:v>
                      </c:pt>
                      <c:pt idx="16">
                        <c:v>1.9914457943905273E-2</c:v>
                      </c:pt>
                      <c:pt idx="17">
                        <c:v>2.1931179587338853E-2</c:v>
                      </c:pt>
                      <c:pt idx="18">
                        <c:v>2.4072203287550893E-2</c:v>
                      </c:pt>
                      <c:pt idx="19">
                        <c:v>2.6337907403590849E-2</c:v>
                      </c:pt>
                      <c:pt idx="20">
                        <c:v>2.8728692957968271E-2</c:v>
                      </c:pt>
                      <c:pt idx="21">
                        <c:v>3.1244983815280302E-2</c:v>
                      </c:pt>
                      <c:pt idx="22">
                        <c:v>3.3887226871463269E-2</c:v>
                      </c:pt>
                      <c:pt idx="23">
                        <c:v>3.6655892253826795E-2</c:v>
                      </c:pt>
                      <c:pt idx="24">
                        <c:v>3.9551473532039076E-2</c:v>
                      </c:pt>
                      <c:pt idx="25">
                        <c:v>4.257448794024149E-2</c:v>
                      </c:pt>
                      <c:pt idx="26">
                        <c:v>4.5725476610481222E-2</c:v>
                      </c:pt>
                      <c:pt idx="27">
                        <c:v>4.9005004817660097E-2</c:v>
                      </c:pt>
                      <c:pt idx="28">
                        <c:v>5.2413662236209253E-2</c:v>
                      </c:pt>
                      <c:pt idx="29">
                        <c:v>5.595206320870981E-2</c:v>
                      </c:pt>
                      <c:pt idx="30">
                        <c:v>5.9620847026690703E-2</c:v>
                      </c:pt>
                      <c:pt idx="31">
                        <c:v>6.3420678223846783E-2</c:v>
                      </c:pt>
                      <c:pt idx="32">
                        <c:v>6.7352246881931782E-2</c:v>
                      </c:pt>
                      <c:pt idx="33">
                        <c:v>7.1416268949593395E-2</c:v>
                      </c:pt>
                      <c:pt idx="34">
                        <c:v>7.5613486574429414E-2</c:v>
                      </c:pt>
                      <c:pt idx="35">
                        <c:v>7.9944668448558673E-2</c:v>
                      </c:pt>
                      <c:pt idx="36">
                        <c:v>8.4410610168011532E-2</c:v>
                      </c:pt>
                      <c:pt idx="37">
                        <c:v>8.9012134606260451E-2</c:v>
                      </c:pt>
                      <c:pt idx="38">
                        <c:v>9.3750092302225224E-2</c:v>
                      </c:pt>
                      <c:pt idx="39">
                        <c:v>9.862536186310103E-2</c:v>
                      </c:pt>
                      <c:pt idx="40">
                        <c:v>0.10363885038237433</c:v>
                      </c:pt>
                      <c:pt idx="41">
                        <c:v>0.10879149387340668</c:v>
                      </c:pt>
                      <c:pt idx="42">
                        <c:v>0.11408425771898377</c:v>
                      </c:pt>
                      <c:pt idx="43">
                        <c:v>0.11951813713724162</c:v>
                      </c:pt>
                      <c:pt idx="44">
                        <c:v>0.12509415766440404</c:v>
                      </c:pt>
                      <c:pt idx="45">
                        <c:v>0.13081337565477896</c:v>
                      </c:pt>
                      <c:pt idx="46">
                        <c:v>0.13667687879848356</c:v>
                      </c:pt>
                      <c:pt idx="47">
                        <c:v>0.14268578665738615</c:v>
                      </c:pt>
                      <c:pt idx="48">
                        <c:v>0.14884125121977401</c:v>
                      </c:pt>
                      <c:pt idx="49">
                        <c:v>0.15514445747427813</c:v>
                      </c:pt>
                      <c:pt idx="50">
                        <c:v>0.16159662400360622</c:v>
                      </c:pt>
                      <c:pt idx="51">
                        <c:v>0.16819900359866055</c:v>
                      </c:pt>
                      <c:pt idx="52">
                        <c:v>0.17495288389363967</c:v>
                      </c:pt>
                      <c:pt idx="53">
                        <c:v>0.18185958802274796</c:v>
                      </c:pt>
                      <c:pt idx="54">
                        <c:v>0.18892047529916475</c:v>
                      </c:pt>
                      <c:pt idx="55">
                        <c:v>0.19613694191694819</c:v>
                      </c:pt>
                      <c:pt idx="56">
                        <c:v>0.2035104216765822</c:v>
                      </c:pt>
                      <c:pt idx="57">
                        <c:v>0.21104238673489756</c:v>
                      </c:pt>
                      <c:pt idx="58">
                        <c:v>0.21873434838013689</c:v>
                      </c:pt>
                      <c:pt idx="59">
                        <c:v>0.22658785783295707</c:v>
                      </c:pt>
                      <c:pt idx="60">
                        <c:v>0.23460450707420144</c:v>
                      </c:pt>
                      <c:pt idx="61">
                        <c:v>0.24278592970030605</c:v>
                      </c:pt>
                      <c:pt idx="62">
                        <c:v>0.25113380180724221</c:v>
                      </c:pt>
                      <c:pt idx="63">
                        <c:v>0.25964984290393328</c:v>
                      </c:pt>
                      <c:pt idx="64">
                        <c:v>0.26833581685612473</c:v>
                      </c:pt>
                      <c:pt idx="65">
                        <c:v>0.27719353286172699</c:v>
                      </c:pt>
                      <c:pt idx="66">
                        <c:v>0.28622484645869362</c:v>
                      </c:pt>
                      <c:pt idx="67">
                        <c:v>0.2954316605665438</c:v>
                      </c:pt>
                      <c:pt idx="68">
                        <c:v>0.30481592656268064</c:v>
                      </c:pt>
                      <c:pt idx="69">
                        <c:v>0.31437964539471308</c:v>
                      </c:pt>
                      <c:pt idx="70">
                        <c:v>0.32412486873003443</c:v>
                      </c:pt>
                      <c:pt idx="71">
                        <c:v>0.33405370014396463</c:v>
                      </c:pt>
                      <c:pt idx="72">
                        <c:v>0.34416829634782881</c:v>
                      </c:pt>
                      <c:pt idx="73">
                        <c:v>0.3544708684583861</c:v>
                      </c:pt>
                      <c:pt idx="74">
                        <c:v>0.36496368331010531</c:v>
                      </c:pt>
                      <c:pt idx="75">
                        <c:v>0.3756490648118298</c:v>
                      </c:pt>
                      <c:pt idx="76">
                        <c:v>0.38652939534945513</c:v>
                      </c:pt>
                      <c:pt idx="77">
                        <c:v>0.39760711723630887</c:v>
                      </c:pt>
                      <c:pt idx="78">
                        <c:v>0.40888473421299304</c:v>
                      </c:pt>
                      <c:pt idx="79">
                        <c:v>0.42036481299853501</c:v>
                      </c:pt>
                      <c:pt idx="80">
                        <c:v>0.43204998489476987</c:v>
                      </c:pt>
                      <c:pt idx="81">
                        <c:v>0.44394294744596413</c:v>
                      </c:pt>
                      <c:pt idx="82">
                        <c:v>0.45604646615577998</c:v>
                      </c:pt>
                      <c:pt idx="83">
                        <c:v>0.46836337626377766</c:v>
                      </c:pt>
                      <c:pt idx="84">
                        <c:v>0.48089658458374707</c:v>
                      </c:pt>
                      <c:pt idx="85">
                        <c:v>0.49364907140627085</c:v>
                      </c:pt>
                      <c:pt idx="86">
                        <c:v>0.50662389246802675</c:v>
                      </c:pt>
                      <c:pt idx="87">
                        <c:v>0.51982418099044903</c:v>
                      </c:pt>
                      <c:pt idx="88">
                        <c:v>0.53325314979050387</c:v>
                      </c:pt>
                      <c:pt idx="89">
                        <c:v>0.54691409346644149</c:v>
                      </c:pt>
                      <c:pt idx="90">
                        <c:v>0.56081039066154037</c:v>
                      </c:pt>
                      <c:pt idx="91">
                        <c:v>0.57494550640898645</c:v>
                      </c:pt>
                      <c:pt idx="92">
                        <c:v>0.58932299456119053</c:v>
                      </c:pt>
                      <c:pt idx="93">
                        <c:v>0.60394650030699137</c:v>
                      </c:pt>
                      <c:pt idx="94">
                        <c:v>0.6188197627803691</c:v>
                      </c:pt>
                      <c:pt idx="95">
                        <c:v>0.63394661776445993</c:v>
                      </c:pt>
                      <c:pt idx="96">
                        <c:v>0.64933100049484482</c:v>
                      </c:pt>
                      <c:pt idx="97">
                        <c:v>0.66497694856629019</c:v>
                      </c:pt>
                      <c:pt idx="98">
                        <c:v>0.68088860494730019</c:v>
                      </c:pt>
                      <c:pt idx="99">
                        <c:v>0.69707022110708439</c:v>
                      </c:pt>
                      <c:pt idx="100">
                        <c:v>0.71352616025973947</c:v>
                      </c:pt>
                    </c:numCache>
                  </c:numRef>
                </c:val>
                <c:smooth val="0"/>
                <c:extLst xmlns:c15="http://schemas.microsoft.com/office/drawing/2012/chart">
                  <c:ext xmlns:c16="http://schemas.microsoft.com/office/drawing/2014/chart" uri="{C3380CC4-5D6E-409C-BE32-E72D297353CC}">
                    <c16:uniqueId val="{00000006-0C66-4A53-91BE-779AAB69F7ED}"/>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Load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Calculations'!$AO$9:$AO$109</c15:sqref>
                        </c15:formulaRef>
                      </c:ext>
                    </c:extLst>
                    <c:numCache>
                      <c:formatCode>0.000</c:formatCode>
                      <c:ptCount val="101"/>
                      <c:pt idx="0">
                        <c:v>4.3947230618573384E-2</c:v>
                      </c:pt>
                      <c:pt idx="1">
                        <c:v>4.9609230816979245E-2</c:v>
                      </c:pt>
                      <c:pt idx="2">
                        <c:v>5.2687657336599185E-2</c:v>
                      </c:pt>
                      <c:pt idx="3">
                        <c:v>5.5889075760337845E-2</c:v>
                      </c:pt>
                      <c:pt idx="4">
                        <c:v>5.9213792140370196E-2</c:v>
                      </c:pt>
                      <c:pt idx="5">
                        <c:v>6.2662134142355566E-2</c:v>
                      </c:pt>
                      <c:pt idx="6">
                        <c:v>6.6234451151726867E-2</c:v>
                      </c:pt>
                      <c:pt idx="7">
                        <c:v>6.9931114389528759E-2</c:v>
                      </c:pt>
                      <c:pt idx="8">
                        <c:v>7.3752517037884033E-2</c:v>
                      </c:pt>
                      <c:pt idx="9">
                        <c:v>7.7699074375176133E-2</c:v>
                      </c:pt>
                      <c:pt idx="10">
                        <c:v>8.1771223921042857E-2</c:v>
                      </c:pt>
                      <c:pt idx="11">
                        <c:v>8.5969425591285203E-2</c:v>
                      </c:pt>
                      <c:pt idx="12">
                        <c:v>9.0294161862803021E-2</c:v>
                      </c:pt>
                      <c:pt idx="13">
                        <c:v>9.4745937948678152E-2</c:v>
                      </c:pt>
                      <c:pt idx="14">
                        <c:v>9.9325281983533506E-2</c:v>
                      </c:pt>
                      <c:pt idx="15">
                        <c:v>0.10500198414361692</c:v>
                      </c:pt>
                      <c:pt idx="16">
                        <c:v>0.1127354112141741</c:v>
                      </c:pt>
                      <c:pt idx="17">
                        <c:v>0.12060094985321654</c:v>
                      </c:pt>
                      <c:pt idx="18">
                        <c:v>0.12859948005413105</c:v>
                      </c:pt>
                      <c:pt idx="19">
                        <c:v>0.13673190687033987</c:v>
                      </c:pt>
                      <c:pt idx="20">
                        <c:v>0.14499916074397232</c:v>
                      </c:pt>
                      <c:pt idx="21">
                        <c:v>0.15340219784671272</c:v>
                      </c:pt>
                      <c:pt idx="22">
                        <c:v>0.1619420004330821</c:v>
                      </c:pt>
                      <c:pt idx="23">
                        <c:v>0.17061957720641896</c:v>
                      </c:pt>
                      <c:pt idx="24">
                        <c:v>0.17943596369783912</c:v>
                      </c:pt>
                      <c:pt idx="25">
                        <c:v>0.18839222265846389</c:v>
                      </c:pt>
                      <c:pt idx="26">
                        <c:v>0.19748944446522135</c:v>
                      </c:pt>
                      <c:pt idx="27">
                        <c:v>0.20672874754053502</c:v>
                      </c:pt>
                      <c:pt idx="28">
                        <c:v>0.21611127878623032</c:v>
                      </c:pt>
                      <c:pt idx="29">
                        <c:v>0.22563821403200077</c:v>
                      </c:pt>
                      <c:pt idx="30">
                        <c:v>0.23531075849879088</c:v>
                      </c:pt>
                      <c:pt idx="31">
                        <c:v>0.24513014727746776</c:v>
                      </c:pt>
                      <c:pt idx="32">
                        <c:v>0.25509764582316713</c:v>
                      </c:pt>
                      <c:pt idx="33">
                        <c:v>0.2652145504657169</c:v>
                      </c:pt>
                      <c:pt idx="34">
                        <c:v>0.27548218893655513</c:v>
                      </c:pt>
                      <c:pt idx="35">
                        <c:v>0.28590192091257904</c:v>
                      </c:pt>
                      <c:pt idx="36">
                        <c:v>0.29647513857737662</c:v>
                      </c:pt>
                      <c:pt idx="37">
                        <c:v>0.30720326720031044</c:v>
                      </c:pt>
                      <c:pt idx="38">
                        <c:v>0.31808776573394504</c:v>
                      </c:pt>
                      <c:pt idx="39">
                        <c:v>0.32913012743032288</c:v>
                      </c:pt>
                      <c:pt idx="40">
                        <c:v>0.34033188047661989</c:v>
                      </c:pt>
                      <c:pt idx="41">
                        <c:v>0.35169458865072867</c:v>
                      </c:pt>
                      <c:pt idx="42">
                        <c:v>0.36321985199734119</c:v>
                      </c:pt>
                      <c:pt idx="43">
                        <c:v>0.37490930752512164</c:v>
                      </c:pt>
                      <c:pt idx="44">
                        <c:v>0.38676462992558946</c:v>
                      </c:pt>
                      <c:pt idx="45">
                        <c:v>0.39878753231435127</c:v>
                      </c:pt>
                      <c:pt idx="46">
                        <c:v>0.41097976699534861</c:v>
                      </c:pt>
                      <c:pt idx="47">
                        <c:v>0.42334312624881282</c:v>
                      </c:pt>
                      <c:pt idx="48">
                        <c:v>0.4358794431436479</c:v>
                      </c:pt>
                      <c:pt idx="49">
                        <c:v>0.44859059237498927</c:v>
                      </c:pt>
                      <c:pt idx="50">
                        <c:v>0.46147849112771433</c:v>
                      </c:pt>
                      <c:pt idx="51">
                        <c:v>0.47454509996671607</c:v>
                      </c:pt>
                      <c:pt idx="52">
                        <c:v>0.48779242375477655</c:v>
                      </c:pt>
                      <c:pt idx="53">
                        <c:v>0.5012225125989177</c:v>
                      </c:pt>
                      <c:pt idx="54">
                        <c:v>0.51483746282613563</c:v>
                      </c:pt>
                      <c:pt idx="55">
                        <c:v>0.5286394179894629</c:v>
                      </c:pt>
                      <c:pt idx="56">
                        <c:v>0.54263056990534519</c:v>
                      </c:pt>
                      <c:pt idx="57">
                        <c:v>0.55681315972334866</c:v>
                      </c:pt>
                      <c:pt idx="58">
                        <c:v>0.57118947902926709</c:v>
                      </c:pt>
                      <c:pt idx="59">
                        <c:v>0.58576187098273191</c:v>
                      </c:pt>
                      <c:pt idx="60">
                        <c:v>0.60053273149047526</c:v>
                      </c:pt>
                      <c:pt idx="61">
                        <c:v>0.61550451041644849</c:v>
                      </c:pt>
                      <c:pt idx="62">
                        <c:v>0.63067971283003676</c:v>
                      </c:pt>
                      <c:pt idx="63">
                        <c:v>0.6460609002936728</c:v>
                      </c:pt>
                      <c:pt idx="64">
                        <c:v>0.66165069219119865</c:v>
                      </c:pt>
                      <c:pt idx="65">
                        <c:v>0.67745176709838084</c:v>
                      </c:pt>
                      <c:pt idx="66">
                        <c:v>0.69346686419704751</c:v>
                      </c:pt>
                      <c:pt idx="67">
                        <c:v>0.70969878473437176</c:v>
                      </c:pt>
                      <c:pt idx="68">
                        <c:v>0.72615039352888966</c:v>
                      </c:pt>
                      <c:pt idx="69">
                        <c:v>0.74282462052491249</c:v>
                      </c:pt>
                      <c:pt idx="70">
                        <c:v>0.75972446239705782</c:v>
                      </c:pt>
                      <c:pt idx="71">
                        <c:v>0.77685298420669524</c:v>
                      </c:pt>
                      <c:pt idx="72">
                        <c:v>0.79421332111219312</c:v>
                      </c:pt>
                      <c:pt idx="73">
                        <c:v>0.81180868013490604</c:v>
                      </c:pt>
                      <c:pt idx="74">
                        <c:v>0.82964234198296005</c:v>
                      </c:pt>
                      <c:pt idx="75">
                        <c:v>0.8477176629349481</c:v>
                      </c:pt>
                      <c:pt idx="76">
                        <c:v>0.86603807678576528</c:v>
                      </c:pt>
                      <c:pt idx="77">
                        <c:v>0.88460709685689676</c:v>
                      </c:pt>
                      <c:pt idx="78">
                        <c:v>0.90342831807357404</c:v>
                      </c:pt>
                      <c:pt idx="79">
                        <c:v>0.92250541911132655</c:v>
                      </c:pt>
                      <c:pt idx="80">
                        <c:v>0.9418421646145605</c:v>
                      </c:pt>
                      <c:pt idx="81">
                        <c:v>0.96144240748992049</c:v>
                      </c:pt>
                      <c:pt idx="82">
                        <c:v>0.98131009127730451</c:v>
                      </c:pt>
                      <c:pt idx="83">
                        <c:v>1.0014492526015393</c:v>
                      </c:pt>
                      <c:pt idx="84">
                        <c:v>1.0218640237078529</c:v>
                      </c:pt>
                      <c:pt idx="85">
                        <c:v>1.0425586350844278</c:v>
                      </c:pt>
                      <c:pt idx="86">
                        <c:v>1.0635374181754649</c:v>
                      </c:pt>
                      <c:pt idx="87">
                        <c:v>1.0848048081883406</c:v>
                      </c:pt>
                      <c:pt idx="88">
                        <c:v>1.1063653469986219</c:v>
                      </c:pt>
                      <c:pt idx="89">
                        <c:v>1.128223686156854</c:v>
                      </c:pt>
                      <c:pt idx="90">
                        <c:v>1.1503845900012404</c:v>
                      </c:pt>
                      <c:pt idx="91">
                        <c:v>1.1728529388805065</c:v>
                      </c:pt>
                      <c:pt idx="92">
                        <c:v>1.1956337324914657</c:v>
                      </c:pt>
                      <c:pt idx="93">
                        <c:v>1.2187320933359929</c:v>
                      </c:pt>
                      <c:pt idx="94">
                        <c:v>1.2421532703023559</c:v>
                      </c:pt>
                      <c:pt idx="95">
                        <c:v>1.2659026423760829</c:v>
                      </c:pt>
                      <c:pt idx="96">
                        <c:v>1.2899857224857922</c:v>
                      </c:pt>
                      <c:pt idx="97">
                        <c:v>1.3144081614896872</c:v>
                      </c:pt>
                      <c:pt idx="98">
                        <c:v>1.3391757523086685</c:v>
                      </c:pt>
                      <c:pt idx="99">
                        <c:v>1.364294434212346</c:v>
                      </c:pt>
                      <c:pt idx="100">
                        <c:v>1.3897702972645085</c:v>
                      </c:pt>
                    </c:numCache>
                  </c:numRef>
                </c:val>
                <c:smooth val="0"/>
                <c:extLst xmlns:c15="http://schemas.microsoft.com/office/drawing/2012/chart">
                  <c:ext xmlns:c16="http://schemas.microsoft.com/office/drawing/2014/chart" uri="{C3380CC4-5D6E-409C-BE32-E72D297353CC}">
                    <c16:uniqueId val="{00000007-0C66-4A53-91BE-779AAB69F7E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Load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Calculations'!$AF$9:$AF$109</c15:sqref>
                        </c15:formulaRef>
                      </c:ext>
                    </c:extLst>
                    <c:numCache>
                      <c:formatCode>0.000</c:formatCode>
                      <c:ptCount val="101"/>
                      <c:pt idx="0">
                        <c:v>4.8582121847151659E-4</c:v>
                      </c:pt>
                      <c:pt idx="1">
                        <c:v>4.9267568938776533E-4</c:v>
                      </c:pt>
                      <c:pt idx="2">
                        <c:v>5.1311705769576136E-4</c:v>
                      </c:pt>
                      <c:pt idx="3">
                        <c:v>5.4714303665476369E-4</c:v>
                      </c:pt>
                      <c:pt idx="4">
                        <c:v>5.9475133749660903E-4</c:v>
                      </c:pt>
                      <c:pt idx="5">
                        <c:v>6.5593966942597713E-4</c:v>
                      </c:pt>
                      <c:pt idx="6">
                        <c:v>7.3070573962065693E-4</c:v>
                      </c:pt>
                      <c:pt idx="7">
                        <c:v>8.1904725323181035E-4</c:v>
                      </c:pt>
                      <c:pt idx="8">
                        <c:v>9.2096191338423899E-4</c:v>
                      </c:pt>
                      <c:pt idx="9">
                        <c:v>1.036447421176647E-3</c:v>
                      </c:pt>
                      <c:pt idx="10">
                        <c:v>1.1655014756819073E-3</c:v>
                      </c:pt>
                      <c:pt idx="11">
                        <c:v>1.3081217739473272E-3</c:v>
                      </c:pt>
                      <c:pt idx="12">
                        <c:v>1.4643060109949103E-3</c:v>
                      </c:pt>
                      <c:pt idx="13">
                        <c:v>1.6340518798216271E-3</c:v>
                      </c:pt>
                      <c:pt idx="14">
                        <c:v>1.8173570713996704E-3</c:v>
                      </c:pt>
                      <c:pt idx="15">
                        <c:v>2.0142192746767326E-3</c:v>
                      </c:pt>
                      <c:pt idx="16">
                        <c:v>2.2246361765762574E-3</c:v>
                      </c:pt>
                      <c:pt idx="17">
                        <c:v>2.4486054619977144E-3</c:v>
                      </c:pt>
                      <c:pt idx="18">
                        <c:v>2.6861248138168601E-3</c:v>
                      </c:pt>
                      <c:pt idx="19">
                        <c:v>2.937191912885999E-3</c:v>
                      </c:pt>
                      <c:pt idx="20">
                        <c:v>3.2018044380342594E-3</c:v>
                      </c:pt>
                      <c:pt idx="21">
                        <c:v>3.4799600660678424E-3</c:v>
                      </c:pt>
                      <c:pt idx="22">
                        <c:v>3.7716564717702999E-3</c:v>
                      </c:pt>
                      <c:pt idx="23">
                        <c:v>4.0768913279027891E-3</c:v>
                      </c:pt>
                      <c:pt idx="24">
                        <c:v>4.3956623052043469E-3</c:v>
                      </c:pt>
                      <c:pt idx="25">
                        <c:v>4.7279670723921466E-3</c:v>
                      </c:pt>
                      <c:pt idx="26">
                        <c:v>5.0738032961617644E-3</c:v>
                      </c:pt>
                      <c:pt idx="27">
                        <c:v>5.4331686411874473E-3</c:v>
                      </c:pt>
                      <c:pt idx="28">
                        <c:v>5.806060770122367E-3</c:v>
                      </c:pt>
                      <c:pt idx="29">
                        <c:v>6.192477343598902E-3</c:v>
                      </c:pt>
                      <c:pt idx="30">
                        <c:v>6.5924160202288874E-3</c:v>
                      </c:pt>
                      <c:pt idx="31">
                        <c:v>7.0058744566038802E-3</c:v>
                      </c:pt>
                      <c:pt idx="32">
                        <c:v>7.4328503072954308E-3</c:v>
                      </c:pt>
                      <c:pt idx="33">
                        <c:v>7.8733412248553417E-3</c:v>
                      </c:pt>
                      <c:pt idx="34">
                        <c:v>8.3273448598159428E-3</c:v>
                      </c:pt>
                      <c:pt idx="35">
                        <c:v>8.7948588606903202E-3</c:v>
                      </c:pt>
                      <c:pt idx="36">
                        <c:v>9.275880873972641E-3</c:v>
                      </c:pt>
                      <c:pt idx="37">
                        <c:v>9.7704085441383502E-3</c:v>
                      </c:pt>
                      <c:pt idx="38">
                        <c:v>1.0278439513644495E-2</c:v>
                      </c:pt>
                      <c:pt idx="39">
                        <c:v>1.0799971422929941E-2</c:v>
                      </c:pt>
                      <c:pt idx="40">
                        <c:v>1.1335001910415666E-2</c:v>
                      </c:pt>
                      <c:pt idx="41">
                        <c:v>1.1883528612505011E-2</c:v>
                      </c:pt>
                      <c:pt idx="42">
                        <c:v>1.2445549163583956E-2</c:v>
                      </c:pt>
                      <c:pt idx="43">
                        <c:v>1.3021061196021358E-2</c:v>
                      </c:pt>
                      <c:pt idx="44">
                        <c:v>1.3610062340169251E-2</c:v>
                      </c:pt>
                      <c:pt idx="45">
                        <c:v>1.4212550224363071E-2</c:v>
                      </c:pt>
                      <c:pt idx="46">
                        <c:v>1.4828522474921965E-2</c:v>
                      </c:pt>
                      <c:pt idx="47">
                        <c:v>1.545797671614901E-2</c:v>
                      </c:pt>
                      <c:pt idx="48">
                        <c:v>1.6100910570331514E-2</c:v>
                      </c:pt>
                      <c:pt idx="49">
                        <c:v>1.6757321657741242E-2</c:v>
                      </c:pt>
                      <c:pt idx="50">
                        <c:v>1.7427207596634711E-2</c:v>
                      </c:pt>
                      <c:pt idx="51">
                        <c:v>1.8110566003253441E-2</c:v>
                      </c:pt>
                      <c:pt idx="52">
                        <c:v>1.8807394491824229E-2</c:v>
                      </c:pt>
                      <c:pt idx="53">
                        <c:v>1.9517690674559392E-2</c:v>
                      </c:pt>
                      <c:pt idx="54">
                        <c:v>2.0241452161657042E-2</c:v>
                      </c:pt>
                      <c:pt idx="55">
                        <c:v>2.0978676561301358E-2</c:v>
                      </c:pt>
                      <c:pt idx="56">
                        <c:v>2.1729361479662854E-2</c:v>
                      </c:pt>
                      <c:pt idx="57">
                        <c:v>2.24935045208986E-2</c:v>
                      </c:pt>
                      <c:pt idx="58">
                        <c:v>2.3271103287152543E-2</c:v>
                      </c:pt>
                      <c:pt idx="59">
                        <c:v>2.4062155378555727E-2</c:v>
                      </c:pt>
                      <c:pt idx="60">
                        <c:v>2.4866658393226569E-2</c:v>
                      </c:pt>
                      <c:pt idx="61">
                        <c:v>2.5684609927271146E-2</c:v>
                      </c:pt>
                      <c:pt idx="62">
                        <c:v>2.6516007574783427E-2</c:v>
                      </c:pt>
                      <c:pt idx="63">
                        <c:v>2.736084892784554E-2</c:v>
                      </c:pt>
                      <c:pt idx="64">
                        <c:v>2.8219131576528056E-2</c:v>
                      </c:pt>
                      <c:pt idx="65">
                        <c:v>2.9090853108890237E-2</c:v>
                      </c:pt>
                      <c:pt idx="66">
                        <c:v>2.9976011110980309E-2</c:v>
                      </c:pt>
                      <c:pt idx="67">
                        <c:v>3.0874603166835685E-2</c:v>
                      </c:pt>
                      <c:pt idx="68">
                        <c:v>3.1786626858483304E-2</c:v>
                      </c:pt>
                      <c:pt idx="69">
                        <c:v>3.2712079765939817E-2</c:v>
                      </c:pt>
                      <c:pt idx="70">
                        <c:v>3.3650959467211916E-2</c:v>
                      </c:pt>
                      <c:pt idx="71">
                        <c:v>3.4603263538296521E-2</c:v>
                      </c:pt>
                      <c:pt idx="72">
                        <c:v>3.5568989553181128E-2</c:v>
                      </c:pt>
                      <c:pt idx="73">
                        <c:v>3.6548135083844031E-2</c:v>
                      </c:pt>
                      <c:pt idx="74">
                        <c:v>3.7540697700254526E-2</c:v>
                      </c:pt>
                      <c:pt idx="75">
                        <c:v>3.854667497037334E-2</c:v>
                      </c:pt>
                      <c:pt idx="76">
                        <c:v>3.9566064460152671E-2</c:v>
                      </c:pt>
                      <c:pt idx="77">
                        <c:v>4.0598863733536661E-2</c:v>
                      </c:pt>
                      <c:pt idx="78">
                        <c:v>4.1645070352461518E-2</c:v>
                      </c:pt>
                      <c:pt idx="79">
                        <c:v>4.2704681876855839E-2</c:v>
                      </c:pt>
                      <c:pt idx="80">
                        <c:v>4.377769586464083E-2</c:v>
                      </c:pt>
                      <c:pt idx="81">
                        <c:v>4.4864109871730624E-2</c:v>
                      </c:pt>
                      <c:pt idx="82">
                        <c:v>4.596392145203252E-2</c:v>
                      </c:pt>
                      <c:pt idx="83">
                        <c:v>4.7077128157447273E-2</c:v>
                      </c:pt>
                      <c:pt idx="84">
                        <c:v>4.8203727537869258E-2</c:v>
                      </c:pt>
                      <c:pt idx="85">
                        <c:v>4.9343717141186856E-2</c:v>
                      </c:pt>
                      <c:pt idx="86">
                        <c:v>5.0497094513282693E-2</c:v>
                      </c:pt>
                      <c:pt idx="87">
                        <c:v>5.1663857198033736E-2</c:v>
                      </c:pt>
                      <c:pt idx="88">
                        <c:v>5.2844002737311824E-2</c:v>
                      </c:pt>
                      <c:pt idx="89">
                        <c:v>5.4037528670983749E-2</c:v>
                      </c:pt>
                      <c:pt idx="90">
                        <c:v>5.5244432536911622E-2</c:v>
                      </c:pt>
                      <c:pt idx="91">
                        <c:v>5.646471187095297E-2</c:v>
                      </c:pt>
                      <c:pt idx="92">
                        <c:v>5.7698364206961207E-2</c:v>
                      </c:pt>
                      <c:pt idx="93">
                        <c:v>5.8945387076785774E-2</c:v>
                      </c:pt>
                      <c:pt idx="94">
                        <c:v>6.0205778010272396E-2</c:v>
                      </c:pt>
                      <c:pt idx="95">
                        <c:v>6.1479534535263461E-2</c:v>
                      </c:pt>
                      <c:pt idx="96">
                        <c:v>6.2766654177598039E-2</c:v>
                      </c:pt>
                      <c:pt idx="97">
                        <c:v>6.4067134461112479E-2</c:v>
                      </c:pt>
                      <c:pt idx="98">
                        <c:v>6.5380972907640361E-2</c:v>
                      </c:pt>
                      <c:pt idx="99">
                        <c:v>6.6708167037012975E-2</c:v>
                      </c:pt>
                      <c:pt idx="100">
                        <c:v>6.8048714367059449E-2</c:v>
                      </c:pt>
                    </c:numCache>
                  </c:numRef>
                </c:val>
                <c:smooth val="0"/>
                <c:extLst xmlns:c15="http://schemas.microsoft.com/office/drawing/2012/chart">
                  <c:ext xmlns:c16="http://schemas.microsoft.com/office/drawing/2014/chart" uri="{C3380CC4-5D6E-409C-BE32-E72D297353CC}">
                    <c16:uniqueId val="{00000008-0C66-4A53-91BE-779AAB69F7ED}"/>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Load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Calculations'!$AC$9:$AC$109</c15:sqref>
                        </c15:formulaRef>
                      </c:ext>
                    </c:extLst>
                    <c:numCache>
                      <c:formatCode>0.000</c:formatCode>
                      <c:ptCount val="101"/>
                      <c:pt idx="0">
                        <c:v>5.1480781171974101E-3</c:v>
                      </c:pt>
                      <c:pt idx="1">
                        <c:v>5.1490050880673042E-3</c:v>
                      </c:pt>
                      <c:pt idx="2">
                        <c:v>5.1499321188159435E-3</c:v>
                      </c:pt>
                      <c:pt idx="3">
                        <c:v>5.150859209437867E-3</c:v>
                      </c:pt>
                      <c:pt idx="4">
                        <c:v>5.1517863599276079E-3</c:v>
                      </c:pt>
                      <c:pt idx="5">
                        <c:v>5.1527135702797025E-3</c:v>
                      </c:pt>
                      <c:pt idx="6">
                        <c:v>5.1536408404886892E-3</c:v>
                      </c:pt>
                      <c:pt idx="7">
                        <c:v>5.1545681705491E-3</c:v>
                      </c:pt>
                      <c:pt idx="8">
                        <c:v>5.1554955604554732E-3</c:v>
                      </c:pt>
                      <c:pt idx="9">
                        <c:v>5.1564230102023488E-3</c:v>
                      </c:pt>
                      <c:pt idx="10">
                        <c:v>5.1573505197842562E-3</c:v>
                      </c:pt>
                      <c:pt idx="11">
                        <c:v>5.1582780891957416E-3</c:v>
                      </c:pt>
                      <c:pt idx="12">
                        <c:v>5.1592057184313422E-3</c:v>
                      </c:pt>
                      <c:pt idx="13">
                        <c:v>5.1601334074855955E-3</c:v>
                      </c:pt>
                      <c:pt idx="14">
                        <c:v>5.1610611563530371E-3</c:v>
                      </c:pt>
                      <c:pt idx="15">
                        <c:v>5.1619889650282172E-3</c:v>
                      </c:pt>
                      <c:pt idx="16">
                        <c:v>5.162916833505663E-3</c:v>
                      </c:pt>
                      <c:pt idx="17">
                        <c:v>5.1638447617799238E-3</c:v>
                      </c:pt>
                      <c:pt idx="18">
                        <c:v>5.1647727498455387E-3</c:v>
                      </c:pt>
                      <c:pt idx="19">
                        <c:v>5.1657007976970469E-3</c:v>
                      </c:pt>
                      <c:pt idx="20">
                        <c:v>5.1666289053289953E-3</c:v>
                      </c:pt>
                      <c:pt idx="21">
                        <c:v>5.1675570727359238E-3</c:v>
                      </c:pt>
                      <c:pt idx="22">
                        <c:v>5.1684852999123723E-3</c:v>
                      </c:pt>
                      <c:pt idx="23">
                        <c:v>5.1694135868528834E-3</c:v>
                      </c:pt>
                      <c:pt idx="24">
                        <c:v>5.1703419335520162E-3</c:v>
                      </c:pt>
                      <c:pt idx="25">
                        <c:v>5.1712703400042916E-3</c:v>
                      </c:pt>
                      <c:pt idx="26">
                        <c:v>5.1721988062042659E-3</c:v>
                      </c:pt>
                      <c:pt idx="27">
                        <c:v>5.1731273321464896E-3</c:v>
                      </c:pt>
                      <c:pt idx="28">
                        <c:v>5.1740559178254991E-3</c:v>
                      </c:pt>
                      <c:pt idx="29">
                        <c:v>5.1749845632358448E-3</c:v>
                      </c:pt>
                      <c:pt idx="30">
                        <c:v>5.1759132683720701E-3</c:v>
                      </c:pt>
                      <c:pt idx="31">
                        <c:v>5.1768420332287202E-3</c:v>
                      </c:pt>
                      <c:pt idx="32">
                        <c:v>5.1777708578003489E-3</c:v>
                      </c:pt>
                      <c:pt idx="33">
                        <c:v>5.178699742081504E-3</c:v>
                      </c:pt>
                      <c:pt idx="34">
                        <c:v>5.1796286860667229E-3</c:v>
                      </c:pt>
                      <c:pt idx="35">
                        <c:v>5.180557689750568E-3</c:v>
                      </c:pt>
                      <c:pt idx="36">
                        <c:v>5.1814867531275802E-3</c:v>
                      </c:pt>
                      <c:pt idx="37">
                        <c:v>5.1824158761923072E-3</c:v>
                      </c:pt>
                      <c:pt idx="38">
                        <c:v>5.1833450589393003E-3</c:v>
                      </c:pt>
                      <c:pt idx="39">
                        <c:v>5.1842743013631176E-3</c:v>
                      </c:pt>
                      <c:pt idx="40">
                        <c:v>5.1852036034583035E-3</c:v>
                      </c:pt>
                      <c:pt idx="41">
                        <c:v>5.1861329652194022E-3</c:v>
                      </c:pt>
                      <c:pt idx="42">
                        <c:v>5.1870623866409771E-3</c:v>
                      </c:pt>
                      <c:pt idx="43">
                        <c:v>5.1879918677175821E-3</c:v>
                      </c:pt>
                      <c:pt idx="44">
                        <c:v>5.1889214084437545E-3</c:v>
                      </c:pt>
                      <c:pt idx="45">
                        <c:v>5.1898510088140568E-3</c:v>
                      </c:pt>
                      <c:pt idx="46">
                        <c:v>5.1907806688230437E-3</c:v>
                      </c:pt>
                      <c:pt idx="47">
                        <c:v>5.1917103884652673E-3</c:v>
                      </c:pt>
                      <c:pt idx="48">
                        <c:v>5.1926401677352815E-3</c:v>
                      </c:pt>
                      <c:pt idx="49">
                        <c:v>5.1935700066276461E-3</c:v>
                      </c:pt>
                      <c:pt idx="50">
                        <c:v>5.1944999051369021E-3</c:v>
                      </c:pt>
                      <c:pt idx="51">
                        <c:v>5.1954298632576204E-3</c:v>
                      </c:pt>
                      <c:pt idx="52">
                        <c:v>5.1963598809843508E-3</c:v>
                      </c:pt>
                      <c:pt idx="53">
                        <c:v>5.197289958311647E-3</c:v>
                      </c:pt>
                      <c:pt idx="54">
                        <c:v>5.1982200952340671E-3</c:v>
                      </c:pt>
                      <c:pt idx="55">
                        <c:v>5.1991502917461711E-3</c:v>
                      </c:pt>
                      <c:pt idx="56">
                        <c:v>5.2000805478425172E-3</c:v>
                      </c:pt>
                      <c:pt idx="57">
                        <c:v>5.2010108635176635E-3</c:v>
                      </c:pt>
                      <c:pt idx="58">
                        <c:v>5.2019412387661621E-3</c:v>
                      </c:pt>
                      <c:pt idx="59">
                        <c:v>5.2028716735825799E-3</c:v>
                      </c:pt>
                      <c:pt idx="60">
                        <c:v>5.2038021679614785E-3</c:v>
                      </c:pt>
                      <c:pt idx="61">
                        <c:v>5.2047327218974057E-3</c:v>
                      </c:pt>
                      <c:pt idx="62">
                        <c:v>5.2056633353849335E-3</c:v>
                      </c:pt>
                      <c:pt idx="63">
                        <c:v>5.2065940084186149E-3</c:v>
                      </c:pt>
                      <c:pt idx="64">
                        <c:v>5.2075247409930168E-3</c:v>
                      </c:pt>
                      <c:pt idx="65">
                        <c:v>5.2084555331026921E-3</c:v>
                      </c:pt>
                      <c:pt idx="66">
                        <c:v>5.2093863847422171E-3</c:v>
                      </c:pt>
                      <c:pt idx="67">
                        <c:v>5.2103172959061458E-3</c:v>
                      </c:pt>
                      <c:pt idx="68">
                        <c:v>5.2112482665890407E-3</c:v>
                      </c:pt>
                      <c:pt idx="69">
                        <c:v>5.2121792967854651E-3</c:v>
                      </c:pt>
                      <c:pt idx="70">
                        <c:v>5.2131103864899884E-3</c:v>
                      </c:pt>
                      <c:pt idx="71">
                        <c:v>5.2140415356971689E-3</c:v>
                      </c:pt>
                      <c:pt idx="72">
                        <c:v>5.214972744401576E-3</c:v>
                      </c:pt>
                      <c:pt idx="73">
                        <c:v>5.2159040125977687E-3</c:v>
                      </c:pt>
                      <c:pt idx="74">
                        <c:v>5.2168353402803139E-3</c:v>
                      </c:pt>
                      <c:pt idx="75">
                        <c:v>5.2177667274437888E-3</c:v>
                      </c:pt>
                      <c:pt idx="76">
                        <c:v>5.2186981740827421E-3</c:v>
                      </c:pt>
                      <c:pt idx="77">
                        <c:v>5.2196296801917509E-3</c:v>
                      </c:pt>
                      <c:pt idx="78">
                        <c:v>5.2205612457653884E-3</c:v>
                      </c:pt>
                      <c:pt idx="79">
                        <c:v>5.2214928707982099E-3</c:v>
                      </c:pt>
                      <c:pt idx="80">
                        <c:v>5.2224245552847937E-3</c:v>
                      </c:pt>
                      <c:pt idx="81">
                        <c:v>5.2233562992196969E-3</c:v>
                      </c:pt>
                      <c:pt idx="82">
                        <c:v>5.2242881025974961E-3</c:v>
                      </c:pt>
                      <c:pt idx="83">
                        <c:v>5.2252199654127737E-3</c:v>
                      </c:pt>
                      <c:pt idx="84">
                        <c:v>5.2261518876600722E-3</c:v>
                      </c:pt>
                      <c:pt idx="85">
                        <c:v>5.2270838693339802E-3</c:v>
                      </c:pt>
                      <c:pt idx="86">
                        <c:v>5.2280159104290645E-3</c:v>
                      </c:pt>
                      <c:pt idx="87">
                        <c:v>5.2289480109398998E-3</c:v>
                      </c:pt>
                      <c:pt idx="88">
                        <c:v>5.2298801708610485E-3</c:v>
                      </c:pt>
                      <c:pt idx="89">
                        <c:v>5.2308123901870975E-3</c:v>
                      </c:pt>
                      <c:pt idx="90">
                        <c:v>5.2317446689126084E-3</c:v>
                      </c:pt>
                      <c:pt idx="91">
                        <c:v>5.2326770070321499E-3</c:v>
                      </c:pt>
                      <c:pt idx="92">
                        <c:v>5.2336094045403085E-3</c:v>
                      </c:pt>
                      <c:pt idx="93">
                        <c:v>5.2345418614316496E-3</c:v>
                      </c:pt>
                      <c:pt idx="94">
                        <c:v>5.2354743777007487E-3</c:v>
                      </c:pt>
                      <c:pt idx="95">
                        <c:v>5.236406953342182E-3</c:v>
                      </c:pt>
                      <c:pt idx="96">
                        <c:v>5.2373395883505277E-3</c:v>
                      </c:pt>
                      <c:pt idx="97">
                        <c:v>5.2382722827203554E-3</c:v>
                      </c:pt>
                      <c:pt idx="98">
                        <c:v>5.2392050364462464E-3</c:v>
                      </c:pt>
                      <c:pt idx="99">
                        <c:v>5.2401378495227739E-3</c:v>
                      </c:pt>
                      <c:pt idx="100">
                        <c:v>5.241070721944509E-3</c:v>
                      </c:pt>
                    </c:numCache>
                  </c:numRef>
                </c:val>
                <c:smooth val="0"/>
                <c:extLst xmlns:c15="http://schemas.microsoft.com/office/drawing/2012/chart">
                  <c:ext xmlns:c16="http://schemas.microsoft.com/office/drawing/2014/chart" uri="{C3380CC4-5D6E-409C-BE32-E72D297353CC}">
                    <c16:uniqueId val="{00000009-0C66-4A53-91BE-779AAB69F7ED}"/>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Load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Calculations'!$AK$9:$AK$109</c15:sqref>
                        </c15:formulaRef>
                      </c:ext>
                    </c:extLst>
                    <c:numCache>
                      <c:formatCode>0.000</c:formatCode>
                      <c:ptCount val="101"/>
                      <c:pt idx="0">
                        <c:v>4.4984845120413425E-2</c:v>
                      </c:pt>
                      <c:pt idx="1">
                        <c:v>7.1942174356351016E-2</c:v>
                      </c:pt>
                      <c:pt idx="2">
                        <c:v>9.735549990955901E-2</c:v>
                      </c:pt>
                      <c:pt idx="3">
                        <c:v>0.12289572056859287</c:v>
                      </c:pt>
                      <c:pt idx="4">
                        <c:v>0.14856509122822803</c:v>
                      </c:pt>
                      <c:pt idx="5">
                        <c:v>0.17436589009879877</c:v>
                      </c:pt>
                      <c:pt idx="6">
                        <c:v>0.20030041938049167</c:v>
                      </c:pt>
                      <c:pt idx="7">
                        <c:v>0.22637100594857551</c:v>
                      </c:pt>
                      <c:pt idx="8">
                        <c:v>0.25258000204999587</c:v>
                      </c:pt>
                      <c:pt idx="9">
                        <c:v>0.27892978601177321</c:v>
                      </c:pt>
                      <c:pt idx="10">
                        <c:v>0.30542276296165222</c:v>
                      </c:pt>
                      <c:pt idx="11">
                        <c:v>0.33206136556146282</c:v>
                      </c:pt>
                      <c:pt idx="12">
                        <c:v>0.35884805475366205</c:v>
                      </c:pt>
                      <c:pt idx="13">
                        <c:v>0.38578532052154113</c:v>
                      </c:pt>
                      <c:pt idx="14">
                        <c:v>0.41287568266358915</c:v>
                      </c:pt>
                      <c:pt idx="15">
                        <c:v>0.44109093050683484</c:v>
                      </c:pt>
                      <c:pt idx="16">
                        <c:v>0.47139243807210307</c:v>
                      </c:pt>
                      <c:pt idx="17">
                        <c:v>0.50185760794067213</c:v>
                      </c:pt>
                      <c:pt idx="18">
                        <c:v>0.53248934532516168</c:v>
                      </c:pt>
                      <c:pt idx="19">
                        <c:v>0.56329059040825291</c:v>
                      </c:pt>
                      <c:pt idx="20">
                        <c:v>0.59426431929159529</c:v>
                      </c:pt>
                      <c:pt idx="21">
                        <c:v>0.62541354496347079</c:v>
                      </c:pt>
                      <c:pt idx="22">
                        <c:v>0.65674131828588111</c:v>
                      </c:pt>
                      <c:pt idx="23">
                        <c:v>0.68825072900174078</c:v>
                      </c:pt>
                      <c:pt idx="24">
                        <c:v>0.71994490676288536</c:v>
                      </c:pt>
                      <c:pt idx="25">
                        <c:v>0.75182702217961306</c:v>
                      </c:pt>
                      <c:pt idx="26">
                        <c:v>0.78390028789251121</c:v>
                      </c:pt>
                      <c:pt idx="27">
                        <c:v>0.81616795966733602</c:v>
                      </c:pt>
                      <c:pt idx="28">
                        <c:v>0.84863333751373438</c:v>
                      </c:pt>
                      <c:pt idx="29">
                        <c:v>0.88129976682862843</c:v>
                      </c:pt>
                      <c:pt idx="30">
                        <c:v>0.91417063956510092</c:v>
                      </c:pt>
                      <c:pt idx="31">
                        <c:v>0.94724939542765241</c:v>
                      </c:pt>
                      <c:pt idx="32">
                        <c:v>0.98053952309472381</c:v>
                      </c:pt>
                      <c:pt idx="33">
                        <c:v>1.0140445614694114</c:v>
                      </c:pt>
                      <c:pt idx="34">
                        <c:v>1.0477681009593236</c:v>
                      </c:pt>
                      <c:pt idx="35">
                        <c:v>1.0817137847865717</c:v>
                      </c:pt>
                      <c:pt idx="36">
                        <c:v>1.1158853103289061</c:v>
                      </c:pt>
                      <c:pt idx="37">
                        <c:v>1.150286430493054</c:v>
                      </c:pt>
                      <c:pt idx="38">
                        <c:v>1.184920955121342</c:v>
                      </c:pt>
                      <c:pt idx="39">
                        <c:v>1.2197927524327334</c:v>
                      </c:pt>
                      <c:pt idx="40">
                        <c:v>1.2549057504994328</c:v>
                      </c:pt>
                      <c:pt idx="41">
                        <c:v>1.2902639387602672</c:v>
                      </c:pt>
                      <c:pt idx="42">
                        <c:v>1.3258713695720881</c:v>
                      </c:pt>
                      <c:pt idx="43">
                        <c:v>1.361732159800473</c:v>
                      </c:pt>
                      <c:pt idx="44">
                        <c:v>1.3978504924510686</c:v>
                      </c:pt>
                      <c:pt idx="45">
                        <c:v>1.4342306183429459</c:v>
                      </c:pt>
                      <c:pt idx="46">
                        <c:v>1.4708768578254048</c:v>
                      </c:pt>
                      <c:pt idx="47">
                        <c:v>1.5077936025397003</c:v>
                      </c:pt>
                      <c:pt idx="48">
                        <c:v>1.5449853172272232</c:v>
                      </c:pt>
                      <c:pt idx="49">
                        <c:v>1.5824565415857368</c:v>
                      </c:pt>
                      <c:pt idx="50">
                        <c:v>1.6202118921752953</c:v>
                      </c:pt>
                      <c:pt idx="51">
                        <c:v>1.6582560643755733</c:v>
                      </c:pt>
                      <c:pt idx="52">
                        <c:v>1.6965938343963649</c:v>
                      </c:pt>
                      <c:pt idx="53">
                        <c:v>1.7352300613430929</c:v>
                      </c:pt>
                      <c:pt idx="54">
                        <c:v>1.7741696893392362</c:v>
                      </c:pt>
                      <c:pt idx="55">
                        <c:v>1.8134177497076502</c:v>
                      </c:pt>
                      <c:pt idx="56">
                        <c:v>1.8529793632128424</c:v>
                      </c:pt>
                      <c:pt idx="57">
                        <c:v>1.8928597423663218</c:v>
                      </c:pt>
                      <c:pt idx="58">
                        <c:v>1.9330641937972541</c:v>
                      </c:pt>
                      <c:pt idx="59">
                        <c:v>1.9735981206907052</c:v>
                      </c:pt>
                      <c:pt idx="60">
                        <c:v>2.0144670252958781</c:v>
                      </c:pt>
                      <c:pt idx="61">
                        <c:v>2.0556765115068174</c:v>
                      </c:pt>
                      <c:pt idx="62">
                        <c:v>2.0972322875181688</c:v>
                      </c:pt>
                      <c:pt idx="63">
                        <c:v>2.1391401685586713</c:v>
                      </c:pt>
                      <c:pt idx="64">
                        <c:v>2.1814060797051806</c:v>
                      </c:pt>
                      <c:pt idx="65">
                        <c:v>2.2240360587801233</c:v>
                      </c:pt>
                      <c:pt idx="66">
                        <c:v>2.2670362593353977</c:v>
                      </c:pt>
                      <c:pt idx="67">
                        <c:v>2.3104129537258769</c:v>
                      </c:pt>
                      <c:pt idx="68">
                        <c:v>2.3541725362757671</c:v>
                      </c:pt>
                      <c:pt idx="69">
                        <c:v>2.3983215265412454</c:v>
                      </c:pt>
                      <c:pt idx="70">
                        <c:v>2.4428665726729104</c:v>
                      </c:pt>
                      <c:pt idx="71">
                        <c:v>2.4878144548817374</c:v>
                      </c:pt>
                      <c:pt idx="72">
                        <c:v>2.5331720890124063</c:v>
                      </c:pt>
                      <c:pt idx="73">
                        <c:v>2.5789465302279755</c:v>
                      </c:pt>
                      <c:pt idx="74">
                        <c:v>2.6251449768101223</c:v>
                      </c:pt>
                      <c:pt idx="75">
                        <c:v>2.6717747740792648</c:v>
                      </c:pt>
                      <c:pt idx="76">
                        <c:v>2.7188434184391452</c:v>
                      </c:pt>
                      <c:pt idx="77">
                        <c:v>2.7663585615505775</c:v>
                      </c:pt>
                      <c:pt idx="78">
                        <c:v>2.8143280146393299</c:v>
                      </c:pt>
                      <c:pt idx="79">
                        <c:v>2.8627597529432798</c:v>
                      </c:pt>
                      <c:pt idx="80">
                        <c:v>2.9116619203042298</c:v>
                      </c:pt>
                      <c:pt idx="81">
                        <c:v>2.961042833910013</c:v>
                      </c:pt>
                      <c:pt idx="82">
                        <c:v>3.0109109891927344</c:v>
                      </c:pt>
                      <c:pt idx="83">
                        <c:v>3.0612750648892941</c:v>
                      </c:pt>
                      <c:pt idx="84">
                        <c:v>3.1121439282705863</c:v>
                      </c:pt>
                      <c:pt idx="85">
                        <c:v>3.1635266405460754</c:v>
                      </c:pt>
                      <c:pt idx="86">
                        <c:v>3.2154324624507211</c:v>
                      </c:pt>
                      <c:pt idx="87">
                        <c:v>3.2678708600215836</c:v>
                      </c:pt>
                      <c:pt idx="88">
                        <c:v>3.3208515105717553</c:v>
                      </c:pt>
                      <c:pt idx="89">
                        <c:v>3.3743843088695931</c:v>
                      </c:pt>
                      <c:pt idx="90">
                        <c:v>3.428479373531665</c:v>
                      </c:pt>
                      <c:pt idx="91">
                        <c:v>3.4831470536381173</c:v>
                      </c:pt>
                      <c:pt idx="92">
                        <c:v>3.5383979355796775</c:v>
                      </c:pt>
                      <c:pt idx="93">
                        <c:v>3.5942428501458701</c:v>
                      </c:pt>
                      <c:pt idx="94">
                        <c:v>3.6506928798645117</c:v>
                      </c:pt>
                      <c:pt idx="95">
                        <c:v>3.707759366603026</c:v>
                      </c:pt>
                      <c:pt idx="96">
                        <c:v>3.7654539194426189</c:v>
                      </c:pt>
                      <c:pt idx="97">
                        <c:v>3.823788422836897</c:v>
                      </c:pt>
                      <c:pt idx="98">
                        <c:v>3.8827750450670622</c:v>
                      </c:pt>
                      <c:pt idx="99">
                        <c:v>3.942426247006444</c:v>
                      </c:pt>
                      <c:pt idx="100">
                        <c:v>4.0027547912076837</c:v>
                      </c:pt>
                    </c:numCache>
                  </c:numRef>
                </c:val>
                <c:smooth val="0"/>
                <c:extLst xmlns:c15="http://schemas.microsoft.com/office/drawing/2012/chart">
                  <c:ext xmlns:c16="http://schemas.microsoft.com/office/drawing/2014/chart" uri="{C3380CC4-5D6E-409C-BE32-E72D297353CC}">
                    <c16:uniqueId val="{0000000A-0C66-4A53-91BE-779AAB69F7ED}"/>
                  </c:ext>
                </c:extLst>
              </c15:ser>
            </c15:filteredLineSeries>
            <c15:filteredLineSeries>
              <c15:ser>
                <c:idx val="2"/>
                <c:order val="11"/>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4.4984845120413425E-2</c:v>
                      </c:pt>
                      <c:pt idx="1">
                        <c:v>7.3811254439551013E-2</c:v>
                      </c:pt>
                      <c:pt idx="2">
                        <c:v>0.10109358024235901</c:v>
                      </c:pt>
                      <c:pt idx="3">
                        <c:v>0.12850272131739288</c:v>
                      </c:pt>
                      <c:pt idx="4">
                        <c:v>0.15604093255942802</c:v>
                      </c:pt>
                      <c:pt idx="5">
                        <c:v>0.18371049217879878</c:v>
                      </c:pt>
                      <c:pt idx="6">
                        <c:v>0.21151370237569167</c:v>
                      </c:pt>
                      <c:pt idx="7">
                        <c:v>0.23945289002537551</c:v>
                      </c:pt>
                      <c:pt idx="8">
                        <c:v>0.26753040737479589</c:v>
                      </c:pt>
                      <c:pt idx="9">
                        <c:v>0.29574863275097318</c:v>
                      </c:pt>
                      <c:pt idx="10">
                        <c:v>0.3241099712816522</c:v>
                      </c:pt>
                      <c:pt idx="11">
                        <c:v>0.35261685562866285</c:v>
                      </c:pt>
                      <c:pt idx="12">
                        <c:v>0.38127174673446207</c:v>
                      </c:pt>
                      <c:pt idx="13">
                        <c:v>0.41007713458234113</c:v>
                      </c:pt>
                      <c:pt idx="14">
                        <c:v>0.43903553897078917</c:v>
                      </c:pt>
                      <c:pt idx="15">
                        <c:v>0.46911874922683483</c:v>
                      </c:pt>
                      <c:pt idx="16">
                        <c:v>0.50128813937130312</c:v>
                      </c:pt>
                      <c:pt idx="17">
                        <c:v>0.53362111198547213</c:v>
                      </c:pt>
                      <c:pt idx="18">
                        <c:v>0.56612057228196166</c:v>
                      </c:pt>
                      <c:pt idx="19">
                        <c:v>0.59878946044345294</c:v>
                      </c:pt>
                      <c:pt idx="20">
                        <c:v>0.63163075257159529</c:v>
                      </c:pt>
                      <c:pt idx="21">
                        <c:v>0.66464746165467081</c:v>
                      </c:pt>
                      <c:pt idx="22">
                        <c:v>0.69784263855468109</c:v>
                      </c:pt>
                      <c:pt idx="23">
                        <c:v>0.73121937301454076</c:v>
                      </c:pt>
                      <c:pt idx="24">
                        <c:v>0.7647807946860854</c:v>
                      </c:pt>
                      <c:pt idx="25">
                        <c:v>0.79853007417961308</c:v>
                      </c:pt>
                      <c:pt idx="26">
                        <c:v>0.83247042413571126</c:v>
                      </c:pt>
                      <c:pt idx="27">
                        <c:v>0.86660510032013605</c:v>
                      </c:pt>
                      <c:pt idx="28">
                        <c:v>0.90093740274253442</c:v>
                      </c:pt>
                      <c:pt idx="29">
                        <c:v>0.93547067679982843</c:v>
                      </c:pt>
                      <c:pt idx="30">
                        <c:v>0.97020831444510092</c:v>
                      </c:pt>
                      <c:pt idx="31">
                        <c:v>1.0051537553828525</c:v>
                      </c:pt>
                      <c:pt idx="32">
                        <c:v>1.0403104882915237</c:v>
                      </c:pt>
                      <c:pt idx="33">
                        <c:v>1.0756820520742114</c:v>
                      </c:pt>
                      <c:pt idx="34">
                        <c:v>1.1112720371385236</c:v>
                      </c:pt>
                      <c:pt idx="35">
                        <c:v>1.1470840867065717</c:v>
                      </c:pt>
                      <c:pt idx="36">
                        <c:v>1.1831218981561062</c:v>
                      </c:pt>
                      <c:pt idx="37">
                        <c:v>1.219389224393854</c:v>
                      </c:pt>
                      <c:pt idx="38">
                        <c:v>1.2558898752621419</c:v>
                      </c:pt>
                      <c:pt idx="39">
                        <c:v>1.2926277189799333</c:v>
                      </c:pt>
                      <c:pt idx="40">
                        <c:v>1.3296066836194327</c:v>
                      </c:pt>
                      <c:pt idx="41">
                        <c:v>1.3668307586194672</c:v>
                      </c:pt>
                      <c:pt idx="42">
                        <c:v>1.4043039963368882</c:v>
                      </c:pt>
                      <c:pt idx="43">
                        <c:v>1.4420305136372731</c:v>
                      </c:pt>
                      <c:pt idx="44">
                        <c:v>1.4800144935262687</c:v>
                      </c:pt>
                      <c:pt idx="45">
                        <c:v>1.5182601868229459</c:v>
                      </c:pt>
                      <c:pt idx="46">
                        <c:v>1.5567719138766047</c:v>
                      </c:pt>
                      <c:pt idx="47">
                        <c:v>1.5955540663285004</c:v>
                      </c:pt>
                      <c:pt idx="48">
                        <c:v>1.6346111089200233</c:v>
                      </c:pt>
                      <c:pt idx="49">
                        <c:v>1.6739475813489368</c:v>
                      </c:pt>
                      <c:pt idx="50">
                        <c:v>1.7135681001752954</c:v>
                      </c:pt>
                      <c:pt idx="51">
                        <c:v>1.7534773607787733</c:v>
                      </c:pt>
                      <c:pt idx="52">
                        <c:v>1.7936801393691648</c:v>
                      </c:pt>
                      <c:pt idx="53">
                        <c:v>1.834181295051893</c:v>
                      </c:pt>
                      <c:pt idx="54">
                        <c:v>1.8749857719504364</c:v>
                      </c:pt>
                      <c:pt idx="55">
                        <c:v>1.9160986013876502</c:v>
                      </c:pt>
                      <c:pt idx="56">
                        <c:v>1.9575249041280425</c:v>
                      </c:pt>
                      <c:pt idx="57">
                        <c:v>1.9992698926831218</c:v>
                      </c:pt>
                      <c:pt idx="58">
                        <c:v>2.0413388736820544</c:v>
                      </c:pt>
                      <c:pt idx="59">
                        <c:v>2.083737250309905</c:v>
                      </c:pt>
                      <c:pt idx="60">
                        <c:v>2.1264705248158782</c:v>
                      </c:pt>
                      <c:pt idx="61">
                        <c:v>2.1695443010940174</c:v>
                      </c:pt>
                      <c:pt idx="62">
                        <c:v>2.212964287338969</c:v>
                      </c:pt>
                      <c:pt idx="63">
                        <c:v>2.2567362987794715</c:v>
                      </c:pt>
                      <c:pt idx="64">
                        <c:v>2.3008662604923806</c:v>
                      </c:pt>
                      <c:pt idx="65">
                        <c:v>2.3453602103001234</c:v>
                      </c:pt>
                      <c:pt idx="66">
                        <c:v>2.3902243017545977</c:v>
                      </c:pt>
                      <c:pt idx="67">
                        <c:v>2.435464807210677</c:v>
                      </c:pt>
                      <c:pt idx="68">
                        <c:v>2.4810881209925673</c:v>
                      </c:pt>
                      <c:pt idx="69">
                        <c:v>2.5271007626564455</c:v>
                      </c:pt>
                      <c:pt idx="70">
                        <c:v>2.5735093803529105</c:v>
                      </c:pt>
                      <c:pt idx="71">
                        <c:v>2.6203207542929374</c:v>
                      </c:pt>
                      <c:pt idx="72">
                        <c:v>2.6675418003212061</c:v>
                      </c:pt>
                      <c:pt idx="73">
                        <c:v>2.7151795736007753</c:v>
                      </c:pt>
                      <c:pt idx="74">
                        <c:v>2.7632412724133224</c:v>
                      </c:pt>
                      <c:pt idx="75">
                        <c:v>2.8117342420792646</c:v>
                      </c:pt>
                      <c:pt idx="76">
                        <c:v>2.8606659790023454</c:v>
                      </c:pt>
                      <c:pt idx="77">
                        <c:v>2.9100441348433774</c:v>
                      </c:pt>
                      <c:pt idx="78">
                        <c:v>2.9598765208281299</c:v>
                      </c:pt>
                      <c:pt idx="79">
                        <c:v>3.0101711121944796</c:v>
                      </c:pt>
                      <c:pt idx="80">
                        <c:v>3.0609360527842298</c:v>
                      </c:pt>
                      <c:pt idx="81">
                        <c:v>3.1121796597852129</c:v>
                      </c:pt>
                      <c:pt idx="82">
                        <c:v>3.1639104286295345</c:v>
                      </c:pt>
                      <c:pt idx="83">
                        <c:v>3.2161370380540943</c:v>
                      </c:pt>
                      <c:pt idx="84">
                        <c:v>3.2688683553297864</c:v>
                      </c:pt>
                      <c:pt idx="85">
                        <c:v>3.3221134416660751</c:v>
                      </c:pt>
                      <c:pt idx="86">
                        <c:v>3.3758815577979213</c:v>
                      </c:pt>
                      <c:pt idx="87">
                        <c:v>3.4301821697623835</c:v>
                      </c:pt>
                      <c:pt idx="88">
                        <c:v>3.4850249548725554</c:v>
                      </c:pt>
                      <c:pt idx="89">
                        <c:v>3.540419807896793</c:v>
                      </c:pt>
                      <c:pt idx="90">
                        <c:v>3.5963768474516651</c:v>
                      </c:pt>
                      <c:pt idx="91">
                        <c:v>3.6529064226173174</c:v>
                      </c:pt>
                      <c:pt idx="92">
                        <c:v>3.7100191197844774</c:v>
                      </c:pt>
                      <c:pt idx="93">
                        <c:v>3.76772576974267</c:v>
                      </c:pt>
                      <c:pt idx="94">
                        <c:v>3.8260374550197116</c:v>
                      </c:pt>
                      <c:pt idx="95">
                        <c:v>3.884965517483026</c:v>
                      </c:pt>
                      <c:pt idx="96">
                        <c:v>3.9445215662138189</c:v>
                      </c:pt>
                      <c:pt idx="97">
                        <c:v>4.0047174856656973</c:v>
                      </c:pt>
                      <c:pt idx="98">
                        <c:v>4.0655654441198621</c:v>
                      </c:pt>
                      <c:pt idx="99">
                        <c:v>4.1270779024496438</c:v>
                      </c:pt>
                      <c:pt idx="100">
                        <c:v>4.1892676232076838</c:v>
                      </c:pt>
                    </c:numCache>
                  </c:numRef>
                </c:val>
                <c:smooth val="0"/>
                <c:extLst xmlns:c15="http://schemas.microsoft.com/office/drawing/2012/chart">
                  <c:ext xmlns:c16="http://schemas.microsoft.com/office/drawing/2014/chart" uri="{C3380CC4-5D6E-409C-BE32-E72D297353CC}">
                    <c16:uniqueId val="{0000000B-0C66-4A53-91BE-779AAB69F7ED}"/>
                  </c:ext>
                </c:extLst>
              </c15:ser>
            </c15:filteredLineSeries>
            <c15:filteredLineSeries>
              <c15:ser>
                <c:idx val="3"/>
                <c:order val="12"/>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0.58797803073057131</c:v>
                      </c:pt>
                      <c:pt idx="1">
                        <c:v>0.58818343461577127</c:v>
                      </c:pt>
                      <c:pt idx="2">
                        <c:v>0.58855605730201044</c:v>
                      </c:pt>
                      <c:pt idx="3">
                        <c:v>0.58909591899561842</c:v>
                      </c:pt>
                      <c:pt idx="4">
                        <c:v>0.58980305332115146</c:v>
                      </c:pt>
                      <c:pt idx="5">
                        <c:v>0.59067750732812641</c:v>
                      </c:pt>
                      <c:pt idx="6">
                        <c:v>0.59171934150047079</c:v>
                      </c:pt>
                      <c:pt idx="7">
                        <c:v>0.59292862976865324</c:v>
                      </c:pt>
                      <c:pt idx="8">
                        <c:v>0.59430545952453029</c:v>
                      </c:pt>
                      <c:pt idx="9">
                        <c:v>0.595849931638887</c:v>
                      </c:pt>
                      <c:pt idx="10">
                        <c:v>0.59756216048170685</c:v>
                      </c:pt>
                      <c:pt idx="11">
                        <c:v>0.59944227394515426</c:v>
                      </c:pt>
                      <c:pt idx="12">
                        <c:v>0.60149041346929066</c:v>
                      </c:pt>
                      <c:pt idx="13">
                        <c:v>0.60370673407053554</c:v>
                      </c:pt>
                      <c:pt idx="14">
                        <c:v>0.60609140437286846</c:v>
                      </c:pt>
                      <c:pt idx="15">
                        <c:v>0.60864460664181097</c:v>
                      </c:pt>
                      <c:pt idx="16">
                        <c:v>0.61136653682116215</c:v>
                      </c:pt>
                      <c:pt idx="17">
                        <c:v>0.61425740457254829</c:v>
                      </c:pt>
                      <c:pt idx="18">
                        <c:v>0.61731743331775746</c:v>
                      </c:pt>
                      <c:pt idx="19">
                        <c:v>0.62054686028390282</c:v>
                      </c:pt>
                      <c:pt idx="20">
                        <c:v>0.62394593655142661</c:v>
                      </c:pt>
                      <c:pt idx="21">
                        <c:v>0.62751492710495649</c:v>
                      </c:pt>
                      <c:pt idx="22">
                        <c:v>0.63125411088703409</c:v>
                      </c:pt>
                      <c:pt idx="23">
                        <c:v>0.63516378085474712</c:v>
                      </c:pt>
                      <c:pt idx="24">
                        <c:v>0.6392442440392726</c:v>
                      </c:pt>
                      <c:pt idx="25">
                        <c:v>0.64349582160835672</c:v>
                      </c:pt>
                      <c:pt idx="26">
                        <c:v>0.64791884893177076</c:v>
                      </c:pt>
                      <c:pt idx="27">
                        <c:v>0.65251367564974583</c:v>
                      </c:pt>
                      <c:pt idx="28">
                        <c:v>0.65728066574442157</c:v>
                      </c:pt>
                      <c:pt idx="29">
                        <c:v>0.66222019761434636</c:v>
                      </c:pt>
                      <c:pt idx="30">
                        <c:v>0.66733266415203496</c:v>
                      </c:pt>
                      <c:pt idx="31">
                        <c:v>0.67261847282464393</c:v>
                      </c:pt>
                      <c:pt idx="32">
                        <c:v>0.67807804575776165</c:v>
                      </c:pt>
                      <c:pt idx="33">
                        <c:v>0.68371181982237883</c:v>
                      </c:pt>
                      <c:pt idx="34">
                        <c:v>0.68952024672504098</c:v>
                      </c:pt>
                      <c:pt idx="35">
                        <c:v>0.69550379310124866</c:v>
                      </c:pt>
                      <c:pt idx="36">
                        <c:v>0.70166294061212142</c:v>
                      </c:pt>
                      <c:pt idx="37">
                        <c:v>0.70799818604436049</c:v>
                      </c:pt>
                      <c:pt idx="38">
                        <c:v>0.71451004141357721</c:v>
                      </c:pt>
                      <c:pt idx="39">
                        <c:v>0.72119903407098851</c:v>
                      </c:pt>
                      <c:pt idx="40">
                        <c:v>0.72806570681355354</c:v>
                      </c:pt>
                      <c:pt idx="41">
                        <c:v>0.7351106179975766</c:v>
                      </c:pt>
                      <c:pt idx="42">
                        <c:v>0.74233434165583789</c:v>
                      </c:pt>
                      <c:pt idx="43">
                        <c:v>0.74973746761826554</c:v>
                      </c:pt>
                      <c:pt idx="44">
                        <c:v>0.75732060163624593</c:v>
                      </c:pt>
                      <c:pt idx="45">
                        <c:v>0.76508436551057946</c:v>
                      </c:pt>
                      <c:pt idx="46">
                        <c:v>0.77302939722315034</c:v>
                      </c:pt>
                      <c:pt idx="47">
                        <c:v>0.78115635107236892</c:v>
                      </c:pt>
                      <c:pt idx="48">
                        <c:v>0.7894658978124226</c:v>
                      </c:pt>
                      <c:pt idx="49">
                        <c:v>0.7979587247964175</c:v>
                      </c:pt>
                      <c:pt idx="50">
                        <c:v>0.80663553612343974</c:v>
                      </c:pt>
                      <c:pt idx="51">
                        <c:v>0.81549705278962326</c:v>
                      </c:pt>
                      <c:pt idx="52">
                        <c:v>0.82454401284326095</c:v>
                      </c:pt>
                      <c:pt idx="53">
                        <c:v>0.83377717154404907</c:v>
                      </c:pt>
                      <c:pt idx="54">
                        <c:v>0.84319730152650907</c:v>
                      </c:pt>
                      <c:pt idx="55">
                        <c:v>0.852805192967654</c:v>
                      </c:pt>
                      <c:pt idx="56">
                        <c:v>0.862601653758995</c:v>
                      </c:pt>
                      <c:pt idx="57">
                        <c:v>0.87258750968292031</c:v>
                      </c:pt>
                      <c:pt idx="58">
                        <c:v>0.8827636045935594</c:v>
                      </c:pt>
                      <c:pt idx="59">
                        <c:v>0.89313080060217631</c:v>
                      </c:pt>
                      <c:pt idx="60">
                        <c:v>0.90368997826718966</c:v>
                      </c:pt>
                      <c:pt idx="61">
                        <c:v>0.91444203678889124</c:v>
                      </c:pt>
                      <c:pt idx="62">
                        <c:v>0.92538789420894907</c:v>
                      </c:pt>
                      <c:pt idx="63">
                        <c:v>0.93652848761477636</c:v>
                      </c:pt>
                      <c:pt idx="64">
                        <c:v>0.94786477334885899</c:v>
                      </c:pt>
                      <c:pt idx="65">
                        <c:v>0.95939772722312477</c:v>
                      </c:pt>
                      <c:pt idx="66">
                        <c:v>0.971128344738453</c:v>
                      </c:pt>
                      <c:pt idx="67">
                        <c:v>0.98305764130941364</c:v>
                      </c:pt>
                      <c:pt idx="68">
                        <c:v>0.99518665249434202</c:v>
                      </c:pt>
                      <c:pt idx="69">
                        <c:v>1.0075164342308351</c:v>
                      </c:pt>
                      <c:pt idx="70">
                        <c:v>1.0200480630767987</c:v>
                      </c:pt>
                      <c:pt idx="71">
                        <c:v>1.0327826364571071</c:v>
                      </c:pt>
                      <c:pt idx="72">
                        <c:v>1.0457212729160472</c:v>
                      </c:pt>
                      <c:pt idx="73">
                        <c:v>1.0588651123755906</c:v>
                      </c:pt>
                      <c:pt idx="74">
                        <c:v>1.0722153163996722</c:v>
                      </c:pt>
                      <c:pt idx="75">
                        <c:v>1.0857730684645426</c:v>
                      </c:pt>
                      <c:pt idx="76">
                        <c:v>1.0995395742353458</c:v>
                      </c:pt>
                      <c:pt idx="77">
                        <c:v>1.1135160618490469</c:v>
                      </c:pt>
                      <c:pt idx="78">
                        <c:v>1.1277037822038256</c:v>
                      </c:pt>
                      <c:pt idx="79">
                        <c:v>1.1421040092550681</c:v>
                      </c:pt>
                      <c:pt idx="80">
                        <c:v>1.1567180403181148</c:v>
                      </c:pt>
                      <c:pt idx="81">
                        <c:v>1.1715471963778761</c:v>
                      </c:pt>
                      <c:pt idx="82">
                        <c:v>1.1865928224054787</c:v>
                      </c:pt>
                      <c:pt idx="83">
                        <c:v>1.2018562876820895</c:v>
                      </c:pt>
                      <c:pt idx="84">
                        <c:v>1.2173389861300468</c:v>
                      </c:pt>
                      <c:pt idx="85">
                        <c:v>1.2330423366514949</c:v>
                      </c:pt>
                      <c:pt idx="86">
                        <c:v>1.2489677834746504</c:v>
                      </c:pt>
                      <c:pt idx="87">
                        <c:v>1.2651167965078729</c:v>
                      </c:pt>
                      <c:pt idx="88">
                        <c:v>1.2814908717017168</c:v>
                      </c:pt>
                      <c:pt idx="89">
                        <c:v>1.2980915314191397</c:v>
                      </c:pt>
                      <c:pt idx="90">
                        <c:v>1.3149203248140346</c:v>
                      </c:pt>
                      <c:pt idx="91">
                        <c:v>1.331978828218281</c:v>
                      </c:pt>
                      <c:pt idx="92">
                        <c:v>1.3492686455375122</c:v>
                      </c:pt>
                      <c:pt idx="93">
                        <c:v>1.3667914086557662</c:v>
                      </c:pt>
                      <c:pt idx="94">
                        <c:v>1.384548777849256</c:v>
                      </c:pt>
                      <c:pt idx="95">
                        <c:v>1.4025424422094392</c:v>
                      </c:pt>
                      <c:pt idx="96">
                        <c:v>1.4207741200756181</c:v>
                      </c:pt>
                      <c:pt idx="97">
                        <c:v>1.4392455594772695</c:v>
                      </c:pt>
                      <c:pt idx="98">
                        <c:v>1.4579585385863476</c:v>
                      </c:pt>
                      <c:pt idx="99">
                        <c:v>1.4769148661797844</c:v>
                      </c:pt>
                      <c:pt idx="100">
                        <c:v>1.4961163821124126</c:v>
                      </c:pt>
                    </c:numCache>
                  </c:numRef>
                </c:val>
                <c:smooth val="0"/>
                <c:extLst xmlns:c15="http://schemas.microsoft.com/office/drawing/2012/chart">
                  <c:ext xmlns:c16="http://schemas.microsoft.com/office/drawing/2014/chart" uri="{C3380CC4-5D6E-409C-BE32-E72D297353CC}">
                    <c16:uniqueId val="{0000000C-0C66-4A53-91BE-779AAB69F7ED}"/>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4.3947230618573384E-2</c:v>
                      </c:pt>
                      <c:pt idx="1">
                        <c:v>5.0543770858579244E-2</c:v>
                      </c:pt>
                      <c:pt idx="2">
                        <c:v>5.4556697502999185E-2</c:v>
                      </c:pt>
                      <c:pt idx="3">
                        <c:v>5.8692576134737842E-2</c:v>
                      </c:pt>
                      <c:pt idx="4">
                        <c:v>6.29517128059702E-2</c:v>
                      </c:pt>
                      <c:pt idx="5">
                        <c:v>6.7334435182355573E-2</c:v>
                      </c:pt>
                      <c:pt idx="6">
                        <c:v>7.1841092649326865E-2</c:v>
                      </c:pt>
                      <c:pt idx="7">
                        <c:v>7.6472056427928758E-2</c:v>
                      </c:pt>
                      <c:pt idx="8">
                        <c:v>8.1227719700284029E-2</c:v>
                      </c:pt>
                      <c:pt idx="9">
                        <c:v>8.6108497744776136E-2</c:v>
                      </c:pt>
                      <c:pt idx="10">
                        <c:v>9.1114828081042862E-2</c:v>
                      </c:pt>
                      <c:pt idx="11">
                        <c:v>9.6247170624885206E-2</c:v>
                      </c:pt>
                      <c:pt idx="12">
                        <c:v>0.10150600785320302</c:v>
                      </c:pt>
                      <c:pt idx="13">
                        <c:v>0.10689184497907815</c:v>
                      </c:pt>
                      <c:pt idx="14">
                        <c:v>0.1124052101371335</c:v>
                      </c:pt>
                      <c:pt idx="15">
                        <c:v>0.11901589350361692</c:v>
                      </c:pt>
                      <c:pt idx="16">
                        <c:v>0.1276832618637741</c:v>
                      </c:pt>
                      <c:pt idx="17">
                        <c:v>0.13648270187561654</c:v>
                      </c:pt>
                      <c:pt idx="18">
                        <c:v>0.14541509353253104</c:v>
                      </c:pt>
                      <c:pt idx="19">
                        <c:v>0.15448134188793988</c:v>
                      </c:pt>
                      <c:pt idx="20">
                        <c:v>0.16368237738397232</c:v>
                      </c:pt>
                      <c:pt idx="21">
                        <c:v>0.17301915619231273</c:v>
                      </c:pt>
                      <c:pt idx="22">
                        <c:v>0.18249266056748209</c:v>
                      </c:pt>
                      <c:pt idx="23">
                        <c:v>0.19210389921281895</c:v>
                      </c:pt>
                      <c:pt idx="24">
                        <c:v>0.20185390765943911</c:v>
                      </c:pt>
                      <c:pt idx="25">
                        <c:v>0.2117437486584639</c:v>
                      </c:pt>
                      <c:pt idx="26">
                        <c:v>0.22177451258682135</c:v>
                      </c:pt>
                      <c:pt idx="27">
                        <c:v>0.23194731786693504</c:v>
                      </c:pt>
                      <c:pt idx="28">
                        <c:v>0.24226331140063032</c:v>
                      </c:pt>
                      <c:pt idx="29">
                        <c:v>0.25272366901760079</c:v>
                      </c:pt>
                      <c:pt idx="30">
                        <c:v>0.26332959593879091</c:v>
                      </c:pt>
                      <c:pt idx="31">
                        <c:v>0.27408232725506776</c:v>
                      </c:pt>
                      <c:pt idx="32">
                        <c:v>0.28498312842156714</c:v>
                      </c:pt>
                      <c:pt idx="33">
                        <c:v>0.29603329576811688</c:v>
                      </c:pt>
                      <c:pt idx="34">
                        <c:v>0.30723415702615514</c:v>
                      </c:pt>
                      <c:pt idx="35">
                        <c:v>0.31858707187257906</c:v>
                      </c:pt>
                      <c:pt idx="36">
                        <c:v>0.33009343249097661</c:v>
                      </c:pt>
                      <c:pt idx="37">
                        <c:v>0.34175466415071043</c:v>
                      </c:pt>
                      <c:pt idx="38">
                        <c:v>0.35357222580434505</c:v>
                      </c:pt>
                      <c:pt idx="39">
                        <c:v>0.36554761070392289</c:v>
                      </c:pt>
                      <c:pt idx="40">
                        <c:v>0.3776823470366199</c:v>
                      </c:pt>
                      <c:pt idx="41">
                        <c:v>0.38997799858032867</c:v>
                      </c:pt>
                      <c:pt idx="42">
                        <c:v>0.4024361653797412</c:v>
                      </c:pt>
                      <c:pt idx="43">
                        <c:v>0.41505848444352167</c:v>
                      </c:pt>
                      <c:pt idx="44">
                        <c:v>0.42784663046318949</c:v>
                      </c:pt>
                      <c:pt idx="45">
                        <c:v>0.44080231655435126</c:v>
                      </c:pt>
                      <c:pt idx="46">
                        <c:v>0.45392729502094858</c:v>
                      </c:pt>
                      <c:pt idx="47">
                        <c:v>0.46722335814321281</c:v>
                      </c:pt>
                      <c:pt idx="48">
                        <c:v>0.48069233899004793</c:v>
                      </c:pt>
                      <c:pt idx="49">
                        <c:v>0.4943361122565893</c:v>
                      </c:pt>
                      <c:pt idx="50">
                        <c:v>0.50815659512771438</c:v>
                      </c:pt>
                      <c:pt idx="51">
                        <c:v>0.52215574816831611</c:v>
                      </c:pt>
                      <c:pt idx="52">
                        <c:v>0.53633557624117656</c:v>
                      </c:pt>
                      <c:pt idx="53">
                        <c:v>0.55069812945331775</c:v>
                      </c:pt>
                      <c:pt idx="54">
                        <c:v>0.56524550413173569</c:v>
                      </c:pt>
                      <c:pt idx="55">
                        <c:v>0.57997984382946288</c:v>
                      </c:pt>
                      <c:pt idx="56">
                        <c:v>0.59490334036294523</c:v>
                      </c:pt>
                      <c:pt idx="57">
                        <c:v>0.61001823488174867</c:v>
                      </c:pt>
                      <c:pt idx="58">
                        <c:v>0.62532681897166709</c:v>
                      </c:pt>
                      <c:pt idx="59">
                        <c:v>0.64083143579233193</c:v>
                      </c:pt>
                      <c:pt idx="60">
                        <c:v>0.65653448125047531</c:v>
                      </c:pt>
                      <c:pt idx="61">
                        <c:v>0.6724384052100485</c:v>
                      </c:pt>
                      <c:pt idx="62">
                        <c:v>0.68854571274043674</c:v>
                      </c:pt>
                      <c:pt idx="63">
                        <c:v>0.70485896540407278</c:v>
                      </c:pt>
                      <c:pt idx="64">
                        <c:v>0.72138078258479865</c:v>
                      </c:pt>
                      <c:pt idx="65">
                        <c:v>0.73811384285838089</c:v>
                      </c:pt>
                      <c:pt idx="66">
                        <c:v>0.75506088540664751</c:v>
                      </c:pt>
                      <c:pt idx="67">
                        <c:v>0.77222471147677174</c:v>
                      </c:pt>
                      <c:pt idx="68">
                        <c:v>0.78960818588728965</c:v>
                      </c:pt>
                      <c:pt idx="69">
                        <c:v>0.80721423858251251</c:v>
                      </c:pt>
                      <c:pt idx="70">
                        <c:v>0.82504586623705789</c:v>
                      </c:pt>
                      <c:pt idx="71">
                        <c:v>0.84310613391229527</c:v>
                      </c:pt>
                      <c:pt idx="72">
                        <c:v>0.86139817676659314</c:v>
                      </c:pt>
                      <c:pt idx="73">
                        <c:v>0.87992520182130607</c:v>
                      </c:pt>
                      <c:pt idx="74">
                        <c:v>0.89869048978456001</c:v>
                      </c:pt>
                      <c:pt idx="75">
                        <c:v>0.91769739693494812</c:v>
                      </c:pt>
                      <c:pt idx="76">
                        <c:v>0.93694935706736526</c:v>
                      </c:pt>
                      <c:pt idx="77">
                        <c:v>0.95644988350329674</c:v>
                      </c:pt>
                      <c:pt idx="78">
                        <c:v>0.97620257116797404</c:v>
                      </c:pt>
                      <c:pt idx="79">
                        <c:v>0.99621109873692659</c:v>
                      </c:pt>
                      <c:pt idx="80">
                        <c:v>1.0164792308545605</c:v>
                      </c:pt>
                      <c:pt idx="81">
                        <c:v>1.0370108204275206</c:v>
                      </c:pt>
                      <c:pt idx="82">
                        <c:v>1.0578098109957046</c:v>
                      </c:pt>
                      <c:pt idx="83">
                        <c:v>1.0788802391839394</c:v>
                      </c:pt>
                      <c:pt idx="84">
                        <c:v>1.1002262372374529</c:v>
                      </c:pt>
                      <c:pt idx="85">
                        <c:v>1.1218520356444279</c:v>
                      </c:pt>
                      <c:pt idx="86">
                        <c:v>1.143761965849065</c:v>
                      </c:pt>
                      <c:pt idx="87">
                        <c:v>1.1659604630587406</c:v>
                      </c:pt>
                      <c:pt idx="88">
                        <c:v>1.1884520691490219</c:v>
                      </c:pt>
                      <c:pt idx="89">
                        <c:v>1.2112414356704539</c:v>
                      </c:pt>
                      <c:pt idx="90">
                        <c:v>1.2343333269612404</c:v>
                      </c:pt>
                      <c:pt idx="91">
                        <c:v>1.2577326233701065</c:v>
                      </c:pt>
                      <c:pt idx="92">
                        <c:v>1.2814443245938656</c:v>
                      </c:pt>
                      <c:pt idx="93">
                        <c:v>1.3054735531343928</c:v>
                      </c:pt>
                      <c:pt idx="94">
                        <c:v>1.3298255578799558</c:v>
                      </c:pt>
                      <c:pt idx="95">
                        <c:v>1.3545057178160829</c:v>
                      </c:pt>
                      <c:pt idx="96">
                        <c:v>1.3795195458713922</c:v>
                      </c:pt>
                      <c:pt idx="97">
                        <c:v>1.4048726929040871</c:v>
                      </c:pt>
                      <c:pt idx="98">
                        <c:v>1.4305709518350684</c:v>
                      </c:pt>
                      <c:pt idx="99">
                        <c:v>1.4566202619339461</c:v>
                      </c:pt>
                      <c:pt idx="100">
                        <c:v>1.4830267132645085</c:v>
                      </c:pt>
                    </c:numCache>
                  </c:numRef>
                </c:val>
                <c:smooth val="0"/>
                <c:extLst xmlns:c15="http://schemas.microsoft.com/office/drawing/2012/chart">
                  <c:ext xmlns:c16="http://schemas.microsoft.com/office/drawing/2014/chart" uri="{C3380CC4-5D6E-409C-BE32-E72D297353CC}">
                    <c16:uniqueId val="{0000000D-0C66-4A53-91BE-779AAB69F7ED}"/>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9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1"/>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63318533014557232"/>
          <c:y val="1.189262617588698E-2"/>
          <c:w val="0.274591145040047"/>
          <c:h val="0.1150192362738391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Calculations'!$BO$9:$BO$109</c15:sqref>
                        </c15:formulaRef>
                      </c:ext>
                    </c:extLst>
                    <c:numCache>
                      <c:formatCode>0.00</c:formatCode>
                      <c:ptCount val="101"/>
                      <c:pt idx="0">
                        <c:v>0</c:v>
                      </c:pt>
                      <c:pt idx="1">
                        <c:v>39.448163134226519</c:v>
                      </c:pt>
                      <c:pt idx="2">
                        <c:v>56.259382098437385</c:v>
                      </c:pt>
                      <c:pt idx="3">
                        <c:v>65.568350682646866</c:v>
                      </c:pt>
                      <c:pt idx="4">
                        <c:v>71.476812236597453</c:v>
                      </c:pt>
                      <c:pt idx="5">
                        <c:v>75.55733580381937</c:v>
                      </c:pt>
                      <c:pt idx="6">
                        <c:v>78.542339931254261</c:v>
                      </c:pt>
                      <c:pt idx="7">
                        <c:v>80.819050654560513</c:v>
                      </c:pt>
                      <c:pt idx="8">
                        <c:v>82.611429013221368</c:v>
                      </c:pt>
                      <c:pt idx="9">
                        <c:v>84.058011998037557</c:v>
                      </c:pt>
                      <c:pt idx="10">
                        <c:v>85.249095183073223</c:v>
                      </c:pt>
                      <c:pt idx="11">
                        <c:v>86.246049240461488</c:v>
                      </c:pt>
                      <c:pt idx="12">
                        <c:v>87.092043118907839</c:v>
                      </c:pt>
                      <c:pt idx="13">
                        <c:v>87.818326090264634</c:v>
                      </c:pt>
                      <c:pt idx="14">
                        <c:v>88.448076008719127</c:v>
                      </c:pt>
                      <c:pt idx="15">
                        <c:v>88.993004916253241</c:v>
                      </c:pt>
                      <c:pt idx="16">
                        <c:v>89.462093801013481</c:v>
                      </c:pt>
                      <c:pt idx="17">
                        <c:v>89.87795752959785</c:v>
                      </c:pt>
                      <c:pt idx="18">
                        <c:v>90.248800390803424</c:v>
                      </c:pt>
                      <c:pt idx="19">
                        <c:v>90.58122045277068</c:v>
                      </c:pt>
                      <c:pt idx="20">
                        <c:v>90.880584231613042</c:v>
                      </c:pt>
                      <c:pt idx="21">
                        <c:v>91.151301158914137</c:v>
                      </c:pt>
                      <c:pt idx="22">
                        <c:v>91.397027777996158</c:v>
                      </c:pt>
                      <c:pt idx="23">
                        <c:v>91.620821799843654</c:v>
                      </c:pt>
                      <c:pt idx="24">
                        <c:v>91.825259817860157</c:v>
                      </c:pt>
                      <c:pt idx="25">
                        <c:v>92.012528304606292</c:v>
                      </c:pt>
                      <c:pt idx="26">
                        <c:v>92.184494707575112</c:v>
                      </c:pt>
                      <c:pt idx="27">
                        <c:v>92.342763543128541</c:v>
                      </c:pt>
                      <c:pt idx="28">
                        <c:v>92.488721056209329</c:v>
                      </c:pt>
                      <c:pt idx="29">
                        <c:v>92.623571075677575</c:v>
                      </c:pt>
                      <c:pt idx="30">
                        <c:v>92.748364025841838</c:v>
                      </c:pt>
                      <c:pt idx="31">
                        <c:v>92.864020571185762</c:v>
                      </c:pt>
                      <c:pt idx="32">
                        <c:v>92.97135101788966</c:v>
                      </c:pt>
                      <c:pt idx="33">
                        <c:v>93.071071334709075</c:v>
                      </c:pt>
                      <c:pt idx="34">
                        <c:v>93.163816461036333</c:v>
                      </c:pt>
                      <c:pt idx="35">
                        <c:v>93.250151423336717</c:v>
                      </c:pt>
                      <c:pt idx="36">
                        <c:v>93.330580669770498</c:v>
                      </c:pt>
                      <c:pt idx="37">
                        <c:v>93.405555947512113</c:v>
                      </c:pt>
                      <c:pt idx="38">
                        <c:v>93.475482981446021</c:v>
                      </c:pt>
                      <c:pt idx="39">
                        <c:v>93.540727161739071</c:v>
                      </c:pt>
                      <c:pt idx="40">
                        <c:v>93.601618407726278</c:v>
                      </c:pt>
                      <c:pt idx="41">
                        <c:v>93.658455343981615</c:v>
                      </c:pt>
                      <c:pt idx="42">
                        <c:v>93.711508899419215</c:v>
                      </c:pt>
                      <c:pt idx="43">
                        <c:v>93.761025420314837</c:v>
                      </c:pt>
                      <c:pt idx="44">
                        <c:v>93.807229372132895</c:v>
                      </c:pt>
                      <c:pt idx="45">
                        <c:v>93.850325692143585</c:v>
                      </c:pt>
                      <c:pt idx="46">
                        <c:v>93.890501844360074</c:v>
                      </c:pt>
                      <c:pt idx="47">
                        <c:v>93.927929619814947</c:v>
                      </c:pt>
                      <c:pt idx="48">
                        <c:v>93.962766718232771</c:v>
                      </c:pt>
                      <c:pt idx="49">
                        <c:v>93.995158141436747</c:v>
                      </c:pt>
                      <c:pt idx="50">
                        <c:v>94.025237424108113</c:v>
                      </c:pt>
                      <c:pt idx="51">
                        <c:v>94.05312772360854</c:v>
                      </c:pt>
                      <c:pt idx="52">
                        <c:v>94.078942787325389</c:v>
                      </c:pt>
                      <c:pt idx="53">
                        <c:v>94.102787813286199</c:v>
                      </c:pt>
                      <c:pt idx="54">
                        <c:v>94.124760217516894</c:v>
                      </c:pt>
                      <c:pt idx="55">
                        <c:v>94.144950319707405</c:v>
                      </c:pt>
                      <c:pt idx="56">
                        <c:v>94.163441957137849</c:v>
                      </c:pt>
                      <c:pt idx="57">
                        <c:v>94.180313035455683</c:v>
                      </c:pt>
                      <c:pt idx="58">
                        <c:v>94.195636023737976</c:v>
                      </c:pt>
                      <c:pt idx="59">
                        <c:v>94.209478400288148</c:v>
                      </c:pt>
                      <c:pt idx="60">
                        <c:v>94.221903054777357</c:v>
                      </c:pt>
                      <c:pt idx="61">
                        <c:v>94.232968651621178</c:v>
                      </c:pt>
                      <c:pt idx="62">
                        <c:v>94.242729958865397</c:v>
                      </c:pt>
                      <c:pt idx="63">
                        <c:v>94.251238146324056</c:v>
                      </c:pt>
                      <c:pt idx="64">
                        <c:v>94.258541056255424</c:v>
                      </c:pt>
                      <c:pt idx="65">
                        <c:v>94.264683449464727</c:v>
                      </c:pt>
                      <c:pt idx="66">
                        <c:v>94.269707229381012</c:v>
                      </c:pt>
                      <c:pt idx="67">
                        <c:v>94.273651646356413</c:v>
                      </c:pt>
                      <c:pt idx="68">
                        <c:v>94.276553484177498</c:v>
                      </c:pt>
                      <c:pt idx="69">
                        <c:v>94.278447230552032</c:v>
                      </c:pt>
                      <c:pt idx="70">
                        <c:v>94.27936523313673</c:v>
                      </c:pt>
                      <c:pt idx="71">
                        <c:v>94.279337842498848</c:v>
                      </c:pt>
                      <c:pt idx="72">
                        <c:v>94.278393543252037</c:v>
                      </c:pt>
                      <c:pt idx="73">
                        <c:v>94.276559074473766</c:v>
                      </c:pt>
                      <c:pt idx="74">
                        <c:v>94.273859540393801</c:v>
                      </c:pt>
                      <c:pt idx="75">
                        <c:v>94.270318512239641</c:v>
                      </c:pt>
                      <c:pt idx="76">
                        <c:v>94.265958122032629</c:v>
                      </c:pt>
                      <c:pt idx="77">
                        <c:v>94.260799149047898</c:v>
                      </c:pt>
                      <c:pt idx="78">
                        <c:v>94.254861099578903</c:v>
                      </c:pt>
                      <c:pt idx="79">
                        <c:v>94.248162280583131</c:v>
                      </c:pt>
                      <c:pt idx="80">
                        <c:v>94.240719867729268</c:v>
                      </c:pt>
                      <c:pt idx="81">
                        <c:v>94.232549968314743</c:v>
                      </c:pt>
                      <c:pt idx="82">
                        <c:v>94.223667679477913</c:v>
                      </c:pt>
                      <c:pt idx="83">
                        <c:v>94.214087142088161</c:v>
                      </c:pt>
                      <c:pt idx="84">
                        <c:v>94.203821590661221</c:v>
                      </c:pt>
                      <c:pt idx="85">
                        <c:v>94.192883399615042</c:v>
                      </c:pt>
                      <c:pt idx="86">
                        <c:v>94.181284126151326</c:v>
                      </c:pt>
                      <c:pt idx="87">
                        <c:v>94.169034550023085</c:v>
                      </c:pt>
                      <c:pt idx="88">
                        <c:v>94.156144710423519</c:v>
                      </c:pt>
                      <c:pt idx="89">
                        <c:v>94.142623940211791</c:v>
                      </c:pt>
                      <c:pt idx="90">
                        <c:v>94.128480897670855</c:v>
                      </c:pt>
                      <c:pt idx="91">
                        <c:v>94.113723595976069</c:v>
                      </c:pt>
                      <c:pt idx="92">
                        <c:v>94.098359430537258</c:v>
                      </c:pt>
                      <c:pt idx="93">
                        <c:v>94.082395204362598</c:v>
                      </c:pt>
                      <c:pt idx="94">
                        <c:v>94.065837151580439</c:v>
                      </c:pt>
                      <c:pt idx="95">
                        <c:v>94.048690959242734</c:v>
                      </c:pt>
                      <c:pt idx="96">
                        <c:v>94.030961787523538</c:v>
                      </c:pt>
                      <c:pt idx="97">
                        <c:v>94.012654288416613</c:v>
                      </c:pt>
                      <c:pt idx="98">
                        <c:v>93.993772623026459</c:v>
                      </c:pt>
                      <c:pt idx="99">
                        <c:v>93.974320477540303</c:v>
                      </c:pt>
                      <c:pt idx="100">
                        <c:v>93.954301077959883</c:v>
                      </c:pt>
                    </c:numCache>
                  </c:numRef>
                </c:val>
                <c:smooth val="0"/>
                <c:extLst>
                  <c:ext xmlns:c16="http://schemas.microsoft.com/office/drawing/2014/chart" uri="{C3380CC4-5D6E-409C-BE32-E72D297353CC}">
                    <c16:uniqueId val="{00000002-3B6C-4BEA-AB8D-9A7C0517EAA2}"/>
                  </c:ext>
                </c:extLst>
              </c15:ser>
            </c15:filteredLineSeries>
          </c:ext>
        </c:extLst>
      </c:lineChart>
      <c:lineChart>
        <c:grouping val="standard"/>
        <c:varyColors val="0"/>
        <c:ser>
          <c:idx val="6"/>
          <c:order val="6"/>
          <c:tx>
            <c:strRef>
              <c:f>'Efficiency vs Load Calculations'!$AF$8</c:f>
              <c:strCache>
                <c:ptCount val="1"/>
                <c:pt idx="0">
                  <c:v>Total Cin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Calculations'!$AF$9:$AF$109</c:f>
              <c:numCache>
                <c:formatCode>0.000</c:formatCode>
                <c:ptCount val="101"/>
                <c:pt idx="0">
                  <c:v>4.8582121847151659E-4</c:v>
                </c:pt>
                <c:pt idx="1">
                  <c:v>4.9267568938776533E-4</c:v>
                </c:pt>
                <c:pt idx="2">
                  <c:v>5.1311705769576136E-4</c:v>
                </c:pt>
                <c:pt idx="3">
                  <c:v>5.4714303665476369E-4</c:v>
                </c:pt>
                <c:pt idx="4">
                  <c:v>5.9475133749660903E-4</c:v>
                </c:pt>
                <c:pt idx="5">
                  <c:v>6.5593966942597713E-4</c:v>
                </c:pt>
                <c:pt idx="6">
                  <c:v>7.3070573962065693E-4</c:v>
                </c:pt>
                <c:pt idx="7">
                  <c:v>8.1904725323181035E-4</c:v>
                </c:pt>
                <c:pt idx="8">
                  <c:v>9.2096191338423899E-4</c:v>
                </c:pt>
                <c:pt idx="9">
                  <c:v>1.036447421176647E-3</c:v>
                </c:pt>
                <c:pt idx="10">
                  <c:v>1.1655014756819073E-3</c:v>
                </c:pt>
                <c:pt idx="11">
                  <c:v>1.3081217739473272E-3</c:v>
                </c:pt>
                <c:pt idx="12">
                  <c:v>1.4643060109949103E-3</c:v>
                </c:pt>
                <c:pt idx="13">
                  <c:v>1.6340518798216271E-3</c:v>
                </c:pt>
                <c:pt idx="14">
                  <c:v>1.8173570713996704E-3</c:v>
                </c:pt>
                <c:pt idx="15">
                  <c:v>2.0142192746767326E-3</c:v>
                </c:pt>
                <c:pt idx="16">
                  <c:v>2.2246361765762574E-3</c:v>
                </c:pt>
                <c:pt idx="17">
                  <c:v>2.4486054619977144E-3</c:v>
                </c:pt>
                <c:pt idx="18">
                  <c:v>2.6861248138168601E-3</c:v>
                </c:pt>
                <c:pt idx="19">
                  <c:v>2.937191912885999E-3</c:v>
                </c:pt>
                <c:pt idx="20">
                  <c:v>3.2018044380342594E-3</c:v>
                </c:pt>
                <c:pt idx="21">
                  <c:v>3.4799600660678424E-3</c:v>
                </c:pt>
                <c:pt idx="22">
                  <c:v>3.7716564717702999E-3</c:v>
                </c:pt>
                <c:pt idx="23">
                  <c:v>4.0768913279027891E-3</c:v>
                </c:pt>
                <c:pt idx="24">
                  <c:v>4.3956623052043469E-3</c:v>
                </c:pt>
                <c:pt idx="25">
                  <c:v>4.7279670723921466E-3</c:v>
                </c:pt>
                <c:pt idx="26">
                  <c:v>5.0738032961617644E-3</c:v>
                </c:pt>
                <c:pt idx="27">
                  <c:v>5.4331686411874473E-3</c:v>
                </c:pt>
                <c:pt idx="28">
                  <c:v>5.806060770122367E-3</c:v>
                </c:pt>
                <c:pt idx="29">
                  <c:v>6.192477343598902E-3</c:v>
                </c:pt>
                <c:pt idx="30">
                  <c:v>6.5924160202288874E-3</c:v>
                </c:pt>
                <c:pt idx="31">
                  <c:v>7.0058744566038802E-3</c:v>
                </c:pt>
                <c:pt idx="32">
                  <c:v>7.4328503072954308E-3</c:v>
                </c:pt>
                <c:pt idx="33">
                  <c:v>7.8733412248553417E-3</c:v>
                </c:pt>
                <c:pt idx="34">
                  <c:v>8.3273448598159428E-3</c:v>
                </c:pt>
                <c:pt idx="35">
                  <c:v>8.7948588606903202E-3</c:v>
                </c:pt>
                <c:pt idx="36">
                  <c:v>9.275880873972641E-3</c:v>
                </c:pt>
                <c:pt idx="37">
                  <c:v>9.7704085441383502E-3</c:v>
                </c:pt>
                <c:pt idx="38">
                  <c:v>1.0278439513644495E-2</c:v>
                </c:pt>
                <c:pt idx="39">
                  <c:v>1.0799971422929941E-2</c:v>
                </c:pt>
                <c:pt idx="40">
                  <c:v>1.1335001910415666E-2</c:v>
                </c:pt>
                <c:pt idx="41">
                  <c:v>1.1883528612505011E-2</c:v>
                </c:pt>
                <c:pt idx="42">
                  <c:v>1.2445549163583956E-2</c:v>
                </c:pt>
                <c:pt idx="43">
                  <c:v>1.3021061196021358E-2</c:v>
                </c:pt>
                <c:pt idx="44">
                  <c:v>1.3610062340169251E-2</c:v>
                </c:pt>
                <c:pt idx="45">
                  <c:v>1.4212550224363071E-2</c:v>
                </c:pt>
                <c:pt idx="46">
                  <c:v>1.4828522474921965E-2</c:v>
                </c:pt>
                <c:pt idx="47">
                  <c:v>1.545797671614901E-2</c:v>
                </c:pt>
                <c:pt idx="48">
                  <c:v>1.6100910570331514E-2</c:v>
                </c:pt>
                <c:pt idx="49">
                  <c:v>1.6757321657741242E-2</c:v>
                </c:pt>
                <c:pt idx="50">
                  <c:v>1.7427207596634711E-2</c:v>
                </c:pt>
                <c:pt idx="51">
                  <c:v>1.8110566003253441E-2</c:v>
                </c:pt>
                <c:pt idx="52">
                  <c:v>1.8807394491824229E-2</c:v>
                </c:pt>
                <c:pt idx="53">
                  <c:v>1.9517690674559392E-2</c:v>
                </c:pt>
                <c:pt idx="54">
                  <c:v>2.0241452161657042E-2</c:v>
                </c:pt>
                <c:pt idx="55">
                  <c:v>2.0978676561301358E-2</c:v>
                </c:pt>
                <c:pt idx="56">
                  <c:v>2.1729361479662854E-2</c:v>
                </c:pt>
                <c:pt idx="57">
                  <c:v>2.24935045208986E-2</c:v>
                </c:pt>
                <c:pt idx="58">
                  <c:v>2.3271103287152543E-2</c:v>
                </c:pt>
                <c:pt idx="59">
                  <c:v>2.4062155378555727E-2</c:v>
                </c:pt>
                <c:pt idx="60">
                  <c:v>2.4866658393226569E-2</c:v>
                </c:pt>
                <c:pt idx="61">
                  <c:v>2.5684609927271146E-2</c:v>
                </c:pt>
                <c:pt idx="62">
                  <c:v>2.6516007574783427E-2</c:v>
                </c:pt>
                <c:pt idx="63">
                  <c:v>2.736084892784554E-2</c:v>
                </c:pt>
                <c:pt idx="64">
                  <c:v>2.8219131576528056E-2</c:v>
                </c:pt>
                <c:pt idx="65">
                  <c:v>2.9090853108890237E-2</c:v>
                </c:pt>
                <c:pt idx="66">
                  <c:v>2.9976011110980309E-2</c:v>
                </c:pt>
                <c:pt idx="67">
                  <c:v>3.0874603166835685E-2</c:v>
                </c:pt>
                <c:pt idx="68">
                  <c:v>3.1786626858483304E-2</c:v>
                </c:pt>
                <c:pt idx="69">
                  <c:v>3.2712079765939817E-2</c:v>
                </c:pt>
                <c:pt idx="70">
                  <c:v>3.3650959467211916E-2</c:v>
                </c:pt>
                <c:pt idx="71">
                  <c:v>3.4603263538296521E-2</c:v>
                </c:pt>
                <c:pt idx="72">
                  <c:v>3.5568989553181128E-2</c:v>
                </c:pt>
                <c:pt idx="73">
                  <c:v>3.6548135083844031E-2</c:v>
                </c:pt>
                <c:pt idx="74">
                  <c:v>3.7540697700254526E-2</c:v>
                </c:pt>
                <c:pt idx="75">
                  <c:v>3.854667497037334E-2</c:v>
                </c:pt>
                <c:pt idx="76">
                  <c:v>3.9566064460152671E-2</c:v>
                </c:pt>
                <c:pt idx="77">
                  <c:v>4.0598863733536661E-2</c:v>
                </c:pt>
                <c:pt idx="78">
                  <c:v>4.1645070352461518E-2</c:v>
                </c:pt>
                <c:pt idx="79">
                  <c:v>4.2704681876855839E-2</c:v>
                </c:pt>
                <c:pt idx="80">
                  <c:v>4.377769586464083E-2</c:v>
                </c:pt>
                <c:pt idx="81">
                  <c:v>4.4864109871730624E-2</c:v>
                </c:pt>
                <c:pt idx="82">
                  <c:v>4.596392145203252E-2</c:v>
                </c:pt>
                <c:pt idx="83">
                  <c:v>4.7077128157447273E-2</c:v>
                </c:pt>
                <c:pt idx="84">
                  <c:v>4.8203727537869258E-2</c:v>
                </c:pt>
                <c:pt idx="85">
                  <c:v>4.9343717141186856E-2</c:v>
                </c:pt>
                <c:pt idx="86">
                  <c:v>5.0497094513282693E-2</c:v>
                </c:pt>
                <c:pt idx="87">
                  <c:v>5.1663857198033736E-2</c:v>
                </c:pt>
                <c:pt idx="88">
                  <c:v>5.2844002737311824E-2</c:v>
                </c:pt>
                <c:pt idx="89">
                  <c:v>5.4037528670983749E-2</c:v>
                </c:pt>
                <c:pt idx="90">
                  <c:v>5.5244432536911622E-2</c:v>
                </c:pt>
                <c:pt idx="91">
                  <c:v>5.646471187095297E-2</c:v>
                </c:pt>
                <c:pt idx="92">
                  <c:v>5.7698364206961207E-2</c:v>
                </c:pt>
                <c:pt idx="93">
                  <c:v>5.8945387076785774E-2</c:v>
                </c:pt>
                <c:pt idx="94">
                  <c:v>6.0205778010272396E-2</c:v>
                </c:pt>
                <c:pt idx="95">
                  <c:v>6.1479534535263461E-2</c:v>
                </c:pt>
                <c:pt idx="96">
                  <c:v>6.2766654177598039E-2</c:v>
                </c:pt>
                <c:pt idx="97">
                  <c:v>6.4067134461112479E-2</c:v>
                </c:pt>
                <c:pt idx="98">
                  <c:v>6.5380972907640361E-2</c:v>
                </c:pt>
                <c:pt idx="99">
                  <c:v>6.6708167037012975E-2</c:v>
                </c:pt>
                <c:pt idx="100">
                  <c:v>6.8048714367059449E-2</c:v>
                </c:pt>
              </c:numCache>
            </c:numRef>
          </c:val>
          <c:smooth val="0"/>
          <c:extLst>
            <c:ext xmlns:c16="http://schemas.microsoft.com/office/drawing/2014/chart" uri="{C3380CC4-5D6E-409C-BE32-E72D297353CC}">
              <c16:uniqueId val="{00000000-3B6C-4BEA-AB8D-9A7C0517EAA2}"/>
            </c:ext>
          </c:extLst>
        </c:ser>
        <c:ser>
          <c:idx val="5"/>
          <c:order val="7"/>
          <c:tx>
            <c:strRef>
              <c:f>'Efficiency vs Load Calculations'!$AC$8</c:f>
              <c:strCache>
                <c:ptCount val="1"/>
                <c:pt idx="0">
                  <c:v>Total Cout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Calculations'!$AC$9:$AC$109</c:f>
              <c:numCache>
                <c:formatCode>0.000</c:formatCode>
                <c:ptCount val="101"/>
                <c:pt idx="0">
                  <c:v>5.1480781171974101E-3</c:v>
                </c:pt>
                <c:pt idx="1">
                  <c:v>5.1490050880673042E-3</c:v>
                </c:pt>
                <c:pt idx="2">
                  <c:v>5.1499321188159435E-3</c:v>
                </c:pt>
                <c:pt idx="3">
                  <c:v>5.150859209437867E-3</c:v>
                </c:pt>
                <c:pt idx="4">
                  <c:v>5.1517863599276079E-3</c:v>
                </c:pt>
                <c:pt idx="5">
                  <c:v>5.1527135702797025E-3</c:v>
                </c:pt>
                <c:pt idx="6">
                  <c:v>5.1536408404886892E-3</c:v>
                </c:pt>
                <c:pt idx="7">
                  <c:v>5.1545681705491E-3</c:v>
                </c:pt>
                <c:pt idx="8">
                  <c:v>5.1554955604554732E-3</c:v>
                </c:pt>
                <c:pt idx="9">
                  <c:v>5.1564230102023488E-3</c:v>
                </c:pt>
                <c:pt idx="10">
                  <c:v>5.1573505197842562E-3</c:v>
                </c:pt>
                <c:pt idx="11">
                  <c:v>5.1582780891957416E-3</c:v>
                </c:pt>
                <c:pt idx="12">
                  <c:v>5.1592057184313422E-3</c:v>
                </c:pt>
                <c:pt idx="13">
                  <c:v>5.1601334074855955E-3</c:v>
                </c:pt>
                <c:pt idx="14">
                  <c:v>5.1610611563530371E-3</c:v>
                </c:pt>
                <c:pt idx="15">
                  <c:v>5.1619889650282172E-3</c:v>
                </c:pt>
                <c:pt idx="16">
                  <c:v>5.162916833505663E-3</c:v>
                </c:pt>
                <c:pt idx="17">
                  <c:v>5.1638447617799238E-3</c:v>
                </c:pt>
                <c:pt idx="18">
                  <c:v>5.1647727498455387E-3</c:v>
                </c:pt>
                <c:pt idx="19">
                  <c:v>5.1657007976970469E-3</c:v>
                </c:pt>
                <c:pt idx="20">
                  <c:v>5.1666289053289953E-3</c:v>
                </c:pt>
                <c:pt idx="21">
                  <c:v>5.1675570727359238E-3</c:v>
                </c:pt>
                <c:pt idx="22">
                  <c:v>5.1684852999123723E-3</c:v>
                </c:pt>
                <c:pt idx="23">
                  <c:v>5.1694135868528834E-3</c:v>
                </c:pt>
                <c:pt idx="24">
                  <c:v>5.1703419335520162E-3</c:v>
                </c:pt>
                <c:pt idx="25">
                  <c:v>5.1712703400042916E-3</c:v>
                </c:pt>
                <c:pt idx="26">
                  <c:v>5.1721988062042659E-3</c:v>
                </c:pt>
                <c:pt idx="27">
                  <c:v>5.1731273321464896E-3</c:v>
                </c:pt>
                <c:pt idx="28">
                  <c:v>5.1740559178254991E-3</c:v>
                </c:pt>
                <c:pt idx="29">
                  <c:v>5.1749845632358448E-3</c:v>
                </c:pt>
                <c:pt idx="30">
                  <c:v>5.1759132683720701E-3</c:v>
                </c:pt>
                <c:pt idx="31">
                  <c:v>5.1768420332287202E-3</c:v>
                </c:pt>
                <c:pt idx="32">
                  <c:v>5.1777708578003489E-3</c:v>
                </c:pt>
                <c:pt idx="33">
                  <c:v>5.178699742081504E-3</c:v>
                </c:pt>
                <c:pt idx="34">
                  <c:v>5.1796286860667229E-3</c:v>
                </c:pt>
                <c:pt idx="35">
                  <c:v>5.180557689750568E-3</c:v>
                </c:pt>
                <c:pt idx="36">
                  <c:v>5.1814867531275802E-3</c:v>
                </c:pt>
                <c:pt idx="37">
                  <c:v>5.1824158761923072E-3</c:v>
                </c:pt>
                <c:pt idx="38">
                  <c:v>5.1833450589393003E-3</c:v>
                </c:pt>
                <c:pt idx="39">
                  <c:v>5.1842743013631176E-3</c:v>
                </c:pt>
                <c:pt idx="40">
                  <c:v>5.1852036034583035E-3</c:v>
                </c:pt>
                <c:pt idx="41">
                  <c:v>5.1861329652194022E-3</c:v>
                </c:pt>
                <c:pt idx="42">
                  <c:v>5.1870623866409771E-3</c:v>
                </c:pt>
                <c:pt idx="43">
                  <c:v>5.1879918677175821E-3</c:v>
                </c:pt>
                <c:pt idx="44">
                  <c:v>5.1889214084437545E-3</c:v>
                </c:pt>
                <c:pt idx="45">
                  <c:v>5.1898510088140568E-3</c:v>
                </c:pt>
                <c:pt idx="46">
                  <c:v>5.1907806688230437E-3</c:v>
                </c:pt>
                <c:pt idx="47">
                  <c:v>5.1917103884652673E-3</c:v>
                </c:pt>
                <c:pt idx="48">
                  <c:v>5.1926401677352815E-3</c:v>
                </c:pt>
                <c:pt idx="49">
                  <c:v>5.1935700066276461E-3</c:v>
                </c:pt>
                <c:pt idx="50">
                  <c:v>5.1944999051369021E-3</c:v>
                </c:pt>
                <c:pt idx="51">
                  <c:v>5.1954298632576204E-3</c:v>
                </c:pt>
                <c:pt idx="52">
                  <c:v>5.1963598809843508E-3</c:v>
                </c:pt>
                <c:pt idx="53">
                  <c:v>5.197289958311647E-3</c:v>
                </c:pt>
                <c:pt idx="54">
                  <c:v>5.1982200952340671E-3</c:v>
                </c:pt>
                <c:pt idx="55">
                  <c:v>5.1991502917461711E-3</c:v>
                </c:pt>
                <c:pt idx="56">
                  <c:v>5.2000805478425172E-3</c:v>
                </c:pt>
                <c:pt idx="57">
                  <c:v>5.2010108635176635E-3</c:v>
                </c:pt>
                <c:pt idx="58">
                  <c:v>5.2019412387661621E-3</c:v>
                </c:pt>
                <c:pt idx="59">
                  <c:v>5.2028716735825799E-3</c:v>
                </c:pt>
                <c:pt idx="60">
                  <c:v>5.2038021679614785E-3</c:v>
                </c:pt>
                <c:pt idx="61">
                  <c:v>5.2047327218974057E-3</c:v>
                </c:pt>
                <c:pt idx="62">
                  <c:v>5.2056633353849335E-3</c:v>
                </c:pt>
                <c:pt idx="63">
                  <c:v>5.2065940084186149E-3</c:v>
                </c:pt>
                <c:pt idx="64">
                  <c:v>5.2075247409930168E-3</c:v>
                </c:pt>
                <c:pt idx="65">
                  <c:v>5.2084555331026921E-3</c:v>
                </c:pt>
                <c:pt idx="66">
                  <c:v>5.2093863847422171E-3</c:v>
                </c:pt>
                <c:pt idx="67">
                  <c:v>5.2103172959061458E-3</c:v>
                </c:pt>
                <c:pt idx="68">
                  <c:v>5.2112482665890407E-3</c:v>
                </c:pt>
                <c:pt idx="69">
                  <c:v>5.2121792967854651E-3</c:v>
                </c:pt>
                <c:pt idx="70">
                  <c:v>5.2131103864899884E-3</c:v>
                </c:pt>
                <c:pt idx="71">
                  <c:v>5.2140415356971689E-3</c:v>
                </c:pt>
                <c:pt idx="72">
                  <c:v>5.214972744401576E-3</c:v>
                </c:pt>
                <c:pt idx="73">
                  <c:v>5.2159040125977687E-3</c:v>
                </c:pt>
                <c:pt idx="74">
                  <c:v>5.2168353402803139E-3</c:v>
                </c:pt>
                <c:pt idx="75">
                  <c:v>5.2177667274437888E-3</c:v>
                </c:pt>
                <c:pt idx="76">
                  <c:v>5.2186981740827421E-3</c:v>
                </c:pt>
                <c:pt idx="77">
                  <c:v>5.2196296801917509E-3</c:v>
                </c:pt>
                <c:pt idx="78">
                  <c:v>5.2205612457653884E-3</c:v>
                </c:pt>
                <c:pt idx="79">
                  <c:v>5.2214928707982099E-3</c:v>
                </c:pt>
                <c:pt idx="80">
                  <c:v>5.2224245552847937E-3</c:v>
                </c:pt>
                <c:pt idx="81">
                  <c:v>5.2233562992196969E-3</c:v>
                </c:pt>
                <c:pt idx="82">
                  <c:v>5.2242881025974961E-3</c:v>
                </c:pt>
                <c:pt idx="83">
                  <c:v>5.2252199654127737E-3</c:v>
                </c:pt>
                <c:pt idx="84">
                  <c:v>5.2261518876600722E-3</c:v>
                </c:pt>
                <c:pt idx="85">
                  <c:v>5.2270838693339802E-3</c:v>
                </c:pt>
                <c:pt idx="86">
                  <c:v>5.2280159104290645E-3</c:v>
                </c:pt>
                <c:pt idx="87">
                  <c:v>5.2289480109398998E-3</c:v>
                </c:pt>
                <c:pt idx="88">
                  <c:v>5.2298801708610485E-3</c:v>
                </c:pt>
                <c:pt idx="89">
                  <c:v>5.2308123901870975E-3</c:v>
                </c:pt>
                <c:pt idx="90">
                  <c:v>5.2317446689126084E-3</c:v>
                </c:pt>
                <c:pt idx="91">
                  <c:v>5.2326770070321499E-3</c:v>
                </c:pt>
                <c:pt idx="92">
                  <c:v>5.2336094045403085E-3</c:v>
                </c:pt>
                <c:pt idx="93">
                  <c:v>5.2345418614316496E-3</c:v>
                </c:pt>
                <c:pt idx="94">
                  <c:v>5.2354743777007487E-3</c:v>
                </c:pt>
                <c:pt idx="95">
                  <c:v>5.236406953342182E-3</c:v>
                </c:pt>
                <c:pt idx="96">
                  <c:v>5.2373395883505277E-3</c:v>
                </c:pt>
                <c:pt idx="97">
                  <c:v>5.2382722827203554E-3</c:v>
                </c:pt>
                <c:pt idx="98">
                  <c:v>5.2392050364462464E-3</c:v>
                </c:pt>
                <c:pt idx="99">
                  <c:v>5.2401378495227739E-3</c:v>
                </c:pt>
                <c:pt idx="100">
                  <c:v>5.241070721944509E-3</c:v>
                </c:pt>
              </c:numCache>
            </c:numRef>
          </c:val>
          <c:smooth val="0"/>
          <c:extLst>
            <c:ext xmlns:c16="http://schemas.microsoft.com/office/drawing/2014/chart" uri="{C3380CC4-5D6E-409C-BE32-E72D297353CC}">
              <c16:uniqueId val="{00000001-3B6C-4BEA-AB8D-9A7C0517EAA2}"/>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0"/>
                <c:order val="1"/>
                <c:tx>
                  <c:strRef>
                    <c:extLst>
                      <c:ext uri="{02D57815-91ED-43cb-92C2-25804820EDAC}">
                        <c15:formulaRef>
                          <c15:sqref>'Efficiency vs Load Calculations'!$BB$8</c15:sqref>
                        </c15:formulaRef>
                      </c:ext>
                    </c:extLst>
                    <c:strCache>
                      <c:ptCount val="1"/>
                      <c:pt idx="0">
                        <c:v>Reverse Recovery Loss MOSFET D BOOST</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Calculations'!$BB$9:$BB$109</c15:sqref>
                        </c15:formulaRef>
                      </c:ext>
                    </c:extLst>
                    <c:numCache>
                      <c:formatCode>0.000</c:formatCode>
                      <c:ptCount val="101"/>
                      <c:pt idx="0">
                        <c:v>0</c:v>
                      </c:pt>
                      <c:pt idx="1">
                        <c:v>2.8319395200000004E-3</c:v>
                      </c:pt>
                      <c:pt idx="2">
                        <c:v>5.6637580800000011E-3</c:v>
                      </c:pt>
                      <c:pt idx="3">
                        <c:v>8.4954556799999997E-3</c:v>
                      </c:pt>
                      <c:pt idx="4">
                        <c:v>1.1327032320000001E-2</c:v>
                      </c:pt>
                      <c:pt idx="5">
                        <c:v>1.4158488000000002E-2</c:v>
                      </c:pt>
                      <c:pt idx="6">
                        <c:v>1.6989822720000002E-2</c:v>
                      </c:pt>
                      <c:pt idx="7">
                        <c:v>1.9821036480000002E-2</c:v>
                      </c:pt>
                      <c:pt idx="8">
                        <c:v>2.2652129280000002E-2</c:v>
                      </c:pt>
                      <c:pt idx="9">
                        <c:v>2.5483101120000001E-2</c:v>
                      </c:pt>
                      <c:pt idx="10">
                        <c:v>2.8313952000000003E-2</c:v>
                      </c:pt>
                      <c:pt idx="11">
                        <c:v>3.1144681920000007E-2</c:v>
                      </c:pt>
                      <c:pt idx="12">
                        <c:v>3.3975290880000002E-2</c:v>
                      </c:pt>
                      <c:pt idx="13">
                        <c:v>3.6805778880000001E-2</c:v>
                      </c:pt>
                      <c:pt idx="14">
                        <c:v>3.9636145920000004E-2</c:v>
                      </c:pt>
                      <c:pt idx="15">
                        <c:v>4.2466392000000006E-2</c:v>
                      </c:pt>
                      <c:pt idx="16">
                        <c:v>4.5296517120000004E-2</c:v>
                      </c:pt>
                      <c:pt idx="17">
                        <c:v>4.8126521280000008E-2</c:v>
                      </c:pt>
                      <c:pt idx="18">
                        <c:v>5.0956404480000002E-2</c:v>
                      </c:pt>
                      <c:pt idx="19">
                        <c:v>5.378616672E-2</c:v>
                      </c:pt>
                      <c:pt idx="20">
                        <c:v>5.6615808000000011E-2</c:v>
                      </c:pt>
                      <c:pt idx="21">
                        <c:v>5.9445328320000004E-2</c:v>
                      </c:pt>
                      <c:pt idx="22">
                        <c:v>6.227472768000001E-2</c:v>
                      </c:pt>
                      <c:pt idx="23">
                        <c:v>6.5104006079999999E-2</c:v>
                      </c:pt>
                      <c:pt idx="24">
                        <c:v>6.7933163520000006E-2</c:v>
                      </c:pt>
                      <c:pt idx="25">
                        <c:v>7.0762200000000025E-2</c:v>
                      </c:pt>
                      <c:pt idx="26">
                        <c:v>7.3591115520000014E-2</c:v>
                      </c:pt>
                      <c:pt idx="27">
                        <c:v>7.6419910080000014E-2</c:v>
                      </c:pt>
                      <c:pt idx="28">
                        <c:v>7.9248583679999998E-2</c:v>
                      </c:pt>
                      <c:pt idx="29">
                        <c:v>8.2077136320000008E-2</c:v>
                      </c:pt>
                      <c:pt idx="30">
                        <c:v>8.4905568000000015E-2</c:v>
                      </c:pt>
                      <c:pt idx="31">
                        <c:v>8.7733878720000019E-2</c:v>
                      </c:pt>
                      <c:pt idx="32">
                        <c:v>9.0562068480000008E-2</c:v>
                      </c:pt>
                      <c:pt idx="33">
                        <c:v>9.3390137279999993E-2</c:v>
                      </c:pt>
                      <c:pt idx="34">
                        <c:v>9.6218085120000005E-2</c:v>
                      </c:pt>
                      <c:pt idx="35">
                        <c:v>9.9045912000000014E-2</c:v>
                      </c:pt>
                      <c:pt idx="36">
                        <c:v>0.10187361792000001</c:v>
                      </c:pt>
                      <c:pt idx="37">
                        <c:v>0.10470120288000002</c:v>
                      </c:pt>
                      <c:pt idx="38">
                        <c:v>0.10752866688000001</c:v>
                      </c:pt>
                      <c:pt idx="39">
                        <c:v>0.11035600991999998</c:v>
                      </c:pt>
                      <c:pt idx="40">
                        <c:v>0.11318323200000001</c:v>
                      </c:pt>
                      <c:pt idx="41">
                        <c:v>0.11601033311999999</c:v>
                      </c:pt>
                      <c:pt idx="42">
                        <c:v>0.11883731328000001</c:v>
                      </c:pt>
                      <c:pt idx="43">
                        <c:v>0.12166417248000003</c:v>
                      </c:pt>
                      <c:pt idx="44">
                        <c:v>0.12449091072000001</c:v>
                      </c:pt>
                      <c:pt idx="45">
                        <c:v>0.12731752800000001</c:v>
                      </c:pt>
                      <c:pt idx="46">
                        <c:v>0.13014402432</c:v>
                      </c:pt>
                      <c:pt idx="47">
                        <c:v>0.13297039968000002</c:v>
                      </c:pt>
                      <c:pt idx="48">
                        <c:v>0.13579665408000002</c:v>
                      </c:pt>
                      <c:pt idx="49">
                        <c:v>0.13862278752000001</c:v>
                      </c:pt>
                      <c:pt idx="50">
                        <c:v>0.14144880000000001</c:v>
                      </c:pt>
                      <c:pt idx="51">
                        <c:v>0.14427469152000003</c:v>
                      </c:pt>
                      <c:pt idx="52">
                        <c:v>0.14710046207999999</c:v>
                      </c:pt>
                      <c:pt idx="53">
                        <c:v>0.14992611168</c:v>
                      </c:pt>
                      <c:pt idx="54">
                        <c:v>0.15275164032000005</c:v>
                      </c:pt>
                      <c:pt idx="55">
                        <c:v>0.15557704800000002</c:v>
                      </c:pt>
                      <c:pt idx="56">
                        <c:v>0.15840233471999998</c:v>
                      </c:pt>
                      <c:pt idx="57">
                        <c:v>0.16122750048000001</c:v>
                      </c:pt>
                      <c:pt idx="58">
                        <c:v>0.16405254528000002</c:v>
                      </c:pt>
                      <c:pt idx="59">
                        <c:v>0.16687746912000001</c:v>
                      </c:pt>
                      <c:pt idx="60">
                        <c:v>0.16970227200000004</c:v>
                      </c:pt>
                      <c:pt idx="61">
                        <c:v>0.17252695392000003</c:v>
                      </c:pt>
                      <c:pt idx="62">
                        <c:v>0.17535151488</c:v>
                      </c:pt>
                      <c:pt idx="63">
                        <c:v>0.17817595488000001</c:v>
                      </c:pt>
                      <c:pt idx="64">
                        <c:v>0.18100027392000001</c:v>
                      </c:pt>
                      <c:pt idx="65">
                        <c:v>0.18382447200000002</c:v>
                      </c:pt>
                      <c:pt idx="66">
                        <c:v>0.18664854912000001</c:v>
                      </c:pt>
                      <c:pt idx="67">
                        <c:v>0.18947250528000004</c:v>
                      </c:pt>
                      <c:pt idx="68">
                        <c:v>0.19229634048000002</c:v>
                      </c:pt>
                      <c:pt idx="69">
                        <c:v>0.19512005471999999</c:v>
                      </c:pt>
                      <c:pt idx="70">
                        <c:v>0.19794364800000003</c:v>
                      </c:pt>
                      <c:pt idx="71">
                        <c:v>0.20076712032000002</c:v>
                      </c:pt>
                      <c:pt idx="72">
                        <c:v>0.20359047168000002</c:v>
                      </c:pt>
                      <c:pt idx="73">
                        <c:v>0.20641370208000004</c:v>
                      </c:pt>
                      <c:pt idx="74">
                        <c:v>0.20923681152000001</c:v>
                      </c:pt>
                      <c:pt idx="75">
                        <c:v>0.21205979999999999</c:v>
                      </c:pt>
                      <c:pt idx="76">
                        <c:v>0.21488266752000001</c:v>
                      </c:pt>
                      <c:pt idx="77">
                        <c:v>0.21770541408000005</c:v>
                      </c:pt>
                      <c:pt idx="78">
                        <c:v>0.22052803967999998</c:v>
                      </c:pt>
                      <c:pt idx="79">
                        <c:v>0.22335054432000001</c:v>
                      </c:pt>
                      <c:pt idx="80">
                        <c:v>0.22617292800000002</c:v>
                      </c:pt>
                      <c:pt idx="81">
                        <c:v>0.22899519072000005</c:v>
                      </c:pt>
                      <c:pt idx="82">
                        <c:v>0.23181733247999997</c:v>
                      </c:pt>
                      <c:pt idx="83">
                        <c:v>0.23463935328000002</c:v>
                      </c:pt>
                      <c:pt idx="84">
                        <c:v>0.23746125312000005</c:v>
                      </c:pt>
                      <c:pt idx="85">
                        <c:v>0.24028303200000001</c:v>
                      </c:pt>
                      <c:pt idx="86">
                        <c:v>0.24310468992000003</c:v>
                      </c:pt>
                      <c:pt idx="87">
                        <c:v>0.24592622687999999</c:v>
                      </c:pt>
                      <c:pt idx="88">
                        <c:v>0.24874764288000006</c:v>
                      </c:pt>
                      <c:pt idx="89">
                        <c:v>0.25156893792000001</c:v>
                      </c:pt>
                      <c:pt idx="90">
                        <c:v>0.25439011200000006</c:v>
                      </c:pt>
                      <c:pt idx="91">
                        <c:v>0.25721116512000003</c:v>
                      </c:pt>
                      <c:pt idx="92">
                        <c:v>0.26003209727999999</c:v>
                      </c:pt>
                      <c:pt idx="93">
                        <c:v>0.26285290848000004</c:v>
                      </c:pt>
                      <c:pt idx="94">
                        <c:v>0.26567359872000001</c:v>
                      </c:pt>
                      <c:pt idx="95">
                        <c:v>0.26849416800000003</c:v>
                      </c:pt>
                      <c:pt idx="96">
                        <c:v>0.27131461632000003</c:v>
                      </c:pt>
                      <c:pt idx="97">
                        <c:v>0.27413494368000002</c:v>
                      </c:pt>
                      <c:pt idx="98">
                        <c:v>0.27695515007999999</c:v>
                      </c:pt>
                      <c:pt idx="99">
                        <c:v>0.27977523552000005</c:v>
                      </c:pt>
                      <c:pt idx="100">
                        <c:v>0.28259520000000005</c:v>
                      </c:pt>
                    </c:numCache>
                  </c:numRef>
                </c:val>
                <c:smooth val="0"/>
                <c:extLst>
                  <c:ext xmlns:c16="http://schemas.microsoft.com/office/drawing/2014/chart" uri="{C3380CC4-5D6E-409C-BE32-E72D297353CC}">
                    <c16:uniqueId val="{00000003-3B6C-4BEA-AB8D-9A7C0517EAA2}"/>
                  </c:ext>
                </c:extLst>
              </c15:ser>
            </c15:filteredLineSeries>
            <c15:filteredLineSeries>
              <c15:ser>
                <c:idx val="11"/>
                <c:order val="2"/>
                <c:tx>
                  <c:strRef>
                    <c:extLst xmlns:c15="http://schemas.microsoft.com/office/drawing/2012/chart">
                      <c:ext xmlns:c15="http://schemas.microsoft.com/office/drawing/2012/chart" uri="{02D57815-91ED-43cb-92C2-25804820EDAC}">
                        <c15:formulaRef>
                          <c15:sqref>'Efficiency vs Load Calculations'!$BE$7</c15:sqref>
                        </c15:formulaRef>
                      </c:ext>
                    </c:extLst>
                    <c:strCache>
                      <c:ptCount val="1"/>
                      <c:pt idx="0">
                        <c:v>Controller IC Losses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Calculations'!$BG$9:$BG$109</c15:sqref>
                        </c15:formulaRef>
                      </c:ext>
                    </c:extLst>
                    <c:numCache>
                      <c:formatCode>0.000</c:formatCode>
                      <c:ptCount val="101"/>
                      <c:pt idx="0">
                        <c:v>0.57269042016806726</c:v>
                      </c:pt>
                      <c:pt idx="1">
                        <c:v>0.57269042016806726</c:v>
                      </c:pt>
                      <c:pt idx="2">
                        <c:v>0.57269042016806726</c:v>
                      </c:pt>
                      <c:pt idx="3">
                        <c:v>0.57269042016806726</c:v>
                      </c:pt>
                      <c:pt idx="4">
                        <c:v>0.57269042016806726</c:v>
                      </c:pt>
                      <c:pt idx="5">
                        <c:v>0.57269042016806726</c:v>
                      </c:pt>
                      <c:pt idx="6">
                        <c:v>0.57269042016806726</c:v>
                      </c:pt>
                      <c:pt idx="7">
                        <c:v>0.57269042016806726</c:v>
                      </c:pt>
                      <c:pt idx="8">
                        <c:v>0.57269042016806726</c:v>
                      </c:pt>
                      <c:pt idx="9">
                        <c:v>0.57269042016806726</c:v>
                      </c:pt>
                      <c:pt idx="10">
                        <c:v>0.57269042016806726</c:v>
                      </c:pt>
                      <c:pt idx="11">
                        <c:v>0.57269042016806726</c:v>
                      </c:pt>
                      <c:pt idx="12">
                        <c:v>0.57269042016806726</c:v>
                      </c:pt>
                      <c:pt idx="13">
                        <c:v>0.57269042016806726</c:v>
                      </c:pt>
                      <c:pt idx="14">
                        <c:v>0.57269042016806726</c:v>
                      </c:pt>
                      <c:pt idx="15">
                        <c:v>0.57269042016806726</c:v>
                      </c:pt>
                      <c:pt idx="16">
                        <c:v>0.57269042016806726</c:v>
                      </c:pt>
                      <c:pt idx="17">
                        <c:v>0.57269042016806726</c:v>
                      </c:pt>
                      <c:pt idx="18">
                        <c:v>0.57269042016806726</c:v>
                      </c:pt>
                      <c:pt idx="19">
                        <c:v>0.57269042016806726</c:v>
                      </c:pt>
                      <c:pt idx="20">
                        <c:v>0.57269042016806726</c:v>
                      </c:pt>
                      <c:pt idx="21">
                        <c:v>0.57269042016806726</c:v>
                      </c:pt>
                      <c:pt idx="22">
                        <c:v>0.57269042016806726</c:v>
                      </c:pt>
                      <c:pt idx="23">
                        <c:v>0.57269042016806726</c:v>
                      </c:pt>
                      <c:pt idx="24">
                        <c:v>0.57269042016806726</c:v>
                      </c:pt>
                      <c:pt idx="25">
                        <c:v>0.57269042016806726</c:v>
                      </c:pt>
                      <c:pt idx="26">
                        <c:v>0.57269042016806726</c:v>
                      </c:pt>
                      <c:pt idx="27">
                        <c:v>0.57269042016806726</c:v>
                      </c:pt>
                      <c:pt idx="28">
                        <c:v>0.57269042016806726</c:v>
                      </c:pt>
                      <c:pt idx="29">
                        <c:v>0.57269042016806726</c:v>
                      </c:pt>
                      <c:pt idx="30">
                        <c:v>0.57269042016806726</c:v>
                      </c:pt>
                      <c:pt idx="31">
                        <c:v>0.57269042016806726</c:v>
                      </c:pt>
                      <c:pt idx="32">
                        <c:v>0.57269042016806726</c:v>
                      </c:pt>
                      <c:pt idx="33">
                        <c:v>0.57269042016806726</c:v>
                      </c:pt>
                      <c:pt idx="34">
                        <c:v>0.57269042016806726</c:v>
                      </c:pt>
                      <c:pt idx="35">
                        <c:v>0.57269042016806726</c:v>
                      </c:pt>
                      <c:pt idx="36">
                        <c:v>0.57269042016806726</c:v>
                      </c:pt>
                      <c:pt idx="37">
                        <c:v>0.57269042016806726</c:v>
                      </c:pt>
                      <c:pt idx="38">
                        <c:v>0.57269042016806726</c:v>
                      </c:pt>
                      <c:pt idx="39">
                        <c:v>0.57269042016806726</c:v>
                      </c:pt>
                      <c:pt idx="40">
                        <c:v>0.57269042016806726</c:v>
                      </c:pt>
                      <c:pt idx="41">
                        <c:v>0.57269042016806726</c:v>
                      </c:pt>
                      <c:pt idx="42">
                        <c:v>0.57269042016806726</c:v>
                      </c:pt>
                      <c:pt idx="43">
                        <c:v>0.57269042016806726</c:v>
                      </c:pt>
                      <c:pt idx="44">
                        <c:v>0.57269042016806726</c:v>
                      </c:pt>
                      <c:pt idx="45">
                        <c:v>0.57269042016806726</c:v>
                      </c:pt>
                      <c:pt idx="46">
                        <c:v>0.57269042016806726</c:v>
                      </c:pt>
                      <c:pt idx="47">
                        <c:v>0.57269042016806726</c:v>
                      </c:pt>
                      <c:pt idx="48">
                        <c:v>0.57269042016806726</c:v>
                      </c:pt>
                      <c:pt idx="49">
                        <c:v>0.57269042016806726</c:v>
                      </c:pt>
                      <c:pt idx="50">
                        <c:v>0.57269042016806726</c:v>
                      </c:pt>
                      <c:pt idx="51">
                        <c:v>0.57269042016806726</c:v>
                      </c:pt>
                      <c:pt idx="52">
                        <c:v>0.57269042016806726</c:v>
                      </c:pt>
                      <c:pt idx="53">
                        <c:v>0.57269042016806726</c:v>
                      </c:pt>
                      <c:pt idx="54">
                        <c:v>0.57269042016806726</c:v>
                      </c:pt>
                      <c:pt idx="55">
                        <c:v>0.57269042016806726</c:v>
                      </c:pt>
                      <c:pt idx="56">
                        <c:v>0.57269042016806726</c:v>
                      </c:pt>
                      <c:pt idx="57">
                        <c:v>0.57269042016806726</c:v>
                      </c:pt>
                      <c:pt idx="58">
                        <c:v>0.57269042016806726</c:v>
                      </c:pt>
                      <c:pt idx="59">
                        <c:v>0.57269042016806726</c:v>
                      </c:pt>
                      <c:pt idx="60">
                        <c:v>0.57269042016806726</c:v>
                      </c:pt>
                      <c:pt idx="61">
                        <c:v>0.57269042016806726</c:v>
                      </c:pt>
                      <c:pt idx="62">
                        <c:v>0.57269042016806726</c:v>
                      </c:pt>
                      <c:pt idx="63">
                        <c:v>0.57269042016806726</c:v>
                      </c:pt>
                      <c:pt idx="64">
                        <c:v>0.57269042016806726</c:v>
                      </c:pt>
                      <c:pt idx="65">
                        <c:v>0.57269042016806726</c:v>
                      </c:pt>
                      <c:pt idx="66">
                        <c:v>0.57269042016806726</c:v>
                      </c:pt>
                      <c:pt idx="67">
                        <c:v>0.57269042016806726</c:v>
                      </c:pt>
                      <c:pt idx="68">
                        <c:v>0.57269042016806726</c:v>
                      </c:pt>
                      <c:pt idx="69">
                        <c:v>0.57269042016806726</c:v>
                      </c:pt>
                      <c:pt idx="70">
                        <c:v>0.57269042016806726</c:v>
                      </c:pt>
                      <c:pt idx="71">
                        <c:v>0.57269042016806726</c:v>
                      </c:pt>
                      <c:pt idx="72">
                        <c:v>0.57269042016806726</c:v>
                      </c:pt>
                      <c:pt idx="73">
                        <c:v>0.57269042016806726</c:v>
                      </c:pt>
                      <c:pt idx="74">
                        <c:v>0.57269042016806726</c:v>
                      </c:pt>
                      <c:pt idx="75">
                        <c:v>0.57269042016806726</c:v>
                      </c:pt>
                      <c:pt idx="76">
                        <c:v>0.57269042016806726</c:v>
                      </c:pt>
                      <c:pt idx="77">
                        <c:v>0.57269042016806726</c:v>
                      </c:pt>
                      <c:pt idx="78">
                        <c:v>0.57269042016806726</c:v>
                      </c:pt>
                      <c:pt idx="79">
                        <c:v>0.57269042016806726</c:v>
                      </c:pt>
                      <c:pt idx="80">
                        <c:v>0.57269042016806726</c:v>
                      </c:pt>
                      <c:pt idx="81">
                        <c:v>0.57269042016806726</c:v>
                      </c:pt>
                      <c:pt idx="82">
                        <c:v>0.57269042016806726</c:v>
                      </c:pt>
                      <c:pt idx="83">
                        <c:v>0.57269042016806726</c:v>
                      </c:pt>
                      <c:pt idx="84">
                        <c:v>0.57269042016806726</c:v>
                      </c:pt>
                      <c:pt idx="85">
                        <c:v>0.57269042016806726</c:v>
                      </c:pt>
                      <c:pt idx="86">
                        <c:v>0.57269042016806726</c:v>
                      </c:pt>
                      <c:pt idx="87">
                        <c:v>0.57269042016806726</c:v>
                      </c:pt>
                      <c:pt idx="88">
                        <c:v>0.57269042016806726</c:v>
                      </c:pt>
                      <c:pt idx="89">
                        <c:v>0.57269042016806726</c:v>
                      </c:pt>
                      <c:pt idx="90">
                        <c:v>0.57269042016806726</c:v>
                      </c:pt>
                      <c:pt idx="91">
                        <c:v>0.57269042016806726</c:v>
                      </c:pt>
                      <c:pt idx="92">
                        <c:v>0.57269042016806726</c:v>
                      </c:pt>
                      <c:pt idx="93">
                        <c:v>0.57269042016806726</c:v>
                      </c:pt>
                      <c:pt idx="94">
                        <c:v>0.57269042016806726</c:v>
                      </c:pt>
                      <c:pt idx="95">
                        <c:v>0.57269042016806726</c:v>
                      </c:pt>
                      <c:pt idx="96">
                        <c:v>0.57269042016806726</c:v>
                      </c:pt>
                      <c:pt idx="97">
                        <c:v>0.57269042016806726</c:v>
                      </c:pt>
                      <c:pt idx="98">
                        <c:v>0.57269042016806726</c:v>
                      </c:pt>
                      <c:pt idx="99">
                        <c:v>0.57269042016806726</c:v>
                      </c:pt>
                      <c:pt idx="100">
                        <c:v>0.57269042016806726</c:v>
                      </c:pt>
                    </c:numCache>
                  </c:numRef>
                </c:val>
                <c:smooth val="0"/>
                <c:extLst xmlns:c15="http://schemas.microsoft.com/office/drawing/2012/chart">
                  <c:ext xmlns:c16="http://schemas.microsoft.com/office/drawing/2014/chart" uri="{C3380CC4-5D6E-409C-BE32-E72D297353CC}">
                    <c16:uniqueId val="{00000004-3B6C-4BEA-AB8D-9A7C0517EAA2}"/>
                  </c:ext>
                </c:extLst>
              </c15:ser>
            </c15:filteredLineSeries>
            <c15:filteredLineSeries>
              <c15:ser>
                <c:idx val="9"/>
                <c:order val="3"/>
                <c:tx>
                  <c:strRef>
                    <c:extLst xmlns:c15="http://schemas.microsoft.com/office/drawing/2012/chart">
                      <c:ext xmlns:c15="http://schemas.microsoft.com/office/drawing/2012/chart" uri="{02D57815-91ED-43cb-92C2-25804820EDAC}">
                        <c15:formulaRef>
                          <c15:sqref>'Efficiency vs Load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Calculations'!$AX$9:$AX$109</c15:sqref>
                        </c15:formulaRef>
                      </c:ext>
                    </c:extLst>
                    <c:numCache>
                      <c:formatCode>0.000</c:formatCode>
                      <c:ptCount val="101"/>
                      <c:pt idx="0">
                        <c:v>4.3288783558793047E-3</c:v>
                      </c:pt>
                      <c:pt idx="1">
                        <c:v>4.3902652679926515E-3</c:v>
                      </c:pt>
                      <c:pt idx="2">
                        <c:v>4.5728761650243007E-3</c:v>
                      </c:pt>
                      <c:pt idx="3">
                        <c:v>4.8767428922871009E-3</c:v>
                      </c:pt>
                      <c:pt idx="4">
                        <c:v>5.3019184500384779E-3</c:v>
                      </c:pt>
                      <c:pt idx="5">
                        <c:v>5.8484770165955335E-3</c:v>
                      </c:pt>
                      <c:pt idx="6">
                        <c:v>6.5165139806987252E-3</c:v>
                      </c:pt>
                      <c:pt idx="7">
                        <c:v>7.3061459831506815E-3</c:v>
                      </c:pt>
                      <c:pt idx="8">
                        <c:v>8.2175109677639132E-3</c:v>
                      </c:pt>
                      <c:pt idx="9">
                        <c:v>9.2507682416590881E-3</c:v>
                      </c:pt>
                      <c:pt idx="10">
                        <c:v>1.04060985449631E-2</c:v>
                      </c:pt>
                      <c:pt idx="11">
                        <c:v>1.1683704129963954E-2</c:v>
                      </c:pt>
                      <c:pt idx="12">
                        <c:v>1.3083808849787125E-2</c:v>
                      </c:pt>
                      <c:pt idx="13">
                        <c:v>1.4606658256666377E-2</c:v>
                      </c:pt>
                      <c:pt idx="14">
                        <c:v>1.6252519709889363E-2</c:v>
                      </c:pt>
                      <c:pt idx="15">
                        <c:v>1.8021682493507309E-2</c:v>
                      </c:pt>
                      <c:pt idx="16">
                        <c:v>1.9914457943905273E-2</c:v>
                      </c:pt>
                      <c:pt idx="17">
                        <c:v>2.1931179587338853E-2</c:v>
                      </c:pt>
                      <c:pt idx="18">
                        <c:v>2.4072203287550893E-2</c:v>
                      </c:pt>
                      <c:pt idx="19">
                        <c:v>2.6337907403590849E-2</c:v>
                      </c:pt>
                      <c:pt idx="20">
                        <c:v>2.8728692957968271E-2</c:v>
                      </c:pt>
                      <c:pt idx="21">
                        <c:v>3.1244983815280302E-2</c:v>
                      </c:pt>
                      <c:pt idx="22">
                        <c:v>3.3887226871463269E-2</c:v>
                      </c:pt>
                      <c:pt idx="23">
                        <c:v>3.6655892253826795E-2</c:v>
                      </c:pt>
                      <c:pt idx="24">
                        <c:v>3.9551473532039076E-2</c:v>
                      </c:pt>
                      <c:pt idx="25">
                        <c:v>4.257448794024149E-2</c:v>
                      </c:pt>
                      <c:pt idx="26">
                        <c:v>4.5725476610481222E-2</c:v>
                      </c:pt>
                      <c:pt idx="27">
                        <c:v>4.9005004817660097E-2</c:v>
                      </c:pt>
                      <c:pt idx="28">
                        <c:v>5.2413662236209253E-2</c:v>
                      </c:pt>
                      <c:pt idx="29">
                        <c:v>5.595206320870981E-2</c:v>
                      </c:pt>
                      <c:pt idx="30">
                        <c:v>5.9620847026690703E-2</c:v>
                      </c:pt>
                      <c:pt idx="31">
                        <c:v>6.3420678223846783E-2</c:v>
                      </c:pt>
                      <c:pt idx="32">
                        <c:v>6.7352246881931782E-2</c:v>
                      </c:pt>
                      <c:pt idx="33">
                        <c:v>7.1416268949593395E-2</c:v>
                      </c:pt>
                      <c:pt idx="34">
                        <c:v>7.5613486574429414E-2</c:v>
                      </c:pt>
                      <c:pt idx="35">
                        <c:v>7.9944668448558673E-2</c:v>
                      </c:pt>
                      <c:pt idx="36">
                        <c:v>8.4410610168011532E-2</c:v>
                      </c:pt>
                      <c:pt idx="37">
                        <c:v>8.9012134606260451E-2</c:v>
                      </c:pt>
                      <c:pt idx="38">
                        <c:v>9.3750092302225224E-2</c:v>
                      </c:pt>
                      <c:pt idx="39">
                        <c:v>9.862536186310103E-2</c:v>
                      </c:pt>
                      <c:pt idx="40">
                        <c:v>0.10363885038237433</c:v>
                      </c:pt>
                      <c:pt idx="41">
                        <c:v>0.10879149387340668</c:v>
                      </c:pt>
                      <c:pt idx="42">
                        <c:v>0.11408425771898377</c:v>
                      </c:pt>
                      <c:pt idx="43">
                        <c:v>0.11951813713724162</c:v>
                      </c:pt>
                      <c:pt idx="44">
                        <c:v>0.12509415766440404</c:v>
                      </c:pt>
                      <c:pt idx="45">
                        <c:v>0.13081337565477896</c:v>
                      </c:pt>
                      <c:pt idx="46">
                        <c:v>0.13667687879848356</c:v>
                      </c:pt>
                      <c:pt idx="47">
                        <c:v>0.14268578665738615</c:v>
                      </c:pt>
                      <c:pt idx="48">
                        <c:v>0.14884125121977401</c:v>
                      </c:pt>
                      <c:pt idx="49">
                        <c:v>0.15514445747427813</c:v>
                      </c:pt>
                      <c:pt idx="50">
                        <c:v>0.16159662400360622</c:v>
                      </c:pt>
                      <c:pt idx="51">
                        <c:v>0.16819900359866055</c:v>
                      </c:pt>
                      <c:pt idx="52">
                        <c:v>0.17495288389363967</c:v>
                      </c:pt>
                      <c:pt idx="53">
                        <c:v>0.18185958802274796</c:v>
                      </c:pt>
                      <c:pt idx="54">
                        <c:v>0.18892047529916475</c:v>
                      </c:pt>
                      <c:pt idx="55">
                        <c:v>0.19613694191694819</c:v>
                      </c:pt>
                      <c:pt idx="56">
                        <c:v>0.2035104216765822</c:v>
                      </c:pt>
                      <c:pt idx="57">
                        <c:v>0.21104238673489756</c:v>
                      </c:pt>
                      <c:pt idx="58">
                        <c:v>0.21873434838013689</c:v>
                      </c:pt>
                      <c:pt idx="59">
                        <c:v>0.22658785783295707</c:v>
                      </c:pt>
                      <c:pt idx="60">
                        <c:v>0.23460450707420144</c:v>
                      </c:pt>
                      <c:pt idx="61">
                        <c:v>0.24278592970030605</c:v>
                      </c:pt>
                      <c:pt idx="62">
                        <c:v>0.25113380180724221</c:v>
                      </c:pt>
                      <c:pt idx="63">
                        <c:v>0.25964984290393328</c:v>
                      </c:pt>
                      <c:pt idx="64">
                        <c:v>0.26833581685612473</c:v>
                      </c:pt>
                      <c:pt idx="65">
                        <c:v>0.27719353286172699</c:v>
                      </c:pt>
                      <c:pt idx="66">
                        <c:v>0.28622484645869362</c:v>
                      </c:pt>
                      <c:pt idx="67">
                        <c:v>0.2954316605665438</c:v>
                      </c:pt>
                      <c:pt idx="68">
                        <c:v>0.30481592656268064</c:v>
                      </c:pt>
                      <c:pt idx="69">
                        <c:v>0.31437964539471308</c:v>
                      </c:pt>
                      <c:pt idx="70">
                        <c:v>0.32412486873003443</c:v>
                      </c:pt>
                      <c:pt idx="71">
                        <c:v>0.33405370014396463</c:v>
                      </c:pt>
                      <c:pt idx="72">
                        <c:v>0.34416829634782881</c:v>
                      </c:pt>
                      <c:pt idx="73">
                        <c:v>0.3544708684583861</c:v>
                      </c:pt>
                      <c:pt idx="74">
                        <c:v>0.36496368331010531</c:v>
                      </c:pt>
                      <c:pt idx="75">
                        <c:v>0.3756490648118298</c:v>
                      </c:pt>
                      <c:pt idx="76">
                        <c:v>0.38652939534945513</c:v>
                      </c:pt>
                      <c:pt idx="77">
                        <c:v>0.39760711723630887</c:v>
                      </c:pt>
                      <c:pt idx="78">
                        <c:v>0.40888473421299304</c:v>
                      </c:pt>
                      <c:pt idx="79">
                        <c:v>0.42036481299853501</c:v>
                      </c:pt>
                      <c:pt idx="80">
                        <c:v>0.43204998489476987</c:v>
                      </c:pt>
                      <c:pt idx="81">
                        <c:v>0.44394294744596413</c:v>
                      </c:pt>
                      <c:pt idx="82">
                        <c:v>0.45604646615577998</c:v>
                      </c:pt>
                      <c:pt idx="83">
                        <c:v>0.46836337626377766</c:v>
                      </c:pt>
                      <c:pt idx="84">
                        <c:v>0.48089658458374707</c:v>
                      </c:pt>
                      <c:pt idx="85">
                        <c:v>0.49364907140627085</c:v>
                      </c:pt>
                      <c:pt idx="86">
                        <c:v>0.50662389246802675</c:v>
                      </c:pt>
                      <c:pt idx="87">
                        <c:v>0.51982418099044903</c:v>
                      </c:pt>
                      <c:pt idx="88">
                        <c:v>0.53325314979050387</c:v>
                      </c:pt>
                      <c:pt idx="89">
                        <c:v>0.54691409346644149</c:v>
                      </c:pt>
                      <c:pt idx="90">
                        <c:v>0.56081039066154037</c:v>
                      </c:pt>
                      <c:pt idx="91">
                        <c:v>0.57494550640898645</c:v>
                      </c:pt>
                      <c:pt idx="92">
                        <c:v>0.58932299456119053</c:v>
                      </c:pt>
                      <c:pt idx="93">
                        <c:v>0.60394650030699137</c:v>
                      </c:pt>
                      <c:pt idx="94">
                        <c:v>0.6188197627803691</c:v>
                      </c:pt>
                      <c:pt idx="95">
                        <c:v>0.63394661776445993</c:v>
                      </c:pt>
                      <c:pt idx="96">
                        <c:v>0.64933100049484482</c:v>
                      </c:pt>
                      <c:pt idx="97">
                        <c:v>0.66497694856629019</c:v>
                      </c:pt>
                      <c:pt idx="98">
                        <c:v>0.68088860494730019</c:v>
                      </c:pt>
                      <c:pt idx="99">
                        <c:v>0.69707022110708439</c:v>
                      </c:pt>
                      <c:pt idx="100">
                        <c:v>0.71352616025973947</c:v>
                      </c:pt>
                    </c:numCache>
                  </c:numRef>
                </c:val>
                <c:smooth val="0"/>
                <c:extLst xmlns:c15="http://schemas.microsoft.com/office/drawing/2012/chart">
                  <c:ext xmlns:c16="http://schemas.microsoft.com/office/drawing/2014/chart" uri="{C3380CC4-5D6E-409C-BE32-E72D297353CC}">
                    <c16:uniqueId val="{00000005-3B6C-4BEA-AB8D-9A7C0517EAA2}"/>
                  </c:ext>
                </c:extLst>
              </c15:ser>
            </c15:filteredLineSeries>
            <c15:filteredLineSeries>
              <c15:ser>
                <c:idx val="8"/>
                <c:order val="4"/>
                <c:tx>
                  <c:strRef>
                    <c:extLst xmlns:c15="http://schemas.microsoft.com/office/drawing/2012/chart">
                      <c:ext xmlns:c15="http://schemas.microsoft.com/office/drawing/2012/chart" uri="{02D57815-91ED-43cb-92C2-25804820EDAC}">
                        <c15:formulaRef>
                          <c15:sqref>'Efficiency vs Load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Calculations'!$AS$9:$AS$109</c15:sqref>
                        </c15:formulaRef>
                      </c:ext>
                    </c:extLst>
                    <c:numCache>
                      <c:formatCode>0.000</c:formatCode>
                      <c:ptCount val="101"/>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xmlns:c15="http://schemas.microsoft.com/office/drawing/2012/chart">
                  <c:ext xmlns:c16="http://schemas.microsoft.com/office/drawing/2014/chart" uri="{C3380CC4-5D6E-409C-BE32-E72D297353CC}">
                    <c16:uniqueId val="{00000006-3B6C-4BEA-AB8D-9A7C0517EAA2}"/>
                  </c:ext>
                </c:extLst>
              </c15:ser>
            </c15:filteredLineSeries>
            <c15:filteredLineSeries>
              <c15:ser>
                <c:idx val="7"/>
                <c:order val="5"/>
                <c:tx>
                  <c:strRef>
                    <c:extLst xmlns:c15="http://schemas.microsoft.com/office/drawing/2012/chart">
                      <c:ext xmlns:c15="http://schemas.microsoft.com/office/drawing/2012/chart" uri="{02D57815-91ED-43cb-92C2-25804820EDAC}">
                        <c15:formulaRef>
                          <c15:sqref>'Efficiency vs Load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Calculations'!$AO$9:$AO$109</c15:sqref>
                        </c15:formulaRef>
                      </c:ext>
                    </c:extLst>
                    <c:numCache>
                      <c:formatCode>0.000</c:formatCode>
                      <c:ptCount val="101"/>
                      <c:pt idx="0">
                        <c:v>4.3947230618573384E-2</c:v>
                      </c:pt>
                      <c:pt idx="1">
                        <c:v>4.9609230816979245E-2</c:v>
                      </c:pt>
                      <c:pt idx="2">
                        <c:v>5.2687657336599185E-2</c:v>
                      </c:pt>
                      <c:pt idx="3">
                        <c:v>5.5889075760337845E-2</c:v>
                      </c:pt>
                      <c:pt idx="4">
                        <c:v>5.9213792140370196E-2</c:v>
                      </c:pt>
                      <c:pt idx="5">
                        <c:v>6.2662134142355566E-2</c:v>
                      </c:pt>
                      <c:pt idx="6">
                        <c:v>6.6234451151726867E-2</c:v>
                      </c:pt>
                      <c:pt idx="7">
                        <c:v>6.9931114389528759E-2</c:v>
                      </c:pt>
                      <c:pt idx="8">
                        <c:v>7.3752517037884033E-2</c:v>
                      </c:pt>
                      <c:pt idx="9">
                        <c:v>7.7699074375176133E-2</c:v>
                      </c:pt>
                      <c:pt idx="10">
                        <c:v>8.1771223921042857E-2</c:v>
                      </c:pt>
                      <c:pt idx="11">
                        <c:v>8.5969425591285203E-2</c:v>
                      </c:pt>
                      <c:pt idx="12">
                        <c:v>9.0294161862803021E-2</c:v>
                      </c:pt>
                      <c:pt idx="13">
                        <c:v>9.4745937948678152E-2</c:v>
                      </c:pt>
                      <c:pt idx="14">
                        <c:v>9.9325281983533506E-2</c:v>
                      </c:pt>
                      <c:pt idx="15">
                        <c:v>0.10500198414361692</c:v>
                      </c:pt>
                      <c:pt idx="16">
                        <c:v>0.1127354112141741</c:v>
                      </c:pt>
                      <c:pt idx="17">
                        <c:v>0.12060094985321654</c:v>
                      </c:pt>
                      <c:pt idx="18">
                        <c:v>0.12859948005413105</c:v>
                      </c:pt>
                      <c:pt idx="19">
                        <c:v>0.13673190687033987</c:v>
                      </c:pt>
                      <c:pt idx="20">
                        <c:v>0.14499916074397232</c:v>
                      </c:pt>
                      <c:pt idx="21">
                        <c:v>0.15340219784671272</c:v>
                      </c:pt>
                      <c:pt idx="22">
                        <c:v>0.1619420004330821</c:v>
                      </c:pt>
                      <c:pt idx="23">
                        <c:v>0.17061957720641896</c:v>
                      </c:pt>
                      <c:pt idx="24">
                        <c:v>0.17943596369783912</c:v>
                      </c:pt>
                      <c:pt idx="25">
                        <c:v>0.18839222265846389</c:v>
                      </c:pt>
                      <c:pt idx="26">
                        <c:v>0.19748944446522135</c:v>
                      </c:pt>
                      <c:pt idx="27">
                        <c:v>0.20672874754053502</c:v>
                      </c:pt>
                      <c:pt idx="28">
                        <c:v>0.21611127878623032</c:v>
                      </c:pt>
                      <c:pt idx="29">
                        <c:v>0.22563821403200077</c:v>
                      </c:pt>
                      <c:pt idx="30">
                        <c:v>0.23531075849879088</c:v>
                      </c:pt>
                      <c:pt idx="31">
                        <c:v>0.24513014727746776</c:v>
                      </c:pt>
                      <c:pt idx="32">
                        <c:v>0.25509764582316713</c:v>
                      </c:pt>
                      <c:pt idx="33">
                        <c:v>0.2652145504657169</c:v>
                      </c:pt>
                      <c:pt idx="34">
                        <c:v>0.27548218893655513</c:v>
                      </c:pt>
                      <c:pt idx="35">
                        <c:v>0.28590192091257904</c:v>
                      </c:pt>
                      <c:pt idx="36">
                        <c:v>0.29647513857737662</c:v>
                      </c:pt>
                      <c:pt idx="37">
                        <c:v>0.30720326720031044</c:v>
                      </c:pt>
                      <c:pt idx="38">
                        <c:v>0.31808776573394504</c:v>
                      </c:pt>
                      <c:pt idx="39">
                        <c:v>0.32913012743032288</c:v>
                      </c:pt>
                      <c:pt idx="40">
                        <c:v>0.34033188047661989</c:v>
                      </c:pt>
                      <c:pt idx="41">
                        <c:v>0.35169458865072867</c:v>
                      </c:pt>
                      <c:pt idx="42">
                        <c:v>0.36321985199734119</c:v>
                      </c:pt>
                      <c:pt idx="43">
                        <c:v>0.37490930752512164</c:v>
                      </c:pt>
                      <c:pt idx="44">
                        <c:v>0.38676462992558946</c:v>
                      </c:pt>
                      <c:pt idx="45">
                        <c:v>0.39878753231435127</c:v>
                      </c:pt>
                      <c:pt idx="46">
                        <c:v>0.41097976699534861</c:v>
                      </c:pt>
                      <c:pt idx="47">
                        <c:v>0.42334312624881282</c:v>
                      </c:pt>
                      <c:pt idx="48">
                        <c:v>0.4358794431436479</c:v>
                      </c:pt>
                      <c:pt idx="49">
                        <c:v>0.44859059237498927</c:v>
                      </c:pt>
                      <c:pt idx="50">
                        <c:v>0.46147849112771433</c:v>
                      </c:pt>
                      <c:pt idx="51">
                        <c:v>0.47454509996671607</c:v>
                      </c:pt>
                      <c:pt idx="52">
                        <c:v>0.48779242375477655</c:v>
                      </c:pt>
                      <c:pt idx="53">
                        <c:v>0.5012225125989177</c:v>
                      </c:pt>
                      <c:pt idx="54">
                        <c:v>0.51483746282613563</c:v>
                      </c:pt>
                      <c:pt idx="55">
                        <c:v>0.5286394179894629</c:v>
                      </c:pt>
                      <c:pt idx="56">
                        <c:v>0.54263056990534519</c:v>
                      </c:pt>
                      <c:pt idx="57">
                        <c:v>0.55681315972334866</c:v>
                      </c:pt>
                      <c:pt idx="58">
                        <c:v>0.57118947902926709</c:v>
                      </c:pt>
                      <c:pt idx="59">
                        <c:v>0.58576187098273191</c:v>
                      </c:pt>
                      <c:pt idx="60">
                        <c:v>0.60053273149047526</c:v>
                      </c:pt>
                      <c:pt idx="61">
                        <c:v>0.61550451041644849</c:v>
                      </c:pt>
                      <c:pt idx="62">
                        <c:v>0.63067971283003676</c:v>
                      </c:pt>
                      <c:pt idx="63">
                        <c:v>0.6460609002936728</c:v>
                      </c:pt>
                      <c:pt idx="64">
                        <c:v>0.66165069219119865</c:v>
                      </c:pt>
                      <c:pt idx="65">
                        <c:v>0.67745176709838084</c:v>
                      </c:pt>
                      <c:pt idx="66">
                        <c:v>0.69346686419704751</c:v>
                      </c:pt>
                      <c:pt idx="67">
                        <c:v>0.70969878473437176</c:v>
                      </c:pt>
                      <c:pt idx="68">
                        <c:v>0.72615039352888966</c:v>
                      </c:pt>
                      <c:pt idx="69">
                        <c:v>0.74282462052491249</c:v>
                      </c:pt>
                      <c:pt idx="70">
                        <c:v>0.75972446239705782</c:v>
                      </c:pt>
                      <c:pt idx="71">
                        <c:v>0.77685298420669524</c:v>
                      </c:pt>
                      <c:pt idx="72">
                        <c:v>0.79421332111219312</c:v>
                      </c:pt>
                      <c:pt idx="73">
                        <c:v>0.81180868013490604</c:v>
                      </c:pt>
                      <c:pt idx="74">
                        <c:v>0.82964234198296005</c:v>
                      </c:pt>
                      <c:pt idx="75">
                        <c:v>0.8477176629349481</c:v>
                      </c:pt>
                      <c:pt idx="76">
                        <c:v>0.86603807678576528</c:v>
                      </c:pt>
                      <c:pt idx="77">
                        <c:v>0.88460709685689676</c:v>
                      </c:pt>
                      <c:pt idx="78">
                        <c:v>0.90342831807357404</c:v>
                      </c:pt>
                      <c:pt idx="79">
                        <c:v>0.92250541911132655</c:v>
                      </c:pt>
                      <c:pt idx="80">
                        <c:v>0.9418421646145605</c:v>
                      </c:pt>
                      <c:pt idx="81">
                        <c:v>0.96144240748992049</c:v>
                      </c:pt>
                      <c:pt idx="82">
                        <c:v>0.98131009127730451</c:v>
                      </c:pt>
                      <c:pt idx="83">
                        <c:v>1.0014492526015393</c:v>
                      </c:pt>
                      <c:pt idx="84">
                        <c:v>1.0218640237078529</c:v>
                      </c:pt>
                      <c:pt idx="85">
                        <c:v>1.0425586350844278</c:v>
                      </c:pt>
                      <c:pt idx="86">
                        <c:v>1.0635374181754649</c:v>
                      </c:pt>
                      <c:pt idx="87">
                        <c:v>1.0848048081883406</c:v>
                      </c:pt>
                      <c:pt idx="88">
                        <c:v>1.1063653469986219</c:v>
                      </c:pt>
                      <c:pt idx="89">
                        <c:v>1.128223686156854</c:v>
                      </c:pt>
                      <c:pt idx="90">
                        <c:v>1.1503845900012404</c:v>
                      </c:pt>
                      <c:pt idx="91">
                        <c:v>1.1728529388805065</c:v>
                      </c:pt>
                      <c:pt idx="92">
                        <c:v>1.1956337324914657</c:v>
                      </c:pt>
                      <c:pt idx="93">
                        <c:v>1.2187320933359929</c:v>
                      </c:pt>
                      <c:pt idx="94">
                        <c:v>1.2421532703023559</c:v>
                      </c:pt>
                      <c:pt idx="95">
                        <c:v>1.2659026423760829</c:v>
                      </c:pt>
                      <c:pt idx="96">
                        <c:v>1.2899857224857922</c:v>
                      </c:pt>
                      <c:pt idx="97">
                        <c:v>1.3144081614896872</c:v>
                      </c:pt>
                      <c:pt idx="98">
                        <c:v>1.3391757523086685</c:v>
                      </c:pt>
                      <c:pt idx="99">
                        <c:v>1.364294434212346</c:v>
                      </c:pt>
                      <c:pt idx="100">
                        <c:v>1.3897702972645085</c:v>
                      </c:pt>
                    </c:numCache>
                  </c:numRef>
                </c:val>
                <c:smooth val="0"/>
                <c:extLst xmlns:c15="http://schemas.microsoft.com/office/drawing/2012/chart">
                  <c:ext xmlns:c16="http://schemas.microsoft.com/office/drawing/2014/chart" uri="{C3380CC4-5D6E-409C-BE32-E72D297353CC}">
                    <c16:uniqueId val="{00000007-3B6C-4BEA-AB8D-9A7C0517EAA2}"/>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'Efficiency vs Load Calculations'!$AK$8</c15:sqref>
                        </c15:formulaRef>
                      </c:ext>
                    </c:extLst>
                    <c:strCache>
                      <c:ptCount val="1"/>
                      <c:pt idx="0">
                        <c:v>Total Control Bu MOSFET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Calculations'!$AK$9:$AK$109</c15:sqref>
                        </c15:formulaRef>
                      </c:ext>
                    </c:extLst>
                    <c:numCache>
                      <c:formatCode>0.000</c:formatCode>
                      <c:ptCount val="101"/>
                      <c:pt idx="0">
                        <c:v>4.4984845120413425E-2</c:v>
                      </c:pt>
                      <c:pt idx="1">
                        <c:v>7.1942174356351016E-2</c:v>
                      </c:pt>
                      <c:pt idx="2">
                        <c:v>9.735549990955901E-2</c:v>
                      </c:pt>
                      <c:pt idx="3">
                        <c:v>0.12289572056859287</c:v>
                      </c:pt>
                      <c:pt idx="4">
                        <c:v>0.14856509122822803</c:v>
                      </c:pt>
                      <c:pt idx="5">
                        <c:v>0.17436589009879877</c:v>
                      </c:pt>
                      <c:pt idx="6">
                        <c:v>0.20030041938049167</c:v>
                      </c:pt>
                      <c:pt idx="7">
                        <c:v>0.22637100594857551</c:v>
                      </c:pt>
                      <c:pt idx="8">
                        <c:v>0.25258000204999587</c:v>
                      </c:pt>
                      <c:pt idx="9">
                        <c:v>0.27892978601177321</c:v>
                      </c:pt>
                      <c:pt idx="10">
                        <c:v>0.30542276296165222</c:v>
                      </c:pt>
                      <c:pt idx="11">
                        <c:v>0.33206136556146282</c:v>
                      </c:pt>
                      <c:pt idx="12">
                        <c:v>0.35884805475366205</c:v>
                      </c:pt>
                      <c:pt idx="13">
                        <c:v>0.38578532052154113</c:v>
                      </c:pt>
                      <c:pt idx="14">
                        <c:v>0.41287568266358915</c:v>
                      </c:pt>
                      <c:pt idx="15">
                        <c:v>0.44109093050683484</c:v>
                      </c:pt>
                      <c:pt idx="16">
                        <c:v>0.47139243807210307</c:v>
                      </c:pt>
                      <c:pt idx="17">
                        <c:v>0.50185760794067213</c:v>
                      </c:pt>
                      <c:pt idx="18">
                        <c:v>0.53248934532516168</c:v>
                      </c:pt>
                      <c:pt idx="19">
                        <c:v>0.56329059040825291</c:v>
                      </c:pt>
                      <c:pt idx="20">
                        <c:v>0.59426431929159529</c:v>
                      </c:pt>
                      <c:pt idx="21">
                        <c:v>0.62541354496347079</c:v>
                      </c:pt>
                      <c:pt idx="22">
                        <c:v>0.65674131828588111</c:v>
                      </c:pt>
                      <c:pt idx="23">
                        <c:v>0.68825072900174078</c:v>
                      </c:pt>
                      <c:pt idx="24">
                        <c:v>0.71994490676288536</c:v>
                      </c:pt>
                      <c:pt idx="25">
                        <c:v>0.75182702217961306</c:v>
                      </c:pt>
                      <c:pt idx="26">
                        <c:v>0.78390028789251121</c:v>
                      </c:pt>
                      <c:pt idx="27">
                        <c:v>0.81616795966733602</c:v>
                      </c:pt>
                      <c:pt idx="28">
                        <c:v>0.84863333751373438</c:v>
                      </c:pt>
                      <c:pt idx="29">
                        <c:v>0.88129976682862843</c:v>
                      </c:pt>
                      <c:pt idx="30">
                        <c:v>0.91417063956510092</c:v>
                      </c:pt>
                      <c:pt idx="31">
                        <c:v>0.94724939542765241</c:v>
                      </c:pt>
                      <c:pt idx="32">
                        <c:v>0.98053952309472381</c:v>
                      </c:pt>
                      <c:pt idx="33">
                        <c:v>1.0140445614694114</c:v>
                      </c:pt>
                      <c:pt idx="34">
                        <c:v>1.0477681009593236</c:v>
                      </c:pt>
                      <c:pt idx="35">
                        <c:v>1.0817137847865717</c:v>
                      </c:pt>
                      <c:pt idx="36">
                        <c:v>1.1158853103289061</c:v>
                      </c:pt>
                      <c:pt idx="37">
                        <c:v>1.150286430493054</c:v>
                      </c:pt>
                      <c:pt idx="38">
                        <c:v>1.184920955121342</c:v>
                      </c:pt>
                      <c:pt idx="39">
                        <c:v>1.2197927524327334</c:v>
                      </c:pt>
                      <c:pt idx="40">
                        <c:v>1.2549057504994328</c:v>
                      </c:pt>
                      <c:pt idx="41">
                        <c:v>1.2902639387602672</c:v>
                      </c:pt>
                      <c:pt idx="42">
                        <c:v>1.3258713695720881</c:v>
                      </c:pt>
                      <c:pt idx="43">
                        <c:v>1.361732159800473</c:v>
                      </c:pt>
                      <c:pt idx="44">
                        <c:v>1.3978504924510686</c:v>
                      </c:pt>
                      <c:pt idx="45">
                        <c:v>1.4342306183429459</c:v>
                      </c:pt>
                      <c:pt idx="46">
                        <c:v>1.4708768578254048</c:v>
                      </c:pt>
                      <c:pt idx="47">
                        <c:v>1.5077936025397003</c:v>
                      </c:pt>
                      <c:pt idx="48">
                        <c:v>1.5449853172272232</c:v>
                      </c:pt>
                      <c:pt idx="49">
                        <c:v>1.5824565415857368</c:v>
                      </c:pt>
                      <c:pt idx="50">
                        <c:v>1.6202118921752953</c:v>
                      </c:pt>
                      <c:pt idx="51">
                        <c:v>1.6582560643755733</c:v>
                      </c:pt>
                      <c:pt idx="52">
                        <c:v>1.6965938343963649</c:v>
                      </c:pt>
                      <c:pt idx="53">
                        <c:v>1.7352300613430929</c:v>
                      </c:pt>
                      <c:pt idx="54">
                        <c:v>1.7741696893392362</c:v>
                      </c:pt>
                      <c:pt idx="55">
                        <c:v>1.8134177497076502</c:v>
                      </c:pt>
                      <c:pt idx="56">
                        <c:v>1.8529793632128424</c:v>
                      </c:pt>
                      <c:pt idx="57">
                        <c:v>1.8928597423663218</c:v>
                      </c:pt>
                      <c:pt idx="58">
                        <c:v>1.9330641937972541</c:v>
                      </c:pt>
                      <c:pt idx="59">
                        <c:v>1.9735981206907052</c:v>
                      </c:pt>
                      <c:pt idx="60">
                        <c:v>2.0144670252958781</c:v>
                      </c:pt>
                      <c:pt idx="61">
                        <c:v>2.0556765115068174</c:v>
                      </c:pt>
                      <c:pt idx="62">
                        <c:v>2.0972322875181688</c:v>
                      </c:pt>
                      <c:pt idx="63">
                        <c:v>2.1391401685586713</c:v>
                      </c:pt>
                      <c:pt idx="64">
                        <c:v>2.1814060797051806</c:v>
                      </c:pt>
                      <c:pt idx="65">
                        <c:v>2.2240360587801233</c:v>
                      </c:pt>
                      <c:pt idx="66">
                        <c:v>2.2670362593353977</c:v>
                      </c:pt>
                      <c:pt idx="67">
                        <c:v>2.3104129537258769</c:v>
                      </c:pt>
                      <c:pt idx="68">
                        <c:v>2.3541725362757671</c:v>
                      </c:pt>
                      <c:pt idx="69">
                        <c:v>2.3983215265412454</c:v>
                      </c:pt>
                      <c:pt idx="70">
                        <c:v>2.4428665726729104</c:v>
                      </c:pt>
                      <c:pt idx="71">
                        <c:v>2.4878144548817374</c:v>
                      </c:pt>
                      <c:pt idx="72">
                        <c:v>2.5331720890124063</c:v>
                      </c:pt>
                      <c:pt idx="73">
                        <c:v>2.5789465302279755</c:v>
                      </c:pt>
                      <c:pt idx="74">
                        <c:v>2.6251449768101223</c:v>
                      </c:pt>
                      <c:pt idx="75">
                        <c:v>2.6717747740792648</c:v>
                      </c:pt>
                      <c:pt idx="76">
                        <c:v>2.7188434184391452</c:v>
                      </c:pt>
                      <c:pt idx="77">
                        <c:v>2.7663585615505775</c:v>
                      </c:pt>
                      <c:pt idx="78">
                        <c:v>2.8143280146393299</c:v>
                      </c:pt>
                      <c:pt idx="79">
                        <c:v>2.8627597529432798</c:v>
                      </c:pt>
                      <c:pt idx="80">
                        <c:v>2.9116619203042298</c:v>
                      </c:pt>
                      <c:pt idx="81">
                        <c:v>2.961042833910013</c:v>
                      </c:pt>
                      <c:pt idx="82">
                        <c:v>3.0109109891927344</c:v>
                      </c:pt>
                      <c:pt idx="83">
                        <c:v>3.0612750648892941</c:v>
                      </c:pt>
                      <c:pt idx="84">
                        <c:v>3.1121439282705863</c:v>
                      </c:pt>
                      <c:pt idx="85">
                        <c:v>3.1635266405460754</c:v>
                      </c:pt>
                      <c:pt idx="86">
                        <c:v>3.2154324624507211</c:v>
                      </c:pt>
                      <c:pt idx="87">
                        <c:v>3.2678708600215836</c:v>
                      </c:pt>
                      <c:pt idx="88">
                        <c:v>3.3208515105717553</c:v>
                      </c:pt>
                      <c:pt idx="89">
                        <c:v>3.3743843088695931</c:v>
                      </c:pt>
                      <c:pt idx="90">
                        <c:v>3.428479373531665</c:v>
                      </c:pt>
                      <c:pt idx="91">
                        <c:v>3.4831470536381173</c:v>
                      </c:pt>
                      <c:pt idx="92">
                        <c:v>3.5383979355796775</c:v>
                      </c:pt>
                      <c:pt idx="93">
                        <c:v>3.5942428501458701</c:v>
                      </c:pt>
                      <c:pt idx="94">
                        <c:v>3.6506928798645117</c:v>
                      </c:pt>
                      <c:pt idx="95">
                        <c:v>3.707759366603026</c:v>
                      </c:pt>
                      <c:pt idx="96">
                        <c:v>3.7654539194426189</c:v>
                      </c:pt>
                      <c:pt idx="97">
                        <c:v>3.823788422836897</c:v>
                      </c:pt>
                      <c:pt idx="98">
                        <c:v>3.8827750450670622</c:v>
                      </c:pt>
                      <c:pt idx="99">
                        <c:v>3.942426247006444</c:v>
                      </c:pt>
                      <c:pt idx="100">
                        <c:v>4.0027547912076837</c:v>
                      </c:pt>
                    </c:numCache>
                  </c:numRef>
                </c:val>
                <c:smooth val="0"/>
                <c:extLst xmlns:c15="http://schemas.microsoft.com/office/drawing/2012/chart">
                  <c:ext xmlns:c16="http://schemas.microsoft.com/office/drawing/2014/chart" uri="{C3380CC4-5D6E-409C-BE32-E72D297353CC}">
                    <c16:uniqueId val="{00000008-3B6C-4BEA-AB8D-9A7C0517EAA2}"/>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4.4984845120413425E-2</c:v>
                      </c:pt>
                      <c:pt idx="1">
                        <c:v>7.3811254439551013E-2</c:v>
                      </c:pt>
                      <c:pt idx="2">
                        <c:v>0.10109358024235901</c:v>
                      </c:pt>
                      <c:pt idx="3">
                        <c:v>0.12850272131739288</c:v>
                      </c:pt>
                      <c:pt idx="4">
                        <c:v>0.15604093255942802</c:v>
                      </c:pt>
                      <c:pt idx="5">
                        <c:v>0.18371049217879878</c:v>
                      </c:pt>
                      <c:pt idx="6">
                        <c:v>0.21151370237569167</c:v>
                      </c:pt>
                      <c:pt idx="7">
                        <c:v>0.23945289002537551</c:v>
                      </c:pt>
                      <c:pt idx="8">
                        <c:v>0.26753040737479589</c:v>
                      </c:pt>
                      <c:pt idx="9">
                        <c:v>0.29574863275097318</c:v>
                      </c:pt>
                      <c:pt idx="10">
                        <c:v>0.3241099712816522</c:v>
                      </c:pt>
                      <c:pt idx="11">
                        <c:v>0.35261685562866285</c:v>
                      </c:pt>
                      <c:pt idx="12">
                        <c:v>0.38127174673446207</c:v>
                      </c:pt>
                      <c:pt idx="13">
                        <c:v>0.41007713458234113</c:v>
                      </c:pt>
                      <c:pt idx="14">
                        <c:v>0.43903553897078917</c:v>
                      </c:pt>
                      <c:pt idx="15">
                        <c:v>0.46911874922683483</c:v>
                      </c:pt>
                      <c:pt idx="16">
                        <c:v>0.50128813937130312</c:v>
                      </c:pt>
                      <c:pt idx="17">
                        <c:v>0.53362111198547213</c:v>
                      </c:pt>
                      <c:pt idx="18">
                        <c:v>0.56612057228196166</c:v>
                      </c:pt>
                      <c:pt idx="19">
                        <c:v>0.59878946044345294</c:v>
                      </c:pt>
                      <c:pt idx="20">
                        <c:v>0.63163075257159529</c:v>
                      </c:pt>
                      <c:pt idx="21">
                        <c:v>0.66464746165467081</c:v>
                      </c:pt>
                      <c:pt idx="22">
                        <c:v>0.69784263855468109</c:v>
                      </c:pt>
                      <c:pt idx="23">
                        <c:v>0.73121937301454076</c:v>
                      </c:pt>
                      <c:pt idx="24">
                        <c:v>0.7647807946860854</c:v>
                      </c:pt>
                      <c:pt idx="25">
                        <c:v>0.79853007417961308</c:v>
                      </c:pt>
                      <c:pt idx="26">
                        <c:v>0.83247042413571126</c:v>
                      </c:pt>
                      <c:pt idx="27">
                        <c:v>0.86660510032013605</c:v>
                      </c:pt>
                      <c:pt idx="28">
                        <c:v>0.90093740274253442</c:v>
                      </c:pt>
                      <c:pt idx="29">
                        <c:v>0.93547067679982843</c:v>
                      </c:pt>
                      <c:pt idx="30">
                        <c:v>0.97020831444510092</c:v>
                      </c:pt>
                      <c:pt idx="31">
                        <c:v>1.0051537553828525</c:v>
                      </c:pt>
                      <c:pt idx="32">
                        <c:v>1.0403104882915237</c:v>
                      </c:pt>
                      <c:pt idx="33">
                        <c:v>1.0756820520742114</c:v>
                      </c:pt>
                      <c:pt idx="34">
                        <c:v>1.1112720371385236</c:v>
                      </c:pt>
                      <c:pt idx="35">
                        <c:v>1.1470840867065717</c:v>
                      </c:pt>
                      <c:pt idx="36">
                        <c:v>1.1831218981561062</c:v>
                      </c:pt>
                      <c:pt idx="37">
                        <c:v>1.219389224393854</c:v>
                      </c:pt>
                      <c:pt idx="38">
                        <c:v>1.2558898752621419</c:v>
                      </c:pt>
                      <c:pt idx="39">
                        <c:v>1.2926277189799333</c:v>
                      </c:pt>
                      <c:pt idx="40">
                        <c:v>1.3296066836194327</c:v>
                      </c:pt>
                      <c:pt idx="41">
                        <c:v>1.3668307586194672</c:v>
                      </c:pt>
                      <c:pt idx="42">
                        <c:v>1.4043039963368882</c:v>
                      </c:pt>
                      <c:pt idx="43">
                        <c:v>1.4420305136372731</c:v>
                      </c:pt>
                      <c:pt idx="44">
                        <c:v>1.4800144935262687</c:v>
                      </c:pt>
                      <c:pt idx="45">
                        <c:v>1.5182601868229459</c:v>
                      </c:pt>
                      <c:pt idx="46">
                        <c:v>1.5567719138766047</c:v>
                      </c:pt>
                      <c:pt idx="47">
                        <c:v>1.5955540663285004</c:v>
                      </c:pt>
                      <c:pt idx="48">
                        <c:v>1.6346111089200233</c:v>
                      </c:pt>
                      <c:pt idx="49">
                        <c:v>1.6739475813489368</c:v>
                      </c:pt>
                      <c:pt idx="50">
                        <c:v>1.7135681001752954</c:v>
                      </c:pt>
                      <c:pt idx="51">
                        <c:v>1.7534773607787733</c:v>
                      </c:pt>
                      <c:pt idx="52">
                        <c:v>1.7936801393691648</c:v>
                      </c:pt>
                      <c:pt idx="53">
                        <c:v>1.834181295051893</c:v>
                      </c:pt>
                      <c:pt idx="54">
                        <c:v>1.8749857719504364</c:v>
                      </c:pt>
                      <c:pt idx="55">
                        <c:v>1.9160986013876502</c:v>
                      </c:pt>
                      <c:pt idx="56">
                        <c:v>1.9575249041280425</c:v>
                      </c:pt>
                      <c:pt idx="57">
                        <c:v>1.9992698926831218</c:v>
                      </c:pt>
                      <c:pt idx="58">
                        <c:v>2.0413388736820544</c:v>
                      </c:pt>
                      <c:pt idx="59">
                        <c:v>2.083737250309905</c:v>
                      </c:pt>
                      <c:pt idx="60">
                        <c:v>2.1264705248158782</c:v>
                      </c:pt>
                      <c:pt idx="61">
                        <c:v>2.1695443010940174</c:v>
                      </c:pt>
                      <c:pt idx="62">
                        <c:v>2.212964287338969</c:v>
                      </c:pt>
                      <c:pt idx="63">
                        <c:v>2.2567362987794715</c:v>
                      </c:pt>
                      <c:pt idx="64">
                        <c:v>2.3008662604923806</c:v>
                      </c:pt>
                      <c:pt idx="65">
                        <c:v>2.3453602103001234</c:v>
                      </c:pt>
                      <c:pt idx="66">
                        <c:v>2.3902243017545977</c:v>
                      </c:pt>
                      <c:pt idx="67">
                        <c:v>2.435464807210677</c:v>
                      </c:pt>
                      <c:pt idx="68">
                        <c:v>2.4810881209925673</c:v>
                      </c:pt>
                      <c:pt idx="69">
                        <c:v>2.5271007626564455</c:v>
                      </c:pt>
                      <c:pt idx="70">
                        <c:v>2.5735093803529105</c:v>
                      </c:pt>
                      <c:pt idx="71">
                        <c:v>2.6203207542929374</c:v>
                      </c:pt>
                      <c:pt idx="72">
                        <c:v>2.6675418003212061</c:v>
                      </c:pt>
                      <c:pt idx="73">
                        <c:v>2.7151795736007753</c:v>
                      </c:pt>
                      <c:pt idx="74">
                        <c:v>2.7632412724133224</c:v>
                      </c:pt>
                      <c:pt idx="75">
                        <c:v>2.8117342420792646</c:v>
                      </c:pt>
                      <c:pt idx="76">
                        <c:v>2.8606659790023454</c:v>
                      </c:pt>
                      <c:pt idx="77">
                        <c:v>2.9100441348433774</c:v>
                      </c:pt>
                      <c:pt idx="78">
                        <c:v>2.9598765208281299</c:v>
                      </c:pt>
                      <c:pt idx="79">
                        <c:v>3.0101711121944796</c:v>
                      </c:pt>
                      <c:pt idx="80">
                        <c:v>3.0609360527842298</c:v>
                      </c:pt>
                      <c:pt idx="81">
                        <c:v>3.1121796597852129</c:v>
                      </c:pt>
                      <c:pt idx="82">
                        <c:v>3.1639104286295345</c:v>
                      </c:pt>
                      <c:pt idx="83">
                        <c:v>3.2161370380540943</c:v>
                      </c:pt>
                      <c:pt idx="84">
                        <c:v>3.2688683553297864</c:v>
                      </c:pt>
                      <c:pt idx="85">
                        <c:v>3.3221134416660751</c:v>
                      </c:pt>
                      <c:pt idx="86">
                        <c:v>3.3758815577979213</c:v>
                      </c:pt>
                      <c:pt idx="87">
                        <c:v>3.4301821697623835</c:v>
                      </c:pt>
                      <c:pt idx="88">
                        <c:v>3.4850249548725554</c:v>
                      </c:pt>
                      <c:pt idx="89">
                        <c:v>3.540419807896793</c:v>
                      </c:pt>
                      <c:pt idx="90">
                        <c:v>3.5963768474516651</c:v>
                      </c:pt>
                      <c:pt idx="91">
                        <c:v>3.6529064226173174</c:v>
                      </c:pt>
                      <c:pt idx="92">
                        <c:v>3.7100191197844774</c:v>
                      </c:pt>
                      <c:pt idx="93">
                        <c:v>3.76772576974267</c:v>
                      </c:pt>
                      <c:pt idx="94">
                        <c:v>3.8260374550197116</c:v>
                      </c:pt>
                      <c:pt idx="95">
                        <c:v>3.884965517483026</c:v>
                      </c:pt>
                      <c:pt idx="96">
                        <c:v>3.9445215662138189</c:v>
                      </c:pt>
                      <c:pt idx="97">
                        <c:v>4.0047174856656973</c:v>
                      </c:pt>
                      <c:pt idx="98">
                        <c:v>4.0655654441198621</c:v>
                      </c:pt>
                      <c:pt idx="99">
                        <c:v>4.1270779024496438</c:v>
                      </c:pt>
                      <c:pt idx="100">
                        <c:v>4.1892676232076838</c:v>
                      </c:pt>
                    </c:numCache>
                  </c:numRef>
                </c:val>
                <c:smooth val="0"/>
                <c:extLst xmlns:c15="http://schemas.microsoft.com/office/drawing/2012/chart">
                  <c:ext xmlns:c16="http://schemas.microsoft.com/office/drawing/2014/chart" uri="{C3380CC4-5D6E-409C-BE32-E72D297353CC}">
                    <c16:uniqueId val="{00000009-3B6C-4BEA-AB8D-9A7C0517EAA2}"/>
                  </c:ext>
                </c:extLst>
              </c15:ser>
            </c15:filteredLineSeries>
            <c15:filteredLineSeries>
              <c15:ser>
                <c:idx val="3"/>
                <c:order val="10"/>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0.58797803073057131</c:v>
                      </c:pt>
                      <c:pt idx="1">
                        <c:v>0.58818343461577127</c:v>
                      </c:pt>
                      <c:pt idx="2">
                        <c:v>0.58855605730201044</c:v>
                      </c:pt>
                      <c:pt idx="3">
                        <c:v>0.58909591899561842</c:v>
                      </c:pt>
                      <c:pt idx="4">
                        <c:v>0.58980305332115146</c:v>
                      </c:pt>
                      <c:pt idx="5">
                        <c:v>0.59067750732812641</c:v>
                      </c:pt>
                      <c:pt idx="6">
                        <c:v>0.59171934150047079</c:v>
                      </c:pt>
                      <c:pt idx="7">
                        <c:v>0.59292862976865324</c:v>
                      </c:pt>
                      <c:pt idx="8">
                        <c:v>0.59430545952453029</c:v>
                      </c:pt>
                      <c:pt idx="9">
                        <c:v>0.595849931638887</c:v>
                      </c:pt>
                      <c:pt idx="10">
                        <c:v>0.59756216048170685</c:v>
                      </c:pt>
                      <c:pt idx="11">
                        <c:v>0.59944227394515426</c:v>
                      </c:pt>
                      <c:pt idx="12">
                        <c:v>0.60149041346929066</c:v>
                      </c:pt>
                      <c:pt idx="13">
                        <c:v>0.60370673407053554</c:v>
                      </c:pt>
                      <c:pt idx="14">
                        <c:v>0.60609140437286846</c:v>
                      </c:pt>
                      <c:pt idx="15">
                        <c:v>0.60864460664181097</c:v>
                      </c:pt>
                      <c:pt idx="16">
                        <c:v>0.61136653682116215</c:v>
                      </c:pt>
                      <c:pt idx="17">
                        <c:v>0.61425740457254829</c:v>
                      </c:pt>
                      <c:pt idx="18">
                        <c:v>0.61731743331775746</c:v>
                      </c:pt>
                      <c:pt idx="19">
                        <c:v>0.62054686028390282</c:v>
                      </c:pt>
                      <c:pt idx="20">
                        <c:v>0.62394593655142661</c:v>
                      </c:pt>
                      <c:pt idx="21">
                        <c:v>0.62751492710495649</c:v>
                      </c:pt>
                      <c:pt idx="22">
                        <c:v>0.63125411088703409</c:v>
                      </c:pt>
                      <c:pt idx="23">
                        <c:v>0.63516378085474712</c:v>
                      </c:pt>
                      <c:pt idx="24">
                        <c:v>0.6392442440392726</c:v>
                      </c:pt>
                      <c:pt idx="25">
                        <c:v>0.64349582160835672</c:v>
                      </c:pt>
                      <c:pt idx="26">
                        <c:v>0.64791884893177076</c:v>
                      </c:pt>
                      <c:pt idx="27">
                        <c:v>0.65251367564974583</c:v>
                      </c:pt>
                      <c:pt idx="28">
                        <c:v>0.65728066574442157</c:v>
                      </c:pt>
                      <c:pt idx="29">
                        <c:v>0.66222019761434636</c:v>
                      </c:pt>
                      <c:pt idx="30">
                        <c:v>0.66733266415203496</c:v>
                      </c:pt>
                      <c:pt idx="31">
                        <c:v>0.67261847282464393</c:v>
                      </c:pt>
                      <c:pt idx="32">
                        <c:v>0.67807804575776165</c:v>
                      </c:pt>
                      <c:pt idx="33">
                        <c:v>0.68371181982237883</c:v>
                      </c:pt>
                      <c:pt idx="34">
                        <c:v>0.68952024672504098</c:v>
                      </c:pt>
                      <c:pt idx="35">
                        <c:v>0.69550379310124866</c:v>
                      </c:pt>
                      <c:pt idx="36">
                        <c:v>0.70166294061212142</c:v>
                      </c:pt>
                      <c:pt idx="37">
                        <c:v>0.70799818604436049</c:v>
                      </c:pt>
                      <c:pt idx="38">
                        <c:v>0.71451004141357721</c:v>
                      </c:pt>
                      <c:pt idx="39">
                        <c:v>0.72119903407098851</c:v>
                      </c:pt>
                      <c:pt idx="40">
                        <c:v>0.72806570681355354</c:v>
                      </c:pt>
                      <c:pt idx="41">
                        <c:v>0.7351106179975766</c:v>
                      </c:pt>
                      <c:pt idx="42">
                        <c:v>0.74233434165583789</c:v>
                      </c:pt>
                      <c:pt idx="43">
                        <c:v>0.74973746761826554</c:v>
                      </c:pt>
                      <c:pt idx="44">
                        <c:v>0.75732060163624593</c:v>
                      </c:pt>
                      <c:pt idx="45">
                        <c:v>0.76508436551057946</c:v>
                      </c:pt>
                      <c:pt idx="46">
                        <c:v>0.77302939722315034</c:v>
                      </c:pt>
                      <c:pt idx="47">
                        <c:v>0.78115635107236892</c:v>
                      </c:pt>
                      <c:pt idx="48">
                        <c:v>0.7894658978124226</c:v>
                      </c:pt>
                      <c:pt idx="49">
                        <c:v>0.7979587247964175</c:v>
                      </c:pt>
                      <c:pt idx="50">
                        <c:v>0.80663553612343974</c:v>
                      </c:pt>
                      <c:pt idx="51">
                        <c:v>0.81549705278962326</c:v>
                      </c:pt>
                      <c:pt idx="52">
                        <c:v>0.82454401284326095</c:v>
                      </c:pt>
                      <c:pt idx="53">
                        <c:v>0.83377717154404907</c:v>
                      </c:pt>
                      <c:pt idx="54">
                        <c:v>0.84319730152650907</c:v>
                      </c:pt>
                      <c:pt idx="55">
                        <c:v>0.852805192967654</c:v>
                      </c:pt>
                      <c:pt idx="56">
                        <c:v>0.862601653758995</c:v>
                      </c:pt>
                      <c:pt idx="57">
                        <c:v>0.87258750968292031</c:v>
                      </c:pt>
                      <c:pt idx="58">
                        <c:v>0.8827636045935594</c:v>
                      </c:pt>
                      <c:pt idx="59">
                        <c:v>0.89313080060217631</c:v>
                      </c:pt>
                      <c:pt idx="60">
                        <c:v>0.90368997826718966</c:v>
                      </c:pt>
                      <c:pt idx="61">
                        <c:v>0.91444203678889124</c:v>
                      </c:pt>
                      <c:pt idx="62">
                        <c:v>0.92538789420894907</c:v>
                      </c:pt>
                      <c:pt idx="63">
                        <c:v>0.93652848761477636</c:v>
                      </c:pt>
                      <c:pt idx="64">
                        <c:v>0.94786477334885899</c:v>
                      </c:pt>
                      <c:pt idx="65">
                        <c:v>0.95939772722312477</c:v>
                      </c:pt>
                      <c:pt idx="66">
                        <c:v>0.971128344738453</c:v>
                      </c:pt>
                      <c:pt idx="67">
                        <c:v>0.98305764130941364</c:v>
                      </c:pt>
                      <c:pt idx="68">
                        <c:v>0.99518665249434202</c:v>
                      </c:pt>
                      <c:pt idx="69">
                        <c:v>1.0075164342308351</c:v>
                      </c:pt>
                      <c:pt idx="70">
                        <c:v>1.0200480630767987</c:v>
                      </c:pt>
                      <c:pt idx="71">
                        <c:v>1.0327826364571071</c:v>
                      </c:pt>
                      <c:pt idx="72">
                        <c:v>1.0457212729160472</c:v>
                      </c:pt>
                      <c:pt idx="73">
                        <c:v>1.0588651123755906</c:v>
                      </c:pt>
                      <c:pt idx="74">
                        <c:v>1.0722153163996722</c:v>
                      </c:pt>
                      <c:pt idx="75">
                        <c:v>1.0857730684645426</c:v>
                      </c:pt>
                      <c:pt idx="76">
                        <c:v>1.0995395742353458</c:v>
                      </c:pt>
                      <c:pt idx="77">
                        <c:v>1.1135160618490469</c:v>
                      </c:pt>
                      <c:pt idx="78">
                        <c:v>1.1277037822038256</c:v>
                      </c:pt>
                      <c:pt idx="79">
                        <c:v>1.1421040092550681</c:v>
                      </c:pt>
                      <c:pt idx="80">
                        <c:v>1.1567180403181148</c:v>
                      </c:pt>
                      <c:pt idx="81">
                        <c:v>1.1715471963778761</c:v>
                      </c:pt>
                      <c:pt idx="82">
                        <c:v>1.1865928224054787</c:v>
                      </c:pt>
                      <c:pt idx="83">
                        <c:v>1.2018562876820895</c:v>
                      </c:pt>
                      <c:pt idx="84">
                        <c:v>1.2173389861300468</c:v>
                      </c:pt>
                      <c:pt idx="85">
                        <c:v>1.2330423366514949</c:v>
                      </c:pt>
                      <c:pt idx="86">
                        <c:v>1.2489677834746504</c:v>
                      </c:pt>
                      <c:pt idx="87">
                        <c:v>1.2651167965078729</c:v>
                      </c:pt>
                      <c:pt idx="88">
                        <c:v>1.2814908717017168</c:v>
                      </c:pt>
                      <c:pt idx="89">
                        <c:v>1.2980915314191397</c:v>
                      </c:pt>
                      <c:pt idx="90">
                        <c:v>1.3149203248140346</c:v>
                      </c:pt>
                      <c:pt idx="91">
                        <c:v>1.331978828218281</c:v>
                      </c:pt>
                      <c:pt idx="92">
                        <c:v>1.3492686455375122</c:v>
                      </c:pt>
                      <c:pt idx="93">
                        <c:v>1.3667914086557662</c:v>
                      </c:pt>
                      <c:pt idx="94">
                        <c:v>1.384548777849256</c:v>
                      </c:pt>
                      <c:pt idx="95">
                        <c:v>1.4025424422094392</c:v>
                      </c:pt>
                      <c:pt idx="96">
                        <c:v>1.4207741200756181</c:v>
                      </c:pt>
                      <c:pt idx="97">
                        <c:v>1.4392455594772695</c:v>
                      </c:pt>
                      <c:pt idx="98">
                        <c:v>1.4579585385863476</c:v>
                      </c:pt>
                      <c:pt idx="99">
                        <c:v>1.4769148661797844</c:v>
                      </c:pt>
                      <c:pt idx="100">
                        <c:v>1.4961163821124126</c:v>
                      </c:pt>
                    </c:numCache>
                  </c:numRef>
                </c:val>
                <c:smooth val="0"/>
                <c:extLst xmlns:c15="http://schemas.microsoft.com/office/drawing/2012/chart">
                  <c:ext xmlns:c16="http://schemas.microsoft.com/office/drawing/2014/chart" uri="{C3380CC4-5D6E-409C-BE32-E72D297353CC}">
                    <c16:uniqueId val="{0000000A-3B6C-4BEA-AB8D-9A7C0517EAA2}"/>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4.3947230618573384E-2</c:v>
                      </c:pt>
                      <c:pt idx="1">
                        <c:v>5.0543770858579244E-2</c:v>
                      </c:pt>
                      <c:pt idx="2">
                        <c:v>5.4556697502999185E-2</c:v>
                      </c:pt>
                      <c:pt idx="3">
                        <c:v>5.8692576134737842E-2</c:v>
                      </c:pt>
                      <c:pt idx="4">
                        <c:v>6.29517128059702E-2</c:v>
                      </c:pt>
                      <c:pt idx="5">
                        <c:v>6.7334435182355573E-2</c:v>
                      </c:pt>
                      <c:pt idx="6">
                        <c:v>7.1841092649326865E-2</c:v>
                      </c:pt>
                      <c:pt idx="7">
                        <c:v>7.6472056427928758E-2</c:v>
                      </c:pt>
                      <c:pt idx="8">
                        <c:v>8.1227719700284029E-2</c:v>
                      </c:pt>
                      <c:pt idx="9">
                        <c:v>8.6108497744776136E-2</c:v>
                      </c:pt>
                      <c:pt idx="10">
                        <c:v>9.1114828081042862E-2</c:v>
                      </c:pt>
                      <c:pt idx="11">
                        <c:v>9.6247170624885206E-2</c:v>
                      </c:pt>
                      <c:pt idx="12">
                        <c:v>0.10150600785320302</c:v>
                      </c:pt>
                      <c:pt idx="13">
                        <c:v>0.10689184497907815</c:v>
                      </c:pt>
                      <c:pt idx="14">
                        <c:v>0.1124052101371335</c:v>
                      </c:pt>
                      <c:pt idx="15">
                        <c:v>0.11901589350361692</c:v>
                      </c:pt>
                      <c:pt idx="16">
                        <c:v>0.1276832618637741</c:v>
                      </c:pt>
                      <c:pt idx="17">
                        <c:v>0.13648270187561654</c:v>
                      </c:pt>
                      <c:pt idx="18">
                        <c:v>0.14541509353253104</c:v>
                      </c:pt>
                      <c:pt idx="19">
                        <c:v>0.15448134188793988</c:v>
                      </c:pt>
                      <c:pt idx="20">
                        <c:v>0.16368237738397232</c:v>
                      </c:pt>
                      <c:pt idx="21">
                        <c:v>0.17301915619231273</c:v>
                      </c:pt>
                      <c:pt idx="22">
                        <c:v>0.18249266056748209</c:v>
                      </c:pt>
                      <c:pt idx="23">
                        <c:v>0.19210389921281895</c:v>
                      </c:pt>
                      <c:pt idx="24">
                        <c:v>0.20185390765943911</c:v>
                      </c:pt>
                      <c:pt idx="25">
                        <c:v>0.2117437486584639</c:v>
                      </c:pt>
                      <c:pt idx="26">
                        <c:v>0.22177451258682135</c:v>
                      </c:pt>
                      <c:pt idx="27">
                        <c:v>0.23194731786693504</c:v>
                      </c:pt>
                      <c:pt idx="28">
                        <c:v>0.24226331140063032</c:v>
                      </c:pt>
                      <c:pt idx="29">
                        <c:v>0.25272366901760079</c:v>
                      </c:pt>
                      <c:pt idx="30">
                        <c:v>0.26332959593879091</c:v>
                      </c:pt>
                      <c:pt idx="31">
                        <c:v>0.27408232725506776</c:v>
                      </c:pt>
                      <c:pt idx="32">
                        <c:v>0.28498312842156714</c:v>
                      </c:pt>
                      <c:pt idx="33">
                        <c:v>0.29603329576811688</c:v>
                      </c:pt>
                      <c:pt idx="34">
                        <c:v>0.30723415702615514</c:v>
                      </c:pt>
                      <c:pt idx="35">
                        <c:v>0.31858707187257906</c:v>
                      </c:pt>
                      <c:pt idx="36">
                        <c:v>0.33009343249097661</c:v>
                      </c:pt>
                      <c:pt idx="37">
                        <c:v>0.34175466415071043</c:v>
                      </c:pt>
                      <c:pt idx="38">
                        <c:v>0.35357222580434505</c:v>
                      </c:pt>
                      <c:pt idx="39">
                        <c:v>0.36554761070392289</c:v>
                      </c:pt>
                      <c:pt idx="40">
                        <c:v>0.3776823470366199</c:v>
                      </c:pt>
                      <c:pt idx="41">
                        <c:v>0.38997799858032867</c:v>
                      </c:pt>
                      <c:pt idx="42">
                        <c:v>0.4024361653797412</c:v>
                      </c:pt>
                      <c:pt idx="43">
                        <c:v>0.41505848444352167</c:v>
                      </c:pt>
                      <c:pt idx="44">
                        <c:v>0.42784663046318949</c:v>
                      </c:pt>
                      <c:pt idx="45">
                        <c:v>0.44080231655435126</c:v>
                      </c:pt>
                      <c:pt idx="46">
                        <c:v>0.45392729502094858</c:v>
                      </c:pt>
                      <c:pt idx="47">
                        <c:v>0.46722335814321281</c:v>
                      </c:pt>
                      <c:pt idx="48">
                        <c:v>0.48069233899004793</c:v>
                      </c:pt>
                      <c:pt idx="49">
                        <c:v>0.4943361122565893</c:v>
                      </c:pt>
                      <c:pt idx="50">
                        <c:v>0.50815659512771438</c:v>
                      </c:pt>
                      <c:pt idx="51">
                        <c:v>0.52215574816831611</c:v>
                      </c:pt>
                      <c:pt idx="52">
                        <c:v>0.53633557624117656</c:v>
                      </c:pt>
                      <c:pt idx="53">
                        <c:v>0.55069812945331775</c:v>
                      </c:pt>
                      <c:pt idx="54">
                        <c:v>0.56524550413173569</c:v>
                      </c:pt>
                      <c:pt idx="55">
                        <c:v>0.57997984382946288</c:v>
                      </c:pt>
                      <c:pt idx="56">
                        <c:v>0.59490334036294523</c:v>
                      </c:pt>
                      <c:pt idx="57">
                        <c:v>0.61001823488174867</c:v>
                      </c:pt>
                      <c:pt idx="58">
                        <c:v>0.62532681897166709</c:v>
                      </c:pt>
                      <c:pt idx="59">
                        <c:v>0.64083143579233193</c:v>
                      </c:pt>
                      <c:pt idx="60">
                        <c:v>0.65653448125047531</c:v>
                      </c:pt>
                      <c:pt idx="61">
                        <c:v>0.6724384052100485</c:v>
                      </c:pt>
                      <c:pt idx="62">
                        <c:v>0.68854571274043674</c:v>
                      </c:pt>
                      <c:pt idx="63">
                        <c:v>0.70485896540407278</c:v>
                      </c:pt>
                      <c:pt idx="64">
                        <c:v>0.72138078258479865</c:v>
                      </c:pt>
                      <c:pt idx="65">
                        <c:v>0.73811384285838089</c:v>
                      </c:pt>
                      <c:pt idx="66">
                        <c:v>0.75506088540664751</c:v>
                      </c:pt>
                      <c:pt idx="67">
                        <c:v>0.77222471147677174</c:v>
                      </c:pt>
                      <c:pt idx="68">
                        <c:v>0.78960818588728965</c:v>
                      </c:pt>
                      <c:pt idx="69">
                        <c:v>0.80721423858251251</c:v>
                      </c:pt>
                      <c:pt idx="70">
                        <c:v>0.82504586623705789</c:v>
                      </c:pt>
                      <c:pt idx="71">
                        <c:v>0.84310613391229527</c:v>
                      </c:pt>
                      <c:pt idx="72">
                        <c:v>0.86139817676659314</c:v>
                      </c:pt>
                      <c:pt idx="73">
                        <c:v>0.87992520182130607</c:v>
                      </c:pt>
                      <c:pt idx="74">
                        <c:v>0.89869048978456001</c:v>
                      </c:pt>
                      <c:pt idx="75">
                        <c:v>0.91769739693494812</c:v>
                      </c:pt>
                      <c:pt idx="76">
                        <c:v>0.93694935706736526</c:v>
                      </c:pt>
                      <c:pt idx="77">
                        <c:v>0.95644988350329674</c:v>
                      </c:pt>
                      <c:pt idx="78">
                        <c:v>0.97620257116797404</c:v>
                      </c:pt>
                      <c:pt idx="79">
                        <c:v>0.99621109873692659</c:v>
                      </c:pt>
                      <c:pt idx="80">
                        <c:v>1.0164792308545605</c:v>
                      </c:pt>
                      <c:pt idx="81">
                        <c:v>1.0370108204275206</c:v>
                      </c:pt>
                      <c:pt idx="82">
                        <c:v>1.0578098109957046</c:v>
                      </c:pt>
                      <c:pt idx="83">
                        <c:v>1.0788802391839394</c:v>
                      </c:pt>
                      <c:pt idx="84">
                        <c:v>1.1002262372374529</c:v>
                      </c:pt>
                      <c:pt idx="85">
                        <c:v>1.1218520356444279</c:v>
                      </c:pt>
                      <c:pt idx="86">
                        <c:v>1.143761965849065</c:v>
                      </c:pt>
                      <c:pt idx="87">
                        <c:v>1.1659604630587406</c:v>
                      </c:pt>
                      <c:pt idx="88">
                        <c:v>1.1884520691490219</c:v>
                      </c:pt>
                      <c:pt idx="89">
                        <c:v>1.2112414356704539</c:v>
                      </c:pt>
                      <c:pt idx="90">
                        <c:v>1.2343333269612404</c:v>
                      </c:pt>
                      <c:pt idx="91">
                        <c:v>1.2577326233701065</c:v>
                      </c:pt>
                      <c:pt idx="92">
                        <c:v>1.2814443245938656</c:v>
                      </c:pt>
                      <c:pt idx="93">
                        <c:v>1.3054735531343928</c:v>
                      </c:pt>
                      <c:pt idx="94">
                        <c:v>1.3298255578799558</c:v>
                      </c:pt>
                      <c:pt idx="95">
                        <c:v>1.3545057178160829</c:v>
                      </c:pt>
                      <c:pt idx="96">
                        <c:v>1.3795195458713922</c:v>
                      </c:pt>
                      <c:pt idx="97">
                        <c:v>1.4048726929040871</c:v>
                      </c:pt>
                      <c:pt idx="98">
                        <c:v>1.4305709518350684</c:v>
                      </c:pt>
                      <c:pt idx="99">
                        <c:v>1.4566202619339461</c:v>
                      </c:pt>
                      <c:pt idx="100">
                        <c:v>1.4830267132645085</c:v>
                      </c:pt>
                    </c:numCache>
                  </c:numRef>
                </c:val>
                <c:smooth val="0"/>
                <c:extLst xmlns:c15="http://schemas.microsoft.com/office/drawing/2012/chart">
                  <c:ext xmlns:c16="http://schemas.microsoft.com/office/drawing/2014/chart" uri="{C3380CC4-5D6E-409C-BE32-E72D297353CC}">
                    <c16:uniqueId val="{0000000B-3B6C-4BEA-AB8D-9A7C0517EAA2}"/>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55971913241208271"/>
          <c:y val="9.4280543952338682E-3"/>
          <c:w val="0.29960091448123494"/>
          <c:h val="0.15650535365149595"/>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357120"/>
        <c:axId val="196359296"/>
        <c:extLst>
          <c:ext xmlns:c15="http://schemas.microsoft.com/office/drawing/2012/chart" uri="{02D57815-91ED-43cb-92C2-25804820EDAC}">
            <c15:filteredLineSeries>
              <c15:ser>
                <c:idx val="0"/>
                <c:order val="0"/>
                <c:tx>
                  <c:v>Efficiency</c:v>
                </c:tx>
                <c:spPr>
                  <a:ln w="28575">
                    <a:solidFill>
                      <a:srgbClr val="FF0000"/>
                    </a:solidFill>
                    <a:prstDash val="solid"/>
                  </a:ln>
                </c:spPr>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Calculations'!$BO$9:$BO$109</c15:sqref>
                        </c15:formulaRef>
                      </c:ext>
                    </c:extLst>
                    <c:numCache>
                      <c:formatCode>0.00</c:formatCode>
                      <c:ptCount val="101"/>
                      <c:pt idx="0">
                        <c:v>0</c:v>
                      </c:pt>
                      <c:pt idx="1">
                        <c:v>39.448163134226519</c:v>
                      </c:pt>
                      <c:pt idx="2">
                        <c:v>56.259382098437385</c:v>
                      </c:pt>
                      <c:pt idx="3">
                        <c:v>65.568350682646866</c:v>
                      </c:pt>
                      <c:pt idx="4">
                        <c:v>71.476812236597453</c:v>
                      </c:pt>
                      <c:pt idx="5">
                        <c:v>75.55733580381937</c:v>
                      </c:pt>
                      <c:pt idx="6">
                        <c:v>78.542339931254261</c:v>
                      </c:pt>
                      <c:pt idx="7">
                        <c:v>80.819050654560513</c:v>
                      </c:pt>
                      <c:pt idx="8">
                        <c:v>82.611429013221368</c:v>
                      </c:pt>
                      <c:pt idx="9">
                        <c:v>84.058011998037557</c:v>
                      </c:pt>
                      <c:pt idx="10">
                        <c:v>85.249095183073223</c:v>
                      </c:pt>
                      <c:pt idx="11">
                        <c:v>86.246049240461488</c:v>
                      </c:pt>
                      <c:pt idx="12">
                        <c:v>87.092043118907839</c:v>
                      </c:pt>
                      <c:pt idx="13">
                        <c:v>87.818326090264634</c:v>
                      </c:pt>
                      <c:pt idx="14">
                        <c:v>88.448076008719127</c:v>
                      </c:pt>
                      <c:pt idx="15">
                        <c:v>88.993004916253241</c:v>
                      </c:pt>
                      <c:pt idx="16">
                        <c:v>89.462093801013481</c:v>
                      </c:pt>
                      <c:pt idx="17">
                        <c:v>89.87795752959785</c:v>
                      </c:pt>
                      <c:pt idx="18">
                        <c:v>90.248800390803424</c:v>
                      </c:pt>
                      <c:pt idx="19">
                        <c:v>90.58122045277068</c:v>
                      </c:pt>
                      <c:pt idx="20">
                        <c:v>90.880584231613042</c:v>
                      </c:pt>
                      <c:pt idx="21">
                        <c:v>91.151301158914137</c:v>
                      </c:pt>
                      <c:pt idx="22">
                        <c:v>91.397027777996158</c:v>
                      </c:pt>
                      <c:pt idx="23">
                        <c:v>91.620821799843654</c:v>
                      </c:pt>
                      <c:pt idx="24">
                        <c:v>91.825259817860157</c:v>
                      </c:pt>
                      <c:pt idx="25">
                        <c:v>92.012528304606292</c:v>
                      </c:pt>
                      <c:pt idx="26">
                        <c:v>92.184494707575112</c:v>
                      </c:pt>
                      <c:pt idx="27">
                        <c:v>92.342763543128541</c:v>
                      </c:pt>
                      <c:pt idx="28">
                        <c:v>92.488721056209329</c:v>
                      </c:pt>
                      <c:pt idx="29">
                        <c:v>92.623571075677575</c:v>
                      </c:pt>
                      <c:pt idx="30">
                        <c:v>92.748364025841838</c:v>
                      </c:pt>
                      <c:pt idx="31">
                        <c:v>92.864020571185762</c:v>
                      </c:pt>
                      <c:pt idx="32">
                        <c:v>92.97135101788966</c:v>
                      </c:pt>
                      <c:pt idx="33">
                        <c:v>93.071071334709075</c:v>
                      </c:pt>
                      <c:pt idx="34">
                        <c:v>93.163816461036333</c:v>
                      </c:pt>
                      <c:pt idx="35">
                        <c:v>93.250151423336717</c:v>
                      </c:pt>
                      <c:pt idx="36">
                        <c:v>93.330580669770498</c:v>
                      </c:pt>
                      <c:pt idx="37">
                        <c:v>93.405555947512113</c:v>
                      </c:pt>
                      <c:pt idx="38">
                        <c:v>93.475482981446021</c:v>
                      </c:pt>
                      <c:pt idx="39">
                        <c:v>93.540727161739071</c:v>
                      </c:pt>
                      <c:pt idx="40">
                        <c:v>93.601618407726278</c:v>
                      </c:pt>
                      <c:pt idx="41">
                        <c:v>93.658455343981615</c:v>
                      </c:pt>
                      <c:pt idx="42">
                        <c:v>93.711508899419215</c:v>
                      </c:pt>
                      <c:pt idx="43">
                        <c:v>93.761025420314837</c:v>
                      </c:pt>
                      <c:pt idx="44">
                        <c:v>93.807229372132895</c:v>
                      </c:pt>
                      <c:pt idx="45">
                        <c:v>93.850325692143585</c:v>
                      </c:pt>
                      <c:pt idx="46">
                        <c:v>93.890501844360074</c:v>
                      </c:pt>
                      <c:pt idx="47">
                        <c:v>93.927929619814947</c:v>
                      </c:pt>
                      <c:pt idx="48">
                        <c:v>93.962766718232771</c:v>
                      </c:pt>
                      <c:pt idx="49">
                        <c:v>93.995158141436747</c:v>
                      </c:pt>
                      <c:pt idx="50">
                        <c:v>94.025237424108113</c:v>
                      </c:pt>
                      <c:pt idx="51">
                        <c:v>94.05312772360854</c:v>
                      </c:pt>
                      <c:pt idx="52">
                        <c:v>94.078942787325389</c:v>
                      </c:pt>
                      <c:pt idx="53">
                        <c:v>94.102787813286199</c:v>
                      </c:pt>
                      <c:pt idx="54">
                        <c:v>94.124760217516894</c:v>
                      </c:pt>
                      <c:pt idx="55">
                        <c:v>94.144950319707405</c:v>
                      </c:pt>
                      <c:pt idx="56">
                        <c:v>94.163441957137849</c:v>
                      </c:pt>
                      <c:pt idx="57">
                        <c:v>94.180313035455683</c:v>
                      </c:pt>
                      <c:pt idx="58">
                        <c:v>94.195636023737976</c:v>
                      </c:pt>
                      <c:pt idx="59">
                        <c:v>94.209478400288148</c:v>
                      </c:pt>
                      <c:pt idx="60">
                        <c:v>94.221903054777357</c:v>
                      </c:pt>
                      <c:pt idx="61">
                        <c:v>94.232968651621178</c:v>
                      </c:pt>
                      <c:pt idx="62">
                        <c:v>94.242729958865397</c:v>
                      </c:pt>
                      <c:pt idx="63">
                        <c:v>94.251238146324056</c:v>
                      </c:pt>
                      <c:pt idx="64">
                        <c:v>94.258541056255424</c:v>
                      </c:pt>
                      <c:pt idx="65">
                        <c:v>94.264683449464727</c:v>
                      </c:pt>
                      <c:pt idx="66">
                        <c:v>94.269707229381012</c:v>
                      </c:pt>
                      <c:pt idx="67">
                        <c:v>94.273651646356413</c:v>
                      </c:pt>
                      <c:pt idx="68">
                        <c:v>94.276553484177498</c:v>
                      </c:pt>
                      <c:pt idx="69">
                        <c:v>94.278447230552032</c:v>
                      </c:pt>
                      <c:pt idx="70">
                        <c:v>94.27936523313673</c:v>
                      </c:pt>
                      <c:pt idx="71">
                        <c:v>94.279337842498848</c:v>
                      </c:pt>
                      <c:pt idx="72">
                        <c:v>94.278393543252037</c:v>
                      </c:pt>
                      <c:pt idx="73">
                        <c:v>94.276559074473766</c:v>
                      </c:pt>
                      <c:pt idx="74">
                        <c:v>94.273859540393801</c:v>
                      </c:pt>
                      <c:pt idx="75">
                        <c:v>94.270318512239641</c:v>
                      </c:pt>
                      <c:pt idx="76">
                        <c:v>94.265958122032629</c:v>
                      </c:pt>
                      <c:pt idx="77">
                        <c:v>94.260799149047898</c:v>
                      </c:pt>
                      <c:pt idx="78">
                        <c:v>94.254861099578903</c:v>
                      </c:pt>
                      <c:pt idx="79">
                        <c:v>94.248162280583131</c:v>
                      </c:pt>
                      <c:pt idx="80">
                        <c:v>94.240719867729268</c:v>
                      </c:pt>
                      <c:pt idx="81">
                        <c:v>94.232549968314743</c:v>
                      </c:pt>
                      <c:pt idx="82">
                        <c:v>94.223667679477913</c:v>
                      </c:pt>
                      <c:pt idx="83">
                        <c:v>94.214087142088161</c:v>
                      </c:pt>
                      <c:pt idx="84">
                        <c:v>94.203821590661221</c:v>
                      </c:pt>
                      <c:pt idx="85">
                        <c:v>94.192883399615042</c:v>
                      </c:pt>
                      <c:pt idx="86">
                        <c:v>94.181284126151326</c:v>
                      </c:pt>
                      <c:pt idx="87">
                        <c:v>94.169034550023085</c:v>
                      </c:pt>
                      <c:pt idx="88">
                        <c:v>94.156144710423519</c:v>
                      </c:pt>
                      <c:pt idx="89">
                        <c:v>94.142623940211791</c:v>
                      </c:pt>
                      <c:pt idx="90">
                        <c:v>94.128480897670855</c:v>
                      </c:pt>
                      <c:pt idx="91">
                        <c:v>94.113723595976069</c:v>
                      </c:pt>
                      <c:pt idx="92">
                        <c:v>94.098359430537258</c:v>
                      </c:pt>
                      <c:pt idx="93">
                        <c:v>94.082395204362598</c:v>
                      </c:pt>
                      <c:pt idx="94">
                        <c:v>94.065837151580439</c:v>
                      </c:pt>
                      <c:pt idx="95">
                        <c:v>94.048690959242734</c:v>
                      </c:pt>
                      <c:pt idx="96">
                        <c:v>94.030961787523538</c:v>
                      </c:pt>
                      <c:pt idx="97">
                        <c:v>94.012654288416613</c:v>
                      </c:pt>
                      <c:pt idx="98">
                        <c:v>93.993772623026459</c:v>
                      </c:pt>
                      <c:pt idx="99">
                        <c:v>93.974320477540303</c:v>
                      </c:pt>
                      <c:pt idx="100">
                        <c:v>93.954301077959883</c:v>
                      </c:pt>
                    </c:numCache>
                  </c:numRef>
                </c:val>
                <c:smooth val="0"/>
                <c:extLst>
                  <c:ext xmlns:c16="http://schemas.microsoft.com/office/drawing/2014/chart" uri="{C3380CC4-5D6E-409C-BE32-E72D297353CC}">
                    <c16:uniqueId val="{00000003-52A5-4349-9ADA-2A074F0D0C46}"/>
                  </c:ext>
                </c:extLst>
              </c15:ser>
            </c15:filteredLineSeries>
          </c:ext>
        </c:extLst>
      </c:lineChart>
      <c:lineChart>
        <c:grouping val="standard"/>
        <c:varyColors val="0"/>
        <c:ser>
          <c:idx val="12"/>
          <c:order val="1"/>
          <c:tx>
            <c:strRef>
              <c:f>'Efficiency vs Load Calculations'!$Y$8</c:f>
              <c:strCache>
                <c:ptCount val="1"/>
                <c:pt idx="0">
                  <c:v>Core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Calculations'!$Y$9:$Y$109</c:f>
              <c:numCache>
                <c:formatCode>0.000</c:formatCode>
                <c:ptCount val="101"/>
                <c:pt idx="0">
                  <c:v>0.58200340578744814</c:v>
                </c:pt>
                <c:pt idx="1">
                  <c:v>0.58212413292576148</c:v>
                </c:pt>
                <c:pt idx="2">
                  <c:v>0.58224487116657753</c:v>
                </c:pt>
                <c:pt idx="3">
                  <c:v>0.58236562050931873</c:v>
                </c:pt>
                <c:pt idx="4">
                  <c:v>0.58248638095341243</c:v>
                </c:pt>
                <c:pt idx="5">
                  <c:v>0.58260715249827966</c:v>
                </c:pt>
                <c:pt idx="6">
                  <c:v>0.58272793514334553</c:v>
                </c:pt>
                <c:pt idx="7">
                  <c:v>0.58284872888803263</c:v>
                </c:pt>
                <c:pt idx="8">
                  <c:v>0.58296953373176708</c:v>
                </c:pt>
                <c:pt idx="9">
                  <c:v>0.58309034967397111</c:v>
                </c:pt>
                <c:pt idx="10">
                  <c:v>0.58321117671406941</c:v>
                </c:pt>
                <c:pt idx="11">
                  <c:v>0.58333201485148611</c:v>
                </c:pt>
                <c:pt idx="12">
                  <c:v>0.58345286408564423</c:v>
                </c:pt>
                <c:pt idx="13">
                  <c:v>0.58357372441596911</c:v>
                </c:pt>
                <c:pt idx="14">
                  <c:v>0.58369459584188221</c:v>
                </c:pt>
                <c:pt idx="15">
                  <c:v>0.58381547836281056</c:v>
                </c:pt>
                <c:pt idx="16">
                  <c:v>0.58393637197817461</c:v>
                </c:pt>
                <c:pt idx="17">
                  <c:v>0.58405727668740082</c:v>
                </c:pt>
                <c:pt idx="18">
                  <c:v>0.58417819248991332</c:v>
                </c:pt>
                <c:pt idx="19">
                  <c:v>0.58429911938513435</c:v>
                </c:pt>
                <c:pt idx="20">
                  <c:v>0.58442005737248781</c:v>
                </c:pt>
                <c:pt idx="21">
                  <c:v>0.58454100645139873</c:v>
                </c:pt>
                <c:pt idx="22">
                  <c:v>0.58466196662128955</c:v>
                </c:pt>
                <c:pt idx="23">
                  <c:v>0.58478293788158497</c:v>
                </c:pt>
                <c:pt idx="24">
                  <c:v>0.58490392023171045</c:v>
                </c:pt>
                <c:pt idx="25">
                  <c:v>0.585024913671087</c:v>
                </c:pt>
                <c:pt idx="26">
                  <c:v>0.58514591819913875</c:v>
                </c:pt>
                <c:pt idx="27">
                  <c:v>0.58526693381529082</c:v>
                </c:pt>
                <c:pt idx="28">
                  <c:v>0.58538796051896602</c:v>
                </c:pt>
                <c:pt idx="29">
                  <c:v>0.58550899830958991</c:v>
                </c:pt>
                <c:pt idx="30">
                  <c:v>0.58563004718658374</c:v>
                </c:pt>
                <c:pt idx="31">
                  <c:v>0.58575110714937328</c:v>
                </c:pt>
                <c:pt idx="32">
                  <c:v>0.58587217819738058</c:v>
                </c:pt>
                <c:pt idx="33">
                  <c:v>0.58599326033003163</c:v>
                </c:pt>
                <c:pt idx="34">
                  <c:v>0.58611435354674823</c:v>
                </c:pt>
                <c:pt idx="35">
                  <c:v>0.5862354578469543</c:v>
                </c:pt>
                <c:pt idx="36">
                  <c:v>0.58635657323007562</c:v>
                </c:pt>
                <c:pt idx="37">
                  <c:v>0.58647769969553298</c:v>
                </c:pt>
                <c:pt idx="38">
                  <c:v>0.58659883724275241</c:v>
                </c:pt>
                <c:pt idx="39">
                  <c:v>0.5867199858711567</c:v>
                </c:pt>
                <c:pt idx="40">
                  <c:v>0.58684114558016964</c:v>
                </c:pt>
                <c:pt idx="41">
                  <c:v>0.58696231636921337</c:v>
                </c:pt>
                <c:pt idx="42">
                  <c:v>0.58708349823771555</c:v>
                </c:pt>
                <c:pt idx="43">
                  <c:v>0.58720469118509655</c:v>
                </c:pt>
                <c:pt idx="44">
                  <c:v>0.58732589521078082</c:v>
                </c:pt>
                <c:pt idx="45">
                  <c:v>0.58744711031419261</c:v>
                </c:pt>
                <c:pt idx="46">
                  <c:v>0.58756833649475482</c:v>
                </c:pt>
                <c:pt idx="47">
                  <c:v>0.58768957375189257</c:v>
                </c:pt>
                <c:pt idx="48">
                  <c:v>0.58781082208502744</c:v>
                </c:pt>
                <c:pt idx="49">
                  <c:v>0.587932081493585</c:v>
                </c:pt>
                <c:pt idx="50">
                  <c:v>0.58805335197698794</c:v>
                </c:pt>
                <c:pt idx="51">
                  <c:v>0.58817463353466126</c:v>
                </c:pt>
                <c:pt idx="52">
                  <c:v>0.58829592616602622</c:v>
                </c:pt>
                <c:pt idx="53">
                  <c:v>0.5884172298705066</c:v>
                </c:pt>
                <c:pt idx="54">
                  <c:v>0.58853854464752853</c:v>
                </c:pt>
                <c:pt idx="55">
                  <c:v>0.58865987049651336</c:v>
                </c:pt>
                <c:pt idx="56">
                  <c:v>0.58878120741688666</c:v>
                </c:pt>
                <c:pt idx="57">
                  <c:v>0.58890255540806991</c:v>
                </c:pt>
                <c:pt idx="58">
                  <c:v>0.58902391446948799</c:v>
                </c:pt>
                <c:pt idx="59">
                  <c:v>0.58914528460056426</c:v>
                </c:pt>
                <c:pt idx="60">
                  <c:v>0.58926666580072229</c:v>
                </c:pt>
                <c:pt idx="61">
                  <c:v>0.58938805806938588</c:v>
                </c:pt>
                <c:pt idx="62">
                  <c:v>0.5895094614059786</c:v>
                </c:pt>
                <c:pt idx="63">
                  <c:v>0.58963087580992357</c:v>
                </c:pt>
                <c:pt idx="64">
                  <c:v>0.58975230128064449</c:v>
                </c:pt>
                <c:pt idx="65">
                  <c:v>0.58987373781756491</c:v>
                </c:pt>
                <c:pt idx="66">
                  <c:v>0.58999518542010898</c:v>
                </c:pt>
                <c:pt idx="67">
                  <c:v>0.59011664408769926</c:v>
                </c:pt>
                <c:pt idx="68">
                  <c:v>0.59023811381976055</c:v>
                </c:pt>
                <c:pt idx="69">
                  <c:v>0.59035959461571397</c:v>
                </c:pt>
                <c:pt idx="70">
                  <c:v>0.59048108647498709</c:v>
                </c:pt>
                <c:pt idx="71">
                  <c:v>0.5906025893969995</c:v>
                </c:pt>
                <c:pt idx="72">
                  <c:v>0.59072410338117753</c:v>
                </c:pt>
                <c:pt idx="73">
                  <c:v>0.59084562842694166</c:v>
                </c:pt>
                <c:pt idx="74">
                  <c:v>0.59096716453371767</c:v>
                </c:pt>
                <c:pt idx="75">
                  <c:v>0.59108871170093003</c:v>
                </c:pt>
                <c:pt idx="76">
                  <c:v>0.59121026992799974</c:v>
                </c:pt>
                <c:pt idx="77">
                  <c:v>0.59133183921435084</c:v>
                </c:pt>
                <c:pt idx="78">
                  <c:v>0.59145341955940844</c:v>
                </c:pt>
                <c:pt idx="79">
                  <c:v>0.59157501096259424</c:v>
                </c:pt>
                <c:pt idx="80">
                  <c:v>0.59169661342333302</c:v>
                </c:pt>
                <c:pt idx="81">
                  <c:v>0.5918182269410468</c:v>
                </c:pt>
                <c:pt idx="82">
                  <c:v>0.59193985151515893</c:v>
                </c:pt>
                <c:pt idx="83">
                  <c:v>0.59206148714509577</c:v>
                </c:pt>
                <c:pt idx="84">
                  <c:v>0.5921831338302781</c:v>
                </c:pt>
                <c:pt idx="85">
                  <c:v>0.59230479157012939</c:v>
                </c:pt>
                <c:pt idx="86">
                  <c:v>0.59242646036407365</c:v>
                </c:pt>
                <c:pt idx="87">
                  <c:v>0.59254814021153501</c:v>
                </c:pt>
                <c:pt idx="88">
                  <c:v>0.59266983111193583</c:v>
                </c:pt>
                <c:pt idx="89">
                  <c:v>0.5927915330647</c:v>
                </c:pt>
                <c:pt idx="90">
                  <c:v>0.59291324606925166</c:v>
                </c:pt>
                <c:pt idx="91">
                  <c:v>0.5930349701250115</c:v>
                </c:pt>
                <c:pt idx="92">
                  <c:v>0.59315670523140585</c:v>
                </c:pt>
                <c:pt idx="93">
                  <c:v>0.59327845138785729</c:v>
                </c:pt>
                <c:pt idx="94">
                  <c:v>0.59340020859378906</c:v>
                </c:pt>
                <c:pt idx="95">
                  <c:v>0.59352197684862307</c:v>
                </c:pt>
                <c:pt idx="96">
                  <c:v>0.59364375615178533</c:v>
                </c:pt>
                <c:pt idx="97">
                  <c:v>0.59376554650269753</c:v>
                </c:pt>
                <c:pt idx="98">
                  <c:v>0.59388734790078312</c:v>
                </c:pt>
                <c:pt idx="99">
                  <c:v>0.59400916034546647</c:v>
                </c:pt>
                <c:pt idx="100">
                  <c:v>0.5941309838361688</c:v>
                </c:pt>
              </c:numCache>
            </c:numRef>
          </c:val>
          <c:smooth val="0"/>
          <c:extLst>
            <c:ext xmlns:c16="http://schemas.microsoft.com/office/drawing/2014/chart" uri="{C3380CC4-5D6E-409C-BE32-E72D297353CC}">
              <c16:uniqueId val="{00000000-52A5-4349-9ADA-2A074F0D0C46}"/>
            </c:ext>
          </c:extLst>
        </c:ser>
        <c:ser>
          <c:idx val="13"/>
          <c:order val="2"/>
          <c:tx>
            <c:strRef>
              <c:f>'Efficiency vs Load Calculations'!$BE$7</c:f>
              <c:strCache>
                <c:ptCount val="1"/>
                <c:pt idx="0">
                  <c:v>Controller IC Losses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Calculations'!$BG$9:$BG$109</c:f>
              <c:numCache>
                <c:formatCode>0.000</c:formatCode>
                <c:ptCount val="101"/>
                <c:pt idx="0">
                  <c:v>0.57269042016806726</c:v>
                </c:pt>
                <c:pt idx="1">
                  <c:v>0.57269042016806726</c:v>
                </c:pt>
                <c:pt idx="2">
                  <c:v>0.57269042016806726</c:v>
                </c:pt>
                <c:pt idx="3">
                  <c:v>0.57269042016806726</c:v>
                </c:pt>
                <c:pt idx="4">
                  <c:v>0.57269042016806726</c:v>
                </c:pt>
                <c:pt idx="5">
                  <c:v>0.57269042016806726</c:v>
                </c:pt>
                <c:pt idx="6">
                  <c:v>0.57269042016806726</c:v>
                </c:pt>
                <c:pt idx="7">
                  <c:v>0.57269042016806726</c:v>
                </c:pt>
                <c:pt idx="8">
                  <c:v>0.57269042016806726</c:v>
                </c:pt>
                <c:pt idx="9">
                  <c:v>0.57269042016806726</c:v>
                </c:pt>
                <c:pt idx="10">
                  <c:v>0.57269042016806726</c:v>
                </c:pt>
                <c:pt idx="11">
                  <c:v>0.57269042016806726</c:v>
                </c:pt>
                <c:pt idx="12">
                  <c:v>0.57269042016806726</c:v>
                </c:pt>
                <c:pt idx="13">
                  <c:v>0.57269042016806726</c:v>
                </c:pt>
                <c:pt idx="14">
                  <c:v>0.57269042016806726</c:v>
                </c:pt>
                <c:pt idx="15">
                  <c:v>0.57269042016806726</c:v>
                </c:pt>
                <c:pt idx="16">
                  <c:v>0.57269042016806726</c:v>
                </c:pt>
                <c:pt idx="17">
                  <c:v>0.57269042016806726</c:v>
                </c:pt>
                <c:pt idx="18">
                  <c:v>0.57269042016806726</c:v>
                </c:pt>
                <c:pt idx="19">
                  <c:v>0.57269042016806726</c:v>
                </c:pt>
                <c:pt idx="20">
                  <c:v>0.57269042016806726</c:v>
                </c:pt>
                <c:pt idx="21">
                  <c:v>0.57269042016806726</c:v>
                </c:pt>
                <c:pt idx="22">
                  <c:v>0.57269042016806726</c:v>
                </c:pt>
                <c:pt idx="23">
                  <c:v>0.57269042016806726</c:v>
                </c:pt>
                <c:pt idx="24">
                  <c:v>0.57269042016806726</c:v>
                </c:pt>
                <c:pt idx="25">
                  <c:v>0.57269042016806726</c:v>
                </c:pt>
                <c:pt idx="26">
                  <c:v>0.57269042016806726</c:v>
                </c:pt>
                <c:pt idx="27">
                  <c:v>0.57269042016806726</c:v>
                </c:pt>
                <c:pt idx="28">
                  <c:v>0.57269042016806726</c:v>
                </c:pt>
                <c:pt idx="29">
                  <c:v>0.57269042016806726</c:v>
                </c:pt>
                <c:pt idx="30">
                  <c:v>0.57269042016806726</c:v>
                </c:pt>
                <c:pt idx="31">
                  <c:v>0.57269042016806726</c:v>
                </c:pt>
                <c:pt idx="32">
                  <c:v>0.57269042016806726</c:v>
                </c:pt>
                <c:pt idx="33">
                  <c:v>0.57269042016806726</c:v>
                </c:pt>
                <c:pt idx="34">
                  <c:v>0.57269042016806726</c:v>
                </c:pt>
                <c:pt idx="35">
                  <c:v>0.57269042016806726</c:v>
                </c:pt>
                <c:pt idx="36">
                  <c:v>0.57269042016806726</c:v>
                </c:pt>
                <c:pt idx="37">
                  <c:v>0.57269042016806726</c:v>
                </c:pt>
                <c:pt idx="38">
                  <c:v>0.57269042016806726</c:v>
                </c:pt>
                <c:pt idx="39">
                  <c:v>0.57269042016806726</c:v>
                </c:pt>
                <c:pt idx="40">
                  <c:v>0.57269042016806726</c:v>
                </c:pt>
                <c:pt idx="41">
                  <c:v>0.57269042016806726</c:v>
                </c:pt>
                <c:pt idx="42">
                  <c:v>0.57269042016806726</c:v>
                </c:pt>
                <c:pt idx="43">
                  <c:v>0.57269042016806726</c:v>
                </c:pt>
                <c:pt idx="44">
                  <c:v>0.57269042016806726</c:v>
                </c:pt>
                <c:pt idx="45">
                  <c:v>0.57269042016806726</c:v>
                </c:pt>
                <c:pt idx="46">
                  <c:v>0.57269042016806726</c:v>
                </c:pt>
                <c:pt idx="47">
                  <c:v>0.57269042016806726</c:v>
                </c:pt>
                <c:pt idx="48">
                  <c:v>0.57269042016806726</c:v>
                </c:pt>
                <c:pt idx="49">
                  <c:v>0.57269042016806726</c:v>
                </c:pt>
                <c:pt idx="50">
                  <c:v>0.57269042016806726</c:v>
                </c:pt>
                <c:pt idx="51">
                  <c:v>0.57269042016806726</c:v>
                </c:pt>
                <c:pt idx="52">
                  <c:v>0.57269042016806726</c:v>
                </c:pt>
                <c:pt idx="53">
                  <c:v>0.57269042016806726</c:v>
                </c:pt>
                <c:pt idx="54">
                  <c:v>0.57269042016806726</c:v>
                </c:pt>
                <c:pt idx="55">
                  <c:v>0.57269042016806726</c:v>
                </c:pt>
                <c:pt idx="56">
                  <c:v>0.57269042016806726</c:v>
                </c:pt>
                <c:pt idx="57">
                  <c:v>0.57269042016806726</c:v>
                </c:pt>
                <c:pt idx="58">
                  <c:v>0.57269042016806726</c:v>
                </c:pt>
                <c:pt idx="59">
                  <c:v>0.57269042016806726</c:v>
                </c:pt>
                <c:pt idx="60">
                  <c:v>0.57269042016806726</c:v>
                </c:pt>
                <c:pt idx="61">
                  <c:v>0.57269042016806726</c:v>
                </c:pt>
                <c:pt idx="62">
                  <c:v>0.57269042016806726</c:v>
                </c:pt>
                <c:pt idx="63">
                  <c:v>0.57269042016806726</c:v>
                </c:pt>
                <c:pt idx="64">
                  <c:v>0.57269042016806726</c:v>
                </c:pt>
                <c:pt idx="65">
                  <c:v>0.57269042016806726</c:v>
                </c:pt>
                <c:pt idx="66">
                  <c:v>0.57269042016806726</c:v>
                </c:pt>
                <c:pt idx="67">
                  <c:v>0.57269042016806726</c:v>
                </c:pt>
                <c:pt idx="68">
                  <c:v>0.57269042016806726</c:v>
                </c:pt>
                <c:pt idx="69">
                  <c:v>0.57269042016806726</c:v>
                </c:pt>
                <c:pt idx="70">
                  <c:v>0.57269042016806726</c:v>
                </c:pt>
                <c:pt idx="71">
                  <c:v>0.57269042016806726</c:v>
                </c:pt>
                <c:pt idx="72">
                  <c:v>0.57269042016806726</c:v>
                </c:pt>
                <c:pt idx="73">
                  <c:v>0.57269042016806726</c:v>
                </c:pt>
                <c:pt idx="74">
                  <c:v>0.57269042016806726</c:v>
                </c:pt>
                <c:pt idx="75">
                  <c:v>0.57269042016806726</c:v>
                </c:pt>
                <c:pt idx="76">
                  <c:v>0.57269042016806726</c:v>
                </c:pt>
                <c:pt idx="77">
                  <c:v>0.57269042016806726</c:v>
                </c:pt>
                <c:pt idx="78">
                  <c:v>0.57269042016806726</c:v>
                </c:pt>
                <c:pt idx="79">
                  <c:v>0.57269042016806726</c:v>
                </c:pt>
                <c:pt idx="80">
                  <c:v>0.57269042016806726</c:v>
                </c:pt>
                <c:pt idx="81">
                  <c:v>0.57269042016806726</c:v>
                </c:pt>
                <c:pt idx="82">
                  <c:v>0.57269042016806726</c:v>
                </c:pt>
                <c:pt idx="83">
                  <c:v>0.57269042016806726</c:v>
                </c:pt>
                <c:pt idx="84">
                  <c:v>0.57269042016806726</c:v>
                </c:pt>
                <c:pt idx="85">
                  <c:v>0.57269042016806726</c:v>
                </c:pt>
                <c:pt idx="86">
                  <c:v>0.57269042016806726</c:v>
                </c:pt>
                <c:pt idx="87">
                  <c:v>0.57269042016806726</c:v>
                </c:pt>
                <c:pt idx="88">
                  <c:v>0.57269042016806726</c:v>
                </c:pt>
                <c:pt idx="89">
                  <c:v>0.57269042016806726</c:v>
                </c:pt>
                <c:pt idx="90">
                  <c:v>0.57269042016806726</c:v>
                </c:pt>
                <c:pt idx="91">
                  <c:v>0.57269042016806726</c:v>
                </c:pt>
                <c:pt idx="92">
                  <c:v>0.57269042016806726</c:v>
                </c:pt>
                <c:pt idx="93">
                  <c:v>0.57269042016806726</c:v>
                </c:pt>
                <c:pt idx="94">
                  <c:v>0.57269042016806726</c:v>
                </c:pt>
                <c:pt idx="95">
                  <c:v>0.57269042016806726</c:v>
                </c:pt>
                <c:pt idx="96">
                  <c:v>0.57269042016806726</c:v>
                </c:pt>
                <c:pt idx="97">
                  <c:v>0.57269042016806726</c:v>
                </c:pt>
                <c:pt idx="98">
                  <c:v>0.57269042016806726</c:v>
                </c:pt>
                <c:pt idx="99">
                  <c:v>0.57269042016806726</c:v>
                </c:pt>
                <c:pt idx="100">
                  <c:v>0.57269042016806726</c:v>
                </c:pt>
              </c:numCache>
            </c:numRef>
          </c:val>
          <c:smooth val="0"/>
          <c:extLst>
            <c:ext xmlns:c16="http://schemas.microsoft.com/office/drawing/2014/chart" uri="{C3380CC4-5D6E-409C-BE32-E72D297353CC}">
              <c16:uniqueId val="{00000001-52A5-4349-9ADA-2A074F0D0C46}"/>
            </c:ext>
          </c:extLst>
        </c:ser>
        <c:ser>
          <c:idx val="11"/>
          <c:order val="3"/>
          <c:tx>
            <c:strRef>
              <c:f>'Efficiency vs Load Calculations'!$X$8</c:f>
              <c:strCache>
                <c:ptCount val="1"/>
                <c:pt idx="0">
                  <c:v>DCR    Loss</c:v>
                </c:pt>
              </c:strCache>
            </c:strRef>
          </c:tx>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Calculations'!$X$9:$X$109</c:f>
              <c:numCache>
                <c:formatCode>0.000</c:formatCode>
                <c:ptCount val="101"/>
                <c:pt idx="0">
                  <c:v>5.9746249431231278E-3</c:v>
                </c:pt>
                <c:pt idx="1">
                  <c:v>6.0593016900097755E-3</c:v>
                </c:pt>
                <c:pt idx="2">
                  <c:v>6.3111861354329495E-3</c:v>
                </c:pt>
                <c:pt idx="3">
                  <c:v>6.7302984862996898E-3</c:v>
                </c:pt>
                <c:pt idx="4">
                  <c:v>7.3166723677390039E-3</c:v>
                </c:pt>
                <c:pt idx="5">
                  <c:v>8.0703548298467955E-3</c:v>
                </c:pt>
                <c:pt idx="6">
                  <c:v>8.9914063571252863E-3</c:v>
                </c:pt>
                <c:pt idx="7">
                  <c:v>1.0079900880620642E-2</c:v>
                </c:pt>
                <c:pt idx="8">
                  <c:v>1.1335925792763187E-2</c:v>
                </c:pt>
                <c:pt idx="9">
                  <c:v>1.2759581964915849E-2</c:v>
                </c:pt>
                <c:pt idx="10">
                  <c:v>1.4350983767637385E-2</c:v>
                </c:pt>
                <c:pt idx="11">
                  <c:v>1.6110259093668106E-2</c:v>
                </c:pt>
                <c:pt idx="12">
                  <c:v>1.8037549383646434E-2</c:v>
                </c:pt>
                <c:pt idx="13">
                  <c:v>2.0133009654566391E-2</c:v>
                </c:pt>
                <c:pt idx="14">
                  <c:v>2.2396808530986224E-2</c:v>
                </c:pt>
                <c:pt idx="15">
                  <c:v>2.482912827900045E-2</c:v>
                </c:pt>
                <c:pt idx="16">
                  <c:v>2.7430164842987496E-2</c:v>
                </c:pt>
                <c:pt idx="17">
                  <c:v>3.0200127885147428E-2</c:v>
                </c:pt>
                <c:pt idx="18">
                  <c:v>3.3139240827844169E-2</c:v>
                </c:pt>
                <c:pt idx="19">
                  <c:v>3.624774089876847E-2</c:v>
                </c:pt>
                <c:pt idx="20">
                  <c:v>3.952587917893878E-2</c:v>
                </c:pt>
                <c:pt idx="21">
                  <c:v>4.2973920653557797E-2</c:v>
                </c:pt>
                <c:pt idx="22">
                  <c:v>4.6592144265744567E-2</c:v>
                </c:pt>
                <c:pt idx="23">
                  <c:v>5.0380842973162095E-2</c:v>
                </c:pt>
                <c:pt idx="24">
                  <c:v>5.4340323807562124E-2</c:v>
                </c:pt>
                <c:pt idx="25">
                  <c:v>5.8470907937269744E-2</c:v>
                </c:pt>
                <c:pt idx="26">
                  <c:v>6.2772930732632001E-2</c:v>
                </c:pt>
                <c:pt idx="27">
                  <c:v>6.7246741834454948E-2</c:v>
                </c:pt>
                <c:pt idx="28">
                  <c:v>7.1892705225455544E-2</c:v>
                </c:pt>
                <c:pt idx="29">
                  <c:v>7.671119930475645E-2</c:v>
                </c:pt>
                <c:pt idx="30">
                  <c:v>8.1702616965451211E-2</c:v>
                </c:pt>
                <c:pt idx="31">
                  <c:v>8.6867365675270619E-2</c:v>
                </c:pt>
                <c:pt idx="32">
                  <c:v>9.2205867560381044E-2</c:v>
                </c:pt>
                <c:pt idx="33">
                  <c:v>9.7718559492347201E-2</c:v>
                </c:pt>
                <c:pt idx="34">
                  <c:v>0.1034058931782927</c:v>
                </c:pt>
                <c:pt idx="35">
                  <c:v>0.10926833525429439</c:v>
                </c:pt>
                <c:pt idx="36">
                  <c:v>0.11530636738204576</c:v>
                </c:pt>
                <c:pt idx="37">
                  <c:v>0.12152048634882746</c:v>
                </c:pt>
                <c:pt idx="38">
                  <c:v>0.12791120417082483</c:v>
                </c:pt>
                <c:pt idx="39">
                  <c:v>0.13447904819983181</c:v>
                </c:pt>
                <c:pt idx="40">
                  <c:v>0.14122456123338387</c:v>
                </c:pt>
                <c:pt idx="41">
                  <c:v>0.14814830162836326</c:v>
                </c:pt>
                <c:pt idx="42">
                  <c:v>0.15525084341812237</c:v>
                </c:pt>
                <c:pt idx="43">
                  <c:v>0.16253277643316894</c:v>
                </c:pt>
                <c:pt idx="44">
                  <c:v>0.16999470642546516</c:v>
                </c:pt>
                <c:pt idx="45">
                  <c:v>0.17763725519638685</c:v>
                </c:pt>
                <c:pt idx="46">
                  <c:v>0.18546106072839558</c:v>
                </c:pt>
                <c:pt idx="47">
                  <c:v>0.1934667773204764</c:v>
                </c:pt>
                <c:pt idx="48">
                  <c:v>0.20165507572739516</c:v>
                </c:pt>
                <c:pt idx="49">
                  <c:v>0.21002664330283247</c:v>
                </c:pt>
                <c:pt idx="50">
                  <c:v>0.21858218414645184</c:v>
                </c:pt>
                <c:pt idx="51">
                  <c:v>0.22732241925496194</c:v>
                </c:pt>
                <c:pt idx="52">
                  <c:v>0.23624808667723474</c:v>
                </c:pt>
                <c:pt idx="53">
                  <c:v>0.2453599416735425</c:v>
                </c:pt>
                <c:pt idx="54">
                  <c:v>0.25465875687898049</c:v>
                </c:pt>
                <c:pt idx="55">
                  <c:v>0.26414532247114064</c:v>
                </c:pt>
                <c:pt idx="56">
                  <c:v>0.27382044634210834</c:v>
                </c:pt>
                <c:pt idx="57">
                  <c:v>0.28368495427485041</c:v>
                </c:pt>
                <c:pt idx="58">
                  <c:v>0.29373969012407142</c:v>
                </c:pt>
                <c:pt idx="59">
                  <c:v>0.30398551600161211</c:v>
                </c:pt>
                <c:pt idx="60">
                  <c:v>0.31442331246646738</c:v>
                </c:pt>
                <c:pt idx="61">
                  <c:v>0.32505397871950537</c:v>
                </c:pt>
                <c:pt idx="62">
                  <c:v>0.33587843280297053</c:v>
                </c:pt>
                <c:pt idx="63">
                  <c:v>0.34689761180485285</c:v>
                </c:pt>
                <c:pt idx="64">
                  <c:v>0.3581124720682145</c:v>
                </c:pt>
                <c:pt idx="65">
                  <c:v>0.36952398940555986</c:v>
                </c:pt>
                <c:pt idx="66">
                  <c:v>0.38113315931834402</c:v>
                </c:pt>
                <c:pt idx="67">
                  <c:v>0.39294099722171438</c:v>
                </c:pt>
                <c:pt idx="68">
                  <c:v>0.40494853867458147</c:v>
                </c:pt>
                <c:pt idx="69">
                  <c:v>0.41715683961512129</c:v>
                </c:pt>
                <c:pt idx="70">
                  <c:v>0.4295669766018117</c:v>
                </c:pt>
                <c:pt idx="71">
                  <c:v>0.44218004706010766</c:v>
                </c:pt>
                <c:pt idx="72">
                  <c:v>0.45499716953486968</c:v>
                </c:pt>
                <c:pt idx="73">
                  <c:v>0.46801948394864901</c:v>
                </c:pt>
                <c:pt idx="74">
                  <c:v>0.48124815186595443</c:v>
                </c:pt>
                <c:pt idx="75">
                  <c:v>0.49468435676361266</c:v>
                </c:pt>
                <c:pt idx="76">
                  <c:v>0.50832930430734602</c:v>
                </c:pt>
                <c:pt idx="77">
                  <c:v>0.52218422263469622</c:v>
                </c:pt>
                <c:pt idx="78">
                  <c:v>0.53625036264441706</c:v>
                </c:pt>
                <c:pt idx="79">
                  <c:v>0.5505289982924737</c:v>
                </c:pt>
                <c:pt idx="80">
                  <c:v>0.56502142689478185</c:v>
                </c:pt>
                <c:pt idx="81">
                  <c:v>0.57972896943682917</c:v>
                </c:pt>
                <c:pt idx="82">
                  <c:v>0.59465297089031977</c:v>
                </c:pt>
                <c:pt idx="83">
                  <c:v>0.60979480053699375</c:v>
                </c:pt>
                <c:pt idx="84">
                  <c:v>0.62515585229976867</c:v>
                </c:pt>
                <c:pt idx="85">
                  <c:v>0.6407375450813656</c:v>
                </c:pt>
                <c:pt idx="86">
                  <c:v>0.65654132311057689</c:v>
                </c:pt>
                <c:pt idx="87">
                  <c:v>0.67256865629633777</c:v>
                </c:pt>
                <c:pt idx="88">
                  <c:v>0.688821040589781</c:v>
                </c:pt>
                <c:pt idx="89">
                  <c:v>0.70529999835443957</c:v>
                </c:pt>
                <c:pt idx="90">
                  <c:v>0.72200707874478287</c:v>
                </c:pt>
                <c:pt idx="91">
                  <c:v>0.73894385809326946</c:v>
                </c:pt>
                <c:pt idx="92">
                  <c:v>0.75611194030610629</c:v>
                </c:pt>
                <c:pt idx="93">
                  <c:v>0.77351295726790881</c:v>
                </c:pt>
                <c:pt idx="94">
                  <c:v>0.79114856925546695</c:v>
                </c:pt>
                <c:pt idx="95">
                  <c:v>0.80902046536081607</c:v>
                </c:pt>
                <c:pt idx="96">
                  <c:v>0.82713036392383266</c:v>
                </c:pt>
                <c:pt idx="97">
                  <c:v>0.84548001297457198</c:v>
                </c:pt>
                <c:pt idx="98">
                  <c:v>0.86407119068556448</c:v>
                </c:pt>
                <c:pt idx="99">
                  <c:v>0.88290570583431793</c:v>
                </c:pt>
                <c:pt idx="100">
                  <c:v>0.90198539827624369</c:v>
                </c:pt>
              </c:numCache>
            </c:numRef>
          </c:val>
          <c:smooth val="0"/>
          <c:extLst>
            <c:ext xmlns:c16="http://schemas.microsoft.com/office/drawing/2014/chart" uri="{C3380CC4-5D6E-409C-BE32-E72D297353CC}">
              <c16:uniqueId val="{00000002-52A5-4349-9ADA-2A074F0D0C46}"/>
            </c:ext>
          </c:extLst>
        </c:ser>
        <c:dLbls>
          <c:showLegendKey val="0"/>
          <c:showVal val="0"/>
          <c:showCatName val="0"/>
          <c:showSerName val="0"/>
          <c:showPercent val="0"/>
          <c:showBubbleSize val="0"/>
        </c:dLbls>
        <c:marker val="1"/>
        <c:smooth val="0"/>
        <c:axId val="196371584"/>
        <c:axId val="196361216"/>
        <c:extLst>
          <c:ext xmlns:c15="http://schemas.microsoft.com/office/drawing/2012/chart" uri="{02D57815-91ED-43cb-92C2-25804820EDAC}">
            <c15:filteredLineSeries>
              <c15:ser>
                <c:idx val="10"/>
                <c:order val="4"/>
                <c:tx>
                  <c:strRef>
                    <c:extLst>
                      <c:ext uri="{02D57815-91ED-43cb-92C2-25804820EDAC}">
                        <c15:formulaRef>
                          <c15:sqref>'Efficiency vs Load Calculations'!$BB$8</c15:sqref>
                        </c15:formulaRef>
                      </c:ext>
                    </c:extLst>
                    <c:strCache>
                      <c:ptCount val="1"/>
                      <c:pt idx="0">
                        <c:v>Reverse Recovery Loss MOSFET D BOOST</c:v>
                      </c:pt>
                    </c:strCache>
                  </c:strRef>
                </c:tx>
                <c:marker>
                  <c:symbol val="none"/>
                </c:marker>
                <c:cat>
                  <c:numRef>
                    <c:extLst>
                      <c:ex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c:ext uri="{02D57815-91ED-43cb-92C2-25804820EDAC}">
                        <c15:formulaRef>
                          <c15:sqref>'Efficiency vs Load Calculations'!$BB$9:$BB$109</c15:sqref>
                        </c15:formulaRef>
                      </c:ext>
                    </c:extLst>
                    <c:numCache>
                      <c:formatCode>0.000</c:formatCode>
                      <c:ptCount val="101"/>
                      <c:pt idx="0">
                        <c:v>0</c:v>
                      </c:pt>
                      <c:pt idx="1">
                        <c:v>2.8319395200000004E-3</c:v>
                      </c:pt>
                      <c:pt idx="2">
                        <c:v>5.6637580800000011E-3</c:v>
                      </c:pt>
                      <c:pt idx="3">
                        <c:v>8.4954556799999997E-3</c:v>
                      </c:pt>
                      <c:pt idx="4">
                        <c:v>1.1327032320000001E-2</c:v>
                      </c:pt>
                      <c:pt idx="5">
                        <c:v>1.4158488000000002E-2</c:v>
                      </c:pt>
                      <c:pt idx="6">
                        <c:v>1.6989822720000002E-2</c:v>
                      </c:pt>
                      <c:pt idx="7">
                        <c:v>1.9821036480000002E-2</c:v>
                      </c:pt>
                      <c:pt idx="8">
                        <c:v>2.2652129280000002E-2</c:v>
                      </c:pt>
                      <c:pt idx="9">
                        <c:v>2.5483101120000001E-2</c:v>
                      </c:pt>
                      <c:pt idx="10">
                        <c:v>2.8313952000000003E-2</c:v>
                      </c:pt>
                      <c:pt idx="11">
                        <c:v>3.1144681920000007E-2</c:v>
                      </c:pt>
                      <c:pt idx="12">
                        <c:v>3.3975290880000002E-2</c:v>
                      </c:pt>
                      <c:pt idx="13">
                        <c:v>3.6805778880000001E-2</c:v>
                      </c:pt>
                      <c:pt idx="14">
                        <c:v>3.9636145920000004E-2</c:v>
                      </c:pt>
                      <c:pt idx="15">
                        <c:v>4.2466392000000006E-2</c:v>
                      </c:pt>
                      <c:pt idx="16">
                        <c:v>4.5296517120000004E-2</c:v>
                      </c:pt>
                      <c:pt idx="17">
                        <c:v>4.8126521280000008E-2</c:v>
                      </c:pt>
                      <c:pt idx="18">
                        <c:v>5.0956404480000002E-2</c:v>
                      </c:pt>
                      <c:pt idx="19">
                        <c:v>5.378616672E-2</c:v>
                      </c:pt>
                      <c:pt idx="20">
                        <c:v>5.6615808000000011E-2</c:v>
                      </c:pt>
                      <c:pt idx="21">
                        <c:v>5.9445328320000004E-2</c:v>
                      </c:pt>
                      <c:pt idx="22">
                        <c:v>6.227472768000001E-2</c:v>
                      </c:pt>
                      <c:pt idx="23">
                        <c:v>6.5104006079999999E-2</c:v>
                      </c:pt>
                      <c:pt idx="24">
                        <c:v>6.7933163520000006E-2</c:v>
                      </c:pt>
                      <c:pt idx="25">
                        <c:v>7.0762200000000025E-2</c:v>
                      </c:pt>
                      <c:pt idx="26">
                        <c:v>7.3591115520000014E-2</c:v>
                      </c:pt>
                      <c:pt idx="27">
                        <c:v>7.6419910080000014E-2</c:v>
                      </c:pt>
                      <c:pt idx="28">
                        <c:v>7.9248583679999998E-2</c:v>
                      </c:pt>
                      <c:pt idx="29">
                        <c:v>8.2077136320000008E-2</c:v>
                      </c:pt>
                      <c:pt idx="30">
                        <c:v>8.4905568000000015E-2</c:v>
                      </c:pt>
                      <c:pt idx="31">
                        <c:v>8.7733878720000019E-2</c:v>
                      </c:pt>
                      <c:pt idx="32">
                        <c:v>9.0562068480000008E-2</c:v>
                      </c:pt>
                      <c:pt idx="33">
                        <c:v>9.3390137279999993E-2</c:v>
                      </c:pt>
                      <c:pt idx="34">
                        <c:v>9.6218085120000005E-2</c:v>
                      </c:pt>
                      <c:pt idx="35">
                        <c:v>9.9045912000000014E-2</c:v>
                      </c:pt>
                      <c:pt idx="36">
                        <c:v>0.10187361792000001</c:v>
                      </c:pt>
                      <c:pt idx="37">
                        <c:v>0.10470120288000002</c:v>
                      </c:pt>
                      <c:pt idx="38">
                        <c:v>0.10752866688000001</c:v>
                      </c:pt>
                      <c:pt idx="39">
                        <c:v>0.11035600991999998</c:v>
                      </c:pt>
                      <c:pt idx="40">
                        <c:v>0.11318323200000001</c:v>
                      </c:pt>
                      <c:pt idx="41">
                        <c:v>0.11601033311999999</c:v>
                      </c:pt>
                      <c:pt idx="42">
                        <c:v>0.11883731328000001</c:v>
                      </c:pt>
                      <c:pt idx="43">
                        <c:v>0.12166417248000003</c:v>
                      </c:pt>
                      <c:pt idx="44">
                        <c:v>0.12449091072000001</c:v>
                      </c:pt>
                      <c:pt idx="45">
                        <c:v>0.12731752800000001</c:v>
                      </c:pt>
                      <c:pt idx="46">
                        <c:v>0.13014402432</c:v>
                      </c:pt>
                      <c:pt idx="47">
                        <c:v>0.13297039968000002</c:v>
                      </c:pt>
                      <c:pt idx="48">
                        <c:v>0.13579665408000002</c:v>
                      </c:pt>
                      <c:pt idx="49">
                        <c:v>0.13862278752000001</c:v>
                      </c:pt>
                      <c:pt idx="50">
                        <c:v>0.14144880000000001</c:v>
                      </c:pt>
                      <c:pt idx="51">
                        <c:v>0.14427469152000003</c:v>
                      </c:pt>
                      <c:pt idx="52">
                        <c:v>0.14710046207999999</c:v>
                      </c:pt>
                      <c:pt idx="53">
                        <c:v>0.14992611168</c:v>
                      </c:pt>
                      <c:pt idx="54">
                        <c:v>0.15275164032000005</c:v>
                      </c:pt>
                      <c:pt idx="55">
                        <c:v>0.15557704800000002</c:v>
                      </c:pt>
                      <c:pt idx="56">
                        <c:v>0.15840233471999998</c:v>
                      </c:pt>
                      <c:pt idx="57">
                        <c:v>0.16122750048000001</c:v>
                      </c:pt>
                      <c:pt idx="58">
                        <c:v>0.16405254528000002</c:v>
                      </c:pt>
                      <c:pt idx="59">
                        <c:v>0.16687746912000001</c:v>
                      </c:pt>
                      <c:pt idx="60">
                        <c:v>0.16970227200000004</c:v>
                      </c:pt>
                      <c:pt idx="61">
                        <c:v>0.17252695392000003</c:v>
                      </c:pt>
                      <c:pt idx="62">
                        <c:v>0.17535151488</c:v>
                      </c:pt>
                      <c:pt idx="63">
                        <c:v>0.17817595488000001</c:v>
                      </c:pt>
                      <c:pt idx="64">
                        <c:v>0.18100027392000001</c:v>
                      </c:pt>
                      <c:pt idx="65">
                        <c:v>0.18382447200000002</c:v>
                      </c:pt>
                      <c:pt idx="66">
                        <c:v>0.18664854912000001</c:v>
                      </c:pt>
                      <c:pt idx="67">
                        <c:v>0.18947250528000004</c:v>
                      </c:pt>
                      <c:pt idx="68">
                        <c:v>0.19229634048000002</c:v>
                      </c:pt>
                      <c:pt idx="69">
                        <c:v>0.19512005471999999</c:v>
                      </c:pt>
                      <c:pt idx="70">
                        <c:v>0.19794364800000003</c:v>
                      </c:pt>
                      <c:pt idx="71">
                        <c:v>0.20076712032000002</c:v>
                      </c:pt>
                      <c:pt idx="72">
                        <c:v>0.20359047168000002</c:v>
                      </c:pt>
                      <c:pt idx="73">
                        <c:v>0.20641370208000004</c:v>
                      </c:pt>
                      <c:pt idx="74">
                        <c:v>0.20923681152000001</c:v>
                      </c:pt>
                      <c:pt idx="75">
                        <c:v>0.21205979999999999</c:v>
                      </c:pt>
                      <c:pt idx="76">
                        <c:v>0.21488266752000001</c:v>
                      </c:pt>
                      <c:pt idx="77">
                        <c:v>0.21770541408000005</c:v>
                      </c:pt>
                      <c:pt idx="78">
                        <c:v>0.22052803967999998</c:v>
                      </c:pt>
                      <c:pt idx="79">
                        <c:v>0.22335054432000001</c:v>
                      </c:pt>
                      <c:pt idx="80">
                        <c:v>0.22617292800000002</c:v>
                      </c:pt>
                      <c:pt idx="81">
                        <c:v>0.22899519072000005</c:v>
                      </c:pt>
                      <c:pt idx="82">
                        <c:v>0.23181733247999997</c:v>
                      </c:pt>
                      <c:pt idx="83">
                        <c:v>0.23463935328000002</c:v>
                      </c:pt>
                      <c:pt idx="84">
                        <c:v>0.23746125312000005</c:v>
                      </c:pt>
                      <c:pt idx="85">
                        <c:v>0.24028303200000001</c:v>
                      </c:pt>
                      <c:pt idx="86">
                        <c:v>0.24310468992000003</c:v>
                      </c:pt>
                      <c:pt idx="87">
                        <c:v>0.24592622687999999</c:v>
                      </c:pt>
                      <c:pt idx="88">
                        <c:v>0.24874764288000006</c:v>
                      </c:pt>
                      <c:pt idx="89">
                        <c:v>0.25156893792000001</c:v>
                      </c:pt>
                      <c:pt idx="90">
                        <c:v>0.25439011200000006</c:v>
                      </c:pt>
                      <c:pt idx="91">
                        <c:v>0.25721116512000003</c:v>
                      </c:pt>
                      <c:pt idx="92">
                        <c:v>0.26003209727999999</c:v>
                      </c:pt>
                      <c:pt idx="93">
                        <c:v>0.26285290848000004</c:v>
                      </c:pt>
                      <c:pt idx="94">
                        <c:v>0.26567359872000001</c:v>
                      </c:pt>
                      <c:pt idx="95">
                        <c:v>0.26849416800000003</c:v>
                      </c:pt>
                      <c:pt idx="96">
                        <c:v>0.27131461632000003</c:v>
                      </c:pt>
                      <c:pt idx="97">
                        <c:v>0.27413494368000002</c:v>
                      </c:pt>
                      <c:pt idx="98">
                        <c:v>0.27695515007999999</c:v>
                      </c:pt>
                      <c:pt idx="99">
                        <c:v>0.27977523552000005</c:v>
                      </c:pt>
                      <c:pt idx="100">
                        <c:v>0.28259520000000005</c:v>
                      </c:pt>
                    </c:numCache>
                  </c:numRef>
                </c:val>
                <c:smooth val="0"/>
                <c:extLst>
                  <c:ext xmlns:c16="http://schemas.microsoft.com/office/drawing/2014/chart" uri="{C3380CC4-5D6E-409C-BE32-E72D297353CC}">
                    <c16:uniqueId val="{00000004-52A5-4349-9ADA-2A074F0D0C46}"/>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Load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Calculations'!$AX$9:$AX$109</c15:sqref>
                        </c15:formulaRef>
                      </c:ext>
                    </c:extLst>
                    <c:numCache>
                      <c:formatCode>0.000</c:formatCode>
                      <c:ptCount val="101"/>
                      <c:pt idx="0">
                        <c:v>4.3288783558793047E-3</c:v>
                      </c:pt>
                      <c:pt idx="1">
                        <c:v>4.3902652679926515E-3</c:v>
                      </c:pt>
                      <c:pt idx="2">
                        <c:v>4.5728761650243007E-3</c:v>
                      </c:pt>
                      <c:pt idx="3">
                        <c:v>4.8767428922871009E-3</c:v>
                      </c:pt>
                      <c:pt idx="4">
                        <c:v>5.3019184500384779E-3</c:v>
                      </c:pt>
                      <c:pt idx="5">
                        <c:v>5.8484770165955335E-3</c:v>
                      </c:pt>
                      <c:pt idx="6">
                        <c:v>6.5165139806987252E-3</c:v>
                      </c:pt>
                      <c:pt idx="7">
                        <c:v>7.3061459831506815E-3</c:v>
                      </c:pt>
                      <c:pt idx="8">
                        <c:v>8.2175109677639132E-3</c:v>
                      </c:pt>
                      <c:pt idx="9">
                        <c:v>9.2507682416590881E-3</c:v>
                      </c:pt>
                      <c:pt idx="10">
                        <c:v>1.04060985449631E-2</c:v>
                      </c:pt>
                      <c:pt idx="11">
                        <c:v>1.1683704129963954E-2</c:v>
                      </c:pt>
                      <c:pt idx="12">
                        <c:v>1.3083808849787125E-2</c:v>
                      </c:pt>
                      <c:pt idx="13">
                        <c:v>1.4606658256666377E-2</c:v>
                      </c:pt>
                      <c:pt idx="14">
                        <c:v>1.6252519709889363E-2</c:v>
                      </c:pt>
                      <c:pt idx="15">
                        <c:v>1.8021682493507309E-2</c:v>
                      </c:pt>
                      <c:pt idx="16">
                        <c:v>1.9914457943905273E-2</c:v>
                      </c:pt>
                      <c:pt idx="17">
                        <c:v>2.1931179587338853E-2</c:v>
                      </c:pt>
                      <c:pt idx="18">
                        <c:v>2.4072203287550893E-2</c:v>
                      </c:pt>
                      <c:pt idx="19">
                        <c:v>2.6337907403590849E-2</c:v>
                      </c:pt>
                      <c:pt idx="20">
                        <c:v>2.8728692957968271E-2</c:v>
                      </c:pt>
                      <c:pt idx="21">
                        <c:v>3.1244983815280302E-2</c:v>
                      </c:pt>
                      <c:pt idx="22">
                        <c:v>3.3887226871463269E-2</c:v>
                      </c:pt>
                      <c:pt idx="23">
                        <c:v>3.6655892253826795E-2</c:v>
                      </c:pt>
                      <c:pt idx="24">
                        <c:v>3.9551473532039076E-2</c:v>
                      </c:pt>
                      <c:pt idx="25">
                        <c:v>4.257448794024149E-2</c:v>
                      </c:pt>
                      <c:pt idx="26">
                        <c:v>4.5725476610481222E-2</c:v>
                      </c:pt>
                      <c:pt idx="27">
                        <c:v>4.9005004817660097E-2</c:v>
                      </c:pt>
                      <c:pt idx="28">
                        <c:v>5.2413662236209253E-2</c:v>
                      </c:pt>
                      <c:pt idx="29">
                        <c:v>5.595206320870981E-2</c:v>
                      </c:pt>
                      <c:pt idx="30">
                        <c:v>5.9620847026690703E-2</c:v>
                      </c:pt>
                      <c:pt idx="31">
                        <c:v>6.3420678223846783E-2</c:v>
                      </c:pt>
                      <c:pt idx="32">
                        <c:v>6.7352246881931782E-2</c:v>
                      </c:pt>
                      <c:pt idx="33">
                        <c:v>7.1416268949593395E-2</c:v>
                      </c:pt>
                      <c:pt idx="34">
                        <c:v>7.5613486574429414E-2</c:v>
                      </c:pt>
                      <c:pt idx="35">
                        <c:v>7.9944668448558673E-2</c:v>
                      </c:pt>
                      <c:pt idx="36">
                        <c:v>8.4410610168011532E-2</c:v>
                      </c:pt>
                      <c:pt idx="37">
                        <c:v>8.9012134606260451E-2</c:v>
                      </c:pt>
                      <c:pt idx="38">
                        <c:v>9.3750092302225224E-2</c:v>
                      </c:pt>
                      <c:pt idx="39">
                        <c:v>9.862536186310103E-2</c:v>
                      </c:pt>
                      <c:pt idx="40">
                        <c:v>0.10363885038237433</c:v>
                      </c:pt>
                      <c:pt idx="41">
                        <c:v>0.10879149387340668</c:v>
                      </c:pt>
                      <c:pt idx="42">
                        <c:v>0.11408425771898377</c:v>
                      </c:pt>
                      <c:pt idx="43">
                        <c:v>0.11951813713724162</c:v>
                      </c:pt>
                      <c:pt idx="44">
                        <c:v>0.12509415766440404</c:v>
                      </c:pt>
                      <c:pt idx="45">
                        <c:v>0.13081337565477896</c:v>
                      </c:pt>
                      <c:pt idx="46">
                        <c:v>0.13667687879848356</c:v>
                      </c:pt>
                      <c:pt idx="47">
                        <c:v>0.14268578665738615</c:v>
                      </c:pt>
                      <c:pt idx="48">
                        <c:v>0.14884125121977401</c:v>
                      </c:pt>
                      <c:pt idx="49">
                        <c:v>0.15514445747427813</c:v>
                      </c:pt>
                      <c:pt idx="50">
                        <c:v>0.16159662400360622</c:v>
                      </c:pt>
                      <c:pt idx="51">
                        <c:v>0.16819900359866055</c:v>
                      </c:pt>
                      <c:pt idx="52">
                        <c:v>0.17495288389363967</c:v>
                      </c:pt>
                      <c:pt idx="53">
                        <c:v>0.18185958802274796</c:v>
                      </c:pt>
                      <c:pt idx="54">
                        <c:v>0.18892047529916475</c:v>
                      </c:pt>
                      <c:pt idx="55">
                        <c:v>0.19613694191694819</c:v>
                      </c:pt>
                      <c:pt idx="56">
                        <c:v>0.2035104216765822</c:v>
                      </c:pt>
                      <c:pt idx="57">
                        <c:v>0.21104238673489756</c:v>
                      </c:pt>
                      <c:pt idx="58">
                        <c:v>0.21873434838013689</c:v>
                      </c:pt>
                      <c:pt idx="59">
                        <c:v>0.22658785783295707</c:v>
                      </c:pt>
                      <c:pt idx="60">
                        <c:v>0.23460450707420144</c:v>
                      </c:pt>
                      <c:pt idx="61">
                        <c:v>0.24278592970030605</c:v>
                      </c:pt>
                      <c:pt idx="62">
                        <c:v>0.25113380180724221</c:v>
                      </c:pt>
                      <c:pt idx="63">
                        <c:v>0.25964984290393328</c:v>
                      </c:pt>
                      <c:pt idx="64">
                        <c:v>0.26833581685612473</c:v>
                      </c:pt>
                      <c:pt idx="65">
                        <c:v>0.27719353286172699</c:v>
                      </c:pt>
                      <c:pt idx="66">
                        <c:v>0.28622484645869362</c:v>
                      </c:pt>
                      <c:pt idx="67">
                        <c:v>0.2954316605665438</c:v>
                      </c:pt>
                      <c:pt idx="68">
                        <c:v>0.30481592656268064</c:v>
                      </c:pt>
                      <c:pt idx="69">
                        <c:v>0.31437964539471308</c:v>
                      </c:pt>
                      <c:pt idx="70">
                        <c:v>0.32412486873003443</c:v>
                      </c:pt>
                      <c:pt idx="71">
                        <c:v>0.33405370014396463</c:v>
                      </c:pt>
                      <c:pt idx="72">
                        <c:v>0.34416829634782881</c:v>
                      </c:pt>
                      <c:pt idx="73">
                        <c:v>0.3544708684583861</c:v>
                      </c:pt>
                      <c:pt idx="74">
                        <c:v>0.36496368331010531</c:v>
                      </c:pt>
                      <c:pt idx="75">
                        <c:v>0.3756490648118298</c:v>
                      </c:pt>
                      <c:pt idx="76">
                        <c:v>0.38652939534945513</c:v>
                      </c:pt>
                      <c:pt idx="77">
                        <c:v>0.39760711723630887</c:v>
                      </c:pt>
                      <c:pt idx="78">
                        <c:v>0.40888473421299304</c:v>
                      </c:pt>
                      <c:pt idx="79">
                        <c:v>0.42036481299853501</c:v>
                      </c:pt>
                      <c:pt idx="80">
                        <c:v>0.43204998489476987</c:v>
                      </c:pt>
                      <c:pt idx="81">
                        <c:v>0.44394294744596413</c:v>
                      </c:pt>
                      <c:pt idx="82">
                        <c:v>0.45604646615577998</c:v>
                      </c:pt>
                      <c:pt idx="83">
                        <c:v>0.46836337626377766</c:v>
                      </c:pt>
                      <c:pt idx="84">
                        <c:v>0.48089658458374707</c:v>
                      </c:pt>
                      <c:pt idx="85">
                        <c:v>0.49364907140627085</c:v>
                      </c:pt>
                      <c:pt idx="86">
                        <c:v>0.50662389246802675</c:v>
                      </c:pt>
                      <c:pt idx="87">
                        <c:v>0.51982418099044903</c:v>
                      </c:pt>
                      <c:pt idx="88">
                        <c:v>0.53325314979050387</c:v>
                      </c:pt>
                      <c:pt idx="89">
                        <c:v>0.54691409346644149</c:v>
                      </c:pt>
                      <c:pt idx="90">
                        <c:v>0.56081039066154037</c:v>
                      </c:pt>
                      <c:pt idx="91">
                        <c:v>0.57494550640898645</c:v>
                      </c:pt>
                      <c:pt idx="92">
                        <c:v>0.58932299456119053</c:v>
                      </c:pt>
                      <c:pt idx="93">
                        <c:v>0.60394650030699137</c:v>
                      </c:pt>
                      <c:pt idx="94">
                        <c:v>0.6188197627803691</c:v>
                      </c:pt>
                      <c:pt idx="95">
                        <c:v>0.63394661776445993</c:v>
                      </c:pt>
                      <c:pt idx="96">
                        <c:v>0.64933100049484482</c:v>
                      </c:pt>
                      <c:pt idx="97">
                        <c:v>0.66497694856629019</c:v>
                      </c:pt>
                      <c:pt idx="98">
                        <c:v>0.68088860494730019</c:v>
                      </c:pt>
                      <c:pt idx="99">
                        <c:v>0.69707022110708439</c:v>
                      </c:pt>
                      <c:pt idx="100">
                        <c:v>0.71352616025973947</c:v>
                      </c:pt>
                    </c:numCache>
                  </c:numRef>
                </c:val>
                <c:smooth val="0"/>
                <c:extLst xmlns:c15="http://schemas.microsoft.com/office/drawing/2012/chart">
                  <c:ext xmlns:c16="http://schemas.microsoft.com/office/drawing/2014/chart" uri="{C3380CC4-5D6E-409C-BE32-E72D297353CC}">
                    <c16:uniqueId val="{00000005-52A5-4349-9ADA-2A074F0D0C46}"/>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Load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Calculations'!$AT$9:$AT$109</c15:sqref>
                        </c15:formulaRef>
                      </c:ext>
                    </c:extLst>
                    <c:numCache>
                      <c:formatCode>0.000</c:formatCode>
                      <c:ptCount val="101"/>
                      <c:pt idx="0">
                        <c:v>0</c:v>
                      </c:pt>
                      <c:pt idx="1">
                        <c:v>4.3902652679926515E-3</c:v>
                      </c:pt>
                      <c:pt idx="2">
                        <c:v>4.5728761650243007E-3</c:v>
                      </c:pt>
                      <c:pt idx="3">
                        <c:v>4.8767428922871009E-3</c:v>
                      </c:pt>
                      <c:pt idx="4">
                        <c:v>5.3019184500384779E-3</c:v>
                      </c:pt>
                      <c:pt idx="5">
                        <c:v>5.8484770165955335E-3</c:v>
                      </c:pt>
                      <c:pt idx="6">
                        <c:v>6.5165139806987252E-3</c:v>
                      </c:pt>
                      <c:pt idx="7">
                        <c:v>7.3061459831506815E-3</c:v>
                      </c:pt>
                      <c:pt idx="8">
                        <c:v>8.2175109677639132E-3</c:v>
                      </c:pt>
                      <c:pt idx="9">
                        <c:v>9.2507682416590881E-3</c:v>
                      </c:pt>
                      <c:pt idx="10">
                        <c:v>1.04060985449631E-2</c:v>
                      </c:pt>
                      <c:pt idx="11">
                        <c:v>1.1683704129963954E-2</c:v>
                      </c:pt>
                      <c:pt idx="12">
                        <c:v>1.3083808849787125E-2</c:v>
                      </c:pt>
                      <c:pt idx="13">
                        <c:v>1.4606658256666377E-2</c:v>
                      </c:pt>
                      <c:pt idx="14">
                        <c:v>1.6252519709889363E-2</c:v>
                      </c:pt>
                      <c:pt idx="15">
                        <c:v>1.8021682493507309E-2</c:v>
                      </c:pt>
                      <c:pt idx="16">
                        <c:v>1.9914457943905273E-2</c:v>
                      </c:pt>
                      <c:pt idx="17">
                        <c:v>2.1931179587338853E-2</c:v>
                      </c:pt>
                      <c:pt idx="18">
                        <c:v>2.4072203287550893E-2</c:v>
                      </c:pt>
                      <c:pt idx="19">
                        <c:v>2.6337907403590849E-2</c:v>
                      </c:pt>
                      <c:pt idx="20">
                        <c:v>2.8728692957968271E-2</c:v>
                      </c:pt>
                      <c:pt idx="21">
                        <c:v>3.1244983815280302E-2</c:v>
                      </c:pt>
                      <c:pt idx="22">
                        <c:v>3.3887226871463269E-2</c:v>
                      </c:pt>
                      <c:pt idx="23">
                        <c:v>3.6655892253826795E-2</c:v>
                      </c:pt>
                      <c:pt idx="24">
                        <c:v>3.9551473532039076E-2</c:v>
                      </c:pt>
                      <c:pt idx="25">
                        <c:v>4.257448794024149E-2</c:v>
                      </c:pt>
                      <c:pt idx="26">
                        <c:v>4.5725476610481222E-2</c:v>
                      </c:pt>
                      <c:pt idx="27">
                        <c:v>4.9005004817660097E-2</c:v>
                      </c:pt>
                      <c:pt idx="28">
                        <c:v>5.2413662236209253E-2</c:v>
                      </c:pt>
                      <c:pt idx="29">
                        <c:v>5.595206320870981E-2</c:v>
                      </c:pt>
                      <c:pt idx="30">
                        <c:v>5.9620847026690703E-2</c:v>
                      </c:pt>
                      <c:pt idx="31">
                        <c:v>6.3420678223846783E-2</c:v>
                      </c:pt>
                      <c:pt idx="32">
                        <c:v>6.7352246881931782E-2</c:v>
                      </c:pt>
                      <c:pt idx="33">
                        <c:v>7.1416268949593395E-2</c:v>
                      </c:pt>
                      <c:pt idx="34">
                        <c:v>7.5613486574429414E-2</c:v>
                      </c:pt>
                      <c:pt idx="35">
                        <c:v>7.9944668448558673E-2</c:v>
                      </c:pt>
                      <c:pt idx="36">
                        <c:v>8.4410610168011532E-2</c:v>
                      </c:pt>
                      <c:pt idx="37">
                        <c:v>8.9012134606260451E-2</c:v>
                      </c:pt>
                      <c:pt idx="38">
                        <c:v>9.3750092302225224E-2</c:v>
                      </c:pt>
                      <c:pt idx="39">
                        <c:v>9.862536186310103E-2</c:v>
                      </c:pt>
                      <c:pt idx="40">
                        <c:v>0.10363885038237433</c:v>
                      </c:pt>
                      <c:pt idx="41">
                        <c:v>0.10879149387340668</c:v>
                      </c:pt>
                      <c:pt idx="42">
                        <c:v>0.11408425771898377</c:v>
                      </c:pt>
                      <c:pt idx="43">
                        <c:v>0.11951813713724162</c:v>
                      </c:pt>
                      <c:pt idx="44">
                        <c:v>0.12509415766440404</c:v>
                      </c:pt>
                      <c:pt idx="45">
                        <c:v>0.13081337565477896</c:v>
                      </c:pt>
                      <c:pt idx="46">
                        <c:v>0.13667687879848356</c:v>
                      </c:pt>
                      <c:pt idx="47">
                        <c:v>0.14268578665738615</c:v>
                      </c:pt>
                      <c:pt idx="48">
                        <c:v>0.14884125121977401</c:v>
                      </c:pt>
                      <c:pt idx="49">
                        <c:v>0.15514445747427813</c:v>
                      </c:pt>
                      <c:pt idx="50">
                        <c:v>0.16159662400360622</c:v>
                      </c:pt>
                      <c:pt idx="51">
                        <c:v>0.16819900359866055</c:v>
                      </c:pt>
                      <c:pt idx="52">
                        <c:v>0.17495288389363967</c:v>
                      </c:pt>
                      <c:pt idx="53">
                        <c:v>0.18185958802274796</c:v>
                      </c:pt>
                      <c:pt idx="54">
                        <c:v>0.18892047529916475</c:v>
                      </c:pt>
                      <c:pt idx="55">
                        <c:v>0.19613694191694819</c:v>
                      </c:pt>
                      <c:pt idx="56">
                        <c:v>0.2035104216765822</c:v>
                      </c:pt>
                      <c:pt idx="57">
                        <c:v>0.21104238673489756</c:v>
                      </c:pt>
                      <c:pt idx="58">
                        <c:v>0.21873434838013689</c:v>
                      </c:pt>
                      <c:pt idx="59">
                        <c:v>0.22658785783295707</c:v>
                      </c:pt>
                      <c:pt idx="60">
                        <c:v>0.23460450707420144</c:v>
                      </c:pt>
                      <c:pt idx="61">
                        <c:v>0.24278592970030605</c:v>
                      </c:pt>
                      <c:pt idx="62">
                        <c:v>0.25113380180724221</c:v>
                      </c:pt>
                      <c:pt idx="63">
                        <c:v>0.25964984290393328</c:v>
                      </c:pt>
                      <c:pt idx="64">
                        <c:v>0.26833581685612473</c:v>
                      </c:pt>
                      <c:pt idx="65">
                        <c:v>0.27719353286172699</c:v>
                      </c:pt>
                      <c:pt idx="66">
                        <c:v>0.28622484645869362</c:v>
                      </c:pt>
                      <c:pt idx="67">
                        <c:v>0.2954316605665438</c:v>
                      </c:pt>
                      <c:pt idx="68">
                        <c:v>0.30481592656268064</c:v>
                      </c:pt>
                      <c:pt idx="69">
                        <c:v>0.31437964539471308</c:v>
                      </c:pt>
                      <c:pt idx="70">
                        <c:v>0.32412486873003443</c:v>
                      </c:pt>
                      <c:pt idx="71">
                        <c:v>0.33405370014396463</c:v>
                      </c:pt>
                      <c:pt idx="72">
                        <c:v>0.34416829634782881</c:v>
                      </c:pt>
                      <c:pt idx="73">
                        <c:v>0.3544708684583861</c:v>
                      </c:pt>
                      <c:pt idx="74">
                        <c:v>0.36496368331010531</c:v>
                      </c:pt>
                      <c:pt idx="75">
                        <c:v>0.3756490648118298</c:v>
                      </c:pt>
                      <c:pt idx="76">
                        <c:v>0.38652939534945513</c:v>
                      </c:pt>
                      <c:pt idx="77">
                        <c:v>0.39760711723630887</c:v>
                      </c:pt>
                      <c:pt idx="78">
                        <c:v>0.40888473421299304</c:v>
                      </c:pt>
                      <c:pt idx="79">
                        <c:v>0.42036481299853501</c:v>
                      </c:pt>
                      <c:pt idx="80">
                        <c:v>0.43204998489476987</c:v>
                      </c:pt>
                      <c:pt idx="81">
                        <c:v>0.44394294744596413</c:v>
                      </c:pt>
                      <c:pt idx="82">
                        <c:v>0.45604646615577998</c:v>
                      </c:pt>
                      <c:pt idx="83">
                        <c:v>0.46836337626377766</c:v>
                      </c:pt>
                      <c:pt idx="84">
                        <c:v>0.48089658458374707</c:v>
                      </c:pt>
                      <c:pt idx="85">
                        <c:v>0.49364907140627085</c:v>
                      </c:pt>
                      <c:pt idx="86">
                        <c:v>0.50662389246802675</c:v>
                      </c:pt>
                      <c:pt idx="87">
                        <c:v>0.51982418099044903</c:v>
                      </c:pt>
                      <c:pt idx="88">
                        <c:v>0.53325314979050387</c:v>
                      </c:pt>
                      <c:pt idx="89">
                        <c:v>0.54691409346644149</c:v>
                      </c:pt>
                      <c:pt idx="90">
                        <c:v>0.56081039066154037</c:v>
                      </c:pt>
                      <c:pt idx="91">
                        <c:v>0.57494550640898645</c:v>
                      </c:pt>
                      <c:pt idx="92">
                        <c:v>0.58932299456119053</c:v>
                      </c:pt>
                      <c:pt idx="93">
                        <c:v>0.60394650030699137</c:v>
                      </c:pt>
                      <c:pt idx="94">
                        <c:v>0.6188197627803691</c:v>
                      </c:pt>
                      <c:pt idx="95">
                        <c:v>0.63394661776445993</c:v>
                      </c:pt>
                      <c:pt idx="96">
                        <c:v>0.64933100049484482</c:v>
                      </c:pt>
                      <c:pt idx="97">
                        <c:v>0.66497694856629019</c:v>
                      </c:pt>
                      <c:pt idx="98">
                        <c:v>0.68088860494730019</c:v>
                      </c:pt>
                      <c:pt idx="99">
                        <c:v>0.69707022110708439</c:v>
                      </c:pt>
                      <c:pt idx="100">
                        <c:v>0.71352616025973947</c:v>
                      </c:pt>
                    </c:numCache>
                  </c:numRef>
                </c:val>
                <c:smooth val="0"/>
                <c:extLst xmlns:c15="http://schemas.microsoft.com/office/drawing/2012/chart">
                  <c:ext xmlns:c16="http://schemas.microsoft.com/office/drawing/2014/chart" uri="{C3380CC4-5D6E-409C-BE32-E72D297353CC}">
                    <c16:uniqueId val="{00000006-52A5-4349-9ADA-2A074F0D0C46}"/>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Load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Calculations'!$AO$9:$AO$109</c15:sqref>
                        </c15:formulaRef>
                      </c:ext>
                    </c:extLst>
                    <c:numCache>
                      <c:formatCode>0.000</c:formatCode>
                      <c:ptCount val="101"/>
                      <c:pt idx="0">
                        <c:v>4.3947230618573384E-2</c:v>
                      </c:pt>
                      <c:pt idx="1">
                        <c:v>4.9609230816979245E-2</c:v>
                      </c:pt>
                      <c:pt idx="2">
                        <c:v>5.2687657336599185E-2</c:v>
                      </c:pt>
                      <c:pt idx="3">
                        <c:v>5.5889075760337845E-2</c:v>
                      </c:pt>
                      <c:pt idx="4">
                        <c:v>5.9213792140370196E-2</c:v>
                      </c:pt>
                      <c:pt idx="5">
                        <c:v>6.2662134142355566E-2</c:v>
                      </c:pt>
                      <c:pt idx="6">
                        <c:v>6.6234451151726867E-2</c:v>
                      </c:pt>
                      <c:pt idx="7">
                        <c:v>6.9931114389528759E-2</c:v>
                      </c:pt>
                      <c:pt idx="8">
                        <c:v>7.3752517037884033E-2</c:v>
                      </c:pt>
                      <c:pt idx="9">
                        <c:v>7.7699074375176133E-2</c:v>
                      </c:pt>
                      <c:pt idx="10">
                        <c:v>8.1771223921042857E-2</c:v>
                      </c:pt>
                      <c:pt idx="11">
                        <c:v>8.5969425591285203E-2</c:v>
                      </c:pt>
                      <c:pt idx="12">
                        <c:v>9.0294161862803021E-2</c:v>
                      </c:pt>
                      <c:pt idx="13">
                        <c:v>9.4745937948678152E-2</c:v>
                      </c:pt>
                      <c:pt idx="14">
                        <c:v>9.9325281983533506E-2</c:v>
                      </c:pt>
                      <c:pt idx="15">
                        <c:v>0.10500198414361692</c:v>
                      </c:pt>
                      <c:pt idx="16">
                        <c:v>0.1127354112141741</c:v>
                      </c:pt>
                      <c:pt idx="17">
                        <c:v>0.12060094985321654</c:v>
                      </c:pt>
                      <c:pt idx="18">
                        <c:v>0.12859948005413105</c:v>
                      </c:pt>
                      <c:pt idx="19">
                        <c:v>0.13673190687033987</c:v>
                      </c:pt>
                      <c:pt idx="20">
                        <c:v>0.14499916074397232</c:v>
                      </c:pt>
                      <c:pt idx="21">
                        <c:v>0.15340219784671272</c:v>
                      </c:pt>
                      <c:pt idx="22">
                        <c:v>0.1619420004330821</c:v>
                      </c:pt>
                      <c:pt idx="23">
                        <c:v>0.17061957720641896</c:v>
                      </c:pt>
                      <c:pt idx="24">
                        <c:v>0.17943596369783912</c:v>
                      </c:pt>
                      <c:pt idx="25">
                        <c:v>0.18839222265846389</c:v>
                      </c:pt>
                      <c:pt idx="26">
                        <c:v>0.19748944446522135</c:v>
                      </c:pt>
                      <c:pt idx="27">
                        <c:v>0.20672874754053502</c:v>
                      </c:pt>
                      <c:pt idx="28">
                        <c:v>0.21611127878623032</c:v>
                      </c:pt>
                      <c:pt idx="29">
                        <c:v>0.22563821403200077</c:v>
                      </c:pt>
                      <c:pt idx="30">
                        <c:v>0.23531075849879088</c:v>
                      </c:pt>
                      <c:pt idx="31">
                        <c:v>0.24513014727746776</c:v>
                      </c:pt>
                      <c:pt idx="32">
                        <c:v>0.25509764582316713</c:v>
                      </c:pt>
                      <c:pt idx="33">
                        <c:v>0.2652145504657169</c:v>
                      </c:pt>
                      <c:pt idx="34">
                        <c:v>0.27548218893655513</c:v>
                      </c:pt>
                      <c:pt idx="35">
                        <c:v>0.28590192091257904</c:v>
                      </c:pt>
                      <c:pt idx="36">
                        <c:v>0.29647513857737662</c:v>
                      </c:pt>
                      <c:pt idx="37">
                        <c:v>0.30720326720031044</c:v>
                      </c:pt>
                      <c:pt idx="38">
                        <c:v>0.31808776573394504</c:v>
                      </c:pt>
                      <c:pt idx="39">
                        <c:v>0.32913012743032288</c:v>
                      </c:pt>
                      <c:pt idx="40">
                        <c:v>0.34033188047661989</c:v>
                      </c:pt>
                      <c:pt idx="41">
                        <c:v>0.35169458865072867</c:v>
                      </c:pt>
                      <c:pt idx="42">
                        <c:v>0.36321985199734119</c:v>
                      </c:pt>
                      <c:pt idx="43">
                        <c:v>0.37490930752512164</c:v>
                      </c:pt>
                      <c:pt idx="44">
                        <c:v>0.38676462992558946</c:v>
                      </c:pt>
                      <c:pt idx="45">
                        <c:v>0.39878753231435127</c:v>
                      </c:pt>
                      <c:pt idx="46">
                        <c:v>0.41097976699534861</c:v>
                      </c:pt>
                      <c:pt idx="47">
                        <c:v>0.42334312624881282</c:v>
                      </c:pt>
                      <c:pt idx="48">
                        <c:v>0.4358794431436479</c:v>
                      </c:pt>
                      <c:pt idx="49">
                        <c:v>0.44859059237498927</c:v>
                      </c:pt>
                      <c:pt idx="50">
                        <c:v>0.46147849112771433</c:v>
                      </c:pt>
                      <c:pt idx="51">
                        <c:v>0.47454509996671607</c:v>
                      </c:pt>
                      <c:pt idx="52">
                        <c:v>0.48779242375477655</c:v>
                      </c:pt>
                      <c:pt idx="53">
                        <c:v>0.5012225125989177</c:v>
                      </c:pt>
                      <c:pt idx="54">
                        <c:v>0.51483746282613563</c:v>
                      </c:pt>
                      <c:pt idx="55">
                        <c:v>0.5286394179894629</c:v>
                      </c:pt>
                      <c:pt idx="56">
                        <c:v>0.54263056990534519</c:v>
                      </c:pt>
                      <c:pt idx="57">
                        <c:v>0.55681315972334866</c:v>
                      </c:pt>
                      <c:pt idx="58">
                        <c:v>0.57118947902926709</c:v>
                      </c:pt>
                      <c:pt idx="59">
                        <c:v>0.58576187098273191</c:v>
                      </c:pt>
                      <c:pt idx="60">
                        <c:v>0.60053273149047526</c:v>
                      </c:pt>
                      <c:pt idx="61">
                        <c:v>0.61550451041644849</c:v>
                      </c:pt>
                      <c:pt idx="62">
                        <c:v>0.63067971283003676</c:v>
                      </c:pt>
                      <c:pt idx="63">
                        <c:v>0.6460609002936728</c:v>
                      </c:pt>
                      <c:pt idx="64">
                        <c:v>0.66165069219119865</c:v>
                      </c:pt>
                      <c:pt idx="65">
                        <c:v>0.67745176709838084</c:v>
                      </c:pt>
                      <c:pt idx="66">
                        <c:v>0.69346686419704751</c:v>
                      </c:pt>
                      <c:pt idx="67">
                        <c:v>0.70969878473437176</c:v>
                      </c:pt>
                      <c:pt idx="68">
                        <c:v>0.72615039352888966</c:v>
                      </c:pt>
                      <c:pt idx="69">
                        <c:v>0.74282462052491249</c:v>
                      </c:pt>
                      <c:pt idx="70">
                        <c:v>0.75972446239705782</c:v>
                      </c:pt>
                      <c:pt idx="71">
                        <c:v>0.77685298420669524</c:v>
                      </c:pt>
                      <c:pt idx="72">
                        <c:v>0.79421332111219312</c:v>
                      </c:pt>
                      <c:pt idx="73">
                        <c:v>0.81180868013490604</c:v>
                      </c:pt>
                      <c:pt idx="74">
                        <c:v>0.82964234198296005</c:v>
                      </c:pt>
                      <c:pt idx="75">
                        <c:v>0.8477176629349481</c:v>
                      </c:pt>
                      <c:pt idx="76">
                        <c:v>0.86603807678576528</c:v>
                      </c:pt>
                      <c:pt idx="77">
                        <c:v>0.88460709685689676</c:v>
                      </c:pt>
                      <c:pt idx="78">
                        <c:v>0.90342831807357404</c:v>
                      </c:pt>
                      <c:pt idx="79">
                        <c:v>0.92250541911132655</c:v>
                      </c:pt>
                      <c:pt idx="80">
                        <c:v>0.9418421646145605</c:v>
                      </c:pt>
                      <c:pt idx="81">
                        <c:v>0.96144240748992049</c:v>
                      </c:pt>
                      <c:pt idx="82">
                        <c:v>0.98131009127730451</c:v>
                      </c:pt>
                      <c:pt idx="83">
                        <c:v>1.0014492526015393</c:v>
                      </c:pt>
                      <c:pt idx="84">
                        <c:v>1.0218640237078529</c:v>
                      </c:pt>
                      <c:pt idx="85">
                        <c:v>1.0425586350844278</c:v>
                      </c:pt>
                      <c:pt idx="86">
                        <c:v>1.0635374181754649</c:v>
                      </c:pt>
                      <c:pt idx="87">
                        <c:v>1.0848048081883406</c:v>
                      </c:pt>
                      <c:pt idx="88">
                        <c:v>1.1063653469986219</c:v>
                      </c:pt>
                      <c:pt idx="89">
                        <c:v>1.128223686156854</c:v>
                      </c:pt>
                      <c:pt idx="90">
                        <c:v>1.1503845900012404</c:v>
                      </c:pt>
                      <c:pt idx="91">
                        <c:v>1.1728529388805065</c:v>
                      </c:pt>
                      <c:pt idx="92">
                        <c:v>1.1956337324914657</c:v>
                      </c:pt>
                      <c:pt idx="93">
                        <c:v>1.2187320933359929</c:v>
                      </c:pt>
                      <c:pt idx="94">
                        <c:v>1.2421532703023559</c:v>
                      </c:pt>
                      <c:pt idx="95">
                        <c:v>1.2659026423760829</c:v>
                      </c:pt>
                      <c:pt idx="96">
                        <c:v>1.2899857224857922</c:v>
                      </c:pt>
                      <c:pt idx="97">
                        <c:v>1.3144081614896872</c:v>
                      </c:pt>
                      <c:pt idx="98">
                        <c:v>1.3391757523086685</c:v>
                      </c:pt>
                      <c:pt idx="99">
                        <c:v>1.364294434212346</c:v>
                      </c:pt>
                      <c:pt idx="100">
                        <c:v>1.3897702972645085</c:v>
                      </c:pt>
                    </c:numCache>
                  </c:numRef>
                </c:val>
                <c:smooth val="0"/>
                <c:extLst xmlns:c15="http://schemas.microsoft.com/office/drawing/2012/chart">
                  <c:ext xmlns:c16="http://schemas.microsoft.com/office/drawing/2014/chart" uri="{C3380CC4-5D6E-409C-BE32-E72D297353CC}">
                    <c16:uniqueId val="{00000007-52A5-4349-9ADA-2A074F0D0C46}"/>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Load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Calculations'!$AF$9:$AF$109</c15:sqref>
                        </c15:formulaRef>
                      </c:ext>
                    </c:extLst>
                    <c:numCache>
                      <c:formatCode>0.000</c:formatCode>
                      <c:ptCount val="101"/>
                      <c:pt idx="0">
                        <c:v>4.8582121847151659E-4</c:v>
                      </c:pt>
                      <c:pt idx="1">
                        <c:v>4.9267568938776533E-4</c:v>
                      </c:pt>
                      <c:pt idx="2">
                        <c:v>5.1311705769576136E-4</c:v>
                      </c:pt>
                      <c:pt idx="3">
                        <c:v>5.4714303665476369E-4</c:v>
                      </c:pt>
                      <c:pt idx="4">
                        <c:v>5.9475133749660903E-4</c:v>
                      </c:pt>
                      <c:pt idx="5">
                        <c:v>6.5593966942597713E-4</c:v>
                      </c:pt>
                      <c:pt idx="6">
                        <c:v>7.3070573962065693E-4</c:v>
                      </c:pt>
                      <c:pt idx="7">
                        <c:v>8.1904725323181035E-4</c:v>
                      </c:pt>
                      <c:pt idx="8">
                        <c:v>9.2096191338423899E-4</c:v>
                      </c:pt>
                      <c:pt idx="9">
                        <c:v>1.036447421176647E-3</c:v>
                      </c:pt>
                      <c:pt idx="10">
                        <c:v>1.1655014756819073E-3</c:v>
                      </c:pt>
                      <c:pt idx="11">
                        <c:v>1.3081217739473272E-3</c:v>
                      </c:pt>
                      <c:pt idx="12">
                        <c:v>1.4643060109949103E-3</c:v>
                      </c:pt>
                      <c:pt idx="13">
                        <c:v>1.6340518798216271E-3</c:v>
                      </c:pt>
                      <c:pt idx="14">
                        <c:v>1.8173570713996704E-3</c:v>
                      </c:pt>
                      <c:pt idx="15">
                        <c:v>2.0142192746767326E-3</c:v>
                      </c:pt>
                      <c:pt idx="16">
                        <c:v>2.2246361765762574E-3</c:v>
                      </c:pt>
                      <c:pt idx="17">
                        <c:v>2.4486054619977144E-3</c:v>
                      </c:pt>
                      <c:pt idx="18">
                        <c:v>2.6861248138168601E-3</c:v>
                      </c:pt>
                      <c:pt idx="19">
                        <c:v>2.937191912885999E-3</c:v>
                      </c:pt>
                      <c:pt idx="20">
                        <c:v>3.2018044380342594E-3</c:v>
                      </c:pt>
                      <c:pt idx="21">
                        <c:v>3.4799600660678424E-3</c:v>
                      </c:pt>
                      <c:pt idx="22">
                        <c:v>3.7716564717702999E-3</c:v>
                      </c:pt>
                      <c:pt idx="23">
                        <c:v>4.0768913279027891E-3</c:v>
                      </c:pt>
                      <c:pt idx="24">
                        <c:v>4.3956623052043469E-3</c:v>
                      </c:pt>
                      <c:pt idx="25">
                        <c:v>4.7279670723921466E-3</c:v>
                      </c:pt>
                      <c:pt idx="26">
                        <c:v>5.0738032961617644E-3</c:v>
                      </c:pt>
                      <c:pt idx="27">
                        <c:v>5.4331686411874473E-3</c:v>
                      </c:pt>
                      <c:pt idx="28">
                        <c:v>5.806060770122367E-3</c:v>
                      </c:pt>
                      <c:pt idx="29">
                        <c:v>6.192477343598902E-3</c:v>
                      </c:pt>
                      <c:pt idx="30">
                        <c:v>6.5924160202288874E-3</c:v>
                      </c:pt>
                      <c:pt idx="31">
                        <c:v>7.0058744566038802E-3</c:v>
                      </c:pt>
                      <c:pt idx="32">
                        <c:v>7.4328503072954308E-3</c:v>
                      </c:pt>
                      <c:pt idx="33">
                        <c:v>7.8733412248553417E-3</c:v>
                      </c:pt>
                      <c:pt idx="34">
                        <c:v>8.3273448598159428E-3</c:v>
                      </c:pt>
                      <c:pt idx="35">
                        <c:v>8.7948588606903202E-3</c:v>
                      </c:pt>
                      <c:pt idx="36">
                        <c:v>9.275880873972641E-3</c:v>
                      </c:pt>
                      <c:pt idx="37">
                        <c:v>9.7704085441383502E-3</c:v>
                      </c:pt>
                      <c:pt idx="38">
                        <c:v>1.0278439513644495E-2</c:v>
                      </c:pt>
                      <c:pt idx="39">
                        <c:v>1.0799971422929941E-2</c:v>
                      </c:pt>
                      <c:pt idx="40">
                        <c:v>1.1335001910415666E-2</c:v>
                      </c:pt>
                      <c:pt idx="41">
                        <c:v>1.1883528612505011E-2</c:v>
                      </c:pt>
                      <c:pt idx="42">
                        <c:v>1.2445549163583956E-2</c:v>
                      </c:pt>
                      <c:pt idx="43">
                        <c:v>1.3021061196021358E-2</c:v>
                      </c:pt>
                      <c:pt idx="44">
                        <c:v>1.3610062340169251E-2</c:v>
                      </c:pt>
                      <c:pt idx="45">
                        <c:v>1.4212550224363071E-2</c:v>
                      </c:pt>
                      <c:pt idx="46">
                        <c:v>1.4828522474921965E-2</c:v>
                      </c:pt>
                      <c:pt idx="47">
                        <c:v>1.545797671614901E-2</c:v>
                      </c:pt>
                      <c:pt idx="48">
                        <c:v>1.6100910570331514E-2</c:v>
                      </c:pt>
                      <c:pt idx="49">
                        <c:v>1.6757321657741242E-2</c:v>
                      </c:pt>
                      <c:pt idx="50">
                        <c:v>1.7427207596634711E-2</c:v>
                      </c:pt>
                      <c:pt idx="51">
                        <c:v>1.8110566003253441E-2</c:v>
                      </c:pt>
                      <c:pt idx="52">
                        <c:v>1.8807394491824229E-2</c:v>
                      </c:pt>
                      <c:pt idx="53">
                        <c:v>1.9517690674559392E-2</c:v>
                      </c:pt>
                      <c:pt idx="54">
                        <c:v>2.0241452161657042E-2</c:v>
                      </c:pt>
                      <c:pt idx="55">
                        <c:v>2.0978676561301358E-2</c:v>
                      </c:pt>
                      <c:pt idx="56">
                        <c:v>2.1729361479662854E-2</c:v>
                      </c:pt>
                      <c:pt idx="57">
                        <c:v>2.24935045208986E-2</c:v>
                      </c:pt>
                      <c:pt idx="58">
                        <c:v>2.3271103287152543E-2</c:v>
                      </c:pt>
                      <c:pt idx="59">
                        <c:v>2.4062155378555727E-2</c:v>
                      </c:pt>
                      <c:pt idx="60">
                        <c:v>2.4866658393226569E-2</c:v>
                      </c:pt>
                      <c:pt idx="61">
                        <c:v>2.5684609927271146E-2</c:v>
                      </c:pt>
                      <c:pt idx="62">
                        <c:v>2.6516007574783427E-2</c:v>
                      </c:pt>
                      <c:pt idx="63">
                        <c:v>2.736084892784554E-2</c:v>
                      </c:pt>
                      <c:pt idx="64">
                        <c:v>2.8219131576528056E-2</c:v>
                      </c:pt>
                      <c:pt idx="65">
                        <c:v>2.9090853108890237E-2</c:v>
                      </c:pt>
                      <c:pt idx="66">
                        <c:v>2.9976011110980309E-2</c:v>
                      </c:pt>
                      <c:pt idx="67">
                        <c:v>3.0874603166835685E-2</c:v>
                      </c:pt>
                      <c:pt idx="68">
                        <c:v>3.1786626858483304E-2</c:v>
                      </c:pt>
                      <c:pt idx="69">
                        <c:v>3.2712079765939817E-2</c:v>
                      </c:pt>
                      <c:pt idx="70">
                        <c:v>3.3650959467211916E-2</c:v>
                      </c:pt>
                      <c:pt idx="71">
                        <c:v>3.4603263538296521E-2</c:v>
                      </c:pt>
                      <c:pt idx="72">
                        <c:v>3.5568989553181128E-2</c:v>
                      </c:pt>
                      <c:pt idx="73">
                        <c:v>3.6548135083844031E-2</c:v>
                      </c:pt>
                      <c:pt idx="74">
                        <c:v>3.7540697700254526E-2</c:v>
                      </c:pt>
                      <c:pt idx="75">
                        <c:v>3.854667497037334E-2</c:v>
                      </c:pt>
                      <c:pt idx="76">
                        <c:v>3.9566064460152671E-2</c:v>
                      </c:pt>
                      <c:pt idx="77">
                        <c:v>4.0598863733536661E-2</c:v>
                      </c:pt>
                      <c:pt idx="78">
                        <c:v>4.1645070352461518E-2</c:v>
                      </c:pt>
                      <c:pt idx="79">
                        <c:v>4.2704681876855839E-2</c:v>
                      </c:pt>
                      <c:pt idx="80">
                        <c:v>4.377769586464083E-2</c:v>
                      </c:pt>
                      <c:pt idx="81">
                        <c:v>4.4864109871730624E-2</c:v>
                      </c:pt>
                      <c:pt idx="82">
                        <c:v>4.596392145203252E-2</c:v>
                      </c:pt>
                      <c:pt idx="83">
                        <c:v>4.7077128157447273E-2</c:v>
                      </c:pt>
                      <c:pt idx="84">
                        <c:v>4.8203727537869258E-2</c:v>
                      </c:pt>
                      <c:pt idx="85">
                        <c:v>4.9343717141186856E-2</c:v>
                      </c:pt>
                      <c:pt idx="86">
                        <c:v>5.0497094513282693E-2</c:v>
                      </c:pt>
                      <c:pt idx="87">
                        <c:v>5.1663857198033736E-2</c:v>
                      </c:pt>
                      <c:pt idx="88">
                        <c:v>5.2844002737311824E-2</c:v>
                      </c:pt>
                      <c:pt idx="89">
                        <c:v>5.4037528670983749E-2</c:v>
                      </c:pt>
                      <c:pt idx="90">
                        <c:v>5.5244432536911622E-2</c:v>
                      </c:pt>
                      <c:pt idx="91">
                        <c:v>5.646471187095297E-2</c:v>
                      </c:pt>
                      <c:pt idx="92">
                        <c:v>5.7698364206961207E-2</c:v>
                      </c:pt>
                      <c:pt idx="93">
                        <c:v>5.8945387076785774E-2</c:v>
                      </c:pt>
                      <c:pt idx="94">
                        <c:v>6.0205778010272396E-2</c:v>
                      </c:pt>
                      <c:pt idx="95">
                        <c:v>6.1479534535263461E-2</c:v>
                      </c:pt>
                      <c:pt idx="96">
                        <c:v>6.2766654177598039E-2</c:v>
                      </c:pt>
                      <c:pt idx="97">
                        <c:v>6.4067134461112479E-2</c:v>
                      </c:pt>
                      <c:pt idx="98">
                        <c:v>6.5380972907640361E-2</c:v>
                      </c:pt>
                      <c:pt idx="99">
                        <c:v>6.6708167037012975E-2</c:v>
                      </c:pt>
                      <c:pt idx="100">
                        <c:v>6.8048714367059449E-2</c:v>
                      </c:pt>
                    </c:numCache>
                  </c:numRef>
                </c:val>
                <c:smooth val="0"/>
                <c:extLst xmlns:c15="http://schemas.microsoft.com/office/drawing/2012/chart">
                  <c:ext xmlns:c16="http://schemas.microsoft.com/office/drawing/2014/chart" uri="{C3380CC4-5D6E-409C-BE32-E72D297353CC}">
                    <c16:uniqueId val="{00000008-52A5-4349-9ADA-2A074F0D0C46}"/>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Load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Calculations'!$AC$9:$AC$109</c15:sqref>
                        </c15:formulaRef>
                      </c:ext>
                    </c:extLst>
                    <c:numCache>
                      <c:formatCode>0.000</c:formatCode>
                      <c:ptCount val="101"/>
                      <c:pt idx="0">
                        <c:v>5.1480781171974101E-3</c:v>
                      </c:pt>
                      <c:pt idx="1">
                        <c:v>5.1490050880673042E-3</c:v>
                      </c:pt>
                      <c:pt idx="2">
                        <c:v>5.1499321188159435E-3</c:v>
                      </c:pt>
                      <c:pt idx="3">
                        <c:v>5.150859209437867E-3</c:v>
                      </c:pt>
                      <c:pt idx="4">
                        <c:v>5.1517863599276079E-3</c:v>
                      </c:pt>
                      <c:pt idx="5">
                        <c:v>5.1527135702797025E-3</c:v>
                      </c:pt>
                      <c:pt idx="6">
                        <c:v>5.1536408404886892E-3</c:v>
                      </c:pt>
                      <c:pt idx="7">
                        <c:v>5.1545681705491E-3</c:v>
                      </c:pt>
                      <c:pt idx="8">
                        <c:v>5.1554955604554732E-3</c:v>
                      </c:pt>
                      <c:pt idx="9">
                        <c:v>5.1564230102023488E-3</c:v>
                      </c:pt>
                      <c:pt idx="10">
                        <c:v>5.1573505197842562E-3</c:v>
                      </c:pt>
                      <c:pt idx="11">
                        <c:v>5.1582780891957416E-3</c:v>
                      </c:pt>
                      <c:pt idx="12">
                        <c:v>5.1592057184313422E-3</c:v>
                      </c:pt>
                      <c:pt idx="13">
                        <c:v>5.1601334074855955E-3</c:v>
                      </c:pt>
                      <c:pt idx="14">
                        <c:v>5.1610611563530371E-3</c:v>
                      </c:pt>
                      <c:pt idx="15">
                        <c:v>5.1619889650282172E-3</c:v>
                      </c:pt>
                      <c:pt idx="16">
                        <c:v>5.162916833505663E-3</c:v>
                      </c:pt>
                      <c:pt idx="17">
                        <c:v>5.1638447617799238E-3</c:v>
                      </c:pt>
                      <c:pt idx="18">
                        <c:v>5.1647727498455387E-3</c:v>
                      </c:pt>
                      <c:pt idx="19">
                        <c:v>5.1657007976970469E-3</c:v>
                      </c:pt>
                      <c:pt idx="20">
                        <c:v>5.1666289053289953E-3</c:v>
                      </c:pt>
                      <c:pt idx="21">
                        <c:v>5.1675570727359238E-3</c:v>
                      </c:pt>
                      <c:pt idx="22">
                        <c:v>5.1684852999123723E-3</c:v>
                      </c:pt>
                      <c:pt idx="23">
                        <c:v>5.1694135868528834E-3</c:v>
                      </c:pt>
                      <c:pt idx="24">
                        <c:v>5.1703419335520162E-3</c:v>
                      </c:pt>
                      <c:pt idx="25">
                        <c:v>5.1712703400042916E-3</c:v>
                      </c:pt>
                      <c:pt idx="26">
                        <c:v>5.1721988062042659E-3</c:v>
                      </c:pt>
                      <c:pt idx="27">
                        <c:v>5.1731273321464896E-3</c:v>
                      </c:pt>
                      <c:pt idx="28">
                        <c:v>5.1740559178254991E-3</c:v>
                      </c:pt>
                      <c:pt idx="29">
                        <c:v>5.1749845632358448E-3</c:v>
                      </c:pt>
                      <c:pt idx="30">
                        <c:v>5.1759132683720701E-3</c:v>
                      </c:pt>
                      <c:pt idx="31">
                        <c:v>5.1768420332287202E-3</c:v>
                      </c:pt>
                      <c:pt idx="32">
                        <c:v>5.1777708578003489E-3</c:v>
                      </c:pt>
                      <c:pt idx="33">
                        <c:v>5.178699742081504E-3</c:v>
                      </c:pt>
                      <c:pt idx="34">
                        <c:v>5.1796286860667229E-3</c:v>
                      </c:pt>
                      <c:pt idx="35">
                        <c:v>5.180557689750568E-3</c:v>
                      </c:pt>
                      <c:pt idx="36">
                        <c:v>5.1814867531275802E-3</c:v>
                      </c:pt>
                      <c:pt idx="37">
                        <c:v>5.1824158761923072E-3</c:v>
                      </c:pt>
                      <c:pt idx="38">
                        <c:v>5.1833450589393003E-3</c:v>
                      </c:pt>
                      <c:pt idx="39">
                        <c:v>5.1842743013631176E-3</c:v>
                      </c:pt>
                      <c:pt idx="40">
                        <c:v>5.1852036034583035E-3</c:v>
                      </c:pt>
                      <c:pt idx="41">
                        <c:v>5.1861329652194022E-3</c:v>
                      </c:pt>
                      <c:pt idx="42">
                        <c:v>5.1870623866409771E-3</c:v>
                      </c:pt>
                      <c:pt idx="43">
                        <c:v>5.1879918677175821E-3</c:v>
                      </c:pt>
                      <c:pt idx="44">
                        <c:v>5.1889214084437545E-3</c:v>
                      </c:pt>
                      <c:pt idx="45">
                        <c:v>5.1898510088140568E-3</c:v>
                      </c:pt>
                      <c:pt idx="46">
                        <c:v>5.1907806688230437E-3</c:v>
                      </c:pt>
                      <c:pt idx="47">
                        <c:v>5.1917103884652673E-3</c:v>
                      </c:pt>
                      <c:pt idx="48">
                        <c:v>5.1926401677352815E-3</c:v>
                      </c:pt>
                      <c:pt idx="49">
                        <c:v>5.1935700066276461E-3</c:v>
                      </c:pt>
                      <c:pt idx="50">
                        <c:v>5.1944999051369021E-3</c:v>
                      </c:pt>
                      <c:pt idx="51">
                        <c:v>5.1954298632576204E-3</c:v>
                      </c:pt>
                      <c:pt idx="52">
                        <c:v>5.1963598809843508E-3</c:v>
                      </c:pt>
                      <c:pt idx="53">
                        <c:v>5.197289958311647E-3</c:v>
                      </c:pt>
                      <c:pt idx="54">
                        <c:v>5.1982200952340671E-3</c:v>
                      </c:pt>
                      <c:pt idx="55">
                        <c:v>5.1991502917461711E-3</c:v>
                      </c:pt>
                      <c:pt idx="56">
                        <c:v>5.2000805478425172E-3</c:v>
                      </c:pt>
                      <c:pt idx="57">
                        <c:v>5.2010108635176635E-3</c:v>
                      </c:pt>
                      <c:pt idx="58">
                        <c:v>5.2019412387661621E-3</c:v>
                      </c:pt>
                      <c:pt idx="59">
                        <c:v>5.2028716735825799E-3</c:v>
                      </c:pt>
                      <c:pt idx="60">
                        <c:v>5.2038021679614785E-3</c:v>
                      </c:pt>
                      <c:pt idx="61">
                        <c:v>5.2047327218974057E-3</c:v>
                      </c:pt>
                      <c:pt idx="62">
                        <c:v>5.2056633353849335E-3</c:v>
                      </c:pt>
                      <c:pt idx="63">
                        <c:v>5.2065940084186149E-3</c:v>
                      </c:pt>
                      <c:pt idx="64">
                        <c:v>5.2075247409930168E-3</c:v>
                      </c:pt>
                      <c:pt idx="65">
                        <c:v>5.2084555331026921E-3</c:v>
                      </c:pt>
                      <c:pt idx="66">
                        <c:v>5.2093863847422171E-3</c:v>
                      </c:pt>
                      <c:pt idx="67">
                        <c:v>5.2103172959061458E-3</c:v>
                      </c:pt>
                      <c:pt idx="68">
                        <c:v>5.2112482665890407E-3</c:v>
                      </c:pt>
                      <c:pt idx="69">
                        <c:v>5.2121792967854651E-3</c:v>
                      </c:pt>
                      <c:pt idx="70">
                        <c:v>5.2131103864899884E-3</c:v>
                      </c:pt>
                      <c:pt idx="71">
                        <c:v>5.2140415356971689E-3</c:v>
                      </c:pt>
                      <c:pt idx="72">
                        <c:v>5.214972744401576E-3</c:v>
                      </c:pt>
                      <c:pt idx="73">
                        <c:v>5.2159040125977687E-3</c:v>
                      </c:pt>
                      <c:pt idx="74">
                        <c:v>5.2168353402803139E-3</c:v>
                      </c:pt>
                      <c:pt idx="75">
                        <c:v>5.2177667274437888E-3</c:v>
                      </c:pt>
                      <c:pt idx="76">
                        <c:v>5.2186981740827421E-3</c:v>
                      </c:pt>
                      <c:pt idx="77">
                        <c:v>5.2196296801917509E-3</c:v>
                      </c:pt>
                      <c:pt idx="78">
                        <c:v>5.2205612457653884E-3</c:v>
                      </c:pt>
                      <c:pt idx="79">
                        <c:v>5.2214928707982099E-3</c:v>
                      </c:pt>
                      <c:pt idx="80">
                        <c:v>5.2224245552847937E-3</c:v>
                      </c:pt>
                      <c:pt idx="81">
                        <c:v>5.2233562992196969E-3</c:v>
                      </c:pt>
                      <c:pt idx="82">
                        <c:v>5.2242881025974961E-3</c:v>
                      </c:pt>
                      <c:pt idx="83">
                        <c:v>5.2252199654127737E-3</c:v>
                      </c:pt>
                      <c:pt idx="84">
                        <c:v>5.2261518876600722E-3</c:v>
                      </c:pt>
                      <c:pt idx="85">
                        <c:v>5.2270838693339802E-3</c:v>
                      </c:pt>
                      <c:pt idx="86">
                        <c:v>5.2280159104290645E-3</c:v>
                      </c:pt>
                      <c:pt idx="87">
                        <c:v>5.2289480109398998E-3</c:v>
                      </c:pt>
                      <c:pt idx="88">
                        <c:v>5.2298801708610485E-3</c:v>
                      </c:pt>
                      <c:pt idx="89">
                        <c:v>5.2308123901870975E-3</c:v>
                      </c:pt>
                      <c:pt idx="90">
                        <c:v>5.2317446689126084E-3</c:v>
                      </c:pt>
                      <c:pt idx="91">
                        <c:v>5.2326770070321499E-3</c:v>
                      </c:pt>
                      <c:pt idx="92">
                        <c:v>5.2336094045403085E-3</c:v>
                      </c:pt>
                      <c:pt idx="93">
                        <c:v>5.2345418614316496E-3</c:v>
                      </c:pt>
                      <c:pt idx="94">
                        <c:v>5.2354743777007487E-3</c:v>
                      </c:pt>
                      <c:pt idx="95">
                        <c:v>5.236406953342182E-3</c:v>
                      </c:pt>
                      <c:pt idx="96">
                        <c:v>5.2373395883505277E-3</c:v>
                      </c:pt>
                      <c:pt idx="97">
                        <c:v>5.2382722827203554E-3</c:v>
                      </c:pt>
                      <c:pt idx="98">
                        <c:v>5.2392050364462464E-3</c:v>
                      </c:pt>
                      <c:pt idx="99">
                        <c:v>5.2401378495227739E-3</c:v>
                      </c:pt>
                      <c:pt idx="100">
                        <c:v>5.241070721944509E-3</c:v>
                      </c:pt>
                    </c:numCache>
                  </c:numRef>
                </c:val>
                <c:smooth val="0"/>
                <c:extLst xmlns:c15="http://schemas.microsoft.com/office/drawing/2012/chart">
                  <c:ext xmlns:c16="http://schemas.microsoft.com/office/drawing/2014/chart" uri="{C3380CC4-5D6E-409C-BE32-E72D297353CC}">
                    <c16:uniqueId val="{00000009-52A5-4349-9ADA-2A074F0D0C46}"/>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Load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Calculations'!$AK$9:$AK$109</c15:sqref>
                        </c15:formulaRef>
                      </c:ext>
                    </c:extLst>
                    <c:numCache>
                      <c:formatCode>0.000</c:formatCode>
                      <c:ptCount val="101"/>
                      <c:pt idx="0">
                        <c:v>4.4984845120413425E-2</c:v>
                      </c:pt>
                      <c:pt idx="1">
                        <c:v>7.1942174356351016E-2</c:v>
                      </c:pt>
                      <c:pt idx="2">
                        <c:v>9.735549990955901E-2</c:v>
                      </c:pt>
                      <c:pt idx="3">
                        <c:v>0.12289572056859287</c:v>
                      </c:pt>
                      <c:pt idx="4">
                        <c:v>0.14856509122822803</c:v>
                      </c:pt>
                      <c:pt idx="5">
                        <c:v>0.17436589009879877</c:v>
                      </c:pt>
                      <c:pt idx="6">
                        <c:v>0.20030041938049167</c:v>
                      </c:pt>
                      <c:pt idx="7">
                        <c:v>0.22637100594857551</c:v>
                      </c:pt>
                      <c:pt idx="8">
                        <c:v>0.25258000204999587</c:v>
                      </c:pt>
                      <c:pt idx="9">
                        <c:v>0.27892978601177321</c:v>
                      </c:pt>
                      <c:pt idx="10">
                        <c:v>0.30542276296165222</c:v>
                      </c:pt>
                      <c:pt idx="11">
                        <c:v>0.33206136556146282</c:v>
                      </c:pt>
                      <c:pt idx="12">
                        <c:v>0.35884805475366205</c:v>
                      </c:pt>
                      <c:pt idx="13">
                        <c:v>0.38578532052154113</c:v>
                      </c:pt>
                      <c:pt idx="14">
                        <c:v>0.41287568266358915</c:v>
                      </c:pt>
                      <c:pt idx="15">
                        <c:v>0.44109093050683484</c:v>
                      </c:pt>
                      <c:pt idx="16">
                        <c:v>0.47139243807210307</c:v>
                      </c:pt>
                      <c:pt idx="17">
                        <c:v>0.50185760794067213</c:v>
                      </c:pt>
                      <c:pt idx="18">
                        <c:v>0.53248934532516168</c:v>
                      </c:pt>
                      <c:pt idx="19">
                        <c:v>0.56329059040825291</c:v>
                      </c:pt>
                      <c:pt idx="20">
                        <c:v>0.59426431929159529</c:v>
                      </c:pt>
                      <c:pt idx="21">
                        <c:v>0.62541354496347079</c:v>
                      </c:pt>
                      <c:pt idx="22">
                        <c:v>0.65674131828588111</c:v>
                      </c:pt>
                      <c:pt idx="23">
                        <c:v>0.68825072900174078</c:v>
                      </c:pt>
                      <c:pt idx="24">
                        <c:v>0.71994490676288536</c:v>
                      </c:pt>
                      <c:pt idx="25">
                        <c:v>0.75182702217961306</c:v>
                      </c:pt>
                      <c:pt idx="26">
                        <c:v>0.78390028789251121</c:v>
                      </c:pt>
                      <c:pt idx="27">
                        <c:v>0.81616795966733602</c:v>
                      </c:pt>
                      <c:pt idx="28">
                        <c:v>0.84863333751373438</c:v>
                      </c:pt>
                      <c:pt idx="29">
                        <c:v>0.88129976682862843</c:v>
                      </c:pt>
                      <c:pt idx="30">
                        <c:v>0.91417063956510092</c:v>
                      </c:pt>
                      <c:pt idx="31">
                        <c:v>0.94724939542765241</c:v>
                      </c:pt>
                      <c:pt idx="32">
                        <c:v>0.98053952309472381</c:v>
                      </c:pt>
                      <c:pt idx="33">
                        <c:v>1.0140445614694114</c:v>
                      </c:pt>
                      <c:pt idx="34">
                        <c:v>1.0477681009593236</c:v>
                      </c:pt>
                      <c:pt idx="35">
                        <c:v>1.0817137847865717</c:v>
                      </c:pt>
                      <c:pt idx="36">
                        <c:v>1.1158853103289061</c:v>
                      </c:pt>
                      <c:pt idx="37">
                        <c:v>1.150286430493054</c:v>
                      </c:pt>
                      <c:pt idx="38">
                        <c:v>1.184920955121342</c:v>
                      </c:pt>
                      <c:pt idx="39">
                        <c:v>1.2197927524327334</c:v>
                      </c:pt>
                      <c:pt idx="40">
                        <c:v>1.2549057504994328</c:v>
                      </c:pt>
                      <c:pt idx="41">
                        <c:v>1.2902639387602672</c:v>
                      </c:pt>
                      <c:pt idx="42">
                        <c:v>1.3258713695720881</c:v>
                      </c:pt>
                      <c:pt idx="43">
                        <c:v>1.361732159800473</c:v>
                      </c:pt>
                      <c:pt idx="44">
                        <c:v>1.3978504924510686</c:v>
                      </c:pt>
                      <c:pt idx="45">
                        <c:v>1.4342306183429459</c:v>
                      </c:pt>
                      <c:pt idx="46">
                        <c:v>1.4708768578254048</c:v>
                      </c:pt>
                      <c:pt idx="47">
                        <c:v>1.5077936025397003</c:v>
                      </c:pt>
                      <c:pt idx="48">
                        <c:v>1.5449853172272232</c:v>
                      </c:pt>
                      <c:pt idx="49">
                        <c:v>1.5824565415857368</c:v>
                      </c:pt>
                      <c:pt idx="50">
                        <c:v>1.6202118921752953</c:v>
                      </c:pt>
                      <c:pt idx="51">
                        <c:v>1.6582560643755733</c:v>
                      </c:pt>
                      <c:pt idx="52">
                        <c:v>1.6965938343963649</c:v>
                      </c:pt>
                      <c:pt idx="53">
                        <c:v>1.7352300613430929</c:v>
                      </c:pt>
                      <c:pt idx="54">
                        <c:v>1.7741696893392362</c:v>
                      </c:pt>
                      <c:pt idx="55">
                        <c:v>1.8134177497076502</c:v>
                      </c:pt>
                      <c:pt idx="56">
                        <c:v>1.8529793632128424</c:v>
                      </c:pt>
                      <c:pt idx="57">
                        <c:v>1.8928597423663218</c:v>
                      </c:pt>
                      <c:pt idx="58">
                        <c:v>1.9330641937972541</c:v>
                      </c:pt>
                      <c:pt idx="59">
                        <c:v>1.9735981206907052</c:v>
                      </c:pt>
                      <c:pt idx="60">
                        <c:v>2.0144670252958781</c:v>
                      </c:pt>
                      <c:pt idx="61">
                        <c:v>2.0556765115068174</c:v>
                      </c:pt>
                      <c:pt idx="62">
                        <c:v>2.0972322875181688</c:v>
                      </c:pt>
                      <c:pt idx="63">
                        <c:v>2.1391401685586713</c:v>
                      </c:pt>
                      <c:pt idx="64">
                        <c:v>2.1814060797051806</c:v>
                      </c:pt>
                      <c:pt idx="65">
                        <c:v>2.2240360587801233</c:v>
                      </c:pt>
                      <c:pt idx="66">
                        <c:v>2.2670362593353977</c:v>
                      </c:pt>
                      <c:pt idx="67">
                        <c:v>2.3104129537258769</c:v>
                      </c:pt>
                      <c:pt idx="68">
                        <c:v>2.3541725362757671</c:v>
                      </c:pt>
                      <c:pt idx="69">
                        <c:v>2.3983215265412454</c:v>
                      </c:pt>
                      <c:pt idx="70">
                        <c:v>2.4428665726729104</c:v>
                      </c:pt>
                      <c:pt idx="71">
                        <c:v>2.4878144548817374</c:v>
                      </c:pt>
                      <c:pt idx="72">
                        <c:v>2.5331720890124063</c:v>
                      </c:pt>
                      <c:pt idx="73">
                        <c:v>2.5789465302279755</c:v>
                      </c:pt>
                      <c:pt idx="74">
                        <c:v>2.6251449768101223</c:v>
                      </c:pt>
                      <c:pt idx="75">
                        <c:v>2.6717747740792648</c:v>
                      </c:pt>
                      <c:pt idx="76">
                        <c:v>2.7188434184391452</c:v>
                      </c:pt>
                      <c:pt idx="77">
                        <c:v>2.7663585615505775</c:v>
                      </c:pt>
                      <c:pt idx="78">
                        <c:v>2.8143280146393299</c:v>
                      </c:pt>
                      <c:pt idx="79">
                        <c:v>2.8627597529432798</c:v>
                      </c:pt>
                      <c:pt idx="80">
                        <c:v>2.9116619203042298</c:v>
                      </c:pt>
                      <c:pt idx="81">
                        <c:v>2.961042833910013</c:v>
                      </c:pt>
                      <c:pt idx="82">
                        <c:v>3.0109109891927344</c:v>
                      </c:pt>
                      <c:pt idx="83">
                        <c:v>3.0612750648892941</c:v>
                      </c:pt>
                      <c:pt idx="84">
                        <c:v>3.1121439282705863</c:v>
                      </c:pt>
                      <c:pt idx="85">
                        <c:v>3.1635266405460754</c:v>
                      </c:pt>
                      <c:pt idx="86">
                        <c:v>3.2154324624507211</c:v>
                      </c:pt>
                      <c:pt idx="87">
                        <c:v>3.2678708600215836</c:v>
                      </c:pt>
                      <c:pt idx="88">
                        <c:v>3.3208515105717553</c:v>
                      </c:pt>
                      <c:pt idx="89">
                        <c:v>3.3743843088695931</c:v>
                      </c:pt>
                      <c:pt idx="90">
                        <c:v>3.428479373531665</c:v>
                      </c:pt>
                      <c:pt idx="91">
                        <c:v>3.4831470536381173</c:v>
                      </c:pt>
                      <c:pt idx="92">
                        <c:v>3.5383979355796775</c:v>
                      </c:pt>
                      <c:pt idx="93">
                        <c:v>3.5942428501458701</c:v>
                      </c:pt>
                      <c:pt idx="94">
                        <c:v>3.6506928798645117</c:v>
                      </c:pt>
                      <c:pt idx="95">
                        <c:v>3.707759366603026</c:v>
                      </c:pt>
                      <c:pt idx="96">
                        <c:v>3.7654539194426189</c:v>
                      </c:pt>
                      <c:pt idx="97">
                        <c:v>3.823788422836897</c:v>
                      </c:pt>
                      <c:pt idx="98">
                        <c:v>3.8827750450670622</c:v>
                      </c:pt>
                      <c:pt idx="99">
                        <c:v>3.942426247006444</c:v>
                      </c:pt>
                      <c:pt idx="100">
                        <c:v>4.0027547912076837</c:v>
                      </c:pt>
                    </c:numCache>
                  </c:numRef>
                </c:val>
                <c:smooth val="0"/>
                <c:extLst xmlns:c15="http://schemas.microsoft.com/office/drawing/2012/chart">
                  <c:ext xmlns:c16="http://schemas.microsoft.com/office/drawing/2014/chart" uri="{C3380CC4-5D6E-409C-BE32-E72D297353CC}">
                    <c16:uniqueId val="{0000000A-52A5-4349-9ADA-2A074F0D0C46}"/>
                  </c:ext>
                </c:extLst>
              </c15:ser>
            </c15:filteredLineSeries>
            <c15:filteredLineSeries>
              <c15:ser>
                <c:idx val="2"/>
                <c:order val="11"/>
                <c:tx>
                  <c:strRef>
                    <c:extLst xmlns:c15="http://schemas.microsoft.com/office/drawing/2012/chart">
                      <c:ext xmlns:c15="http://schemas.microsoft.com/office/drawing/2012/chart" uri="{02D57815-91ED-43cb-92C2-25804820EDAC}">
                        <c15:formulaRef>
                          <c15:sqref>'Efficiency vs Load Calculations'!$BR$8</c15:sqref>
                        </c15:formulaRef>
                      </c:ext>
                    </c:extLst>
                    <c:strCache>
                      <c:ptCount val="1"/>
                      <c:pt idx="0">
                        <c:v>Buck ''Control'' MOSFET Loss</c:v>
                      </c:pt>
                    </c:strCache>
                  </c:strRef>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Calculations'!$BR$9:$BR$109</c15:sqref>
                        </c15:formulaRef>
                      </c:ext>
                    </c:extLst>
                    <c:numCache>
                      <c:formatCode>0.000</c:formatCode>
                      <c:ptCount val="101"/>
                      <c:pt idx="0">
                        <c:v>4.4984845120413425E-2</c:v>
                      </c:pt>
                      <c:pt idx="1">
                        <c:v>7.3811254439551013E-2</c:v>
                      </c:pt>
                      <c:pt idx="2">
                        <c:v>0.10109358024235901</c:v>
                      </c:pt>
                      <c:pt idx="3">
                        <c:v>0.12850272131739288</c:v>
                      </c:pt>
                      <c:pt idx="4">
                        <c:v>0.15604093255942802</c:v>
                      </c:pt>
                      <c:pt idx="5">
                        <c:v>0.18371049217879878</c:v>
                      </c:pt>
                      <c:pt idx="6">
                        <c:v>0.21151370237569167</c:v>
                      </c:pt>
                      <c:pt idx="7">
                        <c:v>0.23945289002537551</c:v>
                      </c:pt>
                      <c:pt idx="8">
                        <c:v>0.26753040737479589</c:v>
                      </c:pt>
                      <c:pt idx="9">
                        <c:v>0.29574863275097318</c:v>
                      </c:pt>
                      <c:pt idx="10">
                        <c:v>0.3241099712816522</c:v>
                      </c:pt>
                      <c:pt idx="11">
                        <c:v>0.35261685562866285</c:v>
                      </c:pt>
                      <c:pt idx="12">
                        <c:v>0.38127174673446207</c:v>
                      </c:pt>
                      <c:pt idx="13">
                        <c:v>0.41007713458234113</c:v>
                      </c:pt>
                      <c:pt idx="14">
                        <c:v>0.43903553897078917</c:v>
                      </c:pt>
                      <c:pt idx="15">
                        <c:v>0.46911874922683483</c:v>
                      </c:pt>
                      <c:pt idx="16">
                        <c:v>0.50128813937130312</c:v>
                      </c:pt>
                      <c:pt idx="17">
                        <c:v>0.53362111198547213</c:v>
                      </c:pt>
                      <c:pt idx="18">
                        <c:v>0.56612057228196166</c:v>
                      </c:pt>
                      <c:pt idx="19">
                        <c:v>0.59878946044345294</c:v>
                      </c:pt>
                      <c:pt idx="20">
                        <c:v>0.63163075257159529</c:v>
                      </c:pt>
                      <c:pt idx="21">
                        <c:v>0.66464746165467081</c:v>
                      </c:pt>
                      <c:pt idx="22">
                        <c:v>0.69784263855468109</c:v>
                      </c:pt>
                      <c:pt idx="23">
                        <c:v>0.73121937301454076</c:v>
                      </c:pt>
                      <c:pt idx="24">
                        <c:v>0.7647807946860854</c:v>
                      </c:pt>
                      <c:pt idx="25">
                        <c:v>0.79853007417961308</c:v>
                      </c:pt>
                      <c:pt idx="26">
                        <c:v>0.83247042413571126</c:v>
                      </c:pt>
                      <c:pt idx="27">
                        <c:v>0.86660510032013605</c:v>
                      </c:pt>
                      <c:pt idx="28">
                        <c:v>0.90093740274253442</c:v>
                      </c:pt>
                      <c:pt idx="29">
                        <c:v>0.93547067679982843</c:v>
                      </c:pt>
                      <c:pt idx="30">
                        <c:v>0.97020831444510092</c:v>
                      </c:pt>
                      <c:pt idx="31">
                        <c:v>1.0051537553828525</c:v>
                      </c:pt>
                      <c:pt idx="32">
                        <c:v>1.0403104882915237</c:v>
                      </c:pt>
                      <c:pt idx="33">
                        <c:v>1.0756820520742114</c:v>
                      </c:pt>
                      <c:pt idx="34">
                        <c:v>1.1112720371385236</c:v>
                      </c:pt>
                      <c:pt idx="35">
                        <c:v>1.1470840867065717</c:v>
                      </c:pt>
                      <c:pt idx="36">
                        <c:v>1.1831218981561062</c:v>
                      </c:pt>
                      <c:pt idx="37">
                        <c:v>1.219389224393854</c:v>
                      </c:pt>
                      <c:pt idx="38">
                        <c:v>1.2558898752621419</c:v>
                      </c:pt>
                      <c:pt idx="39">
                        <c:v>1.2926277189799333</c:v>
                      </c:pt>
                      <c:pt idx="40">
                        <c:v>1.3296066836194327</c:v>
                      </c:pt>
                      <c:pt idx="41">
                        <c:v>1.3668307586194672</c:v>
                      </c:pt>
                      <c:pt idx="42">
                        <c:v>1.4043039963368882</c:v>
                      </c:pt>
                      <c:pt idx="43">
                        <c:v>1.4420305136372731</c:v>
                      </c:pt>
                      <c:pt idx="44">
                        <c:v>1.4800144935262687</c:v>
                      </c:pt>
                      <c:pt idx="45">
                        <c:v>1.5182601868229459</c:v>
                      </c:pt>
                      <c:pt idx="46">
                        <c:v>1.5567719138766047</c:v>
                      </c:pt>
                      <c:pt idx="47">
                        <c:v>1.5955540663285004</c:v>
                      </c:pt>
                      <c:pt idx="48">
                        <c:v>1.6346111089200233</c:v>
                      </c:pt>
                      <c:pt idx="49">
                        <c:v>1.6739475813489368</c:v>
                      </c:pt>
                      <c:pt idx="50">
                        <c:v>1.7135681001752954</c:v>
                      </c:pt>
                      <c:pt idx="51">
                        <c:v>1.7534773607787733</c:v>
                      </c:pt>
                      <c:pt idx="52">
                        <c:v>1.7936801393691648</c:v>
                      </c:pt>
                      <c:pt idx="53">
                        <c:v>1.834181295051893</c:v>
                      </c:pt>
                      <c:pt idx="54">
                        <c:v>1.8749857719504364</c:v>
                      </c:pt>
                      <c:pt idx="55">
                        <c:v>1.9160986013876502</c:v>
                      </c:pt>
                      <c:pt idx="56">
                        <c:v>1.9575249041280425</c:v>
                      </c:pt>
                      <c:pt idx="57">
                        <c:v>1.9992698926831218</c:v>
                      </c:pt>
                      <c:pt idx="58">
                        <c:v>2.0413388736820544</c:v>
                      </c:pt>
                      <c:pt idx="59">
                        <c:v>2.083737250309905</c:v>
                      </c:pt>
                      <c:pt idx="60">
                        <c:v>2.1264705248158782</c:v>
                      </c:pt>
                      <c:pt idx="61">
                        <c:v>2.1695443010940174</c:v>
                      </c:pt>
                      <c:pt idx="62">
                        <c:v>2.212964287338969</c:v>
                      </c:pt>
                      <c:pt idx="63">
                        <c:v>2.2567362987794715</c:v>
                      </c:pt>
                      <c:pt idx="64">
                        <c:v>2.3008662604923806</c:v>
                      </c:pt>
                      <c:pt idx="65">
                        <c:v>2.3453602103001234</c:v>
                      </c:pt>
                      <c:pt idx="66">
                        <c:v>2.3902243017545977</c:v>
                      </c:pt>
                      <c:pt idx="67">
                        <c:v>2.435464807210677</c:v>
                      </c:pt>
                      <c:pt idx="68">
                        <c:v>2.4810881209925673</c:v>
                      </c:pt>
                      <c:pt idx="69">
                        <c:v>2.5271007626564455</c:v>
                      </c:pt>
                      <c:pt idx="70">
                        <c:v>2.5735093803529105</c:v>
                      </c:pt>
                      <c:pt idx="71">
                        <c:v>2.6203207542929374</c:v>
                      </c:pt>
                      <c:pt idx="72">
                        <c:v>2.6675418003212061</c:v>
                      </c:pt>
                      <c:pt idx="73">
                        <c:v>2.7151795736007753</c:v>
                      </c:pt>
                      <c:pt idx="74">
                        <c:v>2.7632412724133224</c:v>
                      </c:pt>
                      <c:pt idx="75">
                        <c:v>2.8117342420792646</c:v>
                      </c:pt>
                      <c:pt idx="76">
                        <c:v>2.8606659790023454</c:v>
                      </c:pt>
                      <c:pt idx="77">
                        <c:v>2.9100441348433774</c:v>
                      </c:pt>
                      <c:pt idx="78">
                        <c:v>2.9598765208281299</c:v>
                      </c:pt>
                      <c:pt idx="79">
                        <c:v>3.0101711121944796</c:v>
                      </c:pt>
                      <c:pt idx="80">
                        <c:v>3.0609360527842298</c:v>
                      </c:pt>
                      <c:pt idx="81">
                        <c:v>3.1121796597852129</c:v>
                      </c:pt>
                      <c:pt idx="82">
                        <c:v>3.1639104286295345</c:v>
                      </c:pt>
                      <c:pt idx="83">
                        <c:v>3.2161370380540943</c:v>
                      </c:pt>
                      <c:pt idx="84">
                        <c:v>3.2688683553297864</c:v>
                      </c:pt>
                      <c:pt idx="85">
                        <c:v>3.3221134416660751</c:v>
                      </c:pt>
                      <c:pt idx="86">
                        <c:v>3.3758815577979213</c:v>
                      </c:pt>
                      <c:pt idx="87">
                        <c:v>3.4301821697623835</c:v>
                      </c:pt>
                      <c:pt idx="88">
                        <c:v>3.4850249548725554</c:v>
                      </c:pt>
                      <c:pt idx="89">
                        <c:v>3.540419807896793</c:v>
                      </c:pt>
                      <c:pt idx="90">
                        <c:v>3.5963768474516651</c:v>
                      </c:pt>
                      <c:pt idx="91">
                        <c:v>3.6529064226173174</c:v>
                      </c:pt>
                      <c:pt idx="92">
                        <c:v>3.7100191197844774</c:v>
                      </c:pt>
                      <c:pt idx="93">
                        <c:v>3.76772576974267</c:v>
                      </c:pt>
                      <c:pt idx="94">
                        <c:v>3.8260374550197116</c:v>
                      </c:pt>
                      <c:pt idx="95">
                        <c:v>3.884965517483026</c:v>
                      </c:pt>
                      <c:pt idx="96">
                        <c:v>3.9445215662138189</c:v>
                      </c:pt>
                      <c:pt idx="97">
                        <c:v>4.0047174856656973</c:v>
                      </c:pt>
                      <c:pt idx="98">
                        <c:v>4.0655654441198621</c:v>
                      </c:pt>
                      <c:pt idx="99">
                        <c:v>4.1270779024496438</c:v>
                      </c:pt>
                      <c:pt idx="100">
                        <c:v>4.1892676232076838</c:v>
                      </c:pt>
                    </c:numCache>
                  </c:numRef>
                </c:val>
                <c:smooth val="0"/>
                <c:extLst xmlns:c15="http://schemas.microsoft.com/office/drawing/2012/chart">
                  <c:ext xmlns:c16="http://schemas.microsoft.com/office/drawing/2014/chart" uri="{C3380CC4-5D6E-409C-BE32-E72D297353CC}">
                    <c16:uniqueId val="{0000000B-52A5-4349-9ADA-2A074F0D0C46}"/>
                  </c:ext>
                </c:extLst>
              </c15:ser>
            </c15:filteredLineSeries>
            <c15:filteredLineSeries>
              <c15:ser>
                <c:idx val="3"/>
                <c:order val="12"/>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Calculations'!$BP$9:$BP$109</c15:sqref>
                        </c15:formulaRef>
                      </c:ext>
                    </c:extLst>
                    <c:numCache>
                      <c:formatCode>0.000</c:formatCode>
                      <c:ptCount val="101"/>
                      <c:pt idx="0">
                        <c:v>0.58797803073057131</c:v>
                      </c:pt>
                      <c:pt idx="1">
                        <c:v>0.58818343461577127</c:v>
                      </c:pt>
                      <c:pt idx="2">
                        <c:v>0.58855605730201044</c:v>
                      </c:pt>
                      <c:pt idx="3">
                        <c:v>0.58909591899561842</c:v>
                      </c:pt>
                      <c:pt idx="4">
                        <c:v>0.58980305332115146</c:v>
                      </c:pt>
                      <c:pt idx="5">
                        <c:v>0.59067750732812641</c:v>
                      </c:pt>
                      <c:pt idx="6">
                        <c:v>0.59171934150047079</c:v>
                      </c:pt>
                      <c:pt idx="7">
                        <c:v>0.59292862976865324</c:v>
                      </c:pt>
                      <c:pt idx="8">
                        <c:v>0.59430545952453029</c:v>
                      </c:pt>
                      <c:pt idx="9">
                        <c:v>0.595849931638887</c:v>
                      </c:pt>
                      <c:pt idx="10">
                        <c:v>0.59756216048170685</c:v>
                      </c:pt>
                      <c:pt idx="11">
                        <c:v>0.59944227394515426</c:v>
                      </c:pt>
                      <c:pt idx="12">
                        <c:v>0.60149041346929066</c:v>
                      </c:pt>
                      <c:pt idx="13">
                        <c:v>0.60370673407053554</c:v>
                      </c:pt>
                      <c:pt idx="14">
                        <c:v>0.60609140437286846</c:v>
                      </c:pt>
                      <c:pt idx="15">
                        <c:v>0.60864460664181097</c:v>
                      </c:pt>
                      <c:pt idx="16">
                        <c:v>0.61136653682116215</c:v>
                      </c:pt>
                      <c:pt idx="17">
                        <c:v>0.61425740457254829</c:v>
                      </c:pt>
                      <c:pt idx="18">
                        <c:v>0.61731743331775746</c:v>
                      </c:pt>
                      <c:pt idx="19">
                        <c:v>0.62054686028390282</c:v>
                      </c:pt>
                      <c:pt idx="20">
                        <c:v>0.62394593655142661</c:v>
                      </c:pt>
                      <c:pt idx="21">
                        <c:v>0.62751492710495649</c:v>
                      </c:pt>
                      <c:pt idx="22">
                        <c:v>0.63125411088703409</c:v>
                      </c:pt>
                      <c:pt idx="23">
                        <c:v>0.63516378085474712</c:v>
                      </c:pt>
                      <c:pt idx="24">
                        <c:v>0.6392442440392726</c:v>
                      </c:pt>
                      <c:pt idx="25">
                        <c:v>0.64349582160835672</c:v>
                      </c:pt>
                      <c:pt idx="26">
                        <c:v>0.64791884893177076</c:v>
                      </c:pt>
                      <c:pt idx="27">
                        <c:v>0.65251367564974583</c:v>
                      </c:pt>
                      <c:pt idx="28">
                        <c:v>0.65728066574442157</c:v>
                      </c:pt>
                      <c:pt idx="29">
                        <c:v>0.66222019761434636</c:v>
                      </c:pt>
                      <c:pt idx="30">
                        <c:v>0.66733266415203496</c:v>
                      </c:pt>
                      <c:pt idx="31">
                        <c:v>0.67261847282464393</c:v>
                      </c:pt>
                      <c:pt idx="32">
                        <c:v>0.67807804575776165</c:v>
                      </c:pt>
                      <c:pt idx="33">
                        <c:v>0.68371181982237883</c:v>
                      </c:pt>
                      <c:pt idx="34">
                        <c:v>0.68952024672504098</c:v>
                      </c:pt>
                      <c:pt idx="35">
                        <c:v>0.69550379310124866</c:v>
                      </c:pt>
                      <c:pt idx="36">
                        <c:v>0.70166294061212142</c:v>
                      </c:pt>
                      <c:pt idx="37">
                        <c:v>0.70799818604436049</c:v>
                      </c:pt>
                      <c:pt idx="38">
                        <c:v>0.71451004141357721</c:v>
                      </c:pt>
                      <c:pt idx="39">
                        <c:v>0.72119903407098851</c:v>
                      </c:pt>
                      <c:pt idx="40">
                        <c:v>0.72806570681355354</c:v>
                      </c:pt>
                      <c:pt idx="41">
                        <c:v>0.7351106179975766</c:v>
                      </c:pt>
                      <c:pt idx="42">
                        <c:v>0.74233434165583789</c:v>
                      </c:pt>
                      <c:pt idx="43">
                        <c:v>0.74973746761826554</c:v>
                      </c:pt>
                      <c:pt idx="44">
                        <c:v>0.75732060163624593</c:v>
                      </c:pt>
                      <c:pt idx="45">
                        <c:v>0.76508436551057946</c:v>
                      </c:pt>
                      <c:pt idx="46">
                        <c:v>0.77302939722315034</c:v>
                      </c:pt>
                      <c:pt idx="47">
                        <c:v>0.78115635107236892</c:v>
                      </c:pt>
                      <c:pt idx="48">
                        <c:v>0.7894658978124226</c:v>
                      </c:pt>
                      <c:pt idx="49">
                        <c:v>0.7979587247964175</c:v>
                      </c:pt>
                      <c:pt idx="50">
                        <c:v>0.80663553612343974</c:v>
                      </c:pt>
                      <c:pt idx="51">
                        <c:v>0.81549705278962326</c:v>
                      </c:pt>
                      <c:pt idx="52">
                        <c:v>0.82454401284326095</c:v>
                      </c:pt>
                      <c:pt idx="53">
                        <c:v>0.83377717154404907</c:v>
                      </c:pt>
                      <c:pt idx="54">
                        <c:v>0.84319730152650907</c:v>
                      </c:pt>
                      <c:pt idx="55">
                        <c:v>0.852805192967654</c:v>
                      </c:pt>
                      <c:pt idx="56">
                        <c:v>0.862601653758995</c:v>
                      </c:pt>
                      <c:pt idx="57">
                        <c:v>0.87258750968292031</c:v>
                      </c:pt>
                      <c:pt idx="58">
                        <c:v>0.8827636045935594</c:v>
                      </c:pt>
                      <c:pt idx="59">
                        <c:v>0.89313080060217631</c:v>
                      </c:pt>
                      <c:pt idx="60">
                        <c:v>0.90368997826718966</c:v>
                      </c:pt>
                      <c:pt idx="61">
                        <c:v>0.91444203678889124</c:v>
                      </c:pt>
                      <c:pt idx="62">
                        <c:v>0.92538789420894907</c:v>
                      </c:pt>
                      <c:pt idx="63">
                        <c:v>0.93652848761477636</c:v>
                      </c:pt>
                      <c:pt idx="64">
                        <c:v>0.94786477334885899</c:v>
                      </c:pt>
                      <c:pt idx="65">
                        <c:v>0.95939772722312477</c:v>
                      </c:pt>
                      <c:pt idx="66">
                        <c:v>0.971128344738453</c:v>
                      </c:pt>
                      <c:pt idx="67">
                        <c:v>0.98305764130941364</c:v>
                      </c:pt>
                      <c:pt idx="68">
                        <c:v>0.99518665249434202</c:v>
                      </c:pt>
                      <c:pt idx="69">
                        <c:v>1.0075164342308351</c:v>
                      </c:pt>
                      <c:pt idx="70">
                        <c:v>1.0200480630767987</c:v>
                      </c:pt>
                      <c:pt idx="71">
                        <c:v>1.0327826364571071</c:v>
                      </c:pt>
                      <c:pt idx="72">
                        <c:v>1.0457212729160472</c:v>
                      </c:pt>
                      <c:pt idx="73">
                        <c:v>1.0588651123755906</c:v>
                      </c:pt>
                      <c:pt idx="74">
                        <c:v>1.0722153163996722</c:v>
                      </c:pt>
                      <c:pt idx="75">
                        <c:v>1.0857730684645426</c:v>
                      </c:pt>
                      <c:pt idx="76">
                        <c:v>1.0995395742353458</c:v>
                      </c:pt>
                      <c:pt idx="77">
                        <c:v>1.1135160618490469</c:v>
                      </c:pt>
                      <c:pt idx="78">
                        <c:v>1.1277037822038256</c:v>
                      </c:pt>
                      <c:pt idx="79">
                        <c:v>1.1421040092550681</c:v>
                      </c:pt>
                      <c:pt idx="80">
                        <c:v>1.1567180403181148</c:v>
                      </c:pt>
                      <c:pt idx="81">
                        <c:v>1.1715471963778761</c:v>
                      </c:pt>
                      <c:pt idx="82">
                        <c:v>1.1865928224054787</c:v>
                      </c:pt>
                      <c:pt idx="83">
                        <c:v>1.2018562876820895</c:v>
                      </c:pt>
                      <c:pt idx="84">
                        <c:v>1.2173389861300468</c:v>
                      </c:pt>
                      <c:pt idx="85">
                        <c:v>1.2330423366514949</c:v>
                      </c:pt>
                      <c:pt idx="86">
                        <c:v>1.2489677834746504</c:v>
                      </c:pt>
                      <c:pt idx="87">
                        <c:v>1.2651167965078729</c:v>
                      </c:pt>
                      <c:pt idx="88">
                        <c:v>1.2814908717017168</c:v>
                      </c:pt>
                      <c:pt idx="89">
                        <c:v>1.2980915314191397</c:v>
                      </c:pt>
                      <c:pt idx="90">
                        <c:v>1.3149203248140346</c:v>
                      </c:pt>
                      <c:pt idx="91">
                        <c:v>1.331978828218281</c:v>
                      </c:pt>
                      <c:pt idx="92">
                        <c:v>1.3492686455375122</c:v>
                      </c:pt>
                      <c:pt idx="93">
                        <c:v>1.3667914086557662</c:v>
                      </c:pt>
                      <c:pt idx="94">
                        <c:v>1.384548777849256</c:v>
                      </c:pt>
                      <c:pt idx="95">
                        <c:v>1.4025424422094392</c:v>
                      </c:pt>
                      <c:pt idx="96">
                        <c:v>1.4207741200756181</c:v>
                      </c:pt>
                      <c:pt idx="97">
                        <c:v>1.4392455594772695</c:v>
                      </c:pt>
                      <c:pt idx="98">
                        <c:v>1.4579585385863476</c:v>
                      </c:pt>
                      <c:pt idx="99">
                        <c:v>1.4769148661797844</c:v>
                      </c:pt>
                      <c:pt idx="100">
                        <c:v>1.4961163821124126</c:v>
                      </c:pt>
                    </c:numCache>
                  </c:numRef>
                </c:val>
                <c:smooth val="0"/>
                <c:extLst xmlns:c15="http://schemas.microsoft.com/office/drawing/2012/chart">
                  <c:ext xmlns:c16="http://schemas.microsoft.com/office/drawing/2014/chart" uri="{C3380CC4-5D6E-409C-BE32-E72D297353CC}">
                    <c16:uniqueId val="{0000000C-52A5-4349-9ADA-2A074F0D0C46}"/>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'Efficiency vs Load Calculations'!$BS$8</c15:sqref>
                        </c15:formulaRef>
                      </c:ext>
                    </c:extLst>
                    <c:strCache>
                      <c:ptCount val="1"/>
                      <c:pt idx="0">
                        <c:v>Buck ''SYNC'' MOSFET Loss</c:v>
                      </c:pt>
                    </c:strCache>
                  </c:strRef>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Load Calculations'!$K$9:$K$109</c15:sqref>
                        </c15:formulaRef>
                      </c:ext>
                    </c:extLst>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extLst xmlns:c15="http://schemas.microsoft.com/office/drawing/2012/chart">
                      <c:ext xmlns:c15="http://schemas.microsoft.com/office/drawing/2012/chart" uri="{02D57815-91ED-43cb-92C2-25804820EDAC}">
                        <c15:formulaRef>
                          <c15:sqref>'Efficiency vs Load Calculations'!$BS$9:$BS$109</c15:sqref>
                        </c15:formulaRef>
                      </c:ext>
                    </c:extLst>
                    <c:numCache>
                      <c:formatCode>0.000</c:formatCode>
                      <c:ptCount val="101"/>
                      <c:pt idx="0">
                        <c:v>4.3947230618573384E-2</c:v>
                      </c:pt>
                      <c:pt idx="1">
                        <c:v>5.0543770858579244E-2</c:v>
                      </c:pt>
                      <c:pt idx="2">
                        <c:v>5.4556697502999185E-2</c:v>
                      </c:pt>
                      <c:pt idx="3">
                        <c:v>5.8692576134737842E-2</c:v>
                      </c:pt>
                      <c:pt idx="4">
                        <c:v>6.29517128059702E-2</c:v>
                      </c:pt>
                      <c:pt idx="5">
                        <c:v>6.7334435182355573E-2</c:v>
                      </c:pt>
                      <c:pt idx="6">
                        <c:v>7.1841092649326865E-2</c:v>
                      </c:pt>
                      <c:pt idx="7">
                        <c:v>7.6472056427928758E-2</c:v>
                      </c:pt>
                      <c:pt idx="8">
                        <c:v>8.1227719700284029E-2</c:v>
                      </c:pt>
                      <c:pt idx="9">
                        <c:v>8.6108497744776136E-2</c:v>
                      </c:pt>
                      <c:pt idx="10">
                        <c:v>9.1114828081042862E-2</c:v>
                      </c:pt>
                      <c:pt idx="11">
                        <c:v>9.6247170624885206E-2</c:v>
                      </c:pt>
                      <c:pt idx="12">
                        <c:v>0.10150600785320302</c:v>
                      </c:pt>
                      <c:pt idx="13">
                        <c:v>0.10689184497907815</c:v>
                      </c:pt>
                      <c:pt idx="14">
                        <c:v>0.1124052101371335</c:v>
                      </c:pt>
                      <c:pt idx="15">
                        <c:v>0.11901589350361692</c:v>
                      </c:pt>
                      <c:pt idx="16">
                        <c:v>0.1276832618637741</c:v>
                      </c:pt>
                      <c:pt idx="17">
                        <c:v>0.13648270187561654</c:v>
                      </c:pt>
                      <c:pt idx="18">
                        <c:v>0.14541509353253104</c:v>
                      </c:pt>
                      <c:pt idx="19">
                        <c:v>0.15448134188793988</c:v>
                      </c:pt>
                      <c:pt idx="20">
                        <c:v>0.16368237738397232</c:v>
                      </c:pt>
                      <c:pt idx="21">
                        <c:v>0.17301915619231273</c:v>
                      </c:pt>
                      <c:pt idx="22">
                        <c:v>0.18249266056748209</c:v>
                      </c:pt>
                      <c:pt idx="23">
                        <c:v>0.19210389921281895</c:v>
                      </c:pt>
                      <c:pt idx="24">
                        <c:v>0.20185390765943911</c:v>
                      </c:pt>
                      <c:pt idx="25">
                        <c:v>0.2117437486584639</c:v>
                      </c:pt>
                      <c:pt idx="26">
                        <c:v>0.22177451258682135</c:v>
                      </c:pt>
                      <c:pt idx="27">
                        <c:v>0.23194731786693504</c:v>
                      </c:pt>
                      <c:pt idx="28">
                        <c:v>0.24226331140063032</c:v>
                      </c:pt>
                      <c:pt idx="29">
                        <c:v>0.25272366901760079</c:v>
                      </c:pt>
                      <c:pt idx="30">
                        <c:v>0.26332959593879091</c:v>
                      </c:pt>
                      <c:pt idx="31">
                        <c:v>0.27408232725506776</c:v>
                      </c:pt>
                      <c:pt idx="32">
                        <c:v>0.28498312842156714</c:v>
                      </c:pt>
                      <c:pt idx="33">
                        <c:v>0.29603329576811688</c:v>
                      </c:pt>
                      <c:pt idx="34">
                        <c:v>0.30723415702615514</c:v>
                      </c:pt>
                      <c:pt idx="35">
                        <c:v>0.31858707187257906</c:v>
                      </c:pt>
                      <c:pt idx="36">
                        <c:v>0.33009343249097661</c:v>
                      </c:pt>
                      <c:pt idx="37">
                        <c:v>0.34175466415071043</c:v>
                      </c:pt>
                      <c:pt idx="38">
                        <c:v>0.35357222580434505</c:v>
                      </c:pt>
                      <c:pt idx="39">
                        <c:v>0.36554761070392289</c:v>
                      </c:pt>
                      <c:pt idx="40">
                        <c:v>0.3776823470366199</c:v>
                      </c:pt>
                      <c:pt idx="41">
                        <c:v>0.38997799858032867</c:v>
                      </c:pt>
                      <c:pt idx="42">
                        <c:v>0.4024361653797412</c:v>
                      </c:pt>
                      <c:pt idx="43">
                        <c:v>0.41505848444352167</c:v>
                      </c:pt>
                      <c:pt idx="44">
                        <c:v>0.42784663046318949</c:v>
                      </c:pt>
                      <c:pt idx="45">
                        <c:v>0.44080231655435126</c:v>
                      </c:pt>
                      <c:pt idx="46">
                        <c:v>0.45392729502094858</c:v>
                      </c:pt>
                      <c:pt idx="47">
                        <c:v>0.46722335814321281</c:v>
                      </c:pt>
                      <c:pt idx="48">
                        <c:v>0.48069233899004793</c:v>
                      </c:pt>
                      <c:pt idx="49">
                        <c:v>0.4943361122565893</c:v>
                      </c:pt>
                      <c:pt idx="50">
                        <c:v>0.50815659512771438</c:v>
                      </c:pt>
                      <c:pt idx="51">
                        <c:v>0.52215574816831611</c:v>
                      </c:pt>
                      <c:pt idx="52">
                        <c:v>0.53633557624117656</c:v>
                      </c:pt>
                      <c:pt idx="53">
                        <c:v>0.55069812945331775</c:v>
                      </c:pt>
                      <c:pt idx="54">
                        <c:v>0.56524550413173569</c:v>
                      </c:pt>
                      <c:pt idx="55">
                        <c:v>0.57997984382946288</c:v>
                      </c:pt>
                      <c:pt idx="56">
                        <c:v>0.59490334036294523</c:v>
                      </c:pt>
                      <c:pt idx="57">
                        <c:v>0.61001823488174867</c:v>
                      </c:pt>
                      <c:pt idx="58">
                        <c:v>0.62532681897166709</c:v>
                      </c:pt>
                      <c:pt idx="59">
                        <c:v>0.64083143579233193</c:v>
                      </c:pt>
                      <c:pt idx="60">
                        <c:v>0.65653448125047531</c:v>
                      </c:pt>
                      <c:pt idx="61">
                        <c:v>0.6724384052100485</c:v>
                      </c:pt>
                      <c:pt idx="62">
                        <c:v>0.68854571274043674</c:v>
                      </c:pt>
                      <c:pt idx="63">
                        <c:v>0.70485896540407278</c:v>
                      </c:pt>
                      <c:pt idx="64">
                        <c:v>0.72138078258479865</c:v>
                      </c:pt>
                      <c:pt idx="65">
                        <c:v>0.73811384285838089</c:v>
                      </c:pt>
                      <c:pt idx="66">
                        <c:v>0.75506088540664751</c:v>
                      </c:pt>
                      <c:pt idx="67">
                        <c:v>0.77222471147677174</c:v>
                      </c:pt>
                      <c:pt idx="68">
                        <c:v>0.78960818588728965</c:v>
                      </c:pt>
                      <c:pt idx="69">
                        <c:v>0.80721423858251251</c:v>
                      </c:pt>
                      <c:pt idx="70">
                        <c:v>0.82504586623705789</c:v>
                      </c:pt>
                      <c:pt idx="71">
                        <c:v>0.84310613391229527</c:v>
                      </c:pt>
                      <c:pt idx="72">
                        <c:v>0.86139817676659314</c:v>
                      </c:pt>
                      <c:pt idx="73">
                        <c:v>0.87992520182130607</c:v>
                      </c:pt>
                      <c:pt idx="74">
                        <c:v>0.89869048978456001</c:v>
                      </c:pt>
                      <c:pt idx="75">
                        <c:v>0.91769739693494812</c:v>
                      </c:pt>
                      <c:pt idx="76">
                        <c:v>0.93694935706736526</c:v>
                      </c:pt>
                      <c:pt idx="77">
                        <c:v>0.95644988350329674</c:v>
                      </c:pt>
                      <c:pt idx="78">
                        <c:v>0.97620257116797404</c:v>
                      </c:pt>
                      <c:pt idx="79">
                        <c:v>0.99621109873692659</c:v>
                      </c:pt>
                      <c:pt idx="80">
                        <c:v>1.0164792308545605</c:v>
                      </c:pt>
                      <c:pt idx="81">
                        <c:v>1.0370108204275206</c:v>
                      </c:pt>
                      <c:pt idx="82">
                        <c:v>1.0578098109957046</c:v>
                      </c:pt>
                      <c:pt idx="83">
                        <c:v>1.0788802391839394</c:v>
                      </c:pt>
                      <c:pt idx="84">
                        <c:v>1.1002262372374529</c:v>
                      </c:pt>
                      <c:pt idx="85">
                        <c:v>1.1218520356444279</c:v>
                      </c:pt>
                      <c:pt idx="86">
                        <c:v>1.143761965849065</c:v>
                      </c:pt>
                      <c:pt idx="87">
                        <c:v>1.1659604630587406</c:v>
                      </c:pt>
                      <c:pt idx="88">
                        <c:v>1.1884520691490219</c:v>
                      </c:pt>
                      <c:pt idx="89">
                        <c:v>1.2112414356704539</c:v>
                      </c:pt>
                      <c:pt idx="90">
                        <c:v>1.2343333269612404</c:v>
                      </c:pt>
                      <c:pt idx="91">
                        <c:v>1.2577326233701065</c:v>
                      </c:pt>
                      <c:pt idx="92">
                        <c:v>1.2814443245938656</c:v>
                      </c:pt>
                      <c:pt idx="93">
                        <c:v>1.3054735531343928</c:v>
                      </c:pt>
                      <c:pt idx="94">
                        <c:v>1.3298255578799558</c:v>
                      </c:pt>
                      <c:pt idx="95">
                        <c:v>1.3545057178160829</c:v>
                      </c:pt>
                      <c:pt idx="96">
                        <c:v>1.3795195458713922</c:v>
                      </c:pt>
                      <c:pt idx="97">
                        <c:v>1.4048726929040871</c:v>
                      </c:pt>
                      <c:pt idx="98">
                        <c:v>1.4305709518350684</c:v>
                      </c:pt>
                      <c:pt idx="99">
                        <c:v>1.4566202619339461</c:v>
                      </c:pt>
                      <c:pt idx="100">
                        <c:v>1.4830267132645085</c:v>
                      </c:pt>
                    </c:numCache>
                  </c:numRef>
                </c:val>
                <c:smooth val="0"/>
                <c:extLst xmlns:c15="http://schemas.microsoft.com/office/drawing/2012/chart">
                  <c:ext xmlns:c16="http://schemas.microsoft.com/office/drawing/2014/chart" uri="{C3380CC4-5D6E-409C-BE32-E72D297353CC}">
                    <c16:uniqueId val="{0000000D-52A5-4349-9ADA-2A074F0D0C46}"/>
                  </c:ext>
                </c:extLst>
              </c15:ser>
            </c15:filteredLineSeries>
          </c:ext>
        </c:extLst>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63005910896542383"/>
          <c:y val="1.4357197956540091E-2"/>
          <c:w val="0.2573969285492303"/>
          <c:h val="0.1717043872288607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Calculations'!$BO$9:$BO$209</c:f>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0-D94A-4A6C-A3EF-19A07815FC45}"/>
            </c:ext>
          </c:extLst>
        </c:ser>
        <c:dLbls>
          <c:showLegendKey val="0"/>
          <c:showVal val="0"/>
          <c:showCatName val="0"/>
          <c:showSerName val="0"/>
          <c:showPercent val="0"/>
          <c:showBubbleSize val="0"/>
        </c:dLbls>
        <c:marker val="1"/>
        <c:smooth val="0"/>
        <c:axId val="196417792"/>
        <c:axId val="196419968"/>
      </c:lineChart>
      <c:lineChart>
        <c:grouping val="standard"/>
        <c:varyColors val="0"/>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'Efficiency vs VIN Calculations'!$BE$7</c15:sqref>
                        </c15:formulaRef>
                      </c:ext>
                    </c:extLst>
                    <c:strCache>
                      <c:ptCount val="1"/>
                      <c:pt idx="0">
                        <c:v>Controller IC Losses</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Calculations'!$BH$9:$BH$209</c15:sqref>
                        </c15:formulaRef>
                      </c:ext>
                    </c:extLst>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1-D94A-4A6C-A3EF-19A07815FC45}"/>
                  </c:ext>
                </c:extLst>
              </c15:ser>
            </c15:filteredLineSeries>
            <c15:filteredLineSeries>
              <c15:ser>
                <c:idx val="12"/>
                <c:order val="2"/>
                <c:tx>
                  <c:strRef>
                    <c:extLst xmlns:c15="http://schemas.microsoft.com/office/drawing/2012/chart">
                      <c:ext xmlns:c15="http://schemas.microsoft.com/office/drawing/2012/chart" uri="{02D57815-91ED-43cb-92C2-25804820EDAC}">
                        <c15:formulaRef>
                          <c15:sqref>'Efficiency vs VIN Calculations'!$BB$8</c15:sqref>
                        </c15:formulaRef>
                      </c:ext>
                    </c:extLst>
                    <c:strCache>
                      <c:ptCount val="1"/>
                      <c:pt idx="0">
                        <c:v>Reverse Recovery Loss MOSFET D BOOST</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Calculations'!$BB$9:$BB$209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2-D94A-4A6C-A3EF-19A07815FC45}"/>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VIN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Calculations'!$AX$9:$AX$209</c15:sqref>
                        </c15:formulaRef>
                      </c:ext>
                    </c:extLst>
                    <c:numCache>
                      <c:formatCode>0.000</c:formatCode>
                      <c:ptCount val="201"/>
                      <c:pt idx="0">
                        <c:v>0.71051455693915033</c:v>
                      </c:pt>
                      <c:pt idx="1">
                        <c:v>0.71057185755438468</c:v>
                      </c:pt>
                      <c:pt idx="2">
                        <c:v>0.71062929431359978</c:v>
                      </c:pt>
                      <c:pt idx="3">
                        <c:v>0.71068686032140771</c:v>
                      </c:pt>
                      <c:pt idx="4">
                        <c:v>0.7107445488526366</c:v>
                      </c:pt>
                      <c:pt idx="5">
                        <c:v>0.71080235334812214</c:v>
                      </c:pt>
                      <c:pt idx="6">
                        <c:v>0.71086026741060471</c:v>
                      </c:pt>
                      <c:pt idx="7">
                        <c:v>0.71091828480074304</c:v>
                      </c:pt>
                      <c:pt idx="8">
                        <c:v>0.71097639943322877</c:v>
                      </c:pt>
                      <c:pt idx="9">
                        <c:v>0.71103460537300878</c:v>
                      </c:pt>
                      <c:pt idx="10">
                        <c:v>0.71109289683160382</c:v>
                      </c:pt>
                      <c:pt idx="11">
                        <c:v>0.7111512681635288</c:v>
                      </c:pt>
                      <c:pt idx="12">
                        <c:v>0.71120971386280474</c:v>
                      </c:pt>
                      <c:pt idx="13">
                        <c:v>0.7112682285595614</c:v>
                      </c:pt>
                      <c:pt idx="14">
                        <c:v>0.71132680701673412</c:v>
                      </c:pt>
                      <c:pt idx="15">
                        <c:v>0.71138544412684313</c:v>
                      </c:pt>
                      <c:pt idx="16">
                        <c:v>0.71144413490885572</c:v>
                      </c:pt>
                      <c:pt idx="17">
                        <c:v>0.71150287450513694</c:v>
                      </c:pt>
                      <c:pt idx="18">
                        <c:v>0.71156165817847028</c:v>
                      </c:pt>
                      <c:pt idx="19">
                        <c:v>0.71162048130916433</c:v>
                      </c:pt>
                      <c:pt idx="20">
                        <c:v>0.71167933939222783</c:v>
                      </c:pt>
                      <c:pt idx="21">
                        <c:v>0.7117382280346215</c:v>
                      </c:pt>
                      <c:pt idx="22">
                        <c:v>0.71179714295257812</c:v>
                      </c:pt>
                      <c:pt idx="23">
                        <c:v>0.71185607996899358</c:v>
                      </c:pt>
                      <c:pt idx="24">
                        <c:v>0.71191503501088294</c:v>
                      </c:pt>
                      <c:pt idx="25">
                        <c:v>0.71197400410690137</c:v>
                      </c:pt>
                      <c:pt idx="26">
                        <c:v>0.71203298338493093</c:v>
                      </c:pt>
                      <c:pt idx="27">
                        <c:v>0.71209196906972516</c:v>
                      </c:pt>
                      <c:pt idx="28">
                        <c:v>0.7121509574806143</c:v>
                      </c:pt>
                      <c:pt idx="29">
                        <c:v>0.71220994502927193</c:v>
                      </c:pt>
                      <c:pt idx="30">
                        <c:v>0.71226892821753163</c:v>
                      </c:pt>
                      <c:pt idx="31">
                        <c:v>0.71232790363526544</c:v>
                      </c:pt>
                      <c:pt idx="32">
                        <c:v>0.71238686795830952</c:v>
                      </c:pt>
                      <c:pt idx="33">
                        <c:v>0.71244581794644679</c:v>
                      </c:pt>
                      <c:pt idx="34">
                        <c:v>0.71250475044143669</c:v>
                      </c:pt>
                      <c:pt idx="35">
                        <c:v>0.71256366236509316</c:v>
                      </c:pt>
                      <c:pt idx="36">
                        <c:v>0.71262255071741665</c:v>
                      </c:pt>
                      <c:pt idx="37">
                        <c:v>0.71268141257476481</c:v>
                      </c:pt>
                      <c:pt idx="38">
                        <c:v>0.71274024508807221</c:v>
                      </c:pt>
                      <c:pt idx="39">
                        <c:v>0.71279904548111461</c:v>
                      </c:pt>
                      <c:pt idx="40">
                        <c:v>0.7128578110488154</c:v>
                      </c:pt>
                      <c:pt idx="41">
                        <c:v>0.7129165391555915</c:v>
                      </c:pt>
                      <c:pt idx="42">
                        <c:v>0.71297522723374396</c:v>
                      </c:pt>
                      <c:pt idx="43">
                        <c:v>0.71303387278188257</c:v>
                      </c:pt>
                      <c:pt idx="44">
                        <c:v>0.71309247336339565</c:v>
                      </c:pt>
                      <c:pt idx="45">
                        <c:v>0.71315102660495133</c:v>
                      </c:pt>
                      <c:pt idx="46">
                        <c:v>0.71320953019503774</c:v>
                      </c:pt>
                      <c:pt idx="47">
                        <c:v>0.71326798188253859</c:v>
                      </c:pt>
                      <c:pt idx="48">
                        <c:v>0.71332637947534305</c:v>
                      </c:pt>
                      <c:pt idx="49">
                        <c:v>0.71338472083898952</c:v>
                      </c:pt>
                      <c:pt idx="50">
                        <c:v>0.71344300389534065</c:v>
                      </c:pt>
                      <c:pt idx="51">
                        <c:v>0.71350122662129301</c:v>
                      </c:pt>
                      <c:pt idx="52">
                        <c:v>0.71355938704751409</c:v>
                      </c:pt>
                      <c:pt idx="53">
                        <c:v>0.71361748325721286</c:v>
                      </c:pt>
                      <c:pt idx="54">
                        <c:v>0.71367551338493884</c:v>
                      </c:pt>
                      <c:pt idx="55">
                        <c:v>0.71373347561540867</c:v>
                      </c:pt>
                      <c:pt idx="56">
                        <c:v>0.71379136818235966</c:v>
                      </c:pt>
                      <c:pt idx="57">
                        <c:v>0.71384918936743647</c:v>
                      </c:pt>
                      <c:pt idx="58">
                        <c:v>0.71390693749909595</c:v>
                      </c:pt>
                      <c:pt idx="59">
                        <c:v>0.71396461095154373</c:v>
                      </c:pt>
                      <c:pt idx="60">
                        <c:v>0.71402220814369499</c:v>
                      </c:pt>
                      <c:pt idx="61">
                        <c:v>0.71407972753815607</c:v>
                      </c:pt>
                      <c:pt idx="62">
                        <c:v>0.71413716764023671</c:v>
                      </c:pt>
                      <c:pt idx="63">
                        <c:v>0.71419452699697816</c:v>
                      </c:pt>
                      <c:pt idx="64">
                        <c:v>0.71425180419620959</c:v>
                      </c:pt>
                      <c:pt idx="65">
                        <c:v>0.71430899786562352</c:v>
                      </c:pt>
                      <c:pt idx="66">
                        <c:v>0.71436610667187483</c:v>
                      </c:pt>
                      <c:pt idx="67">
                        <c:v>0.7144231293196992</c:v>
                      </c:pt>
                      <c:pt idx="68">
                        <c:v>0.7144800645510524</c:v>
                      </c:pt>
                      <c:pt idx="69">
                        <c:v>0.7145369111442702</c:v>
                      </c:pt>
                      <c:pt idx="70">
                        <c:v>0.71459366791324774</c:v>
                      </c:pt>
                      <c:pt idx="71">
                        <c:v>0.714650333706637</c:v>
                      </c:pt>
                      <c:pt idx="72">
                        <c:v>0.71470690740706289</c:v>
                      </c:pt>
                      <c:pt idx="73">
                        <c:v>0.71476338793035887</c:v>
                      </c:pt>
                      <c:pt idx="74">
                        <c:v>0.71481977422481846</c:v>
                      </c:pt>
                      <c:pt idx="75">
                        <c:v>0.71487606527046488</c:v>
                      </c:pt>
                      <c:pt idx="76">
                        <c:v>0.7149322600783371</c:v>
                      </c:pt>
                      <c:pt idx="77">
                        <c:v>0.71498835768979241</c:v>
                      </c:pt>
                      <c:pt idx="78">
                        <c:v>0.71504435717582426</c:v>
                      </c:pt>
                      <c:pt idx="79">
                        <c:v>0.71510025763639717</c:v>
                      </c:pt>
                      <c:pt idx="80">
                        <c:v>0.71515605819979522</c:v>
                      </c:pt>
                      <c:pt idx="81">
                        <c:v>0.71521175802198578</c:v>
                      </c:pt>
                      <c:pt idx="82">
                        <c:v>0.71526735628599858</c:v>
                      </c:pt>
                      <c:pt idx="83">
                        <c:v>0.71532285220131775</c:v>
                      </c:pt>
                      <c:pt idx="84">
                        <c:v>0.71537824500328751</c:v>
                      </c:pt>
                      <c:pt idx="85">
                        <c:v>0.71543353395253284</c:v>
                      </c:pt>
                      <c:pt idx="86">
                        <c:v>0.71548871833439087</c:v>
                      </c:pt>
                      <c:pt idx="87">
                        <c:v>0.71554379745835794</c:v>
                      </c:pt>
                      <c:pt idx="88">
                        <c:v>0.71559877065754696</c:v>
                      </c:pt>
                      <c:pt idx="89">
                        <c:v>0.71565363728815523</c:v>
                      </c:pt>
                      <c:pt idx="90">
                        <c:v>0.7157083967289497</c:v>
                      </c:pt>
                      <c:pt idx="91">
                        <c:v>0.71576304838075977</c:v>
                      </c:pt>
                      <c:pt idx="92">
                        <c:v>0.71581759166598036</c:v>
                      </c:pt>
                      <c:pt idx="93">
                        <c:v>0.71587202602808941</c:v>
                      </c:pt>
                      <c:pt idx="94">
                        <c:v>0.71592635093117518</c:v>
                      </c:pt>
                      <c:pt idx="95">
                        <c:v>0.71598056585947045</c:v>
                      </c:pt>
                      <c:pt idx="96">
                        <c:v>0.71603467031690382</c:v>
                      </c:pt>
                      <c:pt idx="97">
                        <c:v>0.71608866382665493</c:v>
                      </c:pt>
                      <c:pt idx="98">
                        <c:v>0.71614254593072213</c:v>
                      </c:pt>
                      <c:pt idx="99">
                        <c:v>0.71619631618949964</c:v>
                      </c:pt>
                      <c:pt idx="100">
                        <c:v>0.71624997418136394</c:v>
                      </c:pt>
                      <c:pt idx="101">
                        <c:v>0.716303519502269</c:v>
                      </c:pt>
                      <c:pt idx="102">
                        <c:v>0.71635695176534997</c:v>
                      </c:pt>
                      <c:pt idx="103">
                        <c:v>0.71641027060053708</c:v>
                      </c:pt>
                      <c:pt idx="104">
                        <c:v>0.71646347565417712</c:v>
                      </c:pt>
                      <c:pt idx="105">
                        <c:v>0.71651656658866203</c:v>
                      </c:pt>
                      <c:pt idx="106">
                        <c:v>0.71656954308206799</c:v>
                      </c:pt>
                      <c:pt idx="107">
                        <c:v>0.71662240482780071</c:v>
                      </c:pt>
                      <c:pt idx="108">
                        <c:v>0.71667515153424932</c:v>
                      </c:pt>
                      <c:pt idx="109">
                        <c:v>0.71672778292444705</c:v>
                      </c:pt>
                      <c:pt idx="110">
                        <c:v>0.71678029873573956</c:v>
                      </c:pt>
                      <c:pt idx="111">
                        <c:v>0.71683269871946176</c:v>
                      </c:pt>
                      <c:pt idx="112">
                        <c:v>0.71688498264061973</c:v>
                      </c:pt>
                      <c:pt idx="113">
                        <c:v>0.71693715027757987</c:v>
                      </c:pt>
                      <c:pt idx="114">
                        <c:v>0.71698920142176636</c:v>
                      </c:pt>
                      <c:pt idx="115">
                        <c:v>0.71704113587736373</c:v>
                      </c:pt>
                      <c:pt idx="116">
                        <c:v>0.71709295346102542</c:v>
                      </c:pt>
                      <c:pt idx="117">
                        <c:v>0.71714465400159133</c:v>
                      </c:pt>
                      <c:pt idx="118">
                        <c:v>0.71719623733980808</c:v>
                      </c:pt>
                      <c:pt idx="119">
                        <c:v>0.71724770332805632</c:v>
                      </c:pt>
                      <c:pt idx="120">
                        <c:v>0.71729905183008602</c:v>
                      </c:pt>
                      <c:pt idx="121">
                        <c:v>0.7173502827207564</c:v>
                      </c:pt>
                      <c:pt idx="122">
                        <c:v>0.71740139588577734</c:v>
                      </c:pt>
                      <c:pt idx="123">
                        <c:v>0.71745239122146354</c:v>
                      </c:pt>
                      <c:pt idx="124">
                        <c:v>0.71750326863448888</c:v>
                      </c:pt>
                      <c:pt idx="125">
                        <c:v>0.71755402804164781</c:v>
                      </c:pt>
                      <c:pt idx="126">
                        <c:v>0.71760466936962075</c:v>
                      </c:pt>
                      <c:pt idx="127">
                        <c:v>0.71765519255474641</c:v>
                      </c:pt>
                      <c:pt idx="128">
                        <c:v>0.71770559754279717</c:v>
                      </c:pt>
                      <c:pt idx="129">
                        <c:v>0.71775588428876025</c:v>
                      </c:pt>
                      <c:pt idx="130">
                        <c:v>0.71780605275662246</c:v>
                      </c:pt>
                      <c:pt idx="131">
                        <c:v>0.71785610291916147</c:v>
                      </c:pt>
                      <c:pt idx="132">
                        <c:v>0.71790603475773995</c:v>
                      </c:pt>
                      <c:pt idx="133">
                        <c:v>0.71795584826210446</c:v>
                      </c:pt>
                      <c:pt idx="134">
                        <c:v>0.71800554343018774</c:v>
                      </c:pt>
                      <c:pt idx="135">
                        <c:v>0.71805512026791762</c:v>
                      </c:pt>
                      <c:pt idx="136">
                        <c:v>0.71810457878902823</c:v>
                      </c:pt>
                      <c:pt idx="137">
                        <c:v>0.71815391901487358</c:v>
                      </c:pt>
                      <c:pt idx="138">
                        <c:v>0.7182031409742512</c:v>
                      </c:pt>
                      <c:pt idx="139">
                        <c:v>0.71825224470321891</c:v>
                      </c:pt>
                      <c:pt idx="140">
                        <c:v>0.71830123024492853</c:v>
                      </c:pt>
                      <c:pt idx="141">
                        <c:v>0.71835009764945201</c:v>
                      </c:pt>
                      <c:pt idx="142">
                        <c:v>0.71839884697361778</c:v>
                      </c:pt>
                      <c:pt idx="143">
                        <c:v>0.71844747828084643</c:v>
                      </c:pt>
                      <c:pt idx="144">
                        <c:v>0.71849599164099476</c:v>
                      </c:pt>
                      <c:pt idx="145">
                        <c:v>0.71854438713019742</c:v>
                      </c:pt>
                      <c:pt idx="146">
                        <c:v>0.71859266483071604</c:v>
                      </c:pt>
                      <c:pt idx="147">
                        <c:v>0.7186408248307905</c:v>
                      </c:pt>
                      <c:pt idx="148">
                        <c:v>0.71868886722449099</c:v>
                      </c:pt>
                      <c:pt idx="149">
                        <c:v>0.71873679211157915</c:v>
                      </c:pt>
                      <c:pt idx="150">
                        <c:v>0.71878459959736318</c:v>
                      </c:pt>
                      <c:pt idx="151">
                        <c:v>0.71883228979256475</c:v>
                      </c:pt>
                      <c:pt idx="152">
                        <c:v>0.71887986281318372</c:v>
                      </c:pt>
                      <c:pt idx="153">
                        <c:v>0.71892731878036664</c:v>
                      </c:pt>
                      <c:pt idx="154">
                        <c:v>0.71897465782027836</c:v>
                      </c:pt>
                      <c:pt idx="155">
                        <c:v>0.71902188006397683</c:v>
                      </c:pt>
                      <c:pt idx="156">
                        <c:v>0.71906898564729005</c:v>
                      </c:pt>
                      <c:pt idx="157">
                        <c:v>0.71911597471069411</c:v>
                      </c:pt>
                      <c:pt idx="158">
                        <c:v>0.719162847399196</c:v>
                      </c:pt>
                      <c:pt idx="159">
                        <c:v>0.71920960386222033</c:v>
                      </c:pt>
                      <c:pt idx="160">
                        <c:v>0.71925624425349088</c:v>
                      </c:pt>
                      <c:pt idx="161">
                        <c:v>0.71930276873092602</c:v>
                      </c:pt>
                      <c:pt idx="162">
                        <c:v>0.71934917745652505</c:v>
                      </c:pt>
                      <c:pt idx="163">
                        <c:v>0.7193954705962653</c:v>
                      </c:pt>
                      <c:pt idx="164">
                        <c:v>0.71944164831999735</c:v>
                      </c:pt>
                      <c:pt idx="165">
                        <c:v>0.71948771080134211</c:v>
                      </c:pt>
                      <c:pt idx="166">
                        <c:v>0.71953365821759319</c:v>
                      </c:pt>
                      <c:pt idx="167">
                        <c:v>0.71957949074961713</c:v>
                      </c:pt>
                      <c:pt idx="168">
                        <c:v>0.7196252085817596</c:v>
                      </c:pt>
                      <c:pt idx="169">
                        <c:v>0.71967081190175131</c:v>
                      </c:pt>
                      <c:pt idx="170">
                        <c:v>0.71971630090061556</c:v>
                      </c:pt>
                      <c:pt idx="171">
                        <c:v>0.71976167577257966</c:v>
                      </c:pt>
                      <c:pt idx="172">
                        <c:v>0.71980693671498774</c:v>
                      </c:pt>
                      <c:pt idx="173">
                        <c:v>0.71985208392821298</c:v>
                      </c:pt>
                      <c:pt idx="174">
                        <c:v>0.71989711761557373</c:v>
                      </c:pt>
                      <c:pt idx="175">
                        <c:v>0.7199420379832534</c:v>
                      </c:pt>
                      <c:pt idx="176">
                        <c:v>0.71998684524021606</c:v>
                      </c:pt>
                      <c:pt idx="177">
                        <c:v>0.72003153959813149</c:v>
                      </c:pt>
                      <c:pt idx="178">
                        <c:v>0.72007612127129417</c:v>
                      </c:pt>
                      <c:pt idx="179">
                        <c:v>0.72012059047655008</c:v>
                      </c:pt>
                      <c:pt idx="180">
                        <c:v>0.72016494743322113</c:v>
                      </c:pt>
                      <c:pt idx="181">
                        <c:v>0.72020919236303327</c:v>
                      </c:pt>
                      <c:pt idx="182">
                        <c:v>0.72025332549004506</c:v>
                      </c:pt>
                      <c:pt idx="183">
                        <c:v>0.72029734704057957</c:v>
                      </c:pt>
                      <c:pt idx="184">
                        <c:v>0.72034125724315157</c:v>
                      </c:pt>
                      <c:pt idx="185">
                        <c:v>0.72038505632840788</c:v>
                      </c:pt>
                      <c:pt idx="186">
                        <c:v>0.72042874452905614</c:v>
                      </c:pt>
                      <c:pt idx="187">
                        <c:v>0.72047232207980372</c:v>
                      </c:pt>
                      <c:pt idx="188">
                        <c:v>0.72051578921729431</c:v>
                      </c:pt>
                      <c:pt idx="189">
                        <c:v>0.72055914618004646</c:v>
                      </c:pt>
                      <c:pt idx="190">
                        <c:v>0.7206023932083947</c:v>
                      </c:pt>
                      <c:pt idx="191">
                        <c:v>0.72064553054442815</c:v>
                      </c:pt>
                      <c:pt idx="192">
                        <c:v>0.72068855843193713</c:v>
                      </c:pt>
                      <c:pt idx="193">
                        <c:v>0.72073147711635299</c:v>
                      </c:pt>
                      <c:pt idx="194">
                        <c:v>0.72077428684469491</c:v>
                      </c:pt>
                      <c:pt idx="195">
                        <c:v>0.72081698786551496</c:v>
                      </c:pt>
                      <c:pt idx="196">
                        <c:v>0.72085958042884679</c:v>
                      </c:pt>
                      <c:pt idx="197">
                        <c:v>0.72090206478615193</c:v>
                      </c:pt>
                      <c:pt idx="198">
                        <c:v>0.72094444119027157</c:v>
                      </c:pt>
                      <c:pt idx="199">
                        <c:v>0.72098670989537395</c:v>
                      </c:pt>
                      <c:pt idx="200">
                        <c:v>0.7210288711569085</c:v>
                      </c:pt>
                    </c:numCache>
                  </c:numRef>
                </c:val>
                <c:smooth val="0"/>
                <c:extLst xmlns:c15="http://schemas.microsoft.com/office/drawing/2012/chart">
                  <c:ext xmlns:c16="http://schemas.microsoft.com/office/drawing/2014/chart" uri="{C3380CC4-5D6E-409C-BE32-E72D297353CC}">
                    <c16:uniqueId val="{00000003-D94A-4A6C-A3EF-19A07815FC45}"/>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VIN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Calculations'!$AT$9:$AT$209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4-D94A-4A6C-A3EF-19A07815FC45}"/>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VIN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Calculations'!$AO$9:$AO$209</c15:sqref>
                        </c15:formulaRef>
                      </c:ext>
                    </c:extLst>
                    <c:numCache>
                      <c:formatCode>0.000</c:formatCode>
                      <c:ptCount val="201"/>
                      <c:pt idx="0">
                        <c:v>0.76682892981848416</c:v>
                      </c:pt>
                      <c:pt idx="1">
                        <c:v>0.76876019929867889</c:v>
                      </c:pt>
                      <c:pt idx="2">
                        <c:v>0.77067995133071665</c:v>
                      </c:pt>
                      <c:pt idx="3">
                        <c:v>0.77258829213482738</c:v>
                      </c:pt>
                      <c:pt idx="4">
                        <c:v>0.77448532657974101</c:v>
                      </c:pt>
                      <c:pt idx="5">
                        <c:v>0.77637115820492941</c:v>
                      </c:pt>
                      <c:pt idx="6">
                        <c:v>0.77824588924239702</c:v>
                      </c:pt>
                      <c:pt idx="7">
                        <c:v>0.78010962063802802</c:v>
                      </c:pt>
                      <c:pt idx="8">
                        <c:v>0.78196245207250448</c:v>
                      </c:pt>
                      <c:pt idx="9">
                        <c:v>0.78380448198180097</c:v>
                      </c:pt>
                      <c:pt idx="10">
                        <c:v>0.78563580757727103</c:v>
                      </c:pt>
                      <c:pt idx="11">
                        <c:v>0.78745652486533035</c:v>
                      </c:pt>
                      <c:pt idx="12">
                        <c:v>0.78926672866675163</c:v>
                      </c:pt>
                      <c:pt idx="13">
                        <c:v>0.79106651263557459</c:v>
                      </c:pt>
                      <c:pt idx="14">
                        <c:v>0.7928559692776449</c:v>
                      </c:pt>
                      <c:pt idx="15">
                        <c:v>0.79463518996878812</c:v>
                      </c:pt>
                      <c:pt idx="16">
                        <c:v>0.79640426497262817</c:v>
                      </c:pt>
                      <c:pt idx="17">
                        <c:v>0.79816328345805931</c:v>
                      </c:pt>
                      <c:pt idx="18">
                        <c:v>0.79991233351637692</c:v>
                      </c:pt>
                      <c:pt idx="19">
                        <c:v>0.80165150217808012</c:v>
                      </c:pt>
                      <c:pt idx="20">
                        <c:v>0.80338087542934766</c:v>
                      </c:pt>
                      <c:pt idx="21">
                        <c:v>0.80510053822819927</c:v>
                      </c:pt>
                      <c:pt idx="22">
                        <c:v>0.80681057452034755</c:v>
                      </c:pt>
                      <c:pt idx="23">
                        <c:v>0.80851106725474797</c:v>
                      </c:pt>
                      <c:pt idx="24">
                        <c:v>0.81020209839885504</c:v>
                      </c:pt>
                      <c:pt idx="25">
                        <c:v>0.81188374895358728</c:v>
                      </c:pt>
                      <c:pt idx="26">
                        <c:v>0.81355609896801429</c:v>
                      </c:pt>
                      <c:pt idx="27">
                        <c:v>0.81521922755376441</c:v>
                      </c:pt>
                      <c:pt idx="28">
                        <c:v>0.81687321289916603</c:v>
                      </c:pt>
                      <c:pt idx="29">
                        <c:v>0.81851813228312464</c:v>
                      </c:pt>
                      <c:pt idx="30">
                        <c:v>0.82015406208874098</c:v>
                      </c:pt>
                      <c:pt idx="31">
                        <c:v>0.82178107781668097</c:v>
                      </c:pt>
                      <c:pt idx="32">
                        <c:v>0.82339925409829551</c:v>
                      </c:pt>
                      <c:pt idx="33">
                        <c:v>0.82500866470850276</c:v>
                      </c:pt>
                      <c:pt idx="34">
                        <c:v>0.82660938257843231</c:v>
                      </c:pt>
                      <c:pt idx="35">
                        <c:v>0.82820147980784142</c:v>
                      </c:pt>
                      <c:pt idx="36">
                        <c:v>0.82978502767730455</c:v>
                      </c:pt>
                      <c:pt idx="37">
                        <c:v>0.83136009666018207</c:v>
                      </c:pt>
                      <c:pt idx="38">
                        <c:v>0.83292675643437541</c:v>
                      </c:pt>
                      <c:pt idx="39">
                        <c:v>0.83448507589386844</c:v>
                      </c:pt>
                      <c:pt idx="40">
                        <c:v>0.83603512316006456</c:v>
                      </c:pt>
                      <c:pt idx="41">
                        <c:v>0.83757696559292061</c:v>
                      </c:pt>
                      <c:pt idx="42">
                        <c:v>0.8391106698018832</c:v>
                      </c:pt>
                      <c:pt idx="43">
                        <c:v>0.8406363016566315</c:v>
                      </c:pt>
                      <c:pt idx="44">
                        <c:v>0.84215392629763086</c:v>
                      </c:pt>
                      <c:pt idx="45">
                        <c:v>0.84366360814650077</c:v>
                      </c:pt>
                      <c:pt idx="46">
                        <c:v>0.84516541091620023</c:v>
                      </c:pt>
                      <c:pt idx="47">
                        <c:v>0.84665939762103681</c:v>
                      </c:pt>
                      <c:pt idx="48">
                        <c:v>0.8481456305865015</c:v>
                      </c:pt>
                      <c:pt idx="49">
                        <c:v>0.84962417145893154</c:v>
                      </c:pt>
                      <c:pt idx="50">
                        <c:v>0.85109508121500776</c:v>
                      </c:pt>
                      <c:pt idx="51">
                        <c:v>0.85255842017108852</c:v>
                      </c:pt>
                      <c:pt idx="52">
                        <c:v>0.8540142479923819</c:v>
                      </c:pt>
                      <c:pt idx="53">
                        <c:v>0.85546262370196247</c:v>
                      </c:pt>
                      <c:pt idx="54">
                        <c:v>0.85690360568963519</c:v>
                      </c:pt>
                      <c:pt idx="55">
                        <c:v>0.8583372517206459</c:v>
                      </c:pt>
                      <c:pt idx="56">
                        <c:v>0.85976361894424647</c:v>
                      </c:pt>
                      <c:pt idx="57">
                        <c:v>0.86118276390211557</c:v>
                      </c:pt>
                      <c:pt idx="58">
                        <c:v>0.86259474253663693</c:v>
                      </c:pt>
                      <c:pt idx="59">
                        <c:v>0.86399961019903926</c:v>
                      </c:pt>
                      <c:pt idx="60">
                        <c:v>0.86539742165739941</c:v>
                      </c:pt>
                      <c:pt idx="61">
                        <c:v>0.86678823110451408</c:v>
                      </c:pt>
                      <c:pt idx="62">
                        <c:v>0.86817209216563918</c:v>
                      </c:pt>
                      <c:pt idx="63">
                        <c:v>0.8695490579061016</c:v>
                      </c:pt>
                      <c:pt idx="64">
                        <c:v>0.87091918083878606</c:v>
                      </c:pt>
                      <c:pt idx="65">
                        <c:v>0.87228251293149806</c:v>
                      </c:pt>
                      <c:pt idx="66">
                        <c:v>0.87363910561420688</c:v>
                      </c:pt>
                      <c:pt idx="67">
                        <c:v>0.87498900978617</c:v>
                      </c:pt>
                      <c:pt idx="68">
                        <c:v>0.87633227582294171</c:v>
                      </c:pt>
                      <c:pt idx="69">
                        <c:v>0.87766895358326769</c:v>
                      </c:pt>
                      <c:pt idx="70">
                        <c:v>0.87899909241586827</c:v>
                      </c:pt>
                      <c:pt idx="71">
                        <c:v>0.88032274116611264</c:v>
                      </c:pt>
                      <c:pt idx="72">
                        <c:v>0.8816399481825854</c:v>
                      </c:pt>
                      <c:pt idx="73">
                        <c:v>0.88295076132354755</c:v>
                      </c:pt>
                      <c:pt idx="74">
                        <c:v>0.88425522796329536</c:v>
                      </c:pt>
                      <c:pt idx="75">
                        <c:v>0.88555339499841679</c:v>
                      </c:pt>
                      <c:pt idx="76">
                        <c:v>0.88684530885394941</c:v>
                      </c:pt>
                      <c:pt idx="77">
                        <c:v>0.88813101548944129</c:v>
                      </c:pt>
                      <c:pt idx="78">
                        <c:v>0.88941056040491417</c:v>
                      </c:pt>
                      <c:pt idx="79">
                        <c:v>0.89068398864673604</c:v>
                      </c:pt>
                      <c:pt idx="80">
                        <c:v>0.89195134481339899</c:v>
                      </c:pt>
                      <c:pt idx="81">
                        <c:v>0.89321267306120677</c:v>
                      </c:pt>
                      <c:pt idx="82">
                        <c:v>0.89446801710987722</c:v>
                      </c:pt>
                      <c:pt idx="83">
                        <c:v>0.89571742024805279</c:v>
                      </c:pt>
                      <c:pt idx="84">
                        <c:v>0.89696092533872873</c:v>
                      </c:pt>
                      <c:pt idx="85">
                        <c:v>0.89819857482459753</c:v>
                      </c:pt>
                      <c:pt idx="86">
                        <c:v>0.89943041073330832</c:v>
                      </c:pt>
                      <c:pt idx="87">
                        <c:v>0.9006564746826502</c:v>
                      </c:pt>
                      <c:pt idx="88">
                        <c:v>0.90187680788565172</c:v>
                      </c:pt>
                      <c:pt idx="89">
                        <c:v>0.90309145115560452</c:v>
                      </c:pt>
                      <c:pt idx="90">
                        <c:v>0.9043004449110108</c:v>
                      </c:pt>
                      <c:pt idx="91">
                        <c:v>0.90550382918045602</c:v>
                      </c:pt>
                      <c:pt idx="92">
                        <c:v>0.90670164360740579</c:v>
                      </c:pt>
                      <c:pt idx="93">
                        <c:v>0.90789392745493303</c:v>
                      </c:pt>
                      <c:pt idx="94">
                        <c:v>0.90908071961037218</c:v>
                      </c:pt>
                      <c:pt idx="95">
                        <c:v>0.91026205858990517</c:v>
                      </c:pt>
                      <c:pt idx="96">
                        <c:v>0.91143798254307751</c:v>
                      </c:pt>
                      <c:pt idx="97">
                        <c:v>0.91260852925724734</c:v>
                      </c:pt>
                      <c:pt idx="98">
                        <c:v>0.91377373616196889</c:v>
                      </c:pt>
                      <c:pt idx="99">
                        <c:v>0.91493364033331115</c:v>
                      </c:pt>
                      <c:pt idx="100">
                        <c:v>0.91608827849811103</c:v>
                      </c:pt>
                      <c:pt idx="101">
                        <c:v>0.9172376870381671</c:v>
                      </c:pt>
                      <c:pt idx="102">
                        <c:v>0.91838190199436642</c:v>
                      </c:pt>
                      <c:pt idx="103">
                        <c:v>0.91952095907075815</c:v>
                      </c:pt>
                      <c:pt idx="104">
                        <c:v>0.92065489363856057</c:v>
                      </c:pt>
                      <c:pt idx="105">
                        <c:v>0.92178374074011404</c:v>
                      </c:pt>
                      <c:pt idx="106">
                        <c:v>0.92290753509277534</c:v>
                      </c:pt>
                      <c:pt idx="107">
                        <c:v>0.92402631109275468</c:v>
                      </c:pt>
                      <c:pt idx="108">
                        <c:v>0.92514010281889936</c:v>
                      </c:pt>
                      <c:pt idx="109">
                        <c:v>0.92624894403642088</c:v>
                      </c:pt>
                      <c:pt idx="110">
                        <c:v>0.92735286820056895</c:v>
                      </c:pt>
                      <c:pt idx="111">
                        <c:v>0.92845190846025438</c:v>
                      </c:pt>
                      <c:pt idx="112">
                        <c:v>0.92954609766161789</c:v>
                      </c:pt>
                      <c:pt idx="113">
                        <c:v>0.93063546835154998</c:v>
                      </c:pt>
                      <c:pt idx="114">
                        <c:v>0.9317200527811591</c:v>
                      </c:pt>
                      <c:pt idx="115">
                        <c:v>0.93279988290919202</c:v>
                      </c:pt>
                      <c:pt idx="116">
                        <c:v>0.933874990405406</c:v>
                      </c:pt>
                      <c:pt idx="117">
                        <c:v>0.93494540665389192</c:v>
                      </c:pt>
                      <c:pt idx="118">
                        <c:v>0.93601116275635154</c:v>
                      </c:pt>
                      <c:pt idx="119">
                        <c:v>0.93707228953532895</c:v>
                      </c:pt>
                      <c:pt idx="120">
                        <c:v>0.93812881753739774</c:v>
                      </c:pt>
                      <c:pt idx="121">
                        <c:v>0.93918077703630165</c:v>
                      </c:pt>
                      <c:pt idx="122">
                        <c:v>0.94022819803605207</c:v>
                      </c:pt>
                      <c:pt idx="123">
                        <c:v>0.94127111027398458</c:v>
                      </c:pt>
                      <c:pt idx="124">
                        <c:v>0.94230954322377058</c:v>
                      </c:pt>
                      <c:pt idx="125">
                        <c:v>0.9433435260983889</c:v>
                      </c:pt>
                      <c:pt idx="126">
                        <c:v>0.94437308785305663</c:v>
                      </c:pt>
                      <c:pt idx="127">
                        <c:v>0.94539825718811765</c:v>
                      </c:pt>
                      <c:pt idx="128">
                        <c:v>0.9464190625518949</c:v>
                      </c:pt>
                      <c:pt idx="129">
                        <c:v>0.94743553214350074</c:v>
                      </c:pt>
                      <c:pt idx="130">
                        <c:v>0.94844769391561101</c:v>
                      </c:pt>
                      <c:pt idx="131">
                        <c:v>0.9494555755771994</c:v>
                      </c:pt>
                      <c:pt idx="132">
                        <c:v>0.95045920459623856</c:v>
                      </c:pt>
                      <c:pt idx="133">
                        <c:v>0.9514586082023585</c:v>
                      </c:pt>
                      <c:pt idx="134">
                        <c:v>0.95245381338947666</c:v>
                      </c:pt>
                      <c:pt idx="135">
                        <c:v>0.95344484691838527</c:v>
                      </c:pt>
                      <c:pt idx="136">
                        <c:v>0.95443173531931014</c:v>
                      </c:pt>
                      <c:pt idx="137">
                        <c:v>0.9554145048944308</c:v>
                      </c:pt>
                      <c:pt idx="138">
                        <c:v>0.95639318172037024</c:v>
                      </c:pt>
                      <c:pt idx="139">
                        <c:v>0.95736779165064889</c:v>
                      </c:pt>
                      <c:pt idx="140">
                        <c:v>0.95833836031810749</c:v>
                      </c:pt>
                      <c:pt idx="141">
                        <c:v>0.9593049131372976</c:v>
                      </c:pt>
                      <c:pt idx="142">
                        <c:v>0.96026747530684109</c:v>
                      </c:pt>
                      <c:pt idx="143">
                        <c:v>0.96122607181175657</c:v>
                      </c:pt>
                      <c:pt idx="144">
                        <c:v>0.962180727425758</c:v>
                      </c:pt>
                      <c:pt idx="145">
                        <c:v>0.96313146671352068</c:v>
                      </c:pt>
                      <c:pt idx="146">
                        <c:v>0.96407831403291944</c:v>
                      </c:pt>
                      <c:pt idx="147">
                        <c:v>0.96502129353723698</c:v>
                      </c:pt>
                      <c:pt idx="148">
                        <c:v>0.96596042917734182</c:v>
                      </c:pt>
                      <c:pt idx="149">
                        <c:v>0.96689574470384154</c:v>
                      </c:pt>
                      <c:pt idx="150">
                        <c:v>0.96782726366920513</c:v>
                      </c:pt>
                      <c:pt idx="151">
                        <c:v>0.96875500942985826</c:v>
                      </c:pt>
                      <c:pt idx="152">
                        <c:v>0.96967900514825323</c:v>
                      </c:pt>
                      <c:pt idx="153">
                        <c:v>0.9705992737949104</c:v>
                      </c:pt>
                      <c:pt idx="154">
                        <c:v>0.97151583815043518</c:v>
                      </c:pt>
                      <c:pt idx="155">
                        <c:v>0.97242872080750753</c:v>
                      </c:pt>
                      <c:pt idx="156">
                        <c:v>0.9733379441728468</c:v>
                      </c:pt>
                      <c:pt idx="157">
                        <c:v>0.97424353046915213</c:v>
                      </c:pt>
                      <c:pt idx="158">
                        <c:v>0.97514550173701653</c:v>
                      </c:pt>
                      <c:pt idx="159">
                        <c:v>0.97604387983682028</c:v>
                      </c:pt>
                      <c:pt idx="160">
                        <c:v>0.97693868645059367</c:v>
                      </c:pt>
                      <c:pt idx="161">
                        <c:v>0.9778299430838655</c:v>
                      </c:pt>
                      <c:pt idx="162">
                        <c:v>0.97871767106747887</c:v>
                      </c:pt>
                      <c:pt idx="163">
                        <c:v>0.9796018915593917</c:v>
                      </c:pt>
                      <c:pt idx="164">
                        <c:v>0.9804826255464496</c:v>
                      </c:pt>
                      <c:pt idx="165">
                        <c:v>0.98135989384613975</c:v>
                      </c:pt>
                      <c:pt idx="166">
                        <c:v>0.98223371710832152</c:v>
                      </c:pt>
                      <c:pt idx="167">
                        <c:v>0.98310411581693513</c:v>
                      </c:pt>
                      <c:pt idx="168">
                        <c:v>0.98397111029169038</c:v>
                      </c:pt>
                      <c:pt idx="169">
                        <c:v>0.98483472068973432</c:v>
                      </c:pt>
                      <c:pt idx="170">
                        <c:v>0.98569496700729542</c:v>
                      </c:pt>
                      <c:pt idx="171">
                        <c:v>0.98655186908131387</c:v>
                      </c:pt>
                      <c:pt idx="172">
                        <c:v>0.9874054465910439</c:v>
                      </c:pt>
                      <c:pt idx="173">
                        <c:v>0.98825571905964349</c:v>
                      </c:pt>
                      <c:pt idx="174">
                        <c:v>0.98910270585573901</c:v>
                      </c:pt>
                      <c:pt idx="175">
                        <c:v>0.9899464261949753</c:v>
                      </c:pt>
                      <c:pt idx="176">
                        <c:v>0.99078689914154328</c:v>
                      </c:pt>
                      <c:pt idx="177">
                        <c:v>0.9916241436096922</c:v>
                      </c:pt>
                      <c:pt idx="178">
                        <c:v>0.99245817836521943</c:v>
                      </c:pt>
                      <c:pt idx="179">
                        <c:v>0.99328902202694769</c:v>
                      </c:pt>
                      <c:pt idx="180">
                        <c:v>0.99411669306817918</c:v>
                      </c:pt>
                      <c:pt idx="181">
                        <c:v>0.99494120981813472</c:v>
                      </c:pt>
                      <c:pt idx="182">
                        <c:v>0.99576259046337701</c:v>
                      </c:pt>
                      <c:pt idx="183">
                        <c:v>0.99658085304921262</c:v>
                      </c:pt>
                      <c:pt idx="184">
                        <c:v>0.9973960154810807</c:v>
                      </c:pt>
                      <c:pt idx="185">
                        <c:v>0.99820809552592615</c:v>
                      </c:pt>
                      <c:pt idx="186">
                        <c:v>0.99901711081355027</c:v>
                      </c:pt>
                      <c:pt idx="187">
                        <c:v>0.99982307883795363</c:v>
                      </c:pt>
                      <c:pt idx="188">
                        <c:v>1.0006260169586552</c:v>
                      </c:pt>
                      <c:pt idx="189">
                        <c:v>1.0014259424020024</c:v>
                      </c:pt>
                      <c:pt idx="190">
                        <c:v>1.0022228722624618</c:v>
                      </c:pt>
                      <c:pt idx="191">
                        <c:v>1.0030168235038939</c:v>
                      </c:pt>
                      <c:pt idx="192">
                        <c:v>1.0038078129608174</c:v>
                      </c:pt>
                      <c:pt idx="193">
                        <c:v>1.0045958573396538</c:v>
                      </c:pt>
                      <c:pt idx="194">
                        <c:v>1.0053809732199614</c:v>
                      </c:pt>
                      <c:pt idx="195">
                        <c:v>1.0061631770556496</c:v>
                      </c:pt>
                      <c:pt idx="196">
                        <c:v>1.0069424851761863</c:v>
                      </c:pt>
                      <c:pt idx="197">
                        <c:v>1.0077189137877849</c:v>
                      </c:pt>
                      <c:pt idx="198">
                        <c:v>1.0084924789745804</c:v>
                      </c:pt>
                      <c:pt idx="199">
                        <c:v>1.0092631966997918</c:v>
                      </c:pt>
                      <c:pt idx="200">
                        <c:v>1.010031082806871</c:v>
                      </c:pt>
                    </c:numCache>
                  </c:numRef>
                </c:val>
                <c:smooth val="0"/>
                <c:extLst xmlns:c15="http://schemas.microsoft.com/office/drawing/2012/chart">
                  <c:ext xmlns:c16="http://schemas.microsoft.com/office/drawing/2014/chart" uri="{C3380CC4-5D6E-409C-BE32-E72D297353CC}">
                    <c16:uniqueId val="{00000005-D94A-4A6C-A3EF-19A07815FC45}"/>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VIN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Calculations'!$AK$9:$AK$209</c15:sqref>
                        </c15:formulaRef>
                      </c:ext>
                    </c:extLst>
                    <c:numCache>
                      <c:formatCode>0.000</c:formatCode>
                      <c:ptCount val="201"/>
                      <c:pt idx="0">
                        <c:v>3.1666385121192331</c:v>
                      </c:pt>
                      <c:pt idx="1">
                        <c:v>3.1729581350464509</c:v>
                      </c:pt>
                      <c:pt idx="2">
                        <c:v>3.1792936199445592</c:v>
                      </c:pt>
                      <c:pt idx="3">
                        <c:v>3.1856447761917663</c:v>
                      </c:pt>
                      <c:pt idx="4">
                        <c:v>3.1920114162546822</c:v>
                      </c:pt>
                      <c:pt idx="5">
                        <c:v>3.1983933556253223</c:v>
                      </c:pt>
                      <c:pt idx="6">
                        <c:v>3.2047904127596665</c:v>
                      </c:pt>
                      <c:pt idx="7">
                        <c:v>3.2112024090177109</c:v>
                      </c:pt>
                      <c:pt idx="8">
                        <c:v>3.2176291686049869</c:v>
                      </c:pt>
                      <c:pt idx="9">
                        <c:v>3.2240705185155027</c:v>
                      </c:pt>
                      <c:pt idx="10">
                        <c:v>3.2305262884760442</c:v>
                      </c:pt>
                      <c:pt idx="11">
                        <c:v>3.2369963108918434</c:v>
                      </c:pt>
                      <c:pt idx="12">
                        <c:v>3.2434804207935253</c:v>
                      </c:pt>
                      <c:pt idx="13">
                        <c:v>3.2499784557853326</c:v>
                      </c:pt>
                      <c:pt idx="14">
                        <c:v>3.2564902559945779</c:v>
                      </c:pt>
                      <c:pt idx="15">
                        <c:v>3.2630156640222894</c:v>
                      </c:pt>
                      <c:pt idx="16">
                        <c:v>3.2695545248950224</c:v>
                      </c:pt>
                      <c:pt idx="17">
                        <c:v>3.2761066860178043</c:v>
                      </c:pt>
                      <c:pt idx="18">
                        <c:v>3.282671997128169</c:v>
                      </c:pt>
                      <c:pt idx="19">
                        <c:v>3.2892503102512789</c:v>
                      </c:pt>
                      <c:pt idx="20">
                        <c:v>3.2958414796560689</c:v>
                      </c:pt>
                      <c:pt idx="21">
                        <c:v>3.3024453618124179</c:v>
                      </c:pt>
                      <c:pt idx="22">
                        <c:v>3.3090618153492928</c:v>
                      </c:pt>
                      <c:pt idx="23">
                        <c:v>3.3156907010138652</c:v>
                      </c:pt>
                      <c:pt idx="24">
                        <c:v>3.3223318816315497</c:v>
                      </c:pt>
                      <c:pt idx="25">
                        <c:v>3.3289852220669585</c:v>
                      </c:pt>
                      <c:pt idx="26">
                        <c:v>3.3356505891857298</c:v>
                      </c:pt>
                      <c:pt idx="27">
                        <c:v>3.3423278518172301</c:v>
                      </c:pt>
                      <c:pt idx="28">
                        <c:v>3.3490168807180889</c:v>
                      </c:pt>
                      <c:pt idx="29">
                        <c:v>3.355717548536544</c:v>
                      </c:pt>
                      <c:pt idx="30">
                        <c:v>3.3624297297775882</c:v>
                      </c:pt>
                      <c:pt idx="31">
                        <c:v>3.3691533007688865</c:v>
                      </c:pt>
                      <c:pt idx="32">
                        <c:v>3.3758881396274552</c:v>
                      </c:pt>
                      <c:pt idx="33">
                        <c:v>3.3826341262270612</c:v>
                      </c:pt>
                      <c:pt idx="34">
                        <c:v>3.3893911421663523</c:v>
                      </c:pt>
                      <c:pt idx="35">
                        <c:v>3.3961590707376645</c:v>
                      </c:pt>
                      <c:pt idx="36">
                        <c:v>3.4029377968965386</c:v>
                      </c:pt>
                      <c:pt idx="37">
                        <c:v>3.409727207231867</c:v>
                      </c:pt>
                      <c:pt idx="38">
                        <c:v>3.4165271899367062</c:v>
                      </c:pt>
                      <c:pt idx="39">
                        <c:v>3.423337634779712</c:v>
                      </c:pt>
                      <c:pt idx="40">
                        <c:v>3.4301584330771866</c:v>
                      </c:pt>
                      <c:pt idx="41">
                        <c:v>3.4369894776657279</c:v>
                      </c:pt>
                      <c:pt idx="42">
                        <c:v>3.4438306628754507</c:v>
                      </c:pt>
                      <c:pt idx="43">
                        <c:v>3.4506818845037914</c:v>
                      </c:pt>
                      <c:pt idx="44">
                        <c:v>3.4575430397898574</c:v>
                      </c:pt>
                      <c:pt idx="45">
                        <c:v>3.4644140273893167</c:v>
                      </c:pt>
                      <c:pt idx="46">
                        <c:v>3.4712947473498188</c:v>
                      </c:pt>
                      <c:pt idx="47">
                        <c:v>3.4781851010869258</c:v>
                      </c:pt>
                      <c:pt idx="48">
                        <c:v>3.4850849913605462</c:v>
                      </c:pt>
                      <c:pt idx="49">
                        <c:v>3.4919943222518639</c:v>
                      </c:pt>
                      <c:pt idx="50">
                        <c:v>3.4989129991407326</c:v>
                      </c:pt>
                      <c:pt idx="51">
                        <c:v>3.5058409286835497</c:v>
                      </c:pt>
                      <c:pt idx="52">
                        <c:v>3.5127780187915696</c:v>
                      </c:pt>
                      <c:pt idx="53">
                        <c:v>3.5197241786096805</c:v>
                      </c:pt>
                      <c:pt idx="54">
                        <c:v>3.5266793184955949</c:v>
                      </c:pt>
                      <c:pt idx="55">
                        <c:v>3.5336433499994766</c:v>
                      </c:pt>
                      <c:pt idx="56">
                        <c:v>3.5406161858439678</c:v>
                      </c:pt>
                      <c:pt idx="57">
                        <c:v>3.5475977399046381</c:v>
                      </c:pt>
                      <c:pt idx="58">
                        <c:v>3.5545879271908016</c:v>
                      </c:pt>
                      <c:pt idx="59">
                        <c:v>3.5615866638267466</c:v>
                      </c:pt>
                      <c:pt idx="60">
                        <c:v>3.5685938670333135</c:v>
                      </c:pt>
                      <c:pt idx="61">
                        <c:v>3.5756094551098587</c:v>
                      </c:pt>
                      <c:pt idx="62">
                        <c:v>3.5826333474165679</c:v>
                      </c:pt>
                      <c:pt idx="63">
                        <c:v>3.5896654643571195</c:v>
                      </c:pt>
                      <c:pt idx="64">
                        <c:v>3.5967057273616909</c:v>
                      </c:pt>
                      <c:pt idx="65">
                        <c:v>3.603754058870297</c:v>
                      </c:pt>
                      <c:pt idx="66">
                        <c:v>3.6108103823164601</c:v>
                      </c:pt>
                      <c:pt idx="67">
                        <c:v>3.6178746221111888</c:v>
                      </c:pt>
                      <c:pt idx="68">
                        <c:v>3.6249467036272716</c:v>
                      </c:pt>
                      <c:pt idx="69">
                        <c:v>3.6320265531838873</c:v>
                      </c:pt>
                      <c:pt idx="70">
                        <c:v>3.639114098031488</c:v>
                      </c:pt>
                      <c:pt idx="71">
                        <c:v>3.646209266336998</c:v>
                      </c:pt>
                      <c:pt idx="72">
                        <c:v>3.6533119871692743</c:v>
                      </c:pt>
                      <c:pt idx="73">
                        <c:v>3.6604221904848666</c:v>
                      </c:pt>
                      <c:pt idx="74">
                        <c:v>3.667539807114029</c:v>
                      </c:pt>
                      <c:pt idx="75">
                        <c:v>3.6746647687470135</c:v>
                      </c:pt>
                      <c:pt idx="76">
                        <c:v>3.681797007920609</c:v>
                      </c:pt>
                      <c:pt idx="77">
                        <c:v>3.6889364580049406</c:v>
                      </c:pt>
                      <c:pt idx="78">
                        <c:v>3.6960830531905251</c:v>
                      </c:pt>
                      <c:pt idx="79">
                        <c:v>3.7032367284755527</c:v>
                      </c:pt>
                      <c:pt idx="80">
                        <c:v>3.710397419653416</c:v>
                      </c:pt>
                      <c:pt idx="81">
                        <c:v>3.7175650633004715</c:v>
                      </c:pt>
                      <c:pt idx="82">
                        <c:v>3.724739596764028</c:v>
                      </c:pt>
                      <c:pt idx="83">
                        <c:v>3.7319209581505515</c:v>
                      </c:pt>
                      <c:pt idx="84">
                        <c:v>3.7391090863140954</c:v>
                      </c:pt>
                      <c:pt idx="85">
                        <c:v>3.7463039208449347</c:v>
                      </c:pt>
                      <c:pt idx="86">
                        <c:v>3.7535054020584204</c:v>
                      </c:pt>
                      <c:pt idx="87">
                        <c:v>3.7607134709840238</c:v>
                      </c:pt>
                      <c:pt idx="88">
                        <c:v>3.7679280693545913</c:v>
                      </c:pt>
                      <c:pt idx="89">
                        <c:v>3.7751491395957881</c:v>
                      </c:pt>
                      <c:pt idx="90">
                        <c:v>3.782376624815734</c:v>
                      </c:pt>
                      <c:pt idx="91">
                        <c:v>3.7896104687948258</c:v>
                      </c:pt>
                      <c:pt idx="92">
                        <c:v>3.7968506159757478</c:v>
                      </c:pt>
                      <c:pt idx="93">
                        <c:v>3.8040970114536514</c:v>
                      </c:pt>
                      <c:pt idx="94">
                        <c:v>3.8113496009665213</c:v>
                      </c:pt>
                      <c:pt idx="95">
                        <c:v>3.8186083308857022</c:v>
                      </c:pt>
                      <c:pt idx="96">
                        <c:v>3.8258731482066044</c:v>
                      </c:pt>
                      <c:pt idx="97">
                        <c:v>3.8331440005395625</c:v>
                      </c:pt>
                      <c:pt idx="98">
                        <c:v>3.8404208361008707</c:v>
                      </c:pt>
                      <c:pt idx="99">
                        <c:v>3.8477036037039567</c:v>
                      </c:pt>
                      <c:pt idx="100">
                        <c:v>3.8549922527507312</c:v>
                      </c:pt>
                      <c:pt idx="101">
                        <c:v>3.862286733223065</c:v>
                      </c:pt>
                      <c:pt idx="102">
                        <c:v>3.8695869956744389</c:v>
                      </c:pt>
                      <c:pt idx="103">
                        <c:v>3.876892991221724</c:v>
                      </c:pt>
                      <c:pt idx="104">
                        <c:v>3.8842046715371072</c:v>
                      </c:pt>
                      <c:pt idx="105">
                        <c:v>3.8915219888401547</c:v>
                      </c:pt>
                      <c:pt idx="106">
                        <c:v>3.8988448958900173</c:v>
                      </c:pt>
                      <c:pt idx="107">
                        <c:v>3.9061733459777677</c:v>
                      </c:pt>
                      <c:pt idx="108">
                        <c:v>3.9135072929188652</c:v>
                      </c:pt>
                      <c:pt idx="109">
                        <c:v>3.9208466910457518</c:v>
                      </c:pt>
                      <c:pt idx="110">
                        <c:v>3.9281914952005765</c:v>
                      </c:pt>
                      <c:pt idx="111">
                        <c:v>3.9355416607280378</c:v>
                      </c:pt>
                      <c:pt idx="112">
                        <c:v>3.9428971434683557</c:v>
                      </c:pt>
                      <c:pt idx="113">
                        <c:v>3.9502578997503512</c:v>
                      </c:pt>
                      <c:pt idx="114">
                        <c:v>3.9576238863846478</c:v>
                      </c:pt>
                      <c:pt idx="115">
                        <c:v>3.9649950606569937</c:v>
                      </c:pt>
                      <c:pt idx="116">
                        <c:v>3.9723713803216838</c:v>
                      </c:pt>
                      <c:pt idx="117">
                        <c:v>3.9797528035950966</c:v>
                      </c:pt>
                      <c:pt idx="118">
                        <c:v>3.9871392891493405</c:v>
                      </c:pt>
                      <c:pt idx="119">
                        <c:v>3.994530796106003</c:v>
                      </c:pt>
                      <c:pt idx="120">
                        <c:v>4.0019272840300033</c:v>
                      </c:pt>
                      <c:pt idx="121">
                        <c:v>4.0093287129235522</c:v>
                      </c:pt>
                      <c:pt idx="122">
                        <c:v>4.0167350432201943</c:v>
                      </c:pt>
                      <c:pt idx="123">
                        <c:v>4.0241462357789688</c:v>
                      </c:pt>
                      <c:pt idx="124">
                        <c:v>4.0315622518786576</c:v>
                      </c:pt>
                      <c:pt idx="125">
                        <c:v>4.0389830532121174</c:v>
                      </c:pt>
                      <c:pt idx="126">
                        <c:v>4.0464086018807217</c:v>
                      </c:pt>
                      <c:pt idx="127">
                        <c:v>4.053838860388872</c:v>
                      </c:pt>
                      <c:pt idx="128">
                        <c:v>4.0612737916386248</c:v>
                      </c:pt>
                      <c:pt idx="129">
                        <c:v>4.068713358924378</c:v>
                      </c:pt>
                      <c:pt idx="130">
                        <c:v>4.0761575259276572</c:v>
                      </c:pt>
                      <c:pt idx="131">
                        <c:v>4.0836062567119811</c:v>
                      </c:pt>
                      <c:pt idx="132">
                        <c:v>4.0910595157178191</c:v>
                      </c:pt>
                      <c:pt idx="133">
                        <c:v>4.0985172677576092</c:v>
                      </c:pt>
                      <c:pt idx="134">
                        <c:v>4.1059794780108732</c:v>
                      </c:pt>
                      <c:pt idx="135">
                        <c:v>4.1134461120194015</c:v>
                      </c:pt>
                      <c:pt idx="136">
                        <c:v>4.1209171356825163</c:v>
                      </c:pt>
                      <c:pt idx="137">
                        <c:v>4.1283925152524068</c:v>
                      </c:pt>
                      <c:pt idx="138">
                        <c:v>4.1358722173295401</c:v>
                      </c:pt>
                      <c:pt idx="139">
                        <c:v>4.1433562088581422</c:v>
                      </c:pt>
                      <c:pt idx="140">
                        <c:v>4.1508444571217513</c:v>
                      </c:pt>
                      <c:pt idx="141">
                        <c:v>4.1583369297388435</c:v>
                      </c:pt>
                      <c:pt idx="142">
                        <c:v>4.1658335946585154</c:v>
                      </c:pt>
                      <c:pt idx="143">
                        <c:v>4.1733344201562499</c:v>
                      </c:pt>
                      <c:pt idx="144">
                        <c:v>4.1808393748297306</c:v>
                      </c:pt>
                      <c:pt idx="145">
                        <c:v>4.1883484275947316</c:v>
                      </c:pt>
                      <c:pt idx="146">
                        <c:v>4.1958615476810754</c:v>
                      </c:pt>
                      <c:pt idx="147">
                        <c:v>4.2033787046286335</c:v>
                      </c:pt>
                      <c:pt idx="148">
                        <c:v>4.2108998682834038</c:v>
                      </c:pt>
                      <c:pt idx="149">
                        <c:v>4.2184250087936501</c:v>
                      </c:pt>
                      <c:pt idx="150">
                        <c:v>4.2259540966060865</c:v>
                      </c:pt>
                      <c:pt idx="151">
                        <c:v>4.2334871024621314</c:v>
                      </c:pt>
                      <c:pt idx="152">
                        <c:v>4.2410239973942145</c:v>
                      </c:pt>
                      <c:pt idx="153">
                        <c:v>4.2485647527221371</c:v>
                      </c:pt>
                      <c:pt idx="154">
                        <c:v>4.2561093400494903</c:v>
                      </c:pt>
                      <c:pt idx="155">
                        <c:v>4.26365773126013</c:v>
                      </c:pt>
                      <c:pt idx="156">
                        <c:v>4.2712098985146936</c:v>
                      </c:pt>
                      <c:pt idx="157">
                        <c:v>4.2787658142471843</c:v>
                      </c:pt>
                      <c:pt idx="158">
                        <c:v>4.2863254511615922</c:v>
                      </c:pt>
                      <c:pt idx="159">
                        <c:v>4.2938887822285725</c:v>
                      </c:pt>
                      <c:pt idx="160">
                        <c:v>4.3014557806821747</c:v>
                      </c:pt>
                      <c:pt idx="161">
                        <c:v>4.3090264200166155</c:v>
                      </c:pt>
                      <c:pt idx="162">
                        <c:v>4.3166006739831015</c:v>
                      </c:pt>
                      <c:pt idx="163">
                        <c:v>4.3241785165866995</c:v>
                      </c:pt>
                      <c:pt idx="164">
                        <c:v>4.3317599220832506</c:v>
                      </c:pt>
                      <c:pt idx="165">
                        <c:v>4.3393448649763293</c:v>
                      </c:pt>
                      <c:pt idx="166">
                        <c:v>4.3469333200142533</c:v>
                      </c:pt>
                      <c:pt idx="167">
                        <c:v>4.354525262187126</c:v>
                      </c:pt>
                      <c:pt idx="168">
                        <c:v>4.3621206667239312</c:v>
                      </c:pt>
                      <c:pt idx="169">
                        <c:v>4.3697195090896663</c:v>
                      </c:pt>
                      <c:pt idx="170">
                        <c:v>4.3773217649825149</c:v>
                      </c:pt>
                      <c:pt idx="171">
                        <c:v>4.384927410331068</c:v>
                      </c:pt>
                      <c:pt idx="172">
                        <c:v>4.3925364212915738</c:v>
                      </c:pt>
                      <c:pt idx="173">
                        <c:v>4.4001487742452339</c:v>
                      </c:pt>
                      <c:pt idx="174">
                        <c:v>4.4077644457955403</c:v>
                      </c:pt>
                      <c:pt idx="175">
                        <c:v>4.4153834127656477</c:v>
                      </c:pt>
                      <c:pt idx="176">
                        <c:v>4.4230056521957737</c:v>
                      </c:pt>
                      <c:pt idx="177">
                        <c:v>4.4306311413406574</c:v>
                      </c:pt>
                      <c:pt idx="178">
                        <c:v>4.4382598576670347</c:v>
                      </c:pt>
                      <c:pt idx="179">
                        <c:v>4.4458917788511592</c:v>
                      </c:pt>
                      <c:pt idx="180">
                        <c:v>4.4535268827763517</c:v>
                      </c:pt>
                      <c:pt idx="181">
                        <c:v>4.4611651475305889</c:v>
                      </c:pt>
                      <c:pt idx="182">
                        <c:v>4.4688065514041266</c:v>
                      </c:pt>
                      <c:pt idx="183">
                        <c:v>4.4764510728871549</c:v>
                      </c:pt>
                      <c:pt idx="184">
                        <c:v>4.48409869066748</c:v>
                      </c:pt>
                      <c:pt idx="185">
                        <c:v>4.4917493836282523</c:v>
                      </c:pt>
                      <c:pt idx="186">
                        <c:v>4.499403130845705</c:v>
                      </c:pt>
                      <c:pt idx="187">
                        <c:v>4.5070599115869543</c:v>
                      </c:pt>
                      <c:pt idx="188">
                        <c:v>4.5147197053077956</c:v>
                      </c:pt>
                      <c:pt idx="189">
                        <c:v>4.5223824916505553</c:v>
                      </c:pt>
                      <c:pt idx="190">
                        <c:v>4.5300482504419648</c:v>
                      </c:pt>
                      <c:pt idx="191">
                        <c:v>4.537716961691058</c:v>
                      </c:pt>
                      <c:pt idx="192">
                        <c:v>4.545388605587104</c:v>
                      </c:pt>
                      <c:pt idx="193">
                        <c:v>4.5530631624975717</c:v>
                      </c:pt>
                      <c:pt idx="194">
                        <c:v>4.5607406129661037</c:v>
                      </c:pt>
                      <c:pt idx="195">
                        <c:v>4.568420937710548</c:v>
                      </c:pt>
                      <c:pt idx="196">
                        <c:v>4.5761041176209867</c:v>
                      </c:pt>
                      <c:pt idx="197">
                        <c:v>4.5837901337578062</c:v>
                      </c:pt>
                      <c:pt idx="198">
                        <c:v>4.591478967349798</c:v>
                      </c:pt>
                      <c:pt idx="199">
                        <c:v>4.5991705997922674</c:v>
                      </c:pt>
                      <c:pt idx="200">
                        <c:v>4.6068650126451924</c:v>
                      </c:pt>
                    </c:numCache>
                  </c:numRef>
                </c:val>
                <c:smooth val="0"/>
                <c:extLst xmlns:c15="http://schemas.microsoft.com/office/drawing/2012/chart">
                  <c:ext xmlns:c16="http://schemas.microsoft.com/office/drawing/2014/chart" uri="{C3380CC4-5D6E-409C-BE32-E72D297353CC}">
                    <c16:uniqueId val="{00000006-D94A-4A6C-A3EF-19A07815FC45}"/>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VIN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Calculations'!$AF$9:$AF$209</c15:sqref>
                        </c15:formulaRef>
                      </c:ext>
                    </c:extLst>
                    <c:numCache>
                      <c:formatCode>0.000</c:formatCode>
                      <c:ptCount val="201"/>
                      <c:pt idx="0">
                        <c:v>5.6109654535195889E-2</c:v>
                      </c:pt>
                      <c:pt idx="1">
                        <c:v>5.6462117129342668E-2</c:v>
                      </c:pt>
                      <c:pt idx="2">
                        <c:v>5.6808454005512085E-2</c:v>
                      </c:pt>
                      <c:pt idx="3">
                        <c:v>5.7148766643195022E-2</c:v>
                      </c:pt>
                      <c:pt idx="4">
                        <c:v>5.7483154589628063E-2</c:v>
                      </c:pt>
                      <c:pt idx="5">
                        <c:v>5.7811715502547614E-2</c:v>
                      </c:pt>
                      <c:pt idx="6">
                        <c:v>5.8134545191856318E-2</c:v>
                      </c:pt>
                      <c:pt idx="7">
                        <c:v>5.8451737660232803E-2</c:v>
                      </c:pt>
                      <c:pt idx="8">
                        <c:v>5.8763385142715681E-2</c:v>
                      </c:pt>
                      <c:pt idx="9">
                        <c:v>5.9069578145290839E-2</c:v>
                      </c:pt>
                      <c:pt idx="10">
                        <c:v>5.9370405482510616E-2</c:v>
                      </c:pt>
                      <c:pt idx="11">
                        <c:v>5.9665954314172369E-2</c:v>
                      </c:pt>
                      <c:pt idx="12">
                        <c:v>5.9956310181083286E-2</c:v>
                      </c:pt>
                      <c:pt idx="13">
                        <c:v>6.0241557039936833E-2</c:v>
                      </c:pt>
                      <c:pt idx="14">
                        <c:v>6.052177729732662E-2</c:v>
                      </c:pt>
                      <c:pt idx="15">
                        <c:v>6.0797051842920932E-2</c:v>
                      </c:pt>
                      <c:pt idx="16">
                        <c:v>6.1067460081822192E-2</c:v>
                      </c:pt>
                      <c:pt idx="17">
                        <c:v>6.1333079966133637E-2</c:v>
                      </c:pt>
                      <c:pt idx="18">
                        <c:v>6.1593988025755587E-2</c:v>
                      </c:pt>
                      <c:pt idx="19">
                        <c:v>6.1850259398432084E-2</c:v>
                      </c:pt>
                      <c:pt idx="20">
                        <c:v>6.2101967859069067E-2</c:v>
                      </c:pt>
                      <c:pt idx="21">
                        <c:v>6.2349185848343994E-2</c:v>
                      </c:pt>
                      <c:pt idx="22">
                        <c:v>6.2591984500626266E-2</c:v>
                      </c:pt>
                      <c:pt idx="23">
                        <c:v>6.2830433671227051E-2</c:v>
                      </c:pt>
                      <c:pt idx="24">
                        <c:v>6.3064601962997346E-2</c:v>
                      </c:pt>
                      <c:pt idx="25">
                        <c:v>6.3294556752291245E-2</c:v>
                      </c:pt>
                      <c:pt idx="26">
                        <c:v>6.3520364214312189E-2</c:v>
                      </c:pt>
                      <c:pt idx="27">
                        <c:v>6.3742089347858383E-2</c:v>
                      </c:pt>
                      <c:pt idx="28">
                        <c:v>6.3959795999483773E-2</c:v>
                      </c:pt>
                      <c:pt idx="29">
                        <c:v>6.4173546887089927E-2</c:v>
                      </c:pt>
                      <c:pt idx="30">
                        <c:v>6.4383403622964644E-2</c:v>
                      </c:pt>
                      <c:pt idx="31">
                        <c:v>6.4589426736280917E-2</c:v>
                      </c:pt>
                      <c:pt idx="32">
                        <c:v>6.4791675695071854E-2</c:v>
                      </c:pt>
                      <c:pt idx="33">
                        <c:v>6.4990208927694262E-2</c:v>
                      </c:pt>
                      <c:pt idx="34">
                        <c:v>6.5185083843794997E-2</c:v>
                      </c:pt>
                      <c:pt idx="35">
                        <c:v>6.5376356854793052E-2</c:v>
                      </c:pt>
                      <c:pt idx="36">
                        <c:v>6.5564083393889708E-2</c:v>
                      </c:pt>
                      <c:pt idx="37">
                        <c:v>6.5748317935619638E-2</c:v>
                      </c:pt>
                      <c:pt idx="38">
                        <c:v>6.5929114014954243E-2</c:v>
                      </c:pt>
                      <c:pt idx="39">
                        <c:v>6.6106524245969356E-2</c:v>
                      </c:pt>
                      <c:pt idx="40">
                        <c:v>6.6280600340088272E-2</c:v>
                      </c:pt>
                      <c:pt idx="41">
                        <c:v>6.6451393123911073E-2</c:v>
                      </c:pt>
                      <c:pt idx="42">
                        <c:v>6.6618952556640965E-2</c:v>
                      </c:pt>
                      <c:pt idx="43">
                        <c:v>6.6783327747117829E-2</c:v>
                      </c:pt>
                      <c:pt idx="44">
                        <c:v>6.6944566970469174E-2</c:v>
                      </c:pt>
                      <c:pt idx="45">
                        <c:v>6.7102717684387872E-2</c:v>
                      </c:pt>
                      <c:pt idx="46">
                        <c:v>6.7257826545046584E-2</c:v>
                      </c:pt>
                      <c:pt idx="47">
                        <c:v>6.7409939422657619E-2</c:v>
                      </c:pt>
                      <c:pt idx="48">
                        <c:v>6.7559101416687611E-2</c:v>
                      </c:pt>
                      <c:pt idx="49">
                        <c:v>6.7705356870735284E-2</c:v>
                      </c:pt>
                      <c:pt idx="50">
                        <c:v>6.7848749387080742E-2</c:v>
                      </c:pt>
                      <c:pt idx="51">
                        <c:v>6.7989321840915051E-2</c:v>
                      </c:pt>
                      <c:pt idx="52">
                        <c:v>6.8127116394257226E-2</c:v>
                      </c:pt>
                      <c:pt idx="53">
                        <c:v>6.8262174509567161E-2</c:v>
                      </c:pt>
                      <c:pt idx="54">
                        <c:v>6.8394536963061275E-2</c:v>
                      </c:pt>
                      <c:pt idx="55">
                        <c:v>6.8524243857739017E-2</c:v>
                      </c:pt>
                      <c:pt idx="56">
                        <c:v>6.8651334636126521E-2</c:v>
                      </c:pt>
                      <c:pt idx="57">
                        <c:v>6.8775848092745062E-2</c:v>
                      </c:pt>
                      <c:pt idx="58">
                        <c:v>6.889782238631055E-2</c:v>
                      </c:pt>
                      <c:pt idx="59">
                        <c:v>6.9017295051670771E-2</c:v>
                      </c:pt>
                      <c:pt idx="60">
                        <c:v>6.9134303011486667E-2</c:v>
                      </c:pt>
                      <c:pt idx="61">
                        <c:v>6.9248882587664415E-2</c:v>
                      </c:pt>
                      <c:pt idx="62">
                        <c:v>6.9361069512543047E-2</c:v>
                      </c:pt>
                      <c:pt idx="63">
                        <c:v>6.9470898939845177E-2</c:v>
                      </c:pt>
                      <c:pt idx="64">
                        <c:v>6.9578405455394912E-2</c:v>
                      </c:pt>
                      <c:pt idx="65">
                        <c:v>6.9683623087609781E-2</c:v>
                      </c:pt>
                      <c:pt idx="66">
                        <c:v>6.9786585317771252E-2</c:v>
                      </c:pt>
                      <c:pt idx="67">
                        <c:v>6.988732509007943E-2</c:v>
                      </c:pt>
                      <c:pt idx="68">
                        <c:v>6.9985874821497374E-2</c:v>
                      </c:pt>
                      <c:pt idx="69">
                        <c:v>7.0082266411389066E-2</c:v>
                      </c:pt>
                      <c:pt idx="70">
                        <c:v>7.0176531250957103E-2</c:v>
                      </c:pt>
                      <c:pt idx="71">
                        <c:v>7.0268700232483924E-2</c:v>
                      </c:pt>
                      <c:pt idx="72">
                        <c:v>7.0358803758381494E-2</c:v>
                      </c:pt>
                      <c:pt idx="73">
                        <c:v>7.0446871750054083E-2</c:v>
                      </c:pt>
                      <c:pt idx="74">
                        <c:v>7.0532933656578214E-2</c:v>
                      </c:pt>
                      <c:pt idx="75">
                        <c:v>7.0617018463204118E-2</c:v>
                      </c:pt>
                      <c:pt idx="76">
                        <c:v>7.0699154699683103E-2</c:v>
                      </c:pt>
                      <c:pt idx="77">
                        <c:v>7.0779370448424389E-2</c:v>
                      </c:pt>
                      <c:pt idx="78">
                        <c:v>7.0857693352485707E-2</c:v>
                      </c:pt>
                      <c:pt idx="79">
                        <c:v>7.0934150623401637E-2</c:v>
                      </c:pt>
                      <c:pt idx="80">
                        <c:v>7.1008769048852477E-2</c:v>
                      </c:pt>
                      <c:pt idx="81">
                        <c:v>7.1081575000178795E-2</c:v>
                      </c:pt>
                      <c:pt idx="82">
                        <c:v>7.1152594439743741E-2</c:v>
                      </c:pt>
                      <c:pt idx="83">
                        <c:v>7.1221852928147533E-2</c:v>
                      </c:pt>
                      <c:pt idx="84">
                        <c:v>7.1289375631296961E-2</c:v>
                      </c:pt>
                      <c:pt idx="85">
                        <c:v>7.1355187327333508E-2</c:v>
                      </c:pt>
                      <c:pt idx="86">
                        <c:v>7.1419312413423003E-2</c:v>
                      </c:pt>
                      <c:pt idx="87">
                        <c:v>7.1481774912410215E-2</c:v>
                      </c:pt>
                      <c:pt idx="88">
                        <c:v>7.1542598479341177E-2</c:v>
                      </c:pt>
                      <c:pt idx="89">
                        <c:v>7.1601806407856294E-2</c:v>
                      </c:pt>
                      <c:pt idx="90">
                        <c:v>7.1659421636457124E-2</c:v>
                      </c:pt>
                      <c:pt idx="91">
                        <c:v>7.1715466754649779E-2</c:v>
                      </c:pt>
                      <c:pt idx="92">
                        <c:v>7.1769964008967277E-2</c:v>
                      </c:pt>
                      <c:pt idx="93">
                        <c:v>7.182293530887407E-2</c:v>
                      </c:pt>
                      <c:pt idx="94">
                        <c:v>7.1874402232554951E-2</c:v>
                      </c:pt>
                      <c:pt idx="95">
                        <c:v>7.1924386032591006E-2</c:v>
                      </c:pt>
                      <c:pt idx="96">
                        <c:v>7.1972907641525183E-2</c:v>
                      </c:pt>
                      <c:pt idx="97">
                        <c:v>7.2019987677319888E-2</c:v>
                      </c:pt>
                      <c:pt idx="98">
                        <c:v>7.2065646448708623E-2</c:v>
                      </c:pt>
                      <c:pt idx="99">
                        <c:v>7.2109903960444546E-2</c:v>
                      </c:pt>
                      <c:pt idx="100">
                        <c:v>7.2152779918447887E-2</c:v>
                      </c:pt>
                      <c:pt idx="101">
                        <c:v>7.2194293734854198E-2</c:v>
                      </c:pt>
                      <c:pt idx="102">
                        <c:v>7.2234464532966211E-2</c:v>
                      </c:pt>
                      <c:pt idx="103">
                        <c:v>7.2273311152110511E-2</c:v>
                      </c:pt>
                      <c:pt idx="104">
                        <c:v>7.2310852152402114E-2</c:v>
                      </c:pt>
                      <c:pt idx="105">
                        <c:v>7.2347105819417848E-2</c:v>
                      </c:pt>
                      <c:pt idx="106">
                        <c:v>7.2382090168781402E-2</c:v>
                      </c:pt>
                      <c:pt idx="107">
                        <c:v>7.2415822950661346E-2</c:v>
                      </c:pt>
                      <c:pt idx="108">
                        <c:v>7.2448321654184286E-2</c:v>
                      </c:pt>
                      <c:pt idx="109">
                        <c:v>7.247960351176469E-2</c:v>
                      </c:pt>
                      <c:pt idx="110">
                        <c:v>7.2509685503353599E-2</c:v>
                      </c:pt>
                      <c:pt idx="111">
                        <c:v>7.2538584360607339E-2</c:v>
                      </c:pt>
                      <c:pt idx="112">
                        <c:v>7.2566316570978312E-2</c:v>
                      </c:pt>
                      <c:pt idx="113">
                        <c:v>7.259289838172979E-2</c:v>
                      </c:pt>
                      <c:pt idx="114">
                        <c:v>7.2618345803875287E-2</c:v>
                      </c:pt>
                      <c:pt idx="115">
                        <c:v>7.2642674616045358E-2</c:v>
                      </c:pt>
                      <c:pt idx="116">
                        <c:v>7.2665900368282452E-2</c:v>
                      </c:pt>
                      <c:pt idx="117">
                        <c:v>7.2688038385765569E-2</c:v>
                      </c:pt>
                      <c:pt idx="118">
                        <c:v>7.270910377246631E-2</c:v>
                      </c:pt>
                      <c:pt idx="119">
                        <c:v>7.2729111414737674E-2</c:v>
                      </c:pt>
                      <c:pt idx="120">
                        <c:v>7.2748075984836943E-2</c:v>
                      </c:pt>
                      <c:pt idx="121">
                        <c:v>7.2766011944383868E-2</c:v>
                      </c:pt>
                      <c:pt idx="122">
                        <c:v>7.2782933547755904E-2</c:v>
                      </c:pt>
                      <c:pt idx="123">
                        <c:v>7.2798854845421465E-2</c:v>
                      </c:pt>
                      <c:pt idx="124">
                        <c:v>7.281378968721243E-2</c:v>
                      </c:pt>
                      <c:pt idx="125">
                        <c:v>7.2827751725537487E-2</c:v>
                      </c:pt>
                      <c:pt idx="126">
                        <c:v>7.2840754418537018E-2</c:v>
                      </c:pt>
                      <c:pt idx="127">
                        <c:v>7.2852811033181183E-2</c:v>
                      </c:pt>
                      <c:pt idx="128">
                        <c:v>7.2863934648312173E-2</c:v>
                      </c:pt>
                      <c:pt idx="129">
                        <c:v>7.2874138157631579E-2</c:v>
                      </c:pt>
                      <c:pt idx="130">
                        <c:v>7.2883434272634426E-2</c:v>
                      </c:pt>
                      <c:pt idx="131">
                        <c:v>7.2891835525490292E-2</c:v>
                      </c:pt>
                      <c:pt idx="132">
                        <c:v>7.2899354271873537E-2</c:v>
                      </c:pt>
                      <c:pt idx="133">
                        <c:v>7.290600269374245E-2</c:v>
                      </c:pt>
                      <c:pt idx="134">
                        <c:v>7.2911792802069414E-2</c:v>
                      </c:pt>
                      <c:pt idx="135">
                        <c:v>7.2916736439522539E-2</c:v>
                      </c:pt>
                      <c:pt idx="136">
                        <c:v>7.2920845283099722E-2</c:v>
                      </c:pt>
                      <c:pt idx="137">
                        <c:v>7.2924130846716242E-2</c:v>
                      </c:pt>
                      <c:pt idx="138">
                        <c:v>7.2926604483746812E-2</c:v>
                      </c:pt>
                      <c:pt idx="139">
                        <c:v>7.2928277389522816E-2</c:v>
                      </c:pt>
                      <c:pt idx="140">
                        <c:v>7.2929160603785737E-2</c:v>
                      </c:pt>
                      <c:pt idx="141">
                        <c:v>7.2929265013097835E-2</c:v>
                      </c:pt>
                      <c:pt idx="142">
                        <c:v>7.2928601353210346E-2</c:v>
                      </c:pt>
                      <c:pt idx="143">
                        <c:v>7.2927180211390677E-2</c:v>
                      </c:pt>
                      <c:pt idx="144">
                        <c:v>7.2925012028709046E-2</c:v>
                      </c:pt>
                      <c:pt idx="145">
                        <c:v>7.2922107102285416E-2</c:v>
                      </c:pt>
                      <c:pt idx="146">
                        <c:v>7.2918475587497478E-2</c:v>
                      </c:pt>
                      <c:pt idx="147">
                        <c:v>7.2914127500150611E-2</c:v>
                      </c:pt>
                      <c:pt idx="148">
                        <c:v>7.2909072718610135E-2</c:v>
                      </c:pt>
                      <c:pt idx="149">
                        <c:v>7.2903320985897288E-2</c:v>
                      </c:pt>
                      <c:pt idx="150">
                        <c:v>7.2896881911748826E-2</c:v>
                      </c:pt>
                      <c:pt idx="151">
                        <c:v>7.2889764974641516E-2</c:v>
                      </c:pt>
                      <c:pt idx="152">
                        <c:v>7.288197952378199E-2</c:v>
                      </c:pt>
                      <c:pt idx="153">
                        <c:v>7.2873534781062635E-2</c:v>
                      </c:pt>
                      <c:pt idx="154">
                        <c:v>7.2864439842984241E-2</c:v>
                      </c:pt>
                      <c:pt idx="155">
                        <c:v>7.2854703682545707E-2</c:v>
                      </c:pt>
                      <c:pt idx="156">
                        <c:v>7.2844335151102099E-2</c:v>
                      </c:pt>
                      <c:pt idx="157">
                        <c:v>7.2833342980191201E-2</c:v>
                      </c:pt>
                      <c:pt idx="158">
                        <c:v>7.2821735783328775E-2</c:v>
                      </c:pt>
                      <c:pt idx="159">
                        <c:v>7.280952205777412E-2</c:v>
                      </c:pt>
                      <c:pt idx="160">
                        <c:v>7.2796710186265642E-2</c:v>
                      </c:pt>
                      <c:pt idx="161">
                        <c:v>7.2783308438727448E-2</c:v>
                      </c:pt>
                      <c:pt idx="162">
                        <c:v>7.2769324973947266E-2</c:v>
                      </c:pt>
                      <c:pt idx="163">
                        <c:v>7.2754767841226212E-2</c:v>
                      </c:pt>
                      <c:pt idx="164">
                        <c:v>7.2739644982001514E-2</c:v>
                      </c:pt>
                      <c:pt idx="165">
                        <c:v>7.2723964231441424E-2</c:v>
                      </c:pt>
                      <c:pt idx="166">
                        <c:v>7.2707733320014567E-2</c:v>
                      </c:pt>
                      <c:pt idx="167">
                        <c:v>7.2690959875032379E-2</c:v>
                      </c:pt>
                      <c:pt idx="168">
                        <c:v>7.2673651422166891E-2</c:v>
                      </c:pt>
                      <c:pt idx="169">
                        <c:v>7.2655815386942574E-2</c:v>
                      </c:pt>
                      <c:pt idx="170">
                        <c:v>7.263745909620449E-2</c:v>
                      </c:pt>
                      <c:pt idx="171">
                        <c:v>7.2618589779561482E-2</c:v>
                      </c:pt>
                      <c:pt idx="172">
                        <c:v>7.2599214570806342E-2</c:v>
                      </c:pt>
                      <c:pt idx="173">
                        <c:v>7.2579340509312279E-2</c:v>
                      </c:pt>
                      <c:pt idx="174">
                        <c:v>7.2558974541406723E-2</c:v>
                      </c:pt>
                      <c:pt idx="175">
                        <c:v>7.25381235217228E-2</c:v>
                      </c:pt>
                      <c:pt idx="176">
                        <c:v>7.2516794214528613E-2</c:v>
                      </c:pt>
                      <c:pt idx="177">
                        <c:v>7.2494993295035087E-2</c:v>
                      </c:pt>
                      <c:pt idx="178">
                        <c:v>7.2472727350682511E-2</c:v>
                      </c:pt>
                      <c:pt idx="179">
                        <c:v>7.24500028824063E-2</c:v>
                      </c:pt>
                      <c:pt idx="180">
                        <c:v>7.2426826305882278E-2</c:v>
                      </c:pt>
                      <c:pt idx="181">
                        <c:v>7.2403203952751821E-2</c:v>
                      </c:pt>
                      <c:pt idx="182">
                        <c:v>7.2379142071827621E-2</c:v>
                      </c:pt>
                      <c:pt idx="183">
                        <c:v>7.2354646830279479E-2</c:v>
                      </c:pt>
                      <c:pt idx="184">
                        <c:v>7.2329724314801724E-2</c:v>
                      </c:pt>
                      <c:pt idx="185">
                        <c:v>7.2304380532761475E-2</c:v>
                      </c:pt>
                      <c:pt idx="186">
                        <c:v>7.2278621413328803E-2</c:v>
                      </c:pt>
                      <c:pt idx="187">
                        <c:v>7.2252452808588996E-2</c:v>
                      </c:pt>
                      <c:pt idx="188">
                        <c:v>7.2225880494636713E-2</c:v>
                      </c:pt>
                      <c:pt idx="189">
                        <c:v>7.2198910172653202E-2</c:v>
                      </c:pt>
                      <c:pt idx="190">
                        <c:v>7.2171547469966249E-2</c:v>
                      </c:pt>
                      <c:pt idx="191">
                        <c:v>7.214379794109331E-2</c:v>
                      </c:pt>
                      <c:pt idx="192">
                        <c:v>7.2115667068768249E-2</c:v>
                      </c:pt>
                      <c:pt idx="193">
                        <c:v>7.2087160264952016E-2</c:v>
                      </c:pt>
                      <c:pt idx="194">
                        <c:v>7.2058282871827237E-2</c:v>
                      </c:pt>
                      <c:pt idx="195">
                        <c:v>7.2029040162777128E-2</c:v>
                      </c:pt>
                      <c:pt idx="196">
                        <c:v>7.1999437343349404E-2</c:v>
                      </c:pt>
                      <c:pt idx="197">
                        <c:v>7.1969479552204813E-2</c:v>
                      </c:pt>
                      <c:pt idx="198">
                        <c:v>7.1939171862050996E-2</c:v>
                      </c:pt>
                      <c:pt idx="199">
                        <c:v>7.1908519280561647E-2</c:v>
                      </c:pt>
                      <c:pt idx="200">
                        <c:v>7.1877526751281617E-2</c:v>
                      </c:pt>
                    </c:numCache>
                  </c:numRef>
                </c:val>
                <c:smooth val="0"/>
                <c:extLst xmlns:c15="http://schemas.microsoft.com/office/drawing/2012/chart">
                  <c:ext xmlns:c16="http://schemas.microsoft.com/office/drawing/2014/chart" uri="{C3380CC4-5D6E-409C-BE32-E72D297353CC}">
                    <c16:uniqueId val="{00000007-D94A-4A6C-A3EF-19A07815FC45}"/>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VIN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Calculations'!$AC$9:$AC$209</c15:sqref>
                        </c15:formulaRef>
                      </c:ext>
                    </c:extLst>
                    <c:numCache>
                      <c:formatCode>0.000</c:formatCode>
                      <c:ptCount val="201"/>
                      <c:pt idx="0">
                        <c:v>2.6259597524932012E-3</c:v>
                      </c:pt>
                      <c:pt idx="1">
                        <c:v>2.6757465998962959E-3</c:v>
                      </c:pt>
                      <c:pt idx="2">
                        <c:v>2.7256505648593898E-3</c:v>
                      </c:pt>
                      <c:pt idx="3">
                        <c:v>2.7756656482147918E-3</c:v>
                      </c:pt>
                      <c:pt idx="4">
                        <c:v>2.8257859992278141E-3</c:v>
                      </c:pt>
                      <c:pt idx="5">
                        <c:v>2.8760059119227487E-3</c:v>
                      </c:pt>
                      <c:pt idx="6">
                        <c:v>2.9263198215073011E-3</c:v>
                      </c:pt>
                      <c:pt idx="7">
                        <c:v>2.9767223008926196E-3</c:v>
                      </c:pt>
                      <c:pt idx="8">
                        <c:v>3.0272080573061017E-3</c:v>
                      </c:pt>
                      <c:pt idx="9">
                        <c:v>3.0777719289942578E-3</c:v>
                      </c:pt>
                      <c:pt idx="10">
                        <c:v>3.1284088820129879E-3</c:v>
                      </c:pt>
                      <c:pt idx="11">
                        <c:v>3.1791140071027774E-3</c:v>
                      </c:pt>
                      <c:pt idx="12">
                        <c:v>3.2298825166463029E-3</c:v>
                      </c:pt>
                      <c:pt idx="13">
                        <c:v>3.2807097417060695E-3</c:v>
                      </c:pt>
                      <c:pt idx="14">
                        <c:v>3.3315911291397992E-3</c:v>
                      </c:pt>
                      <c:pt idx="15">
                        <c:v>3.3825222387912916E-3</c:v>
                      </c:pt>
                      <c:pt idx="16">
                        <c:v>3.4334987407546452E-3</c:v>
                      </c:pt>
                      <c:pt idx="17">
                        <c:v>3.4845164127096867E-3</c:v>
                      </c:pt>
                      <c:pt idx="18">
                        <c:v>3.5355711373265971E-3</c:v>
                      </c:pt>
                      <c:pt idx="19">
                        <c:v>3.586658899737815E-3</c:v>
                      </c:pt>
                      <c:pt idx="20">
                        <c:v>3.6377757850752142E-3</c:v>
                      </c:pt>
                      <c:pt idx="21">
                        <c:v>3.6889179760708052E-3</c:v>
                      </c:pt>
                      <c:pt idx="22">
                        <c:v>3.7400817507190821E-3</c:v>
                      </c:pt>
                      <c:pt idx="23">
                        <c:v>3.7912634799993801E-3</c:v>
                      </c:pt>
                      <c:pt idx="24">
                        <c:v>3.842459625656458E-3</c:v>
                      </c:pt>
                      <c:pt idx="25">
                        <c:v>3.893666738037746E-3</c:v>
                      </c:pt>
                      <c:pt idx="26">
                        <c:v>3.9448814539856693E-3</c:v>
                      </c:pt>
                      <c:pt idx="27">
                        <c:v>3.9961004947834736E-3</c:v>
                      </c:pt>
                      <c:pt idx="28">
                        <c:v>4.0473206641531388E-3</c:v>
                      </c:pt>
                      <c:pt idx="29">
                        <c:v>4.0985388463038504E-3</c:v>
                      </c:pt>
                      <c:pt idx="30">
                        <c:v>4.1497520040297518E-3</c:v>
                      </c:pt>
                      <c:pt idx="31">
                        <c:v>4.2009571768554764E-3</c:v>
                      </c:pt>
                      <c:pt idx="32">
                        <c:v>4.2521514792282838E-3</c:v>
                      </c:pt>
                      <c:pt idx="33">
                        <c:v>4.3033320987554378E-3</c:v>
                      </c:pt>
                      <c:pt idx="34">
                        <c:v>4.3544962944856401E-3</c:v>
                      </c:pt>
                      <c:pt idx="35">
                        <c:v>4.4056413952332568E-3</c:v>
                      </c:pt>
                      <c:pt idx="36">
                        <c:v>4.456764797944289E-3</c:v>
                      </c:pt>
                      <c:pt idx="37">
                        <c:v>4.5078639661028166E-3</c:v>
                      </c:pt>
                      <c:pt idx="38">
                        <c:v>4.5589364281769266E-3</c:v>
                      </c:pt>
                      <c:pt idx="39">
                        <c:v>4.609979776103031E-3</c:v>
                      </c:pt>
                      <c:pt idx="40">
                        <c:v>4.6609916638075182E-3</c:v>
                      </c:pt>
                      <c:pt idx="41">
                        <c:v>4.711969805764795E-3</c:v>
                      </c:pt>
                      <c:pt idx="42">
                        <c:v>4.7629119755906472E-3</c:v>
                      </c:pt>
                      <c:pt idx="43">
                        <c:v>4.8138160046700962E-3</c:v>
                      </c:pt>
                      <c:pt idx="44">
                        <c:v>4.8646797808187649E-3</c:v>
                      </c:pt>
                      <c:pt idx="45">
                        <c:v>4.9155012469768514E-3</c:v>
                      </c:pt>
                      <c:pt idx="46">
                        <c:v>4.9662783999348814E-3</c:v>
                      </c:pt>
                      <c:pt idx="47">
                        <c:v>5.0170092890904176E-3</c:v>
                      </c:pt>
                      <c:pt idx="48">
                        <c:v>5.0676920152348389E-3</c:v>
                      </c:pt>
                      <c:pt idx="49">
                        <c:v>5.1183247293694698E-3</c:v>
                      </c:pt>
                      <c:pt idx="50">
                        <c:v>5.1689056315502814E-3</c:v>
                      </c:pt>
                      <c:pt idx="51">
                        <c:v>5.2194329697603402E-3</c:v>
                      </c:pt>
                      <c:pt idx="52">
                        <c:v>5.2699050388094219E-3</c:v>
                      </c:pt>
                      <c:pt idx="53">
                        <c:v>5.320320179259928E-3</c:v>
                      </c:pt>
                      <c:pt idx="54">
                        <c:v>5.3706767763785556E-3</c:v>
                      </c:pt>
                      <c:pt idx="55">
                        <c:v>5.4209732591129559E-3</c:v>
                      </c:pt>
                      <c:pt idx="56">
                        <c:v>5.4712080990927947E-3</c:v>
                      </c:pt>
                      <c:pt idx="57">
                        <c:v>5.521379809654549E-3</c:v>
                      </c:pt>
                      <c:pt idx="58">
                        <c:v>5.5714869448894866E-3</c:v>
                      </c:pt>
                      <c:pt idx="59">
                        <c:v>5.6215280987141417E-3</c:v>
                      </c:pt>
                      <c:pt idx="60">
                        <c:v>5.6715019039628098E-3</c:v>
                      </c:pt>
                      <c:pt idx="61">
                        <c:v>5.7214070315013991E-3</c:v>
                      </c:pt>
                      <c:pt idx="62">
                        <c:v>5.7712421893622431E-3</c:v>
                      </c:pt>
                      <c:pt idx="63">
                        <c:v>5.821006121899122E-3</c:v>
                      </c:pt>
                      <c:pt idx="64">
                        <c:v>5.8706976089622264E-3</c:v>
                      </c:pt>
                      <c:pt idx="65">
                        <c:v>5.9203154650923516E-3</c:v>
                      </c:pt>
                      <c:pt idx="66">
                        <c:v>5.9698585387339799E-3</c:v>
                      </c:pt>
                      <c:pt idx="67">
                        <c:v>6.0193257114666823E-3</c:v>
                      </c:pt>
                      <c:pt idx="68">
                        <c:v>6.0687158972544397E-3</c:v>
                      </c:pt>
                      <c:pt idx="69">
                        <c:v>6.1180280417124202E-3</c:v>
                      </c:pt>
                      <c:pt idx="70">
                        <c:v>6.1672611213907328E-3</c:v>
                      </c:pt>
                      <c:pt idx="71">
                        <c:v>6.2164141430747916E-3</c:v>
                      </c:pt>
                      <c:pt idx="72">
                        <c:v>6.2654861431018687E-3</c:v>
                      </c:pt>
                      <c:pt idx="73">
                        <c:v>6.3144761866933772E-3</c:v>
                      </c:pt>
                      <c:pt idx="74">
                        <c:v>6.3633833673025879E-3</c:v>
                      </c:pt>
                      <c:pt idx="75">
                        <c:v>6.4122068059772955E-3</c:v>
                      </c:pt>
                      <c:pt idx="76">
                        <c:v>6.4609456507371604E-3</c:v>
                      </c:pt>
                      <c:pt idx="77">
                        <c:v>6.5095990759652727E-3</c:v>
                      </c:pt>
                      <c:pt idx="78">
                        <c:v>6.5581662818137015E-3</c:v>
                      </c:pt>
                      <c:pt idx="79">
                        <c:v>6.6066464936225533E-3</c:v>
                      </c:pt>
                      <c:pt idx="80">
                        <c:v>6.6550389613523313E-3</c:v>
                      </c:pt>
                      <c:pt idx="81">
                        <c:v>6.7033429590291575E-3</c:v>
                      </c:pt>
                      <c:pt idx="82">
                        <c:v>6.7515577842026907E-3</c:v>
                      </c:pt>
                      <c:pt idx="83">
                        <c:v>6.7996827574162708E-3</c:v>
                      </c:pt>
                      <c:pt idx="84">
                        <c:v>6.847717221689067E-3</c:v>
                      </c:pt>
                      <c:pt idx="85">
                        <c:v>6.8956605420099912E-3</c:v>
                      </c:pt>
                      <c:pt idx="86">
                        <c:v>6.9435121048430125E-3</c:v>
                      </c:pt>
                      <c:pt idx="87">
                        <c:v>6.9912713176436131E-3</c:v>
                      </c:pt>
                      <c:pt idx="88">
                        <c:v>7.0389376083861352E-3</c:v>
                      </c:pt>
                      <c:pt idx="89">
                        <c:v>7.0865104251017618E-3</c:v>
                      </c:pt>
                      <c:pt idx="90">
                        <c:v>7.1339892354268805E-3</c:v>
                      </c:pt>
                      <c:pt idx="91">
                        <c:v>7.1813735261615202E-3</c:v>
                      </c:pt>
                      <c:pt idx="92">
                        <c:v>7.2286628028377219E-3</c:v>
                      </c:pt>
                      <c:pt idx="93">
                        <c:v>7.2758565892975255E-3</c:v>
                      </c:pt>
                      <c:pt idx="94">
                        <c:v>7.3229544272803565E-3</c:v>
                      </c:pt>
                      <c:pt idx="95">
                        <c:v>7.3699558760196683E-3</c:v>
                      </c:pt>
                      <c:pt idx="96">
                        <c:v>7.4168605118484603E-3</c:v>
                      </c:pt>
                      <c:pt idx="97">
                        <c:v>7.4636679278136725E-3</c:v>
                      </c:pt>
                      <c:pt idx="98">
                        <c:v>7.51037773329902E-3</c:v>
                      </c:pt>
                      <c:pt idx="99">
                        <c:v>7.5569895536562823E-3</c:v>
                      </c:pt>
                      <c:pt idx="100">
                        <c:v>7.6035030298446729E-3</c:v>
                      </c:pt>
                      <c:pt idx="101">
                        <c:v>7.649917818078231E-3</c:v>
                      </c:pt>
                      <c:pt idx="102">
                        <c:v>7.6962335894809695E-3</c:v>
                      </c:pt>
                      <c:pt idx="103">
                        <c:v>7.7424500297496E-3</c:v>
                      </c:pt>
                      <c:pt idx="104">
                        <c:v>7.7885668388237433E-3</c:v>
                      </c:pt>
                      <c:pt idx="105">
                        <c:v>7.8345837305633E-3</c:v>
                      </c:pt>
                      <c:pt idx="106">
                        <c:v>7.8805004324329873E-3</c:v>
                      </c:pt>
                      <c:pt idx="107">
                        <c:v>7.9263166851937291E-3</c:v>
                      </c:pt>
                      <c:pt idx="108">
                        <c:v>7.9720322426008444E-3</c:v>
                      </c:pt>
                      <c:pt idx="109">
                        <c:v>8.0176468711087821E-3</c:v>
                      </c:pt>
                      <c:pt idx="110">
                        <c:v>8.0631603495823888E-3</c:v>
                      </c:pt>
                      <c:pt idx="111">
                        <c:v>8.1085724690143843E-3</c:v>
                      </c:pt>
                      <c:pt idx="112">
                        <c:v>8.1538830322490582E-3</c:v>
                      </c:pt>
                      <c:pt idx="113">
                        <c:v>8.1990918537119383E-3</c:v>
                      </c:pt>
                      <c:pt idx="114">
                        <c:v>8.2441987591453519E-3</c:v>
                      </c:pt>
                      <c:pt idx="115">
                        <c:v>8.2892035853497498E-3</c:v>
                      </c:pt>
                      <c:pt idx="116">
                        <c:v>8.3341061799305904E-3</c:v>
                      </c:pt>
                      <c:pt idx="117">
                        <c:v>8.3789064010507588E-3</c:v>
                      </c:pt>
                      <c:pt idx="118">
                        <c:v>8.4236041171883089E-3</c:v>
                      </c:pt>
                      <c:pt idx="119">
                        <c:v>8.4681992068994412E-3</c:v>
                      </c:pt>
                      <c:pt idx="120">
                        <c:v>8.5126915585866433E-3</c:v>
                      </c:pt>
                      <c:pt idx="121">
                        <c:v>8.5570810702717947E-3</c:v>
                      </c:pt>
                      <c:pt idx="122">
                        <c:v>8.6013676493741139E-3</c:v>
                      </c:pt>
                      <c:pt idx="123">
                        <c:v>8.6455512124930384E-3</c:v>
                      </c:pt>
                      <c:pt idx="124">
                        <c:v>8.6896316851955823E-3</c:v>
                      </c:pt>
                      <c:pt idx="125">
                        <c:v>8.7336090018084005E-3</c:v>
                      </c:pt>
                      <c:pt idx="126">
                        <c:v>8.7774831052142756E-3</c:v>
                      </c:pt>
                      <c:pt idx="127">
                        <c:v>8.821253946652929E-3</c:v>
                      </c:pt>
                      <c:pt idx="128">
                        <c:v>8.86492148552619E-3</c:v>
                      </c:pt>
                      <c:pt idx="129">
                        <c:v>8.9084856892072371E-3</c:v>
                      </c:pt>
                      <c:pt idx="130">
                        <c:v>8.9519465328539698E-3</c:v>
                      </c:pt>
                      <c:pt idx="131">
                        <c:v>8.9953039992263818E-3</c:v>
                      </c:pt>
                      <c:pt idx="132">
                        <c:v>9.03855807850781E-3</c:v>
                      </c:pt>
                      <c:pt idx="133">
                        <c:v>9.0817087681299945E-3</c:v>
                      </c:pt>
                      <c:pt idx="134">
                        <c:v>9.1247560726018338E-3</c:v>
                      </c:pt>
                      <c:pt idx="135">
                        <c:v>9.1677000033419317E-3</c:v>
                      </c:pt>
                      <c:pt idx="136">
                        <c:v>9.2105405785144947E-3</c:v>
                      </c:pt>
                      <c:pt idx="137">
                        <c:v>9.253277822868864E-3</c:v>
                      </c:pt>
                      <c:pt idx="138">
                        <c:v>9.2959117675824737E-3</c:v>
                      </c:pt>
                      <c:pt idx="139">
                        <c:v>9.3384424501069888E-3</c:v>
                      </c:pt>
                      <c:pt idx="140">
                        <c:v>9.3808699140179395E-3</c:v>
                      </c:pt>
                      <c:pt idx="141">
                        <c:v>9.4231942088672856E-3</c:v>
                      </c:pt>
                      <c:pt idx="142">
                        <c:v>9.465415390039339E-3</c:v>
                      </c:pt>
                      <c:pt idx="143">
                        <c:v>9.5075335186095497E-3</c:v>
                      </c:pt>
                      <c:pt idx="144">
                        <c:v>9.5495486612064556E-3</c:v>
                      </c:pt>
                      <c:pt idx="145">
                        <c:v>9.5914608898763562E-3</c:v>
                      </c:pt>
                      <c:pt idx="146">
                        <c:v>9.6332702819510452E-3</c:v>
                      </c:pt>
                      <c:pt idx="147">
                        <c:v>9.6749769199182042E-3</c:v>
                      </c:pt>
                      <c:pt idx="148">
                        <c:v>9.7165808912945649E-3</c:v>
                      </c:pt>
                      <c:pt idx="149">
                        <c:v>9.758082288501781E-3</c:v>
                      </c:pt>
                      <c:pt idx="150">
                        <c:v>9.7994812087448483E-3</c:v>
                      </c:pt>
                      <c:pt idx="151">
                        <c:v>9.8407777538932067E-3</c:v>
                      </c:pt>
                      <c:pt idx="152">
                        <c:v>9.8819720303642312E-3</c:v>
                      </c:pt>
                      <c:pt idx="153">
                        <c:v>9.9230641490091961E-3</c:v>
                      </c:pt>
                      <c:pt idx="154">
                        <c:v>9.9640542250017203E-3</c:v>
                      </c:pt>
                      <c:pt idx="155">
                        <c:v>1.0004942377728468E-2</c:v>
                      </c:pt>
                      <c:pt idx="156">
                        <c:v>1.004572873068219E-2</c:v>
                      </c:pt>
                      <c:pt idx="157">
                        <c:v>1.0086413411357062E-2</c:v>
                      </c:pt>
                      <c:pt idx="158">
                        <c:v>1.0126996551146064E-2</c:v>
                      </c:pt>
                      <c:pt idx="159">
                        <c:v>1.0167478285240745E-2</c:v>
                      </c:pt>
                      <c:pt idx="160">
                        <c:v>1.0207858752532889E-2</c:v>
                      </c:pt>
                      <c:pt idx="161">
                        <c:v>1.0248138095518373E-2</c:v>
                      </c:pt>
                      <c:pt idx="162">
                        <c:v>1.0288316460202982E-2</c:v>
                      </c:pt>
                      <c:pt idx="163">
                        <c:v>1.0328393996010231E-2</c:v>
                      </c:pt>
                      <c:pt idx="164">
                        <c:v>1.036837085569111E-2</c:v>
                      </c:pt>
                      <c:pt idx="165">
                        <c:v>1.0408247195235747E-2</c:v>
                      </c:pt>
                      <c:pt idx="166">
                        <c:v>1.0448023173786864E-2</c:v>
                      </c:pt>
                      <c:pt idx="167">
                        <c:v>1.0487698953555112E-2</c:v>
                      </c:pt>
                      <c:pt idx="168">
                        <c:v>1.0527274699736154E-2</c:v>
                      </c:pt>
                      <c:pt idx="169">
                        <c:v>1.0566750580429503E-2</c:v>
                      </c:pt>
                      <c:pt idx="170">
                        <c:v>1.0606126766559029E-2</c:v>
                      </c:pt>
                      <c:pt idx="171">
                        <c:v>1.0645403431795186E-2</c:v>
                      </c:pt>
                      <c:pt idx="172">
                        <c:v>1.0684580752478806E-2</c:v>
                      </c:pt>
                      <c:pt idx="173">
                        <c:v>1.0723658907546561E-2</c:v>
                      </c:pt>
                      <c:pt idx="174">
                        <c:v>1.076263807845791E-2</c:v>
                      </c:pt>
                      <c:pt idx="175">
                        <c:v>1.0801518449123691E-2</c:v>
                      </c:pt>
                      <c:pt idx="176">
                        <c:v>1.0840300205836054E-2</c:v>
                      </c:pt>
                      <c:pt idx="177">
                        <c:v>1.0878983537200028E-2</c:v>
                      </c:pt>
                      <c:pt idx="178">
                        <c:v>1.0917568634066411E-2</c:v>
                      </c:pt>
                      <c:pt idx="179">
                        <c:v>1.0956055689466105E-2</c:v>
                      </c:pt>
                      <c:pt idx="180">
                        <c:v>1.0994444898545848E-2</c:v>
                      </c:pt>
                      <c:pt idx="181">
                        <c:v>1.1032736458505266E-2</c:v>
                      </c:pt>
                      <c:pt idx="182">
                        <c:v>1.1070930568535258E-2</c:v>
                      </c:pt>
                      <c:pt idx="183">
                        <c:v>1.1109027429757706E-2</c:v>
                      </c:pt>
                      <c:pt idx="184">
                        <c:v>1.1147027245166344E-2</c:v>
                      </c:pt>
                      <c:pt idx="185">
                        <c:v>1.1184930219569065E-2</c:v>
                      </c:pt>
                      <c:pt idx="186">
                        <c:v>1.1222736559531222E-2</c:v>
                      </c:pt>
                      <c:pt idx="187">
                        <c:v>1.1260446473320303E-2</c:v>
                      </c:pt>
                      <c:pt idx="188">
                        <c:v>1.1298060170851615E-2</c:v>
                      </c:pt>
                      <c:pt idx="189">
                        <c:v>1.1335577863635244E-2</c:v>
                      </c:pt>
                      <c:pt idx="190">
                        <c:v>1.1372999764724103E-2</c:v>
                      </c:pt>
                      <c:pt idx="191">
                        <c:v>1.1410326088662963E-2</c:v>
                      </c:pt>
                      <c:pt idx="192">
                        <c:v>1.1447557051438722E-2</c:v>
                      </c:pt>
                      <c:pt idx="193">
                        <c:v>1.1484692870431619E-2</c:v>
                      </c:pt>
                      <c:pt idx="194">
                        <c:v>1.1521733764367515E-2</c:v>
                      </c:pt>
                      <c:pt idx="195">
                        <c:v>1.1558679953271166E-2</c:v>
                      </c:pt>
                      <c:pt idx="196">
                        <c:v>1.1595531658420494E-2</c:v>
                      </c:pt>
                      <c:pt idx="197">
                        <c:v>1.1632289102301819E-2</c:v>
                      </c:pt>
                      <c:pt idx="198">
                        <c:v>1.1668952508566081E-2</c:v>
                      </c:pt>
                      <c:pt idx="199">
                        <c:v>1.1705522101985904E-2</c:v>
                      </c:pt>
                      <c:pt idx="200">
                        <c:v>1.1741998108413641E-2</c:v>
                      </c:pt>
                    </c:numCache>
                  </c:numRef>
                </c:val>
                <c:smooth val="0"/>
                <c:extLst xmlns:c15="http://schemas.microsoft.com/office/drawing/2012/chart">
                  <c:ext xmlns:c16="http://schemas.microsoft.com/office/drawing/2014/chart" uri="{C3380CC4-5D6E-409C-BE32-E72D297353CC}">
                    <c16:uniqueId val="{00000008-D94A-4A6C-A3EF-19A07815FC45}"/>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VIN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Calculations'!$X$9:$X$209</c15:sqref>
                        </c15:formulaRef>
                      </c:ext>
                    </c:extLst>
                    <c:numCache>
                      <c:formatCode>0.000</c:formatCode>
                      <c:ptCount val="201"/>
                      <c:pt idx="0">
                        <c:v>0.89849918959212216</c:v>
                      </c:pt>
                      <c:pt idx="1">
                        <c:v>0.89856554358310536</c:v>
                      </c:pt>
                      <c:pt idx="2">
                        <c:v>0.89863205432339699</c:v>
                      </c:pt>
                      <c:pt idx="3">
                        <c:v>0.89869871382199906</c:v>
                      </c:pt>
                      <c:pt idx="4">
                        <c:v>0.89876551428543616</c:v>
                      </c:pt>
                      <c:pt idx="5">
                        <c:v>0.89883244811287077</c:v>
                      </c:pt>
                      <c:pt idx="6">
                        <c:v>0.89889950789134287</c:v>
                      </c:pt>
                      <c:pt idx="7">
                        <c:v>0.8989666863911413</c:v>
                      </c:pt>
                      <c:pt idx="8">
                        <c:v>0.89903397656129536</c:v>
                      </c:pt>
                      <c:pt idx="9">
                        <c:v>0.89910137152518987</c:v>
                      </c:pt>
                      <c:pt idx="10">
                        <c:v>0.89916886457629241</c:v>
                      </c:pt>
                      <c:pt idx="11">
                        <c:v>0.89923644917399836</c:v>
                      </c:pt>
                      <c:pt idx="12">
                        <c:v>0.89930411893958162</c:v>
                      </c:pt>
                      <c:pt idx="13">
                        <c:v>0.89937186765225141</c:v>
                      </c:pt>
                      <c:pt idx="14">
                        <c:v>0.89943968924531881</c:v>
                      </c:pt>
                      <c:pt idx="15">
                        <c:v>0.89950757780245649</c:v>
                      </c:pt>
                      <c:pt idx="16">
                        <c:v>0.89957552755405856</c:v>
                      </c:pt>
                      <c:pt idx="17">
                        <c:v>0.89964353287369869</c:v>
                      </c:pt>
                      <c:pt idx="18">
                        <c:v>0.8997115882746729</c:v>
                      </c:pt>
                      <c:pt idx="19">
                        <c:v>0.89977968840664058</c:v>
                      </c:pt>
                      <c:pt idx="20">
                        <c:v>0.89984782805234487</c:v>
                      </c:pt>
                      <c:pt idx="21">
                        <c:v>0.89991600212442246</c:v>
                      </c:pt>
                      <c:pt idx="22">
                        <c:v>0.89998420566229376</c:v>
                      </c:pt>
                      <c:pt idx="23">
                        <c:v>0.90005243382913069</c:v>
                      </c:pt>
                      <c:pt idx="24">
                        <c:v>0.90012068190890759</c:v>
                      </c:pt>
                      <c:pt idx="25">
                        <c:v>0.90018894530352056</c:v>
                      </c:pt>
                      <c:pt idx="26">
                        <c:v>0.90025721952998705</c:v>
                      </c:pt>
                      <c:pt idx="27">
                        <c:v>0.90032550021771052</c:v>
                      </c:pt>
                      <c:pt idx="28">
                        <c:v>0.90039378310581708</c:v>
                      </c:pt>
                      <c:pt idx="29">
                        <c:v>0.90046206404056262</c:v>
                      </c:pt>
                      <c:pt idx="30">
                        <c:v>0.90053033897279733</c:v>
                      </c:pt>
                      <c:pt idx="31">
                        <c:v>0.90059860395550362</c:v>
                      </c:pt>
                      <c:pt idx="32">
                        <c:v>0.90066685514138678</c:v>
                      </c:pt>
                      <c:pt idx="33">
                        <c:v>0.90073508878053432</c:v>
                      </c:pt>
                      <c:pt idx="34">
                        <c:v>0.90080330121812735</c:v>
                      </c:pt>
                      <c:pt idx="35">
                        <c:v>0.90087148889220969</c:v>
                      </c:pt>
                      <c:pt idx="36">
                        <c:v>0.90093964833151963</c:v>
                      </c:pt>
                      <c:pt idx="37">
                        <c:v>0.90100777615336414</c:v>
                      </c:pt>
                      <c:pt idx="38">
                        <c:v>0.9010758690615549</c:v>
                      </c:pt>
                      <c:pt idx="39">
                        <c:v>0.90114392384439157</c:v>
                      </c:pt>
                      <c:pt idx="40">
                        <c:v>0.90121193737269489</c:v>
                      </c:pt>
                      <c:pt idx="41">
                        <c:v>0.90127990659788837</c:v>
                      </c:pt>
                      <c:pt idx="42">
                        <c:v>0.90134782855012718</c:v>
                      </c:pt>
                      <c:pt idx="43">
                        <c:v>0.90141570033647223</c:v>
                      </c:pt>
                      <c:pt idx="44">
                        <c:v>0.9014835191391104</c:v>
                      </c:pt>
                      <c:pt idx="45">
                        <c:v>0.90155128221361769</c:v>
                      </c:pt>
                      <c:pt idx="46">
                        <c:v>0.90161898688726194</c:v>
                      </c:pt>
                      <c:pt idx="47">
                        <c:v>0.90168663055735043</c:v>
                      </c:pt>
                      <c:pt idx="48">
                        <c:v>0.90175421068961614</c:v>
                      </c:pt>
                      <c:pt idx="49">
                        <c:v>0.90182172481664202</c:v>
                      </c:pt>
                      <c:pt idx="50">
                        <c:v>0.90188917053632423</c:v>
                      </c:pt>
                      <c:pt idx="51">
                        <c:v>0.90195654551037341</c:v>
                      </c:pt>
                      <c:pt idx="52">
                        <c:v>0.90202384746284803</c:v>
                      </c:pt>
                      <c:pt idx="53">
                        <c:v>0.90209107417872814</c:v>
                      </c:pt>
                      <c:pt idx="54">
                        <c:v>0.90215822350252062</c:v>
                      </c:pt>
                      <c:pt idx="55">
                        <c:v>0.90222529333689683</c:v>
                      </c:pt>
                      <c:pt idx="56">
                        <c:v>0.90229228164136199</c:v>
                      </c:pt>
                      <c:pt idx="57">
                        <c:v>0.90235918643096225</c:v>
                      </c:pt>
                      <c:pt idx="58">
                        <c:v>0.9024260057750142</c:v>
                      </c:pt>
                      <c:pt idx="59">
                        <c:v>0.90249273779586958</c:v>
                      </c:pt>
                      <c:pt idx="60">
                        <c:v>0.90255938066770958</c:v>
                      </c:pt>
                      <c:pt idx="61">
                        <c:v>0.90262593261536217</c:v>
                      </c:pt>
                      <c:pt idx="62">
                        <c:v>0.90269239191315509</c:v>
                      </c:pt>
                      <c:pt idx="63">
                        <c:v>0.90275875688378904</c:v>
                      </c:pt>
                      <c:pt idx="64">
                        <c:v>0.90282502589724067</c:v>
                      </c:pt>
                      <c:pt idx="65">
                        <c:v>0.90289119736969137</c:v>
                      </c:pt>
                      <c:pt idx="66">
                        <c:v>0.90295726976247914</c:v>
                      </c:pt>
                      <c:pt idx="67">
                        <c:v>0.90302324158107672</c:v>
                      </c:pt>
                      <c:pt idx="68">
                        <c:v>0.90308911137409276</c:v>
                      </c:pt>
                      <c:pt idx="69">
                        <c:v>0.90315487773229564</c:v>
                      </c:pt>
                      <c:pt idx="70">
                        <c:v>0.90322053928766133</c:v>
                      </c:pt>
                      <c:pt idx="71">
                        <c:v>0.90328609471244281</c:v>
                      </c:pt>
                      <c:pt idx="72">
                        <c:v>0.9033515427182589</c:v>
                      </c:pt>
                      <c:pt idx="73">
                        <c:v>0.90341688205520809</c:v>
                      </c:pt>
                      <c:pt idx="74">
                        <c:v>0.90348211151099878</c:v>
                      </c:pt>
                      <c:pt idx="75">
                        <c:v>0.9035472299101025</c:v>
                      </c:pt>
                      <c:pt idx="76">
                        <c:v>0.9036122361129254</c:v>
                      </c:pt>
                      <c:pt idx="77">
                        <c:v>0.90367712901499764</c:v>
                      </c:pt>
                      <c:pt idx="78">
                        <c:v>0.90374190754618289</c:v>
                      </c:pt>
                      <c:pt idx="79">
                        <c:v>0.90380657066990588</c:v>
                      </c:pt>
                      <c:pt idx="80">
                        <c:v>0.903871117382397</c:v>
                      </c:pt>
                      <c:pt idx="81">
                        <c:v>0.90393554671195242</c:v>
                      </c:pt>
                      <c:pt idx="82">
                        <c:v>0.90399985771821534</c:v>
                      </c:pt>
                      <c:pt idx="83">
                        <c:v>0.90406404949146912</c:v>
                      </c:pt>
                      <c:pt idx="84">
                        <c:v>0.90412812115194829</c:v>
                      </c:pt>
                      <c:pt idx="85">
                        <c:v>0.90419207184916628</c:v>
                      </c:pt>
                      <c:pt idx="86">
                        <c:v>0.90425590076125451</c:v>
                      </c:pt>
                      <c:pt idx="87">
                        <c:v>0.90431960709432291</c:v>
                      </c:pt>
                      <c:pt idx="88">
                        <c:v>0.90438319008182821</c:v>
                      </c:pt>
                      <c:pt idx="89">
                        <c:v>0.90444664898395732</c:v>
                      </c:pt>
                      <c:pt idx="90">
                        <c:v>0.90450998308703079</c:v>
                      </c:pt>
                      <c:pt idx="91">
                        <c:v>0.90457319170291262</c:v>
                      </c:pt>
                      <c:pt idx="92">
                        <c:v>0.90463627416843462</c:v>
                      </c:pt>
                      <c:pt idx="93">
                        <c:v>0.9046992298448373</c:v>
                      </c:pt>
                      <c:pt idx="94">
                        <c:v>0.90476205811722044</c:v>
                      </c:pt>
                      <c:pt idx="95">
                        <c:v>0.90482475839400256</c:v>
                      </c:pt>
                      <c:pt idx="96">
                        <c:v>0.90488733010640154</c:v>
                      </c:pt>
                      <c:pt idx="97">
                        <c:v>0.90494977270791732</c:v>
                      </c:pt>
                      <c:pt idx="98">
                        <c:v>0.90501208567383118</c:v>
                      </c:pt>
                      <c:pt idx="99">
                        <c:v>0.90507426850071437</c:v>
                      </c:pt>
                      <c:pt idx="100">
                        <c:v>0.90513632070594985</c:v>
                      </c:pt>
                      <c:pt idx="101">
                        <c:v>0.90519824182726072</c:v>
                      </c:pt>
                      <c:pt idx="102">
                        <c:v>0.9052600314222522</c:v>
                      </c:pt>
                      <c:pt idx="103">
                        <c:v>0.90532168906796329</c:v>
                      </c:pt>
                      <c:pt idx="104">
                        <c:v>0.90538321436042657</c:v>
                      </c:pt>
                      <c:pt idx="105">
                        <c:v>0.90544460691423967</c:v>
                      </c:pt>
                      <c:pt idx="106">
                        <c:v>0.90550586636214447</c:v>
                      </c:pt>
                      <c:pt idx="107">
                        <c:v>0.90556699235461713</c:v>
                      </c:pt>
                      <c:pt idx="108">
                        <c:v>0.90562798455946569</c:v>
                      </c:pt>
                      <c:pt idx="109">
                        <c:v>0.90568884266143701</c:v>
                      </c:pt>
                      <c:pt idx="110">
                        <c:v>0.90574956636183279</c:v>
                      </c:pt>
                      <c:pt idx="111">
                        <c:v>0.90581015537813314</c:v>
                      </c:pt>
                      <c:pt idx="112">
                        <c:v>0.90587060944362929</c:v>
                      </c:pt>
                      <c:pt idx="113">
                        <c:v>0.90593092830706234</c:v>
                      </c:pt>
                      <c:pt idx="114">
                        <c:v>0.90599111173227231</c:v>
                      </c:pt>
                      <c:pt idx="115">
                        <c:v>0.90605115949785364</c:v>
                      </c:pt>
                      <c:pt idx="116">
                        <c:v>0.90611107139681746</c:v>
                      </c:pt>
                      <c:pt idx="117">
                        <c:v>0.9061708472362634</c:v>
                      </c:pt>
                      <c:pt idx="118">
                        <c:v>0.90623048683705509</c:v>
                      </c:pt>
                      <c:pt idx="119">
                        <c:v>0.90628999003350563</c:v>
                      </c:pt>
                      <c:pt idx="120">
                        <c:v>0.9063493566730686</c:v>
                      </c:pt>
                      <c:pt idx="121">
                        <c:v>0.90640858661603774</c:v>
                      </c:pt>
                      <c:pt idx="122">
                        <c:v>0.90646767973524711</c:v>
                      </c:pt>
                      <c:pt idx="123">
                        <c:v>0.90652663591578542</c:v>
                      </c:pt>
                      <c:pt idx="124">
                        <c:v>0.90658545505471211</c:v>
                      </c:pt>
                      <c:pt idx="125">
                        <c:v>0.90664413706078029</c:v>
                      </c:pt>
                      <c:pt idx="126">
                        <c:v>0.90670268185416492</c:v>
                      </c:pt>
                      <c:pt idx="127">
                        <c:v>0.90676108936619815</c:v>
                      </c:pt>
                      <c:pt idx="128">
                        <c:v>0.90681935953911053</c:v>
                      </c:pt>
                      <c:pt idx="129">
                        <c:v>0.90687749232577619</c:v>
                      </c:pt>
                      <c:pt idx="130">
                        <c:v>0.90693548768946364</c:v>
                      </c:pt>
                      <c:pt idx="131">
                        <c:v>0.90699334560359368</c:v>
                      </c:pt>
                      <c:pt idx="132">
                        <c:v>0.90705106605150099</c:v>
                      </c:pt>
                      <c:pt idx="133">
                        <c:v>0.90710864902620147</c:v>
                      </c:pt>
                      <c:pt idx="134">
                        <c:v>0.90716609453016228</c:v>
                      </c:pt>
                      <c:pt idx="135">
                        <c:v>0.90722340257508127</c:v>
                      </c:pt>
                      <c:pt idx="136">
                        <c:v>0.9072805731816671</c:v>
                      </c:pt>
                      <c:pt idx="137">
                        <c:v>0.90733760637942484</c:v>
                      </c:pt>
                      <c:pt idx="138">
                        <c:v>0.90739450220644968</c:v>
                      </c:pt>
                      <c:pt idx="139">
                        <c:v>0.90745126070921656</c:v>
                      </c:pt>
                      <c:pt idx="140">
                        <c:v>0.90750788194238563</c:v>
                      </c:pt>
                      <c:pt idx="141">
                        <c:v>0.90756436596860268</c:v>
                      </c:pt>
                      <c:pt idx="142">
                        <c:v>0.90762071285830781</c:v>
                      </c:pt>
                      <c:pt idx="143">
                        <c:v>0.90767692268954658</c:v>
                      </c:pt>
                      <c:pt idx="144">
                        <c:v>0.90773299554778808</c:v>
                      </c:pt>
                      <c:pt idx="145">
                        <c:v>0.90778893152574214</c:v>
                      </c:pt>
                      <c:pt idx="146">
                        <c:v>0.90784473072318472</c:v>
                      </c:pt>
                      <c:pt idx="147">
                        <c:v>0.90790039324678529</c:v>
                      </c:pt>
                      <c:pt idx="148">
                        <c:v>0.90795591920993557</c:v>
                      </c:pt>
                      <c:pt idx="149">
                        <c:v>0.9080113087325884</c:v>
                      </c:pt>
                      <c:pt idx="150">
                        <c:v>0.9080665619410907</c:v>
                      </c:pt>
                      <c:pt idx="151">
                        <c:v>0.90812167896802876</c:v>
                      </c:pt>
                      <c:pt idx="152">
                        <c:v>0.90817665995207131</c:v>
                      </c:pt>
                      <c:pt idx="153">
                        <c:v>0.90823150503781802</c:v>
                      </c:pt>
                      <c:pt idx="154">
                        <c:v>0.90828621437565005</c:v>
                      </c:pt>
                      <c:pt idx="155">
                        <c:v>0.90834078812158614</c:v>
                      </c:pt>
                      <c:pt idx="156">
                        <c:v>0.90839522643713844</c:v>
                      </c:pt>
                      <c:pt idx="157">
                        <c:v>0.90844952948917279</c:v>
                      </c:pt>
                      <c:pt idx="158">
                        <c:v>0.90850369744977333</c:v>
                      </c:pt>
                      <c:pt idx="159">
                        <c:v>0.908557730496109</c:v>
                      </c:pt>
                      <c:pt idx="160">
                        <c:v>0.90861162881029922</c:v>
                      </c:pt>
                      <c:pt idx="161">
                        <c:v>0.90866539257929102</c:v>
                      </c:pt>
                      <c:pt idx="162">
                        <c:v>0.90871902199472798</c:v>
                      </c:pt>
                      <c:pt idx="163">
                        <c:v>0.9087725172528317</c:v>
                      </c:pt>
                      <c:pt idx="164">
                        <c:v>0.90882587855427921</c:v>
                      </c:pt>
                      <c:pt idx="165">
                        <c:v>0.90887910610408573</c:v>
                      </c:pt>
                      <c:pt idx="166">
                        <c:v>0.90893220011148934</c:v>
                      </c:pt>
                      <c:pt idx="167">
                        <c:v>0.90898516078983782</c:v>
                      </c:pt>
                      <c:pt idx="168">
                        <c:v>0.90903798835647809</c:v>
                      </c:pt>
                      <c:pt idx="169">
                        <c:v>0.90909068303264895</c:v>
                      </c:pt>
                      <c:pt idx="170">
                        <c:v>0.9091432450433734</c:v>
                      </c:pt>
                      <c:pt idx="171">
                        <c:v>0.90919567461735595</c:v>
                      </c:pt>
                      <c:pt idx="172">
                        <c:v>0.90924797198688168</c:v>
                      </c:pt>
                      <c:pt idx="173">
                        <c:v>0.90930013738771565</c:v>
                      </c:pt>
                      <c:pt idx="174">
                        <c:v>0.90935217105900479</c:v>
                      </c:pt>
                      <c:pt idx="175">
                        <c:v>0.90940407324318584</c:v>
                      </c:pt>
                      <c:pt idx="176">
                        <c:v>0.90945584418588699</c:v>
                      </c:pt>
                      <c:pt idx="177">
                        <c:v>0.90950748413584226</c:v>
                      </c:pt>
                      <c:pt idx="178">
                        <c:v>0.90955899334479684</c:v>
                      </c:pt>
                      <c:pt idx="179">
                        <c:v>0.90961037206742312</c:v>
                      </c:pt>
                      <c:pt idx="180">
                        <c:v>0.90966162056123279</c:v>
                      </c:pt>
                      <c:pt idx="181">
                        <c:v>0.90971273908649408</c:v>
                      </c:pt>
                      <c:pt idx="182">
                        <c:v>0.90976372790614879</c:v>
                      </c:pt>
                      <c:pt idx="183">
                        <c:v>0.90981458728573361</c:v>
                      </c:pt>
                      <c:pt idx="184">
                        <c:v>0.90986531749329647</c:v>
                      </c:pt>
                      <c:pt idx="185">
                        <c:v>0.90991591879932687</c:v>
                      </c:pt>
                      <c:pt idx="186">
                        <c:v>0.90996639147667346</c:v>
                      </c:pt>
                      <c:pt idx="187">
                        <c:v>0.91001673580047482</c:v>
                      </c:pt>
                      <c:pt idx="188">
                        <c:v>0.91006695204808385</c:v>
                      </c:pt>
                      <c:pt idx="189">
                        <c:v>0.91011704049899866</c:v>
                      </c:pt>
                      <c:pt idx="190">
                        <c:v>0.91016700143479434</c:v>
                      </c:pt>
                      <c:pt idx="191">
                        <c:v>0.91021683513905016</c:v>
                      </c:pt>
                      <c:pt idx="192">
                        <c:v>0.91026654189728984</c:v>
                      </c:pt>
                      <c:pt idx="193">
                        <c:v>0.9103161219969117</c:v>
                      </c:pt>
                      <c:pt idx="194">
                        <c:v>0.91036557572712662</c:v>
                      </c:pt>
                      <c:pt idx="195">
                        <c:v>0.91041490337889464</c:v>
                      </c:pt>
                      <c:pt idx="196">
                        <c:v>0.91046410524486598</c:v>
                      </c:pt>
                      <c:pt idx="197">
                        <c:v>0.91051318161931916</c:v>
                      </c:pt>
                      <c:pt idx="198">
                        <c:v>0.91056213279810372</c:v>
                      </c:pt>
                      <c:pt idx="199">
                        <c:v>0.91061095907858247</c:v>
                      </c:pt>
                      <c:pt idx="200">
                        <c:v>0.9106596607595755</c:v>
                      </c:pt>
                    </c:numCache>
                  </c:numRef>
                </c:val>
                <c:smooth val="0"/>
                <c:extLst xmlns:c15="http://schemas.microsoft.com/office/drawing/2012/chart">
                  <c:ext xmlns:c16="http://schemas.microsoft.com/office/drawing/2014/chart" uri="{C3380CC4-5D6E-409C-BE32-E72D297353CC}">
                    <c16:uniqueId val="{00000009-D94A-4A6C-A3EF-19A07815FC45}"/>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VIN Calculations'!$Y$8</c15:sqref>
                        </c15:formulaRef>
                      </c:ext>
                    </c:extLst>
                    <c:strCache>
                      <c:ptCount val="1"/>
                      <c:pt idx="0">
                        <c:v>Core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Calculations'!$Y$9:$Y$209</c15:sqref>
                        </c15:formulaRef>
                      </c:ext>
                    </c:extLst>
                    <c:numCache>
                      <c:formatCode>0.000</c:formatCode>
                      <c:ptCount val="201"/>
                      <c:pt idx="0">
                        <c:v>0.26799715872171348</c:v>
                      </c:pt>
                      <c:pt idx="1">
                        <c:v>0.27385896205927035</c:v>
                      </c:pt>
                      <c:pt idx="2">
                        <c:v>0.27975121583219742</c:v>
                      </c:pt>
                      <c:pt idx="3">
                        <c:v>0.28567306591099251</c:v>
                      </c:pt>
                      <c:pt idx="4">
                        <c:v>0.29162367340451267</c:v>
                      </c:pt>
                      <c:pt idx="5">
                        <c:v>0.29760221444524654</c:v>
                      </c:pt>
                      <c:pt idx="6">
                        <c:v>0.3036078799742758</c:v>
                      </c:pt>
                      <c:pt idx="7">
                        <c:v>0.30963987552621391</c:v>
                      </c:pt>
                      <c:pt idx="8">
                        <c:v>0.31569742101438547</c:v>
                      </c:pt>
                      <c:pt idx="9">
                        <c:v>0.32177975051649033</c:v>
                      </c:pt>
                      <c:pt idx="10">
                        <c:v>0.32788611206096679</c:v>
                      </c:pt>
                      <c:pt idx="11">
                        <c:v>0.33401576741426192</c:v>
                      </c:pt>
                      <c:pt idx="12">
                        <c:v>0.34016799186917956</c:v>
                      </c:pt>
                      <c:pt idx="13">
                        <c:v>0.34634207403448503</c:v>
                      </c:pt>
                      <c:pt idx="14">
                        <c:v>0.35253731562590362</c:v>
                      </c:pt>
                      <c:pt idx="15">
                        <c:v>0.35875303125865643</c:v>
                      </c:pt>
                      <c:pt idx="16">
                        <c:v>0.36498854824165494</c:v>
                      </c:pt>
                      <c:pt idx="17">
                        <c:v>0.37124320637346037</c:v>
                      </c:pt>
                      <c:pt idx="18">
                        <c:v>0.377516357740108</c:v>
                      </c:pt>
                      <c:pt idx="19">
                        <c:v>0.38380736651489256</c:v>
                      </c:pt>
                      <c:pt idx="20">
                        <c:v>0.39011560876017426</c:v>
                      </c:pt>
                      <c:pt idx="21">
                        <c:v>0.39644047223130435</c:v>
                      </c:pt>
                      <c:pt idx="22">
                        <c:v>0.40278135618269306</c:v>
                      </c:pt>
                      <c:pt idx="23">
                        <c:v>0.40913767117611716</c:v>
                      </c:pt>
                      <c:pt idx="24">
                        <c:v>0.41550883889127527</c:v>
                      </c:pt>
                      <c:pt idx="25">
                        <c:v>0.4218942919386513</c:v>
                      </c:pt>
                      <c:pt idx="26">
                        <c:v>0.42829347367472315</c:v>
                      </c:pt>
                      <c:pt idx="27">
                        <c:v>0.43470583801952623</c:v>
                      </c:pt>
                      <c:pt idx="28">
                        <c:v>0.44113084927661728</c:v>
                      </c:pt>
                      <c:pt idx="29">
                        <c:v>0.44756798195543757</c:v>
                      </c:pt>
                      <c:pt idx="30">
                        <c:v>0.45401672059610781</c:v>
                      </c:pt>
                      <c:pt idx="31">
                        <c:v>0.46047655959664713</c:v>
                      </c:pt>
                      <c:pt idx="32">
                        <c:v>0.46694700304263459</c:v>
                      </c:pt>
                      <c:pt idx="33">
                        <c:v>0.47342756453931534</c:v>
                      </c:pt>
                      <c:pt idx="34">
                        <c:v>0.47991776704614708</c:v>
                      </c:pt>
                      <c:pt idx="35">
                        <c:v>0.48641714271377889</c:v>
                      </c:pt>
                      <c:pt idx="36">
                        <c:v>0.49292523272347771</c:v>
                      </c:pt>
                      <c:pt idx="37">
                        <c:v>0.49944158712896403</c:v>
                      </c:pt>
                      <c:pt idx="38">
                        <c:v>0.50596576470067733</c:v>
                      </c:pt>
                      <c:pt idx="39">
                        <c:v>0.51249733277243059</c:v>
                      </c:pt>
                      <c:pt idx="40">
                        <c:v>0.51903586709046623</c:v>
                      </c:pt>
                      <c:pt idx="41">
                        <c:v>0.52558095166487984</c:v>
                      </c:pt>
                      <c:pt idx="42">
                        <c:v>0.53213217862338946</c:v>
                      </c:pt>
                      <c:pt idx="43">
                        <c:v>0.53868914806746193</c:v>
                      </c:pt>
                      <c:pt idx="44">
                        <c:v>0.54525146793074053</c:v>
                      </c:pt>
                      <c:pt idx="45">
                        <c:v>0.55181875383977319</c:v>
                      </c:pt>
                      <c:pt idx="46">
                        <c:v>0.55839062897701663</c:v>
                      </c:pt>
                      <c:pt idx="47">
                        <c:v>0.56496672394608782</c:v>
                      </c:pt>
                      <c:pt idx="48">
                        <c:v>0.57154667663924841</c:v>
                      </c:pt>
                      <c:pt idx="49">
                        <c:v>0.5781301321070822</c:v>
                      </c:pt>
                      <c:pt idx="50">
                        <c:v>0.5847167424303612</c:v>
                      </c:pt>
                      <c:pt idx="51">
                        <c:v>0.5913061665940581</c:v>
                      </c:pt>
                      <c:pt idx="52">
                        <c:v>0.59789807036348053</c:v>
                      </c:pt>
                      <c:pt idx="53">
                        <c:v>0.60449212616251735</c:v>
                      </c:pt>
                      <c:pt idx="54">
                        <c:v>0.61108801295394122</c:v>
                      </c:pt>
                      <c:pt idx="55">
                        <c:v>0.61768541612177308</c:v>
                      </c:pt>
                      <c:pt idx="56">
                        <c:v>0.62428402735565114</c:v>
                      </c:pt>
                      <c:pt idx="57">
                        <c:v>0.63088354453719464</c:v>
                      </c:pt>
                      <c:pt idx="58">
                        <c:v>0.63748367162834119</c:v>
                      </c:pt>
                      <c:pt idx="59">
                        <c:v>0.64408411856159919</c:v>
                      </c:pt>
                      <c:pt idx="60">
                        <c:v>0.65068460113222704</c:v>
                      </c:pt>
                      <c:pt idx="61">
                        <c:v>0.65728484089227479</c:v>
                      </c:pt>
                      <c:pt idx="62">
                        <c:v>0.66388456504649618</c:v>
                      </c:pt>
                      <c:pt idx="63">
                        <c:v>0.6704835063500646</c:v>
                      </c:pt>
                      <c:pt idx="64">
                        <c:v>0.67708140300810482</c:v>
                      </c:pt>
                      <c:pt idx="65">
                        <c:v>0.6836779985769762</c:v>
                      </c:pt>
                      <c:pt idx="66">
                        <c:v>0.69027304186731098</c:v>
                      </c:pt>
                      <c:pt idx="67">
                        <c:v>0.69686628684875918</c:v>
                      </c:pt>
                      <c:pt idx="68">
                        <c:v>0.70345749255641965</c:v>
                      </c:pt>
                      <c:pt idx="69">
                        <c:v>0.71004642299894005</c:v>
                      </c:pt>
                      <c:pt idx="70">
                        <c:v>0.71663284706823749</c:v>
                      </c:pt>
                      <c:pt idx="71">
                        <c:v>0.72321653845083766</c:v>
                      </c:pt>
                      <c:pt idx="72">
                        <c:v>0.72979727554078666</c:v>
                      </c:pt>
                      <c:pt idx="73">
                        <c:v>0.7363748413541219</c:v>
                      </c:pt>
                      <c:pt idx="74">
                        <c:v>0.74294902344486846</c:v>
                      </c:pt>
                      <c:pt idx="75">
                        <c:v>0.74951961382254484</c:v>
                      </c:pt>
                      <c:pt idx="76">
                        <c:v>0.75608640887113621</c:v>
                      </c:pt>
                      <c:pt idx="77">
                        <c:v>0.76264920926953395</c:v>
                      </c:pt>
                      <c:pt idx="78">
                        <c:v>0.76920781991339493</c:v>
                      </c:pt>
                      <c:pt idx="79">
                        <c:v>0.77576204983840247</c:v>
                      </c:pt>
                      <c:pt idx="80">
                        <c:v>0.78231171214492201</c:v>
                      </c:pt>
                      <c:pt idx="81">
                        <c:v>0.78885662392399281</c:v>
                      </c:pt>
                      <c:pt idx="82">
                        <c:v>0.79539660618467223</c:v>
                      </c:pt>
                      <c:pt idx="83">
                        <c:v>0.80193148378267609</c:v>
                      </c:pt>
                      <c:pt idx="84">
                        <c:v>0.80846108535031147</c:v>
                      </c:pt>
                      <c:pt idx="85">
                        <c:v>0.81498524322767218</c:v>
                      </c:pt>
                      <c:pt idx="86">
                        <c:v>0.82150379339508517</c:v>
                      </c:pt>
                      <c:pt idx="87">
                        <c:v>0.82801657540676066</c:v>
                      </c:pt>
                      <c:pt idx="88">
                        <c:v>0.83452343232565696</c:v>
                      </c:pt>
                      <c:pt idx="89">
                        <c:v>0.84102421065951249</c:v>
                      </c:pt>
                      <c:pt idx="90">
                        <c:v>0.84751876029804463</c:v>
                      </c:pt>
                      <c:pt idx="91">
                        <c:v>0.85400693445127351</c:v>
                      </c:pt>
                      <c:pt idx="92">
                        <c:v>0.86048858958897401</c:v>
                      </c:pt>
                      <c:pt idx="93">
                        <c:v>0.8669635853812101</c:v>
                      </c:pt>
                      <c:pt idx="94">
                        <c:v>0.87343178463995752</c:v>
                      </c:pt>
                      <c:pt idx="95">
                        <c:v>0.87989305326177814</c:v>
                      </c:pt>
                      <c:pt idx="96">
                        <c:v>0.88634726017152954</c:v>
                      </c:pt>
                      <c:pt idx="97">
                        <c:v>0.89279427726710603</c:v>
                      </c:pt>
                      <c:pt idx="98">
                        <c:v>0.89923397936515903</c:v>
                      </c:pt>
                      <c:pt idx="99">
                        <c:v>0.9056662441478246</c:v>
                      </c:pt>
                      <c:pt idx="100">
                        <c:v>0.91209095211039881</c:v>
                      </c:pt>
                      <c:pt idx="101">
                        <c:v>0.91850798650996723</c:v>
                      </c:pt>
                      <c:pt idx="102">
                        <c:v>0.92491723331496545</c:v>
                      </c:pt>
                      <c:pt idx="103">
                        <c:v>0.93131858115564692</c:v>
                      </c:pt>
                      <c:pt idx="104">
                        <c:v>0.9377119212754581</c:v>
                      </c:pt>
                      <c:pt idx="105">
                        <c:v>0.94409714748328499</c:v>
                      </c:pt>
                      <c:pt idx="106">
                        <c:v>0.9504741561065615</c:v>
                      </c:pt>
                      <c:pt idx="107">
                        <c:v>0.95684284594524271</c:v>
                      </c:pt>
                      <c:pt idx="108">
                        <c:v>0.96320311822659066</c:v>
                      </c:pt>
                      <c:pt idx="109">
                        <c:v>0.9695548765607882</c:v>
                      </c:pt>
                      <c:pt idx="110">
                        <c:v>0.97589802689736338</c:v>
                      </c:pt>
                      <c:pt idx="111">
                        <c:v>0.98223247748238085</c:v>
                      </c:pt>
                      <c:pt idx="112">
                        <c:v>0.98855813881642973</c:v>
                      </c:pt>
                      <c:pt idx="113">
                        <c:v>0.99487492361335217</c:v>
                      </c:pt>
                      <c:pt idx="114">
                        <c:v>1.0011827467597332</c:v>
                      </c:pt>
                      <c:pt idx="115">
                        <c:v>1.0074815252751104</c:v>
                      </c:pt>
                      <c:pt idx="116">
                        <c:v>1.0137711782729055</c:v>
                      </c:pt>
                      <c:pt idx="117">
                        <c:v>1.0200516269220687</c:v>
                      </c:pt>
                      <c:pt idx="118">
                        <c:v>1.0263227944094</c:v>
                      </c:pt>
                      <c:pt idx="119">
                        <c:v>1.0325846059025647</c:v>
                      </c:pt>
                      <c:pt idx="120">
                        <c:v>1.0388369885137649</c:v>
                      </c:pt>
                      <c:pt idx="121">
                        <c:v>1.0450798712640792</c:v>
                      </c:pt>
                      <c:pt idx="122">
                        <c:v>1.0513131850484214</c:v>
                      </c:pt>
                      <c:pt idx="123">
                        <c:v>1.0575368626011648</c:v>
                      </c:pt>
                      <c:pt idx="124">
                        <c:v>1.063750838462346</c:v>
                      </c:pt>
                      <c:pt idx="125">
                        <c:v>1.0699550489445095</c:v>
                      </c:pt>
                      <c:pt idx="126">
                        <c:v>1.0761494321001326</c:v>
                      </c:pt>
                      <c:pt idx="127">
                        <c:v>1.082333927689636</c:v>
                      </c:pt>
                      <c:pt idx="128">
                        <c:v>1.0885084771499767</c:v>
                      </c:pt>
                      <c:pt idx="129">
                        <c:v>1.0946730235637983</c:v>
                      </c:pt>
                      <c:pt idx="130">
                        <c:v>1.1008275116291375</c:v>
                      </c:pt>
                      <c:pt idx="131">
                        <c:v>1.1069718876296746</c:v>
                      </c:pt>
                      <c:pt idx="132">
                        <c:v>1.1131060994055222</c:v>
                      </c:pt>
                      <c:pt idx="133">
                        <c:v>1.119230096324529</c:v>
                      </c:pt>
                      <c:pt idx="134">
                        <c:v>1.1253438292540945</c:v>
                      </c:pt>
                      <c:pt idx="135">
                        <c:v>1.1314472505335176</c:v>
                      </c:pt>
                      <c:pt idx="136">
                        <c:v>1.1375403139467981</c:v>
                      </c:pt>
                      <c:pt idx="137">
                        <c:v>1.1436229746959488</c:v>
                      </c:pt>
                      <c:pt idx="138">
                        <c:v>1.1496951893747975</c:v>
                      </c:pt>
                      <c:pt idx="139">
                        <c:v>1.1557569159432213</c:v>
                      </c:pt>
                      <c:pt idx="140">
                        <c:v>1.1618081137018799</c:v>
                      </c:pt>
                      <c:pt idx="141">
                        <c:v>1.1678487432673661</c:v>
                      </c:pt>
                      <c:pt idx="142">
                        <c:v>1.1738787665478341</c:v>
                      </c:pt>
                      <c:pt idx="143">
                        <c:v>1.1798981467190262</c:v>
                      </c:pt>
                      <c:pt idx="144">
                        <c:v>1.1859068482007642</c:v>
                      </c:pt>
                      <c:pt idx="145">
                        <c:v>1.1919048366338192</c:v>
                      </c:pt>
                      <c:pt idx="146">
                        <c:v>1.1978920788572409</c:v>
                      </c:pt>
                      <c:pt idx="147">
                        <c:v>1.2038685428860476</c:v>
                      </c:pt>
                      <c:pt idx="148">
                        <c:v>1.2098341978893403</c:v>
                      </c:pt>
                      <c:pt idx="149">
                        <c:v>1.215789014168791</c:v>
                      </c:pt>
                      <c:pt idx="150">
                        <c:v>1.2217329631375229</c:v>
                      </c:pt>
                      <c:pt idx="151">
                        <c:v>1.2276660172993659</c:v>
                      </c:pt>
                      <c:pt idx="152">
                        <c:v>1.2335881502284738</c:v>
                      </c:pt>
                      <c:pt idx="153">
                        <c:v>1.2394993365493072</c:v>
                      </c:pt>
                      <c:pt idx="154">
                        <c:v>1.2453995519169752</c:v>
                      </c:pt>
                      <c:pt idx="155">
                        <c:v>1.2512887729979163</c:v>
                      </c:pt>
                      <c:pt idx="156">
                        <c:v>1.2571669774509338</c:v>
                      </c:pt>
                      <c:pt idx="157">
                        <c:v>1.2630341439085637</c:v>
                      </c:pt>
                      <c:pt idx="158">
                        <c:v>1.2688902519587593</c:v>
                      </c:pt>
                      <c:pt idx="159">
                        <c:v>1.2747352821269258</c:v>
                      </c:pt>
                      <c:pt idx="160">
                        <c:v>1.2805692158582445</c:v>
                      </c:pt>
                      <c:pt idx="161">
                        <c:v>1.2863920355003358</c:v>
                      </c:pt>
                      <c:pt idx="162">
                        <c:v>1.2922037242862072</c:v>
                      </c:pt>
                      <c:pt idx="163">
                        <c:v>1.298004266317514</c:v>
                      </c:pt>
                      <c:pt idx="164">
                        <c:v>1.3037936465481208</c:v>
                      </c:pt>
                      <c:pt idx="165">
                        <c:v>1.3095718507679364</c:v>
                      </c:pt>
                      <c:pt idx="166">
                        <c:v>1.3153388655870493</c:v>
                      </c:pt>
                      <c:pt idx="167">
                        <c:v>1.3210946784201361</c:v>
                      </c:pt>
                      <c:pt idx="168">
                        <c:v>1.3268392774711459</c:v>
                      </c:pt>
                      <c:pt idx="169">
                        <c:v>1.3325726517182568</c:v>
                      </c:pt>
                      <c:pt idx="170">
                        <c:v>1.338294790899089</c:v>
                      </c:pt>
                      <c:pt idx="171">
                        <c:v>1.3440056854961966</c:v>
                      </c:pt>
                      <c:pt idx="172">
                        <c:v>1.3497053267227892</c:v>
                      </c:pt>
                      <c:pt idx="173">
                        <c:v>1.3553937065087367</c:v>
                      </c:pt>
                      <c:pt idx="174">
                        <c:v>1.3610708174867785</c:v>
                      </c:pt>
                      <c:pt idx="175">
                        <c:v>1.3667366529790228</c:v>
                      </c:pt>
                      <c:pt idx="176">
                        <c:v>1.3723912069836433</c:v>
                      </c:pt>
                      <c:pt idx="177">
                        <c:v>1.3780344741618289</c:v>
                      </c:pt>
                      <c:pt idx="178">
                        <c:v>1.3836664498249645</c:v>
                      </c:pt>
                      <c:pt idx="179">
                        <c:v>1.3892871299220282</c:v>
                      </c:pt>
                      <c:pt idx="180">
                        <c:v>1.3948965110272082</c:v>
                      </c:pt>
                      <c:pt idx="181">
                        <c:v>1.4004945903277519</c:v>
                      </c:pt>
                      <c:pt idx="182">
                        <c:v>1.406081365612009</c:v>
                      </c:pt>
                      <c:pt idx="183">
                        <c:v>1.4116568352576986</c:v>
                      </c:pt>
                      <c:pt idx="184">
                        <c:v>1.4172209982203678</c:v>
                      </c:pt>
                      <c:pt idx="185">
                        <c:v>1.42277385402208</c:v>
                      </c:pt>
                      <c:pt idx="186">
                        <c:v>1.4283154027402558</c:v>
                      </c:pt>
                      <c:pt idx="187">
                        <c:v>1.4338456449967634</c:v>
                      </c:pt>
                      <c:pt idx="188">
                        <c:v>1.4393645819471474</c:v>
                      </c:pt>
                      <c:pt idx="189">
                        <c:v>1.4448722152700855</c:v>
                      </c:pt>
                      <c:pt idx="190">
                        <c:v>1.4503685471570169</c:v>
                      </c:pt>
                      <c:pt idx="191">
                        <c:v>1.4558535803019395</c:v>
                      </c:pt>
                      <c:pt idx="192">
                        <c:v>1.4613273178914032</c:v>
                      </c:pt>
                      <c:pt idx="193">
                        <c:v>1.4667897635946701</c:v>
                      </c:pt>
                      <c:pt idx="194">
                        <c:v>1.4722409215540488</c:v>
                      </c:pt>
                      <c:pt idx="195">
                        <c:v>1.4776807963753911</c:v>
                      </c:pt>
                      <c:pt idx="196">
                        <c:v>1.4831093931187649</c:v>
                      </c:pt>
                      <c:pt idx="197">
                        <c:v>1.4885267172892798</c:v>
                      </c:pt>
                      <c:pt idx="198">
                        <c:v>1.4939327748280891</c:v>
                      </c:pt>
                      <c:pt idx="199">
                        <c:v>1.4993275721035211</c:v>
                      </c:pt>
                      <c:pt idx="200">
                        <c:v>1.5047111159023929</c:v>
                      </c:pt>
                    </c:numCache>
                  </c:numRef>
                </c:val>
                <c:smooth val="0"/>
                <c:extLst xmlns:c15="http://schemas.microsoft.com/office/drawing/2012/chart">
                  <c:ext xmlns:c16="http://schemas.microsoft.com/office/drawing/2014/chart" uri="{C3380CC4-5D6E-409C-BE32-E72D297353CC}">
                    <c16:uniqueId val="{0000000A-D94A-4A6C-A3EF-19A07815FC45}"/>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val>
                <c:smooth val="0"/>
                <c:extLst xmlns:c15="http://schemas.microsoft.com/office/drawing/2012/chart">
                  <c:ext xmlns:c16="http://schemas.microsoft.com/office/drawing/2014/chart" uri="{C3380CC4-5D6E-409C-BE32-E72D297353CC}">
                    <c16:uniqueId val="{0000000B-D94A-4A6C-A3EF-19A07815FC45}"/>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4.8925253918995137</c:v>
                      </c:pt>
                      <c:pt idx="2">
                        <c:v>4.9016780655888761</c:v>
                      </c:pt>
                      <c:pt idx="3">
                        <c:v>4.9108351286480012</c:v>
                      </c:pt>
                      <c:pt idx="4">
                        <c:v>4.9199964916870602</c:v>
                      </c:pt>
                      <c:pt idx="5">
                        <c:v>4.9291620671783738</c:v>
                      </c:pt>
                      <c:pt idx="6">
                        <c:v>4.9383317694126685</c:v>
                      </c:pt>
                      <c:pt idx="7">
                        <c:v>4.9475055144564823</c:v>
                      </c:pt>
                      <c:pt idx="8">
                        <c:v>4.9566832201107207</c:v>
                      </c:pt>
                      <c:pt idx="9">
                        <c:v>4.9658648058703125</c:v>
                      </c:pt>
                      <c:pt idx="10">
                        <c:v>4.9750501928849182</c:v>
                      </c:pt>
                      <c:pt idx="11">
                        <c:v>4.9842393039207025</c:v>
                      </c:pt>
                      <c:pt idx="12">
                        <c:v>4.9934320633230813</c:v>
                      </c:pt>
                      <c:pt idx="13">
                        <c:v>5.0026283969804686</c:v>
                      </c:pt>
                      <c:pt idx="14">
                        <c:v>5.0118282322889574</c:v>
                      </c:pt>
                      <c:pt idx="15">
                        <c:v>5.02103149811792</c:v>
                      </c:pt>
                      <c:pt idx="16">
                        <c:v>5.0302381247765062</c:v>
                      </c:pt>
                      <c:pt idx="17">
                        <c:v>5.0394480439810003</c:v>
                      </c:pt>
                      <c:pt idx="18">
                        <c:v>5.0486611888230168</c:v>
                      </c:pt>
                      <c:pt idx="19">
                        <c:v>5.0578774937385234</c:v>
                      </c:pt>
                      <c:pt idx="20">
                        <c:v>5.0670968944776442</c:v>
                      </c:pt>
                      <c:pt idx="21">
                        <c:v>5.0763193280752388</c:v>
                      </c:pt>
                      <c:pt idx="22">
                        <c:v>5.0855447328222185</c:v>
                      </c:pt>
                      <c:pt idx="23">
                        <c:v>5.0947730482376068</c:v>
                      </c:pt>
                      <c:pt idx="24">
                        <c:v>5.1040042150412885</c:v>
                      </c:pt>
                      <c:pt idx="25">
                        <c:v>5.1132381751274467</c:v>
                      </c:pt>
                      <c:pt idx="26">
                        <c:v>5.1224748715386745</c:v>
                      </c:pt>
                      <c:pt idx="27">
                        <c:v>5.1317142484407192</c:v>
                      </c:pt>
                      <c:pt idx="28">
                        <c:v>5.1409562510978697</c:v>
                      </c:pt>
                      <c:pt idx="29">
                        <c:v>5.1502008258489411</c:v>
                      </c:pt>
                      <c:pt idx="30">
                        <c:v>5.1594479200838617</c:v>
                      </c:pt>
                      <c:pt idx="31">
                        <c:v>5.1686974822208329</c:v>
                      </c:pt>
                      <c:pt idx="32">
                        <c:v>5.1779494616840598</c:v>
                      </c:pt>
                      <c:pt idx="33">
                        <c:v>5.1872038088820114</c:v>
                      </c:pt>
                      <c:pt idx="34">
                        <c:v>5.196460475186222</c:v>
                      </c:pt>
                      <c:pt idx="35">
                        <c:v>5.2057194129105984</c:v>
                      </c:pt>
                      <c:pt idx="36">
                        <c:v>5.2149805752912588</c:v>
                      </c:pt>
                      <c:pt idx="37">
                        <c:v>5.2242439164668131</c:v>
                      </c:pt>
                      <c:pt idx="38">
                        <c:v>5.2335093914591546</c:v>
                      </c:pt>
                      <c:pt idx="39">
                        <c:v>5.2427769561546951</c:v>
                      </c:pt>
                      <c:pt idx="40">
                        <c:v>5.252046567286067</c:v>
                      </c:pt>
                      <c:pt idx="41">
                        <c:v>5.2613181824142394</c:v>
                      </c:pt>
                      <c:pt idx="42">
                        <c:v>5.2705917599110776</c:v>
                      </c:pt>
                      <c:pt idx="43">
                        <c:v>5.2798672589423052</c:v>
                      </c:pt>
                      <c:pt idx="44">
                        <c:v>5.2891446394508845</c:v>
                      </c:pt>
                      <c:pt idx="45">
                        <c:v>5.2984238621407691</c:v>
                      </c:pt>
                      <c:pt idx="46">
                        <c:v>5.3077048884610569</c:v>
                      </c:pt>
                      <c:pt idx="47">
                        <c:v>5.3169876805905014</c:v>
                      </c:pt>
                      <c:pt idx="48">
                        <c:v>5.3262722014223911</c:v>
                      </c:pt>
                      <c:pt idx="49">
                        <c:v>5.3355584145497854</c:v>
                      </c:pt>
                      <c:pt idx="50">
                        <c:v>5.3448462842510818</c:v>
                      </c:pt>
                      <c:pt idx="51">
                        <c:v>5.3541357754759309</c:v>
                      </c:pt>
                      <c:pt idx="52">
                        <c:v>5.3634268538314656</c:v>
                      </c:pt>
                      <c:pt idx="53">
                        <c:v>5.3727194855688563</c:v>
                      </c:pt>
                      <c:pt idx="54">
                        <c:v>5.3820136375701688</c:v>
                      </c:pt>
                      <c:pt idx="55">
                        <c:v>5.391309277335532</c:v>
                      </c:pt>
                      <c:pt idx="56">
                        <c:v>5.4006063729705733</c:v>
                      </c:pt>
                      <c:pt idx="57">
                        <c:v>5.4099048931741898</c:v>
                      </c:pt>
                      <c:pt idx="58">
                        <c:v>5.4192048072265342</c:v>
                      </c:pt>
                      <c:pt idx="59">
                        <c:v>5.4285060849773297</c:v>
                      </c:pt>
                      <c:pt idx="60">
                        <c:v>5.4378086968344084</c:v>
                      </c:pt>
                      <c:pt idx="61">
                        <c:v>5.4471126137525285</c:v>
                      </c:pt>
                      <c:pt idx="62">
                        <c:v>5.4564178072224436</c:v>
                      </c:pt>
                      <c:pt idx="63">
                        <c:v>5.4657242492601998</c:v>
                      </c:pt>
                      <c:pt idx="64">
                        <c:v>5.4750319123966866</c:v>
                      </c:pt>
                      <c:pt idx="65">
                        <c:v>5.4843407696674191</c:v>
                      </c:pt>
                      <c:pt idx="66">
                        <c:v>5.4936507946025417</c:v>
                      </c:pt>
                      <c:pt idx="67">
                        <c:v>5.5029619612170579</c:v>
                      </c:pt>
                      <c:pt idx="68">
                        <c:v>5.512274244001266</c:v>
                      </c:pt>
                      <c:pt idx="69">
                        <c:v>5.5215876179114254</c:v>
                      </c:pt>
                      <c:pt idx="70">
                        <c:v>5.5309020583606046</c:v>
                      </c:pt>
                      <c:pt idx="71">
                        <c:v>5.5402175412097474</c:v>
                      </c:pt>
                      <c:pt idx="72">
                        <c:v>5.5495340427589221</c:v>
                      </c:pt>
                      <c:pt idx="73">
                        <c:v>5.5588515397387726</c:v>
                      </c:pt>
                      <c:pt idx="74">
                        <c:v>5.5681700093021433</c:v>
                      </c:pt>
                      <c:pt idx="75">
                        <c:v>5.5774894290158956</c:v>
                      </c:pt>
                      <c:pt idx="76">
                        <c:v>5.5868097768528955</c:v>
                      </c:pt>
                      <c:pt idx="77">
                        <c:v>5.5961310311841741</c:v>
                      </c:pt>
                      <c:pt idx="78">
                        <c:v>5.6054531707712627</c:v>
                      </c:pt>
                      <c:pt idx="79">
                        <c:v>5.6147761747586857</c:v>
                      </c:pt>
                      <c:pt idx="80">
                        <c:v>5.6241000226666111</c:v>
                      </c:pt>
                      <c:pt idx="81">
                        <c:v>5.6334246943836632</c:v>
                      </c:pt>
                      <c:pt idx="82">
                        <c:v>5.6427501701599034</c:v>
                      </c:pt>
                      <c:pt idx="83">
                        <c:v>5.652076430599922</c:v>
                      </c:pt>
                      <c:pt idx="84">
                        <c:v>5.661403456656112</c:v>
                      </c:pt>
                      <c:pt idx="85">
                        <c:v>5.6707312296220653</c:v>
                      </c:pt>
                      <c:pt idx="86">
                        <c:v>5.6800597311261196</c:v>
                      </c:pt>
                      <c:pt idx="87">
                        <c:v>5.6893889431250324</c:v>
                      </c:pt>
                      <c:pt idx="88">
                        <c:v>5.6987188478977897</c:v>
                      </c:pt>
                      <c:pt idx="89">
                        <c:v>5.7080494280395477</c:v>
                      </c:pt>
                      <c:pt idx="90">
                        <c:v>5.7173806664556945</c:v>
                      </c:pt>
                      <c:pt idx="91">
                        <c:v>5.7267125463560422</c:v>
                      </c:pt>
                      <c:pt idx="92">
                        <c:v>5.7360450512491337</c:v>
                      </c:pt>
                      <c:pt idx="93">
                        <c:v>5.7453781649366737</c:v>
                      </c:pt>
                      <c:pt idx="94">
                        <c:v>5.7547118715080687</c:v>
                      </c:pt>
                      <c:pt idx="95">
                        <c:v>5.7640461553350777</c:v>
                      </c:pt>
                      <c:pt idx="96">
                        <c:v>5.7733810010665865</c:v>
                      </c:pt>
                      <c:pt idx="97">
                        <c:v>5.7827163936234642</c:v>
                      </c:pt>
                      <c:pt idx="98">
                        <c:v>5.7920523181935621</c:v>
                      </c:pt>
                      <c:pt idx="99">
                        <c:v>5.8013887602267671</c:v>
                      </c:pt>
                      <c:pt idx="100">
                        <c:v>5.8107257054302064</c:v>
                      </c:pt>
                      <c:pt idx="101">
                        <c:v>5.8200631397635014</c:v>
                      </c:pt>
                      <c:pt idx="102">
                        <c:v>5.8294010494341553</c:v>
                      </c:pt>
                      <c:pt idx="103">
                        <c:v>5.8387394208930194</c:v>
                      </c:pt>
                      <c:pt idx="104">
                        <c:v>5.8480782408298451</c:v>
                      </c:pt>
                      <c:pt idx="105">
                        <c:v>5.8574174961689307</c:v>
                      </c:pt>
                      <c:pt idx="106">
                        <c:v>5.866757174064861</c:v>
                      </c:pt>
                      <c:pt idx="107">
                        <c:v>5.8760972618983232</c:v>
                      </c:pt>
                      <c:pt idx="108">
                        <c:v>5.8854377472720136</c:v>
                      </c:pt>
                      <c:pt idx="109">
                        <c:v>5.8947786180066197</c:v>
                      </c:pt>
                      <c:pt idx="110">
                        <c:v>5.9041198621368851</c:v>
                      </c:pt>
                      <c:pt idx="111">
                        <c:v>5.9134614679077542</c:v>
                      </c:pt>
                      <c:pt idx="112">
                        <c:v>5.9228034237705929</c:v>
                      </c:pt>
                      <c:pt idx="113">
                        <c:v>5.9321457183794815</c:v>
                      </c:pt>
                      <c:pt idx="114">
                        <c:v>5.9414883405875729</c:v>
                      </c:pt>
                      <c:pt idx="115">
                        <c:v>5.9508312794435492</c:v>
                      </c:pt>
                      <c:pt idx="116">
                        <c:v>5.9601745241881154</c:v>
                      </c:pt>
                      <c:pt idx="117">
                        <c:v>5.969518064250579</c:v>
                      </c:pt>
                      <c:pt idx="118">
                        <c:v>5.9788618892454997</c:v>
                      </c:pt>
                      <c:pt idx="119">
                        <c:v>5.9882059889693888</c:v>
                      </c:pt>
                      <c:pt idx="120">
                        <c:v>5.9975503533974868</c:v>
                      </c:pt>
                      <c:pt idx="121">
                        <c:v>6.0068949726806107</c:v>
                      </c:pt>
                      <c:pt idx="122">
                        <c:v>6.0162398371420229</c:v>
                      </c:pt>
                      <c:pt idx="123">
                        <c:v>6.0255849372744175</c:v>
                      </c:pt>
                      <c:pt idx="124">
                        <c:v>6.0349302637369169</c:v>
                      </c:pt>
                      <c:pt idx="125">
                        <c:v>6.0442758073521539</c:v>
                      </c:pt>
                      <c:pt idx="126">
                        <c:v>6.0536215591033997</c:v>
                      </c:pt>
                      <c:pt idx="127">
                        <c:v>6.0629675101317364</c:v>
                      </c:pt>
                      <c:pt idx="128">
                        <c:v>6.0723136517333165</c:v>
                      </c:pt>
                      <c:pt idx="129">
                        <c:v>6.0816599753566383</c:v>
                      </c:pt>
                      <c:pt idx="130">
                        <c:v>6.0910064725998909</c:v>
                      </c:pt>
                      <c:pt idx="131">
                        <c:v>6.1003531352083424</c:v>
                      </c:pt>
                      <c:pt idx="132">
                        <c:v>6.1096999550717968</c:v>
                      </c:pt>
                      <c:pt idx="133">
                        <c:v>6.1190469242220713</c:v>
                      </c:pt>
                      <c:pt idx="134">
                        <c:v>6.1283940348305377</c:v>
                      </c:pt>
                      <c:pt idx="135">
                        <c:v>6.1377412792057049</c:v>
                      </c:pt>
                      <c:pt idx="136">
                        <c:v>6.147088649790855</c:v>
                      </c:pt>
                      <c:pt idx="137">
                        <c:v>6.1564361391617108</c:v>
                      </c:pt>
                      <c:pt idx="138">
                        <c:v>6.1657837400241613</c:v>
                      </c:pt>
                      <c:pt idx="139">
                        <c:v>6.1751314452120099</c:v>
                      </c:pt>
                      <c:pt idx="140">
                        <c:v>6.184479247684787</c:v>
                      </c:pt>
                      <c:pt idx="141">
                        <c:v>6.1938271405255936</c:v>
                      </c:pt>
                      <c:pt idx="142">
                        <c:v>6.2031751169389739</c:v>
                      </c:pt>
                      <c:pt idx="143">
                        <c:v>6.2125231702488524</c:v>
                      </c:pt>
                      <c:pt idx="144">
                        <c:v>6.2218712938964833</c:v>
                      </c:pt>
                      <c:pt idx="145">
                        <c:v>6.2312194814384503</c:v>
                      </c:pt>
                      <c:pt idx="146">
                        <c:v>6.240567726544711</c:v>
                      </c:pt>
                      <c:pt idx="147">
                        <c:v>6.2499160229966622</c:v>
                      </c:pt>
                      <c:pt idx="148">
                        <c:v>6.2592643646852357</c:v>
                      </c:pt>
                      <c:pt idx="149">
                        <c:v>6.2686127456090706</c:v>
                      </c:pt>
                      <c:pt idx="150">
                        <c:v>6.277961159872655</c:v>
                      </c:pt>
                      <c:pt idx="151">
                        <c:v>6.2873096016845551</c:v>
                      </c:pt>
                      <c:pt idx="152">
                        <c:v>6.2966580653556523</c:v>
                      </c:pt>
                      <c:pt idx="153">
                        <c:v>6.3060065452974134</c:v>
                      </c:pt>
                      <c:pt idx="154">
                        <c:v>6.315355036020204</c:v>
                      </c:pt>
                      <c:pt idx="155">
                        <c:v>6.3247035321316147</c:v>
                      </c:pt>
                      <c:pt idx="156">
                        <c:v>6.3340520283348303</c:v>
                      </c:pt>
                      <c:pt idx="157">
                        <c:v>6.3434005194270302</c:v>
                      </c:pt>
                      <c:pt idx="158">
                        <c:v>6.3527490002978046</c:v>
                      </c:pt>
                      <c:pt idx="159">
                        <c:v>6.3620974659276124</c:v>
                      </c:pt>
                      <c:pt idx="160">
                        <c:v>6.3714459113862594</c:v>
                      </c:pt>
                      <c:pt idx="161">
                        <c:v>6.3807943318314075</c:v>
                      </c:pt>
                      <c:pt idx="162">
                        <c:v>6.3901427225071057</c:v>
                      </c:pt>
                      <c:pt idx="163">
                        <c:v>6.399491078742356</c:v>
                      </c:pt>
                      <c:pt idx="164">
                        <c:v>6.4088393959496974</c:v>
                      </c:pt>
                      <c:pt idx="165">
                        <c:v>6.4181876696238112</c:v>
                      </c:pt>
                      <c:pt idx="166">
                        <c:v>6.4275358953401689</c:v>
                      </c:pt>
                      <c:pt idx="167">
                        <c:v>6.4368840687536792</c:v>
                      </c:pt>
                      <c:pt idx="168">
                        <c:v>6.4462321855973803</c:v>
                      </c:pt>
                      <c:pt idx="169">
                        <c:v>6.4555802416811519</c:v>
                      </c:pt>
                      <c:pt idx="170">
                        <c:v>6.4649282328904256</c:v>
                      </c:pt>
                      <c:pt idx="171">
                        <c:v>6.4742761551849615</c:v>
                      </c:pt>
                      <c:pt idx="172">
                        <c:v>6.4836240045976057</c:v>
                      </c:pt>
                      <c:pt idx="173">
                        <c:v>6.4929717772330902</c:v>
                      </c:pt>
                      <c:pt idx="174">
                        <c:v>6.5023194692668529</c:v>
                      </c:pt>
                      <c:pt idx="175">
                        <c:v>6.5116670769438763</c:v>
                      </c:pt>
                      <c:pt idx="176">
                        <c:v>6.5210145965775332</c:v>
                      </c:pt>
                      <c:pt idx="177">
                        <c:v>6.5303620245484808</c:v>
                      </c:pt>
                      <c:pt idx="178">
                        <c:v>6.5397093573035479</c:v>
                      </c:pt>
                      <c:pt idx="179">
                        <c:v>6.549056591354657</c:v>
                      </c:pt>
                      <c:pt idx="180">
                        <c:v>6.5584037232777517</c:v>
                      </c:pt>
                      <c:pt idx="181">
                        <c:v>6.5677507497117569</c:v>
                      </c:pt>
                      <c:pt idx="182">
                        <c:v>6.577097667357549</c:v>
                      </c:pt>
                      <c:pt idx="183">
                        <c:v>6.5864444729769467</c:v>
                      </c:pt>
                      <c:pt idx="184">
                        <c:v>6.5957911633917119</c:v>
                      </c:pt>
                      <c:pt idx="185">
                        <c:v>6.605137735482586</c:v>
                      </c:pt>
                      <c:pt idx="186">
                        <c:v>6.6144841861883119</c:v>
                      </c:pt>
                      <c:pt idx="187">
                        <c:v>6.6238305125047114</c:v>
                      </c:pt>
                      <c:pt idx="188">
                        <c:v>6.6331767114837445</c:v>
                      </c:pt>
                      <c:pt idx="189">
                        <c:v>6.6425227802326043</c:v>
                      </c:pt>
                      <c:pt idx="190">
                        <c:v>6.6518687159128209</c:v>
                      </c:pt>
                      <c:pt idx="191">
                        <c:v>6.6612145157393803</c:v>
                      </c:pt>
                      <c:pt idx="192">
                        <c:v>6.6705601769798593</c:v>
                      </c:pt>
                      <c:pt idx="193">
                        <c:v>6.6799056969535791</c:v>
                      </c:pt>
                      <c:pt idx="194">
                        <c:v>6.6892510730307597</c:v>
                      </c:pt>
                      <c:pt idx="195">
                        <c:v>6.6985963026317128</c:v>
                      </c:pt>
                      <c:pt idx="196">
                        <c:v>6.7079413832260206</c:v>
                      </c:pt>
                      <c:pt idx="197">
                        <c:v>6.7172863123317432</c:v>
                      </c:pt>
                      <c:pt idx="198">
                        <c:v>6.7266310875146491</c:v>
                      </c:pt>
                      <c:pt idx="199">
                        <c:v>6.7359757063874337</c:v>
                      </c:pt>
                      <c:pt idx="200">
                        <c:v>6.7453201666089724</c:v>
                      </c:pt>
                    </c:numCache>
                  </c:numRef>
                </c:val>
                <c:smooth val="0"/>
                <c:extLst xmlns:c15="http://schemas.microsoft.com/office/drawing/2012/chart">
                  <c:ext xmlns:c16="http://schemas.microsoft.com/office/drawing/2014/chart" uri="{C3380CC4-5D6E-409C-BE32-E72D297353CC}">
                    <c16:uniqueId val="{0000000C-D94A-4A6C-A3EF-19A07815FC45}"/>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9.6176996127100636E-2</c:v>
                      </c:pt>
                      <c:pt idx="2">
                        <c:v>9.7103942143320229E-2</c:v>
                      </c:pt>
                      <c:pt idx="3">
                        <c:v>9.8024664140531112E-2</c:v>
                      </c:pt>
                      <c:pt idx="4">
                        <c:v>9.8939226247063222E-2</c:v>
                      </c:pt>
                      <c:pt idx="5">
                        <c:v>9.9847691689993287E-2</c:v>
                      </c:pt>
                      <c:pt idx="6">
                        <c:v>0.10075012281131032</c:v>
                      </c:pt>
                      <c:pt idx="7">
                        <c:v>0.10164658108372684</c:v>
                      </c:pt>
                      <c:pt idx="8">
                        <c:v>0.10253712712614538</c:v>
                      </c:pt>
                      <c:pt idx="9">
                        <c:v>0.10342182071878886</c:v>
                      </c:pt>
                      <c:pt idx="10">
                        <c:v>0.10430072081800383</c:v>
                      </c:pt>
                      <c:pt idx="11">
                        <c:v>0.10517388557074457</c:v>
                      </c:pt>
                      <c:pt idx="12">
                        <c:v>0.10604137232874646</c:v>
                      </c:pt>
                      <c:pt idx="13">
                        <c:v>0.10690323766239641</c:v>
                      </c:pt>
                      <c:pt idx="14">
                        <c:v>0.10775953737430781</c:v>
                      </c:pt>
                      <c:pt idx="15">
                        <c:v>0.10861032651260794</c:v>
                      </c:pt>
                      <c:pt idx="16">
                        <c:v>0.10945565938394397</c:v>
                      </c:pt>
                      <c:pt idx="17">
                        <c:v>0.11029558956621666</c:v>
                      </c:pt>
                      <c:pt idx="18">
                        <c:v>0.11113016992104552</c:v>
                      </c:pt>
                      <c:pt idx="19">
                        <c:v>0.11195945260597535</c:v>
                      </c:pt>
                      <c:pt idx="20">
                        <c:v>0.11278348908642792</c:v>
                      </c:pt>
                      <c:pt idx="21">
                        <c:v>0.11360233014740644</c:v>
                      </c:pt>
                      <c:pt idx="22">
                        <c:v>0.11441602590495836</c:v>
                      </c:pt>
                      <c:pt idx="23">
                        <c:v>0.11522462581740282</c:v>
                      </c:pt>
                      <c:pt idx="24">
                        <c:v>0.11602817869632817</c:v>
                      </c:pt>
                      <c:pt idx="25">
                        <c:v>0.11682673271736467</c:v>
                      </c:pt>
                      <c:pt idx="26">
                        <c:v>0.11762033543073909</c:v>
                      </c:pt>
                      <c:pt idx="27">
                        <c:v>0.11840903377161496</c:v>
                      </c:pt>
                      <c:pt idx="28">
                        <c:v>0.11919287407022439</c:v>
                      </c:pt>
                      <c:pt idx="29">
                        <c:v>0.119971902061797</c:v>
                      </c:pt>
                      <c:pt idx="30">
                        <c:v>0.1207461628962888</c:v>
                      </c:pt>
                      <c:pt idx="31">
                        <c:v>0.12151570114791836</c:v>
                      </c:pt>
                      <c:pt idx="32">
                        <c:v>0.12228056082451272</c:v>
                      </c:pt>
                      <c:pt idx="33">
                        <c:v>0.12304078537666861</c:v>
                      </c:pt>
                      <c:pt idx="34">
                        <c:v>0.12379641770673275</c:v>
                      </c:pt>
                      <c:pt idx="35">
                        <c:v>0.12454750017760573</c:v>
                      </c:pt>
                      <c:pt idx="36">
                        <c:v>0.12529407462137399</c:v>
                      </c:pt>
                      <c:pt idx="37">
                        <c:v>0.12603618234777253</c:v>
                      </c:pt>
                      <c:pt idx="38">
                        <c:v>0.12677386415248401</c:v>
                      </c:pt>
                      <c:pt idx="39">
                        <c:v>0.12750716032527651</c:v>
                      </c:pt>
                      <c:pt idx="40">
                        <c:v>0.12823611065798432</c:v>
                      </c:pt>
                      <c:pt idx="41">
                        <c:v>0.12896075445233587</c:v>
                      </c:pt>
                      <c:pt idx="42">
                        <c:v>0.12968113052763078</c:v>
                      </c:pt>
                      <c:pt idx="43">
                        <c:v>0.13039727722827077</c:v>
                      </c:pt>
                      <c:pt idx="44">
                        <c:v>0.13110923243114761</c:v>
                      </c:pt>
                      <c:pt idx="45">
                        <c:v>0.13181703355289076</c:v>
                      </c:pt>
                      <c:pt idx="46">
                        <c:v>0.13252071755697739</c:v>
                      </c:pt>
                      <c:pt idx="47">
                        <c:v>0.13322032096070976</c:v>
                      </c:pt>
                      <c:pt idx="48">
                        <c:v>0.13391587984206133</c:v>
                      </c:pt>
                      <c:pt idx="49">
                        <c:v>0.13460742984639404</c:v>
                      </c:pt>
                      <c:pt idx="50">
                        <c:v>0.13529500619305165</c:v>
                      </c:pt>
                      <c:pt idx="51">
                        <c:v>0.13597864368183005</c:v>
                      </c:pt>
                      <c:pt idx="52">
                        <c:v>0.13665837669932793</c:v>
                      </c:pt>
                      <c:pt idx="53">
                        <c:v>0.13733423922518001</c:v>
                      </c:pt>
                      <c:pt idx="54">
                        <c:v>0.13800626483817699</c:v>
                      </c:pt>
                      <c:pt idx="55">
                        <c:v>0.13867448672227178</c:v>
                      </c:pt>
                      <c:pt idx="56">
                        <c:v>0.1393389376724771</c:v>
                      </c:pt>
                      <c:pt idx="57">
                        <c:v>0.13999965010065565</c:v>
                      </c:pt>
                      <c:pt idx="58">
                        <c:v>0.1406566560412052</c:v>
                      </c:pt>
                      <c:pt idx="59">
                        <c:v>0.1413099871566412</c:v>
                      </c:pt>
                      <c:pt idx="60">
                        <c:v>0.14195967474307819</c:v>
                      </c:pt>
                      <c:pt idx="61">
                        <c:v>0.14260574973561396</c:v>
                      </c:pt>
                      <c:pt idx="62">
                        <c:v>0.14324824271361644</c:v>
                      </c:pt>
                      <c:pt idx="63">
                        <c:v>0.14388718390591657</c:v>
                      </c:pt>
                      <c:pt idx="64">
                        <c:v>0.14452260319590926</c:v>
                      </c:pt>
                      <c:pt idx="65">
                        <c:v>0.14515453012656349</c:v>
                      </c:pt>
                      <c:pt idx="66">
                        <c:v>0.14578299390534422</c:v>
                      </c:pt>
                      <c:pt idx="67">
                        <c:v>0.14640802340904782</c:v>
                      </c:pt>
                      <c:pt idx="68">
                        <c:v>0.14702964718855258</c:v>
                      </c:pt>
                      <c:pt idx="69">
                        <c:v>0.14764789347348578</c:v>
                      </c:pt>
                      <c:pt idx="70">
                        <c:v>0.14826279017681024</c:v>
                      </c:pt>
                      <c:pt idx="71">
                        <c:v>0.14887436489933031</c:v>
                      </c:pt>
                      <c:pt idx="72">
                        <c:v>0.1494826449341207</c:v>
                      </c:pt>
                      <c:pt idx="73">
                        <c:v>0.15008765727087794</c:v>
                      </c:pt>
                      <c:pt idx="74">
                        <c:v>0.15068942860019804</c:v>
                      </c:pt>
                      <c:pt idx="75">
                        <c:v>0.15128798531777973</c:v>
                      </c:pt>
                      <c:pt idx="76">
                        <c:v>0.1518833535285565</c:v>
                      </c:pt>
                      <c:pt idx="77">
                        <c:v>0.1524755590507583</c:v>
                      </c:pt>
                      <c:pt idx="78">
                        <c:v>0.15306462741990351</c:v>
                      </c:pt>
                      <c:pt idx="79">
                        <c:v>0.15365058389272418</c:v>
                      </c:pt>
                      <c:pt idx="80">
                        <c:v>0.15423345345102449</c:v>
                      </c:pt>
                      <c:pt idx="81">
                        <c:v>0.15481326080547408</c:v>
                      </c:pt>
                      <c:pt idx="82">
                        <c:v>0.15539003039933866</c:v>
                      </c:pt>
                      <c:pt idx="83">
                        <c:v>0.15596378641214675</c:v>
                      </c:pt>
                      <c:pt idx="84">
                        <c:v>0.15653455276329697</c:v>
                      </c:pt>
                      <c:pt idx="85">
                        <c:v>0.1571023531156038</c:v>
                      </c:pt>
                      <c:pt idx="86">
                        <c:v>0.15766721087878552</c:v>
                      </c:pt>
                      <c:pt idx="87">
                        <c:v>0.15822914921289444</c:v>
                      </c:pt>
                      <c:pt idx="88">
                        <c:v>0.15878819103169034</c:v>
                      </c:pt>
                      <c:pt idx="89">
                        <c:v>0.15934435900595817</c:v>
                      </c:pt>
                      <c:pt idx="90">
                        <c:v>0.15989767556677256</c:v>
                      </c:pt>
                      <c:pt idx="91">
                        <c:v>0.16044816290870798</c:v>
                      </c:pt>
                      <c:pt idx="92">
                        <c:v>0.16099584299299696</c:v>
                      </c:pt>
                      <c:pt idx="93">
                        <c:v>0.16154073755063716</c:v>
                      </c:pt>
                      <c:pt idx="94">
                        <c:v>0.16208286808544808</c:v>
                      </c:pt>
                      <c:pt idx="95">
                        <c:v>0.16262225587707857</c:v>
                      </c:pt>
                      <c:pt idx="96">
                        <c:v>0.163158921983966</c:v>
                      </c:pt>
                      <c:pt idx="97">
                        <c:v>0.16369288724624742</c:v>
                      </c:pt>
                      <c:pt idx="98">
                        <c:v>0.16422417228862493</c:v>
                      </c:pt>
                      <c:pt idx="99">
                        <c:v>0.16475279752318517</c:v>
                      </c:pt>
                      <c:pt idx="100">
                        <c:v>0.1652787831521734</c:v>
                      </c:pt>
                      <c:pt idx="101">
                        <c:v>0.16580214917072458</c:v>
                      </c:pt>
                      <c:pt idx="102">
                        <c:v>0.1663229153695501</c:v>
                      </c:pt>
                      <c:pt idx="103">
                        <c:v>0.16684110133758387</c:v>
                      </c:pt>
                      <c:pt idx="104">
                        <c:v>0.16735672646458483</c:v>
                      </c:pt>
                      <c:pt idx="105">
                        <c:v>0.16786980994370002</c:v>
                      </c:pt>
                      <c:pt idx="106">
                        <c:v>0.16838037077398726</c:v>
                      </c:pt>
                      <c:pt idx="107">
                        <c:v>0.16888842776289834</c:v>
                      </c:pt>
                      <c:pt idx="108">
                        <c:v>0.16939399952872411</c:v>
                      </c:pt>
                      <c:pt idx="109">
                        <c:v>0.16989710450300105</c:v>
                      </c:pt>
                      <c:pt idx="110">
                        <c:v>0.17039776093288103</c:v>
                      </c:pt>
                      <c:pt idx="111">
                        <c:v>0.17089598688346475</c:v>
                      </c:pt>
                      <c:pt idx="112">
                        <c:v>0.17139180024009879</c:v>
                      </c:pt>
                      <c:pt idx="113">
                        <c:v>0.17188521871063814</c:v>
                      </c:pt>
                      <c:pt idx="114">
                        <c:v>0.17237625982767349</c:v>
                      </c:pt>
                      <c:pt idx="115">
                        <c:v>0.17286494095072491</c:v>
                      </c:pt>
                      <c:pt idx="116">
                        <c:v>0.17335127926840257</c:v>
                      </c:pt>
                      <c:pt idx="117">
                        <c:v>0.17383529180053425</c:v>
                      </c:pt>
                      <c:pt idx="118">
                        <c:v>0.17431699540026038</c:v>
                      </c:pt>
                      <c:pt idx="119">
                        <c:v>0.17479640675609839</c:v>
                      </c:pt>
                      <c:pt idx="120">
                        <c:v>0.17527354239397575</c:v>
                      </c:pt>
                      <c:pt idx="121">
                        <c:v>0.17574841867923222</c:v>
                      </c:pt>
                      <c:pt idx="122">
                        <c:v>0.17622105181859207</c:v>
                      </c:pt>
                      <c:pt idx="123">
                        <c:v>0.17669145786210769</c:v>
                      </c:pt>
                      <c:pt idx="124">
                        <c:v>0.17715965270507372</c:v>
                      </c:pt>
                      <c:pt idx="125">
                        <c:v>0.1776256520899126</c:v>
                      </c:pt>
                      <c:pt idx="126">
                        <c:v>0.17808947160803332</c:v>
                      </c:pt>
                      <c:pt idx="127">
                        <c:v>0.17855112670166093</c:v>
                      </c:pt>
                      <c:pt idx="128">
                        <c:v>0.17901063266564149</c:v>
                      </c:pt>
                      <c:pt idx="129">
                        <c:v>0.17946800464921808</c:v>
                      </c:pt>
                      <c:pt idx="130">
                        <c:v>0.17992325765778311</c:v>
                      </c:pt>
                      <c:pt idx="131">
                        <c:v>0.18037640655460313</c:v>
                      </c:pt>
                      <c:pt idx="132">
                        <c:v>0.18082746606252023</c:v>
                      </c:pt>
                      <c:pt idx="133">
                        <c:v>0.18127645076562737</c:v>
                      </c:pt>
                      <c:pt idx="134">
                        <c:v>0.18172337511092054</c:v>
                      </c:pt>
                      <c:pt idx="135">
                        <c:v>0.18216825340992585</c:v>
                      </c:pt>
                      <c:pt idx="136">
                        <c:v>0.18261109984030491</c:v>
                      </c:pt>
                      <c:pt idx="137">
                        <c:v>0.1830519284474352</c:v>
                      </c:pt>
                      <c:pt idx="138">
                        <c:v>0.18349075314596974</c:v>
                      </c:pt>
                      <c:pt idx="139">
                        <c:v>0.18392758772137274</c:v>
                      </c:pt>
                      <c:pt idx="140">
                        <c:v>0.18436244583143466</c:v>
                      </c:pt>
                      <c:pt idx="141">
                        <c:v>0.18479534100776485</c:v>
                      </c:pt>
                      <c:pt idx="142">
                        <c:v>0.18522628665726396</c:v>
                      </c:pt>
                      <c:pt idx="143">
                        <c:v>0.18565529606357425</c:v>
                      </c:pt>
                      <c:pt idx="144">
                        <c:v>0.18608238238851102</c:v>
                      </c:pt>
                      <c:pt idx="145">
                        <c:v>0.18650755867347235</c:v>
                      </c:pt>
                      <c:pt idx="146">
                        <c:v>0.18693083784083039</c:v>
                      </c:pt>
                      <c:pt idx="147">
                        <c:v>0.18735223269530224</c:v>
                      </c:pt>
                      <c:pt idx="148">
                        <c:v>0.18777175592530185</c:v>
                      </c:pt>
                      <c:pt idx="149">
                        <c:v>0.18818942010427378</c:v>
                      </c:pt>
                      <c:pt idx="150">
                        <c:v>0.18860523769200777</c:v>
                      </c:pt>
                      <c:pt idx="151">
                        <c:v>0.18901922103593477</c:v>
                      </c:pt>
                      <c:pt idx="152">
                        <c:v>0.18943138237240628</c:v>
                      </c:pt>
                      <c:pt idx="153">
                        <c:v>0.1898417338279548</c:v>
                      </c:pt>
                      <c:pt idx="154">
                        <c:v>0.19025028742053757</c:v>
                      </c:pt>
                      <c:pt idx="155">
                        <c:v>0.19065705506076364</c:v>
                      </c:pt>
                      <c:pt idx="156">
                        <c:v>0.19106204855310263</c:v>
                      </c:pt>
                      <c:pt idx="157">
                        <c:v>0.19146527959707904</c:v>
                      </c:pt>
                      <c:pt idx="158">
                        <c:v>0.19186675978844844</c:v>
                      </c:pt>
                      <c:pt idx="159">
                        <c:v>0.19226650062035955</c:v>
                      </c:pt>
                      <c:pt idx="160">
                        <c:v>0.19266451348449792</c:v>
                      </c:pt>
                      <c:pt idx="161">
                        <c:v>0.19306080967221775</c:v>
                      </c:pt>
                      <c:pt idx="162">
                        <c:v>0.19345540037565465</c:v>
                      </c:pt>
                      <c:pt idx="163">
                        <c:v>0.19384829668882655</c:v>
                      </c:pt>
                      <c:pt idx="164">
                        <c:v>0.19423950960871764</c:v>
                      </c:pt>
                      <c:pt idx="165">
                        <c:v>0.19462905003634923</c:v>
                      </c:pt>
                      <c:pt idx="166">
                        <c:v>0.19501692877783569</c:v>
                      </c:pt>
                      <c:pt idx="167">
                        <c:v>0.19540315654542606</c:v>
                      </c:pt>
                      <c:pt idx="168">
                        <c:v>0.19578774395853263</c:v>
                      </c:pt>
                      <c:pt idx="169">
                        <c:v>0.19617070154474509</c:v>
                      </c:pt>
                      <c:pt idx="170">
                        <c:v>0.1965520397408313</c:v>
                      </c:pt>
                      <c:pt idx="171">
                        <c:v>0.1969317688937261</c:v>
                      </c:pt>
                      <c:pt idx="172">
                        <c:v>0.197309899261505</c:v>
                      </c:pt>
                      <c:pt idx="173">
                        <c:v>0.19768644101434718</c:v>
                      </c:pt>
                      <c:pt idx="174">
                        <c:v>0.19806140423548393</c:v>
                      </c:pt>
                      <c:pt idx="175">
                        <c:v>0.19843479892213658</c:v>
                      </c:pt>
                      <c:pt idx="176">
                        <c:v>0.19880663498644066</c:v>
                      </c:pt>
                      <c:pt idx="177">
                        <c:v>0.19917692225635911</c:v>
                      </c:pt>
                      <c:pt idx="178">
                        <c:v>0.19954567047658259</c:v>
                      </c:pt>
                      <c:pt idx="179">
                        <c:v>0.19991288930941939</c:v>
                      </c:pt>
                      <c:pt idx="180">
                        <c:v>0.20027858833567269</c:v>
                      </c:pt>
                      <c:pt idx="181">
                        <c:v>0.20064277705550712</c:v>
                      </c:pt>
                      <c:pt idx="182">
                        <c:v>0.20100546488930435</c:v>
                      </c:pt>
                      <c:pt idx="183">
                        <c:v>0.20136666117850671</c:v>
                      </c:pt>
                      <c:pt idx="184">
                        <c:v>0.20172637518645123</c:v>
                      </c:pt>
                      <c:pt idx="185">
                        <c:v>0.20208461609919265</c:v>
                      </c:pt>
                      <c:pt idx="186">
                        <c:v>0.202441393026315</c:v>
                      </c:pt>
                      <c:pt idx="187">
                        <c:v>0.20279671500173457</c:v>
                      </c:pt>
                      <c:pt idx="188">
                        <c:v>0.20315059098449087</c:v>
                      </c:pt>
                      <c:pt idx="189">
                        <c:v>0.20350302985952923</c:v>
                      </c:pt>
                      <c:pt idx="190">
                        <c:v>0.20385404043847249</c:v>
                      </c:pt>
                      <c:pt idx="191">
                        <c:v>0.20420363146038278</c:v>
                      </c:pt>
                      <c:pt idx="192">
                        <c:v>0.2045518115925147</c:v>
                      </c:pt>
                      <c:pt idx="193">
                        <c:v>0.20489858943105854</c:v>
                      </c:pt>
                      <c:pt idx="194">
                        <c:v>0.20524397350187404</c:v>
                      </c:pt>
                      <c:pt idx="195">
                        <c:v>0.20558797226121475</c:v>
                      </c:pt>
                      <c:pt idx="196">
                        <c:v>0.20593059409644426</c:v>
                      </c:pt>
                      <c:pt idx="197">
                        <c:v>0.20627184732674303</c:v>
                      </c:pt>
                      <c:pt idx="198">
                        <c:v>0.20661174020380574</c:v>
                      </c:pt>
                      <c:pt idx="199">
                        <c:v>0.20695028091253165</c:v>
                      </c:pt>
                      <c:pt idx="200">
                        <c:v>0.20728747757170468</c:v>
                      </c:pt>
                    </c:numCache>
                  </c:numRef>
                </c:val>
                <c:smooth val="0"/>
                <c:extLst xmlns:c15="http://schemas.microsoft.com/office/drawing/2012/chart">
                  <c:ext xmlns:c16="http://schemas.microsoft.com/office/drawing/2014/chart" uri="{C3380CC4-5D6E-409C-BE32-E72D297353CC}">
                    <c16:uniqueId val="{0000000D-D94A-4A6C-A3EF-19A07815FC45}"/>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9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1"/>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49875781939918706"/>
          <c:y val="1.189262617588698E-2"/>
          <c:w val="0.3949506604757641"/>
          <c:h val="9.530266202861427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5-DAC0-423F-B197-448F000A954F}"/>
                  </c:ext>
                </c:extLst>
              </c15:ser>
            </c15:filteredLineSeries>
          </c:ext>
        </c:extLst>
      </c:lineChart>
      <c:lineChart>
        <c:grouping val="standard"/>
        <c:varyColors val="0"/>
        <c:ser>
          <c:idx val="12"/>
          <c:order val="2"/>
          <c:tx>
            <c:strRef>
              <c:f>'Efficiency vs VIN Calculations'!$BB$8</c:f>
              <c:strCache>
                <c:ptCount val="1"/>
                <c:pt idx="0">
                  <c:v>Reverse Recovery Loss MOSFET D BOOST</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Calculations'!$BB$9:$BB$209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AC0-423F-B197-448F000A954F}"/>
            </c:ext>
          </c:extLst>
        </c:ser>
        <c:ser>
          <c:idx val="11"/>
          <c:order val="3"/>
          <c:tx>
            <c:strRef>
              <c:f>'Efficiency vs VIN Calculations'!$AU$7</c:f>
              <c:strCache>
                <c:ptCount val="1"/>
                <c:pt idx="0">
                  <c:v>High-side BOOST "Sync" MOSFET Losses </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Calculations'!$AX$9:$AX$209</c:f>
              <c:numCache>
                <c:formatCode>0.000</c:formatCode>
                <c:ptCount val="201"/>
                <c:pt idx="0">
                  <c:v>0.71051455693915033</c:v>
                </c:pt>
                <c:pt idx="1">
                  <c:v>0.71057185755438468</c:v>
                </c:pt>
                <c:pt idx="2">
                  <c:v>0.71062929431359978</c:v>
                </c:pt>
                <c:pt idx="3">
                  <c:v>0.71068686032140771</c:v>
                </c:pt>
                <c:pt idx="4">
                  <c:v>0.7107445488526366</c:v>
                </c:pt>
                <c:pt idx="5">
                  <c:v>0.71080235334812214</c:v>
                </c:pt>
                <c:pt idx="6">
                  <c:v>0.71086026741060471</c:v>
                </c:pt>
                <c:pt idx="7">
                  <c:v>0.71091828480074304</c:v>
                </c:pt>
                <c:pt idx="8">
                  <c:v>0.71097639943322877</c:v>
                </c:pt>
                <c:pt idx="9">
                  <c:v>0.71103460537300878</c:v>
                </c:pt>
                <c:pt idx="10">
                  <c:v>0.71109289683160382</c:v>
                </c:pt>
                <c:pt idx="11">
                  <c:v>0.7111512681635288</c:v>
                </c:pt>
                <c:pt idx="12">
                  <c:v>0.71120971386280474</c:v>
                </c:pt>
                <c:pt idx="13">
                  <c:v>0.7112682285595614</c:v>
                </c:pt>
                <c:pt idx="14">
                  <c:v>0.71132680701673412</c:v>
                </c:pt>
                <c:pt idx="15">
                  <c:v>0.71138544412684313</c:v>
                </c:pt>
                <c:pt idx="16">
                  <c:v>0.71144413490885572</c:v>
                </c:pt>
                <c:pt idx="17">
                  <c:v>0.71150287450513694</c:v>
                </c:pt>
                <c:pt idx="18">
                  <c:v>0.71156165817847028</c:v>
                </c:pt>
                <c:pt idx="19">
                  <c:v>0.71162048130916433</c:v>
                </c:pt>
                <c:pt idx="20">
                  <c:v>0.71167933939222783</c:v>
                </c:pt>
                <c:pt idx="21">
                  <c:v>0.7117382280346215</c:v>
                </c:pt>
                <c:pt idx="22">
                  <c:v>0.71179714295257812</c:v>
                </c:pt>
                <c:pt idx="23">
                  <c:v>0.71185607996899358</c:v>
                </c:pt>
                <c:pt idx="24">
                  <c:v>0.71191503501088294</c:v>
                </c:pt>
                <c:pt idx="25">
                  <c:v>0.71197400410690137</c:v>
                </c:pt>
                <c:pt idx="26">
                  <c:v>0.71203298338493093</c:v>
                </c:pt>
                <c:pt idx="27">
                  <c:v>0.71209196906972516</c:v>
                </c:pt>
                <c:pt idx="28">
                  <c:v>0.7121509574806143</c:v>
                </c:pt>
                <c:pt idx="29">
                  <c:v>0.71220994502927193</c:v>
                </c:pt>
                <c:pt idx="30">
                  <c:v>0.71226892821753163</c:v>
                </c:pt>
                <c:pt idx="31">
                  <c:v>0.71232790363526544</c:v>
                </c:pt>
                <c:pt idx="32">
                  <c:v>0.71238686795830952</c:v>
                </c:pt>
                <c:pt idx="33">
                  <c:v>0.71244581794644679</c:v>
                </c:pt>
                <c:pt idx="34">
                  <c:v>0.71250475044143669</c:v>
                </c:pt>
                <c:pt idx="35">
                  <c:v>0.71256366236509316</c:v>
                </c:pt>
                <c:pt idx="36">
                  <c:v>0.71262255071741665</c:v>
                </c:pt>
                <c:pt idx="37">
                  <c:v>0.71268141257476481</c:v>
                </c:pt>
                <c:pt idx="38">
                  <c:v>0.71274024508807221</c:v>
                </c:pt>
                <c:pt idx="39">
                  <c:v>0.71279904548111461</c:v>
                </c:pt>
                <c:pt idx="40">
                  <c:v>0.7128578110488154</c:v>
                </c:pt>
                <c:pt idx="41">
                  <c:v>0.7129165391555915</c:v>
                </c:pt>
                <c:pt idx="42">
                  <c:v>0.71297522723374396</c:v>
                </c:pt>
                <c:pt idx="43">
                  <c:v>0.71303387278188257</c:v>
                </c:pt>
                <c:pt idx="44">
                  <c:v>0.71309247336339565</c:v>
                </c:pt>
                <c:pt idx="45">
                  <c:v>0.71315102660495133</c:v>
                </c:pt>
                <c:pt idx="46">
                  <c:v>0.71320953019503774</c:v>
                </c:pt>
                <c:pt idx="47">
                  <c:v>0.71326798188253859</c:v>
                </c:pt>
                <c:pt idx="48">
                  <c:v>0.71332637947534305</c:v>
                </c:pt>
                <c:pt idx="49">
                  <c:v>0.71338472083898952</c:v>
                </c:pt>
                <c:pt idx="50">
                  <c:v>0.71344300389534065</c:v>
                </c:pt>
                <c:pt idx="51">
                  <c:v>0.71350122662129301</c:v>
                </c:pt>
                <c:pt idx="52">
                  <c:v>0.71355938704751409</c:v>
                </c:pt>
                <c:pt idx="53">
                  <c:v>0.71361748325721286</c:v>
                </c:pt>
                <c:pt idx="54">
                  <c:v>0.71367551338493884</c:v>
                </c:pt>
                <c:pt idx="55">
                  <c:v>0.71373347561540867</c:v>
                </c:pt>
                <c:pt idx="56">
                  <c:v>0.71379136818235966</c:v>
                </c:pt>
                <c:pt idx="57">
                  <c:v>0.71384918936743647</c:v>
                </c:pt>
                <c:pt idx="58">
                  <c:v>0.71390693749909595</c:v>
                </c:pt>
                <c:pt idx="59">
                  <c:v>0.71396461095154373</c:v>
                </c:pt>
                <c:pt idx="60">
                  <c:v>0.71402220814369499</c:v>
                </c:pt>
                <c:pt idx="61">
                  <c:v>0.71407972753815607</c:v>
                </c:pt>
                <c:pt idx="62">
                  <c:v>0.71413716764023671</c:v>
                </c:pt>
                <c:pt idx="63">
                  <c:v>0.71419452699697816</c:v>
                </c:pt>
                <c:pt idx="64">
                  <c:v>0.71425180419620959</c:v>
                </c:pt>
                <c:pt idx="65">
                  <c:v>0.71430899786562352</c:v>
                </c:pt>
                <c:pt idx="66">
                  <c:v>0.71436610667187483</c:v>
                </c:pt>
                <c:pt idx="67">
                  <c:v>0.7144231293196992</c:v>
                </c:pt>
                <c:pt idx="68">
                  <c:v>0.7144800645510524</c:v>
                </c:pt>
                <c:pt idx="69">
                  <c:v>0.7145369111442702</c:v>
                </c:pt>
                <c:pt idx="70">
                  <c:v>0.71459366791324774</c:v>
                </c:pt>
                <c:pt idx="71">
                  <c:v>0.714650333706637</c:v>
                </c:pt>
                <c:pt idx="72">
                  <c:v>0.71470690740706289</c:v>
                </c:pt>
                <c:pt idx="73">
                  <c:v>0.71476338793035887</c:v>
                </c:pt>
                <c:pt idx="74">
                  <c:v>0.71481977422481846</c:v>
                </c:pt>
                <c:pt idx="75">
                  <c:v>0.71487606527046488</c:v>
                </c:pt>
                <c:pt idx="76">
                  <c:v>0.7149322600783371</c:v>
                </c:pt>
                <c:pt idx="77">
                  <c:v>0.71498835768979241</c:v>
                </c:pt>
                <c:pt idx="78">
                  <c:v>0.71504435717582426</c:v>
                </c:pt>
                <c:pt idx="79">
                  <c:v>0.71510025763639717</c:v>
                </c:pt>
                <c:pt idx="80">
                  <c:v>0.71515605819979522</c:v>
                </c:pt>
                <c:pt idx="81">
                  <c:v>0.71521175802198578</c:v>
                </c:pt>
                <c:pt idx="82">
                  <c:v>0.71526735628599858</c:v>
                </c:pt>
                <c:pt idx="83">
                  <c:v>0.71532285220131775</c:v>
                </c:pt>
                <c:pt idx="84">
                  <c:v>0.71537824500328751</c:v>
                </c:pt>
                <c:pt idx="85">
                  <c:v>0.71543353395253284</c:v>
                </c:pt>
                <c:pt idx="86">
                  <c:v>0.71548871833439087</c:v>
                </c:pt>
                <c:pt idx="87">
                  <c:v>0.71554379745835794</c:v>
                </c:pt>
                <c:pt idx="88">
                  <c:v>0.71559877065754696</c:v>
                </c:pt>
                <c:pt idx="89">
                  <c:v>0.71565363728815523</c:v>
                </c:pt>
                <c:pt idx="90">
                  <c:v>0.7157083967289497</c:v>
                </c:pt>
                <c:pt idx="91">
                  <c:v>0.71576304838075977</c:v>
                </c:pt>
                <c:pt idx="92">
                  <c:v>0.71581759166598036</c:v>
                </c:pt>
                <c:pt idx="93">
                  <c:v>0.71587202602808941</c:v>
                </c:pt>
                <c:pt idx="94">
                  <c:v>0.71592635093117518</c:v>
                </c:pt>
                <c:pt idx="95">
                  <c:v>0.71598056585947045</c:v>
                </c:pt>
                <c:pt idx="96">
                  <c:v>0.71603467031690382</c:v>
                </c:pt>
                <c:pt idx="97">
                  <c:v>0.71608866382665493</c:v>
                </c:pt>
                <c:pt idx="98">
                  <c:v>0.71614254593072213</c:v>
                </c:pt>
                <c:pt idx="99">
                  <c:v>0.71619631618949964</c:v>
                </c:pt>
                <c:pt idx="100">
                  <c:v>0.71624997418136394</c:v>
                </c:pt>
                <c:pt idx="101">
                  <c:v>0.716303519502269</c:v>
                </c:pt>
                <c:pt idx="102">
                  <c:v>0.71635695176534997</c:v>
                </c:pt>
                <c:pt idx="103">
                  <c:v>0.71641027060053708</c:v>
                </c:pt>
                <c:pt idx="104">
                  <c:v>0.71646347565417712</c:v>
                </c:pt>
                <c:pt idx="105">
                  <c:v>0.71651656658866203</c:v>
                </c:pt>
                <c:pt idx="106">
                  <c:v>0.71656954308206799</c:v>
                </c:pt>
                <c:pt idx="107">
                  <c:v>0.71662240482780071</c:v>
                </c:pt>
                <c:pt idx="108">
                  <c:v>0.71667515153424932</c:v>
                </c:pt>
                <c:pt idx="109">
                  <c:v>0.71672778292444705</c:v>
                </c:pt>
                <c:pt idx="110">
                  <c:v>0.71678029873573956</c:v>
                </c:pt>
                <c:pt idx="111">
                  <c:v>0.71683269871946176</c:v>
                </c:pt>
                <c:pt idx="112">
                  <c:v>0.71688498264061973</c:v>
                </c:pt>
                <c:pt idx="113">
                  <c:v>0.71693715027757987</c:v>
                </c:pt>
                <c:pt idx="114">
                  <c:v>0.71698920142176636</c:v>
                </c:pt>
                <c:pt idx="115">
                  <c:v>0.71704113587736373</c:v>
                </c:pt>
                <c:pt idx="116">
                  <c:v>0.71709295346102542</c:v>
                </c:pt>
                <c:pt idx="117">
                  <c:v>0.71714465400159133</c:v>
                </c:pt>
                <c:pt idx="118">
                  <c:v>0.71719623733980808</c:v>
                </c:pt>
                <c:pt idx="119">
                  <c:v>0.71724770332805632</c:v>
                </c:pt>
                <c:pt idx="120">
                  <c:v>0.71729905183008602</c:v>
                </c:pt>
                <c:pt idx="121">
                  <c:v>0.7173502827207564</c:v>
                </c:pt>
                <c:pt idx="122">
                  <c:v>0.71740139588577734</c:v>
                </c:pt>
                <c:pt idx="123">
                  <c:v>0.71745239122146354</c:v>
                </c:pt>
                <c:pt idx="124">
                  <c:v>0.71750326863448888</c:v>
                </c:pt>
                <c:pt idx="125">
                  <c:v>0.71755402804164781</c:v>
                </c:pt>
                <c:pt idx="126">
                  <c:v>0.71760466936962075</c:v>
                </c:pt>
                <c:pt idx="127">
                  <c:v>0.71765519255474641</c:v>
                </c:pt>
                <c:pt idx="128">
                  <c:v>0.71770559754279717</c:v>
                </c:pt>
                <c:pt idx="129">
                  <c:v>0.71775588428876025</c:v>
                </c:pt>
                <c:pt idx="130">
                  <c:v>0.71780605275662246</c:v>
                </c:pt>
                <c:pt idx="131">
                  <c:v>0.71785610291916147</c:v>
                </c:pt>
                <c:pt idx="132">
                  <c:v>0.71790603475773995</c:v>
                </c:pt>
                <c:pt idx="133">
                  <c:v>0.71795584826210446</c:v>
                </c:pt>
                <c:pt idx="134">
                  <c:v>0.71800554343018774</c:v>
                </c:pt>
                <c:pt idx="135">
                  <c:v>0.71805512026791762</c:v>
                </c:pt>
                <c:pt idx="136">
                  <c:v>0.71810457878902823</c:v>
                </c:pt>
                <c:pt idx="137">
                  <c:v>0.71815391901487358</c:v>
                </c:pt>
                <c:pt idx="138">
                  <c:v>0.7182031409742512</c:v>
                </c:pt>
                <c:pt idx="139">
                  <c:v>0.71825224470321891</c:v>
                </c:pt>
                <c:pt idx="140">
                  <c:v>0.71830123024492853</c:v>
                </c:pt>
                <c:pt idx="141">
                  <c:v>0.71835009764945201</c:v>
                </c:pt>
                <c:pt idx="142">
                  <c:v>0.71839884697361778</c:v>
                </c:pt>
                <c:pt idx="143">
                  <c:v>0.71844747828084643</c:v>
                </c:pt>
                <c:pt idx="144">
                  <c:v>0.71849599164099476</c:v>
                </c:pt>
                <c:pt idx="145">
                  <c:v>0.71854438713019742</c:v>
                </c:pt>
                <c:pt idx="146">
                  <c:v>0.71859266483071604</c:v>
                </c:pt>
                <c:pt idx="147">
                  <c:v>0.7186408248307905</c:v>
                </c:pt>
                <c:pt idx="148">
                  <c:v>0.71868886722449099</c:v>
                </c:pt>
                <c:pt idx="149">
                  <c:v>0.71873679211157915</c:v>
                </c:pt>
                <c:pt idx="150">
                  <c:v>0.71878459959736318</c:v>
                </c:pt>
                <c:pt idx="151">
                  <c:v>0.71883228979256475</c:v>
                </c:pt>
                <c:pt idx="152">
                  <c:v>0.71887986281318372</c:v>
                </c:pt>
                <c:pt idx="153">
                  <c:v>0.71892731878036664</c:v>
                </c:pt>
                <c:pt idx="154">
                  <c:v>0.71897465782027836</c:v>
                </c:pt>
                <c:pt idx="155">
                  <c:v>0.71902188006397683</c:v>
                </c:pt>
                <c:pt idx="156">
                  <c:v>0.71906898564729005</c:v>
                </c:pt>
                <c:pt idx="157">
                  <c:v>0.71911597471069411</c:v>
                </c:pt>
                <c:pt idx="158">
                  <c:v>0.719162847399196</c:v>
                </c:pt>
                <c:pt idx="159">
                  <c:v>0.71920960386222033</c:v>
                </c:pt>
                <c:pt idx="160">
                  <c:v>0.71925624425349088</c:v>
                </c:pt>
                <c:pt idx="161">
                  <c:v>0.71930276873092602</c:v>
                </c:pt>
                <c:pt idx="162">
                  <c:v>0.71934917745652505</c:v>
                </c:pt>
                <c:pt idx="163">
                  <c:v>0.7193954705962653</c:v>
                </c:pt>
                <c:pt idx="164">
                  <c:v>0.71944164831999735</c:v>
                </c:pt>
                <c:pt idx="165">
                  <c:v>0.71948771080134211</c:v>
                </c:pt>
                <c:pt idx="166">
                  <c:v>0.71953365821759319</c:v>
                </c:pt>
                <c:pt idx="167">
                  <c:v>0.71957949074961713</c:v>
                </c:pt>
                <c:pt idx="168">
                  <c:v>0.7196252085817596</c:v>
                </c:pt>
                <c:pt idx="169">
                  <c:v>0.71967081190175131</c:v>
                </c:pt>
                <c:pt idx="170">
                  <c:v>0.71971630090061556</c:v>
                </c:pt>
                <c:pt idx="171">
                  <c:v>0.71976167577257966</c:v>
                </c:pt>
                <c:pt idx="172">
                  <c:v>0.71980693671498774</c:v>
                </c:pt>
                <c:pt idx="173">
                  <c:v>0.71985208392821298</c:v>
                </c:pt>
                <c:pt idx="174">
                  <c:v>0.71989711761557373</c:v>
                </c:pt>
                <c:pt idx="175">
                  <c:v>0.7199420379832534</c:v>
                </c:pt>
                <c:pt idx="176">
                  <c:v>0.71998684524021606</c:v>
                </c:pt>
                <c:pt idx="177">
                  <c:v>0.72003153959813149</c:v>
                </c:pt>
                <c:pt idx="178">
                  <c:v>0.72007612127129417</c:v>
                </c:pt>
                <c:pt idx="179">
                  <c:v>0.72012059047655008</c:v>
                </c:pt>
                <c:pt idx="180">
                  <c:v>0.72016494743322113</c:v>
                </c:pt>
                <c:pt idx="181">
                  <c:v>0.72020919236303327</c:v>
                </c:pt>
                <c:pt idx="182">
                  <c:v>0.72025332549004506</c:v>
                </c:pt>
                <c:pt idx="183">
                  <c:v>0.72029734704057957</c:v>
                </c:pt>
                <c:pt idx="184">
                  <c:v>0.72034125724315157</c:v>
                </c:pt>
                <c:pt idx="185">
                  <c:v>0.72038505632840788</c:v>
                </c:pt>
                <c:pt idx="186">
                  <c:v>0.72042874452905614</c:v>
                </c:pt>
                <c:pt idx="187">
                  <c:v>0.72047232207980372</c:v>
                </c:pt>
                <c:pt idx="188">
                  <c:v>0.72051578921729431</c:v>
                </c:pt>
                <c:pt idx="189">
                  <c:v>0.72055914618004646</c:v>
                </c:pt>
                <c:pt idx="190">
                  <c:v>0.7206023932083947</c:v>
                </c:pt>
                <c:pt idx="191">
                  <c:v>0.72064553054442815</c:v>
                </c:pt>
                <c:pt idx="192">
                  <c:v>0.72068855843193713</c:v>
                </c:pt>
                <c:pt idx="193">
                  <c:v>0.72073147711635299</c:v>
                </c:pt>
                <c:pt idx="194">
                  <c:v>0.72077428684469491</c:v>
                </c:pt>
                <c:pt idx="195">
                  <c:v>0.72081698786551496</c:v>
                </c:pt>
                <c:pt idx="196">
                  <c:v>0.72085958042884679</c:v>
                </c:pt>
                <c:pt idx="197">
                  <c:v>0.72090206478615193</c:v>
                </c:pt>
                <c:pt idx="198">
                  <c:v>0.72094444119027157</c:v>
                </c:pt>
                <c:pt idx="199">
                  <c:v>0.72098670989537395</c:v>
                </c:pt>
                <c:pt idx="200">
                  <c:v>0.7210288711569085</c:v>
                </c:pt>
              </c:numCache>
            </c:numRef>
          </c:val>
          <c:smooth val="0"/>
          <c:extLst>
            <c:ext xmlns:c16="http://schemas.microsoft.com/office/drawing/2014/chart" uri="{C3380CC4-5D6E-409C-BE32-E72D297353CC}">
              <c16:uniqueId val="{00000001-DAC0-423F-B197-448F000A954F}"/>
            </c:ext>
          </c:extLst>
        </c:ser>
        <c:ser>
          <c:idx val="10"/>
          <c:order val="4"/>
          <c:tx>
            <c:strRef>
              <c:f>'Efficiency vs VIN Calculations'!$AP$7</c:f>
              <c:strCache>
                <c:ptCount val="1"/>
                <c:pt idx="0">
                  <c:v>Low-side BOOST "Control" MOSFET Losses </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Calculations'!$AT$9:$AT$209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2-DAC0-423F-B197-448F000A954F}"/>
            </c:ext>
          </c:extLst>
        </c:ser>
        <c:ser>
          <c:idx val="9"/>
          <c:order val="5"/>
          <c:tx>
            <c:strRef>
              <c:f>'Efficiency vs VIN Calculations'!$AL$7</c:f>
              <c:strCache>
                <c:ptCount val="1"/>
                <c:pt idx="0">
                  <c:v>Low-side BUCK "Sync" MOSFET Losses </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Calculations'!$AO$9:$AO$209</c:f>
              <c:numCache>
                <c:formatCode>0.000</c:formatCode>
                <c:ptCount val="201"/>
                <c:pt idx="0">
                  <c:v>0.76682892981848416</c:v>
                </c:pt>
                <c:pt idx="1">
                  <c:v>0.76876019929867889</c:v>
                </c:pt>
                <c:pt idx="2">
                  <c:v>0.77067995133071665</c:v>
                </c:pt>
                <c:pt idx="3">
                  <c:v>0.77258829213482738</c:v>
                </c:pt>
                <c:pt idx="4">
                  <c:v>0.77448532657974101</c:v>
                </c:pt>
                <c:pt idx="5">
                  <c:v>0.77637115820492941</c:v>
                </c:pt>
                <c:pt idx="6">
                  <c:v>0.77824588924239702</c:v>
                </c:pt>
                <c:pt idx="7">
                  <c:v>0.78010962063802802</c:v>
                </c:pt>
                <c:pt idx="8">
                  <c:v>0.78196245207250448</c:v>
                </c:pt>
                <c:pt idx="9">
                  <c:v>0.78380448198180097</c:v>
                </c:pt>
                <c:pt idx="10">
                  <c:v>0.78563580757727103</c:v>
                </c:pt>
                <c:pt idx="11">
                  <c:v>0.78745652486533035</c:v>
                </c:pt>
                <c:pt idx="12">
                  <c:v>0.78926672866675163</c:v>
                </c:pt>
                <c:pt idx="13">
                  <c:v>0.79106651263557459</c:v>
                </c:pt>
                <c:pt idx="14">
                  <c:v>0.7928559692776449</c:v>
                </c:pt>
                <c:pt idx="15">
                  <c:v>0.79463518996878812</c:v>
                </c:pt>
                <c:pt idx="16">
                  <c:v>0.79640426497262817</c:v>
                </c:pt>
                <c:pt idx="17">
                  <c:v>0.79816328345805931</c:v>
                </c:pt>
                <c:pt idx="18">
                  <c:v>0.79991233351637692</c:v>
                </c:pt>
                <c:pt idx="19">
                  <c:v>0.80165150217808012</c:v>
                </c:pt>
                <c:pt idx="20">
                  <c:v>0.80338087542934766</c:v>
                </c:pt>
                <c:pt idx="21">
                  <c:v>0.80510053822819927</c:v>
                </c:pt>
                <c:pt idx="22">
                  <c:v>0.80681057452034755</c:v>
                </c:pt>
                <c:pt idx="23">
                  <c:v>0.80851106725474797</c:v>
                </c:pt>
                <c:pt idx="24">
                  <c:v>0.81020209839885504</c:v>
                </c:pt>
                <c:pt idx="25">
                  <c:v>0.81188374895358728</c:v>
                </c:pt>
                <c:pt idx="26">
                  <c:v>0.81355609896801429</c:v>
                </c:pt>
                <c:pt idx="27">
                  <c:v>0.81521922755376441</c:v>
                </c:pt>
                <c:pt idx="28">
                  <c:v>0.81687321289916603</c:v>
                </c:pt>
                <c:pt idx="29">
                  <c:v>0.81851813228312464</c:v>
                </c:pt>
                <c:pt idx="30">
                  <c:v>0.82015406208874098</c:v>
                </c:pt>
                <c:pt idx="31">
                  <c:v>0.82178107781668097</c:v>
                </c:pt>
                <c:pt idx="32">
                  <c:v>0.82339925409829551</c:v>
                </c:pt>
                <c:pt idx="33">
                  <c:v>0.82500866470850276</c:v>
                </c:pt>
                <c:pt idx="34">
                  <c:v>0.82660938257843231</c:v>
                </c:pt>
                <c:pt idx="35">
                  <c:v>0.82820147980784142</c:v>
                </c:pt>
                <c:pt idx="36">
                  <c:v>0.82978502767730455</c:v>
                </c:pt>
                <c:pt idx="37">
                  <c:v>0.83136009666018207</c:v>
                </c:pt>
                <c:pt idx="38">
                  <c:v>0.83292675643437541</c:v>
                </c:pt>
                <c:pt idx="39">
                  <c:v>0.83448507589386844</c:v>
                </c:pt>
                <c:pt idx="40">
                  <c:v>0.83603512316006456</c:v>
                </c:pt>
                <c:pt idx="41">
                  <c:v>0.83757696559292061</c:v>
                </c:pt>
                <c:pt idx="42">
                  <c:v>0.8391106698018832</c:v>
                </c:pt>
                <c:pt idx="43">
                  <c:v>0.8406363016566315</c:v>
                </c:pt>
                <c:pt idx="44">
                  <c:v>0.84215392629763086</c:v>
                </c:pt>
                <c:pt idx="45">
                  <c:v>0.84366360814650077</c:v>
                </c:pt>
                <c:pt idx="46">
                  <c:v>0.84516541091620023</c:v>
                </c:pt>
                <c:pt idx="47">
                  <c:v>0.84665939762103681</c:v>
                </c:pt>
                <c:pt idx="48">
                  <c:v>0.8481456305865015</c:v>
                </c:pt>
                <c:pt idx="49">
                  <c:v>0.84962417145893154</c:v>
                </c:pt>
                <c:pt idx="50">
                  <c:v>0.85109508121500776</c:v>
                </c:pt>
                <c:pt idx="51">
                  <c:v>0.85255842017108852</c:v>
                </c:pt>
                <c:pt idx="52">
                  <c:v>0.8540142479923819</c:v>
                </c:pt>
                <c:pt idx="53">
                  <c:v>0.85546262370196247</c:v>
                </c:pt>
                <c:pt idx="54">
                  <c:v>0.85690360568963519</c:v>
                </c:pt>
                <c:pt idx="55">
                  <c:v>0.8583372517206459</c:v>
                </c:pt>
                <c:pt idx="56">
                  <c:v>0.85976361894424647</c:v>
                </c:pt>
                <c:pt idx="57">
                  <c:v>0.86118276390211557</c:v>
                </c:pt>
                <c:pt idx="58">
                  <c:v>0.86259474253663693</c:v>
                </c:pt>
                <c:pt idx="59">
                  <c:v>0.86399961019903926</c:v>
                </c:pt>
                <c:pt idx="60">
                  <c:v>0.86539742165739941</c:v>
                </c:pt>
                <c:pt idx="61">
                  <c:v>0.86678823110451408</c:v>
                </c:pt>
                <c:pt idx="62">
                  <c:v>0.86817209216563918</c:v>
                </c:pt>
                <c:pt idx="63">
                  <c:v>0.8695490579061016</c:v>
                </c:pt>
                <c:pt idx="64">
                  <c:v>0.87091918083878606</c:v>
                </c:pt>
                <c:pt idx="65">
                  <c:v>0.87228251293149806</c:v>
                </c:pt>
                <c:pt idx="66">
                  <c:v>0.87363910561420688</c:v>
                </c:pt>
                <c:pt idx="67">
                  <c:v>0.87498900978617</c:v>
                </c:pt>
                <c:pt idx="68">
                  <c:v>0.87633227582294171</c:v>
                </c:pt>
                <c:pt idx="69">
                  <c:v>0.87766895358326769</c:v>
                </c:pt>
                <c:pt idx="70">
                  <c:v>0.87899909241586827</c:v>
                </c:pt>
                <c:pt idx="71">
                  <c:v>0.88032274116611264</c:v>
                </c:pt>
                <c:pt idx="72">
                  <c:v>0.8816399481825854</c:v>
                </c:pt>
                <c:pt idx="73">
                  <c:v>0.88295076132354755</c:v>
                </c:pt>
                <c:pt idx="74">
                  <c:v>0.88425522796329536</c:v>
                </c:pt>
                <c:pt idx="75">
                  <c:v>0.88555339499841679</c:v>
                </c:pt>
                <c:pt idx="76">
                  <c:v>0.88684530885394941</c:v>
                </c:pt>
                <c:pt idx="77">
                  <c:v>0.88813101548944129</c:v>
                </c:pt>
                <c:pt idx="78">
                  <c:v>0.88941056040491417</c:v>
                </c:pt>
                <c:pt idx="79">
                  <c:v>0.89068398864673604</c:v>
                </c:pt>
                <c:pt idx="80">
                  <c:v>0.89195134481339899</c:v>
                </c:pt>
                <c:pt idx="81">
                  <c:v>0.89321267306120677</c:v>
                </c:pt>
                <c:pt idx="82">
                  <c:v>0.89446801710987722</c:v>
                </c:pt>
                <c:pt idx="83">
                  <c:v>0.89571742024805279</c:v>
                </c:pt>
                <c:pt idx="84">
                  <c:v>0.89696092533872873</c:v>
                </c:pt>
                <c:pt idx="85">
                  <c:v>0.89819857482459753</c:v>
                </c:pt>
                <c:pt idx="86">
                  <c:v>0.89943041073330832</c:v>
                </c:pt>
                <c:pt idx="87">
                  <c:v>0.9006564746826502</c:v>
                </c:pt>
                <c:pt idx="88">
                  <c:v>0.90187680788565172</c:v>
                </c:pt>
                <c:pt idx="89">
                  <c:v>0.90309145115560452</c:v>
                </c:pt>
                <c:pt idx="90">
                  <c:v>0.9043004449110108</c:v>
                </c:pt>
                <c:pt idx="91">
                  <c:v>0.90550382918045602</c:v>
                </c:pt>
                <c:pt idx="92">
                  <c:v>0.90670164360740579</c:v>
                </c:pt>
                <c:pt idx="93">
                  <c:v>0.90789392745493303</c:v>
                </c:pt>
                <c:pt idx="94">
                  <c:v>0.90908071961037218</c:v>
                </c:pt>
                <c:pt idx="95">
                  <c:v>0.91026205858990517</c:v>
                </c:pt>
                <c:pt idx="96">
                  <c:v>0.91143798254307751</c:v>
                </c:pt>
                <c:pt idx="97">
                  <c:v>0.91260852925724734</c:v>
                </c:pt>
                <c:pt idx="98">
                  <c:v>0.91377373616196889</c:v>
                </c:pt>
                <c:pt idx="99">
                  <c:v>0.91493364033331115</c:v>
                </c:pt>
                <c:pt idx="100">
                  <c:v>0.91608827849811103</c:v>
                </c:pt>
                <c:pt idx="101">
                  <c:v>0.9172376870381671</c:v>
                </c:pt>
                <c:pt idx="102">
                  <c:v>0.91838190199436642</c:v>
                </c:pt>
                <c:pt idx="103">
                  <c:v>0.91952095907075815</c:v>
                </c:pt>
                <c:pt idx="104">
                  <c:v>0.92065489363856057</c:v>
                </c:pt>
                <c:pt idx="105">
                  <c:v>0.92178374074011404</c:v>
                </c:pt>
                <c:pt idx="106">
                  <c:v>0.92290753509277534</c:v>
                </c:pt>
                <c:pt idx="107">
                  <c:v>0.92402631109275468</c:v>
                </c:pt>
                <c:pt idx="108">
                  <c:v>0.92514010281889936</c:v>
                </c:pt>
                <c:pt idx="109">
                  <c:v>0.92624894403642088</c:v>
                </c:pt>
                <c:pt idx="110">
                  <c:v>0.92735286820056895</c:v>
                </c:pt>
                <c:pt idx="111">
                  <c:v>0.92845190846025438</c:v>
                </c:pt>
                <c:pt idx="112">
                  <c:v>0.92954609766161789</c:v>
                </c:pt>
                <c:pt idx="113">
                  <c:v>0.93063546835154998</c:v>
                </c:pt>
                <c:pt idx="114">
                  <c:v>0.9317200527811591</c:v>
                </c:pt>
                <c:pt idx="115">
                  <c:v>0.93279988290919202</c:v>
                </c:pt>
                <c:pt idx="116">
                  <c:v>0.933874990405406</c:v>
                </c:pt>
                <c:pt idx="117">
                  <c:v>0.93494540665389192</c:v>
                </c:pt>
                <c:pt idx="118">
                  <c:v>0.93601116275635154</c:v>
                </c:pt>
                <c:pt idx="119">
                  <c:v>0.93707228953532895</c:v>
                </c:pt>
                <c:pt idx="120">
                  <c:v>0.93812881753739774</c:v>
                </c:pt>
                <c:pt idx="121">
                  <c:v>0.93918077703630165</c:v>
                </c:pt>
                <c:pt idx="122">
                  <c:v>0.94022819803605207</c:v>
                </c:pt>
                <c:pt idx="123">
                  <c:v>0.94127111027398458</c:v>
                </c:pt>
                <c:pt idx="124">
                  <c:v>0.94230954322377058</c:v>
                </c:pt>
                <c:pt idx="125">
                  <c:v>0.9433435260983889</c:v>
                </c:pt>
                <c:pt idx="126">
                  <c:v>0.94437308785305663</c:v>
                </c:pt>
                <c:pt idx="127">
                  <c:v>0.94539825718811765</c:v>
                </c:pt>
                <c:pt idx="128">
                  <c:v>0.9464190625518949</c:v>
                </c:pt>
                <c:pt idx="129">
                  <c:v>0.94743553214350074</c:v>
                </c:pt>
                <c:pt idx="130">
                  <c:v>0.94844769391561101</c:v>
                </c:pt>
                <c:pt idx="131">
                  <c:v>0.9494555755771994</c:v>
                </c:pt>
                <c:pt idx="132">
                  <c:v>0.95045920459623856</c:v>
                </c:pt>
                <c:pt idx="133">
                  <c:v>0.9514586082023585</c:v>
                </c:pt>
                <c:pt idx="134">
                  <c:v>0.95245381338947666</c:v>
                </c:pt>
                <c:pt idx="135">
                  <c:v>0.95344484691838527</c:v>
                </c:pt>
                <c:pt idx="136">
                  <c:v>0.95443173531931014</c:v>
                </c:pt>
                <c:pt idx="137">
                  <c:v>0.9554145048944308</c:v>
                </c:pt>
                <c:pt idx="138">
                  <c:v>0.95639318172037024</c:v>
                </c:pt>
                <c:pt idx="139">
                  <c:v>0.95736779165064889</c:v>
                </c:pt>
                <c:pt idx="140">
                  <c:v>0.95833836031810749</c:v>
                </c:pt>
                <c:pt idx="141">
                  <c:v>0.9593049131372976</c:v>
                </c:pt>
                <c:pt idx="142">
                  <c:v>0.96026747530684109</c:v>
                </c:pt>
                <c:pt idx="143">
                  <c:v>0.96122607181175657</c:v>
                </c:pt>
                <c:pt idx="144">
                  <c:v>0.962180727425758</c:v>
                </c:pt>
                <c:pt idx="145">
                  <c:v>0.96313146671352068</c:v>
                </c:pt>
                <c:pt idx="146">
                  <c:v>0.96407831403291944</c:v>
                </c:pt>
                <c:pt idx="147">
                  <c:v>0.96502129353723698</c:v>
                </c:pt>
                <c:pt idx="148">
                  <c:v>0.96596042917734182</c:v>
                </c:pt>
                <c:pt idx="149">
                  <c:v>0.96689574470384154</c:v>
                </c:pt>
                <c:pt idx="150">
                  <c:v>0.96782726366920513</c:v>
                </c:pt>
                <c:pt idx="151">
                  <c:v>0.96875500942985826</c:v>
                </c:pt>
                <c:pt idx="152">
                  <c:v>0.96967900514825323</c:v>
                </c:pt>
                <c:pt idx="153">
                  <c:v>0.9705992737949104</c:v>
                </c:pt>
                <c:pt idx="154">
                  <c:v>0.97151583815043518</c:v>
                </c:pt>
                <c:pt idx="155">
                  <c:v>0.97242872080750753</c:v>
                </c:pt>
                <c:pt idx="156">
                  <c:v>0.9733379441728468</c:v>
                </c:pt>
                <c:pt idx="157">
                  <c:v>0.97424353046915213</c:v>
                </c:pt>
                <c:pt idx="158">
                  <c:v>0.97514550173701653</c:v>
                </c:pt>
                <c:pt idx="159">
                  <c:v>0.97604387983682028</c:v>
                </c:pt>
                <c:pt idx="160">
                  <c:v>0.97693868645059367</c:v>
                </c:pt>
                <c:pt idx="161">
                  <c:v>0.9778299430838655</c:v>
                </c:pt>
                <c:pt idx="162">
                  <c:v>0.97871767106747887</c:v>
                </c:pt>
                <c:pt idx="163">
                  <c:v>0.9796018915593917</c:v>
                </c:pt>
                <c:pt idx="164">
                  <c:v>0.9804826255464496</c:v>
                </c:pt>
                <c:pt idx="165">
                  <c:v>0.98135989384613975</c:v>
                </c:pt>
                <c:pt idx="166">
                  <c:v>0.98223371710832152</c:v>
                </c:pt>
                <c:pt idx="167">
                  <c:v>0.98310411581693513</c:v>
                </c:pt>
                <c:pt idx="168">
                  <c:v>0.98397111029169038</c:v>
                </c:pt>
                <c:pt idx="169">
                  <c:v>0.98483472068973432</c:v>
                </c:pt>
                <c:pt idx="170">
                  <c:v>0.98569496700729542</c:v>
                </c:pt>
                <c:pt idx="171">
                  <c:v>0.98655186908131387</c:v>
                </c:pt>
                <c:pt idx="172">
                  <c:v>0.9874054465910439</c:v>
                </c:pt>
                <c:pt idx="173">
                  <c:v>0.98825571905964349</c:v>
                </c:pt>
                <c:pt idx="174">
                  <c:v>0.98910270585573901</c:v>
                </c:pt>
                <c:pt idx="175">
                  <c:v>0.9899464261949753</c:v>
                </c:pt>
                <c:pt idx="176">
                  <c:v>0.99078689914154328</c:v>
                </c:pt>
                <c:pt idx="177">
                  <c:v>0.9916241436096922</c:v>
                </c:pt>
                <c:pt idx="178">
                  <c:v>0.99245817836521943</c:v>
                </c:pt>
                <c:pt idx="179">
                  <c:v>0.99328902202694769</c:v>
                </c:pt>
                <c:pt idx="180">
                  <c:v>0.99411669306817918</c:v>
                </c:pt>
                <c:pt idx="181">
                  <c:v>0.99494120981813472</c:v>
                </c:pt>
                <c:pt idx="182">
                  <c:v>0.99576259046337701</c:v>
                </c:pt>
                <c:pt idx="183">
                  <c:v>0.99658085304921262</c:v>
                </c:pt>
                <c:pt idx="184">
                  <c:v>0.9973960154810807</c:v>
                </c:pt>
                <c:pt idx="185">
                  <c:v>0.99820809552592615</c:v>
                </c:pt>
                <c:pt idx="186">
                  <c:v>0.99901711081355027</c:v>
                </c:pt>
                <c:pt idx="187">
                  <c:v>0.99982307883795363</c:v>
                </c:pt>
                <c:pt idx="188">
                  <c:v>1.0006260169586552</c:v>
                </c:pt>
                <c:pt idx="189">
                  <c:v>1.0014259424020024</c:v>
                </c:pt>
                <c:pt idx="190">
                  <c:v>1.0022228722624618</c:v>
                </c:pt>
                <c:pt idx="191">
                  <c:v>1.0030168235038939</c:v>
                </c:pt>
                <c:pt idx="192">
                  <c:v>1.0038078129608174</c:v>
                </c:pt>
                <c:pt idx="193">
                  <c:v>1.0045958573396538</c:v>
                </c:pt>
                <c:pt idx="194">
                  <c:v>1.0053809732199614</c:v>
                </c:pt>
                <c:pt idx="195">
                  <c:v>1.0061631770556496</c:v>
                </c:pt>
                <c:pt idx="196">
                  <c:v>1.0069424851761863</c:v>
                </c:pt>
                <c:pt idx="197">
                  <c:v>1.0077189137877849</c:v>
                </c:pt>
                <c:pt idx="198">
                  <c:v>1.0084924789745804</c:v>
                </c:pt>
                <c:pt idx="199">
                  <c:v>1.0092631966997918</c:v>
                </c:pt>
                <c:pt idx="200">
                  <c:v>1.010031082806871</c:v>
                </c:pt>
              </c:numCache>
            </c:numRef>
          </c:val>
          <c:smooth val="0"/>
          <c:extLst>
            <c:ext xmlns:c16="http://schemas.microsoft.com/office/drawing/2014/chart" uri="{C3380CC4-5D6E-409C-BE32-E72D297353CC}">
              <c16:uniqueId val="{00000003-DAC0-423F-B197-448F000A954F}"/>
            </c:ext>
          </c:extLst>
        </c:ser>
        <c:ser>
          <c:idx val="8"/>
          <c:order val="6"/>
          <c:tx>
            <c:strRef>
              <c:f>'Efficiency vs VIN Calculations'!$AG$7</c:f>
              <c:strCache>
                <c:ptCount val="1"/>
                <c:pt idx="0">
                  <c:v>High-side BUCK "Control" MOSFET Losses </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Calculations'!$AK$9:$AK$209</c:f>
              <c:numCache>
                <c:formatCode>0.000</c:formatCode>
                <c:ptCount val="201"/>
                <c:pt idx="0">
                  <c:v>3.1666385121192331</c:v>
                </c:pt>
                <c:pt idx="1">
                  <c:v>3.1729581350464509</c:v>
                </c:pt>
                <c:pt idx="2">
                  <c:v>3.1792936199445592</c:v>
                </c:pt>
                <c:pt idx="3">
                  <c:v>3.1856447761917663</c:v>
                </c:pt>
                <c:pt idx="4">
                  <c:v>3.1920114162546822</c:v>
                </c:pt>
                <c:pt idx="5">
                  <c:v>3.1983933556253223</c:v>
                </c:pt>
                <c:pt idx="6">
                  <c:v>3.2047904127596665</c:v>
                </c:pt>
                <c:pt idx="7">
                  <c:v>3.2112024090177109</c:v>
                </c:pt>
                <c:pt idx="8">
                  <c:v>3.2176291686049869</c:v>
                </c:pt>
                <c:pt idx="9">
                  <c:v>3.2240705185155027</c:v>
                </c:pt>
                <c:pt idx="10">
                  <c:v>3.2305262884760442</c:v>
                </c:pt>
                <c:pt idx="11">
                  <c:v>3.2369963108918434</c:v>
                </c:pt>
                <c:pt idx="12">
                  <c:v>3.2434804207935253</c:v>
                </c:pt>
                <c:pt idx="13">
                  <c:v>3.2499784557853326</c:v>
                </c:pt>
                <c:pt idx="14">
                  <c:v>3.2564902559945779</c:v>
                </c:pt>
                <c:pt idx="15">
                  <c:v>3.2630156640222894</c:v>
                </c:pt>
                <c:pt idx="16">
                  <c:v>3.2695545248950224</c:v>
                </c:pt>
                <c:pt idx="17">
                  <c:v>3.2761066860178043</c:v>
                </c:pt>
                <c:pt idx="18">
                  <c:v>3.282671997128169</c:v>
                </c:pt>
                <c:pt idx="19">
                  <c:v>3.2892503102512789</c:v>
                </c:pt>
                <c:pt idx="20">
                  <c:v>3.2958414796560689</c:v>
                </c:pt>
                <c:pt idx="21">
                  <c:v>3.3024453618124179</c:v>
                </c:pt>
                <c:pt idx="22">
                  <c:v>3.3090618153492928</c:v>
                </c:pt>
                <c:pt idx="23">
                  <c:v>3.3156907010138652</c:v>
                </c:pt>
                <c:pt idx="24">
                  <c:v>3.3223318816315497</c:v>
                </c:pt>
                <c:pt idx="25">
                  <c:v>3.3289852220669585</c:v>
                </c:pt>
                <c:pt idx="26">
                  <c:v>3.3356505891857298</c:v>
                </c:pt>
                <c:pt idx="27">
                  <c:v>3.3423278518172301</c:v>
                </c:pt>
                <c:pt idx="28">
                  <c:v>3.3490168807180889</c:v>
                </c:pt>
                <c:pt idx="29">
                  <c:v>3.355717548536544</c:v>
                </c:pt>
                <c:pt idx="30">
                  <c:v>3.3624297297775882</c:v>
                </c:pt>
                <c:pt idx="31">
                  <c:v>3.3691533007688865</c:v>
                </c:pt>
                <c:pt idx="32">
                  <c:v>3.3758881396274552</c:v>
                </c:pt>
                <c:pt idx="33">
                  <c:v>3.3826341262270612</c:v>
                </c:pt>
                <c:pt idx="34">
                  <c:v>3.3893911421663523</c:v>
                </c:pt>
                <c:pt idx="35">
                  <c:v>3.3961590707376645</c:v>
                </c:pt>
                <c:pt idx="36">
                  <c:v>3.4029377968965386</c:v>
                </c:pt>
                <c:pt idx="37">
                  <c:v>3.409727207231867</c:v>
                </c:pt>
                <c:pt idx="38">
                  <c:v>3.4165271899367062</c:v>
                </c:pt>
                <c:pt idx="39">
                  <c:v>3.423337634779712</c:v>
                </c:pt>
                <c:pt idx="40">
                  <c:v>3.4301584330771866</c:v>
                </c:pt>
                <c:pt idx="41">
                  <c:v>3.4369894776657279</c:v>
                </c:pt>
                <c:pt idx="42">
                  <c:v>3.4438306628754507</c:v>
                </c:pt>
                <c:pt idx="43">
                  <c:v>3.4506818845037914</c:v>
                </c:pt>
                <c:pt idx="44">
                  <c:v>3.4575430397898574</c:v>
                </c:pt>
                <c:pt idx="45">
                  <c:v>3.4644140273893167</c:v>
                </c:pt>
                <c:pt idx="46">
                  <c:v>3.4712947473498188</c:v>
                </c:pt>
                <c:pt idx="47">
                  <c:v>3.4781851010869258</c:v>
                </c:pt>
                <c:pt idx="48">
                  <c:v>3.4850849913605462</c:v>
                </c:pt>
                <c:pt idx="49">
                  <c:v>3.4919943222518639</c:v>
                </c:pt>
                <c:pt idx="50">
                  <c:v>3.4989129991407326</c:v>
                </c:pt>
                <c:pt idx="51">
                  <c:v>3.5058409286835497</c:v>
                </c:pt>
                <c:pt idx="52">
                  <c:v>3.5127780187915696</c:v>
                </c:pt>
                <c:pt idx="53">
                  <c:v>3.5197241786096805</c:v>
                </c:pt>
                <c:pt idx="54">
                  <c:v>3.5266793184955949</c:v>
                </c:pt>
                <c:pt idx="55">
                  <c:v>3.5336433499994766</c:v>
                </c:pt>
                <c:pt idx="56">
                  <c:v>3.5406161858439678</c:v>
                </c:pt>
                <c:pt idx="57">
                  <c:v>3.5475977399046381</c:v>
                </c:pt>
                <c:pt idx="58">
                  <c:v>3.5545879271908016</c:v>
                </c:pt>
                <c:pt idx="59">
                  <c:v>3.5615866638267466</c:v>
                </c:pt>
                <c:pt idx="60">
                  <c:v>3.5685938670333135</c:v>
                </c:pt>
                <c:pt idx="61">
                  <c:v>3.5756094551098587</c:v>
                </c:pt>
                <c:pt idx="62">
                  <c:v>3.5826333474165679</c:v>
                </c:pt>
                <c:pt idx="63">
                  <c:v>3.5896654643571195</c:v>
                </c:pt>
                <c:pt idx="64">
                  <c:v>3.5967057273616909</c:v>
                </c:pt>
                <c:pt idx="65">
                  <c:v>3.603754058870297</c:v>
                </c:pt>
                <c:pt idx="66">
                  <c:v>3.6108103823164601</c:v>
                </c:pt>
                <c:pt idx="67">
                  <c:v>3.6178746221111888</c:v>
                </c:pt>
                <c:pt idx="68">
                  <c:v>3.6249467036272716</c:v>
                </c:pt>
                <c:pt idx="69">
                  <c:v>3.6320265531838873</c:v>
                </c:pt>
                <c:pt idx="70">
                  <c:v>3.639114098031488</c:v>
                </c:pt>
                <c:pt idx="71">
                  <c:v>3.646209266336998</c:v>
                </c:pt>
                <c:pt idx="72">
                  <c:v>3.6533119871692743</c:v>
                </c:pt>
                <c:pt idx="73">
                  <c:v>3.6604221904848666</c:v>
                </c:pt>
                <c:pt idx="74">
                  <c:v>3.667539807114029</c:v>
                </c:pt>
                <c:pt idx="75">
                  <c:v>3.6746647687470135</c:v>
                </c:pt>
                <c:pt idx="76">
                  <c:v>3.681797007920609</c:v>
                </c:pt>
                <c:pt idx="77">
                  <c:v>3.6889364580049406</c:v>
                </c:pt>
                <c:pt idx="78">
                  <c:v>3.6960830531905251</c:v>
                </c:pt>
                <c:pt idx="79">
                  <c:v>3.7032367284755527</c:v>
                </c:pt>
                <c:pt idx="80">
                  <c:v>3.710397419653416</c:v>
                </c:pt>
                <c:pt idx="81">
                  <c:v>3.7175650633004715</c:v>
                </c:pt>
                <c:pt idx="82">
                  <c:v>3.724739596764028</c:v>
                </c:pt>
                <c:pt idx="83">
                  <c:v>3.7319209581505515</c:v>
                </c:pt>
                <c:pt idx="84">
                  <c:v>3.7391090863140954</c:v>
                </c:pt>
                <c:pt idx="85">
                  <c:v>3.7463039208449347</c:v>
                </c:pt>
                <c:pt idx="86">
                  <c:v>3.7535054020584204</c:v>
                </c:pt>
                <c:pt idx="87">
                  <c:v>3.7607134709840238</c:v>
                </c:pt>
                <c:pt idx="88">
                  <c:v>3.7679280693545913</c:v>
                </c:pt>
                <c:pt idx="89">
                  <c:v>3.7751491395957881</c:v>
                </c:pt>
                <c:pt idx="90">
                  <c:v>3.782376624815734</c:v>
                </c:pt>
                <c:pt idx="91">
                  <c:v>3.7896104687948258</c:v>
                </c:pt>
                <c:pt idx="92">
                  <c:v>3.7968506159757478</c:v>
                </c:pt>
                <c:pt idx="93">
                  <c:v>3.8040970114536514</c:v>
                </c:pt>
                <c:pt idx="94">
                  <c:v>3.8113496009665213</c:v>
                </c:pt>
                <c:pt idx="95">
                  <c:v>3.8186083308857022</c:v>
                </c:pt>
                <c:pt idx="96">
                  <c:v>3.8258731482066044</c:v>
                </c:pt>
                <c:pt idx="97">
                  <c:v>3.8331440005395625</c:v>
                </c:pt>
                <c:pt idx="98">
                  <c:v>3.8404208361008707</c:v>
                </c:pt>
                <c:pt idx="99">
                  <c:v>3.8477036037039567</c:v>
                </c:pt>
                <c:pt idx="100">
                  <c:v>3.8549922527507312</c:v>
                </c:pt>
                <c:pt idx="101">
                  <c:v>3.862286733223065</c:v>
                </c:pt>
                <c:pt idx="102">
                  <c:v>3.8695869956744389</c:v>
                </c:pt>
                <c:pt idx="103">
                  <c:v>3.876892991221724</c:v>
                </c:pt>
                <c:pt idx="104">
                  <c:v>3.8842046715371072</c:v>
                </c:pt>
                <c:pt idx="105">
                  <c:v>3.8915219888401547</c:v>
                </c:pt>
                <c:pt idx="106">
                  <c:v>3.8988448958900173</c:v>
                </c:pt>
                <c:pt idx="107">
                  <c:v>3.9061733459777677</c:v>
                </c:pt>
                <c:pt idx="108">
                  <c:v>3.9135072929188652</c:v>
                </c:pt>
                <c:pt idx="109">
                  <c:v>3.9208466910457518</c:v>
                </c:pt>
                <c:pt idx="110">
                  <c:v>3.9281914952005765</c:v>
                </c:pt>
                <c:pt idx="111">
                  <c:v>3.9355416607280378</c:v>
                </c:pt>
                <c:pt idx="112">
                  <c:v>3.9428971434683557</c:v>
                </c:pt>
                <c:pt idx="113">
                  <c:v>3.9502578997503512</c:v>
                </c:pt>
                <c:pt idx="114">
                  <c:v>3.9576238863846478</c:v>
                </c:pt>
                <c:pt idx="115">
                  <c:v>3.9649950606569937</c:v>
                </c:pt>
                <c:pt idx="116">
                  <c:v>3.9723713803216838</c:v>
                </c:pt>
                <c:pt idx="117">
                  <c:v>3.9797528035950966</c:v>
                </c:pt>
                <c:pt idx="118">
                  <c:v>3.9871392891493405</c:v>
                </c:pt>
                <c:pt idx="119">
                  <c:v>3.994530796106003</c:v>
                </c:pt>
                <c:pt idx="120">
                  <c:v>4.0019272840300033</c:v>
                </c:pt>
                <c:pt idx="121">
                  <c:v>4.0093287129235522</c:v>
                </c:pt>
                <c:pt idx="122">
                  <c:v>4.0167350432201943</c:v>
                </c:pt>
                <c:pt idx="123">
                  <c:v>4.0241462357789688</c:v>
                </c:pt>
                <c:pt idx="124">
                  <c:v>4.0315622518786576</c:v>
                </c:pt>
                <c:pt idx="125">
                  <c:v>4.0389830532121174</c:v>
                </c:pt>
                <c:pt idx="126">
                  <c:v>4.0464086018807217</c:v>
                </c:pt>
                <c:pt idx="127">
                  <c:v>4.053838860388872</c:v>
                </c:pt>
                <c:pt idx="128">
                  <c:v>4.0612737916386248</c:v>
                </c:pt>
                <c:pt idx="129">
                  <c:v>4.068713358924378</c:v>
                </c:pt>
                <c:pt idx="130">
                  <c:v>4.0761575259276572</c:v>
                </c:pt>
                <c:pt idx="131">
                  <c:v>4.0836062567119811</c:v>
                </c:pt>
                <c:pt idx="132">
                  <c:v>4.0910595157178191</c:v>
                </c:pt>
                <c:pt idx="133">
                  <c:v>4.0985172677576092</c:v>
                </c:pt>
                <c:pt idx="134">
                  <c:v>4.1059794780108732</c:v>
                </c:pt>
                <c:pt idx="135">
                  <c:v>4.1134461120194015</c:v>
                </c:pt>
                <c:pt idx="136">
                  <c:v>4.1209171356825163</c:v>
                </c:pt>
                <c:pt idx="137">
                  <c:v>4.1283925152524068</c:v>
                </c:pt>
                <c:pt idx="138">
                  <c:v>4.1358722173295401</c:v>
                </c:pt>
                <c:pt idx="139">
                  <c:v>4.1433562088581422</c:v>
                </c:pt>
                <c:pt idx="140">
                  <c:v>4.1508444571217513</c:v>
                </c:pt>
                <c:pt idx="141">
                  <c:v>4.1583369297388435</c:v>
                </c:pt>
                <c:pt idx="142">
                  <c:v>4.1658335946585154</c:v>
                </c:pt>
                <c:pt idx="143">
                  <c:v>4.1733344201562499</c:v>
                </c:pt>
                <c:pt idx="144">
                  <c:v>4.1808393748297306</c:v>
                </c:pt>
                <c:pt idx="145">
                  <c:v>4.1883484275947316</c:v>
                </c:pt>
                <c:pt idx="146">
                  <c:v>4.1958615476810754</c:v>
                </c:pt>
                <c:pt idx="147">
                  <c:v>4.2033787046286335</c:v>
                </c:pt>
                <c:pt idx="148">
                  <c:v>4.2108998682834038</c:v>
                </c:pt>
                <c:pt idx="149">
                  <c:v>4.2184250087936501</c:v>
                </c:pt>
                <c:pt idx="150">
                  <c:v>4.2259540966060865</c:v>
                </c:pt>
                <c:pt idx="151">
                  <c:v>4.2334871024621314</c:v>
                </c:pt>
                <c:pt idx="152">
                  <c:v>4.2410239973942145</c:v>
                </c:pt>
                <c:pt idx="153">
                  <c:v>4.2485647527221371</c:v>
                </c:pt>
                <c:pt idx="154">
                  <c:v>4.2561093400494903</c:v>
                </c:pt>
                <c:pt idx="155">
                  <c:v>4.26365773126013</c:v>
                </c:pt>
                <c:pt idx="156">
                  <c:v>4.2712098985146936</c:v>
                </c:pt>
                <c:pt idx="157">
                  <c:v>4.2787658142471843</c:v>
                </c:pt>
                <c:pt idx="158">
                  <c:v>4.2863254511615922</c:v>
                </c:pt>
                <c:pt idx="159">
                  <c:v>4.2938887822285725</c:v>
                </c:pt>
                <c:pt idx="160">
                  <c:v>4.3014557806821747</c:v>
                </c:pt>
                <c:pt idx="161">
                  <c:v>4.3090264200166155</c:v>
                </c:pt>
                <c:pt idx="162">
                  <c:v>4.3166006739831015</c:v>
                </c:pt>
                <c:pt idx="163">
                  <c:v>4.3241785165866995</c:v>
                </c:pt>
                <c:pt idx="164">
                  <c:v>4.3317599220832506</c:v>
                </c:pt>
                <c:pt idx="165">
                  <c:v>4.3393448649763293</c:v>
                </c:pt>
                <c:pt idx="166">
                  <c:v>4.3469333200142533</c:v>
                </c:pt>
                <c:pt idx="167">
                  <c:v>4.354525262187126</c:v>
                </c:pt>
                <c:pt idx="168">
                  <c:v>4.3621206667239312</c:v>
                </c:pt>
                <c:pt idx="169">
                  <c:v>4.3697195090896663</c:v>
                </c:pt>
                <c:pt idx="170">
                  <c:v>4.3773217649825149</c:v>
                </c:pt>
                <c:pt idx="171">
                  <c:v>4.384927410331068</c:v>
                </c:pt>
                <c:pt idx="172">
                  <c:v>4.3925364212915738</c:v>
                </c:pt>
                <c:pt idx="173">
                  <c:v>4.4001487742452339</c:v>
                </c:pt>
                <c:pt idx="174">
                  <c:v>4.4077644457955403</c:v>
                </c:pt>
                <c:pt idx="175">
                  <c:v>4.4153834127656477</c:v>
                </c:pt>
                <c:pt idx="176">
                  <c:v>4.4230056521957737</c:v>
                </c:pt>
                <c:pt idx="177">
                  <c:v>4.4306311413406574</c:v>
                </c:pt>
                <c:pt idx="178">
                  <c:v>4.4382598576670347</c:v>
                </c:pt>
                <c:pt idx="179">
                  <c:v>4.4458917788511592</c:v>
                </c:pt>
                <c:pt idx="180">
                  <c:v>4.4535268827763517</c:v>
                </c:pt>
                <c:pt idx="181">
                  <c:v>4.4611651475305889</c:v>
                </c:pt>
                <c:pt idx="182">
                  <c:v>4.4688065514041266</c:v>
                </c:pt>
                <c:pt idx="183">
                  <c:v>4.4764510728871549</c:v>
                </c:pt>
                <c:pt idx="184">
                  <c:v>4.48409869066748</c:v>
                </c:pt>
                <c:pt idx="185">
                  <c:v>4.4917493836282523</c:v>
                </c:pt>
                <c:pt idx="186">
                  <c:v>4.499403130845705</c:v>
                </c:pt>
                <c:pt idx="187">
                  <c:v>4.5070599115869543</c:v>
                </c:pt>
                <c:pt idx="188">
                  <c:v>4.5147197053077956</c:v>
                </c:pt>
                <c:pt idx="189">
                  <c:v>4.5223824916505553</c:v>
                </c:pt>
                <c:pt idx="190">
                  <c:v>4.5300482504419648</c:v>
                </c:pt>
                <c:pt idx="191">
                  <c:v>4.537716961691058</c:v>
                </c:pt>
                <c:pt idx="192">
                  <c:v>4.545388605587104</c:v>
                </c:pt>
                <c:pt idx="193">
                  <c:v>4.5530631624975717</c:v>
                </c:pt>
                <c:pt idx="194">
                  <c:v>4.5607406129661037</c:v>
                </c:pt>
                <c:pt idx="195">
                  <c:v>4.568420937710548</c:v>
                </c:pt>
                <c:pt idx="196">
                  <c:v>4.5761041176209867</c:v>
                </c:pt>
                <c:pt idx="197">
                  <c:v>4.5837901337578062</c:v>
                </c:pt>
                <c:pt idx="198">
                  <c:v>4.591478967349798</c:v>
                </c:pt>
                <c:pt idx="199">
                  <c:v>4.5991705997922674</c:v>
                </c:pt>
                <c:pt idx="200">
                  <c:v>4.6068650126451924</c:v>
                </c:pt>
              </c:numCache>
            </c:numRef>
          </c:val>
          <c:smooth val="0"/>
          <c:extLst>
            <c:ext xmlns:c16="http://schemas.microsoft.com/office/drawing/2014/chart" uri="{C3380CC4-5D6E-409C-BE32-E72D297353CC}">
              <c16:uniqueId val="{00000004-DAC0-423F-B197-448F000A954F}"/>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'Efficiency vs VIN Calculations'!$BE$7</c15:sqref>
                        </c15:formulaRef>
                      </c:ext>
                    </c:extLst>
                    <c:strCache>
                      <c:ptCount val="1"/>
                      <c:pt idx="0">
                        <c:v>Controller IC Losses</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Calculations'!$BH$9:$BH$209</c15:sqref>
                        </c15:formulaRef>
                      </c:ext>
                    </c:extLst>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6-DAC0-423F-B197-448F000A954F}"/>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VIN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Calculations'!$AF$9:$AF$209</c15:sqref>
                        </c15:formulaRef>
                      </c:ext>
                    </c:extLst>
                    <c:numCache>
                      <c:formatCode>0.000</c:formatCode>
                      <c:ptCount val="201"/>
                      <c:pt idx="0">
                        <c:v>5.6109654535195889E-2</c:v>
                      </c:pt>
                      <c:pt idx="1">
                        <c:v>5.6462117129342668E-2</c:v>
                      </c:pt>
                      <c:pt idx="2">
                        <c:v>5.6808454005512085E-2</c:v>
                      </c:pt>
                      <c:pt idx="3">
                        <c:v>5.7148766643195022E-2</c:v>
                      </c:pt>
                      <c:pt idx="4">
                        <c:v>5.7483154589628063E-2</c:v>
                      </c:pt>
                      <c:pt idx="5">
                        <c:v>5.7811715502547614E-2</c:v>
                      </c:pt>
                      <c:pt idx="6">
                        <c:v>5.8134545191856318E-2</c:v>
                      </c:pt>
                      <c:pt idx="7">
                        <c:v>5.8451737660232803E-2</c:v>
                      </c:pt>
                      <c:pt idx="8">
                        <c:v>5.8763385142715681E-2</c:v>
                      </c:pt>
                      <c:pt idx="9">
                        <c:v>5.9069578145290839E-2</c:v>
                      </c:pt>
                      <c:pt idx="10">
                        <c:v>5.9370405482510616E-2</c:v>
                      </c:pt>
                      <c:pt idx="11">
                        <c:v>5.9665954314172369E-2</c:v>
                      </c:pt>
                      <c:pt idx="12">
                        <c:v>5.9956310181083286E-2</c:v>
                      </c:pt>
                      <c:pt idx="13">
                        <c:v>6.0241557039936833E-2</c:v>
                      </c:pt>
                      <c:pt idx="14">
                        <c:v>6.052177729732662E-2</c:v>
                      </c:pt>
                      <c:pt idx="15">
                        <c:v>6.0797051842920932E-2</c:v>
                      </c:pt>
                      <c:pt idx="16">
                        <c:v>6.1067460081822192E-2</c:v>
                      </c:pt>
                      <c:pt idx="17">
                        <c:v>6.1333079966133637E-2</c:v>
                      </c:pt>
                      <c:pt idx="18">
                        <c:v>6.1593988025755587E-2</c:v>
                      </c:pt>
                      <c:pt idx="19">
                        <c:v>6.1850259398432084E-2</c:v>
                      </c:pt>
                      <c:pt idx="20">
                        <c:v>6.2101967859069067E-2</c:v>
                      </c:pt>
                      <c:pt idx="21">
                        <c:v>6.2349185848343994E-2</c:v>
                      </c:pt>
                      <c:pt idx="22">
                        <c:v>6.2591984500626266E-2</c:v>
                      </c:pt>
                      <c:pt idx="23">
                        <c:v>6.2830433671227051E-2</c:v>
                      </c:pt>
                      <c:pt idx="24">
                        <c:v>6.3064601962997346E-2</c:v>
                      </c:pt>
                      <c:pt idx="25">
                        <c:v>6.3294556752291245E-2</c:v>
                      </c:pt>
                      <c:pt idx="26">
                        <c:v>6.3520364214312189E-2</c:v>
                      </c:pt>
                      <c:pt idx="27">
                        <c:v>6.3742089347858383E-2</c:v>
                      </c:pt>
                      <c:pt idx="28">
                        <c:v>6.3959795999483773E-2</c:v>
                      </c:pt>
                      <c:pt idx="29">
                        <c:v>6.4173546887089927E-2</c:v>
                      </c:pt>
                      <c:pt idx="30">
                        <c:v>6.4383403622964644E-2</c:v>
                      </c:pt>
                      <c:pt idx="31">
                        <c:v>6.4589426736280917E-2</c:v>
                      </c:pt>
                      <c:pt idx="32">
                        <c:v>6.4791675695071854E-2</c:v>
                      </c:pt>
                      <c:pt idx="33">
                        <c:v>6.4990208927694262E-2</c:v>
                      </c:pt>
                      <c:pt idx="34">
                        <c:v>6.5185083843794997E-2</c:v>
                      </c:pt>
                      <c:pt idx="35">
                        <c:v>6.5376356854793052E-2</c:v>
                      </c:pt>
                      <c:pt idx="36">
                        <c:v>6.5564083393889708E-2</c:v>
                      </c:pt>
                      <c:pt idx="37">
                        <c:v>6.5748317935619638E-2</c:v>
                      </c:pt>
                      <c:pt idx="38">
                        <c:v>6.5929114014954243E-2</c:v>
                      </c:pt>
                      <c:pt idx="39">
                        <c:v>6.6106524245969356E-2</c:v>
                      </c:pt>
                      <c:pt idx="40">
                        <c:v>6.6280600340088272E-2</c:v>
                      </c:pt>
                      <c:pt idx="41">
                        <c:v>6.6451393123911073E-2</c:v>
                      </c:pt>
                      <c:pt idx="42">
                        <c:v>6.6618952556640965E-2</c:v>
                      </c:pt>
                      <c:pt idx="43">
                        <c:v>6.6783327747117829E-2</c:v>
                      </c:pt>
                      <c:pt idx="44">
                        <c:v>6.6944566970469174E-2</c:v>
                      </c:pt>
                      <c:pt idx="45">
                        <c:v>6.7102717684387872E-2</c:v>
                      </c:pt>
                      <c:pt idx="46">
                        <c:v>6.7257826545046584E-2</c:v>
                      </c:pt>
                      <c:pt idx="47">
                        <c:v>6.7409939422657619E-2</c:v>
                      </c:pt>
                      <c:pt idx="48">
                        <c:v>6.7559101416687611E-2</c:v>
                      </c:pt>
                      <c:pt idx="49">
                        <c:v>6.7705356870735284E-2</c:v>
                      </c:pt>
                      <c:pt idx="50">
                        <c:v>6.7848749387080742E-2</c:v>
                      </c:pt>
                      <c:pt idx="51">
                        <c:v>6.7989321840915051E-2</c:v>
                      </c:pt>
                      <c:pt idx="52">
                        <c:v>6.8127116394257226E-2</c:v>
                      </c:pt>
                      <c:pt idx="53">
                        <c:v>6.8262174509567161E-2</c:v>
                      </c:pt>
                      <c:pt idx="54">
                        <c:v>6.8394536963061275E-2</c:v>
                      </c:pt>
                      <c:pt idx="55">
                        <c:v>6.8524243857739017E-2</c:v>
                      </c:pt>
                      <c:pt idx="56">
                        <c:v>6.8651334636126521E-2</c:v>
                      </c:pt>
                      <c:pt idx="57">
                        <c:v>6.8775848092745062E-2</c:v>
                      </c:pt>
                      <c:pt idx="58">
                        <c:v>6.889782238631055E-2</c:v>
                      </c:pt>
                      <c:pt idx="59">
                        <c:v>6.9017295051670771E-2</c:v>
                      </c:pt>
                      <c:pt idx="60">
                        <c:v>6.9134303011486667E-2</c:v>
                      </c:pt>
                      <c:pt idx="61">
                        <c:v>6.9248882587664415E-2</c:v>
                      </c:pt>
                      <c:pt idx="62">
                        <c:v>6.9361069512543047E-2</c:v>
                      </c:pt>
                      <c:pt idx="63">
                        <c:v>6.9470898939845177E-2</c:v>
                      </c:pt>
                      <c:pt idx="64">
                        <c:v>6.9578405455394912E-2</c:v>
                      </c:pt>
                      <c:pt idx="65">
                        <c:v>6.9683623087609781E-2</c:v>
                      </c:pt>
                      <c:pt idx="66">
                        <c:v>6.9786585317771252E-2</c:v>
                      </c:pt>
                      <c:pt idx="67">
                        <c:v>6.988732509007943E-2</c:v>
                      </c:pt>
                      <c:pt idx="68">
                        <c:v>6.9985874821497374E-2</c:v>
                      </c:pt>
                      <c:pt idx="69">
                        <c:v>7.0082266411389066E-2</c:v>
                      </c:pt>
                      <c:pt idx="70">
                        <c:v>7.0176531250957103E-2</c:v>
                      </c:pt>
                      <c:pt idx="71">
                        <c:v>7.0268700232483924E-2</c:v>
                      </c:pt>
                      <c:pt idx="72">
                        <c:v>7.0358803758381494E-2</c:v>
                      </c:pt>
                      <c:pt idx="73">
                        <c:v>7.0446871750054083E-2</c:v>
                      </c:pt>
                      <c:pt idx="74">
                        <c:v>7.0532933656578214E-2</c:v>
                      </c:pt>
                      <c:pt idx="75">
                        <c:v>7.0617018463204118E-2</c:v>
                      </c:pt>
                      <c:pt idx="76">
                        <c:v>7.0699154699683103E-2</c:v>
                      </c:pt>
                      <c:pt idx="77">
                        <c:v>7.0779370448424389E-2</c:v>
                      </c:pt>
                      <c:pt idx="78">
                        <c:v>7.0857693352485707E-2</c:v>
                      </c:pt>
                      <c:pt idx="79">
                        <c:v>7.0934150623401637E-2</c:v>
                      </c:pt>
                      <c:pt idx="80">
                        <c:v>7.1008769048852477E-2</c:v>
                      </c:pt>
                      <c:pt idx="81">
                        <c:v>7.1081575000178795E-2</c:v>
                      </c:pt>
                      <c:pt idx="82">
                        <c:v>7.1152594439743741E-2</c:v>
                      </c:pt>
                      <c:pt idx="83">
                        <c:v>7.1221852928147533E-2</c:v>
                      </c:pt>
                      <c:pt idx="84">
                        <c:v>7.1289375631296961E-2</c:v>
                      </c:pt>
                      <c:pt idx="85">
                        <c:v>7.1355187327333508E-2</c:v>
                      </c:pt>
                      <c:pt idx="86">
                        <c:v>7.1419312413423003E-2</c:v>
                      </c:pt>
                      <c:pt idx="87">
                        <c:v>7.1481774912410215E-2</c:v>
                      </c:pt>
                      <c:pt idx="88">
                        <c:v>7.1542598479341177E-2</c:v>
                      </c:pt>
                      <c:pt idx="89">
                        <c:v>7.1601806407856294E-2</c:v>
                      </c:pt>
                      <c:pt idx="90">
                        <c:v>7.1659421636457124E-2</c:v>
                      </c:pt>
                      <c:pt idx="91">
                        <c:v>7.1715466754649779E-2</c:v>
                      </c:pt>
                      <c:pt idx="92">
                        <c:v>7.1769964008967277E-2</c:v>
                      </c:pt>
                      <c:pt idx="93">
                        <c:v>7.182293530887407E-2</c:v>
                      </c:pt>
                      <c:pt idx="94">
                        <c:v>7.1874402232554951E-2</c:v>
                      </c:pt>
                      <c:pt idx="95">
                        <c:v>7.1924386032591006E-2</c:v>
                      </c:pt>
                      <c:pt idx="96">
                        <c:v>7.1972907641525183E-2</c:v>
                      </c:pt>
                      <c:pt idx="97">
                        <c:v>7.2019987677319888E-2</c:v>
                      </c:pt>
                      <c:pt idx="98">
                        <c:v>7.2065646448708623E-2</c:v>
                      </c:pt>
                      <c:pt idx="99">
                        <c:v>7.2109903960444546E-2</c:v>
                      </c:pt>
                      <c:pt idx="100">
                        <c:v>7.2152779918447887E-2</c:v>
                      </c:pt>
                      <c:pt idx="101">
                        <c:v>7.2194293734854198E-2</c:v>
                      </c:pt>
                      <c:pt idx="102">
                        <c:v>7.2234464532966211E-2</c:v>
                      </c:pt>
                      <c:pt idx="103">
                        <c:v>7.2273311152110511E-2</c:v>
                      </c:pt>
                      <c:pt idx="104">
                        <c:v>7.2310852152402114E-2</c:v>
                      </c:pt>
                      <c:pt idx="105">
                        <c:v>7.2347105819417848E-2</c:v>
                      </c:pt>
                      <c:pt idx="106">
                        <c:v>7.2382090168781402E-2</c:v>
                      </c:pt>
                      <c:pt idx="107">
                        <c:v>7.2415822950661346E-2</c:v>
                      </c:pt>
                      <c:pt idx="108">
                        <c:v>7.2448321654184286E-2</c:v>
                      </c:pt>
                      <c:pt idx="109">
                        <c:v>7.247960351176469E-2</c:v>
                      </c:pt>
                      <c:pt idx="110">
                        <c:v>7.2509685503353599E-2</c:v>
                      </c:pt>
                      <c:pt idx="111">
                        <c:v>7.2538584360607339E-2</c:v>
                      </c:pt>
                      <c:pt idx="112">
                        <c:v>7.2566316570978312E-2</c:v>
                      </c:pt>
                      <c:pt idx="113">
                        <c:v>7.259289838172979E-2</c:v>
                      </c:pt>
                      <c:pt idx="114">
                        <c:v>7.2618345803875287E-2</c:v>
                      </c:pt>
                      <c:pt idx="115">
                        <c:v>7.2642674616045358E-2</c:v>
                      </c:pt>
                      <c:pt idx="116">
                        <c:v>7.2665900368282452E-2</c:v>
                      </c:pt>
                      <c:pt idx="117">
                        <c:v>7.2688038385765569E-2</c:v>
                      </c:pt>
                      <c:pt idx="118">
                        <c:v>7.270910377246631E-2</c:v>
                      </c:pt>
                      <c:pt idx="119">
                        <c:v>7.2729111414737674E-2</c:v>
                      </c:pt>
                      <c:pt idx="120">
                        <c:v>7.2748075984836943E-2</c:v>
                      </c:pt>
                      <c:pt idx="121">
                        <c:v>7.2766011944383868E-2</c:v>
                      </c:pt>
                      <c:pt idx="122">
                        <c:v>7.2782933547755904E-2</c:v>
                      </c:pt>
                      <c:pt idx="123">
                        <c:v>7.2798854845421465E-2</c:v>
                      </c:pt>
                      <c:pt idx="124">
                        <c:v>7.281378968721243E-2</c:v>
                      </c:pt>
                      <c:pt idx="125">
                        <c:v>7.2827751725537487E-2</c:v>
                      </c:pt>
                      <c:pt idx="126">
                        <c:v>7.2840754418537018E-2</c:v>
                      </c:pt>
                      <c:pt idx="127">
                        <c:v>7.2852811033181183E-2</c:v>
                      </c:pt>
                      <c:pt idx="128">
                        <c:v>7.2863934648312173E-2</c:v>
                      </c:pt>
                      <c:pt idx="129">
                        <c:v>7.2874138157631579E-2</c:v>
                      </c:pt>
                      <c:pt idx="130">
                        <c:v>7.2883434272634426E-2</c:v>
                      </c:pt>
                      <c:pt idx="131">
                        <c:v>7.2891835525490292E-2</c:v>
                      </c:pt>
                      <c:pt idx="132">
                        <c:v>7.2899354271873537E-2</c:v>
                      </c:pt>
                      <c:pt idx="133">
                        <c:v>7.290600269374245E-2</c:v>
                      </c:pt>
                      <c:pt idx="134">
                        <c:v>7.2911792802069414E-2</c:v>
                      </c:pt>
                      <c:pt idx="135">
                        <c:v>7.2916736439522539E-2</c:v>
                      </c:pt>
                      <c:pt idx="136">
                        <c:v>7.2920845283099722E-2</c:v>
                      </c:pt>
                      <c:pt idx="137">
                        <c:v>7.2924130846716242E-2</c:v>
                      </c:pt>
                      <c:pt idx="138">
                        <c:v>7.2926604483746812E-2</c:v>
                      </c:pt>
                      <c:pt idx="139">
                        <c:v>7.2928277389522816E-2</c:v>
                      </c:pt>
                      <c:pt idx="140">
                        <c:v>7.2929160603785737E-2</c:v>
                      </c:pt>
                      <c:pt idx="141">
                        <c:v>7.2929265013097835E-2</c:v>
                      </c:pt>
                      <c:pt idx="142">
                        <c:v>7.2928601353210346E-2</c:v>
                      </c:pt>
                      <c:pt idx="143">
                        <c:v>7.2927180211390677E-2</c:v>
                      </c:pt>
                      <c:pt idx="144">
                        <c:v>7.2925012028709046E-2</c:v>
                      </c:pt>
                      <c:pt idx="145">
                        <c:v>7.2922107102285416E-2</c:v>
                      </c:pt>
                      <c:pt idx="146">
                        <c:v>7.2918475587497478E-2</c:v>
                      </c:pt>
                      <c:pt idx="147">
                        <c:v>7.2914127500150611E-2</c:v>
                      </c:pt>
                      <c:pt idx="148">
                        <c:v>7.2909072718610135E-2</c:v>
                      </c:pt>
                      <c:pt idx="149">
                        <c:v>7.2903320985897288E-2</c:v>
                      </c:pt>
                      <c:pt idx="150">
                        <c:v>7.2896881911748826E-2</c:v>
                      </c:pt>
                      <c:pt idx="151">
                        <c:v>7.2889764974641516E-2</c:v>
                      </c:pt>
                      <c:pt idx="152">
                        <c:v>7.288197952378199E-2</c:v>
                      </c:pt>
                      <c:pt idx="153">
                        <c:v>7.2873534781062635E-2</c:v>
                      </c:pt>
                      <c:pt idx="154">
                        <c:v>7.2864439842984241E-2</c:v>
                      </c:pt>
                      <c:pt idx="155">
                        <c:v>7.2854703682545707E-2</c:v>
                      </c:pt>
                      <c:pt idx="156">
                        <c:v>7.2844335151102099E-2</c:v>
                      </c:pt>
                      <c:pt idx="157">
                        <c:v>7.2833342980191201E-2</c:v>
                      </c:pt>
                      <c:pt idx="158">
                        <c:v>7.2821735783328775E-2</c:v>
                      </c:pt>
                      <c:pt idx="159">
                        <c:v>7.280952205777412E-2</c:v>
                      </c:pt>
                      <c:pt idx="160">
                        <c:v>7.2796710186265642E-2</c:v>
                      </c:pt>
                      <c:pt idx="161">
                        <c:v>7.2783308438727448E-2</c:v>
                      </c:pt>
                      <c:pt idx="162">
                        <c:v>7.2769324973947266E-2</c:v>
                      </c:pt>
                      <c:pt idx="163">
                        <c:v>7.2754767841226212E-2</c:v>
                      </c:pt>
                      <c:pt idx="164">
                        <c:v>7.2739644982001514E-2</c:v>
                      </c:pt>
                      <c:pt idx="165">
                        <c:v>7.2723964231441424E-2</c:v>
                      </c:pt>
                      <c:pt idx="166">
                        <c:v>7.2707733320014567E-2</c:v>
                      </c:pt>
                      <c:pt idx="167">
                        <c:v>7.2690959875032379E-2</c:v>
                      </c:pt>
                      <c:pt idx="168">
                        <c:v>7.2673651422166891E-2</c:v>
                      </c:pt>
                      <c:pt idx="169">
                        <c:v>7.2655815386942574E-2</c:v>
                      </c:pt>
                      <c:pt idx="170">
                        <c:v>7.263745909620449E-2</c:v>
                      </c:pt>
                      <c:pt idx="171">
                        <c:v>7.2618589779561482E-2</c:v>
                      </c:pt>
                      <c:pt idx="172">
                        <c:v>7.2599214570806342E-2</c:v>
                      </c:pt>
                      <c:pt idx="173">
                        <c:v>7.2579340509312279E-2</c:v>
                      </c:pt>
                      <c:pt idx="174">
                        <c:v>7.2558974541406723E-2</c:v>
                      </c:pt>
                      <c:pt idx="175">
                        <c:v>7.25381235217228E-2</c:v>
                      </c:pt>
                      <c:pt idx="176">
                        <c:v>7.2516794214528613E-2</c:v>
                      </c:pt>
                      <c:pt idx="177">
                        <c:v>7.2494993295035087E-2</c:v>
                      </c:pt>
                      <c:pt idx="178">
                        <c:v>7.2472727350682511E-2</c:v>
                      </c:pt>
                      <c:pt idx="179">
                        <c:v>7.24500028824063E-2</c:v>
                      </c:pt>
                      <c:pt idx="180">
                        <c:v>7.2426826305882278E-2</c:v>
                      </c:pt>
                      <c:pt idx="181">
                        <c:v>7.2403203952751821E-2</c:v>
                      </c:pt>
                      <c:pt idx="182">
                        <c:v>7.2379142071827621E-2</c:v>
                      </c:pt>
                      <c:pt idx="183">
                        <c:v>7.2354646830279479E-2</c:v>
                      </c:pt>
                      <c:pt idx="184">
                        <c:v>7.2329724314801724E-2</c:v>
                      </c:pt>
                      <c:pt idx="185">
                        <c:v>7.2304380532761475E-2</c:v>
                      </c:pt>
                      <c:pt idx="186">
                        <c:v>7.2278621413328803E-2</c:v>
                      </c:pt>
                      <c:pt idx="187">
                        <c:v>7.2252452808588996E-2</c:v>
                      </c:pt>
                      <c:pt idx="188">
                        <c:v>7.2225880494636713E-2</c:v>
                      </c:pt>
                      <c:pt idx="189">
                        <c:v>7.2198910172653202E-2</c:v>
                      </c:pt>
                      <c:pt idx="190">
                        <c:v>7.2171547469966249E-2</c:v>
                      </c:pt>
                      <c:pt idx="191">
                        <c:v>7.214379794109331E-2</c:v>
                      </c:pt>
                      <c:pt idx="192">
                        <c:v>7.2115667068768249E-2</c:v>
                      </c:pt>
                      <c:pt idx="193">
                        <c:v>7.2087160264952016E-2</c:v>
                      </c:pt>
                      <c:pt idx="194">
                        <c:v>7.2058282871827237E-2</c:v>
                      </c:pt>
                      <c:pt idx="195">
                        <c:v>7.2029040162777128E-2</c:v>
                      </c:pt>
                      <c:pt idx="196">
                        <c:v>7.1999437343349404E-2</c:v>
                      </c:pt>
                      <c:pt idx="197">
                        <c:v>7.1969479552204813E-2</c:v>
                      </c:pt>
                      <c:pt idx="198">
                        <c:v>7.1939171862050996E-2</c:v>
                      </c:pt>
                      <c:pt idx="199">
                        <c:v>7.1908519280561647E-2</c:v>
                      </c:pt>
                      <c:pt idx="200">
                        <c:v>7.1877526751281617E-2</c:v>
                      </c:pt>
                    </c:numCache>
                  </c:numRef>
                </c:val>
                <c:smooth val="0"/>
                <c:extLst xmlns:c15="http://schemas.microsoft.com/office/drawing/2012/chart">
                  <c:ext xmlns:c16="http://schemas.microsoft.com/office/drawing/2014/chart" uri="{C3380CC4-5D6E-409C-BE32-E72D297353CC}">
                    <c16:uniqueId val="{00000007-DAC0-423F-B197-448F000A954F}"/>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VIN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Calculations'!$AC$9:$AC$209</c15:sqref>
                        </c15:formulaRef>
                      </c:ext>
                    </c:extLst>
                    <c:numCache>
                      <c:formatCode>0.000</c:formatCode>
                      <c:ptCount val="201"/>
                      <c:pt idx="0">
                        <c:v>2.6259597524932012E-3</c:v>
                      </c:pt>
                      <c:pt idx="1">
                        <c:v>2.6757465998962959E-3</c:v>
                      </c:pt>
                      <c:pt idx="2">
                        <c:v>2.7256505648593898E-3</c:v>
                      </c:pt>
                      <c:pt idx="3">
                        <c:v>2.7756656482147918E-3</c:v>
                      </c:pt>
                      <c:pt idx="4">
                        <c:v>2.8257859992278141E-3</c:v>
                      </c:pt>
                      <c:pt idx="5">
                        <c:v>2.8760059119227487E-3</c:v>
                      </c:pt>
                      <c:pt idx="6">
                        <c:v>2.9263198215073011E-3</c:v>
                      </c:pt>
                      <c:pt idx="7">
                        <c:v>2.9767223008926196E-3</c:v>
                      </c:pt>
                      <c:pt idx="8">
                        <c:v>3.0272080573061017E-3</c:v>
                      </c:pt>
                      <c:pt idx="9">
                        <c:v>3.0777719289942578E-3</c:v>
                      </c:pt>
                      <c:pt idx="10">
                        <c:v>3.1284088820129879E-3</c:v>
                      </c:pt>
                      <c:pt idx="11">
                        <c:v>3.1791140071027774E-3</c:v>
                      </c:pt>
                      <c:pt idx="12">
                        <c:v>3.2298825166463029E-3</c:v>
                      </c:pt>
                      <c:pt idx="13">
                        <c:v>3.2807097417060695E-3</c:v>
                      </c:pt>
                      <c:pt idx="14">
                        <c:v>3.3315911291397992E-3</c:v>
                      </c:pt>
                      <c:pt idx="15">
                        <c:v>3.3825222387912916E-3</c:v>
                      </c:pt>
                      <c:pt idx="16">
                        <c:v>3.4334987407546452E-3</c:v>
                      </c:pt>
                      <c:pt idx="17">
                        <c:v>3.4845164127096867E-3</c:v>
                      </c:pt>
                      <c:pt idx="18">
                        <c:v>3.5355711373265971E-3</c:v>
                      </c:pt>
                      <c:pt idx="19">
                        <c:v>3.586658899737815E-3</c:v>
                      </c:pt>
                      <c:pt idx="20">
                        <c:v>3.6377757850752142E-3</c:v>
                      </c:pt>
                      <c:pt idx="21">
                        <c:v>3.6889179760708052E-3</c:v>
                      </c:pt>
                      <c:pt idx="22">
                        <c:v>3.7400817507190821E-3</c:v>
                      </c:pt>
                      <c:pt idx="23">
                        <c:v>3.7912634799993801E-3</c:v>
                      </c:pt>
                      <c:pt idx="24">
                        <c:v>3.842459625656458E-3</c:v>
                      </c:pt>
                      <c:pt idx="25">
                        <c:v>3.893666738037746E-3</c:v>
                      </c:pt>
                      <c:pt idx="26">
                        <c:v>3.9448814539856693E-3</c:v>
                      </c:pt>
                      <c:pt idx="27">
                        <c:v>3.9961004947834736E-3</c:v>
                      </c:pt>
                      <c:pt idx="28">
                        <c:v>4.0473206641531388E-3</c:v>
                      </c:pt>
                      <c:pt idx="29">
                        <c:v>4.0985388463038504E-3</c:v>
                      </c:pt>
                      <c:pt idx="30">
                        <c:v>4.1497520040297518E-3</c:v>
                      </c:pt>
                      <c:pt idx="31">
                        <c:v>4.2009571768554764E-3</c:v>
                      </c:pt>
                      <c:pt idx="32">
                        <c:v>4.2521514792282838E-3</c:v>
                      </c:pt>
                      <c:pt idx="33">
                        <c:v>4.3033320987554378E-3</c:v>
                      </c:pt>
                      <c:pt idx="34">
                        <c:v>4.3544962944856401E-3</c:v>
                      </c:pt>
                      <c:pt idx="35">
                        <c:v>4.4056413952332568E-3</c:v>
                      </c:pt>
                      <c:pt idx="36">
                        <c:v>4.456764797944289E-3</c:v>
                      </c:pt>
                      <c:pt idx="37">
                        <c:v>4.5078639661028166E-3</c:v>
                      </c:pt>
                      <c:pt idx="38">
                        <c:v>4.5589364281769266E-3</c:v>
                      </c:pt>
                      <c:pt idx="39">
                        <c:v>4.609979776103031E-3</c:v>
                      </c:pt>
                      <c:pt idx="40">
                        <c:v>4.6609916638075182E-3</c:v>
                      </c:pt>
                      <c:pt idx="41">
                        <c:v>4.711969805764795E-3</c:v>
                      </c:pt>
                      <c:pt idx="42">
                        <c:v>4.7629119755906472E-3</c:v>
                      </c:pt>
                      <c:pt idx="43">
                        <c:v>4.8138160046700962E-3</c:v>
                      </c:pt>
                      <c:pt idx="44">
                        <c:v>4.8646797808187649E-3</c:v>
                      </c:pt>
                      <c:pt idx="45">
                        <c:v>4.9155012469768514E-3</c:v>
                      </c:pt>
                      <c:pt idx="46">
                        <c:v>4.9662783999348814E-3</c:v>
                      </c:pt>
                      <c:pt idx="47">
                        <c:v>5.0170092890904176E-3</c:v>
                      </c:pt>
                      <c:pt idx="48">
                        <c:v>5.0676920152348389E-3</c:v>
                      </c:pt>
                      <c:pt idx="49">
                        <c:v>5.1183247293694698E-3</c:v>
                      </c:pt>
                      <c:pt idx="50">
                        <c:v>5.1689056315502814E-3</c:v>
                      </c:pt>
                      <c:pt idx="51">
                        <c:v>5.2194329697603402E-3</c:v>
                      </c:pt>
                      <c:pt idx="52">
                        <c:v>5.2699050388094219E-3</c:v>
                      </c:pt>
                      <c:pt idx="53">
                        <c:v>5.320320179259928E-3</c:v>
                      </c:pt>
                      <c:pt idx="54">
                        <c:v>5.3706767763785556E-3</c:v>
                      </c:pt>
                      <c:pt idx="55">
                        <c:v>5.4209732591129559E-3</c:v>
                      </c:pt>
                      <c:pt idx="56">
                        <c:v>5.4712080990927947E-3</c:v>
                      </c:pt>
                      <c:pt idx="57">
                        <c:v>5.521379809654549E-3</c:v>
                      </c:pt>
                      <c:pt idx="58">
                        <c:v>5.5714869448894866E-3</c:v>
                      </c:pt>
                      <c:pt idx="59">
                        <c:v>5.6215280987141417E-3</c:v>
                      </c:pt>
                      <c:pt idx="60">
                        <c:v>5.6715019039628098E-3</c:v>
                      </c:pt>
                      <c:pt idx="61">
                        <c:v>5.7214070315013991E-3</c:v>
                      </c:pt>
                      <c:pt idx="62">
                        <c:v>5.7712421893622431E-3</c:v>
                      </c:pt>
                      <c:pt idx="63">
                        <c:v>5.821006121899122E-3</c:v>
                      </c:pt>
                      <c:pt idx="64">
                        <c:v>5.8706976089622264E-3</c:v>
                      </c:pt>
                      <c:pt idx="65">
                        <c:v>5.9203154650923516E-3</c:v>
                      </c:pt>
                      <c:pt idx="66">
                        <c:v>5.9698585387339799E-3</c:v>
                      </c:pt>
                      <c:pt idx="67">
                        <c:v>6.0193257114666823E-3</c:v>
                      </c:pt>
                      <c:pt idx="68">
                        <c:v>6.0687158972544397E-3</c:v>
                      </c:pt>
                      <c:pt idx="69">
                        <c:v>6.1180280417124202E-3</c:v>
                      </c:pt>
                      <c:pt idx="70">
                        <c:v>6.1672611213907328E-3</c:v>
                      </c:pt>
                      <c:pt idx="71">
                        <c:v>6.2164141430747916E-3</c:v>
                      </c:pt>
                      <c:pt idx="72">
                        <c:v>6.2654861431018687E-3</c:v>
                      </c:pt>
                      <c:pt idx="73">
                        <c:v>6.3144761866933772E-3</c:v>
                      </c:pt>
                      <c:pt idx="74">
                        <c:v>6.3633833673025879E-3</c:v>
                      </c:pt>
                      <c:pt idx="75">
                        <c:v>6.4122068059772955E-3</c:v>
                      </c:pt>
                      <c:pt idx="76">
                        <c:v>6.4609456507371604E-3</c:v>
                      </c:pt>
                      <c:pt idx="77">
                        <c:v>6.5095990759652727E-3</c:v>
                      </c:pt>
                      <c:pt idx="78">
                        <c:v>6.5581662818137015E-3</c:v>
                      </c:pt>
                      <c:pt idx="79">
                        <c:v>6.6066464936225533E-3</c:v>
                      </c:pt>
                      <c:pt idx="80">
                        <c:v>6.6550389613523313E-3</c:v>
                      </c:pt>
                      <c:pt idx="81">
                        <c:v>6.7033429590291575E-3</c:v>
                      </c:pt>
                      <c:pt idx="82">
                        <c:v>6.7515577842026907E-3</c:v>
                      </c:pt>
                      <c:pt idx="83">
                        <c:v>6.7996827574162708E-3</c:v>
                      </c:pt>
                      <c:pt idx="84">
                        <c:v>6.847717221689067E-3</c:v>
                      </c:pt>
                      <c:pt idx="85">
                        <c:v>6.8956605420099912E-3</c:v>
                      </c:pt>
                      <c:pt idx="86">
                        <c:v>6.9435121048430125E-3</c:v>
                      </c:pt>
                      <c:pt idx="87">
                        <c:v>6.9912713176436131E-3</c:v>
                      </c:pt>
                      <c:pt idx="88">
                        <c:v>7.0389376083861352E-3</c:v>
                      </c:pt>
                      <c:pt idx="89">
                        <c:v>7.0865104251017618E-3</c:v>
                      </c:pt>
                      <c:pt idx="90">
                        <c:v>7.1339892354268805E-3</c:v>
                      </c:pt>
                      <c:pt idx="91">
                        <c:v>7.1813735261615202E-3</c:v>
                      </c:pt>
                      <c:pt idx="92">
                        <c:v>7.2286628028377219E-3</c:v>
                      </c:pt>
                      <c:pt idx="93">
                        <c:v>7.2758565892975255E-3</c:v>
                      </c:pt>
                      <c:pt idx="94">
                        <c:v>7.3229544272803565E-3</c:v>
                      </c:pt>
                      <c:pt idx="95">
                        <c:v>7.3699558760196683E-3</c:v>
                      </c:pt>
                      <c:pt idx="96">
                        <c:v>7.4168605118484603E-3</c:v>
                      </c:pt>
                      <c:pt idx="97">
                        <c:v>7.4636679278136725E-3</c:v>
                      </c:pt>
                      <c:pt idx="98">
                        <c:v>7.51037773329902E-3</c:v>
                      </c:pt>
                      <c:pt idx="99">
                        <c:v>7.5569895536562823E-3</c:v>
                      </c:pt>
                      <c:pt idx="100">
                        <c:v>7.6035030298446729E-3</c:v>
                      </c:pt>
                      <c:pt idx="101">
                        <c:v>7.649917818078231E-3</c:v>
                      </c:pt>
                      <c:pt idx="102">
                        <c:v>7.6962335894809695E-3</c:v>
                      </c:pt>
                      <c:pt idx="103">
                        <c:v>7.7424500297496E-3</c:v>
                      </c:pt>
                      <c:pt idx="104">
                        <c:v>7.7885668388237433E-3</c:v>
                      </c:pt>
                      <c:pt idx="105">
                        <c:v>7.8345837305633E-3</c:v>
                      </c:pt>
                      <c:pt idx="106">
                        <c:v>7.8805004324329873E-3</c:v>
                      </c:pt>
                      <c:pt idx="107">
                        <c:v>7.9263166851937291E-3</c:v>
                      </c:pt>
                      <c:pt idx="108">
                        <c:v>7.9720322426008444E-3</c:v>
                      </c:pt>
                      <c:pt idx="109">
                        <c:v>8.0176468711087821E-3</c:v>
                      </c:pt>
                      <c:pt idx="110">
                        <c:v>8.0631603495823888E-3</c:v>
                      </c:pt>
                      <c:pt idx="111">
                        <c:v>8.1085724690143843E-3</c:v>
                      </c:pt>
                      <c:pt idx="112">
                        <c:v>8.1538830322490582E-3</c:v>
                      </c:pt>
                      <c:pt idx="113">
                        <c:v>8.1990918537119383E-3</c:v>
                      </c:pt>
                      <c:pt idx="114">
                        <c:v>8.2441987591453519E-3</c:v>
                      </c:pt>
                      <c:pt idx="115">
                        <c:v>8.2892035853497498E-3</c:v>
                      </c:pt>
                      <c:pt idx="116">
                        <c:v>8.3341061799305904E-3</c:v>
                      </c:pt>
                      <c:pt idx="117">
                        <c:v>8.3789064010507588E-3</c:v>
                      </c:pt>
                      <c:pt idx="118">
                        <c:v>8.4236041171883089E-3</c:v>
                      </c:pt>
                      <c:pt idx="119">
                        <c:v>8.4681992068994412E-3</c:v>
                      </c:pt>
                      <c:pt idx="120">
                        <c:v>8.5126915585866433E-3</c:v>
                      </c:pt>
                      <c:pt idx="121">
                        <c:v>8.5570810702717947E-3</c:v>
                      </c:pt>
                      <c:pt idx="122">
                        <c:v>8.6013676493741139E-3</c:v>
                      </c:pt>
                      <c:pt idx="123">
                        <c:v>8.6455512124930384E-3</c:v>
                      </c:pt>
                      <c:pt idx="124">
                        <c:v>8.6896316851955823E-3</c:v>
                      </c:pt>
                      <c:pt idx="125">
                        <c:v>8.7336090018084005E-3</c:v>
                      </c:pt>
                      <c:pt idx="126">
                        <c:v>8.7774831052142756E-3</c:v>
                      </c:pt>
                      <c:pt idx="127">
                        <c:v>8.821253946652929E-3</c:v>
                      </c:pt>
                      <c:pt idx="128">
                        <c:v>8.86492148552619E-3</c:v>
                      </c:pt>
                      <c:pt idx="129">
                        <c:v>8.9084856892072371E-3</c:v>
                      </c:pt>
                      <c:pt idx="130">
                        <c:v>8.9519465328539698E-3</c:v>
                      </c:pt>
                      <c:pt idx="131">
                        <c:v>8.9953039992263818E-3</c:v>
                      </c:pt>
                      <c:pt idx="132">
                        <c:v>9.03855807850781E-3</c:v>
                      </c:pt>
                      <c:pt idx="133">
                        <c:v>9.0817087681299945E-3</c:v>
                      </c:pt>
                      <c:pt idx="134">
                        <c:v>9.1247560726018338E-3</c:v>
                      </c:pt>
                      <c:pt idx="135">
                        <c:v>9.1677000033419317E-3</c:v>
                      </c:pt>
                      <c:pt idx="136">
                        <c:v>9.2105405785144947E-3</c:v>
                      </c:pt>
                      <c:pt idx="137">
                        <c:v>9.253277822868864E-3</c:v>
                      </c:pt>
                      <c:pt idx="138">
                        <c:v>9.2959117675824737E-3</c:v>
                      </c:pt>
                      <c:pt idx="139">
                        <c:v>9.3384424501069888E-3</c:v>
                      </c:pt>
                      <c:pt idx="140">
                        <c:v>9.3808699140179395E-3</c:v>
                      </c:pt>
                      <c:pt idx="141">
                        <c:v>9.4231942088672856E-3</c:v>
                      </c:pt>
                      <c:pt idx="142">
                        <c:v>9.465415390039339E-3</c:v>
                      </c:pt>
                      <c:pt idx="143">
                        <c:v>9.5075335186095497E-3</c:v>
                      </c:pt>
                      <c:pt idx="144">
                        <c:v>9.5495486612064556E-3</c:v>
                      </c:pt>
                      <c:pt idx="145">
                        <c:v>9.5914608898763562E-3</c:v>
                      </c:pt>
                      <c:pt idx="146">
                        <c:v>9.6332702819510452E-3</c:v>
                      </c:pt>
                      <c:pt idx="147">
                        <c:v>9.6749769199182042E-3</c:v>
                      </c:pt>
                      <c:pt idx="148">
                        <c:v>9.7165808912945649E-3</c:v>
                      </c:pt>
                      <c:pt idx="149">
                        <c:v>9.758082288501781E-3</c:v>
                      </c:pt>
                      <c:pt idx="150">
                        <c:v>9.7994812087448483E-3</c:v>
                      </c:pt>
                      <c:pt idx="151">
                        <c:v>9.8407777538932067E-3</c:v>
                      </c:pt>
                      <c:pt idx="152">
                        <c:v>9.8819720303642312E-3</c:v>
                      </c:pt>
                      <c:pt idx="153">
                        <c:v>9.9230641490091961E-3</c:v>
                      </c:pt>
                      <c:pt idx="154">
                        <c:v>9.9640542250017203E-3</c:v>
                      </c:pt>
                      <c:pt idx="155">
                        <c:v>1.0004942377728468E-2</c:v>
                      </c:pt>
                      <c:pt idx="156">
                        <c:v>1.004572873068219E-2</c:v>
                      </c:pt>
                      <c:pt idx="157">
                        <c:v>1.0086413411357062E-2</c:v>
                      </c:pt>
                      <c:pt idx="158">
                        <c:v>1.0126996551146064E-2</c:v>
                      </c:pt>
                      <c:pt idx="159">
                        <c:v>1.0167478285240745E-2</c:v>
                      </c:pt>
                      <c:pt idx="160">
                        <c:v>1.0207858752532889E-2</c:v>
                      </c:pt>
                      <c:pt idx="161">
                        <c:v>1.0248138095518373E-2</c:v>
                      </c:pt>
                      <c:pt idx="162">
                        <c:v>1.0288316460202982E-2</c:v>
                      </c:pt>
                      <c:pt idx="163">
                        <c:v>1.0328393996010231E-2</c:v>
                      </c:pt>
                      <c:pt idx="164">
                        <c:v>1.036837085569111E-2</c:v>
                      </c:pt>
                      <c:pt idx="165">
                        <c:v>1.0408247195235747E-2</c:v>
                      </c:pt>
                      <c:pt idx="166">
                        <c:v>1.0448023173786864E-2</c:v>
                      </c:pt>
                      <c:pt idx="167">
                        <c:v>1.0487698953555112E-2</c:v>
                      </c:pt>
                      <c:pt idx="168">
                        <c:v>1.0527274699736154E-2</c:v>
                      </c:pt>
                      <c:pt idx="169">
                        <c:v>1.0566750580429503E-2</c:v>
                      </c:pt>
                      <c:pt idx="170">
                        <c:v>1.0606126766559029E-2</c:v>
                      </c:pt>
                      <c:pt idx="171">
                        <c:v>1.0645403431795186E-2</c:v>
                      </c:pt>
                      <c:pt idx="172">
                        <c:v>1.0684580752478806E-2</c:v>
                      </c:pt>
                      <c:pt idx="173">
                        <c:v>1.0723658907546561E-2</c:v>
                      </c:pt>
                      <c:pt idx="174">
                        <c:v>1.076263807845791E-2</c:v>
                      </c:pt>
                      <c:pt idx="175">
                        <c:v>1.0801518449123691E-2</c:v>
                      </c:pt>
                      <c:pt idx="176">
                        <c:v>1.0840300205836054E-2</c:v>
                      </c:pt>
                      <c:pt idx="177">
                        <c:v>1.0878983537200028E-2</c:v>
                      </c:pt>
                      <c:pt idx="178">
                        <c:v>1.0917568634066411E-2</c:v>
                      </c:pt>
                      <c:pt idx="179">
                        <c:v>1.0956055689466105E-2</c:v>
                      </c:pt>
                      <c:pt idx="180">
                        <c:v>1.0994444898545848E-2</c:v>
                      </c:pt>
                      <c:pt idx="181">
                        <c:v>1.1032736458505266E-2</c:v>
                      </c:pt>
                      <c:pt idx="182">
                        <c:v>1.1070930568535258E-2</c:v>
                      </c:pt>
                      <c:pt idx="183">
                        <c:v>1.1109027429757706E-2</c:v>
                      </c:pt>
                      <c:pt idx="184">
                        <c:v>1.1147027245166344E-2</c:v>
                      </c:pt>
                      <c:pt idx="185">
                        <c:v>1.1184930219569065E-2</c:v>
                      </c:pt>
                      <c:pt idx="186">
                        <c:v>1.1222736559531222E-2</c:v>
                      </c:pt>
                      <c:pt idx="187">
                        <c:v>1.1260446473320303E-2</c:v>
                      </c:pt>
                      <c:pt idx="188">
                        <c:v>1.1298060170851615E-2</c:v>
                      </c:pt>
                      <c:pt idx="189">
                        <c:v>1.1335577863635244E-2</c:v>
                      </c:pt>
                      <c:pt idx="190">
                        <c:v>1.1372999764724103E-2</c:v>
                      </c:pt>
                      <c:pt idx="191">
                        <c:v>1.1410326088662963E-2</c:v>
                      </c:pt>
                      <c:pt idx="192">
                        <c:v>1.1447557051438722E-2</c:v>
                      </c:pt>
                      <c:pt idx="193">
                        <c:v>1.1484692870431619E-2</c:v>
                      </c:pt>
                      <c:pt idx="194">
                        <c:v>1.1521733764367515E-2</c:v>
                      </c:pt>
                      <c:pt idx="195">
                        <c:v>1.1558679953271166E-2</c:v>
                      </c:pt>
                      <c:pt idx="196">
                        <c:v>1.1595531658420494E-2</c:v>
                      </c:pt>
                      <c:pt idx="197">
                        <c:v>1.1632289102301819E-2</c:v>
                      </c:pt>
                      <c:pt idx="198">
                        <c:v>1.1668952508566081E-2</c:v>
                      </c:pt>
                      <c:pt idx="199">
                        <c:v>1.1705522101985904E-2</c:v>
                      </c:pt>
                      <c:pt idx="200">
                        <c:v>1.1741998108413641E-2</c:v>
                      </c:pt>
                    </c:numCache>
                  </c:numRef>
                </c:val>
                <c:smooth val="0"/>
                <c:extLst xmlns:c15="http://schemas.microsoft.com/office/drawing/2012/chart">
                  <c:ext xmlns:c16="http://schemas.microsoft.com/office/drawing/2014/chart" uri="{C3380CC4-5D6E-409C-BE32-E72D297353CC}">
                    <c16:uniqueId val="{00000008-DAC0-423F-B197-448F000A954F}"/>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VIN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Calculations'!$X$9:$X$209</c15:sqref>
                        </c15:formulaRef>
                      </c:ext>
                    </c:extLst>
                    <c:numCache>
                      <c:formatCode>0.000</c:formatCode>
                      <c:ptCount val="201"/>
                      <c:pt idx="0">
                        <c:v>0.89849918959212216</c:v>
                      </c:pt>
                      <c:pt idx="1">
                        <c:v>0.89856554358310536</c:v>
                      </c:pt>
                      <c:pt idx="2">
                        <c:v>0.89863205432339699</c:v>
                      </c:pt>
                      <c:pt idx="3">
                        <c:v>0.89869871382199906</c:v>
                      </c:pt>
                      <c:pt idx="4">
                        <c:v>0.89876551428543616</c:v>
                      </c:pt>
                      <c:pt idx="5">
                        <c:v>0.89883244811287077</c:v>
                      </c:pt>
                      <c:pt idx="6">
                        <c:v>0.89889950789134287</c:v>
                      </c:pt>
                      <c:pt idx="7">
                        <c:v>0.8989666863911413</c:v>
                      </c:pt>
                      <c:pt idx="8">
                        <c:v>0.89903397656129536</c:v>
                      </c:pt>
                      <c:pt idx="9">
                        <c:v>0.89910137152518987</c:v>
                      </c:pt>
                      <c:pt idx="10">
                        <c:v>0.89916886457629241</c:v>
                      </c:pt>
                      <c:pt idx="11">
                        <c:v>0.89923644917399836</c:v>
                      </c:pt>
                      <c:pt idx="12">
                        <c:v>0.89930411893958162</c:v>
                      </c:pt>
                      <c:pt idx="13">
                        <c:v>0.89937186765225141</c:v>
                      </c:pt>
                      <c:pt idx="14">
                        <c:v>0.89943968924531881</c:v>
                      </c:pt>
                      <c:pt idx="15">
                        <c:v>0.89950757780245649</c:v>
                      </c:pt>
                      <c:pt idx="16">
                        <c:v>0.89957552755405856</c:v>
                      </c:pt>
                      <c:pt idx="17">
                        <c:v>0.89964353287369869</c:v>
                      </c:pt>
                      <c:pt idx="18">
                        <c:v>0.8997115882746729</c:v>
                      </c:pt>
                      <c:pt idx="19">
                        <c:v>0.89977968840664058</c:v>
                      </c:pt>
                      <c:pt idx="20">
                        <c:v>0.89984782805234487</c:v>
                      </c:pt>
                      <c:pt idx="21">
                        <c:v>0.89991600212442246</c:v>
                      </c:pt>
                      <c:pt idx="22">
                        <c:v>0.89998420566229376</c:v>
                      </c:pt>
                      <c:pt idx="23">
                        <c:v>0.90005243382913069</c:v>
                      </c:pt>
                      <c:pt idx="24">
                        <c:v>0.90012068190890759</c:v>
                      </c:pt>
                      <c:pt idx="25">
                        <c:v>0.90018894530352056</c:v>
                      </c:pt>
                      <c:pt idx="26">
                        <c:v>0.90025721952998705</c:v>
                      </c:pt>
                      <c:pt idx="27">
                        <c:v>0.90032550021771052</c:v>
                      </c:pt>
                      <c:pt idx="28">
                        <c:v>0.90039378310581708</c:v>
                      </c:pt>
                      <c:pt idx="29">
                        <c:v>0.90046206404056262</c:v>
                      </c:pt>
                      <c:pt idx="30">
                        <c:v>0.90053033897279733</c:v>
                      </c:pt>
                      <c:pt idx="31">
                        <c:v>0.90059860395550362</c:v>
                      </c:pt>
                      <c:pt idx="32">
                        <c:v>0.90066685514138678</c:v>
                      </c:pt>
                      <c:pt idx="33">
                        <c:v>0.90073508878053432</c:v>
                      </c:pt>
                      <c:pt idx="34">
                        <c:v>0.90080330121812735</c:v>
                      </c:pt>
                      <c:pt idx="35">
                        <c:v>0.90087148889220969</c:v>
                      </c:pt>
                      <c:pt idx="36">
                        <c:v>0.90093964833151963</c:v>
                      </c:pt>
                      <c:pt idx="37">
                        <c:v>0.90100777615336414</c:v>
                      </c:pt>
                      <c:pt idx="38">
                        <c:v>0.9010758690615549</c:v>
                      </c:pt>
                      <c:pt idx="39">
                        <c:v>0.90114392384439157</c:v>
                      </c:pt>
                      <c:pt idx="40">
                        <c:v>0.90121193737269489</c:v>
                      </c:pt>
                      <c:pt idx="41">
                        <c:v>0.90127990659788837</c:v>
                      </c:pt>
                      <c:pt idx="42">
                        <c:v>0.90134782855012718</c:v>
                      </c:pt>
                      <c:pt idx="43">
                        <c:v>0.90141570033647223</c:v>
                      </c:pt>
                      <c:pt idx="44">
                        <c:v>0.9014835191391104</c:v>
                      </c:pt>
                      <c:pt idx="45">
                        <c:v>0.90155128221361769</c:v>
                      </c:pt>
                      <c:pt idx="46">
                        <c:v>0.90161898688726194</c:v>
                      </c:pt>
                      <c:pt idx="47">
                        <c:v>0.90168663055735043</c:v>
                      </c:pt>
                      <c:pt idx="48">
                        <c:v>0.90175421068961614</c:v>
                      </c:pt>
                      <c:pt idx="49">
                        <c:v>0.90182172481664202</c:v>
                      </c:pt>
                      <c:pt idx="50">
                        <c:v>0.90188917053632423</c:v>
                      </c:pt>
                      <c:pt idx="51">
                        <c:v>0.90195654551037341</c:v>
                      </c:pt>
                      <c:pt idx="52">
                        <c:v>0.90202384746284803</c:v>
                      </c:pt>
                      <c:pt idx="53">
                        <c:v>0.90209107417872814</c:v>
                      </c:pt>
                      <c:pt idx="54">
                        <c:v>0.90215822350252062</c:v>
                      </c:pt>
                      <c:pt idx="55">
                        <c:v>0.90222529333689683</c:v>
                      </c:pt>
                      <c:pt idx="56">
                        <c:v>0.90229228164136199</c:v>
                      </c:pt>
                      <c:pt idx="57">
                        <c:v>0.90235918643096225</c:v>
                      </c:pt>
                      <c:pt idx="58">
                        <c:v>0.9024260057750142</c:v>
                      </c:pt>
                      <c:pt idx="59">
                        <c:v>0.90249273779586958</c:v>
                      </c:pt>
                      <c:pt idx="60">
                        <c:v>0.90255938066770958</c:v>
                      </c:pt>
                      <c:pt idx="61">
                        <c:v>0.90262593261536217</c:v>
                      </c:pt>
                      <c:pt idx="62">
                        <c:v>0.90269239191315509</c:v>
                      </c:pt>
                      <c:pt idx="63">
                        <c:v>0.90275875688378904</c:v>
                      </c:pt>
                      <c:pt idx="64">
                        <c:v>0.90282502589724067</c:v>
                      </c:pt>
                      <c:pt idx="65">
                        <c:v>0.90289119736969137</c:v>
                      </c:pt>
                      <c:pt idx="66">
                        <c:v>0.90295726976247914</c:v>
                      </c:pt>
                      <c:pt idx="67">
                        <c:v>0.90302324158107672</c:v>
                      </c:pt>
                      <c:pt idx="68">
                        <c:v>0.90308911137409276</c:v>
                      </c:pt>
                      <c:pt idx="69">
                        <c:v>0.90315487773229564</c:v>
                      </c:pt>
                      <c:pt idx="70">
                        <c:v>0.90322053928766133</c:v>
                      </c:pt>
                      <c:pt idx="71">
                        <c:v>0.90328609471244281</c:v>
                      </c:pt>
                      <c:pt idx="72">
                        <c:v>0.9033515427182589</c:v>
                      </c:pt>
                      <c:pt idx="73">
                        <c:v>0.90341688205520809</c:v>
                      </c:pt>
                      <c:pt idx="74">
                        <c:v>0.90348211151099878</c:v>
                      </c:pt>
                      <c:pt idx="75">
                        <c:v>0.9035472299101025</c:v>
                      </c:pt>
                      <c:pt idx="76">
                        <c:v>0.9036122361129254</c:v>
                      </c:pt>
                      <c:pt idx="77">
                        <c:v>0.90367712901499764</c:v>
                      </c:pt>
                      <c:pt idx="78">
                        <c:v>0.90374190754618289</c:v>
                      </c:pt>
                      <c:pt idx="79">
                        <c:v>0.90380657066990588</c:v>
                      </c:pt>
                      <c:pt idx="80">
                        <c:v>0.903871117382397</c:v>
                      </c:pt>
                      <c:pt idx="81">
                        <c:v>0.90393554671195242</c:v>
                      </c:pt>
                      <c:pt idx="82">
                        <c:v>0.90399985771821534</c:v>
                      </c:pt>
                      <c:pt idx="83">
                        <c:v>0.90406404949146912</c:v>
                      </c:pt>
                      <c:pt idx="84">
                        <c:v>0.90412812115194829</c:v>
                      </c:pt>
                      <c:pt idx="85">
                        <c:v>0.90419207184916628</c:v>
                      </c:pt>
                      <c:pt idx="86">
                        <c:v>0.90425590076125451</c:v>
                      </c:pt>
                      <c:pt idx="87">
                        <c:v>0.90431960709432291</c:v>
                      </c:pt>
                      <c:pt idx="88">
                        <c:v>0.90438319008182821</c:v>
                      </c:pt>
                      <c:pt idx="89">
                        <c:v>0.90444664898395732</c:v>
                      </c:pt>
                      <c:pt idx="90">
                        <c:v>0.90450998308703079</c:v>
                      </c:pt>
                      <c:pt idx="91">
                        <c:v>0.90457319170291262</c:v>
                      </c:pt>
                      <c:pt idx="92">
                        <c:v>0.90463627416843462</c:v>
                      </c:pt>
                      <c:pt idx="93">
                        <c:v>0.9046992298448373</c:v>
                      </c:pt>
                      <c:pt idx="94">
                        <c:v>0.90476205811722044</c:v>
                      </c:pt>
                      <c:pt idx="95">
                        <c:v>0.90482475839400256</c:v>
                      </c:pt>
                      <c:pt idx="96">
                        <c:v>0.90488733010640154</c:v>
                      </c:pt>
                      <c:pt idx="97">
                        <c:v>0.90494977270791732</c:v>
                      </c:pt>
                      <c:pt idx="98">
                        <c:v>0.90501208567383118</c:v>
                      </c:pt>
                      <c:pt idx="99">
                        <c:v>0.90507426850071437</c:v>
                      </c:pt>
                      <c:pt idx="100">
                        <c:v>0.90513632070594985</c:v>
                      </c:pt>
                      <c:pt idx="101">
                        <c:v>0.90519824182726072</c:v>
                      </c:pt>
                      <c:pt idx="102">
                        <c:v>0.9052600314222522</c:v>
                      </c:pt>
                      <c:pt idx="103">
                        <c:v>0.90532168906796329</c:v>
                      </c:pt>
                      <c:pt idx="104">
                        <c:v>0.90538321436042657</c:v>
                      </c:pt>
                      <c:pt idx="105">
                        <c:v>0.90544460691423967</c:v>
                      </c:pt>
                      <c:pt idx="106">
                        <c:v>0.90550586636214447</c:v>
                      </c:pt>
                      <c:pt idx="107">
                        <c:v>0.90556699235461713</c:v>
                      </c:pt>
                      <c:pt idx="108">
                        <c:v>0.90562798455946569</c:v>
                      </c:pt>
                      <c:pt idx="109">
                        <c:v>0.90568884266143701</c:v>
                      </c:pt>
                      <c:pt idx="110">
                        <c:v>0.90574956636183279</c:v>
                      </c:pt>
                      <c:pt idx="111">
                        <c:v>0.90581015537813314</c:v>
                      </c:pt>
                      <c:pt idx="112">
                        <c:v>0.90587060944362929</c:v>
                      </c:pt>
                      <c:pt idx="113">
                        <c:v>0.90593092830706234</c:v>
                      </c:pt>
                      <c:pt idx="114">
                        <c:v>0.90599111173227231</c:v>
                      </c:pt>
                      <c:pt idx="115">
                        <c:v>0.90605115949785364</c:v>
                      </c:pt>
                      <c:pt idx="116">
                        <c:v>0.90611107139681746</c:v>
                      </c:pt>
                      <c:pt idx="117">
                        <c:v>0.9061708472362634</c:v>
                      </c:pt>
                      <c:pt idx="118">
                        <c:v>0.90623048683705509</c:v>
                      </c:pt>
                      <c:pt idx="119">
                        <c:v>0.90628999003350563</c:v>
                      </c:pt>
                      <c:pt idx="120">
                        <c:v>0.9063493566730686</c:v>
                      </c:pt>
                      <c:pt idx="121">
                        <c:v>0.90640858661603774</c:v>
                      </c:pt>
                      <c:pt idx="122">
                        <c:v>0.90646767973524711</c:v>
                      </c:pt>
                      <c:pt idx="123">
                        <c:v>0.90652663591578542</c:v>
                      </c:pt>
                      <c:pt idx="124">
                        <c:v>0.90658545505471211</c:v>
                      </c:pt>
                      <c:pt idx="125">
                        <c:v>0.90664413706078029</c:v>
                      </c:pt>
                      <c:pt idx="126">
                        <c:v>0.90670268185416492</c:v>
                      </c:pt>
                      <c:pt idx="127">
                        <c:v>0.90676108936619815</c:v>
                      </c:pt>
                      <c:pt idx="128">
                        <c:v>0.90681935953911053</c:v>
                      </c:pt>
                      <c:pt idx="129">
                        <c:v>0.90687749232577619</c:v>
                      </c:pt>
                      <c:pt idx="130">
                        <c:v>0.90693548768946364</c:v>
                      </c:pt>
                      <c:pt idx="131">
                        <c:v>0.90699334560359368</c:v>
                      </c:pt>
                      <c:pt idx="132">
                        <c:v>0.90705106605150099</c:v>
                      </c:pt>
                      <c:pt idx="133">
                        <c:v>0.90710864902620147</c:v>
                      </c:pt>
                      <c:pt idx="134">
                        <c:v>0.90716609453016228</c:v>
                      </c:pt>
                      <c:pt idx="135">
                        <c:v>0.90722340257508127</c:v>
                      </c:pt>
                      <c:pt idx="136">
                        <c:v>0.9072805731816671</c:v>
                      </c:pt>
                      <c:pt idx="137">
                        <c:v>0.90733760637942484</c:v>
                      </c:pt>
                      <c:pt idx="138">
                        <c:v>0.90739450220644968</c:v>
                      </c:pt>
                      <c:pt idx="139">
                        <c:v>0.90745126070921656</c:v>
                      </c:pt>
                      <c:pt idx="140">
                        <c:v>0.90750788194238563</c:v>
                      </c:pt>
                      <c:pt idx="141">
                        <c:v>0.90756436596860268</c:v>
                      </c:pt>
                      <c:pt idx="142">
                        <c:v>0.90762071285830781</c:v>
                      </c:pt>
                      <c:pt idx="143">
                        <c:v>0.90767692268954658</c:v>
                      </c:pt>
                      <c:pt idx="144">
                        <c:v>0.90773299554778808</c:v>
                      </c:pt>
                      <c:pt idx="145">
                        <c:v>0.90778893152574214</c:v>
                      </c:pt>
                      <c:pt idx="146">
                        <c:v>0.90784473072318472</c:v>
                      </c:pt>
                      <c:pt idx="147">
                        <c:v>0.90790039324678529</c:v>
                      </c:pt>
                      <c:pt idx="148">
                        <c:v>0.90795591920993557</c:v>
                      </c:pt>
                      <c:pt idx="149">
                        <c:v>0.9080113087325884</c:v>
                      </c:pt>
                      <c:pt idx="150">
                        <c:v>0.9080665619410907</c:v>
                      </c:pt>
                      <c:pt idx="151">
                        <c:v>0.90812167896802876</c:v>
                      </c:pt>
                      <c:pt idx="152">
                        <c:v>0.90817665995207131</c:v>
                      </c:pt>
                      <c:pt idx="153">
                        <c:v>0.90823150503781802</c:v>
                      </c:pt>
                      <c:pt idx="154">
                        <c:v>0.90828621437565005</c:v>
                      </c:pt>
                      <c:pt idx="155">
                        <c:v>0.90834078812158614</c:v>
                      </c:pt>
                      <c:pt idx="156">
                        <c:v>0.90839522643713844</c:v>
                      </c:pt>
                      <c:pt idx="157">
                        <c:v>0.90844952948917279</c:v>
                      </c:pt>
                      <c:pt idx="158">
                        <c:v>0.90850369744977333</c:v>
                      </c:pt>
                      <c:pt idx="159">
                        <c:v>0.908557730496109</c:v>
                      </c:pt>
                      <c:pt idx="160">
                        <c:v>0.90861162881029922</c:v>
                      </c:pt>
                      <c:pt idx="161">
                        <c:v>0.90866539257929102</c:v>
                      </c:pt>
                      <c:pt idx="162">
                        <c:v>0.90871902199472798</c:v>
                      </c:pt>
                      <c:pt idx="163">
                        <c:v>0.9087725172528317</c:v>
                      </c:pt>
                      <c:pt idx="164">
                        <c:v>0.90882587855427921</c:v>
                      </c:pt>
                      <c:pt idx="165">
                        <c:v>0.90887910610408573</c:v>
                      </c:pt>
                      <c:pt idx="166">
                        <c:v>0.90893220011148934</c:v>
                      </c:pt>
                      <c:pt idx="167">
                        <c:v>0.90898516078983782</c:v>
                      </c:pt>
                      <c:pt idx="168">
                        <c:v>0.90903798835647809</c:v>
                      </c:pt>
                      <c:pt idx="169">
                        <c:v>0.90909068303264895</c:v>
                      </c:pt>
                      <c:pt idx="170">
                        <c:v>0.9091432450433734</c:v>
                      </c:pt>
                      <c:pt idx="171">
                        <c:v>0.90919567461735595</c:v>
                      </c:pt>
                      <c:pt idx="172">
                        <c:v>0.90924797198688168</c:v>
                      </c:pt>
                      <c:pt idx="173">
                        <c:v>0.90930013738771565</c:v>
                      </c:pt>
                      <c:pt idx="174">
                        <c:v>0.90935217105900479</c:v>
                      </c:pt>
                      <c:pt idx="175">
                        <c:v>0.90940407324318584</c:v>
                      </c:pt>
                      <c:pt idx="176">
                        <c:v>0.90945584418588699</c:v>
                      </c:pt>
                      <c:pt idx="177">
                        <c:v>0.90950748413584226</c:v>
                      </c:pt>
                      <c:pt idx="178">
                        <c:v>0.90955899334479684</c:v>
                      </c:pt>
                      <c:pt idx="179">
                        <c:v>0.90961037206742312</c:v>
                      </c:pt>
                      <c:pt idx="180">
                        <c:v>0.90966162056123279</c:v>
                      </c:pt>
                      <c:pt idx="181">
                        <c:v>0.90971273908649408</c:v>
                      </c:pt>
                      <c:pt idx="182">
                        <c:v>0.90976372790614879</c:v>
                      </c:pt>
                      <c:pt idx="183">
                        <c:v>0.90981458728573361</c:v>
                      </c:pt>
                      <c:pt idx="184">
                        <c:v>0.90986531749329647</c:v>
                      </c:pt>
                      <c:pt idx="185">
                        <c:v>0.90991591879932687</c:v>
                      </c:pt>
                      <c:pt idx="186">
                        <c:v>0.90996639147667346</c:v>
                      </c:pt>
                      <c:pt idx="187">
                        <c:v>0.91001673580047482</c:v>
                      </c:pt>
                      <c:pt idx="188">
                        <c:v>0.91006695204808385</c:v>
                      </c:pt>
                      <c:pt idx="189">
                        <c:v>0.91011704049899866</c:v>
                      </c:pt>
                      <c:pt idx="190">
                        <c:v>0.91016700143479434</c:v>
                      </c:pt>
                      <c:pt idx="191">
                        <c:v>0.91021683513905016</c:v>
                      </c:pt>
                      <c:pt idx="192">
                        <c:v>0.91026654189728984</c:v>
                      </c:pt>
                      <c:pt idx="193">
                        <c:v>0.9103161219969117</c:v>
                      </c:pt>
                      <c:pt idx="194">
                        <c:v>0.91036557572712662</c:v>
                      </c:pt>
                      <c:pt idx="195">
                        <c:v>0.91041490337889464</c:v>
                      </c:pt>
                      <c:pt idx="196">
                        <c:v>0.91046410524486598</c:v>
                      </c:pt>
                      <c:pt idx="197">
                        <c:v>0.91051318161931916</c:v>
                      </c:pt>
                      <c:pt idx="198">
                        <c:v>0.91056213279810372</c:v>
                      </c:pt>
                      <c:pt idx="199">
                        <c:v>0.91061095907858247</c:v>
                      </c:pt>
                      <c:pt idx="200">
                        <c:v>0.9106596607595755</c:v>
                      </c:pt>
                    </c:numCache>
                  </c:numRef>
                </c:val>
                <c:smooth val="0"/>
                <c:extLst xmlns:c15="http://schemas.microsoft.com/office/drawing/2012/chart">
                  <c:ext xmlns:c16="http://schemas.microsoft.com/office/drawing/2014/chart" uri="{C3380CC4-5D6E-409C-BE32-E72D297353CC}">
                    <c16:uniqueId val="{00000009-DAC0-423F-B197-448F000A954F}"/>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VIN Calculations'!$Y$8</c15:sqref>
                        </c15:formulaRef>
                      </c:ext>
                    </c:extLst>
                    <c:strCache>
                      <c:ptCount val="1"/>
                      <c:pt idx="0">
                        <c:v>Core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Calculations'!$Y$9:$Y$209</c15:sqref>
                        </c15:formulaRef>
                      </c:ext>
                    </c:extLst>
                    <c:numCache>
                      <c:formatCode>0.000</c:formatCode>
                      <c:ptCount val="201"/>
                      <c:pt idx="0">
                        <c:v>0.26799715872171348</c:v>
                      </c:pt>
                      <c:pt idx="1">
                        <c:v>0.27385896205927035</c:v>
                      </c:pt>
                      <c:pt idx="2">
                        <c:v>0.27975121583219742</c:v>
                      </c:pt>
                      <c:pt idx="3">
                        <c:v>0.28567306591099251</c:v>
                      </c:pt>
                      <c:pt idx="4">
                        <c:v>0.29162367340451267</c:v>
                      </c:pt>
                      <c:pt idx="5">
                        <c:v>0.29760221444524654</c:v>
                      </c:pt>
                      <c:pt idx="6">
                        <c:v>0.3036078799742758</c:v>
                      </c:pt>
                      <c:pt idx="7">
                        <c:v>0.30963987552621391</c:v>
                      </c:pt>
                      <c:pt idx="8">
                        <c:v>0.31569742101438547</c:v>
                      </c:pt>
                      <c:pt idx="9">
                        <c:v>0.32177975051649033</c:v>
                      </c:pt>
                      <c:pt idx="10">
                        <c:v>0.32788611206096679</c:v>
                      </c:pt>
                      <c:pt idx="11">
                        <c:v>0.33401576741426192</c:v>
                      </c:pt>
                      <c:pt idx="12">
                        <c:v>0.34016799186917956</c:v>
                      </c:pt>
                      <c:pt idx="13">
                        <c:v>0.34634207403448503</c:v>
                      </c:pt>
                      <c:pt idx="14">
                        <c:v>0.35253731562590362</c:v>
                      </c:pt>
                      <c:pt idx="15">
                        <c:v>0.35875303125865643</c:v>
                      </c:pt>
                      <c:pt idx="16">
                        <c:v>0.36498854824165494</c:v>
                      </c:pt>
                      <c:pt idx="17">
                        <c:v>0.37124320637346037</c:v>
                      </c:pt>
                      <c:pt idx="18">
                        <c:v>0.377516357740108</c:v>
                      </c:pt>
                      <c:pt idx="19">
                        <c:v>0.38380736651489256</c:v>
                      </c:pt>
                      <c:pt idx="20">
                        <c:v>0.39011560876017426</c:v>
                      </c:pt>
                      <c:pt idx="21">
                        <c:v>0.39644047223130435</c:v>
                      </c:pt>
                      <c:pt idx="22">
                        <c:v>0.40278135618269306</c:v>
                      </c:pt>
                      <c:pt idx="23">
                        <c:v>0.40913767117611716</c:v>
                      </c:pt>
                      <c:pt idx="24">
                        <c:v>0.41550883889127527</c:v>
                      </c:pt>
                      <c:pt idx="25">
                        <c:v>0.4218942919386513</c:v>
                      </c:pt>
                      <c:pt idx="26">
                        <c:v>0.42829347367472315</c:v>
                      </c:pt>
                      <c:pt idx="27">
                        <c:v>0.43470583801952623</c:v>
                      </c:pt>
                      <c:pt idx="28">
                        <c:v>0.44113084927661728</c:v>
                      </c:pt>
                      <c:pt idx="29">
                        <c:v>0.44756798195543757</c:v>
                      </c:pt>
                      <c:pt idx="30">
                        <c:v>0.45401672059610781</c:v>
                      </c:pt>
                      <c:pt idx="31">
                        <c:v>0.46047655959664713</c:v>
                      </c:pt>
                      <c:pt idx="32">
                        <c:v>0.46694700304263459</c:v>
                      </c:pt>
                      <c:pt idx="33">
                        <c:v>0.47342756453931534</c:v>
                      </c:pt>
                      <c:pt idx="34">
                        <c:v>0.47991776704614708</c:v>
                      </c:pt>
                      <c:pt idx="35">
                        <c:v>0.48641714271377889</c:v>
                      </c:pt>
                      <c:pt idx="36">
                        <c:v>0.49292523272347771</c:v>
                      </c:pt>
                      <c:pt idx="37">
                        <c:v>0.49944158712896403</c:v>
                      </c:pt>
                      <c:pt idx="38">
                        <c:v>0.50596576470067733</c:v>
                      </c:pt>
                      <c:pt idx="39">
                        <c:v>0.51249733277243059</c:v>
                      </c:pt>
                      <c:pt idx="40">
                        <c:v>0.51903586709046623</c:v>
                      </c:pt>
                      <c:pt idx="41">
                        <c:v>0.52558095166487984</c:v>
                      </c:pt>
                      <c:pt idx="42">
                        <c:v>0.53213217862338946</c:v>
                      </c:pt>
                      <c:pt idx="43">
                        <c:v>0.53868914806746193</c:v>
                      </c:pt>
                      <c:pt idx="44">
                        <c:v>0.54525146793074053</c:v>
                      </c:pt>
                      <c:pt idx="45">
                        <c:v>0.55181875383977319</c:v>
                      </c:pt>
                      <c:pt idx="46">
                        <c:v>0.55839062897701663</c:v>
                      </c:pt>
                      <c:pt idx="47">
                        <c:v>0.56496672394608782</c:v>
                      </c:pt>
                      <c:pt idx="48">
                        <c:v>0.57154667663924841</c:v>
                      </c:pt>
                      <c:pt idx="49">
                        <c:v>0.5781301321070822</c:v>
                      </c:pt>
                      <c:pt idx="50">
                        <c:v>0.5847167424303612</c:v>
                      </c:pt>
                      <c:pt idx="51">
                        <c:v>0.5913061665940581</c:v>
                      </c:pt>
                      <c:pt idx="52">
                        <c:v>0.59789807036348053</c:v>
                      </c:pt>
                      <c:pt idx="53">
                        <c:v>0.60449212616251735</c:v>
                      </c:pt>
                      <c:pt idx="54">
                        <c:v>0.61108801295394122</c:v>
                      </c:pt>
                      <c:pt idx="55">
                        <c:v>0.61768541612177308</c:v>
                      </c:pt>
                      <c:pt idx="56">
                        <c:v>0.62428402735565114</c:v>
                      </c:pt>
                      <c:pt idx="57">
                        <c:v>0.63088354453719464</c:v>
                      </c:pt>
                      <c:pt idx="58">
                        <c:v>0.63748367162834119</c:v>
                      </c:pt>
                      <c:pt idx="59">
                        <c:v>0.64408411856159919</c:v>
                      </c:pt>
                      <c:pt idx="60">
                        <c:v>0.65068460113222704</c:v>
                      </c:pt>
                      <c:pt idx="61">
                        <c:v>0.65728484089227479</c:v>
                      </c:pt>
                      <c:pt idx="62">
                        <c:v>0.66388456504649618</c:v>
                      </c:pt>
                      <c:pt idx="63">
                        <c:v>0.6704835063500646</c:v>
                      </c:pt>
                      <c:pt idx="64">
                        <c:v>0.67708140300810482</c:v>
                      </c:pt>
                      <c:pt idx="65">
                        <c:v>0.6836779985769762</c:v>
                      </c:pt>
                      <c:pt idx="66">
                        <c:v>0.69027304186731098</c:v>
                      </c:pt>
                      <c:pt idx="67">
                        <c:v>0.69686628684875918</c:v>
                      </c:pt>
                      <c:pt idx="68">
                        <c:v>0.70345749255641965</c:v>
                      </c:pt>
                      <c:pt idx="69">
                        <c:v>0.71004642299894005</c:v>
                      </c:pt>
                      <c:pt idx="70">
                        <c:v>0.71663284706823749</c:v>
                      </c:pt>
                      <c:pt idx="71">
                        <c:v>0.72321653845083766</c:v>
                      </c:pt>
                      <c:pt idx="72">
                        <c:v>0.72979727554078666</c:v>
                      </c:pt>
                      <c:pt idx="73">
                        <c:v>0.7363748413541219</c:v>
                      </c:pt>
                      <c:pt idx="74">
                        <c:v>0.74294902344486846</c:v>
                      </c:pt>
                      <c:pt idx="75">
                        <c:v>0.74951961382254484</c:v>
                      </c:pt>
                      <c:pt idx="76">
                        <c:v>0.75608640887113621</c:v>
                      </c:pt>
                      <c:pt idx="77">
                        <c:v>0.76264920926953395</c:v>
                      </c:pt>
                      <c:pt idx="78">
                        <c:v>0.76920781991339493</c:v>
                      </c:pt>
                      <c:pt idx="79">
                        <c:v>0.77576204983840247</c:v>
                      </c:pt>
                      <c:pt idx="80">
                        <c:v>0.78231171214492201</c:v>
                      </c:pt>
                      <c:pt idx="81">
                        <c:v>0.78885662392399281</c:v>
                      </c:pt>
                      <c:pt idx="82">
                        <c:v>0.79539660618467223</c:v>
                      </c:pt>
                      <c:pt idx="83">
                        <c:v>0.80193148378267609</c:v>
                      </c:pt>
                      <c:pt idx="84">
                        <c:v>0.80846108535031147</c:v>
                      </c:pt>
                      <c:pt idx="85">
                        <c:v>0.81498524322767218</c:v>
                      </c:pt>
                      <c:pt idx="86">
                        <c:v>0.82150379339508517</c:v>
                      </c:pt>
                      <c:pt idx="87">
                        <c:v>0.82801657540676066</c:v>
                      </c:pt>
                      <c:pt idx="88">
                        <c:v>0.83452343232565696</c:v>
                      </c:pt>
                      <c:pt idx="89">
                        <c:v>0.84102421065951249</c:v>
                      </c:pt>
                      <c:pt idx="90">
                        <c:v>0.84751876029804463</c:v>
                      </c:pt>
                      <c:pt idx="91">
                        <c:v>0.85400693445127351</c:v>
                      </c:pt>
                      <c:pt idx="92">
                        <c:v>0.86048858958897401</c:v>
                      </c:pt>
                      <c:pt idx="93">
                        <c:v>0.8669635853812101</c:v>
                      </c:pt>
                      <c:pt idx="94">
                        <c:v>0.87343178463995752</c:v>
                      </c:pt>
                      <c:pt idx="95">
                        <c:v>0.87989305326177814</c:v>
                      </c:pt>
                      <c:pt idx="96">
                        <c:v>0.88634726017152954</c:v>
                      </c:pt>
                      <c:pt idx="97">
                        <c:v>0.89279427726710603</c:v>
                      </c:pt>
                      <c:pt idx="98">
                        <c:v>0.89923397936515903</c:v>
                      </c:pt>
                      <c:pt idx="99">
                        <c:v>0.9056662441478246</c:v>
                      </c:pt>
                      <c:pt idx="100">
                        <c:v>0.91209095211039881</c:v>
                      </c:pt>
                      <c:pt idx="101">
                        <c:v>0.91850798650996723</c:v>
                      </c:pt>
                      <c:pt idx="102">
                        <c:v>0.92491723331496545</c:v>
                      </c:pt>
                      <c:pt idx="103">
                        <c:v>0.93131858115564692</c:v>
                      </c:pt>
                      <c:pt idx="104">
                        <c:v>0.9377119212754581</c:v>
                      </c:pt>
                      <c:pt idx="105">
                        <c:v>0.94409714748328499</c:v>
                      </c:pt>
                      <c:pt idx="106">
                        <c:v>0.9504741561065615</c:v>
                      </c:pt>
                      <c:pt idx="107">
                        <c:v>0.95684284594524271</c:v>
                      </c:pt>
                      <c:pt idx="108">
                        <c:v>0.96320311822659066</c:v>
                      </c:pt>
                      <c:pt idx="109">
                        <c:v>0.9695548765607882</c:v>
                      </c:pt>
                      <c:pt idx="110">
                        <c:v>0.97589802689736338</c:v>
                      </c:pt>
                      <c:pt idx="111">
                        <c:v>0.98223247748238085</c:v>
                      </c:pt>
                      <c:pt idx="112">
                        <c:v>0.98855813881642973</c:v>
                      </c:pt>
                      <c:pt idx="113">
                        <c:v>0.99487492361335217</c:v>
                      </c:pt>
                      <c:pt idx="114">
                        <c:v>1.0011827467597332</c:v>
                      </c:pt>
                      <c:pt idx="115">
                        <c:v>1.0074815252751104</c:v>
                      </c:pt>
                      <c:pt idx="116">
                        <c:v>1.0137711782729055</c:v>
                      </c:pt>
                      <c:pt idx="117">
                        <c:v>1.0200516269220687</c:v>
                      </c:pt>
                      <c:pt idx="118">
                        <c:v>1.0263227944094</c:v>
                      </c:pt>
                      <c:pt idx="119">
                        <c:v>1.0325846059025647</c:v>
                      </c:pt>
                      <c:pt idx="120">
                        <c:v>1.0388369885137649</c:v>
                      </c:pt>
                      <c:pt idx="121">
                        <c:v>1.0450798712640792</c:v>
                      </c:pt>
                      <c:pt idx="122">
                        <c:v>1.0513131850484214</c:v>
                      </c:pt>
                      <c:pt idx="123">
                        <c:v>1.0575368626011648</c:v>
                      </c:pt>
                      <c:pt idx="124">
                        <c:v>1.063750838462346</c:v>
                      </c:pt>
                      <c:pt idx="125">
                        <c:v>1.0699550489445095</c:v>
                      </c:pt>
                      <c:pt idx="126">
                        <c:v>1.0761494321001326</c:v>
                      </c:pt>
                      <c:pt idx="127">
                        <c:v>1.082333927689636</c:v>
                      </c:pt>
                      <c:pt idx="128">
                        <c:v>1.0885084771499767</c:v>
                      </c:pt>
                      <c:pt idx="129">
                        <c:v>1.0946730235637983</c:v>
                      </c:pt>
                      <c:pt idx="130">
                        <c:v>1.1008275116291375</c:v>
                      </c:pt>
                      <c:pt idx="131">
                        <c:v>1.1069718876296746</c:v>
                      </c:pt>
                      <c:pt idx="132">
                        <c:v>1.1131060994055222</c:v>
                      </c:pt>
                      <c:pt idx="133">
                        <c:v>1.119230096324529</c:v>
                      </c:pt>
                      <c:pt idx="134">
                        <c:v>1.1253438292540945</c:v>
                      </c:pt>
                      <c:pt idx="135">
                        <c:v>1.1314472505335176</c:v>
                      </c:pt>
                      <c:pt idx="136">
                        <c:v>1.1375403139467981</c:v>
                      </c:pt>
                      <c:pt idx="137">
                        <c:v>1.1436229746959488</c:v>
                      </c:pt>
                      <c:pt idx="138">
                        <c:v>1.1496951893747975</c:v>
                      </c:pt>
                      <c:pt idx="139">
                        <c:v>1.1557569159432213</c:v>
                      </c:pt>
                      <c:pt idx="140">
                        <c:v>1.1618081137018799</c:v>
                      </c:pt>
                      <c:pt idx="141">
                        <c:v>1.1678487432673661</c:v>
                      </c:pt>
                      <c:pt idx="142">
                        <c:v>1.1738787665478341</c:v>
                      </c:pt>
                      <c:pt idx="143">
                        <c:v>1.1798981467190262</c:v>
                      </c:pt>
                      <c:pt idx="144">
                        <c:v>1.1859068482007642</c:v>
                      </c:pt>
                      <c:pt idx="145">
                        <c:v>1.1919048366338192</c:v>
                      </c:pt>
                      <c:pt idx="146">
                        <c:v>1.1978920788572409</c:v>
                      </c:pt>
                      <c:pt idx="147">
                        <c:v>1.2038685428860476</c:v>
                      </c:pt>
                      <c:pt idx="148">
                        <c:v>1.2098341978893403</c:v>
                      </c:pt>
                      <c:pt idx="149">
                        <c:v>1.215789014168791</c:v>
                      </c:pt>
                      <c:pt idx="150">
                        <c:v>1.2217329631375229</c:v>
                      </c:pt>
                      <c:pt idx="151">
                        <c:v>1.2276660172993659</c:v>
                      </c:pt>
                      <c:pt idx="152">
                        <c:v>1.2335881502284738</c:v>
                      </c:pt>
                      <c:pt idx="153">
                        <c:v>1.2394993365493072</c:v>
                      </c:pt>
                      <c:pt idx="154">
                        <c:v>1.2453995519169752</c:v>
                      </c:pt>
                      <c:pt idx="155">
                        <c:v>1.2512887729979163</c:v>
                      </c:pt>
                      <c:pt idx="156">
                        <c:v>1.2571669774509338</c:v>
                      </c:pt>
                      <c:pt idx="157">
                        <c:v>1.2630341439085637</c:v>
                      </c:pt>
                      <c:pt idx="158">
                        <c:v>1.2688902519587593</c:v>
                      </c:pt>
                      <c:pt idx="159">
                        <c:v>1.2747352821269258</c:v>
                      </c:pt>
                      <c:pt idx="160">
                        <c:v>1.2805692158582445</c:v>
                      </c:pt>
                      <c:pt idx="161">
                        <c:v>1.2863920355003358</c:v>
                      </c:pt>
                      <c:pt idx="162">
                        <c:v>1.2922037242862072</c:v>
                      </c:pt>
                      <c:pt idx="163">
                        <c:v>1.298004266317514</c:v>
                      </c:pt>
                      <c:pt idx="164">
                        <c:v>1.3037936465481208</c:v>
                      </c:pt>
                      <c:pt idx="165">
                        <c:v>1.3095718507679364</c:v>
                      </c:pt>
                      <c:pt idx="166">
                        <c:v>1.3153388655870493</c:v>
                      </c:pt>
                      <c:pt idx="167">
                        <c:v>1.3210946784201361</c:v>
                      </c:pt>
                      <c:pt idx="168">
                        <c:v>1.3268392774711459</c:v>
                      </c:pt>
                      <c:pt idx="169">
                        <c:v>1.3325726517182568</c:v>
                      </c:pt>
                      <c:pt idx="170">
                        <c:v>1.338294790899089</c:v>
                      </c:pt>
                      <c:pt idx="171">
                        <c:v>1.3440056854961966</c:v>
                      </c:pt>
                      <c:pt idx="172">
                        <c:v>1.3497053267227892</c:v>
                      </c:pt>
                      <c:pt idx="173">
                        <c:v>1.3553937065087367</c:v>
                      </c:pt>
                      <c:pt idx="174">
                        <c:v>1.3610708174867785</c:v>
                      </c:pt>
                      <c:pt idx="175">
                        <c:v>1.3667366529790228</c:v>
                      </c:pt>
                      <c:pt idx="176">
                        <c:v>1.3723912069836433</c:v>
                      </c:pt>
                      <c:pt idx="177">
                        <c:v>1.3780344741618289</c:v>
                      </c:pt>
                      <c:pt idx="178">
                        <c:v>1.3836664498249645</c:v>
                      </c:pt>
                      <c:pt idx="179">
                        <c:v>1.3892871299220282</c:v>
                      </c:pt>
                      <c:pt idx="180">
                        <c:v>1.3948965110272082</c:v>
                      </c:pt>
                      <c:pt idx="181">
                        <c:v>1.4004945903277519</c:v>
                      </c:pt>
                      <c:pt idx="182">
                        <c:v>1.406081365612009</c:v>
                      </c:pt>
                      <c:pt idx="183">
                        <c:v>1.4116568352576986</c:v>
                      </c:pt>
                      <c:pt idx="184">
                        <c:v>1.4172209982203678</c:v>
                      </c:pt>
                      <c:pt idx="185">
                        <c:v>1.42277385402208</c:v>
                      </c:pt>
                      <c:pt idx="186">
                        <c:v>1.4283154027402558</c:v>
                      </c:pt>
                      <c:pt idx="187">
                        <c:v>1.4338456449967634</c:v>
                      </c:pt>
                      <c:pt idx="188">
                        <c:v>1.4393645819471474</c:v>
                      </c:pt>
                      <c:pt idx="189">
                        <c:v>1.4448722152700855</c:v>
                      </c:pt>
                      <c:pt idx="190">
                        <c:v>1.4503685471570169</c:v>
                      </c:pt>
                      <c:pt idx="191">
                        <c:v>1.4558535803019395</c:v>
                      </c:pt>
                      <c:pt idx="192">
                        <c:v>1.4613273178914032</c:v>
                      </c:pt>
                      <c:pt idx="193">
                        <c:v>1.4667897635946701</c:v>
                      </c:pt>
                      <c:pt idx="194">
                        <c:v>1.4722409215540488</c:v>
                      </c:pt>
                      <c:pt idx="195">
                        <c:v>1.4776807963753911</c:v>
                      </c:pt>
                      <c:pt idx="196">
                        <c:v>1.4831093931187649</c:v>
                      </c:pt>
                      <c:pt idx="197">
                        <c:v>1.4885267172892798</c:v>
                      </c:pt>
                      <c:pt idx="198">
                        <c:v>1.4939327748280891</c:v>
                      </c:pt>
                      <c:pt idx="199">
                        <c:v>1.4993275721035211</c:v>
                      </c:pt>
                      <c:pt idx="200">
                        <c:v>1.5047111159023929</c:v>
                      </c:pt>
                    </c:numCache>
                  </c:numRef>
                </c:val>
                <c:smooth val="0"/>
                <c:extLst xmlns:c15="http://schemas.microsoft.com/office/drawing/2012/chart">
                  <c:ext xmlns:c16="http://schemas.microsoft.com/office/drawing/2014/chart" uri="{C3380CC4-5D6E-409C-BE32-E72D297353CC}">
                    <c16:uniqueId val="{0000000A-DAC0-423F-B197-448F000A954F}"/>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val>
                <c:smooth val="0"/>
                <c:extLst xmlns:c15="http://schemas.microsoft.com/office/drawing/2012/chart">
                  <c:ext xmlns:c16="http://schemas.microsoft.com/office/drawing/2014/chart" uri="{C3380CC4-5D6E-409C-BE32-E72D297353CC}">
                    <c16:uniqueId val="{0000000B-DAC0-423F-B197-448F000A954F}"/>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4.8925253918995137</c:v>
                      </c:pt>
                      <c:pt idx="2">
                        <c:v>4.9016780655888761</c:v>
                      </c:pt>
                      <c:pt idx="3">
                        <c:v>4.9108351286480012</c:v>
                      </c:pt>
                      <c:pt idx="4">
                        <c:v>4.9199964916870602</c:v>
                      </c:pt>
                      <c:pt idx="5">
                        <c:v>4.9291620671783738</c:v>
                      </c:pt>
                      <c:pt idx="6">
                        <c:v>4.9383317694126685</c:v>
                      </c:pt>
                      <c:pt idx="7">
                        <c:v>4.9475055144564823</c:v>
                      </c:pt>
                      <c:pt idx="8">
                        <c:v>4.9566832201107207</c:v>
                      </c:pt>
                      <c:pt idx="9">
                        <c:v>4.9658648058703125</c:v>
                      </c:pt>
                      <c:pt idx="10">
                        <c:v>4.9750501928849182</c:v>
                      </c:pt>
                      <c:pt idx="11">
                        <c:v>4.9842393039207025</c:v>
                      </c:pt>
                      <c:pt idx="12">
                        <c:v>4.9934320633230813</c:v>
                      </c:pt>
                      <c:pt idx="13">
                        <c:v>5.0026283969804686</c:v>
                      </c:pt>
                      <c:pt idx="14">
                        <c:v>5.0118282322889574</c:v>
                      </c:pt>
                      <c:pt idx="15">
                        <c:v>5.02103149811792</c:v>
                      </c:pt>
                      <c:pt idx="16">
                        <c:v>5.0302381247765062</c:v>
                      </c:pt>
                      <c:pt idx="17">
                        <c:v>5.0394480439810003</c:v>
                      </c:pt>
                      <c:pt idx="18">
                        <c:v>5.0486611888230168</c:v>
                      </c:pt>
                      <c:pt idx="19">
                        <c:v>5.0578774937385234</c:v>
                      </c:pt>
                      <c:pt idx="20">
                        <c:v>5.0670968944776442</c:v>
                      </c:pt>
                      <c:pt idx="21">
                        <c:v>5.0763193280752388</c:v>
                      </c:pt>
                      <c:pt idx="22">
                        <c:v>5.0855447328222185</c:v>
                      </c:pt>
                      <c:pt idx="23">
                        <c:v>5.0947730482376068</c:v>
                      </c:pt>
                      <c:pt idx="24">
                        <c:v>5.1040042150412885</c:v>
                      </c:pt>
                      <c:pt idx="25">
                        <c:v>5.1132381751274467</c:v>
                      </c:pt>
                      <c:pt idx="26">
                        <c:v>5.1224748715386745</c:v>
                      </c:pt>
                      <c:pt idx="27">
                        <c:v>5.1317142484407192</c:v>
                      </c:pt>
                      <c:pt idx="28">
                        <c:v>5.1409562510978697</c:v>
                      </c:pt>
                      <c:pt idx="29">
                        <c:v>5.1502008258489411</c:v>
                      </c:pt>
                      <c:pt idx="30">
                        <c:v>5.1594479200838617</c:v>
                      </c:pt>
                      <c:pt idx="31">
                        <c:v>5.1686974822208329</c:v>
                      </c:pt>
                      <c:pt idx="32">
                        <c:v>5.1779494616840598</c:v>
                      </c:pt>
                      <c:pt idx="33">
                        <c:v>5.1872038088820114</c:v>
                      </c:pt>
                      <c:pt idx="34">
                        <c:v>5.196460475186222</c:v>
                      </c:pt>
                      <c:pt idx="35">
                        <c:v>5.2057194129105984</c:v>
                      </c:pt>
                      <c:pt idx="36">
                        <c:v>5.2149805752912588</c:v>
                      </c:pt>
                      <c:pt idx="37">
                        <c:v>5.2242439164668131</c:v>
                      </c:pt>
                      <c:pt idx="38">
                        <c:v>5.2335093914591546</c:v>
                      </c:pt>
                      <c:pt idx="39">
                        <c:v>5.2427769561546951</c:v>
                      </c:pt>
                      <c:pt idx="40">
                        <c:v>5.252046567286067</c:v>
                      </c:pt>
                      <c:pt idx="41">
                        <c:v>5.2613181824142394</c:v>
                      </c:pt>
                      <c:pt idx="42">
                        <c:v>5.2705917599110776</c:v>
                      </c:pt>
                      <c:pt idx="43">
                        <c:v>5.2798672589423052</c:v>
                      </c:pt>
                      <c:pt idx="44">
                        <c:v>5.2891446394508845</c:v>
                      </c:pt>
                      <c:pt idx="45">
                        <c:v>5.2984238621407691</c:v>
                      </c:pt>
                      <c:pt idx="46">
                        <c:v>5.3077048884610569</c:v>
                      </c:pt>
                      <c:pt idx="47">
                        <c:v>5.3169876805905014</c:v>
                      </c:pt>
                      <c:pt idx="48">
                        <c:v>5.3262722014223911</c:v>
                      </c:pt>
                      <c:pt idx="49">
                        <c:v>5.3355584145497854</c:v>
                      </c:pt>
                      <c:pt idx="50">
                        <c:v>5.3448462842510818</c:v>
                      </c:pt>
                      <c:pt idx="51">
                        <c:v>5.3541357754759309</c:v>
                      </c:pt>
                      <c:pt idx="52">
                        <c:v>5.3634268538314656</c:v>
                      </c:pt>
                      <c:pt idx="53">
                        <c:v>5.3727194855688563</c:v>
                      </c:pt>
                      <c:pt idx="54">
                        <c:v>5.3820136375701688</c:v>
                      </c:pt>
                      <c:pt idx="55">
                        <c:v>5.391309277335532</c:v>
                      </c:pt>
                      <c:pt idx="56">
                        <c:v>5.4006063729705733</c:v>
                      </c:pt>
                      <c:pt idx="57">
                        <c:v>5.4099048931741898</c:v>
                      </c:pt>
                      <c:pt idx="58">
                        <c:v>5.4192048072265342</c:v>
                      </c:pt>
                      <c:pt idx="59">
                        <c:v>5.4285060849773297</c:v>
                      </c:pt>
                      <c:pt idx="60">
                        <c:v>5.4378086968344084</c:v>
                      </c:pt>
                      <c:pt idx="61">
                        <c:v>5.4471126137525285</c:v>
                      </c:pt>
                      <c:pt idx="62">
                        <c:v>5.4564178072224436</c:v>
                      </c:pt>
                      <c:pt idx="63">
                        <c:v>5.4657242492601998</c:v>
                      </c:pt>
                      <c:pt idx="64">
                        <c:v>5.4750319123966866</c:v>
                      </c:pt>
                      <c:pt idx="65">
                        <c:v>5.4843407696674191</c:v>
                      </c:pt>
                      <c:pt idx="66">
                        <c:v>5.4936507946025417</c:v>
                      </c:pt>
                      <c:pt idx="67">
                        <c:v>5.5029619612170579</c:v>
                      </c:pt>
                      <c:pt idx="68">
                        <c:v>5.512274244001266</c:v>
                      </c:pt>
                      <c:pt idx="69">
                        <c:v>5.5215876179114254</c:v>
                      </c:pt>
                      <c:pt idx="70">
                        <c:v>5.5309020583606046</c:v>
                      </c:pt>
                      <c:pt idx="71">
                        <c:v>5.5402175412097474</c:v>
                      </c:pt>
                      <c:pt idx="72">
                        <c:v>5.5495340427589221</c:v>
                      </c:pt>
                      <c:pt idx="73">
                        <c:v>5.5588515397387726</c:v>
                      </c:pt>
                      <c:pt idx="74">
                        <c:v>5.5681700093021433</c:v>
                      </c:pt>
                      <c:pt idx="75">
                        <c:v>5.5774894290158956</c:v>
                      </c:pt>
                      <c:pt idx="76">
                        <c:v>5.5868097768528955</c:v>
                      </c:pt>
                      <c:pt idx="77">
                        <c:v>5.5961310311841741</c:v>
                      </c:pt>
                      <c:pt idx="78">
                        <c:v>5.6054531707712627</c:v>
                      </c:pt>
                      <c:pt idx="79">
                        <c:v>5.6147761747586857</c:v>
                      </c:pt>
                      <c:pt idx="80">
                        <c:v>5.6241000226666111</c:v>
                      </c:pt>
                      <c:pt idx="81">
                        <c:v>5.6334246943836632</c:v>
                      </c:pt>
                      <c:pt idx="82">
                        <c:v>5.6427501701599034</c:v>
                      </c:pt>
                      <c:pt idx="83">
                        <c:v>5.652076430599922</c:v>
                      </c:pt>
                      <c:pt idx="84">
                        <c:v>5.661403456656112</c:v>
                      </c:pt>
                      <c:pt idx="85">
                        <c:v>5.6707312296220653</c:v>
                      </c:pt>
                      <c:pt idx="86">
                        <c:v>5.6800597311261196</c:v>
                      </c:pt>
                      <c:pt idx="87">
                        <c:v>5.6893889431250324</c:v>
                      </c:pt>
                      <c:pt idx="88">
                        <c:v>5.6987188478977897</c:v>
                      </c:pt>
                      <c:pt idx="89">
                        <c:v>5.7080494280395477</c:v>
                      </c:pt>
                      <c:pt idx="90">
                        <c:v>5.7173806664556945</c:v>
                      </c:pt>
                      <c:pt idx="91">
                        <c:v>5.7267125463560422</c:v>
                      </c:pt>
                      <c:pt idx="92">
                        <c:v>5.7360450512491337</c:v>
                      </c:pt>
                      <c:pt idx="93">
                        <c:v>5.7453781649366737</c:v>
                      </c:pt>
                      <c:pt idx="94">
                        <c:v>5.7547118715080687</c:v>
                      </c:pt>
                      <c:pt idx="95">
                        <c:v>5.7640461553350777</c:v>
                      </c:pt>
                      <c:pt idx="96">
                        <c:v>5.7733810010665865</c:v>
                      </c:pt>
                      <c:pt idx="97">
                        <c:v>5.7827163936234642</c:v>
                      </c:pt>
                      <c:pt idx="98">
                        <c:v>5.7920523181935621</c:v>
                      </c:pt>
                      <c:pt idx="99">
                        <c:v>5.8013887602267671</c:v>
                      </c:pt>
                      <c:pt idx="100">
                        <c:v>5.8107257054302064</c:v>
                      </c:pt>
                      <c:pt idx="101">
                        <c:v>5.8200631397635014</c:v>
                      </c:pt>
                      <c:pt idx="102">
                        <c:v>5.8294010494341553</c:v>
                      </c:pt>
                      <c:pt idx="103">
                        <c:v>5.8387394208930194</c:v>
                      </c:pt>
                      <c:pt idx="104">
                        <c:v>5.8480782408298451</c:v>
                      </c:pt>
                      <c:pt idx="105">
                        <c:v>5.8574174961689307</c:v>
                      </c:pt>
                      <c:pt idx="106">
                        <c:v>5.866757174064861</c:v>
                      </c:pt>
                      <c:pt idx="107">
                        <c:v>5.8760972618983232</c:v>
                      </c:pt>
                      <c:pt idx="108">
                        <c:v>5.8854377472720136</c:v>
                      </c:pt>
                      <c:pt idx="109">
                        <c:v>5.8947786180066197</c:v>
                      </c:pt>
                      <c:pt idx="110">
                        <c:v>5.9041198621368851</c:v>
                      </c:pt>
                      <c:pt idx="111">
                        <c:v>5.9134614679077542</c:v>
                      </c:pt>
                      <c:pt idx="112">
                        <c:v>5.9228034237705929</c:v>
                      </c:pt>
                      <c:pt idx="113">
                        <c:v>5.9321457183794815</c:v>
                      </c:pt>
                      <c:pt idx="114">
                        <c:v>5.9414883405875729</c:v>
                      </c:pt>
                      <c:pt idx="115">
                        <c:v>5.9508312794435492</c:v>
                      </c:pt>
                      <c:pt idx="116">
                        <c:v>5.9601745241881154</c:v>
                      </c:pt>
                      <c:pt idx="117">
                        <c:v>5.969518064250579</c:v>
                      </c:pt>
                      <c:pt idx="118">
                        <c:v>5.9788618892454997</c:v>
                      </c:pt>
                      <c:pt idx="119">
                        <c:v>5.9882059889693888</c:v>
                      </c:pt>
                      <c:pt idx="120">
                        <c:v>5.9975503533974868</c:v>
                      </c:pt>
                      <c:pt idx="121">
                        <c:v>6.0068949726806107</c:v>
                      </c:pt>
                      <c:pt idx="122">
                        <c:v>6.0162398371420229</c:v>
                      </c:pt>
                      <c:pt idx="123">
                        <c:v>6.0255849372744175</c:v>
                      </c:pt>
                      <c:pt idx="124">
                        <c:v>6.0349302637369169</c:v>
                      </c:pt>
                      <c:pt idx="125">
                        <c:v>6.0442758073521539</c:v>
                      </c:pt>
                      <c:pt idx="126">
                        <c:v>6.0536215591033997</c:v>
                      </c:pt>
                      <c:pt idx="127">
                        <c:v>6.0629675101317364</c:v>
                      </c:pt>
                      <c:pt idx="128">
                        <c:v>6.0723136517333165</c:v>
                      </c:pt>
                      <c:pt idx="129">
                        <c:v>6.0816599753566383</c:v>
                      </c:pt>
                      <c:pt idx="130">
                        <c:v>6.0910064725998909</c:v>
                      </c:pt>
                      <c:pt idx="131">
                        <c:v>6.1003531352083424</c:v>
                      </c:pt>
                      <c:pt idx="132">
                        <c:v>6.1096999550717968</c:v>
                      </c:pt>
                      <c:pt idx="133">
                        <c:v>6.1190469242220713</c:v>
                      </c:pt>
                      <c:pt idx="134">
                        <c:v>6.1283940348305377</c:v>
                      </c:pt>
                      <c:pt idx="135">
                        <c:v>6.1377412792057049</c:v>
                      </c:pt>
                      <c:pt idx="136">
                        <c:v>6.147088649790855</c:v>
                      </c:pt>
                      <c:pt idx="137">
                        <c:v>6.1564361391617108</c:v>
                      </c:pt>
                      <c:pt idx="138">
                        <c:v>6.1657837400241613</c:v>
                      </c:pt>
                      <c:pt idx="139">
                        <c:v>6.1751314452120099</c:v>
                      </c:pt>
                      <c:pt idx="140">
                        <c:v>6.184479247684787</c:v>
                      </c:pt>
                      <c:pt idx="141">
                        <c:v>6.1938271405255936</c:v>
                      </c:pt>
                      <c:pt idx="142">
                        <c:v>6.2031751169389739</c:v>
                      </c:pt>
                      <c:pt idx="143">
                        <c:v>6.2125231702488524</c:v>
                      </c:pt>
                      <c:pt idx="144">
                        <c:v>6.2218712938964833</c:v>
                      </c:pt>
                      <c:pt idx="145">
                        <c:v>6.2312194814384503</c:v>
                      </c:pt>
                      <c:pt idx="146">
                        <c:v>6.240567726544711</c:v>
                      </c:pt>
                      <c:pt idx="147">
                        <c:v>6.2499160229966622</c:v>
                      </c:pt>
                      <c:pt idx="148">
                        <c:v>6.2592643646852357</c:v>
                      </c:pt>
                      <c:pt idx="149">
                        <c:v>6.2686127456090706</c:v>
                      </c:pt>
                      <c:pt idx="150">
                        <c:v>6.277961159872655</c:v>
                      </c:pt>
                      <c:pt idx="151">
                        <c:v>6.2873096016845551</c:v>
                      </c:pt>
                      <c:pt idx="152">
                        <c:v>6.2966580653556523</c:v>
                      </c:pt>
                      <c:pt idx="153">
                        <c:v>6.3060065452974134</c:v>
                      </c:pt>
                      <c:pt idx="154">
                        <c:v>6.315355036020204</c:v>
                      </c:pt>
                      <c:pt idx="155">
                        <c:v>6.3247035321316147</c:v>
                      </c:pt>
                      <c:pt idx="156">
                        <c:v>6.3340520283348303</c:v>
                      </c:pt>
                      <c:pt idx="157">
                        <c:v>6.3434005194270302</c:v>
                      </c:pt>
                      <c:pt idx="158">
                        <c:v>6.3527490002978046</c:v>
                      </c:pt>
                      <c:pt idx="159">
                        <c:v>6.3620974659276124</c:v>
                      </c:pt>
                      <c:pt idx="160">
                        <c:v>6.3714459113862594</c:v>
                      </c:pt>
                      <c:pt idx="161">
                        <c:v>6.3807943318314075</c:v>
                      </c:pt>
                      <c:pt idx="162">
                        <c:v>6.3901427225071057</c:v>
                      </c:pt>
                      <c:pt idx="163">
                        <c:v>6.399491078742356</c:v>
                      </c:pt>
                      <c:pt idx="164">
                        <c:v>6.4088393959496974</c:v>
                      </c:pt>
                      <c:pt idx="165">
                        <c:v>6.4181876696238112</c:v>
                      </c:pt>
                      <c:pt idx="166">
                        <c:v>6.4275358953401689</c:v>
                      </c:pt>
                      <c:pt idx="167">
                        <c:v>6.4368840687536792</c:v>
                      </c:pt>
                      <c:pt idx="168">
                        <c:v>6.4462321855973803</c:v>
                      </c:pt>
                      <c:pt idx="169">
                        <c:v>6.4555802416811519</c:v>
                      </c:pt>
                      <c:pt idx="170">
                        <c:v>6.4649282328904256</c:v>
                      </c:pt>
                      <c:pt idx="171">
                        <c:v>6.4742761551849615</c:v>
                      </c:pt>
                      <c:pt idx="172">
                        <c:v>6.4836240045976057</c:v>
                      </c:pt>
                      <c:pt idx="173">
                        <c:v>6.4929717772330902</c:v>
                      </c:pt>
                      <c:pt idx="174">
                        <c:v>6.5023194692668529</c:v>
                      </c:pt>
                      <c:pt idx="175">
                        <c:v>6.5116670769438763</c:v>
                      </c:pt>
                      <c:pt idx="176">
                        <c:v>6.5210145965775332</c:v>
                      </c:pt>
                      <c:pt idx="177">
                        <c:v>6.5303620245484808</c:v>
                      </c:pt>
                      <c:pt idx="178">
                        <c:v>6.5397093573035479</c:v>
                      </c:pt>
                      <c:pt idx="179">
                        <c:v>6.549056591354657</c:v>
                      </c:pt>
                      <c:pt idx="180">
                        <c:v>6.5584037232777517</c:v>
                      </c:pt>
                      <c:pt idx="181">
                        <c:v>6.5677507497117569</c:v>
                      </c:pt>
                      <c:pt idx="182">
                        <c:v>6.577097667357549</c:v>
                      </c:pt>
                      <c:pt idx="183">
                        <c:v>6.5864444729769467</c:v>
                      </c:pt>
                      <c:pt idx="184">
                        <c:v>6.5957911633917119</c:v>
                      </c:pt>
                      <c:pt idx="185">
                        <c:v>6.605137735482586</c:v>
                      </c:pt>
                      <c:pt idx="186">
                        <c:v>6.6144841861883119</c:v>
                      </c:pt>
                      <c:pt idx="187">
                        <c:v>6.6238305125047114</c:v>
                      </c:pt>
                      <c:pt idx="188">
                        <c:v>6.6331767114837445</c:v>
                      </c:pt>
                      <c:pt idx="189">
                        <c:v>6.6425227802326043</c:v>
                      </c:pt>
                      <c:pt idx="190">
                        <c:v>6.6518687159128209</c:v>
                      </c:pt>
                      <c:pt idx="191">
                        <c:v>6.6612145157393803</c:v>
                      </c:pt>
                      <c:pt idx="192">
                        <c:v>6.6705601769798593</c:v>
                      </c:pt>
                      <c:pt idx="193">
                        <c:v>6.6799056969535791</c:v>
                      </c:pt>
                      <c:pt idx="194">
                        <c:v>6.6892510730307597</c:v>
                      </c:pt>
                      <c:pt idx="195">
                        <c:v>6.6985963026317128</c:v>
                      </c:pt>
                      <c:pt idx="196">
                        <c:v>6.7079413832260206</c:v>
                      </c:pt>
                      <c:pt idx="197">
                        <c:v>6.7172863123317432</c:v>
                      </c:pt>
                      <c:pt idx="198">
                        <c:v>6.7266310875146491</c:v>
                      </c:pt>
                      <c:pt idx="199">
                        <c:v>6.7359757063874337</c:v>
                      </c:pt>
                      <c:pt idx="200">
                        <c:v>6.7453201666089724</c:v>
                      </c:pt>
                    </c:numCache>
                  </c:numRef>
                </c:val>
                <c:smooth val="0"/>
                <c:extLst xmlns:c15="http://schemas.microsoft.com/office/drawing/2012/chart">
                  <c:ext xmlns:c16="http://schemas.microsoft.com/office/drawing/2014/chart" uri="{C3380CC4-5D6E-409C-BE32-E72D297353CC}">
                    <c16:uniqueId val="{0000000C-DAC0-423F-B197-448F000A954F}"/>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9.6176996127100636E-2</c:v>
                      </c:pt>
                      <c:pt idx="2">
                        <c:v>9.7103942143320229E-2</c:v>
                      </c:pt>
                      <c:pt idx="3">
                        <c:v>9.8024664140531112E-2</c:v>
                      </c:pt>
                      <c:pt idx="4">
                        <c:v>9.8939226247063222E-2</c:v>
                      </c:pt>
                      <c:pt idx="5">
                        <c:v>9.9847691689993287E-2</c:v>
                      </c:pt>
                      <c:pt idx="6">
                        <c:v>0.10075012281131032</c:v>
                      </c:pt>
                      <c:pt idx="7">
                        <c:v>0.10164658108372684</c:v>
                      </c:pt>
                      <c:pt idx="8">
                        <c:v>0.10253712712614538</c:v>
                      </c:pt>
                      <c:pt idx="9">
                        <c:v>0.10342182071878886</c:v>
                      </c:pt>
                      <c:pt idx="10">
                        <c:v>0.10430072081800383</c:v>
                      </c:pt>
                      <c:pt idx="11">
                        <c:v>0.10517388557074457</c:v>
                      </c:pt>
                      <c:pt idx="12">
                        <c:v>0.10604137232874646</c:v>
                      </c:pt>
                      <c:pt idx="13">
                        <c:v>0.10690323766239641</c:v>
                      </c:pt>
                      <c:pt idx="14">
                        <c:v>0.10775953737430781</c:v>
                      </c:pt>
                      <c:pt idx="15">
                        <c:v>0.10861032651260794</c:v>
                      </c:pt>
                      <c:pt idx="16">
                        <c:v>0.10945565938394397</c:v>
                      </c:pt>
                      <c:pt idx="17">
                        <c:v>0.11029558956621666</c:v>
                      </c:pt>
                      <c:pt idx="18">
                        <c:v>0.11113016992104552</c:v>
                      </c:pt>
                      <c:pt idx="19">
                        <c:v>0.11195945260597535</c:v>
                      </c:pt>
                      <c:pt idx="20">
                        <c:v>0.11278348908642792</c:v>
                      </c:pt>
                      <c:pt idx="21">
                        <c:v>0.11360233014740644</c:v>
                      </c:pt>
                      <c:pt idx="22">
                        <c:v>0.11441602590495836</c:v>
                      </c:pt>
                      <c:pt idx="23">
                        <c:v>0.11522462581740282</c:v>
                      </c:pt>
                      <c:pt idx="24">
                        <c:v>0.11602817869632817</c:v>
                      </c:pt>
                      <c:pt idx="25">
                        <c:v>0.11682673271736467</c:v>
                      </c:pt>
                      <c:pt idx="26">
                        <c:v>0.11762033543073909</c:v>
                      </c:pt>
                      <c:pt idx="27">
                        <c:v>0.11840903377161496</c:v>
                      </c:pt>
                      <c:pt idx="28">
                        <c:v>0.11919287407022439</c:v>
                      </c:pt>
                      <c:pt idx="29">
                        <c:v>0.119971902061797</c:v>
                      </c:pt>
                      <c:pt idx="30">
                        <c:v>0.1207461628962888</c:v>
                      </c:pt>
                      <c:pt idx="31">
                        <c:v>0.12151570114791836</c:v>
                      </c:pt>
                      <c:pt idx="32">
                        <c:v>0.12228056082451272</c:v>
                      </c:pt>
                      <c:pt idx="33">
                        <c:v>0.12304078537666861</c:v>
                      </c:pt>
                      <c:pt idx="34">
                        <c:v>0.12379641770673275</c:v>
                      </c:pt>
                      <c:pt idx="35">
                        <c:v>0.12454750017760573</c:v>
                      </c:pt>
                      <c:pt idx="36">
                        <c:v>0.12529407462137399</c:v>
                      </c:pt>
                      <c:pt idx="37">
                        <c:v>0.12603618234777253</c:v>
                      </c:pt>
                      <c:pt idx="38">
                        <c:v>0.12677386415248401</c:v>
                      </c:pt>
                      <c:pt idx="39">
                        <c:v>0.12750716032527651</c:v>
                      </c:pt>
                      <c:pt idx="40">
                        <c:v>0.12823611065798432</c:v>
                      </c:pt>
                      <c:pt idx="41">
                        <c:v>0.12896075445233587</c:v>
                      </c:pt>
                      <c:pt idx="42">
                        <c:v>0.12968113052763078</c:v>
                      </c:pt>
                      <c:pt idx="43">
                        <c:v>0.13039727722827077</c:v>
                      </c:pt>
                      <c:pt idx="44">
                        <c:v>0.13110923243114761</c:v>
                      </c:pt>
                      <c:pt idx="45">
                        <c:v>0.13181703355289076</c:v>
                      </c:pt>
                      <c:pt idx="46">
                        <c:v>0.13252071755697739</c:v>
                      </c:pt>
                      <c:pt idx="47">
                        <c:v>0.13322032096070976</c:v>
                      </c:pt>
                      <c:pt idx="48">
                        <c:v>0.13391587984206133</c:v>
                      </c:pt>
                      <c:pt idx="49">
                        <c:v>0.13460742984639404</c:v>
                      </c:pt>
                      <c:pt idx="50">
                        <c:v>0.13529500619305165</c:v>
                      </c:pt>
                      <c:pt idx="51">
                        <c:v>0.13597864368183005</c:v>
                      </c:pt>
                      <c:pt idx="52">
                        <c:v>0.13665837669932793</c:v>
                      </c:pt>
                      <c:pt idx="53">
                        <c:v>0.13733423922518001</c:v>
                      </c:pt>
                      <c:pt idx="54">
                        <c:v>0.13800626483817699</c:v>
                      </c:pt>
                      <c:pt idx="55">
                        <c:v>0.13867448672227178</c:v>
                      </c:pt>
                      <c:pt idx="56">
                        <c:v>0.1393389376724771</c:v>
                      </c:pt>
                      <c:pt idx="57">
                        <c:v>0.13999965010065565</c:v>
                      </c:pt>
                      <c:pt idx="58">
                        <c:v>0.1406566560412052</c:v>
                      </c:pt>
                      <c:pt idx="59">
                        <c:v>0.1413099871566412</c:v>
                      </c:pt>
                      <c:pt idx="60">
                        <c:v>0.14195967474307819</c:v>
                      </c:pt>
                      <c:pt idx="61">
                        <c:v>0.14260574973561396</c:v>
                      </c:pt>
                      <c:pt idx="62">
                        <c:v>0.14324824271361644</c:v>
                      </c:pt>
                      <c:pt idx="63">
                        <c:v>0.14388718390591657</c:v>
                      </c:pt>
                      <c:pt idx="64">
                        <c:v>0.14452260319590926</c:v>
                      </c:pt>
                      <c:pt idx="65">
                        <c:v>0.14515453012656349</c:v>
                      </c:pt>
                      <c:pt idx="66">
                        <c:v>0.14578299390534422</c:v>
                      </c:pt>
                      <c:pt idx="67">
                        <c:v>0.14640802340904782</c:v>
                      </c:pt>
                      <c:pt idx="68">
                        <c:v>0.14702964718855258</c:v>
                      </c:pt>
                      <c:pt idx="69">
                        <c:v>0.14764789347348578</c:v>
                      </c:pt>
                      <c:pt idx="70">
                        <c:v>0.14826279017681024</c:v>
                      </c:pt>
                      <c:pt idx="71">
                        <c:v>0.14887436489933031</c:v>
                      </c:pt>
                      <c:pt idx="72">
                        <c:v>0.1494826449341207</c:v>
                      </c:pt>
                      <c:pt idx="73">
                        <c:v>0.15008765727087794</c:v>
                      </c:pt>
                      <c:pt idx="74">
                        <c:v>0.15068942860019804</c:v>
                      </c:pt>
                      <c:pt idx="75">
                        <c:v>0.15128798531777973</c:v>
                      </c:pt>
                      <c:pt idx="76">
                        <c:v>0.1518833535285565</c:v>
                      </c:pt>
                      <c:pt idx="77">
                        <c:v>0.1524755590507583</c:v>
                      </c:pt>
                      <c:pt idx="78">
                        <c:v>0.15306462741990351</c:v>
                      </c:pt>
                      <c:pt idx="79">
                        <c:v>0.15365058389272418</c:v>
                      </c:pt>
                      <c:pt idx="80">
                        <c:v>0.15423345345102449</c:v>
                      </c:pt>
                      <c:pt idx="81">
                        <c:v>0.15481326080547408</c:v>
                      </c:pt>
                      <c:pt idx="82">
                        <c:v>0.15539003039933866</c:v>
                      </c:pt>
                      <c:pt idx="83">
                        <c:v>0.15596378641214675</c:v>
                      </c:pt>
                      <c:pt idx="84">
                        <c:v>0.15653455276329697</c:v>
                      </c:pt>
                      <c:pt idx="85">
                        <c:v>0.1571023531156038</c:v>
                      </c:pt>
                      <c:pt idx="86">
                        <c:v>0.15766721087878552</c:v>
                      </c:pt>
                      <c:pt idx="87">
                        <c:v>0.15822914921289444</c:v>
                      </c:pt>
                      <c:pt idx="88">
                        <c:v>0.15878819103169034</c:v>
                      </c:pt>
                      <c:pt idx="89">
                        <c:v>0.15934435900595817</c:v>
                      </c:pt>
                      <c:pt idx="90">
                        <c:v>0.15989767556677256</c:v>
                      </c:pt>
                      <c:pt idx="91">
                        <c:v>0.16044816290870798</c:v>
                      </c:pt>
                      <c:pt idx="92">
                        <c:v>0.16099584299299696</c:v>
                      </c:pt>
                      <c:pt idx="93">
                        <c:v>0.16154073755063716</c:v>
                      </c:pt>
                      <c:pt idx="94">
                        <c:v>0.16208286808544808</c:v>
                      </c:pt>
                      <c:pt idx="95">
                        <c:v>0.16262225587707857</c:v>
                      </c:pt>
                      <c:pt idx="96">
                        <c:v>0.163158921983966</c:v>
                      </c:pt>
                      <c:pt idx="97">
                        <c:v>0.16369288724624742</c:v>
                      </c:pt>
                      <c:pt idx="98">
                        <c:v>0.16422417228862493</c:v>
                      </c:pt>
                      <c:pt idx="99">
                        <c:v>0.16475279752318517</c:v>
                      </c:pt>
                      <c:pt idx="100">
                        <c:v>0.1652787831521734</c:v>
                      </c:pt>
                      <c:pt idx="101">
                        <c:v>0.16580214917072458</c:v>
                      </c:pt>
                      <c:pt idx="102">
                        <c:v>0.1663229153695501</c:v>
                      </c:pt>
                      <c:pt idx="103">
                        <c:v>0.16684110133758387</c:v>
                      </c:pt>
                      <c:pt idx="104">
                        <c:v>0.16735672646458483</c:v>
                      </c:pt>
                      <c:pt idx="105">
                        <c:v>0.16786980994370002</c:v>
                      </c:pt>
                      <c:pt idx="106">
                        <c:v>0.16838037077398726</c:v>
                      </c:pt>
                      <c:pt idx="107">
                        <c:v>0.16888842776289834</c:v>
                      </c:pt>
                      <c:pt idx="108">
                        <c:v>0.16939399952872411</c:v>
                      </c:pt>
                      <c:pt idx="109">
                        <c:v>0.16989710450300105</c:v>
                      </c:pt>
                      <c:pt idx="110">
                        <c:v>0.17039776093288103</c:v>
                      </c:pt>
                      <c:pt idx="111">
                        <c:v>0.17089598688346475</c:v>
                      </c:pt>
                      <c:pt idx="112">
                        <c:v>0.17139180024009879</c:v>
                      </c:pt>
                      <c:pt idx="113">
                        <c:v>0.17188521871063814</c:v>
                      </c:pt>
                      <c:pt idx="114">
                        <c:v>0.17237625982767349</c:v>
                      </c:pt>
                      <c:pt idx="115">
                        <c:v>0.17286494095072491</c:v>
                      </c:pt>
                      <c:pt idx="116">
                        <c:v>0.17335127926840257</c:v>
                      </c:pt>
                      <c:pt idx="117">
                        <c:v>0.17383529180053425</c:v>
                      </c:pt>
                      <c:pt idx="118">
                        <c:v>0.17431699540026038</c:v>
                      </c:pt>
                      <c:pt idx="119">
                        <c:v>0.17479640675609839</c:v>
                      </c:pt>
                      <c:pt idx="120">
                        <c:v>0.17527354239397575</c:v>
                      </c:pt>
                      <c:pt idx="121">
                        <c:v>0.17574841867923222</c:v>
                      </c:pt>
                      <c:pt idx="122">
                        <c:v>0.17622105181859207</c:v>
                      </c:pt>
                      <c:pt idx="123">
                        <c:v>0.17669145786210769</c:v>
                      </c:pt>
                      <c:pt idx="124">
                        <c:v>0.17715965270507372</c:v>
                      </c:pt>
                      <c:pt idx="125">
                        <c:v>0.1776256520899126</c:v>
                      </c:pt>
                      <c:pt idx="126">
                        <c:v>0.17808947160803332</c:v>
                      </c:pt>
                      <c:pt idx="127">
                        <c:v>0.17855112670166093</c:v>
                      </c:pt>
                      <c:pt idx="128">
                        <c:v>0.17901063266564149</c:v>
                      </c:pt>
                      <c:pt idx="129">
                        <c:v>0.17946800464921808</c:v>
                      </c:pt>
                      <c:pt idx="130">
                        <c:v>0.17992325765778311</c:v>
                      </c:pt>
                      <c:pt idx="131">
                        <c:v>0.18037640655460313</c:v>
                      </c:pt>
                      <c:pt idx="132">
                        <c:v>0.18082746606252023</c:v>
                      </c:pt>
                      <c:pt idx="133">
                        <c:v>0.18127645076562737</c:v>
                      </c:pt>
                      <c:pt idx="134">
                        <c:v>0.18172337511092054</c:v>
                      </c:pt>
                      <c:pt idx="135">
                        <c:v>0.18216825340992585</c:v>
                      </c:pt>
                      <c:pt idx="136">
                        <c:v>0.18261109984030491</c:v>
                      </c:pt>
                      <c:pt idx="137">
                        <c:v>0.1830519284474352</c:v>
                      </c:pt>
                      <c:pt idx="138">
                        <c:v>0.18349075314596974</c:v>
                      </c:pt>
                      <c:pt idx="139">
                        <c:v>0.18392758772137274</c:v>
                      </c:pt>
                      <c:pt idx="140">
                        <c:v>0.18436244583143466</c:v>
                      </c:pt>
                      <c:pt idx="141">
                        <c:v>0.18479534100776485</c:v>
                      </c:pt>
                      <c:pt idx="142">
                        <c:v>0.18522628665726396</c:v>
                      </c:pt>
                      <c:pt idx="143">
                        <c:v>0.18565529606357425</c:v>
                      </c:pt>
                      <c:pt idx="144">
                        <c:v>0.18608238238851102</c:v>
                      </c:pt>
                      <c:pt idx="145">
                        <c:v>0.18650755867347235</c:v>
                      </c:pt>
                      <c:pt idx="146">
                        <c:v>0.18693083784083039</c:v>
                      </c:pt>
                      <c:pt idx="147">
                        <c:v>0.18735223269530224</c:v>
                      </c:pt>
                      <c:pt idx="148">
                        <c:v>0.18777175592530185</c:v>
                      </c:pt>
                      <c:pt idx="149">
                        <c:v>0.18818942010427378</c:v>
                      </c:pt>
                      <c:pt idx="150">
                        <c:v>0.18860523769200777</c:v>
                      </c:pt>
                      <c:pt idx="151">
                        <c:v>0.18901922103593477</c:v>
                      </c:pt>
                      <c:pt idx="152">
                        <c:v>0.18943138237240628</c:v>
                      </c:pt>
                      <c:pt idx="153">
                        <c:v>0.1898417338279548</c:v>
                      </c:pt>
                      <c:pt idx="154">
                        <c:v>0.19025028742053757</c:v>
                      </c:pt>
                      <c:pt idx="155">
                        <c:v>0.19065705506076364</c:v>
                      </c:pt>
                      <c:pt idx="156">
                        <c:v>0.19106204855310263</c:v>
                      </c:pt>
                      <c:pt idx="157">
                        <c:v>0.19146527959707904</c:v>
                      </c:pt>
                      <c:pt idx="158">
                        <c:v>0.19186675978844844</c:v>
                      </c:pt>
                      <c:pt idx="159">
                        <c:v>0.19226650062035955</c:v>
                      </c:pt>
                      <c:pt idx="160">
                        <c:v>0.19266451348449792</c:v>
                      </c:pt>
                      <c:pt idx="161">
                        <c:v>0.19306080967221775</c:v>
                      </c:pt>
                      <c:pt idx="162">
                        <c:v>0.19345540037565465</c:v>
                      </c:pt>
                      <c:pt idx="163">
                        <c:v>0.19384829668882655</c:v>
                      </c:pt>
                      <c:pt idx="164">
                        <c:v>0.19423950960871764</c:v>
                      </c:pt>
                      <c:pt idx="165">
                        <c:v>0.19462905003634923</c:v>
                      </c:pt>
                      <c:pt idx="166">
                        <c:v>0.19501692877783569</c:v>
                      </c:pt>
                      <c:pt idx="167">
                        <c:v>0.19540315654542606</c:v>
                      </c:pt>
                      <c:pt idx="168">
                        <c:v>0.19578774395853263</c:v>
                      </c:pt>
                      <c:pt idx="169">
                        <c:v>0.19617070154474509</c:v>
                      </c:pt>
                      <c:pt idx="170">
                        <c:v>0.1965520397408313</c:v>
                      </c:pt>
                      <c:pt idx="171">
                        <c:v>0.1969317688937261</c:v>
                      </c:pt>
                      <c:pt idx="172">
                        <c:v>0.197309899261505</c:v>
                      </c:pt>
                      <c:pt idx="173">
                        <c:v>0.19768644101434718</c:v>
                      </c:pt>
                      <c:pt idx="174">
                        <c:v>0.19806140423548393</c:v>
                      </c:pt>
                      <c:pt idx="175">
                        <c:v>0.19843479892213658</c:v>
                      </c:pt>
                      <c:pt idx="176">
                        <c:v>0.19880663498644066</c:v>
                      </c:pt>
                      <c:pt idx="177">
                        <c:v>0.19917692225635911</c:v>
                      </c:pt>
                      <c:pt idx="178">
                        <c:v>0.19954567047658259</c:v>
                      </c:pt>
                      <c:pt idx="179">
                        <c:v>0.19991288930941939</c:v>
                      </c:pt>
                      <c:pt idx="180">
                        <c:v>0.20027858833567269</c:v>
                      </c:pt>
                      <c:pt idx="181">
                        <c:v>0.20064277705550712</c:v>
                      </c:pt>
                      <c:pt idx="182">
                        <c:v>0.20100546488930435</c:v>
                      </c:pt>
                      <c:pt idx="183">
                        <c:v>0.20136666117850671</c:v>
                      </c:pt>
                      <c:pt idx="184">
                        <c:v>0.20172637518645123</c:v>
                      </c:pt>
                      <c:pt idx="185">
                        <c:v>0.20208461609919265</c:v>
                      </c:pt>
                      <c:pt idx="186">
                        <c:v>0.202441393026315</c:v>
                      </c:pt>
                      <c:pt idx="187">
                        <c:v>0.20279671500173457</c:v>
                      </c:pt>
                      <c:pt idx="188">
                        <c:v>0.20315059098449087</c:v>
                      </c:pt>
                      <c:pt idx="189">
                        <c:v>0.20350302985952923</c:v>
                      </c:pt>
                      <c:pt idx="190">
                        <c:v>0.20385404043847249</c:v>
                      </c:pt>
                      <c:pt idx="191">
                        <c:v>0.20420363146038278</c:v>
                      </c:pt>
                      <c:pt idx="192">
                        <c:v>0.2045518115925147</c:v>
                      </c:pt>
                      <c:pt idx="193">
                        <c:v>0.20489858943105854</c:v>
                      </c:pt>
                      <c:pt idx="194">
                        <c:v>0.20524397350187404</c:v>
                      </c:pt>
                      <c:pt idx="195">
                        <c:v>0.20558797226121475</c:v>
                      </c:pt>
                      <c:pt idx="196">
                        <c:v>0.20593059409644426</c:v>
                      </c:pt>
                      <c:pt idx="197">
                        <c:v>0.20627184732674303</c:v>
                      </c:pt>
                      <c:pt idx="198">
                        <c:v>0.20661174020380574</c:v>
                      </c:pt>
                      <c:pt idx="199">
                        <c:v>0.20695028091253165</c:v>
                      </c:pt>
                      <c:pt idx="200">
                        <c:v>0.20728747757170468</c:v>
                      </c:pt>
                    </c:numCache>
                  </c:numRef>
                </c:val>
                <c:smooth val="0"/>
                <c:extLst xmlns:c15="http://schemas.microsoft.com/office/drawing/2012/chart">
                  <c:ext xmlns:c16="http://schemas.microsoft.com/office/drawing/2014/chart" uri="{C3380CC4-5D6E-409C-BE32-E72D297353CC}">
                    <c16:uniqueId val="{0000000D-DAC0-423F-B197-448F000A954F}"/>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38777696750391555"/>
          <c:y val="2.0343390532745328E-3"/>
          <c:w val="0.5137470653214069"/>
          <c:h val="0.191420961474085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2-50A6-46D4-AEF8-03ADE34CD569}"/>
                  </c:ext>
                </c:extLst>
              </c15:ser>
            </c15:filteredLineSeries>
          </c:ext>
        </c:extLst>
      </c:lineChart>
      <c:lineChart>
        <c:grouping val="standard"/>
        <c:varyColors val="0"/>
        <c:ser>
          <c:idx val="7"/>
          <c:order val="7"/>
          <c:tx>
            <c:strRef>
              <c:f>'Efficiency vs VIN Calculations'!$AF$8</c:f>
              <c:strCache>
                <c:ptCount val="1"/>
                <c:pt idx="0">
                  <c:v>Total Cin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Calculations'!$AF$9:$AF$209</c:f>
              <c:numCache>
                <c:formatCode>0.000</c:formatCode>
                <c:ptCount val="201"/>
                <c:pt idx="0">
                  <c:v>5.6109654535195889E-2</c:v>
                </c:pt>
                <c:pt idx="1">
                  <c:v>5.6462117129342668E-2</c:v>
                </c:pt>
                <c:pt idx="2">
                  <c:v>5.6808454005512085E-2</c:v>
                </c:pt>
                <c:pt idx="3">
                  <c:v>5.7148766643195022E-2</c:v>
                </c:pt>
                <c:pt idx="4">
                  <c:v>5.7483154589628063E-2</c:v>
                </c:pt>
                <c:pt idx="5">
                  <c:v>5.7811715502547614E-2</c:v>
                </c:pt>
                <c:pt idx="6">
                  <c:v>5.8134545191856318E-2</c:v>
                </c:pt>
                <c:pt idx="7">
                  <c:v>5.8451737660232803E-2</c:v>
                </c:pt>
                <c:pt idx="8">
                  <c:v>5.8763385142715681E-2</c:v>
                </c:pt>
                <c:pt idx="9">
                  <c:v>5.9069578145290839E-2</c:v>
                </c:pt>
                <c:pt idx="10">
                  <c:v>5.9370405482510616E-2</c:v>
                </c:pt>
                <c:pt idx="11">
                  <c:v>5.9665954314172369E-2</c:v>
                </c:pt>
                <c:pt idx="12">
                  <c:v>5.9956310181083286E-2</c:v>
                </c:pt>
                <c:pt idx="13">
                  <c:v>6.0241557039936833E-2</c:v>
                </c:pt>
                <c:pt idx="14">
                  <c:v>6.052177729732662E-2</c:v>
                </c:pt>
                <c:pt idx="15">
                  <c:v>6.0797051842920932E-2</c:v>
                </c:pt>
                <c:pt idx="16">
                  <c:v>6.1067460081822192E-2</c:v>
                </c:pt>
                <c:pt idx="17">
                  <c:v>6.1333079966133637E-2</c:v>
                </c:pt>
                <c:pt idx="18">
                  <c:v>6.1593988025755587E-2</c:v>
                </c:pt>
                <c:pt idx="19">
                  <c:v>6.1850259398432084E-2</c:v>
                </c:pt>
                <c:pt idx="20">
                  <c:v>6.2101967859069067E-2</c:v>
                </c:pt>
                <c:pt idx="21">
                  <c:v>6.2349185848343994E-2</c:v>
                </c:pt>
                <c:pt idx="22">
                  <c:v>6.2591984500626266E-2</c:v>
                </c:pt>
                <c:pt idx="23">
                  <c:v>6.2830433671227051E-2</c:v>
                </c:pt>
                <c:pt idx="24">
                  <c:v>6.3064601962997346E-2</c:v>
                </c:pt>
                <c:pt idx="25">
                  <c:v>6.3294556752291245E-2</c:v>
                </c:pt>
                <c:pt idx="26">
                  <c:v>6.3520364214312189E-2</c:v>
                </c:pt>
                <c:pt idx="27">
                  <c:v>6.3742089347858383E-2</c:v>
                </c:pt>
                <c:pt idx="28">
                  <c:v>6.3959795999483773E-2</c:v>
                </c:pt>
                <c:pt idx="29">
                  <c:v>6.4173546887089927E-2</c:v>
                </c:pt>
                <c:pt idx="30">
                  <c:v>6.4383403622964644E-2</c:v>
                </c:pt>
                <c:pt idx="31">
                  <c:v>6.4589426736280917E-2</c:v>
                </c:pt>
                <c:pt idx="32">
                  <c:v>6.4791675695071854E-2</c:v>
                </c:pt>
                <c:pt idx="33">
                  <c:v>6.4990208927694262E-2</c:v>
                </c:pt>
                <c:pt idx="34">
                  <c:v>6.5185083843794997E-2</c:v>
                </c:pt>
                <c:pt idx="35">
                  <c:v>6.5376356854793052E-2</c:v>
                </c:pt>
                <c:pt idx="36">
                  <c:v>6.5564083393889708E-2</c:v>
                </c:pt>
                <c:pt idx="37">
                  <c:v>6.5748317935619638E-2</c:v>
                </c:pt>
                <c:pt idx="38">
                  <c:v>6.5929114014954243E-2</c:v>
                </c:pt>
                <c:pt idx="39">
                  <c:v>6.6106524245969356E-2</c:v>
                </c:pt>
                <c:pt idx="40">
                  <c:v>6.6280600340088272E-2</c:v>
                </c:pt>
                <c:pt idx="41">
                  <c:v>6.6451393123911073E-2</c:v>
                </c:pt>
                <c:pt idx="42">
                  <c:v>6.6618952556640965E-2</c:v>
                </c:pt>
                <c:pt idx="43">
                  <c:v>6.6783327747117829E-2</c:v>
                </c:pt>
                <c:pt idx="44">
                  <c:v>6.6944566970469174E-2</c:v>
                </c:pt>
                <c:pt idx="45">
                  <c:v>6.7102717684387872E-2</c:v>
                </c:pt>
                <c:pt idx="46">
                  <c:v>6.7257826545046584E-2</c:v>
                </c:pt>
                <c:pt idx="47">
                  <c:v>6.7409939422657619E-2</c:v>
                </c:pt>
                <c:pt idx="48">
                  <c:v>6.7559101416687611E-2</c:v>
                </c:pt>
                <c:pt idx="49">
                  <c:v>6.7705356870735284E-2</c:v>
                </c:pt>
                <c:pt idx="50">
                  <c:v>6.7848749387080742E-2</c:v>
                </c:pt>
                <c:pt idx="51">
                  <c:v>6.7989321840915051E-2</c:v>
                </c:pt>
                <c:pt idx="52">
                  <c:v>6.8127116394257226E-2</c:v>
                </c:pt>
                <c:pt idx="53">
                  <c:v>6.8262174509567161E-2</c:v>
                </c:pt>
                <c:pt idx="54">
                  <c:v>6.8394536963061275E-2</c:v>
                </c:pt>
                <c:pt idx="55">
                  <c:v>6.8524243857739017E-2</c:v>
                </c:pt>
                <c:pt idx="56">
                  <c:v>6.8651334636126521E-2</c:v>
                </c:pt>
                <c:pt idx="57">
                  <c:v>6.8775848092745062E-2</c:v>
                </c:pt>
                <c:pt idx="58">
                  <c:v>6.889782238631055E-2</c:v>
                </c:pt>
                <c:pt idx="59">
                  <c:v>6.9017295051670771E-2</c:v>
                </c:pt>
                <c:pt idx="60">
                  <c:v>6.9134303011486667E-2</c:v>
                </c:pt>
                <c:pt idx="61">
                  <c:v>6.9248882587664415E-2</c:v>
                </c:pt>
                <c:pt idx="62">
                  <c:v>6.9361069512543047E-2</c:v>
                </c:pt>
                <c:pt idx="63">
                  <c:v>6.9470898939845177E-2</c:v>
                </c:pt>
                <c:pt idx="64">
                  <c:v>6.9578405455394912E-2</c:v>
                </c:pt>
                <c:pt idx="65">
                  <c:v>6.9683623087609781E-2</c:v>
                </c:pt>
                <c:pt idx="66">
                  <c:v>6.9786585317771252E-2</c:v>
                </c:pt>
                <c:pt idx="67">
                  <c:v>6.988732509007943E-2</c:v>
                </c:pt>
                <c:pt idx="68">
                  <c:v>6.9985874821497374E-2</c:v>
                </c:pt>
                <c:pt idx="69">
                  <c:v>7.0082266411389066E-2</c:v>
                </c:pt>
                <c:pt idx="70">
                  <c:v>7.0176531250957103E-2</c:v>
                </c:pt>
                <c:pt idx="71">
                  <c:v>7.0268700232483924E-2</c:v>
                </c:pt>
                <c:pt idx="72">
                  <c:v>7.0358803758381494E-2</c:v>
                </c:pt>
                <c:pt idx="73">
                  <c:v>7.0446871750054083E-2</c:v>
                </c:pt>
                <c:pt idx="74">
                  <c:v>7.0532933656578214E-2</c:v>
                </c:pt>
                <c:pt idx="75">
                  <c:v>7.0617018463204118E-2</c:v>
                </c:pt>
                <c:pt idx="76">
                  <c:v>7.0699154699683103E-2</c:v>
                </c:pt>
                <c:pt idx="77">
                  <c:v>7.0779370448424389E-2</c:v>
                </c:pt>
                <c:pt idx="78">
                  <c:v>7.0857693352485707E-2</c:v>
                </c:pt>
                <c:pt idx="79">
                  <c:v>7.0934150623401637E-2</c:v>
                </c:pt>
                <c:pt idx="80">
                  <c:v>7.1008769048852477E-2</c:v>
                </c:pt>
                <c:pt idx="81">
                  <c:v>7.1081575000178795E-2</c:v>
                </c:pt>
                <c:pt idx="82">
                  <c:v>7.1152594439743741E-2</c:v>
                </c:pt>
                <c:pt idx="83">
                  <c:v>7.1221852928147533E-2</c:v>
                </c:pt>
                <c:pt idx="84">
                  <c:v>7.1289375631296961E-2</c:v>
                </c:pt>
                <c:pt idx="85">
                  <c:v>7.1355187327333508E-2</c:v>
                </c:pt>
                <c:pt idx="86">
                  <c:v>7.1419312413423003E-2</c:v>
                </c:pt>
                <c:pt idx="87">
                  <c:v>7.1481774912410215E-2</c:v>
                </c:pt>
                <c:pt idx="88">
                  <c:v>7.1542598479341177E-2</c:v>
                </c:pt>
                <c:pt idx="89">
                  <c:v>7.1601806407856294E-2</c:v>
                </c:pt>
                <c:pt idx="90">
                  <c:v>7.1659421636457124E-2</c:v>
                </c:pt>
                <c:pt idx="91">
                  <c:v>7.1715466754649779E-2</c:v>
                </c:pt>
                <c:pt idx="92">
                  <c:v>7.1769964008967277E-2</c:v>
                </c:pt>
                <c:pt idx="93">
                  <c:v>7.182293530887407E-2</c:v>
                </c:pt>
                <c:pt idx="94">
                  <c:v>7.1874402232554951E-2</c:v>
                </c:pt>
                <c:pt idx="95">
                  <c:v>7.1924386032591006E-2</c:v>
                </c:pt>
                <c:pt idx="96">
                  <c:v>7.1972907641525183E-2</c:v>
                </c:pt>
                <c:pt idx="97">
                  <c:v>7.2019987677319888E-2</c:v>
                </c:pt>
                <c:pt idx="98">
                  <c:v>7.2065646448708623E-2</c:v>
                </c:pt>
                <c:pt idx="99">
                  <c:v>7.2109903960444546E-2</c:v>
                </c:pt>
                <c:pt idx="100">
                  <c:v>7.2152779918447887E-2</c:v>
                </c:pt>
                <c:pt idx="101">
                  <c:v>7.2194293734854198E-2</c:v>
                </c:pt>
                <c:pt idx="102">
                  <c:v>7.2234464532966211E-2</c:v>
                </c:pt>
                <c:pt idx="103">
                  <c:v>7.2273311152110511E-2</c:v>
                </c:pt>
                <c:pt idx="104">
                  <c:v>7.2310852152402114E-2</c:v>
                </c:pt>
                <c:pt idx="105">
                  <c:v>7.2347105819417848E-2</c:v>
                </c:pt>
                <c:pt idx="106">
                  <c:v>7.2382090168781402E-2</c:v>
                </c:pt>
                <c:pt idx="107">
                  <c:v>7.2415822950661346E-2</c:v>
                </c:pt>
                <c:pt idx="108">
                  <c:v>7.2448321654184286E-2</c:v>
                </c:pt>
                <c:pt idx="109">
                  <c:v>7.247960351176469E-2</c:v>
                </c:pt>
                <c:pt idx="110">
                  <c:v>7.2509685503353599E-2</c:v>
                </c:pt>
                <c:pt idx="111">
                  <c:v>7.2538584360607339E-2</c:v>
                </c:pt>
                <c:pt idx="112">
                  <c:v>7.2566316570978312E-2</c:v>
                </c:pt>
                <c:pt idx="113">
                  <c:v>7.259289838172979E-2</c:v>
                </c:pt>
                <c:pt idx="114">
                  <c:v>7.2618345803875287E-2</c:v>
                </c:pt>
                <c:pt idx="115">
                  <c:v>7.2642674616045358E-2</c:v>
                </c:pt>
                <c:pt idx="116">
                  <c:v>7.2665900368282452E-2</c:v>
                </c:pt>
                <c:pt idx="117">
                  <c:v>7.2688038385765569E-2</c:v>
                </c:pt>
                <c:pt idx="118">
                  <c:v>7.270910377246631E-2</c:v>
                </c:pt>
                <c:pt idx="119">
                  <c:v>7.2729111414737674E-2</c:v>
                </c:pt>
                <c:pt idx="120">
                  <c:v>7.2748075984836943E-2</c:v>
                </c:pt>
                <c:pt idx="121">
                  <c:v>7.2766011944383868E-2</c:v>
                </c:pt>
                <c:pt idx="122">
                  <c:v>7.2782933547755904E-2</c:v>
                </c:pt>
                <c:pt idx="123">
                  <c:v>7.2798854845421465E-2</c:v>
                </c:pt>
                <c:pt idx="124">
                  <c:v>7.281378968721243E-2</c:v>
                </c:pt>
                <c:pt idx="125">
                  <c:v>7.2827751725537487E-2</c:v>
                </c:pt>
                <c:pt idx="126">
                  <c:v>7.2840754418537018E-2</c:v>
                </c:pt>
                <c:pt idx="127">
                  <c:v>7.2852811033181183E-2</c:v>
                </c:pt>
                <c:pt idx="128">
                  <c:v>7.2863934648312173E-2</c:v>
                </c:pt>
                <c:pt idx="129">
                  <c:v>7.2874138157631579E-2</c:v>
                </c:pt>
                <c:pt idx="130">
                  <c:v>7.2883434272634426E-2</c:v>
                </c:pt>
                <c:pt idx="131">
                  <c:v>7.2891835525490292E-2</c:v>
                </c:pt>
                <c:pt idx="132">
                  <c:v>7.2899354271873537E-2</c:v>
                </c:pt>
                <c:pt idx="133">
                  <c:v>7.290600269374245E-2</c:v>
                </c:pt>
                <c:pt idx="134">
                  <c:v>7.2911792802069414E-2</c:v>
                </c:pt>
                <c:pt idx="135">
                  <c:v>7.2916736439522539E-2</c:v>
                </c:pt>
                <c:pt idx="136">
                  <c:v>7.2920845283099722E-2</c:v>
                </c:pt>
                <c:pt idx="137">
                  <c:v>7.2924130846716242E-2</c:v>
                </c:pt>
                <c:pt idx="138">
                  <c:v>7.2926604483746812E-2</c:v>
                </c:pt>
                <c:pt idx="139">
                  <c:v>7.2928277389522816E-2</c:v>
                </c:pt>
                <c:pt idx="140">
                  <c:v>7.2929160603785737E-2</c:v>
                </c:pt>
                <c:pt idx="141">
                  <c:v>7.2929265013097835E-2</c:v>
                </c:pt>
                <c:pt idx="142">
                  <c:v>7.2928601353210346E-2</c:v>
                </c:pt>
                <c:pt idx="143">
                  <c:v>7.2927180211390677E-2</c:v>
                </c:pt>
                <c:pt idx="144">
                  <c:v>7.2925012028709046E-2</c:v>
                </c:pt>
                <c:pt idx="145">
                  <c:v>7.2922107102285416E-2</c:v>
                </c:pt>
                <c:pt idx="146">
                  <c:v>7.2918475587497478E-2</c:v>
                </c:pt>
                <c:pt idx="147">
                  <c:v>7.2914127500150611E-2</c:v>
                </c:pt>
                <c:pt idx="148">
                  <c:v>7.2909072718610135E-2</c:v>
                </c:pt>
                <c:pt idx="149">
                  <c:v>7.2903320985897288E-2</c:v>
                </c:pt>
                <c:pt idx="150">
                  <c:v>7.2896881911748826E-2</c:v>
                </c:pt>
                <c:pt idx="151">
                  <c:v>7.2889764974641516E-2</c:v>
                </c:pt>
                <c:pt idx="152">
                  <c:v>7.288197952378199E-2</c:v>
                </c:pt>
                <c:pt idx="153">
                  <c:v>7.2873534781062635E-2</c:v>
                </c:pt>
                <c:pt idx="154">
                  <c:v>7.2864439842984241E-2</c:v>
                </c:pt>
                <c:pt idx="155">
                  <c:v>7.2854703682545707E-2</c:v>
                </c:pt>
                <c:pt idx="156">
                  <c:v>7.2844335151102099E-2</c:v>
                </c:pt>
                <c:pt idx="157">
                  <c:v>7.2833342980191201E-2</c:v>
                </c:pt>
                <c:pt idx="158">
                  <c:v>7.2821735783328775E-2</c:v>
                </c:pt>
                <c:pt idx="159">
                  <c:v>7.280952205777412E-2</c:v>
                </c:pt>
                <c:pt idx="160">
                  <c:v>7.2796710186265642E-2</c:v>
                </c:pt>
                <c:pt idx="161">
                  <c:v>7.2783308438727448E-2</c:v>
                </c:pt>
                <c:pt idx="162">
                  <c:v>7.2769324973947266E-2</c:v>
                </c:pt>
                <c:pt idx="163">
                  <c:v>7.2754767841226212E-2</c:v>
                </c:pt>
                <c:pt idx="164">
                  <c:v>7.2739644982001514E-2</c:v>
                </c:pt>
                <c:pt idx="165">
                  <c:v>7.2723964231441424E-2</c:v>
                </c:pt>
                <c:pt idx="166">
                  <c:v>7.2707733320014567E-2</c:v>
                </c:pt>
                <c:pt idx="167">
                  <c:v>7.2690959875032379E-2</c:v>
                </c:pt>
                <c:pt idx="168">
                  <c:v>7.2673651422166891E-2</c:v>
                </c:pt>
                <c:pt idx="169">
                  <c:v>7.2655815386942574E-2</c:v>
                </c:pt>
                <c:pt idx="170">
                  <c:v>7.263745909620449E-2</c:v>
                </c:pt>
                <c:pt idx="171">
                  <c:v>7.2618589779561482E-2</c:v>
                </c:pt>
                <c:pt idx="172">
                  <c:v>7.2599214570806342E-2</c:v>
                </c:pt>
                <c:pt idx="173">
                  <c:v>7.2579340509312279E-2</c:v>
                </c:pt>
                <c:pt idx="174">
                  <c:v>7.2558974541406723E-2</c:v>
                </c:pt>
                <c:pt idx="175">
                  <c:v>7.25381235217228E-2</c:v>
                </c:pt>
                <c:pt idx="176">
                  <c:v>7.2516794214528613E-2</c:v>
                </c:pt>
                <c:pt idx="177">
                  <c:v>7.2494993295035087E-2</c:v>
                </c:pt>
                <c:pt idx="178">
                  <c:v>7.2472727350682511E-2</c:v>
                </c:pt>
                <c:pt idx="179">
                  <c:v>7.24500028824063E-2</c:v>
                </c:pt>
                <c:pt idx="180">
                  <c:v>7.2426826305882278E-2</c:v>
                </c:pt>
                <c:pt idx="181">
                  <c:v>7.2403203952751821E-2</c:v>
                </c:pt>
                <c:pt idx="182">
                  <c:v>7.2379142071827621E-2</c:v>
                </c:pt>
                <c:pt idx="183">
                  <c:v>7.2354646830279479E-2</c:v>
                </c:pt>
                <c:pt idx="184">
                  <c:v>7.2329724314801724E-2</c:v>
                </c:pt>
                <c:pt idx="185">
                  <c:v>7.2304380532761475E-2</c:v>
                </c:pt>
                <c:pt idx="186">
                  <c:v>7.2278621413328803E-2</c:v>
                </c:pt>
                <c:pt idx="187">
                  <c:v>7.2252452808588996E-2</c:v>
                </c:pt>
                <c:pt idx="188">
                  <c:v>7.2225880494636713E-2</c:v>
                </c:pt>
                <c:pt idx="189">
                  <c:v>7.2198910172653202E-2</c:v>
                </c:pt>
                <c:pt idx="190">
                  <c:v>7.2171547469966249E-2</c:v>
                </c:pt>
                <c:pt idx="191">
                  <c:v>7.214379794109331E-2</c:v>
                </c:pt>
                <c:pt idx="192">
                  <c:v>7.2115667068768249E-2</c:v>
                </c:pt>
                <c:pt idx="193">
                  <c:v>7.2087160264952016E-2</c:v>
                </c:pt>
                <c:pt idx="194">
                  <c:v>7.2058282871827237E-2</c:v>
                </c:pt>
                <c:pt idx="195">
                  <c:v>7.2029040162777128E-2</c:v>
                </c:pt>
                <c:pt idx="196">
                  <c:v>7.1999437343349404E-2</c:v>
                </c:pt>
                <c:pt idx="197">
                  <c:v>7.1969479552204813E-2</c:v>
                </c:pt>
                <c:pt idx="198">
                  <c:v>7.1939171862050996E-2</c:v>
                </c:pt>
                <c:pt idx="199">
                  <c:v>7.1908519280561647E-2</c:v>
                </c:pt>
                <c:pt idx="200">
                  <c:v>7.1877526751281617E-2</c:v>
                </c:pt>
              </c:numCache>
            </c:numRef>
          </c:val>
          <c:smooth val="0"/>
          <c:extLst>
            <c:ext xmlns:c16="http://schemas.microsoft.com/office/drawing/2014/chart" uri="{C3380CC4-5D6E-409C-BE32-E72D297353CC}">
              <c16:uniqueId val="{00000000-50A6-46D4-AEF8-03ADE34CD569}"/>
            </c:ext>
          </c:extLst>
        </c:ser>
        <c:ser>
          <c:idx val="6"/>
          <c:order val="8"/>
          <c:tx>
            <c:strRef>
              <c:f>'Efficiency vs VIN Calculations'!$AC$8</c:f>
              <c:strCache>
                <c:ptCount val="1"/>
                <c:pt idx="0">
                  <c:v>Total Cout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Calculations'!$AC$9:$AC$209</c:f>
              <c:numCache>
                <c:formatCode>0.000</c:formatCode>
                <c:ptCount val="201"/>
                <c:pt idx="0">
                  <c:v>2.6259597524932012E-3</c:v>
                </c:pt>
                <c:pt idx="1">
                  <c:v>2.6757465998962959E-3</c:v>
                </c:pt>
                <c:pt idx="2">
                  <c:v>2.7256505648593898E-3</c:v>
                </c:pt>
                <c:pt idx="3">
                  <c:v>2.7756656482147918E-3</c:v>
                </c:pt>
                <c:pt idx="4">
                  <c:v>2.8257859992278141E-3</c:v>
                </c:pt>
                <c:pt idx="5">
                  <c:v>2.8760059119227487E-3</c:v>
                </c:pt>
                <c:pt idx="6">
                  <c:v>2.9263198215073011E-3</c:v>
                </c:pt>
                <c:pt idx="7">
                  <c:v>2.9767223008926196E-3</c:v>
                </c:pt>
                <c:pt idx="8">
                  <c:v>3.0272080573061017E-3</c:v>
                </c:pt>
                <c:pt idx="9">
                  <c:v>3.0777719289942578E-3</c:v>
                </c:pt>
                <c:pt idx="10">
                  <c:v>3.1284088820129879E-3</c:v>
                </c:pt>
                <c:pt idx="11">
                  <c:v>3.1791140071027774E-3</c:v>
                </c:pt>
                <c:pt idx="12">
                  <c:v>3.2298825166463029E-3</c:v>
                </c:pt>
                <c:pt idx="13">
                  <c:v>3.2807097417060695E-3</c:v>
                </c:pt>
                <c:pt idx="14">
                  <c:v>3.3315911291397992E-3</c:v>
                </c:pt>
                <c:pt idx="15">
                  <c:v>3.3825222387912916E-3</c:v>
                </c:pt>
                <c:pt idx="16">
                  <c:v>3.4334987407546452E-3</c:v>
                </c:pt>
                <c:pt idx="17">
                  <c:v>3.4845164127096867E-3</c:v>
                </c:pt>
                <c:pt idx="18">
                  <c:v>3.5355711373265971E-3</c:v>
                </c:pt>
                <c:pt idx="19">
                  <c:v>3.586658899737815E-3</c:v>
                </c:pt>
                <c:pt idx="20">
                  <c:v>3.6377757850752142E-3</c:v>
                </c:pt>
                <c:pt idx="21">
                  <c:v>3.6889179760708052E-3</c:v>
                </c:pt>
                <c:pt idx="22">
                  <c:v>3.7400817507190821E-3</c:v>
                </c:pt>
                <c:pt idx="23">
                  <c:v>3.7912634799993801E-3</c:v>
                </c:pt>
                <c:pt idx="24">
                  <c:v>3.842459625656458E-3</c:v>
                </c:pt>
                <c:pt idx="25">
                  <c:v>3.893666738037746E-3</c:v>
                </c:pt>
                <c:pt idx="26">
                  <c:v>3.9448814539856693E-3</c:v>
                </c:pt>
                <c:pt idx="27">
                  <c:v>3.9961004947834736E-3</c:v>
                </c:pt>
                <c:pt idx="28">
                  <c:v>4.0473206641531388E-3</c:v>
                </c:pt>
                <c:pt idx="29">
                  <c:v>4.0985388463038504E-3</c:v>
                </c:pt>
                <c:pt idx="30">
                  <c:v>4.1497520040297518E-3</c:v>
                </c:pt>
                <c:pt idx="31">
                  <c:v>4.2009571768554764E-3</c:v>
                </c:pt>
                <c:pt idx="32">
                  <c:v>4.2521514792282838E-3</c:v>
                </c:pt>
                <c:pt idx="33">
                  <c:v>4.3033320987554378E-3</c:v>
                </c:pt>
                <c:pt idx="34">
                  <c:v>4.3544962944856401E-3</c:v>
                </c:pt>
                <c:pt idx="35">
                  <c:v>4.4056413952332568E-3</c:v>
                </c:pt>
                <c:pt idx="36">
                  <c:v>4.456764797944289E-3</c:v>
                </c:pt>
                <c:pt idx="37">
                  <c:v>4.5078639661028166E-3</c:v>
                </c:pt>
                <c:pt idx="38">
                  <c:v>4.5589364281769266E-3</c:v>
                </c:pt>
                <c:pt idx="39">
                  <c:v>4.609979776103031E-3</c:v>
                </c:pt>
                <c:pt idx="40">
                  <c:v>4.6609916638075182E-3</c:v>
                </c:pt>
                <c:pt idx="41">
                  <c:v>4.711969805764795E-3</c:v>
                </c:pt>
                <c:pt idx="42">
                  <c:v>4.7629119755906472E-3</c:v>
                </c:pt>
                <c:pt idx="43">
                  <c:v>4.8138160046700962E-3</c:v>
                </c:pt>
                <c:pt idx="44">
                  <c:v>4.8646797808187649E-3</c:v>
                </c:pt>
                <c:pt idx="45">
                  <c:v>4.9155012469768514E-3</c:v>
                </c:pt>
                <c:pt idx="46">
                  <c:v>4.9662783999348814E-3</c:v>
                </c:pt>
                <c:pt idx="47">
                  <c:v>5.0170092890904176E-3</c:v>
                </c:pt>
                <c:pt idx="48">
                  <c:v>5.0676920152348389E-3</c:v>
                </c:pt>
                <c:pt idx="49">
                  <c:v>5.1183247293694698E-3</c:v>
                </c:pt>
                <c:pt idx="50">
                  <c:v>5.1689056315502814E-3</c:v>
                </c:pt>
                <c:pt idx="51">
                  <c:v>5.2194329697603402E-3</c:v>
                </c:pt>
                <c:pt idx="52">
                  <c:v>5.2699050388094219E-3</c:v>
                </c:pt>
                <c:pt idx="53">
                  <c:v>5.320320179259928E-3</c:v>
                </c:pt>
                <c:pt idx="54">
                  <c:v>5.3706767763785556E-3</c:v>
                </c:pt>
                <c:pt idx="55">
                  <c:v>5.4209732591129559E-3</c:v>
                </c:pt>
                <c:pt idx="56">
                  <c:v>5.4712080990927947E-3</c:v>
                </c:pt>
                <c:pt idx="57">
                  <c:v>5.521379809654549E-3</c:v>
                </c:pt>
                <c:pt idx="58">
                  <c:v>5.5714869448894866E-3</c:v>
                </c:pt>
                <c:pt idx="59">
                  <c:v>5.6215280987141417E-3</c:v>
                </c:pt>
                <c:pt idx="60">
                  <c:v>5.6715019039628098E-3</c:v>
                </c:pt>
                <c:pt idx="61">
                  <c:v>5.7214070315013991E-3</c:v>
                </c:pt>
                <c:pt idx="62">
                  <c:v>5.7712421893622431E-3</c:v>
                </c:pt>
                <c:pt idx="63">
                  <c:v>5.821006121899122E-3</c:v>
                </c:pt>
                <c:pt idx="64">
                  <c:v>5.8706976089622264E-3</c:v>
                </c:pt>
                <c:pt idx="65">
                  <c:v>5.9203154650923516E-3</c:v>
                </c:pt>
                <c:pt idx="66">
                  <c:v>5.9698585387339799E-3</c:v>
                </c:pt>
                <c:pt idx="67">
                  <c:v>6.0193257114666823E-3</c:v>
                </c:pt>
                <c:pt idx="68">
                  <c:v>6.0687158972544397E-3</c:v>
                </c:pt>
                <c:pt idx="69">
                  <c:v>6.1180280417124202E-3</c:v>
                </c:pt>
                <c:pt idx="70">
                  <c:v>6.1672611213907328E-3</c:v>
                </c:pt>
                <c:pt idx="71">
                  <c:v>6.2164141430747916E-3</c:v>
                </c:pt>
                <c:pt idx="72">
                  <c:v>6.2654861431018687E-3</c:v>
                </c:pt>
                <c:pt idx="73">
                  <c:v>6.3144761866933772E-3</c:v>
                </c:pt>
                <c:pt idx="74">
                  <c:v>6.3633833673025879E-3</c:v>
                </c:pt>
                <c:pt idx="75">
                  <c:v>6.4122068059772955E-3</c:v>
                </c:pt>
                <c:pt idx="76">
                  <c:v>6.4609456507371604E-3</c:v>
                </c:pt>
                <c:pt idx="77">
                  <c:v>6.5095990759652727E-3</c:v>
                </c:pt>
                <c:pt idx="78">
                  <c:v>6.5581662818137015E-3</c:v>
                </c:pt>
                <c:pt idx="79">
                  <c:v>6.6066464936225533E-3</c:v>
                </c:pt>
                <c:pt idx="80">
                  <c:v>6.6550389613523313E-3</c:v>
                </c:pt>
                <c:pt idx="81">
                  <c:v>6.7033429590291575E-3</c:v>
                </c:pt>
                <c:pt idx="82">
                  <c:v>6.7515577842026907E-3</c:v>
                </c:pt>
                <c:pt idx="83">
                  <c:v>6.7996827574162708E-3</c:v>
                </c:pt>
                <c:pt idx="84">
                  <c:v>6.847717221689067E-3</c:v>
                </c:pt>
                <c:pt idx="85">
                  <c:v>6.8956605420099912E-3</c:v>
                </c:pt>
                <c:pt idx="86">
                  <c:v>6.9435121048430125E-3</c:v>
                </c:pt>
                <c:pt idx="87">
                  <c:v>6.9912713176436131E-3</c:v>
                </c:pt>
                <c:pt idx="88">
                  <c:v>7.0389376083861352E-3</c:v>
                </c:pt>
                <c:pt idx="89">
                  <c:v>7.0865104251017618E-3</c:v>
                </c:pt>
                <c:pt idx="90">
                  <c:v>7.1339892354268805E-3</c:v>
                </c:pt>
                <c:pt idx="91">
                  <c:v>7.1813735261615202E-3</c:v>
                </c:pt>
                <c:pt idx="92">
                  <c:v>7.2286628028377219E-3</c:v>
                </c:pt>
                <c:pt idx="93">
                  <c:v>7.2758565892975255E-3</c:v>
                </c:pt>
                <c:pt idx="94">
                  <c:v>7.3229544272803565E-3</c:v>
                </c:pt>
                <c:pt idx="95">
                  <c:v>7.3699558760196683E-3</c:v>
                </c:pt>
                <c:pt idx="96">
                  <c:v>7.4168605118484603E-3</c:v>
                </c:pt>
                <c:pt idx="97">
                  <c:v>7.4636679278136725E-3</c:v>
                </c:pt>
                <c:pt idx="98">
                  <c:v>7.51037773329902E-3</c:v>
                </c:pt>
                <c:pt idx="99">
                  <c:v>7.5569895536562823E-3</c:v>
                </c:pt>
                <c:pt idx="100">
                  <c:v>7.6035030298446729E-3</c:v>
                </c:pt>
                <c:pt idx="101">
                  <c:v>7.649917818078231E-3</c:v>
                </c:pt>
                <c:pt idx="102">
                  <c:v>7.6962335894809695E-3</c:v>
                </c:pt>
                <c:pt idx="103">
                  <c:v>7.7424500297496E-3</c:v>
                </c:pt>
                <c:pt idx="104">
                  <c:v>7.7885668388237433E-3</c:v>
                </c:pt>
                <c:pt idx="105">
                  <c:v>7.8345837305633E-3</c:v>
                </c:pt>
                <c:pt idx="106">
                  <c:v>7.8805004324329873E-3</c:v>
                </c:pt>
                <c:pt idx="107">
                  <c:v>7.9263166851937291E-3</c:v>
                </c:pt>
                <c:pt idx="108">
                  <c:v>7.9720322426008444E-3</c:v>
                </c:pt>
                <c:pt idx="109">
                  <c:v>8.0176468711087821E-3</c:v>
                </c:pt>
                <c:pt idx="110">
                  <c:v>8.0631603495823888E-3</c:v>
                </c:pt>
                <c:pt idx="111">
                  <c:v>8.1085724690143843E-3</c:v>
                </c:pt>
                <c:pt idx="112">
                  <c:v>8.1538830322490582E-3</c:v>
                </c:pt>
                <c:pt idx="113">
                  <c:v>8.1990918537119383E-3</c:v>
                </c:pt>
                <c:pt idx="114">
                  <c:v>8.2441987591453519E-3</c:v>
                </c:pt>
                <c:pt idx="115">
                  <c:v>8.2892035853497498E-3</c:v>
                </c:pt>
                <c:pt idx="116">
                  <c:v>8.3341061799305904E-3</c:v>
                </c:pt>
                <c:pt idx="117">
                  <c:v>8.3789064010507588E-3</c:v>
                </c:pt>
                <c:pt idx="118">
                  <c:v>8.4236041171883089E-3</c:v>
                </c:pt>
                <c:pt idx="119">
                  <c:v>8.4681992068994412E-3</c:v>
                </c:pt>
                <c:pt idx="120">
                  <c:v>8.5126915585866433E-3</c:v>
                </c:pt>
                <c:pt idx="121">
                  <c:v>8.5570810702717947E-3</c:v>
                </c:pt>
                <c:pt idx="122">
                  <c:v>8.6013676493741139E-3</c:v>
                </c:pt>
                <c:pt idx="123">
                  <c:v>8.6455512124930384E-3</c:v>
                </c:pt>
                <c:pt idx="124">
                  <c:v>8.6896316851955823E-3</c:v>
                </c:pt>
                <c:pt idx="125">
                  <c:v>8.7336090018084005E-3</c:v>
                </c:pt>
                <c:pt idx="126">
                  <c:v>8.7774831052142756E-3</c:v>
                </c:pt>
                <c:pt idx="127">
                  <c:v>8.821253946652929E-3</c:v>
                </c:pt>
                <c:pt idx="128">
                  <c:v>8.86492148552619E-3</c:v>
                </c:pt>
                <c:pt idx="129">
                  <c:v>8.9084856892072371E-3</c:v>
                </c:pt>
                <c:pt idx="130">
                  <c:v>8.9519465328539698E-3</c:v>
                </c:pt>
                <c:pt idx="131">
                  <c:v>8.9953039992263818E-3</c:v>
                </c:pt>
                <c:pt idx="132">
                  <c:v>9.03855807850781E-3</c:v>
                </c:pt>
                <c:pt idx="133">
                  <c:v>9.0817087681299945E-3</c:v>
                </c:pt>
                <c:pt idx="134">
                  <c:v>9.1247560726018338E-3</c:v>
                </c:pt>
                <c:pt idx="135">
                  <c:v>9.1677000033419317E-3</c:v>
                </c:pt>
                <c:pt idx="136">
                  <c:v>9.2105405785144947E-3</c:v>
                </c:pt>
                <c:pt idx="137">
                  <c:v>9.253277822868864E-3</c:v>
                </c:pt>
                <c:pt idx="138">
                  <c:v>9.2959117675824737E-3</c:v>
                </c:pt>
                <c:pt idx="139">
                  <c:v>9.3384424501069888E-3</c:v>
                </c:pt>
                <c:pt idx="140">
                  <c:v>9.3808699140179395E-3</c:v>
                </c:pt>
                <c:pt idx="141">
                  <c:v>9.4231942088672856E-3</c:v>
                </c:pt>
                <c:pt idx="142">
                  <c:v>9.465415390039339E-3</c:v>
                </c:pt>
                <c:pt idx="143">
                  <c:v>9.5075335186095497E-3</c:v>
                </c:pt>
                <c:pt idx="144">
                  <c:v>9.5495486612064556E-3</c:v>
                </c:pt>
                <c:pt idx="145">
                  <c:v>9.5914608898763562E-3</c:v>
                </c:pt>
                <c:pt idx="146">
                  <c:v>9.6332702819510452E-3</c:v>
                </c:pt>
                <c:pt idx="147">
                  <c:v>9.6749769199182042E-3</c:v>
                </c:pt>
                <c:pt idx="148">
                  <c:v>9.7165808912945649E-3</c:v>
                </c:pt>
                <c:pt idx="149">
                  <c:v>9.758082288501781E-3</c:v>
                </c:pt>
                <c:pt idx="150">
                  <c:v>9.7994812087448483E-3</c:v>
                </c:pt>
                <c:pt idx="151">
                  <c:v>9.8407777538932067E-3</c:v>
                </c:pt>
                <c:pt idx="152">
                  <c:v>9.8819720303642312E-3</c:v>
                </c:pt>
                <c:pt idx="153">
                  <c:v>9.9230641490091961E-3</c:v>
                </c:pt>
                <c:pt idx="154">
                  <c:v>9.9640542250017203E-3</c:v>
                </c:pt>
                <c:pt idx="155">
                  <c:v>1.0004942377728468E-2</c:v>
                </c:pt>
                <c:pt idx="156">
                  <c:v>1.004572873068219E-2</c:v>
                </c:pt>
                <c:pt idx="157">
                  <c:v>1.0086413411357062E-2</c:v>
                </c:pt>
                <c:pt idx="158">
                  <c:v>1.0126996551146064E-2</c:v>
                </c:pt>
                <c:pt idx="159">
                  <c:v>1.0167478285240745E-2</c:v>
                </c:pt>
                <c:pt idx="160">
                  <c:v>1.0207858752532889E-2</c:v>
                </c:pt>
                <c:pt idx="161">
                  <c:v>1.0248138095518373E-2</c:v>
                </c:pt>
                <c:pt idx="162">
                  <c:v>1.0288316460202982E-2</c:v>
                </c:pt>
                <c:pt idx="163">
                  <c:v>1.0328393996010231E-2</c:v>
                </c:pt>
                <c:pt idx="164">
                  <c:v>1.036837085569111E-2</c:v>
                </c:pt>
                <c:pt idx="165">
                  <c:v>1.0408247195235747E-2</c:v>
                </c:pt>
                <c:pt idx="166">
                  <c:v>1.0448023173786864E-2</c:v>
                </c:pt>
                <c:pt idx="167">
                  <c:v>1.0487698953555112E-2</c:v>
                </c:pt>
                <c:pt idx="168">
                  <c:v>1.0527274699736154E-2</c:v>
                </c:pt>
                <c:pt idx="169">
                  <c:v>1.0566750580429503E-2</c:v>
                </c:pt>
                <c:pt idx="170">
                  <c:v>1.0606126766559029E-2</c:v>
                </c:pt>
                <c:pt idx="171">
                  <c:v>1.0645403431795186E-2</c:v>
                </c:pt>
                <c:pt idx="172">
                  <c:v>1.0684580752478806E-2</c:v>
                </c:pt>
                <c:pt idx="173">
                  <c:v>1.0723658907546561E-2</c:v>
                </c:pt>
                <c:pt idx="174">
                  <c:v>1.076263807845791E-2</c:v>
                </c:pt>
                <c:pt idx="175">
                  <c:v>1.0801518449123691E-2</c:v>
                </c:pt>
                <c:pt idx="176">
                  <c:v>1.0840300205836054E-2</c:v>
                </c:pt>
                <c:pt idx="177">
                  <c:v>1.0878983537200028E-2</c:v>
                </c:pt>
                <c:pt idx="178">
                  <c:v>1.0917568634066411E-2</c:v>
                </c:pt>
                <c:pt idx="179">
                  <c:v>1.0956055689466105E-2</c:v>
                </c:pt>
                <c:pt idx="180">
                  <c:v>1.0994444898545848E-2</c:v>
                </c:pt>
                <c:pt idx="181">
                  <c:v>1.1032736458505266E-2</c:v>
                </c:pt>
                <c:pt idx="182">
                  <c:v>1.1070930568535258E-2</c:v>
                </c:pt>
                <c:pt idx="183">
                  <c:v>1.1109027429757706E-2</c:v>
                </c:pt>
                <c:pt idx="184">
                  <c:v>1.1147027245166344E-2</c:v>
                </c:pt>
                <c:pt idx="185">
                  <c:v>1.1184930219569065E-2</c:v>
                </c:pt>
                <c:pt idx="186">
                  <c:v>1.1222736559531222E-2</c:v>
                </c:pt>
                <c:pt idx="187">
                  <c:v>1.1260446473320303E-2</c:v>
                </c:pt>
                <c:pt idx="188">
                  <c:v>1.1298060170851615E-2</c:v>
                </c:pt>
                <c:pt idx="189">
                  <c:v>1.1335577863635244E-2</c:v>
                </c:pt>
                <c:pt idx="190">
                  <c:v>1.1372999764724103E-2</c:v>
                </c:pt>
                <c:pt idx="191">
                  <c:v>1.1410326088662963E-2</c:v>
                </c:pt>
                <c:pt idx="192">
                  <c:v>1.1447557051438722E-2</c:v>
                </c:pt>
                <c:pt idx="193">
                  <c:v>1.1484692870431619E-2</c:v>
                </c:pt>
                <c:pt idx="194">
                  <c:v>1.1521733764367515E-2</c:v>
                </c:pt>
                <c:pt idx="195">
                  <c:v>1.1558679953271166E-2</c:v>
                </c:pt>
                <c:pt idx="196">
                  <c:v>1.1595531658420494E-2</c:v>
                </c:pt>
                <c:pt idx="197">
                  <c:v>1.1632289102301819E-2</c:v>
                </c:pt>
                <c:pt idx="198">
                  <c:v>1.1668952508566081E-2</c:v>
                </c:pt>
                <c:pt idx="199">
                  <c:v>1.1705522101985904E-2</c:v>
                </c:pt>
                <c:pt idx="200">
                  <c:v>1.1741998108413641E-2</c:v>
                </c:pt>
              </c:numCache>
            </c:numRef>
          </c:val>
          <c:smooth val="0"/>
          <c:extLst>
            <c:ext xmlns:c16="http://schemas.microsoft.com/office/drawing/2014/chart" uri="{C3380CC4-5D6E-409C-BE32-E72D297353CC}">
              <c16:uniqueId val="{00000001-50A6-46D4-AEF8-03ADE34CD569}"/>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3"/>
                <c:order val="1"/>
                <c:tx>
                  <c:strRef>
                    <c:extLst>
                      <c:ext uri="{02D57815-91ED-43cb-92C2-25804820EDAC}">
                        <c15:formulaRef>
                          <c15:sqref>'Efficiency vs VIN Calculations'!$BE$7</c15:sqref>
                        </c15:formulaRef>
                      </c:ext>
                    </c:extLst>
                    <c:strCache>
                      <c:ptCount val="1"/>
                      <c:pt idx="0">
                        <c:v>Controller IC Losses</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Calculations'!$BH$9:$BH$209</c15:sqref>
                        </c15:formulaRef>
                      </c:ext>
                    </c:extLst>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3-50A6-46D4-AEF8-03ADE34CD569}"/>
                  </c:ext>
                </c:extLst>
              </c15:ser>
            </c15:filteredLineSeries>
            <c15:filteredLineSeries>
              <c15:ser>
                <c:idx val="12"/>
                <c:order val="2"/>
                <c:tx>
                  <c:strRef>
                    <c:extLst xmlns:c15="http://schemas.microsoft.com/office/drawing/2012/chart">
                      <c:ext xmlns:c15="http://schemas.microsoft.com/office/drawing/2012/chart" uri="{02D57815-91ED-43cb-92C2-25804820EDAC}">
                        <c15:formulaRef>
                          <c15:sqref>'Efficiency vs VIN Calculations'!$BB$8</c15:sqref>
                        </c15:formulaRef>
                      </c:ext>
                    </c:extLst>
                    <c:strCache>
                      <c:ptCount val="1"/>
                      <c:pt idx="0">
                        <c:v>Reverse Recovery Loss MOSFET D BOOST</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Calculations'!$BB$9:$BB$209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4-50A6-46D4-AEF8-03ADE34CD569}"/>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VIN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Calculations'!$AX$9:$AX$209</c15:sqref>
                        </c15:formulaRef>
                      </c:ext>
                    </c:extLst>
                    <c:numCache>
                      <c:formatCode>0.000</c:formatCode>
                      <c:ptCount val="201"/>
                      <c:pt idx="0">
                        <c:v>0.71051455693915033</c:v>
                      </c:pt>
                      <c:pt idx="1">
                        <c:v>0.71057185755438468</c:v>
                      </c:pt>
                      <c:pt idx="2">
                        <c:v>0.71062929431359978</c:v>
                      </c:pt>
                      <c:pt idx="3">
                        <c:v>0.71068686032140771</c:v>
                      </c:pt>
                      <c:pt idx="4">
                        <c:v>0.7107445488526366</c:v>
                      </c:pt>
                      <c:pt idx="5">
                        <c:v>0.71080235334812214</c:v>
                      </c:pt>
                      <c:pt idx="6">
                        <c:v>0.71086026741060471</c:v>
                      </c:pt>
                      <c:pt idx="7">
                        <c:v>0.71091828480074304</c:v>
                      </c:pt>
                      <c:pt idx="8">
                        <c:v>0.71097639943322877</c:v>
                      </c:pt>
                      <c:pt idx="9">
                        <c:v>0.71103460537300878</c:v>
                      </c:pt>
                      <c:pt idx="10">
                        <c:v>0.71109289683160382</c:v>
                      </c:pt>
                      <c:pt idx="11">
                        <c:v>0.7111512681635288</c:v>
                      </c:pt>
                      <c:pt idx="12">
                        <c:v>0.71120971386280474</c:v>
                      </c:pt>
                      <c:pt idx="13">
                        <c:v>0.7112682285595614</c:v>
                      </c:pt>
                      <c:pt idx="14">
                        <c:v>0.71132680701673412</c:v>
                      </c:pt>
                      <c:pt idx="15">
                        <c:v>0.71138544412684313</c:v>
                      </c:pt>
                      <c:pt idx="16">
                        <c:v>0.71144413490885572</c:v>
                      </c:pt>
                      <c:pt idx="17">
                        <c:v>0.71150287450513694</c:v>
                      </c:pt>
                      <c:pt idx="18">
                        <c:v>0.71156165817847028</c:v>
                      </c:pt>
                      <c:pt idx="19">
                        <c:v>0.71162048130916433</c:v>
                      </c:pt>
                      <c:pt idx="20">
                        <c:v>0.71167933939222783</c:v>
                      </c:pt>
                      <c:pt idx="21">
                        <c:v>0.7117382280346215</c:v>
                      </c:pt>
                      <c:pt idx="22">
                        <c:v>0.71179714295257812</c:v>
                      </c:pt>
                      <c:pt idx="23">
                        <c:v>0.71185607996899358</c:v>
                      </c:pt>
                      <c:pt idx="24">
                        <c:v>0.71191503501088294</c:v>
                      </c:pt>
                      <c:pt idx="25">
                        <c:v>0.71197400410690137</c:v>
                      </c:pt>
                      <c:pt idx="26">
                        <c:v>0.71203298338493093</c:v>
                      </c:pt>
                      <c:pt idx="27">
                        <c:v>0.71209196906972516</c:v>
                      </c:pt>
                      <c:pt idx="28">
                        <c:v>0.7121509574806143</c:v>
                      </c:pt>
                      <c:pt idx="29">
                        <c:v>0.71220994502927193</c:v>
                      </c:pt>
                      <c:pt idx="30">
                        <c:v>0.71226892821753163</c:v>
                      </c:pt>
                      <c:pt idx="31">
                        <c:v>0.71232790363526544</c:v>
                      </c:pt>
                      <c:pt idx="32">
                        <c:v>0.71238686795830952</c:v>
                      </c:pt>
                      <c:pt idx="33">
                        <c:v>0.71244581794644679</c:v>
                      </c:pt>
                      <c:pt idx="34">
                        <c:v>0.71250475044143669</c:v>
                      </c:pt>
                      <c:pt idx="35">
                        <c:v>0.71256366236509316</c:v>
                      </c:pt>
                      <c:pt idx="36">
                        <c:v>0.71262255071741665</c:v>
                      </c:pt>
                      <c:pt idx="37">
                        <c:v>0.71268141257476481</c:v>
                      </c:pt>
                      <c:pt idx="38">
                        <c:v>0.71274024508807221</c:v>
                      </c:pt>
                      <c:pt idx="39">
                        <c:v>0.71279904548111461</c:v>
                      </c:pt>
                      <c:pt idx="40">
                        <c:v>0.7128578110488154</c:v>
                      </c:pt>
                      <c:pt idx="41">
                        <c:v>0.7129165391555915</c:v>
                      </c:pt>
                      <c:pt idx="42">
                        <c:v>0.71297522723374396</c:v>
                      </c:pt>
                      <c:pt idx="43">
                        <c:v>0.71303387278188257</c:v>
                      </c:pt>
                      <c:pt idx="44">
                        <c:v>0.71309247336339565</c:v>
                      </c:pt>
                      <c:pt idx="45">
                        <c:v>0.71315102660495133</c:v>
                      </c:pt>
                      <c:pt idx="46">
                        <c:v>0.71320953019503774</c:v>
                      </c:pt>
                      <c:pt idx="47">
                        <c:v>0.71326798188253859</c:v>
                      </c:pt>
                      <c:pt idx="48">
                        <c:v>0.71332637947534305</c:v>
                      </c:pt>
                      <c:pt idx="49">
                        <c:v>0.71338472083898952</c:v>
                      </c:pt>
                      <c:pt idx="50">
                        <c:v>0.71344300389534065</c:v>
                      </c:pt>
                      <c:pt idx="51">
                        <c:v>0.71350122662129301</c:v>
                      </c:pt>
                      <c:pt idx="52">
                        <c:v>0.71355938704751409</c:v>
                      </c:pt>
                      <c:pt idx="53">
                        <c:v>0.71361748325721286</c:v>
                      </c:pt>
                      <c:pt idx="54">
                        <c:v>0.71367551338493884</c:v>
                      </c:pt>
                      <c:pt idx="55">
                        <c:v>0.71373347561540867</c:v>
                      </c:pt>
                      <c:pt idx="56">
                        <c:v>0.71379136818235966</c:v>
                      </c:pt>
                      <c:pt idx="57">
                        <c:v>0.71384918936743647</c:v>
                      </c:pt>
                      <c:pt idx="58">
                        <c:v>0.71390693749909595</c:v>
                      </c:pt>
                      <c:pt idx="59">
                        <c:v>0.71396461095154373</c:v>
                      </c:pt>
                      <c:pt idx="60">
                        <c:v>0.71402220814369499</c:v>
                      </c:pt>
                      <c:pt idx="61">
                        <c:v>0.71407972753815607</c:v>
                      </c:pt>
                      <c:pt idx="62">
                        <c:v>0.71413716764023671</c:v>
                      </c:pt>
                      <c:pt idx="63">
                        <c:v>0.71419452699697816</c:v>
                      </c:pt>
                      <c:pt idx="64">
                        <c:v>0.71425180419620959</c:v>
                      </c:pt>
                      <c:pt idx="65">
                        <c:v>0.71430899786562352</c:v>
                      </c:pt>
                      <c:pt idx="66">
                        <c:v>0.71436610667187483</c:v>
                      </c:pt>
                      <c:pt idx="67">
                        <c:v>0.7144231293196992</c:v>
                      </c:pt>
                      <c:pt idx="68">
                        <c:v>0.7144800645510524</c:v>
                      </c:pt>
                      <c:pt idx="69">
                        <c:v>0.7145369111442702</c:v>
                      </c:pt>
                      <c:pt idx="70">
                        <c:v>0.71459366791324774</c:v>
                      </c:pt>
                      <c:pt idx="71">
                        <c:v>0.714650333706637</c:v>
                      </c:pt>
                      <c:pt idx="72">
                        <c:v>0.71470690740706289</c:v>
                      </c:pt>
                      <c:pt idx="73">
                        <c:v>0.71476338793035887</c:v>
                      </c:pt>
                      <c:pt idx="74">
                        <c:v>0.71481977422481846</c:v>
                      </c:pt>
                      <c:pt idx="75">
                        <c:v>0.71487606527046488</c:v>
                      </c:pt>
                      <c:pt idx="76">
                        <c:v>0.7149322600783371</c:v>
                      </c:pt>
                      <c:pt idx="77">
                        <c:v>0.71498835768979241</c:v>
                      </c:pt>
                      <c:pt idx="78">
                        <c:v>0.71504435717582426</c:v>
                      </c:pt>
                      <c:pt idx="79">
                        <c:v>0.71510025763639717</c:v>
                      </c:pt>
                      <c:pt idx="80">
                        <c:v>0.71515605819979522</c:v>
                      </c:pt>
                      <c:pt idx="81">
                        <c:v>0.71521175802198578</c:v>
                      </c:pt>
                      <c:pt idx="82">
                        <c:v>0.71526735628599858</c:v>
                      </c:pt>
                      <c:pt idx="83">
                        <c:v>0.71532285220131775</c:v>
                      </c:pt>
                      <c:pt idx="84">
                        <c:v>0.71537824500328751</c:v>
                      </c:pt>
                      <c:pt idx="85">
                        <c:v>0.71543353395253284</c:v>
                      </c:pt>
                      <c:pt idx="86">
                        <c:v>0.71548871833439087</c:v>
                      </c:pt>
                      <c:pt idx="87">
                        <c:v>0.71554379745835794</c:v>
                      </c:pt>
                      <c:pt idx="88">
                        <c:v>0.71559877065754696</c:v>
                      </c:pt>
                      <c:pt idx="89">
                        <c:v>0.71565363728815523</c:v>
                      </c:pt>
                      <c:pt idx="90">
                        <c:v>0.7157083967289497</c:v>
                      </c:pt>
                      <c:pt idx="91">
                        <c:v>0.71576304838075977</c:v>
                      </c:pt>
                      <c:pt idx="92">
                        <c:v>0.71581759166598036</c:v>
                      </c:pt>
                      <c:pt idx="93">
                        <c:v>0.71587202602808941</c:v>
                      </c:pt>
                      <c:pt idx="94">
                        <c:v>0.71592635093117518</c:v>
                      </c:pt>
                      <c:pt idx="95">
                        <c:v>0.71598056585947045</c:v>
                      </c:pt>
                      <c:pt idx="96">
                        <c:v>0.71603467031690382</c:v>
                      </c:pt>
                      <c:pt idx="97">
                        <c:v>0.71608866382665493</c:v>
                      </c:pt>
                      <c:pt idx="98">
                        <c:v>0.71614254593072213</c:v>
                      </c:pt>
                      <c:pt idx="99">
                        <c:v>0.71619631618949964</c:v>
                      </c:pt>
                      <c:pt idx="100">
                        <c:v>0.71624997418136394</c:v>
                      </c:pt>
                      <c:pt idx="101">
                        <c:v>0.716303519502269</c:v>
                      </c:pt>
                      <c:pt idx="102">
                        <c:v>0.71635695176534997</c:v>
                      </c:pt>
                      <c:pt idx="103">
                        <c:v>0.71641027060053708</c:v>
                      </c:pt>
                      <c:pt idx="104">
                        <c:v>0.71646347565417712</c:v>
                      </c:pt>
                      <c:pt idx="105">
                        <c:v>0.71651656658866203</c:v>
                      </c:pt>
                      <c:pt idx="106">
                        <c:v>0.71656954308206799</c:v>
                      </c:pt>
                      <c:pt idx="107">
                        <c:v>0.71662240482780071</c:v>
                      </c:pt>
                      <c:pt idx="108">
                        <c:v>0.71667515153424932</c:v>
                      </c:pt>
                      <c:pt idx="109">
                        <c:v>0.71672778292444705</c:v>
                      </c:pt>
                      <c:pt idx="110">
                        <c:v>0.71678029873573956</c:v>
                      </c:pt>
                      <c:pt idx="111">
                        <c:v>0.71683269871946176</c:v>
                      </c:pt>
                      <c:pt idx="112">
                        <c:v>0.71688498264061973</c:v>
                      </c:pt>
                      <c:pt idx="113">
                        <c:v>0.71693715027757987</c:v>
                      </c:pt>
                      <c:pt idx="114">
                        <c:v>0.71698920142176636</c:v>
                      </c:pt>
                      <c:pt idx="115">
                        <c:v>0.71704113587736373</c:v>
                      </c:pt>
                      <c:pt idx="116">
                        <c:v>0.71709295346102542</c:v>
                      </c:pt>
                      <c:pt idx="117">
                        <c:v>0.71714465400159133</c:v>
                      </c:pt>
                      <c:pt idx="118">
                        <c:v>0.71719623733980808</c:v>
                      </c:pt>
                      <c:pt idx="119">
                        <c:v>0.71724770332805632</c:v>
                      </c:pt>
                      <c:pt idx="120">
                        <c:v>0.71729905183008602</c:v>
                      </c:pt>
                      <c:pt idx="121">
                        <c:v>0.7173502827207564</c:v>
                      </c:pt>
                      <c:pt idx="122">
                        <c:v>0.71740139588577734</c:v>
                      </c:pt>
                      <c:pt idx="123">
                        <c:v>0.71745239122146354</c:v>
                      </c:pt>
                      <c:pt idx="124">
                        <c:v>0.71750326863448888</c:v>
                      </c:pt>
                      <c:pt idx="125">
                        <c:v>0.71755402804164781</c:v>
                      </c:pt>
                      <c:pt idx="126">
                        <c:v>0.71760466936962075</c:v>
                      </c:pt>
                      <c:pt idx="127">
                        <c:v>0.71765519255474641</c:v>
                      </c:pt>
                      <c:pt idx="128">
                        <c:v>0.71770559754279717</c:v>
                      </c:pt>
                      <c:pt idx="129">
                        <c:v>0.71775588428876025</c:v>
                      </c:pt>
                      <c:pt idx="130">
                        <c:v>0.71780605275662246</c:v>
                      </c:pt>
                      <c:pt idx="131">
                        <c:v>0.71785610291916147</c:v>
                      </c:pt>
                      <c:pt idx="132">
                        <c:v>0.71790603475773995</c:v>
                      </c:pt>
                      <c:pt idx="133">
                        <c:v>0.71795584826210446</c:v>
                      </c:pt>
                      <c:pt idx="134">
                        <c:v>0.71800554343018774</c:v>
                      </c:pt>
                      <c:pt idx="135">
                        <c:v>0.71805512026791762</c:v>
                      </c:pt>
                      <c:pt idx="136">
                        <c:v>0.71810457878902823</c:v>
                      </c:pt>
                      <c:pt idx="137">
                        <c:v>0.71815391901487358</c:v>
                      </c:pt>
                      <c:pt idx="138">
                        <c:v>0.7182031409742512</c:v>
                      </c:pt>
                      <c:pt idx="139">
                        <c:v>0.71825224470321891</c:v>
                      </c:pt>
                      <c:pt idx="140">
                        <c:v>0.71830123024492853</c:v>
                      </c:pt>
                      <c:pt idx="141">
                        <c:v>0.71835009764945201</c:v>
                      </c:pt>
                      <c:pt idx="142">
                        <c:v>0.71839884697361778</c:v>
                      </c:pt>
                      <c:pt idx="143">
                        <c:v>0.71844747828084643</c:v>
                      </c:pt>
                      <c:pt idx="144">
                        <c:v>0.71849599164099476</c:v>
                      </c:pt>
                      <c:pt idx="145">
                        <c:v>0.71854438713019742</c:v>
                      </c:pt>
                      <c:pt idx="146">
                        <c:v>0.71859266483071604</c:v>
                      </c:pt>
                      <c:pt idx="147">
                        <c:v>0.7186408248307905</c:v>
                      </c:pt>
                      <c:pt idx="148">
                        <c:v>0.71868886722449099</c:v>
                      </c:pt>
                      <c:pt idx="149">
                        <c:v>0.71873679211157915</c:v>
                      </c:pt>
                      <c:pt idx="150">
                        <c:v>0.71878459959736318</c:v>
                      </c:pt>
                      <c:pt idx="151">
                        <c:v>0.71883228979256475</c:v>
                      </c:pt>
                      <c:pt idx="152">
                        <c:v>0.71887986281318372</c:v>
                      </c:pt>
                      <c:pt idx="153">
                        <c:v>0.71892731878036664</c:v>
                      </c:pt>
                      <c:pt idx="154">
                        <c:v>0.71897465782027836</c:v>
                      </c:pt>
                      <c:pt idx="155">
                        <c:v>0.71902188006397683</c:v>
                      </c:pt>
                      <c:pt idx="156">
                        <c:v>0.71906898564729005</c:v>
                      </c:pt>
                      <c:pt idx="157">
                        <c:v>0.71911597471069411</c:v>
                      </c:pt>
                      <c:pt idx="158">
                        <c:v>0.719162847399196</c:v>
                      </c:pt>
                      <c:pt idx="159">
                        <c:v>0.71920960386222033</c:v>
                      </c:pt>
                      <c:pt idx="160">
                        <c:v>0.71925624425349088</c:v>
                      </c:pt>
                      <c:pt idx="161">
                        <c:v>0.71930276873092602</c:v>
                      </c:pt>
                      <c:pt idx="162">
                        <c:v>0.71934917745652505</c:v>
                      </c:pt>
                      <c:pt idx="163">
                        <c:v>0.7193954705962653</c:v>
                      </c:pt>
                      <c:pt idx="164">
                        <c:v>0.71944164831999735</c:v>
                      </c:pt>
                      <c:pt idx="165">
                        <c:v>0.71948771080134211</c:v>
                      </c:pt>
                      <c:pt idx="166">
                        <c:v>0.71953365821759319</c:v>
                      </c:pt>
                      <c:pt idx="167">
                        <c:v>0.71957949074961713</c:v>
                      </c:pt>
                      <c:pt idx="168">
                        <c:v>0.7196252085817596</c:v>
                      </c:pt>
                      <c:pt idx="169">
                        <c:v>0.71967081190175131</c:v>
                      </c:pt>
                      <c:pt idx="170">
                        <c:v>0.71971630090061556</c:v>
                      </c:pt>
                      <c:pt idx="171">
                        <c:v>0.71976167577257966</c:v>
                      </c:pt>
                      <c:pt idx="172">
                        <c:v>0.71980693671498774</c:v>
                      </c:pt>
                      <c:pt idx="173">
                        <c:v>0.71985208392821298</c:v>
                      </c:pt>
                      <c:pt idx="174">
                        <c:v>0.71989711761557373</c:v>
                      </c:pt>
                      <c:pt idx="175">
                        <c:v>0.7199420379832534</c:v>
                      </c:pt>
                      <c:pt idx="176">
                        <c:v>0.71998684524021606</c:v>
                      </c:pt>
                      <c:pt idx="177">
                        <c:v>0.72003153959813149</c:v>
                      </c:pt>
                      <c:pt idx="178">
                        <c:v>0.72007612127129417</c:v>
                      </c:pt>
                      <c:pt idx="179">
                        <c:v>0.72012059047655008</c:v>
                      </c:pt>
                      <c:pt idx="180">
                        <c:v>0.72016494743322113</c:v>
                      </c:pt>
                      <c:pt idx="181">
                        <c:v>0.72020919236303327</c:v>
                      </c:pt>
                      <c:pt idx="182">
                        <c:v>0.72025332549004506</c:v>
                      </c:pt>
                      <c:pt idx="183">
                        <c:v>0.72029734704057957</c:v>
                      </c:pt>
                      <c:pt idx="184">
                        <c:v>0.72034125724315157</c:v>
                      </c:pt>
                      <c:pt idx="185">
                        <c:v>0.72038505632840788</c:v>
                      </c:pt>
                      <c:pt idx="186">
                        <c:v>0.72042874452905614</c:v>
                      </c:pt>
                      <c:pt idx="187">
                        <c:v>0.72047232207980372</c:v>
                      </c:pt>
                      <c:pt idx="188">
                        <c:v>0.72051578921729431</c:v>
                      </c:pt>
                      <c:pt idx="189">
                        <c:v>0.72055914618004646</c:v>
                      </c:pt>
                      <c:pt idx="190">
                        <c:v>0.7206023932083947</c:v>
                      </c:pt>
                      <c:pt idx="191">
                        <c:v>0.72064553054442815</c:v>
                      </c:pt>
                      <c:pt idx="192">
                        <c:v>0.72068855843193713</c:v>
                      </c:pt>
                      <c:pt idx="193">
                        <c:v>0.72073147711635299</c:v>
                      </c:pt>
                      <c:pt idx="194">
                        <c:v>0.72077428684469491</c:v>
                      </c:pt>
                      <c:pt idx="195">
                        <c:v>0.72081698786551496</c:v>
                      </c:pt>
                      <c:pt idx="196">
                        <c:v>0.72085958042884679</c:v>
                      </c:pt>
                      <c:pt idx="197">
                        <c:v>0.72090206478615193</c:v>
                      </c:pt>
                      <c:pt idx="198">
                        <c:v>0.72094444119027157</c:v>
                      </c:pt>
                      <c:pt idx="199">
                        <c:v>0.72098670989537395</c:v>
                      </c:pt>
                      <c:pt idx="200">
                        <c:v>0.7210288711569085</c:v>
                      </c:pt>
                    </c:numCache>
                  </c:numRef>
                </c:val>
                <c:smooth val="0"/>
                <c:extLst xmlns:c15="http://schemas.microsoft.com/office/drawing/2012/chart">
                  <c:ext xmlns:c16="http://schemas.microsoft.com/office/drawing/2014/chart" uri="{C3380CC4-5D6E-409C-BE32-E72D297353CC}">
                    <c16:uniqueId val="{00000005-50A6-46D4-AEF8-03ADE34CD569}"/>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VIN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Calculations'!$AT$9:$AT$209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6-50A6-46D4-AEF8-03ADE34CD569}"/>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VIN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Calculations'!$AO$9:$AO$209</c15:sqref>
                        </c15:formulaRef>
                      </c:ext>
                    </c:extLst>
                    <c:numCache>
                      <c:formatCode>0.000</c:formatCode>
                      <c:ptCount val="201"/>
                      <c:pt idx="0">
                        <c:v>0.76682892981848416</c:v>
                      </c:pt>
                      <c:pt idx="1">
                        <c:v>0.76876019929867889</c:v>
                      </c:pt>
                      <c:pt idx="2">
                        <c:v>0.77067995133071665</c:v>
                      </c:pt>
                      <c:pt idx="3">
                        <c:v>0.77258829213482738</c:v>
                      </c:pt>
                      <c:pt idx="4">
                        <c:v>0.77448532657974101</c:v>
                      </c:pt>
                      <c:pt idx="5">
                        <c:v>0.77637115820492941</c:v>
                      </c:pt>
                      <c:pt idx="6">
                        <c:v>0.77824588924239702</c:v>
                      </c:pt>
                      <c:pt idx="7">
                        <c:v>0.78010962063802802</c:v>
                      </c:pt>
                      <c:pt idx="8">
                        <c:v>0.78196245207250448</c:v>
                      </c:pt>
                      <c:pt idx="9">
                        <c:v>0.78380448198180097</c:v>
                      </c:pt>
                      <c:pt idx="10">
                        <c:v>0.78563580757727103</c:v>
                      </c:pt>
                      <c:pt idx="11">
                        <c:v>0.78745652486533035</c:v>
                      </c:pt>
                      <c:pt idx="12">
                        <c:v>0.78926672866675163</c:v>
                      </c:pt>
                      <c:pt idx="13">
                        <c:v>0.79106651263557459</c:v>
                      </c:pt>
                      <c:pt idx="14">
                        <c:v>0.7928559692776449</c:v>
                      </c:pt>
                      <c:pt idx="15">
                        <c:v>0.79463518996878812</c:v>
                      </c:pt>
                      <c:pt idx="16">
                        <c:v>0.79640426497262817</c:v>
                      </c:pt>
                      <c:pt idx="17">
                        <c:v>0.79816328345805931</c:v>
                      </c:pt>
                      <c:pt idx="18">
                        <c:v>0.79991233351637692</c:v>
                      </c:pt>
                      <c:pt idx="19">
                        <c:v>0.80165150217808012</c:v>
                      </c:pt>
                      <c:pt idx="20">
                        <c:v>0.80338087542934766</c:v>
                      </c:pt>
                      <c:pt idx="21">
                        <c:v>0.80510053822819927</c:v>
                      </c:pt>
                      <c:pt idx="22">
                        <c:v>0.80681057452034755</c:v>
                      </c:pt>
                      <c:pt idx="23">
                        <c:v>0.80851106725474797</c:v>
                      </c:pt>
                      <c:pt idx="24">
                        <c:v>0.81020209839885504</c:v>
                      </c:pt>
                      <c:pt idx="25">
                        <c:v>0.81188374895358728</c:v>
                      </c:pt>
                      <c:pt idx="26">
                        <c:v>0.81355609896801429</c:v>
                      </c:pt>
                      <c:pt idx="27">
                        <c:v>0.81521922755376441</c:v>
                      </c:pt>
                      <c:pt idx="28">
                        <c:v>0.81687321289916603</c:v>
                      </c:pt>
                      <c:pt idx="29">
                        <c:v>0.81851813228312464</c:v>
                      </c:pt>
                      <c:pt idx="30">
                        <c:v>0.82015406208874098</c:v>
                      </c:pt>
                      <c:pt idx="31">
                        <c:v>0.82178107781668097</c:v>
                      </c:pt>
                      <c:pt idx="32">
                        <c:v>0.82339925409829551</c:v>
                      </c:pt>
                      <c:pt idx="33">
                        <c:v>0.82500866470850276</c:v>
                      </c:pt>
                      <c:pt idx="34">
                        <c:v>0.82660938257843231</c:v>
                      </c:pt>
                      <c:pt idx="35">
                        <c:v>0.82820147980784142</c:v>
                      </c:pt>
                      <c:pt idx="36">
                        <c:v>0.82978502767730455</c:v>
                      </c:pt>
                      <c:pt idx="37">
                        <c:v>0.83136009666018207</c:v>
                      </c:pt>
                      <c:pt idx="38">
                        <c:v>0.83292675643437541</c:v>
                      </c:pt>
                      <c:pt idx="39">
                        <c:v>0.83448507589386844</c:v>
                      </c:pt>
                      <c:pt idx="40">
                        <c:v>0.83603512316006456</c:v>
                      </c:pt>
                      <c:pt idx="41">
                        <c:v>0.83757696559292061</c:v>
                      </c:pt>
                      <c:pt idx="42">
                        <c:v>0.8391106698018832</c:v>
                      </c:pt>
                      <c:pt idx="43">
                        <c:v>0.8406363016566315</c:v>
                      </c:pt>
                      <c:pt idx="44">
                        <c:v>0.84215392629763086</c:v>
                      </c:pt>
                      <c:pt idx="45">
                        <c:v>0.84366360814650077</c:v>
                      </c:pt>
                      <c:pt idx="46">
                        <c:v>0.84516541091620023</c:v>
                      </c:pt>
                      <c:pt idx="47">
                        <c:v>0.84665939762103681</c:v>
                      </c:pt>
                      <c:pt idx="48">
                        <c:v>0.8481456305865015</c:v>
                      </c:pt>
                      <c:pt idx="49">
                        <c:v>0.84962417145893154</c:v>
                      </c:pt>
                      <c:pt idx="50">
                        <c:v>0.85109508121500776</c:v>
                      </c:pt>
                      <c:pt idx="51">
                        <c:v>0.85255842017108852</c:v>
                      </c:pt>
                      <c:pt idx="52">
                        <c:v>0.8540142479923819</c:v>
                      </c:pt>
                      <c:pt idx="53">
                        <c:v>0.85546262370196247</c:v>
                      </c:pt>
                      <c:pt idx="54">
                        <c:v>0.85690360568963519</c:v>
                      </c:pt>
                      <c:pt idx="55">
                        <c:v>0.8583372517206459</c:v>
                      </c:pt>
                      <c:pt idx="56">
                        <c:v>0.85976361894424647</c:v>
                      </c:pt>
                      <c:pt idx="57">
                        <c:v>0.86118276390211557</c:v>
                      </c:pt>
                      <c:pt idx="58">
                        <c:v>0.86259474253663693</c:v>
                      </c:pt>
                      <c:pt idx="59">
                        <c:v>0.86399961019903926</c:v>
                      </c:pt>
                      <c:pt idx="60">
                        <c:v>0.86539742165739941</c:v>
                      </c:pt>
                      <c:pt idx="61">
                        <c:v>0.86678823110451408</c:v>
                      </c:pt>
                      <c:pt idx="62">
                        <c:v>0.86817209216563918</c:v>
                      </c:pt>
                      <c:pt idx="63">
                        <c:v>0.8695490579061016</c:v>
                      </c:pt>
                      <c:pt idx="64">
                        <c:v>0.87091918083878606</c:v>
                      </c:pt>
                      <c:pt idx="65">
                        <c:v>0.87228251293149806</c:v>
                      </c:pt>
                      <c:pt idx="66">
                        <c:v>0.87363910561420688</c:v>
                      </c:pt>
                      <c:pt idx="67">
                        <c:v>0.87498900978617</c:v>
                      </c:pt>
                      <c:pt idx="68">
                        <c:v>0.87633227582294171</c:v>
                      </c:pt>
                      <c:pt idx="69">
                        <c:v>0.87766895358326769</c:v>
                      </c:pt>
                      <c:pt idx="70">
                        <c:v>0.87899909241586827</c:v>
                      </c:pt>
                      <c:pt idx="71">
                        <c:v>0.88032274116611264</c:v>
                      </c:pt>
                      <c:pt idx="72">
                        <c:v>0.8816399481825854</c:v>
                      </c:pt>
                      <c:pt idx="73">
                        <c:v>0.88295076132354755</c:v>
                      </c:pt>
                      <c:pt idx="74">
                        <c:v>0.88425522796329536</c:v>
                      </c:pt>
                      <c:pt idx="75">
                        <c:v>0.88555339499841679</c:v>
                      </c:pt>
                      <c:pt idx="76">
                        <c:v>0.88684530885394941</c:v>
                      </c:pt>
                      <c:pt idx="77">
                        <c:v>0.88813101548944129</c:v>
                      </c:pt>
                      <c:pt idx="78">
                        <c:v>0.88941056040491417</c:v>
                      </c:pt>
                      <c:pt idx="79">
                        <c:v>0.89068398864673604</c:v>
                      </c:pt>
                      <c:pt idx="80">
                        <c:v>0.89195134481339899</c:v>
                      </c:pt>
                      <c:pt idx="81">
                        <c:v>0.89321267306120677</c:v>
                      </c:pt>
                      <c:pt idx="82">
                        <c:v>0.89446801710987722</c:v>
                      </c:pt>
                      <c:pt idx="83">
                        <c:v>0.89571742024805279</c:v>
                      </c:pt>
                      <c:pt idx="84">
                        <c:v>0.89696092533872873</c:v>
                      </c:pt>
                      <c:pt idx="85">
                        <c:v>0.89819857482459753</c:v>
                      </c:pt>
                      <c:pt idx="86">
                        <c:v>0.89943041073330832</c:v>
                      </c:pt>
                      <c:pt idx="87">
                        <c:v>0.9006564746826502</c:v>
                      </c:pt>
                      <c:pt idx="88">
                        <c:v>0.90187680788565172</c:v>
                      </c:pt>
                      <c:pt idx="89">
                        <c:v>0.90309145115560452</c:v>
                      </c:pt>
                      <c:pt idx="90">
                        <c:v>0.9043004449110108</c:v>
                      </c:pt>
                      <c:pt idx="91">
                        <c:v>0.90550382918045602</c:v>
                      </c:pt>
                      <c:pt idx="92">
                        <c:v>0.90670164360740579</c:v>
                      </c:pt>
                      <c:pt idx="93">
                        <c:v>0.90789392745493303</c:v>
                      </c:pt>
                      <c:pt idx="94">
                        <c:v>0.90908071961037218</c:v>
                      </c:pt>
                      <c:pt idx="95">
                        <c:v>0.91026205858990517</c:v>
                      </c:pt>
                      <c:pt idx="96">
                        <c:v>0.91143798254307751</c:v>
                      </c:pt>
                      <c:pt idx="97">
                        <c:v>0.91260852925724734</c:v>
                      </c:pt>
                      <c:pt idx="98">
                        <c:v>0.91377373616196889</c:v>
                      </c:pt>
                      <c:pt idx="99">
                        <c:v>0.91493364033331115</c:v>
                      </c:pt>
                      <c:pt idx="100">
                        <c:v>0.91608827849811103</c:v>
                      </c:pt>
                      <c:pt idx="101">
                        <c:v>0.9172376870381671</c:v>
                      </c:pt>
                      <c:pt idx="102">
                        <c:v>0.91838190199436642</c:v>
                      </c:pt>
                      <c:pt idx="103">
                        <c:v>0.91952095907075815</c:v>
                      </c:pt>
                      <c:pt idx="104">
                        <c:v>0.92065489363856057</c:v>
                      </c:pt>
                      <c:pt idx="105">
                        <c:v>0.92178374074011404</c:v>
                      </c:pt>
                      <c:pt idx="106">
                        <c:v>0.92290753509277534</c:v>
                      </c:pt>
                      <c:pt idx="107">
                        <c:v>0.92402631109275468</c:v>
                      </c:pt>
                      <c:pt idx="108">
                        <c:v>0.92514010281889936</c:v>
                      </c:pt>
                      <c:pt idx="109">
                        <c:v>0.92624894403642088</c:v>
                      </c:pt>
                      <c:pt idx="110">
                        <c:v>0.92735286820056895</c:v>
                      </c:pt>
                      <c:pt idx="111">
                        <c:v>0.92845190846025438</c:v>
                      </c:pt>
                      <c:pt idx="112">
                        <c:v>0.92954609766161789</c:v>
                      </c:pt>
                      <c:pt idx="113">
                        <c:v>0.93063546835154998</c:v>
                      </c:pt>
                      <c:pt idx="114">
                        <c:v>0.9317200527811591</c:v>
                      </c:pt>
                      <c:pt idx="115">
                        <c:v>0.93279988290919202</c:v>
                      </c:pt>
                      <c:pt idx="116">
                        <c:v>0.933874990405406</c:v>
                      </c:pt>
                      <c:pt idx="117">
                        <c:v>0.93494540665389192</c:v>
                      </c:pt>
                      <c:pt idx="118">
                        <c:v>0.93601116275635154</c:v>
                      </c:pt>
                      <c:pt idx="119">
                        <c:v>0.93707228953532895</c:v>
                      </c:pt>
                      <c:pt idx="120">
                        <c:v>0.93812881753739774</c:v>
                      </c:pt>
                      <c:pt idx="121">
                        <c:v>0.93918077703630165</c:v>
                      </c:pt>
                      <c:pt idx="122">
                        <c:v>0.94022819803605207</c:v>
                      </c:pt>
                      <c:pt idx="123">
                        <c:v>0.94127111027398458</c:v>
                      </c:pt>
                      <c:pt idx="124">
                        <c:v>0.94230954322377058</c:v>
                      </c:pt>
                      <c:pt idx="125">
                        <c:v>0.9433435260983889</c:v>
                      </c:pt>
                      <c:pt idx="126">
                        <c:v>0.94437308785305663</c:v>
                      </c:pt>
                      <c:pt idx="127">
                        <c:v>0.94539825718811765</c:v>
                      </c:pt>
                      <c:pt idx="128">
                        <c:v>0.9464190625518949</c:v>
                      </c:pt>
                      <c:pt idx="129">
                        <c:v>0.94743553214350074</c:v>
                      </c:pt>
                      <c:pt idx="130">
                        <c:v>0.94844769391561101</c:v>
                      </c:pt>
                      <c:pt idx="131">
                        <c:v>0.9494555755771994</c:v>
                      </c:pt>
                      <c:pt idx="132">
                        <c:v>0.95045920459623856</c:v>
                      </c:pt>
                      <c:pt idx="133">
                        <c:v>0.9514586082023585</c:v>
                      </c:pt>
                      <c:pt idx="134">
                        <c:v>0.95245381338947666</c:v>
                      </c:pt>
                      <c:pt idx="135">
                        <c:v>0.95344484691838527</c:v>
                      </c:pt>
                      <c:pt idx="136">
                        <c:v>0.95443173531931014</c:v>
                      </c:pt>
                      <c:pt idx="137">
                        <c:v>0.9554145048944308</c:v>
                      </c:pt>
                      <c:pt idx="138">
                        <c:v>0.95639318172037024</c:v>
                      </c:pt>
                      <c:pt idx="139">
                        <c:v>0.95736779165064889</c:v>
                      </c:pt>
                      <c:pt idx="140">
                        <c:v>0.95833836031810749</c:v>
                      </c:pt>
                      <c:pt idx="141">
                        <c:v>0.9593049131372976</c:v>
                      </c:pt>
                      <c:pt idx="142">
                        <c:v>0.96026747530684109</c:v>
                      </c:pt>
                      <c:pt idx="143">
                        <c:v>0.96122607181175657</c:v>
                      </c:pt>
                      <c:pt idx="144">
                        <c:v>0.962180727425758</c:v>
                      </c:pt>
                      <c:pt idx="145">
                        <c:v>0.96313146671352068</c:v>
                      </c:pt>
                      <c:pt idx="146">
                        <c:v>0.96407831403291944</c:v>
                      </c:pt>
                      <c:pt idx="147">
                        <c:v>0.96502129353723698</c:v>
                      </c:pt>
                      <c:pt idx="148">
                        <c:v>0.96596042917734182</c:v>
                      </c:pt>
                      <c:pt idx="149">
                        <c:v>0.96689574470384154</c:v>
                      </c:pt>
                      <c:pt idx="150">
                        <c:v>0.96782726366920513</c:v>
                      </c:pt>
                      <c:pt idx="151">
                        <c:v>0.96875500942985826</c:v>
                      </c:pt>
                      <c:pt idx="152">
                        <c:v>0.96967900514825323</c:v>
                      </c:pt>
                      <c:pt idx="153">
                        <c:v>0.9705992737949104</c:v>
                      </c:pt>
                      <c:pt idx="154">
                        <c:v>0.97151583815043518</c:v>
                      </c:pt>
                      <c:pt idx="155">
                        <c:v>0.97242872080750753</c:v>
                      </c:pt>
                      <c:pt idx="156">
                        <c:v>0.9733379441728468</c:v>
                      </c:pt>
                      <c:pt idx="157">
                        <c:v>0.97424353046915213</c:v>
                      </c:pt>
                      <c:pt idx="158">
                        <c:v>0.97514550173701653</c:v>
                      </c:pt>
                      <c:pt idx="159">
                        <c:v>0.97604387983682028</c:v>
                      </c:pt>
                      <c:pt idx="160">
                        <c:v>0.97693868645059367</c:v>
                      </c:pt>
                      <c:pt idx="161">
                        <c:v>0.9778299430838655</c:v>
                      </c:pt>
                      <c:pt idx="162">
                        <c:v>0.97871767106747887</c:v>
                      </c:pt>
                      <c:pt idx="163">
                        <c:v>0.9796018915593917</c:v>
                      </c:pt>
                      <c:pt idx="164">
                        <c:v>0.9804826255464496</c:v>
                      </c:pt>
                      <c:pt idx="165">
                        <c:v>0.98135989384613975</c:v>
                      </c:pt>
                      <c:pt idx="166">
                        <c:v>0.98223371710832152</c:v>
                      </c:pt>
                      <c:pt idx="167">
                        <c:v>0.98310411581693513</c:v>
                      </c:pt>
                      <c:pt idx="168">
                        <c:v>0.98397111029169038</c:v>
                      </c:pt>
                      <c:pt idx="169">
                        <c:v>0.98483472068973432</c:v>
                      </c:pt>
                      <c:pt idx="170">
                        <c:v>0.98569496700729542</c:v>
                      </c:pt>
                      <c:pt idx="171">
                        <c:v>0.98655186908131387</c:v>
                      </c:pt>
                      <c:pt idx="172">
                        <c:v>0.9874054465910439</c:v>
                      </c:pt>
                      <c:pt idx="173">
                        <c:v>0.98825571905964349</c:v>
                      </c:pt>
                      <c:pt idx="174">
                        <c:v>0.98910270585573901</c:v>
                      </c:pt>
                      <c:pt idx="175">
                        <c:v>0.9899464261949753</c:v>
                      </c:pt>
                      <c:pt idx="176">
                        <c:v>0.99078689914154328</c:v>
                      </c:pt>
                      <c:pt idx="177">
                        <c:v>0.9916241436096922</c:v>
                      </c:pt>
                      <c:pt idx="178">
                        <c:v>0.99245817836521943</c:v>
                      </c:pt>
                      <c:pt idx="179">
                        <c:v>0.99328902202694769</c:v>
                      </c:pt>
                      <c:pt idx="180">
                        <c:v>0.99411669306817918</c:v>
                      </c:pt>
                      <c:pt idx="181">
                        <c:v>0.99494120981813472</c:v>
                      </c:pt>
                      <c:pt idx="182">
                        <c:v>0.99576259046337701</c:v>
                      </c:pt>
                      <c:pt idx="183">
                        <c:v>0.99658085304921262</c:v>
                      </c:pt>
                      <c:pt idx="184">
                        <c:v>0.9973960154810807</c:v>
                      </c:pt>
                      <c:pt idx="185">
                        <c:v>0.99820809552592615</c:v>
                      </c:pt>
                      <c:pt idx="186">
                        <c:v>0.99901711081355027</c:v>
                      </c:pt>
                      <c:pt idx="187">
                        <c:v>0.99982307883795363</c:v>
                      </c:pt>
                      <c:pt idx="188">
                        <c:v>1.0006260169586552</c:v>
                      </c:pt>
                      <c:pt idx="189">
                        <c:v>1.0014259424020024</c:v>
                      </c:pt>
                      <c:pt idx="190">
                        <c:v>1.0022228722624618</c:v>
                      </c:pt>
                      <c:pt idx="191">
                        <c:v>1.0030168235038939</c:v>
                      </c:pt>
                      <c:pt idx="192">
                        <c:v>1.0038078129608174</c:v>
                      </c:pt>
                      <c:pt idx="193">
                        <c:v>1.0045958573396538</c:v>
                      </c:pt>
                      <c:pt idx="194">
                        <c:v>1.0053809732199614</c:v>
                      </c:pt>
                      <c:pt idx="195">
                        <c:v>1.0061631770556496</c:v>
                      </c:pt>
                      <c:pt idx="196">
                        <c:v>1.0069424851761863</c:v>
                      </c:pt>
                      <c:pt idx="197">
                        <c:v>1.0077189137877849</c:v>
                      </c:pt>
                      <c:pt idx="198">
                        <c:v>1.0084924789745804</c:v>
                      </c:pt>
                      <c:pt idx="199">
                        <c:v>1.0092631966997918</c:v>
                      </c:pt>
                      <c:pt idx="200">
                        <c:v>1.010031082806871</c:v>
                      </c:pt>
                    </c:numCache>
                  </c:numRef>
                </c:val>
                <c:smooth val="0"/>
                <c:extLst xmlns:c15="http://schemas.microsoft.com/office/drawing/2012/chart">
                  <c:ext xmlns:c16="http://schemas.microsoft.com/office/drawing/2014/chart" uri="{C3380CC4-5D6E-409C-BE32-E72D297353CC}">
                    <c16:uniqueId val="{00000007-50A6-46D4-AEF8-03ADE34CD569}"/>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VIN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Calculations'!$AK$9:$AK$209</c15:sqref>
                        </c15:formulaRef>
                      </c:ext>
                    </c:extLst>
                    <c:numCache>
                      <c:formatCode>0.000</c:formatCode>
                      <c:ptCount val="201"/>
                      <c:pt idx="0">
                        <c:v>3.1666385121192331</c:v>
                      </c:pt>
                      <c:pt idx="1">
                        <c:v>3.1729581350464509</c:v>
                      </c:pt>
                      <c:pt idx="2">
                        <c:v>3.1792936199445592</c:v>
                      </c:pt>
                      <c:pt idx="3">
                        <c:v>3.1856447761917663</c:v>
                      </c:pt>
                      <c:pt idx="4">
                        <c:v>3.1920114162546822</c:v>
                      </c:pt>
                      <c:pt idx="5">
                        <c:v>3.1983933556253223</c:v>
                      </c:pt>
                      <c:pt idx="6">
                        <c:v>3.2047904127596665</c:v>
                      </c:pt>
                      <c:pt idx="7">
                        <c:v>3.2112024090177109</c:v>
                      </c:pt>
                      <c:pt idx="8">
                        <c:v>3.2176291686049869</c:v>
                      </c:pt>
                      <c:pt idx="9">
                        <c:v>3.2240705185155027</c:v>
                      </c:pt>
                      <c:pt idx="10">
                        <c:v>3.2305262884760442</c:v>
                      </c:pt>
                      <c:pt idx="11">
                        <c:v>3.2369963108918434</c:v>
                      </c:pt>
                      <c:pt idx="12">
                        <c:v>3.2434804207935253</c:v>
                      </c:pt>
                      <c:pt idx="13">
                        <c:v>3.2499784557853326</c:v>
                      </c:pt>
                      <c:pt idx="14">
                        <c:v>3.2564902559945779</c:v>
                      </c:pt>
                      <c:pt idx="15">
                        <c:v>3.2630156640222894</c:v>
                      </c:pt>
                      <c:pt idx="16">
                        <c:v>3.2695545248950224</c:v>
                      </c:pt>
                      <c:pt idx="17">
                        <c:v>3.2761066860178043</c:v>
                      </c:pt>
                      <c:pt idx="18">
                        <c:v>3.282671997128169</c:v>
                      </c:pt>
                      <c:pt idx="19">
                        <c:v>3.2892503102512789</c:v>
                      </c:pt>
                      <c:pt idx="20">
                        <c:v>3.2958414796560689</c:v>
                      </c:pt>
                      <c:pt idx="21">
                        <c:v>3.3024453618124179</c:v>
                      </c:pt>
                      <c:pt idx="22">
                        <c:v>3.3090618153492928</c:v>
                      </c:pt>
                      <c:pt idx="23">
                        <c:v>3.3156907010138652</c:v>
                      </c:pt>
                      <c:pt idx="24">
                        <c:v>3.3223318816315497</c:v>
                      </c:pt>
                      <c:pt idx="25">
                        <c:v>3.3289852220669585</c:v>
                      </c:pt>
                      <c:pt idx="26">
                        <c:v>3.3356505891857298</c:v>
                      </c:pt>
                      <c:pt idx="27">
                        <c:v>3.3423278518172301</c:v>
                      </c:pt>
                      <c:pt idx="28">
                        <c:v>3.3490168807180889</c:v>
                      </c:pt>
                      <c:pt idx="29">
                        <c:v>3.355717548536544</c:v>
                      </c:pt>
                      <c:pt idx="30">
                        <c:v>3.3624297297775882</c:v>
                      </c:pt>
                      <c:pt idx="31">
                        <c:v>3.3691533007688865</c:v>
                      </c:pt>
                      <c:pt idx="32">
                        <c:v>3.3758881396274552</c:v>
                      </c:pt>
                      <c:pt idx="33">
                        <c:v>3.3826341262270612</c:v>
                      </c:pt>
                      <c:pt idx="34">
                        <c:v>3.3893911421663523</c:v>
                      </c:pt>
                      <c:pt idx="35">
                        <c:v>3.3961590707376645</c:v>
                      </c:pt>
                      <c:pt idx="36">
                        <c:v>3.4029377968965386</c:v>
                      </c:pt>
                      <c:pt idx="37">
                        <c:v>3.409727207231867</c:v>
                      </c:pt>
                      <c:pt idx="38">
                        <c:v>3.4165271899367062</c:v>
                      </c:pt>
                      <c:pt idx="39">
                        <c:v>3.423337634779712</c:v>
                      </c:pt>
                      <c:pt idx="40">
                        <c:v>3.4301584330771866</c:v>
                      </c:pt>
                      <c:pt idx="41">
                        <c:v>3.4369894776657279</c:v>
                      </c:pt>
                      <c:pt idx="42">
                        <c:v>3.4438306628754507</c:v>
                      </c:pt>
                      <c:pt idx="43">
                        <c:v>3.4506818845037914</c:v>
                      </c:pt>
                      <c:pt idx="44">
                        <c:v>3.4575430397898574</c:v>
                      </c:pt>
                      <c:pt idx="45">
                        <c:v>3.4644140273893167</c:v>
                      </c:pt>
                      <c:pt idx="46">
                        <c:v>3.4712947473498188</c:v>
                      </c:pt>
                      <c:pt idx="47">
                        <c:v>3.4781851010869258</c:v>
                      </c:pt>
                      <c:pt idx="48">
                        <c:v>3.4850849913605462</c:v>
                      </c:pt>
                      <c:pt idx="49">
                        <c:v>3.4919943222518639</c:v>
                      </c:pt>
                      <c:pt idx="50">
                        <c:v>3.4989129991407326</c:v>
                      </c:pt>
                      <c:pt idx="51">
                        <c:v>3.5058409286835497</c:v>
                      </c:pt>
                      <c:pt idx="52">
                        <c:v>3.5127780187915696</c:v>
                      </c:pt>
                      <c:pt idx="53">
                        <c:v>3.5197241786096805</c:v>
                      </c:pt>
                      <c:pt idx="54">
                        <c:v>3.5266793184955949</c:v>
                      </c:pt>
                      <c:pt idx="55">
                        <c:v>3.5336433499994766</c:v>
                      </c:pt>
                      <c:pt idx="56">
                        <c:v>3.5406161858439678</c:v>
                      </c:pt>
                      <c:pt idx="57">
                        <c:v>3.5475977399046381</c:v>
                      </c:pt>
                      <c:pt idx="58">
                        <c:v>3.5545879271908016</c:v>
                      </c:pt>
                      <c:pt idx="59">
                        <c:v>3.5615866638267466</c:v>
                      </c:pt>
                      <c:pt idx="60">
                        <c:v>3.5685938670333135</c:v>
                      </c:pt>
                      <c:pt idx="61">
                        <c:v>3.5756094551098587</c:v>
                      </c:pt>
                      <c:pt idx="62">
                        <c:v>3.5826333474165679</c:v>
                      </c:pt>
                      <c:pt idx="63">
                        <c:v>3.5896654643571195</c:v>
                      </c:pt>
                      <c:pt idx="64">
                        <c:v>3.5967057273616909</c:v>
                      </c:pt>
                      <c:pt idx="65">
                        <c:v>3.603754058870297</c:v>
                      </c:pt>
                      <c:pt idx="66">
                        <c:v>3.6108103823164601</c:v>
                      </c:pt>
                      <c:pt idx="67">
                        <c:v>3.6178746221111888</c:v>
                      </c:pt>
                      <c:pt idx="68">
                        <c:v>3.6249467036272716</c:v>
                      </c:pt>
                      <c:pt idx="69">
                        <c:v>3.6320265531838873</c:v>
                      </c:pt>
                      <c:pt idx="70">
                        <c:v>3.639114098031488</c:v>
                      </c:pt>
                      <c:pt idx="71">
                        <c:v>3.646209266336998</c:v>
                      </c:pt>
                      <c:pt idx="72">
                        <c:v>3.6533119871692743</c:v>
                      </c:pt>
                      <c:pt idx="73">
                        <c:v>3.6604221904848666</c:v>
                      </c:pt>
                      <c:pt idx="74">
                        <c:v>3.667539807114029</c:v>
                      </c:pt>
                      <c:pt idx="75">
                        <c:v>3.6746647687470135</c:v>
                      </c:pt>
                      <c:pt idx="76">
                        <c:v>3.681797007920609</c:v>
                      </c:pt>
                      <c:pt idx="77">
                        <c:v>3.6889364580049406</c:v>
                      </c:pt>
                      <c:pt idx="78">
                        <c:v>3.6960830531905251</c:v>
                      </c:pt>
                      <c:pt idx="79">
                        <c:v>3.7032367284755527</c:v>
                      </c:pt>
                      <c:pt idx="80">
                        <c:v>3.710397419653416</c:v>
                      </c:pt>
                      <c:pt idx="81">
                        <c:v>3.7175650633004715</c:v>
                      </c:pt>
                      <c:pt idx="82">
                        <c:v>3.724739596764028</c:v>
                      </c:pt>
                      <c:pt idx="83">
                        <c:v>3.7319209581505515</c:v>
                      </c:pt>
                      <c:pt idx="84">
                        <c:v>3.7391090863140954</c:v>
                      </c:pt>
                      <c:pt idx="85">
                        <c:v>3.7463039208449347</c:v>
                      </c:pt>
                      <c:pt idx="86">
                        <c:v>3.7535054020584204</c:v>
                      </c:pt>
                      <c:pt idx="87">
                        <c:v>3.7607134709840238</c:v>
                      </c:pt>
                      <c:pt idx="88">
                        <c:v>3.7679280693545913</c:v>
                      </c:pt>
                      <c:pt idx="89">
                        <c:v>3.7751491395957881</c:v>
                      </c:pt>
                      <c:pt idx="90">
                        <c:v>3.782376624815734</c:v>
                      </c:pt>
                      <c:pt idx="91">
                        <c:v>3.7896104687948258</c:v>
                      </c:pt>
                      <c:pt idx="92">
                        <c:v>3.7968506159757478</c:v>
                      </c:pt>
                      <c:pt idx="93">
                        <c:v>3.8040970114536514</c:v>
                      </c:pt>
                      <c:pt idx="94">
                        <c:v>3.8113496009665213</c:v>
                      </c:pt>
                      <c:pt idx="95">
                        <c:v>3.8186083308857022</c:v>
                      </c:pt>
                      <c:pt idx="96">
                        <c:v>3.8258731482066044</c:v>
                      </c:pt>
                      <c:pt idx="97">
                        <c:v>3.8331440005395625</c:v>
                      </c:pt>
                      <c:pt idx="98">
                        <c:v>3.8404208361008707</c:v>
                      </c:pt>
                      <c:pt idx="99">
                        <c:v>3.8477036037039567</c:v>
                      </c:pt>
                      <c:pt idx="100">
                        <c:v>3.8549922527507312</c:v>
                      </c:pt>
                      <c:pt idx="101">
                        <c:v>3.862286733223065</c:v>
                      </c:pt>
                      <c:pt idx="102">
                        <c:v>3.8695869956744389</c:v>
                      </c:pt>
                      <c:pt idx="103">
                        <c:v>3.876892991221724</c:v>
                      </c:pt>
                      <c:pt idx="104">
                        <c:v>3.8842046715371072</c:v>
                      </c:pt>
                      <c:pt idx="105">
                        <c:v>3.8915219888401547</c:v>
                      </c:pt>
                      <c:pt idx="106">
                        <c:v>3.8988448958900173</c:v>
                      </c:pt>
                      <c:pt idx="107">
                        <c:v>3.9061733459777677</c:v>
                      </c:pt>
                      <c:pt idx="108">
                        <c:v>3.9135072929188652</c:v>
                      </c:pt>
                      <c:pt idx="109">
                        <c:v>3.9208466910457518</c:v>
                      </c:pt>
                      <c:pt idx="110">
                        <c:v>3.9281914952005765</c:v>
                      </c:pt>
                      <c:pt idx="111">
                        <c:v>3.9355416607280378</c:v>
                      </c:pt>
                      <c:pt idx="112">
                        <c:v>3.9428971434683557</c:v>
                      </c:pt>
                      <c:pt idx="113">
                        <c:v>3.9502578997503512</c:v>
                      </c:pt>
                      <c:pt idx="114">
                        <c:v>3.9576238863846478</c:v>
                      </c:pt>
                      <c:pt idx="115">
                        <c:v>3.9649950606569937</c:v>
                      </c:pt>
                      <c:pt idx="116">
                        <c:v>3.9723713803216838</c:v>
                      </c:pt>
                      <c:pt idx="117">
                        <c:v>3.9797528035950966</c:v>
                      </c:pt>
                      <c:pt idx="118">
                        <c:v>3.9871392891493405</c:v>
                      </c:pt>
                      <c:pt idx="119">
                        <c:v>3.994530796106003</c:v>
                      </c:pt>
                      <c:pt idx="120">
                        <c:v>4.0019272840300033</c:v>
                      </c:pt>
                      <c:pt idx="121">
                        <c:v>4.0093287129235522</c:v>
                      </c:pt>
                      <c:pt idx="122">
                        <c:v>4.0167350432201943</c:v>
                      </c:pt>
                      <c:pt idx="123">
                        <c:v>4.0241462357789688</c:v>
                      </c:pt>
                      <c:pt idx="124">
                        <c:v>4.0315622518786576</c:v>
                      </c:pt>
                      <c:pt idx="125">
                        <c:v>4.0389830532121174</c:v>
                      </c:pt>
                      <c:pt idx="126">
                        <c:v>4.0464086018807217</c:v>
                      </c:pt>
                      <c:pt idx="127">
                        <c:v>4.053838860388872</c:v>
                      </c:pt>
                      <c:pt idx="128">
                        <c:v>4.0612737916386248</c:v>
                      </c:pt>
                      <c:pt idx="129">
                        <c:v>4.068713358924378</c:v>
                      </c:pt>
                      <c:pt idx="130">
                        <c:v>4.0761575259276572</c:v>
                      </c:pt>
                      <c:pt idx="131">
                        <c:v>4.0836062567119811</c:v>
                      </c:pt>
                      <c:pt idx="132">
                        <c:v>4.0910595157178191</c:v>
                      </c:pt>
                      <c:pt idx="133">
                        <c:v>4.0985172677576092</c:v>
                      </c:pt>
                      <c:pt idx="134">
                        <c:v>4.1059794780108732</c:v>
                      </c:pt>
                      <c:pt idx="135">
                        <c:v>4.1134461120194015</c:v>
                      </c:pt>
                      <c:pt idx="136">
                        <c:v>4.1209171356825163</c:v>
                      </c:pt>
                      <c:pt idx="137">
                        <c:v>4.1283925152524068</c:v>
                      </c:pt>
                      <c:pt idx="138">
                        <c:v>4.1358722173295401</c:v>
                      </c:pt>
                      <c:pt idx="139">
                        <c:v>4.1433562088581422</c:v>
                      </c:pt>
                      <c:pt idx="140">
                        <c:v>4.1508444571217513</c:v>
                      </c:pt>
                      <c:pt idx="141">
                        <c:v>4.1583369297388435</c:v>
                      </c:pt>
                      <c:pt idx="142">
                        <c:v>4.1658335946585154</c:v>
                      </c:pt>
                      <c:pt idx="143">
                        <c:v>4.1733344201562499</c:v>
                      </c:pt>
                      <c:pt idx="144">
                        <c:v>4.1808393748297306</c:v>
                      </c:pt>
                      <c:pt idx="145">
                        <c:v>4.1883484275947316</c:v>
                      </c:pt>
                      <c:pt idx="146">
                        <c:v>4.1958615476810754</c:v>
                      </c:pt>
                      <c:pt idx="147">
                        <c:v>4.2033787046286335</c:v>
                      </c:pt>
                      <c:pt idx="148">
                        <c:v>4.2108998682834038</c:v>
                      </c:pt>
                      <c:pt idx="149">
                        <c:v>4.2184250087936501</c:v>
                      </c:pt>
                      <c:pt idx="150">
                        <c:v>4.2259540966060865</c:v>
                      </c:pt>
                      <c:pt idx="151">
                        <c:v>4.2334871024621314</c:v>
                      </c:pt>
                      <c:pt idx="152">
                        <c:v>4.2410239973942145</c:v>
                      </c:pt>
                      <c:pt idx="153">
                        <c:v>4.2485647527221371</c:v>
                      </c:pt>
                      <c:pt idx="154">
                        <c:v>4.2561093400494903</c:v>
                      </c:pt>
                      <c:pt idx="155">
                        <c:v>4.26365773126013</c:v>
                      </c:pt>
                      <c:pt idx="156">
                        <c:v>4.2712098985146936</c:v>
                      </c:pt>
                      <c:pt idx="157">
                        <c:v>4.2787658142471843</c:v>
                      </c:pt>
                      <c:pt idx="158">
                        <c:v>4.2863254511615922</c:v>
                      </c:pt>
                      <c:pt idx="159">
                        <c:v>4.2938887822285725</c:v>
                      </c:pt>
                      <c:pt idx="160">
                        <c:v>4.3014557806821747</c:v>
                      </c:pt>
                      <c:pt idx="161">
                        <c:v>4.3090264200166155</c:v>
                      </c:pt>
                      <c:pt idx="162">
                        <c:v>4.3166006739831015</c:v>
                      </c:pt>
                      <c:pt idx="163">
                        <c:v>4.3241785165866995</c:v>
                      </c:pt>
                      <c:pt idx="164">
                        <c:v>4.3317599220832506</c:v>
                      </c:pt>
                      <c:pt idx="165">
                        <c:v>4.3393448649763293</c:v>
                      </c:pt>
                      <c:pt idx="166">
                        <c:v>4.3469333200142533</c:v>
                      </c:pt>
                      <c:pt idx="167">
                        <c:v>4.354525262187126</c:v>
                      </c:pt>
                      <c:pt idx="168">
                        <c:v>4.3621206667239312</c:v>
                      </c:pt>
                      <c:pt idx="169">
                        <c:v>4.3697195090896663</c:v>
                      </c:pt>
                      <c:pt idx="170">
                        <c:v>4.3773217649825149</c:v>
                      </c:pt>
                      <c:pt idx="171">
                        <c:v>4.384927410331068</c:v>
                      </c:pt>
                      <c:pt idx="172">
                        <c:v>4.3925364212915738</c:v>
                      </c:pt>
                      <c:pt idx="173">
                        <c:v>4.4001487742452339</c:v>
                      </c:pt>
                      <c:pt idx="174">
                        <c:v>4.4077644457955403</c:v>
                      </c:pt>
                      <c:pt idx="175">
                        <c:v>4.4153834127656477</c:v>
                      </c:pt>
                      <c:pt idx="176">
                        <c:v>4.4230056521957737</c:v>
                      </c:pt>
                      <c:pt idx="177">
                        <c:v>4.4306311413406574</c:v>
                      </c:pt>
                      <c:pt idx="178">
                        <c:v>4.4382598576670347</c:v>
                      </c:pt>
                      <c:pt idx="179">
                        <c:v>4.4458917788511592</c:v>
                      </c:pt>
                      <c:pt idx="180">
                        <c:v>4.4535268827763517</c:v>
                      </c:pt>
                      <c:pt idx="181">
                        <c:v>4.4611651475305889</c:v>
                      </c:pt>
                      <c:pt idx="182">
                        <c:v>4.4688065514041266</c:v>
                      </c:pt>
                      <c:pt idx="183">
                        <c:v>4.4764510728871549</c:v>
                      </c:pt>
                      <c:pt idx="184">
                        <c:v>4.48409869066748</c:v>
                      </c:pt>
                      <c:pt idx="185">
                        <c:v>4.4917493836282523</c:v>
                      </c:pt>
                      <c:pt idx="186">
                        <c:v>4.499403130845705</c:v>
                      </c:pt>
                      <c:pt idx="187">
                        <c:v>4.5070599115869543</c:v>
                      </c:pt>
                      <c:pt idx="188">
                        <c:v>4.5147197053077956</c:v>
                      </c:pt>
                      <c:pt idx="189">
                        <c:v>4.5223824916505553</c:v>
                      </c:pt>
                      <c:pt idx="190">
                        <c:v>4.5300482504419648</c:v>
                      </c:pt>
                      <c:pt idx="191">
                        <c:v>4.537716961691058</c:v>
                      </c:pt>
                      <c:pt idx="192">
                        <c:v>4.545388605587104</c:v>
                      </c:pt>
                      <c:pt idx="193">
                        <c:v>4.5530631624975717</c:v>
                      </c:pt>
                      <c:pt idx="194">
                        <c:v>4.5607406129661037</c:v>
                      </c:pt>
                      <c:pt idx="195">
                        <c:v>4.568420937710548</c:v>
                      </c:pt>
                      <c:pt idx="196">
                        <c:v>4.5761041176209867</c:v>
                      </c:pt>
                      <c:pt idx="197">
                        <c:v>4.5837901337578062</c:v>
                      </c:pt>
                      <c:pt idx="198">
                        <c:v>4.591478967349798</c:v>
                      </c:pt>
                      <c:pt idx="199">
                        <c:v>4.5991705997922674</c:v>
                      </c:pt>
                      <c:pt idx="200">
                        <c:v>4.6068650126451924</c:v>
                      </c:pt>
                    </c:numCache>
                  </c:numRef>
                </c:val>
                <c:smooth val="0"/>
                <c:extLst xmlns:c15="http://schemas.microsoft.com/office/drawing/2012/chart">
                  <c:ext xmlns:c16="http://schemas.microsoft.com/office/drawing/2014/chart" uri="{C3380CC4-5D6E-409C-BE32-E72D297353CC}">
                    <c16:uniqueId val="{00000008-50A6-46D4-AEF8-03ADE34CD569}"/>
                  </c:ext>
                </c:extLst>
              </c15:ser>
            </c15:filteredLineSeries>
            <c15:filteredLineSeries>
              <c15:ser>
                <c:idx val="5"/>
                <c:order val="9"/>
                <c:tx>
                  <c:strRef>
                    <c:extLst xmlns:c15="http://schemas.microsoft.com/office/drawing/2012/chart">
                      <c:ext xmlns:c15="http://schemas.microsoft.com/office/drawing/2012/chart" uri="{02D57815-91ED-43cb-92C2-25804820EDAC}">
                        <c15:formulaRef>
                          <c15:sqref>'Efficiency vs VIN Calculations'!$X$8</c15:sqref>
                        </c15:formulaRef>
                      </c:ext>
                    </c:extLst>
                    <c:strCache>
                      <c:ptCount val="1"/>
                      <c:pt idx="0">
                        <c:v>DCR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Calculations'!$X$9:$X$209</c15:sqref>
                        </c15:formulaRef>
                      </c:ext>
                    </c:extLst>
                    <c:numCache>
                      <c:formatCode>0.000</c:formatCode>
                      <c:ptCount val="201"/>
                      <c:pt idx="0">
                        <c:v>0.89849918959212216</c:v>
                      </c:pt>
                      <c:pt idx="1">
                        <c:v>0.89856554358310536</c:v>
                      </c:pt>
                      <c:pt idx="2">
                        <c:v>0.89863205432339699</c:v>
                      </c:pt>
                      <c:pt idx="3">
                        <c:v>0.89869871382199906</c:v>
                      </c:pt>
                      <c:pt idx="4">
                        <c:v>0.89876551428543616</c:v>
                      </c:pt>
                      <c:pt idx="5">
                        <c:v>0.89883244811287077</c:v>
                      </c:pt>
                      <c:pt idx="6">
                        <c:v>0.89889950789134287</c:v>
                      </c:pt>
                      <c:pt idx="7">
                        <c:v>0.8989666863911413</c:v>
                      </c:pt>
                      <c:pt idx="8">
                        <c:v>0.89903397656129536</c:v>
                      </c:pt>
                      <c:pt idx="9">
                        <c:v>0.89910137152518987</c:v>
                      </c:pt>
                      <c:pt idx="10">
                        <c:v>0.89916886457629241</c:v>
                      </c:pt>
                      <c:pt idx="11">
                        <c:v>0.89923644917399836</c:v>
                      </c:pt>
                      <c:pt idx="12">
                        <c:v>0.89930411893958162</c:v>
                      </c:pt>
                      <c:pt idx="13">
                        <c:v>0.89937186765225141</c:v>
                      </c:pt>
                      <c:pt idx="14">
                        <c:v>0.89943968924531881</c:v>
                      </c:pt>
                      <c:pt idx="15">
                        <c:v>0.89950757780245649</c:v>
                      </c:pt>
                      <c:pt idx="16">
                        <c:v>0.89957552755405856</c:v>
                      </c:pt>
                      <c:pt idx="17">
                        <c:v>0.89964353287369869</c:v>
                      </c:pt>
                      <c:pt idx="18">
                        <c:v>0.8997115882746729</c:v>
                      </c:pt>
                      <c:pt idx="19">
                        <c:v>0.89977968840664058</c:v>
                      </c:pt>
                      <c:pt idx="20">
                        <c:v>0.89984782805234487</c:v>
                      </c:pt>
                      <c:pt idx="21">
                        <c:v>0.89991600212442246</c:v>
                      </c:pt>
                      <c:pt idx="22">
                        <c:v>0.89998420566229376</c:v>
                      </c:pt>
                      <c:pt idx="23">
                        <c:v>0.90005243382913069</c:v>
                      </c:pt>
                      <c:pt idx="24">
                        <c:v>0.90012068190890759</c:v>
                      </c:pt>
                      <c:pt idx="25">
                        <c:v>0.90018894530352056</c:v>
                      </c:pt>
                      <c:pt idx="26">
                        <c:v>0.90025721952998705</c:v>
                      </c:pt>
                      <c:pt idx="27">
                        <c:v>0.90032550021771052</c:v>
                      </c:pt>
                      <c:pt idx="28">
                        <c:v>0.90039378310581708</c:v>
                      </c:pt>
                      <c:pt idx="29">
                        <c:v>0.90046206404056262</c:v>
                      </c:pt>
                      <c:pt idx="30">
                        <c:v>0.90053033897279733</c:v>
                      </c:pt>
                      <c:pt idx="31">
                        <c:v>0.90059860395550362</c:v>
                      </c:pt>
                      <c:pt idx="32">
                        <c:v>0.90066685514138678</c:v>
                      </c:pt>
                      <c:pt idx="33">
                        <c:v>0.90073508878053432</c:v>
                      </c:pt>
                      <c:pt idx="34">
                        <c:v>0.90080330121812735</c:v>
                      </c:pt>
                      <c:pt idx="35">
                        <c:v>0.90087148889220969</c:v>
                      </c:pt>
                      <c:pt idx="36">
                        <c:v>0.90093964833151963</c:v>
                      </c:pt>
                      <c:pt idx="37">
                        <c:v>0.90100777615336414</c:v>
                      </c:pt>
                      <c:pt idx="38">
                        <c:v>0.9010758690615549</c:v>
                      </c:pt>
                      <c:pt idx="39">
                        <c:v>0.90114392384439157</c:v>
                      </c:pt>
                      <c:pt idx="40">
                        <c:v>0.90121193737269489</c:v>
                      </c:pt>
                      <c:pt idx="41">
                        <c:v>0.90127990659788837</c:v>
                      </c:pt>
                      <c:pt idx="42">
                        <c:v>0.90134782855012718</c:v>
                      </c:pt>
                      <c:pt idx="43">
                        <c:v>0.90141570033647223</c:v>
                      </c:pt>
                      <c:pt idx="44">
                        <c:v>0.9014835191391104</c:v>
                      </c:pt>
                      <c:pt idx="45">
                        <c:v>0.90155128221361769</c:v>
                      </c:pt>
                      <c:pt idx="46">
                        <c:v>0.90161898688726194</c:v>
                      </c:pt>
                      <c:pt idx="47">
                        <c:v>0.90168663055735043</c:v>
                      </c:pt>
                      <c:pt idx="48">
                        <c:v>0.90175421068961614</c:v>
                      </c:pt>
                      <c:pt idx="49">
                        <c:v>0.90182172481664202</c:v>
                      </c:pt>
                      <c:pt idx="50">
                        <c:v>0.90188917053632423</c:v>
                      </c:pt>
                      <c:pt idx="51">
                        <c:v>0.90195654551037341</c:v>
                      </c:pt>
                      <c:pt idx="52">
                        <c:v>0.90202384746284803</c:v>
                      </c:pt>
                      <c:pt idx="53">
                        <c:v>0.90209107417872814</c:v>
                      </c:pt>
                      <c:pt idx="54">
                        <c:v>0.90215822350252062</c:v>
                      </c:pt>
                      <c:pt idx="55">
                        <c:v>0.90222529333689683</c:v>
                      </c:pt>
                      <c:pt idx="56">
                        <c:v>0.90229228164136199</c:v>
                      </c:pt>
                      <c:pt idx="57">
                        <c:v>0.90235918643096225</c:v>
                      </c:pt>
                      <c:pt idx="58">
                        <c:v>0.9024260057750142</c:v>
                      </c:pt>
                      <c:pt idx="59">
                        <c:v>0.90249273779586958</c:v>
                      </c:pt>
                      <c:pt idx="60">
                        <c:v>0.90255938066770958</c:v>
                      </c:pt>
                      <c:pt idx="61">
                        <c:v>0.90262593261536217</c:v>
                      </c:pt>
                      <c:pt idx="62">
                        <c:v>0.90269239191315509</c:v>
                      </c:pt>
                      <c:pt idx="63">
                        <c:v>0.90275875688378904</c:v>
                      </c:pt>
                      <c:pt idx="64">
                        <c:v>0.90282502589724067</c:v>
                      </c:pt>
                      <c:pt idx="65">
                        <c:v>0.90289119736969137</c:v>
                      </c:pt>
                      <c:pt idx="66">
                        <c:v>0.90295726976247914</c:v>
                      </c:pt>
                      <c:pt idx="67">
                        <c:v>0.90302324158107672</c:v>
                      </c:pt>
                      <c:pt idx="68">
                        <c:v>0.90308911137409276</c:v>
                      </c:pt>
                      <c:pt idx="69">
                        <c:v>0.90315487773229564</c:v>
                      </c:pt>
                      <c:pt idx="70">
                        <c:v>0.90322053928766133</c:v>
                      </c:pt>
                      <c:pt idx="71">
                        <c:v>0.90328609471244281</c:v>
                      </c:pt>
                      <c:pt idx="72">
                        <c:v>0.9033515427182589</c:v>
                      </c:pt>
                      <c:pt idx="73">
                        <c:v>0.90341688205520809</c:v>
                      </c:pt>
                      <c:pt idx="74">
                        <c:v>0.90348211151099878</c:v>
                      </c:pt>
                      <c:pt idx="75">
                        <c:v>0.9035472299101025</c:v>
                      </c:pt>
                      <c:pt idx="76">
                        <c:v>0.9036122361129254</c:v>
                      </c:pt>
                      <c:pt idx="77">
                        <c:v>0.90367712901499764</c:v>
                      </c:pt>
                      <c:pt idx="78">
                        <c:v>0.90374190754618289</c:v>
                      </c:pt>
                      <c:pt idx="79">
                        <c:v>0.90380657066990588</c:v>
                      </c:pt>
                      <c:pt idx="80">
                        <c:v>0.903871117382397</c:v>
                      </c:pt>
                      <c:pt idx="81">
                        <c:v>0.90393554671195242</c:v>
                      </c:pt>
                      <c:pt idx="82">
                        <c:v>0.90399985771821534</c:v>
                      </c:pt>
                      <c:pt idx="83">
                        <c:v>0.90406404949146912</c:v>
                      </c:pt>
                      <c:pt idx="84">
                        <c:v>0.90412812115194829</c:v>
                      </c:pt>
                      <c:pt idx="85">
                        <c:v>0.90419207184916628</c:v>
                      </c:pt>
                      <c:pt idx="86">
                        <c:v>0.90425590076125451</c:v>
                      </c:pt>
                      <c:pt idx="87">
                        <c:v>0.90431960709432291</c:v>
                      </c:pt>
                      <c:pt idx="88">
                        <c:v>0.90438319008182821</c:v>
                      </c:pt>
                      <c:pt idx="89">
                        <c:v>0.90444664898395732</c:v>
                      </c:pt>
                      <c:pt idx="90">
                        <c:v>0.90450998308703079</c:v>
                      </c:pt>
                      <c:pt idx="91">
                        <c:v>0.90457319170291262</c:v>
                      </c:pt>
                      <c:pt idx="92">
                        <c:v>0.90463627416843462</c:v>
                      </c:pt>
                      <c:pt idx="93">
                        <c:v>0.9046992298448373</c:v>
                      </c:pt>
                      <c:pt idx="94">
                        <c:v>0.90476205811722044</c:v>
                      </c:pt>
                      <c:pt idx="95">
                        <c:v>0.90482475839400256</c:v>
                      </c:pt>
                      <c:pt idx="96">
                        <c:v>0.90488733010640154</c:v>
                      </c:pt>
                      <c:pt idx="97">
                        <c:v>0.90494977270791732</c:v>
                      </c:pt>
                      <c:pt idx="98">
                        <c:v>0.90501208567383118</c:v>
                      </c:pt>
                      <c:pt idx="99">
                        <c:v>0.90507426850071437</c:v>
                      </c:pt>
                      <c:pt idx="100">
                        <c:v>0.90513632070594985</c:v>
                      </c:pt>
                      <c:pt idx="101">
                        <c:v>0.90519824182726072</c:v>
                      </c:pt>
                      <c:pt idx="102">
                        <c:v>0.9052600314222522</c:v>
                      </c:pt>
                      <c:pt idx="103">
                        <c:v>0.90532168906796329</c:v>
                      </c:pt>
                      <c:pt idx="104">
                        <c:v>0.90538321436042657</c:v>
                      </c:pt>
                      <c:pt idx="105">
                        <c:v>0.90544460691423967</c:v>
                      </c:pt>
                      <c:pt idx="106">
                        <c:v>0.90550586636214447</c:v>
                      </c:pt>
                      <c:pt idx="107">
                        <c:v>0.90556699235461713</c:v>
                      </c:pt>
                      <c:pt idx="108">
                        <c:v>0.90562798455946569</c:v>
                      </c:pt>
                      <c:pt idx="109">
                        <c:v>0.90568884266143701</c:v>
                      </c:pt>
                      <c:pt idx="110">
                        <c:v>0.90574956636183279</c:v>
                      </c:pt>
                      <c:pt idx="111">
                        <c:v>0.90581015537813314</c:v>
                      </c:pt>
                      <c:pt idx="112">
                        <c:v>0.90587060944362929</c:v>
                      </c:pt>
                      <c:pt idx="113">
                        <c:v>0.90593092830706234</c:v>
                      </c:pt>
                      <c:pt idx="114">
                        <c:v>0.90599111173227231</c:v>
                      </c:pt>
                      <c:pt idx="115">
                        <c:v>0.90605115949785364</c:v>
                      </c:pt>
                      <c:pt idx="116">
                        <c:v>0.90611107139681746</c:v>
                      </c:pt>
                      <c:pt idx="117">
                        <c:v>0.9061708472362634</c:v>
                      </c:pt>
                      <c:pt idx="118">
                        <c:v>0.90623048683705509</c:v>
                      </c:pt>
                      <c:pt idx="119">
                        <c:v>0.90628999003350563</c:v>
                      </c:pt>
                      <c:pt idx="120">
                        <c:v>0.9063493566730686</c:v>
                      </c:pt>
                      <c:pt idx="121">
                        <c:v>0.90640858661603774</c:v>
                      </c:pt>
                      <c:pt idx="122">
                        <c:v>0.90646767973524711</c:v>
                      </c:pt>
                      <c:pt idx="123">
                        <c:v>0.90652663591578542</c:v>
                      </c:pt>
                      <c:pt idx="124">
                        <c:v>0.90658545505471211</c:v>
                      </c:pt>
                      <c:pt idx="125">
                        <c:v>0.90664413706078029</c:v>
                      </c:pt>
                      <c:pt idx="126">
                        <c:v>0.90670268185416492</c:v>
                      </c:pt>
                      <c:pt idx="127">
                        <c:v>0.90676108936619815</c:v>
                      </c:pt>
                      <c:pt idx="128">
                        <c:v>0.90681935953911053</c:v>
                      </c:pt>
                      <c:pt idx="129">
                        <c:v>0.90687749232577619</c:v>
                      </c:pt>
                      <c:pt idx="130">
                        <c:v>0.90693548768946364</c:v>
                      </c:pt>
                      <c:pt idx="131">
                        <c:v>0.90699334560359368</c:v>
                      </c:pt>
                      <c:pt idx="132">
                        <c:v>0.90705106605150099</c:v>
                      </c:pt>
                      <c:pt idx="133">
                        <c:v>0.90710864902620147</c:v>
                      </c:pt>
                      <c:pt idx="134">
                        <c:v>0.90716609453016228</c:v>
                      </c:pt>
                      <c:pt idx="135">
                        <c:v>0.90722340257508127</c:v>
                      </c:pt>
                      <c:pt idx="136">
                        <c:v>0.9072805731816671</c:v>
                      </c:pt>
                      <c:pt idx="137">
                        <c:v>0.90733760637942484</c:v>
                      </c:pt>
                      <c:pt idx="138">
                        <c:v>0.90739450220644968</c:v>
                      </c:pt>
                      <c:pt idx="139">
                        <c:v>0.90745126070921656</c:v>
                      </c:pt>
                      <c:pt idx="140">
                        <c:v>0.90750788194238563</c:v>
                      </c:pt>
                      <c:pt idx="141">
                        <c:v>0.90756436596860268</c:v>
                      </c:pt>
                      <c:pt idx="142">
                        <c:v>0.90762071285830781</c:v>
                      </c:pt>
                      <c:pt idx="143">
                        <c:v>0.90767692268954658</c:v>
                      </c:pt>
                      <c:pt idx="144">
                        <c:v>0.90773299554778808</c:v>
                      </c:pt>
                      <c:pt idx="145">
                        <c:v>0.90778893152574214</c:v>
                      </c:pt>
                      <c:pt idx="146">
                        <c:v>0.90784473072318472</c:v>
                      </c:pt>
                      <c:pt idx="147">
                        <c:v>0.90790039324678529</c:v>
                      </c:pt>
                      <c:pt idx="148">
                        <c:v>0.90795591920993557</c:v>
                      </c:pt>
                      <c:pt idx="149">
                        <c:v>0.9080113087325884</c:v>
                      </c:pt>
                      <c:pt idx="150">
                        <c:v>0.9080665619410907</c:v>
                      </c:pt>
                      <c:pt idx="151">
                        <c:v>0.90812167896802876</c:v>
                      </c:pt>
                      <c:pt idx="152">
                        <c:v>0.90817665995207131</c:v>
                      </c:pt>
                      <c:pt idx="153">
                        <c:v>0.90823150503781802</c:v>
                      </c:pt>
                      <c:pt idx="154">
                        <c:v>0.90828621437565005</c:v>
                      </c:pt>
                      <c:pt idx="155">
                        <c:v>0.90834078812158614</c:v>
                      </c:pt>
                      <c:pt idx="156">
                        <c:v>0.90839522643713844</c:v>
                      </c:pt>
                      <c:pt idx="157">
                        <c:v>0.90844952948917279</c:v>
                      </c:pt>
                      <c:pt idx="158">
                        <c:v>0.90850369744977333</c:v>
                      </c:pt>
                      <c:pt idx="159">
                        <c:v>0.908557730496109</c:v>
                      </c:pt>
                      <c:pt idx="160">
                        <c:v>0.90861162881029922</c:v>
                      </c:pt>
                      <c:pt idx="161">
                        <c:v>0.90866539257929102</c:v>
                      </c:pt>
                      <c:pt idx="162">
                        <c:v>0.90871902199472798</c:v>
                      </c:pt>
                      <c:pt idx="163">
                        <c:v>0.9087725172528317</c:v>
                      </c:pt>
                      <c:pt idx="164">
                        <c:v>0.90882587855427921</c:v>
                      </c:pt>
                      <c:pt idx="165">
                        <c:v>0.90887910610408573</c:v>
                      </c:pt>
                      <c:pt idx="166">
                        <c:v>0.90893220011148934</c:v>
                      </c:pt>
                      <c:pt idx="167">
                        <c:v>0.90898516078983782</c:v>
                      </c:pt>
                      <c:pt idx="168">
                        <c:v>0.90903798835647809</c:v>
                      </c:pt>
                      <c:pt idx="169">
                        <c:v>0.90909068303264895</c:v>
                      </c:pt>
                      <c:pt idx="170">
                        <c:v>0.9091432450433734</c:v>
                      </c:pt>
                      <c:pt idx="171">
                        <c:v>0.90919567461735595</c:v>
                      </c:pt>
                      <c:pt idx="172">
                        <c:v>0.90924797198688168</c:v>
                      </c:pt>
                      <c:pt idx="173">
                        <c:v>0.90930013738771565</c:v>
                      </c:pt>
                      <c:pt idx="174">
                        <c:v>0.90935217105900479</c:v>
                      </c:pt>
                      <c:pt idx="175">
                        <c:v>0.90940407324318584</c:v>
                      </c:pt>
                      <c:pt idx="176">
                        <c:v>0.90945584418588699</c:v>
                      </c:pt>
                      <c:pt idx="177">
                        <c:v>0.90950748413584226</c:v>
                      </c:pt>
                      <c:pt idx="178">
                        <c:v>0.90955899334479684</c:v>
                      </c:pt>
                      <c:pt idx="179">
                        <c:v>0.90961037206742312</c:v>
                      </c:pt>
                      <c:pt idx="180">
                        <c:v>0.90966162056123279</c:v>
                      </c:pt>
                      <c:pt idx="181">
                        <c:v>0.90971273908649408</c:v>
                      </c:pt>
                      <c:pt idx="182">
                        <c:v>0.90976372790614879</c:v>
                      </c:pt>
                      <c:pt idx="183">
                        <c:v>0.90981458728573361</c:v>
                      </c:pt>
                      <c:pt idx="184">
                        <c:v>0.90986531749329647</c:v>
                      </c:pt>
                      <c:pt idx="185">
                        <c:v>0.90991591879932687</c:v>
                      </c:pt>
                      <c:pt idx="186">
                        <c:v>0.90996639147667346</c:v>
                      </c:pt>
                      <c:pt idx="187">
                        <c:v>0.91001673580047482</c:v>
                      </c:pt>
                      <c:pt idx="188">
                        <c:v>0.91006695204808385</c:v>
                      </c:pt>
                      <c:pt idx="189">
                        <c:v>0.91011704049899866</c:v>
                      </c:pt>
                      <c:pt idx="190">
                        <c:v>0.91016700143479434</c:v>
                      </c:pt>
                      <c:pt idx="191">
                        <c:v>0.91021683513905016</c:v>
                      </c:pt>
                      <c:pt idx="192">
                        <c:v>0.91026654189728984</c:v>
                      </c:pt>
                      <c:pt idx="193">
                        <c:v>0.9103161219969117</c:v>
                      </c:pt>
                      <c:pt idx="194">
                        <c:v>0.91036557572712662</c:v>
                      </c:pt>
                      <c:pt idx="195">
                        <c:v>0.91041490337889464</c:v>
                      </c:pt>
                      <c:pt idx="196">
                        <c:v>0.91046410524486598</c:v>
                      </c:pt>
                      <c:pt idx="197">
                        <c:v>0.91051318161931916</c:v>
                      </c:pt>
                      <c:pt idx="198">
                        <c:v>0.91056213279810372</c:v>
                      </c:pt>
                      <c:pt idx="199">
                        <c:v>0.91061095907858247</c:v>
                      </c:pt>
                      <c:pt idx="200">
                        <c:v>0.9106596607595755</c:v>
                      </c:pt>
                    </c:numCache>
                  </c:numRef>
                </c:val>
                <c:smooth val="0"/>
                <c:extLst xmlns:c15="http://schemas.microsoft.com/office/drawing/2012/chart">
                  <c:ext xmlns:c16="http://schemas.microsoft.com/office/drawing/2014/chart" uri="{C3380CC4-5D6E-409C-BE32-E72D297353CC}">
                    <c16:uniqueId val="{00000009-50A6-46D4-AEF8-03ADE34CD569}"/>
                  </c:ext>
                </c:extLst>
              </c15:ser>
            </c15:filteredLineSeries>
            <c15:filteredLineSeries>
              <c15:ser>
                <c:idx val="4"/>
                <c:order val="10"/>
                <c:tx>
                  <c:strRef>
                    <c:extLst xmlns:c15="http://schemas.microsoft.com/office/drawing/2012/chart">
                      <c:ext xmlns:c15="http://schemas.microsoft.com/office/drawing/2012/chart" uri="{02D57815-91ED-43cb-92C2-25804820EDAC}">
                        <c15:formulaRef>
                          <c15:sqref>'Efficiency vs VIN Calculations'!$Y$8</c15:sqref>
                        </c15:formulaRef>
                      </c:ext>
                    </c:extLst>
                    <c:strCache>
                      <c:ptCount val="1"/>
                      <c:pt idx="0">
                        <c:v>Core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Calculations'!$Y$9:$Y$209</c15:sqref>
                        </c15:formulaRef>
                      </c:ext>
                    </c:extLst>
                    <c:numCache>
                      <c:formatCode>0.000</c:formatCode>
                      <c:ptCount val="201"/>
                      <c:pt idx="0">
                        <c:v>0.26799715872171348</c:v>
                      </c:pt>
                      <c:pt idx="1">
                        <c:v>0.27385896205927035</c:v>
                      </c:pt>
                      <c:pt idx="2">
                        <c:v>0.27975121583219742</c:v>
                      </c:pt>
                      <c:pt idx="3">
                        <c:v>0.28567306591099251</c:v>
                      </c:pt>
                      <c:pt idx="4">
                        <c:v>0.29162367340451267</c:v>
                      </c:pt>
                      <c:pt idx="5">
                        <c:v>0.29760221444524654</c:v>
                      </c:pt>
                      <c:pt idx="6">
                        <c:v>0.3036078799742758</c:v>
                      </c:pt>
                      <c:pt idx="7">
                        <c:v>0.30963987552621391</c:v>
                      </c:pt>
                      <c:pt idx="8">
                        <c:v>0.31569742101438547</c:v>
                      </c:pt>
                      <c:pt idx="9">
                        <c:v>0.32177975051649033</c:v>
                      </c:pt>
                      <c:pt idx="10">
                        <c:v>0.32788611206096679</c:v>
                      </c:pt>
                      <c:pt idx="11">
                        <c:v>0.33401576741426192</c:v>
                      </c:pt>
                      <c:pt idx="12">
                        <c:v>0.34016799186917956</c:v>
                      </c:pt>
                      <c:pt idx="13">
                        <c:v>0.34634207403448503</c:v>
                      </c:pt>
                      <c:pt idx="14">
                        <c:v>0.35253731562590362</c:v>
                      </c:pt>
                      <c:pt idx="15">
                        <c:v>0.35875303125865643</c:v>
                      </c:pt>
                      <c:pt idx="16">
                        <c:v>0.36498854824165494</c:v>
                      </c:pt>
                      <c:pt idx="17">
                        <c:v>0.37124320637346037</c:v>
                      </c:pt>
                      <c:pt idx="18">
                        <c:v>0.377516357740108</c:v>
                      </c:pt>
                      <c:pt idx="19">
                        <c:v>0.38380736651489256</c:v>
                      </c:pt>
                      <c:pt idx="20">
                        <c:v>0.39011560876017426</c:v>
                      </c:pt>
                      <c:pt idx="21">
                        <c:v>0.39644047223130435</c:v>
                      </c:pt>
                      <c:pt idx="22">
                        <c:v>0.40278135618269306</c:v>
                      </c:pt>
                      <c:pt idx="23">
                        <c:v>0.40913767117611716</c:v>
                      </c:pt>
                      <c:pt idx="24">
                        <c:v>0.41550883889127527</c:v>
                      </c:pt>
                      <c:pt idx="25">
                        <c:v>0.4218942919386513</c:v>
                      </c:pt>
                      <c:pt idx="26">
                        <c:v>0.42829347367472315</c:v>
                      </c:pt>
                      <c:pt idx="27">
                        <c:v>0.43470583801952623</c:v>
                      </c:pt>
                      <c:pt idx="28">
                        <c:v>0.44113084927661728</c:v>
                      </c:pt>
                      <c:pt idx="29">
                        <c:v>0.44756798195543757</c:v>
                      </c:pt>
                      <c:pt idx="30">
                        <c:v>0.45401672059610781</c:v>
                      </c:pt>
                      <c:pt idx="31">
                        <c:v>0.46047655959664713</c:v>
                      </c:pt>
                      <c:pt idx="32">
                        <c:v>0.46694700304263459</c:v>
                      </c:pt>
                      <c:pt idx="33">
                        <c:v>0.47342756453931534</c:v>
                      </c:pt>
                      <c:pt idx="34">
                        <c:v>0.47991776704614708</c:v>
                      </c:pt>
                      <c:pt idx="35">
                        <c:v>0.48641714271377889</c:v>
                      </c:pt>
                      <c:pt idx="36">
                        <c:v>0.49292523272347771</c:v>
                      </c:pt>
                      <c:pt idx="37">
                        <c:v>0.49944158712896403</c:v>
                      </c:pt>
                      <c:pt idx="38">
                        <c:v>0.50596576470067733</c:v>
                      </c:pt>
                      <c:pt idx="39">
                        <c:v>0.51249733277243059</c:v>
                      </c:pt>
                      <c:pt idx="40">
                        <c:v>0.51903586709046623</c:v>
                      </c:pt>
                      <c:pt idx="41">
                        <c:v>0.52558095166487984</c:v>
                      </c:pt>
                      <c:pt idx="42">
                        <c:v>0.53213217862338946</c:v>
                      </c:pt>
                      <c:pt idx="43">
                        <c:v>0.53868914806746193</c:v>
                      </c:pt>
                      <c:pt idx="44">
                        <c:v>0.54525146793074053</c:v>
                      </c:pt>
                      <c:pt idx="45">
                        <c:v>0.55181875383977319</c:v>
                      </c:pt>
                      <c:pt idx="46">
                        <c:v>0.55839062897701663</c:v>
                      </c:pt>
                      <c:pt idx="47">
                        <c:v>0.56496672394608782</c:v>
                      </c:pt>
                      <c:pt idx="48">
                        <c:v>0.57154667663924841</c:v>
                      </c:pt>
                      <c:pt idx="49">
                        <c:v>0.5781301321070822</c:v>
                      </c:pt>
                      <c:pt idx="50">
                        <c:v>0.5847167424303612</c:v>
                      </c:pt>
                      <c:pt idx="51">
                        <c:v>0.5913061665940581</c:v>
                      </c:pt>
                      <c:pt idx="52">
                        <c:v>0.59789807036348053</c:v>
                      </c:pt>
                      <c:pt idx="53">
                        <c:v>0.60449212616251735</c:v>
                      </c:pt>
                      <c:pt idx="54">
                        <c:v>0.61108801295394122</c:v>
                      </c:pt>
                      <c:pt idx="55">
                        <c:v>0.61768541612177308</c:v>
                      </c:pt>
                      <c:pt idx="56">
                        <c:v>0.62428402735565114</c:v>
                      </c:pt>
                      <c:pt idx="57">
                        <c:v>0.63088354453719464</c:v>
                      </c:pt>
                      <c:pt idx="58">
                        <c:v>0.63748367162834119</c:v>
                      </c:pt>
                      <c:pt idx="59">
                        <c:v>0.64408411856159919</c:v>
                      </c:pt>
                      <c:pt idx="60">
                        <c:v>0.65068460113222704</c:v>
                      </c:pt>
                      <c:pt idx="61">
                        <c:v>0.65728484089227479</c:v>
                      </c:pt>
                      <c:pt idx="62">
                        <c:v>0.66388456504649618</c:v>
                      </c:pt>
                      <c:pt idx="63">
                        <c:v>0.6704835063500646</c:v>
                      </c:pt>
                      <c:pt idx="64">
                        <c:v>0.67708140300810482</c:v>
                      </c:pt>
                      <c:pt idx="65">
                        <c:v>0.6836779985769762</c:v>
                      </c:pt>
                      <c:pt idx="66">
                        <c:v>0.69027304186731098</c:v>
                      </c:pt>
                      <c:pt idx="67">
                        <c:v>0.69686628684875918</c:v>
                      </c:pt>
                      <c:pt idx="68">
                        <c:v>0.70345749255641965</c:v>
                      </c:pt>
                      <c:pt idx="69">
                        <c:v>0.71004642299894005</c:v>
                      </c:pt>
                      <c:pt idx="70">
                        <c:v>0.71663284706823749</c:v>
                      </c:pt>
                      <c:pt idx="71">
                        <c:v>0.72321653845083766</c:v>
                      </c:pt>
                      <c:pt idx="72">
                        <c:v>0.72979727554078666</c:v>
                      </c:pt>
                      <c:pt idx="73">
                        <c:v>0.7363748413541219</c:v>
                      </c:pt>
                      <c:pt idx="74">
                        <c:v>0.74294902344486846</c:v>
                      </c:pt>
                      <c:pt idx="75">
                        <c:v>0.74951961382254484</c:v>
                      </c:pt>
                      <c:pt idx="76">
                        <c:v>0.75608640887113621</c:v>
                      </c:pt>
                      <c:pt idx="77">
                        <c:v>0.76264920926953395</c:v>
                      </c:pt>
                      <c:pt idx="78">
                        <c:v>0.76920781991339493</c:v>
                      </c:pt>
                      <c:pt idx="79">
                        <c:v>0.77576204983840247</c:v>
                      </c:pt>
                      <c:pt idx="80">
                        <c:v>0.78231171214492201</c:v>
                      </c:pt>
                      <c:pt idx="81">
                        <c:v>0.78885662392399281</c:v>
                      </c:pt>
                      <c:pt idx="82">
                        <c:v>0.79539660618467223</c:v>
                      </c:pt>
                      <c:pt idx="83">
                        <c:v>0.80193148378267609</c:v>
                      </c:pt>
                      <c:pt idx="84">
                        <c:v>0.80846108535031147</c:v>
                      </c:pt>
                      <c:pt idx="85">
                        <c:v>0.81498524322767218</c:v>
                      </c:pt>
                      <c:pt idx="86">
                        <c:v>0.82150379339508517</c:v>
                      </c:pt>
                      <c:pt idx="87">
                        <c:v>0.82801657540676066</c:v>
                      </c:pt>
                      <c:pt idx="88">
                        <c:v>0.83452343232565696</c:v>
                      </c:pt>
                      <c:pt idx="89">
                        <c:v>0.84102421065951249</c:v>
                      </c:pt>
                      <c:pt idx="90">
                        <c:v>0.84751876029804463</c:v>
                      </c:pt>
                      <c:pt idx="91">
                        <c:v>0.85400693445127351</c:v>
                      </c:pt>
                      <c:pt idx="92">
                        <c:v>0.86048858958897401</c:v>
                      </c:pt>
                      <c:pt idx="93">
                        <c:v>0.8669635853812101</c:v>
                      </c:pt>
                      <c:pt idx="94">
                        <c:v>0.87343178463995752</c:v>
                      </c:pt>
                      <c:pt idx="95">
                        <c:v>0.87989305326177814</c:v>
                      </c:pt>
                      <c:pt idx="96">
                        <c:v>0.88634726017152954</c:v>
                      </c:pt>
                      <c:pt idx="97">
                        <c:v>0.89279427726710603</c:v>
                      </c:pt>
                      <c:pt idx="98">
                        <c:v>0.89923397936515903</c:v>
                      </c:pt>
                      <c:pt idx="99">
                        <c:v>0.9056662441478246</c:v>
                      </c:pt>
                      <c:pt idx="100">
                        <c:v>0.91209095211039881</c:v>
                      </c:pt>
                      <c:pt idx="101">
                        <c:v>0.91850798650996723</c:v>
                      </c:pt>
                      <c:pt idx="102">
                        <c:v>0.92491723331496545</c:v>
                      </c:pt>
                      <c:pt idx="103">
                        <c:v>0.93131858115564692</c:v>
                      </c:pt>
                      <c:pt idx="104">
                        <c:v>0.9377119212754581</c:v>
                      </c:pt>
                      <c:pt idx="105">
                        <c:v>0.94409714748328499</c:v>
                      </c:pt>
                      <c:pt idx="106">
                        <c:v>0.9504741561065615</c:v>
                      </c:pt>
                      <c:pt idx="107">
                        <c:v>0.95684284594524271</c:v>
                      </c:pt>
                      <c:pt idx="108">
                        <c:v>0.96320311822659066</c:v>
                      </c:pt>
                      <c:pt idx="109">
                        <c:v>0.9695548765607882</c:v>
                      </c:pt>
                      <c:pt idx="110">
                        <c:v>0.97589802689736338</c:v>
                      </c:pt>
                      <c:pt idx="111">
                        <c:v>0.98223247748238085</c:v>
                      </c:pt>
                      <c:pt idx="112">
                        <c:v>0.98855813881642973</c:v>
                      </c:pt>
                      <c:pt idx="113">
                        <c:v>0.99487492361335217</c:v>
                      </c:pt>
                      <c:pt idx="114">
                        <c:v>1.0011827467597332</c:v>
                      </c:pt>
                      <c:pt idx="115">
                        <c:v>1.0074815252751104</c:v>
                      </c:pt>
                      <c:pt idx="116">
                        <c:v>1.0137711782729055</c:v>
                      </c:pt>
                      <c:pt idx="117">
                        <c:v>1.0200516269220687</c:v>
                      </c:pt>
                      <c:pt idx="118">
                        <c:v>1.0263227944094</c:v>
                      </c:pt>
                      <c:pt idx="119">
                        <c:v>1.0325846059025647</c:v>
                      </c:pt>
                      <c:pt idx="120">
                        <c:v>1.0388369885137649</c:v>
                      </c:pt>
                      <c:pt idx="121">
                        <c:v>1.0450798712640792</c:v>
                      </c:pt>
                      <c:pt idx="122">
                        <c:v>1.0513131850484214</c:v>
                      </c:pt>
                      <c:pt idx="123">
                        <c:v>1.0575368626011648</c:v>
                      </c:pt>
                      <c:pt idx="124">
                        <c:v>1.063750838462346</c:v>
                      </c:pt>
                      <c:pt idx="125">
                        <c:v>1.0699550489445095</c:v>
                      </c:pt>
                      <c:pt idx="126">
                        <c:v>1.0761494321001326</c:v>
                      </c:pt>
                      <c:pt idx="127">
                        <c:v>1.082333927689636</c:v>
                      </c:pt>
                      <c:pt idx="128">
                        <c:v>1.0885084771499767</c:v>
                      </c:pt>
                      <c:pt idx="129">
                        <c:v>1.0946730235637983</c:v>
                      </c:pt>
                      <c:pt idx="130">
                        <c:v>1.1008275116291375</c:v>
                      </c:pt>
                      <c:pt idx="131">
                        <c:v>1.1069718876296746</c:v>
                      </c:pt>
                      <c:pt idx="132">
                        <c:v>1.1131060994055222</c:v>
                      </c:pt>
                      <c:pt idx="133">
                        <c:v>1.119230096324529</c:v>
                      </c:pt>
                      <c:pt idx="134">
                        <c:v>1.1253438292540945</c:v>
                      </c:pt>
                      <c:pt idx="135">
                        <c:v>1.1314472505335176</c:v>
                      </c:pt>
                      <c:pt idx="136">
                        <c:v>1.1375403139467981</c:v>
                      </c:pt>
                      <c:pt idx="137">
                        <c:v>1.1436229746959488</c:v>
                      </c:pt>
                      <c:pt idx="138">
                        <c:v>1.1496951893747975</c:v>
                      </c:pt>
                      <c:pt idx="139">
                        <c:v>1.1557569159432213</c:v>
                      </c:pt>
                      <c:pt idx="140">
                        <c:v>1.1618081137018799</c:v>
                      </c:pt>
                      <c:pt idx="141">
                        <c:v>1.1678487432673661</c:v>
                      </c:pt>
                      <c:pt idx="142">
                        <c:v>1.1738787665478341</c:v>
                      </c:pt>
                      <c:pt idx="143">
                        <c:v>1.1798981467190262</c:v>
                      </c:pt>
                      <c:pt idx="144">
                        <c:v>1.1859068482007642</c:v>
                      </c:pt>
                      <c:pt idx="145">
                        <c:v>1.1919048366338192</c:v>
                      </c:pt>
                      <c:pt idx="146">
                        <c:v>1.1978920788572409</c:v>
                      </c:pt>
                      <c:pt idx="147">
                        <c:v>1.2038685428860476</c:v>
                      </c:pt>
                      <c:pt idx="148">
                        <c:v>1.2098341978893403</c:v>
                      </c:pt>
                      <c:pt idx="149">
                        <c:v>1.215789014168791</c:v>
                      </c:pt>
                      <c:pt idx="150">
                        <c:v>1.2217329631375229</c:v>
                      </c:pt>
                      <c:pt idx="151">
                        <c:v>1.2276660172993659</c:v>
                      </c:pt>
                      <c:pt idx="152">
                        <c:v>1.2335881502284738</c:v>
                      </c:pt>
                      <c:pt idx="153">
                        <c:v>1.2394993365493072</c:v>
                      </c:pt>
                      <c:pt idx="154">
                        <c:v>1.2453995519169752</c:v>
                      </c:pt>
                      <c:pt idx="155">
                        <c:v>1.2512887729979163</c:v>
                      </c:pt>
                      <c:pt idx="156">
                        <c:v>1.2571669774509338</c:v>
                      </c:pt>
                      <c:pt idx="157">
                        <c:v>1.2630341439085637</c:v>
                      </c:pt>
                      <c:pt idx="158">
                        <c:v>1.2688902519587593</c:v>
                      </c:pt>
                      <c:pt idx="159">
                        <c:v>1.2747352821269258</c:v>
                      </c:pt>
                      <c:pt idx="160">
                        <c:v>1.2805692158582445</c:v>
                      </c:pt>
                      <c:pt idx="161">
                        <c:v>1.2863920355003358</c:v>
                      </c:pt>
                      <c:pt idx="162">
                        <c:v>1.2922037242862072</c:v>
                      </c:pt>
                      <c:pt idx="163">
                        <c:v>1.298004266317514</c:v>
                      </c:pt>
                      <c:pt idx="164">
                        <c:v>1.3037936465481208</c:v>
                      </c:pt>
                      <c:pt idx="165">
                        <c:v>1.3095718507679364</c:v>
                      </c:pt>
                      <c:pt idx="166">
                        <c:v>1.3153388655870493</c:v>
                      </c:pt>
                      <c:pt idx="167">
                        <c:v>1.3210946784201361</c:v>
                      </c:pt>
                      <c:pt idx="168">
                        <c:v>1.3268392774711459</c:v>
                      </c:pt>
                      <c:pt idx="169">
                        <c:v>1.3325726517182568</c:v>
                      </c:pt>
                      <c:pt idx="170">
                        <c:v>1.338294790899089</c:v>
                      </c:pt>
                      <c:pt idx="171">
                        <c:v>1.3440056854961966</c:v>
                      </c:pt>
                      <c:pt idx="172">
                        <c:v>1.3497053267227892</c:v>
                      </c:pt>
                      <c:pt idx="173">
                        <c:v>1.3553937065087367</c:v>
                      </c:pt>
                      <c:pt idx="174">
                        <c:v>1.3610708174867785</c:v>
                      </c:pt>
                      <c:pt idx="175">
                        <c:v>1.3667366529790228</c:v>
                      </c:pt>
                      <c:pt idx="176">
                        <c:v>1.3723912069836433</c:v>
                      </c:pt>
                      <c:pt idx="177">
                        <c:v>1.3780344741618289</c:v>
                      </c:pt>
                      <c:pt idx="178">
                        <c:v>1.3836664498249645</c:v>
                      </c:pt>
                      <c:pt idx="179">
                        <c:v>1.3892871299220282</c:v>
                      </c:pt>
                      <c:pt idx="180">
                        <c:v>1.3948965110272082</c:v>
                      </c:pt>
                      <c:pt idx="181">
                        <c:v>1.4004945903277519</c:v>
                      </c:pt>
                      <c:pt idx="182">
                        <c:v>1.406081365612009</c:v>
                      </c:pt>
                      <c:pt idx="183">
                        <c:v>1.4116568352576986</c:v>
                      </c:pt>
                      <c:pt idx="184">
                        <c:v>1.4172209982203678</c:v>
                      </c:pt>
                      <c:pt idx="185">
                        <c:v>1.42277385402208</c:v>
                      </c:pt>
                      <c:pt idx="186">
                        <c:v>1.4283154027402558</c:v>
                      </c:pt>
                      <c:pt idx="187">
                        <c:v>1.4338456449967634</c:v>
                      </c:pt>
                      <c:pt idx="188">
                        <c:v>1.4393645819471474</c:v>
                      </c:pt>
                      <c:pt idx="189">
                        <c:v>1.4448722152700855</c:v>
                      </c:pt>
                      <c:pt idx="190">
                        <c:v>1.4503685471570169</c:v>
                      </c:pt>
                      <c:pt idx="191">
                        <c:v>1.4558535803019395</c:v>
                      </c:pt>
                      <c:pt idx="192">
                        <c:v>1.4613273178914032</c:v>
                      </c:pt>
                      <c:pt idx="193">
                        <c:v>1.4667897635946701</c:v>
                      </c:pt>
                      <c:pt idx="194">
                        <c:v>1.4722409215540488</c:v>
                      </c:pt>
                      <c:pt idx="195">
                        <c:v>1.4776807963753911</c:v>
                      </c:pt>
                      <c:pt idx="196">
                        <c:v>1.4831093931187649</c:v>
                      </c:pt>
                      <c:pt idx="197">
                        <c:v>1.4885267172892798</c:v>
                      </c:pt>
                      <c:pt idx="198">
                        <c:v>1.4939327748280891</c:v>
                      </c:pt>
                      <c:pt idx="199">
                        <c:v>1.4993275721035211</c:v>
                      </c:pt>
                      <c:pt idx="200">
                        <c:v>1.5047111159023929</c:v>
                      </c:pt>
                    </c:numCache>
                  </c:numRef>
                </c:val>
                <c:smooth val="0"/>
                <c:extLst xmlns:c15="http://schemas.microsoft.com/office/drawing/2012/chart">
                  <c:ext xmlns:c16="http://schemas.microsoft.com/office/drawing/2014/chart" uri="{C3380CC4-5D6E-409C-BE32-E72D297353CC}">
                    <c16:uniqueId val="{0000000A-50A6-46D4-AEF8-03ADE34CD569}"/>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val>
                <c:smooth val="0"/>
                <c:extLst xmlns:c15="http://schemas.microsoft.com/office/drawing/2012/chart">
                  <c:ext xmlns:c16="http://schemas.microsoft.com/office/drawing/2014/chart" uri="{C3380CC4-5D6E-409C-BE32-E72D297353CC}">
                    <c16:uniqueId val="{0000000B-50A6-46D4-AEF8-03ADE34CD569}"/>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4.8925253918995137</c:v>
                      </c:pt>
                      <c:pt idx="2">
                        <c:v>4.9016780655888761</c:v>
                      </c:pt>
                      <c:pt idx="3">
                        <c:v>4.9108351286480012</c:v>
                      </c:pt>
                      <c:pt idx="4">
                        <c:v>4.9199964916870602</c:v>
                      </c:pt>
                      <c:pt idx="5">
                        <c:v>4.9291620671783738</c:v>
                      </c:pt>
                      <c:pt idx="6">
                        <c:v>4.9383317694126685</c:v>
                      </c:pt>
                      <c:pt idx="7">
                        <c:v>4.9475055144564823</c:v>
                      </c:pt>
                      <c:pt idx="8">
                        <c:v>4.9566832201107207</c:v>
                      </c:pt>
                      <c:pt idx="9">
                        <c:v>4.9658648058703125</c:v>
                      </c:pt>
                      <c:pt idx="10">
                        <c:v>4.9750501928849182</c:v>
                      </c:pt>
                      <c:pt idx="11">
                        <c:v>4.9842393039207025</c:v>
                      </c:pt>
                      <c:pt idx="12">
                        <c:v>4.9934320633230813</c:v>
                      </c:pt>
                      <c:pt idx="13">
                        <c:v>5.0026283969804686</c:v>
                      </c:pt>
                      <c:pt idx="14">
                        <c:v>5.0118282322889574</c:v>
                      </c:pt>
                      <c:pt idx="15">
                        <c:v>5.02103149811792</c:v>
                      </c:pt>
                      <c:pt idx="16">
                        <c:v>5.0302381247765062</c:v>
                      </c:pt>
                      <c:pt idx="17">
                        <c:v>5.0394480439810003</c:v>
                      </c:pt>
                      <c:pt idx="18">
                        <c:v>5.0486611888230168</c:v>
                      </c:pt>
                      <c:pt idx="19">
                        <c:v>5.0578774937385234</c:v>
                      </c:pt>
                      <c:pt idx="20">
                        <c:v>5.0670968944776442</c:v>
                      </c:pt>
                      <c:pt idx="21">
                        <c:v>5.0763193280752388</c:v>
                      </c:pt>
                      <c:pt idx="22">
                        <c:v>5.0855447328222185</c:v>
                      </c:pt>
                      <c:pt idx="23">
                        <c:v>5.0947730482376068</c:v>
                      </c:pt>
                      <c:pt idx="24">
                        <c:v>5.1040042150412885</c:v>
                      </c:pt>
                      <c:pt idx="25">
                        <c:v>5.1132381751274467</c:v>
                      </c:pt>
                      <c:pt idx="26">
                        <c:v>5.1224748715386745</c:v>
                      </c:pt>
                      <c:pt idx="27">
                        <c:v>5.1317142484407192</c:v>
                      </c:pt>
                      <c:pt idx="28">
                        <c:v>5.1409562510978697</c:v>
                      </c:pt>
                      <c:pt idx="29">
                        <c:v>5.1502008258489411</c:v>
                      </c:pt>
                      <c:pt idx="30">
                        <c:v>5.1594479200838617</c:v>
                      </c:pt>
                      <c:pt idx="31">
                        <c:v>5.1686974822208329</c:v>
                      </c:pt>
                      <c:pt idx="32">
                        <c:v>5.1779494616840598</c:v>
                      </c:pt>
                      <c:pt idx="33">
                        <c:v>5.1872038088820114</c:v>
                      </c:pt>
                      <c:pt idx="34">
                        <c:v>5.196460475186222</c:v>
                      </c:pt>
                      <c:pt idx="35">
                        <c:v>5.2057194129105984</c:v>
                      </c:pt>
                      <c:pt idx="36">
                        <c:v>5.2149805752912588</c:v>
                      </c:pt>
                      <c:pt idx="37">
                        <c:v>5.2242439164668131</c:v>
                      </c:pt>
                      <c:pt idx="38">
                        <c:v>5.2335093914591546</c:v>
                      </c:pt>
                      <c:pt idx="39">
                        <c:v>5.2427769561546951</c:v>
                      </c:pt>
                      <c:pt idx="40">
                        <c:v>5.252046567286067</c:v>
                      </c:pt>
                      <c:pt idx="41">
                        <c:v>5.2613181824142394</c:v>
                      </c:pt>
                      <c:pt idx="42">
                        <c:v>5.2705917599110776</c:v>
                      </c:pt>
                      <c:pt idx="43">
                        <c:v>5.2798672589423052</c:v>
                      </c:pt>
                      <c:pt idx="44">
                        <c:v>5.2891446394508845</c:v>
                      </c:pt>
                      <c:pt idx="45">
                        <c:v>5.2984238621407691</c:v>
                      </c:pt>
                      <c:pt idx="46">
                        <c:v>5.3077048884610569</c:v>
                      </c:pt>
                      <c:pt idx="47">
                        <c:v>5.3169876805905014</c:v>
                      </c:pt>
                      <c:pt idx="48">
                        <c:v>5.3262722014223911</c:v>
                      </c:pt>
                      <c:pt idx="49">
                        <c:v>5.3355584145497854</c:v>
                      </c:pt>
                      <c:pt idx="50">
                        <c:v>5.3448462842510818</c:v>
                      </c:pt>
                      <c:pt idx="51">
                        <c:v>5.3541357754759309</c:v>
                      </c:pt>
                      <c:pt idx="52">
                        <c:v>5.3634268538314656</c:v>
                      </c:pt>
                      <c:pt idx="53">
                        <c:v>5.3727194855688563</c:v>
                      </c:pt>
                      <c:pt idx="54">
                        <c:v>5.3820136375701688</c:v>
                      </c:pt>
                      <c:pt idx="55">
                        <c:v>5.391309277335532</c:v>
                      </c:pt>
                      <c:pt idx="56">
                        <c:v>5.4006063729705733</c:v>
                      </c:pt>
                      <c:pt idx="57">
                        <c:v>5.4099048931741898</c:v>
                      </c:pt>
                      <c:pt idx="58">
                        <c:v>5.4192048072265342</c:v>
                      </c:pt>
                      <c:pt idx="59">
                        <c:v>5.4285060849773297</c:v>
                      </c:pt>
                      <c:pt idx="60">
                        <c:v>5.4378086968344084</c:v>
                      </c:pt>
                      <c:pt idx="61">
                        <c:v>5.4471126137525285</c:v>
                      </c:pt>
                      <c:pt idx="62">
                        <c:v>5.4564178072224436</c:v>
                      </c:pt>
                      <c:pt idx="63">
                        <c:v>5.4657242492601998</c:v>
                      </c:pt>
                      <c:pt idx="64">
                        <c:v>5.4750319123966866</c:v>
                      </c:pt>
                      <c:pt idx="65">
                        <c:v>5.4843407696674191</c:v>
                      </c:pt>
                      <c:pt idx="66">
                        <c:v>5.4936507946025417</c:v>
                      </c:pt>
                      <c:pt idx="67">
                        <c:v>5.5029619612170579</c:v>
                      </c:pt>
                      <c:pt idx="68">
                        <c:v>5.512274244001266</c:v>
                      </c:pt>
                      <c:pt idx="69">
                        <c:v>5.5215876179114254</c:v>
                      </c:pt>
                      <c:pt idx="70">
                        <c:v>5.5309020583606046</c:v>
                      </c:pt>
                      <c:pt idx="71">
                        <c:v>5.5402175412097474</c:v>
                      </c:pt>
                      <c:pt idx="72">
                        <c:v>5.5495340427589221</c:v>
                      </c:pt>
                      <c:pt idx="73">
                        <c:v>5.5588515397387726</c:v>
                      </c:pt>
                      <c:pt idx="74">
                        <c:v>5.5681700093021433</c:v>
                      </c:pt>
                      <c:pt idx="75">
                        <c:v>5.5774894290158956</c:v>
                      </c:pt>
                      <c:pt idx="76">
                        <c:v>5.5868097768528955</c:v>
                      </c:pt>
                      <c:pt idx="77">
                        <c:v>5.5961310311841741</c:v>
                      </c:pt>
                      <c:pt idx="78">
                        <c:v>5.6054531707712627</c:v>
                      </c:pt>
                      <c:pt idx="79">
                        <c:v>5.6147761747586857</c:v>
                      </c:pt>
                      <c:pt idx="80">
                        <c:v>5.6241000226666111</c:v>
                      </c:pt>
                      <c:pt idx="81">
                        <c:v>5.6334246943836632</c:v>
                      </c:pt>
                      <c:pt idx="82">
                        <c:v>5.6427501701599034</c:v>
                      </c:pt>
                      <c:pt idx="83">
                        <c:v>5.652076430599922</c:v>
                      </c:pt>
                      <c:pt idx="84">
                        <c:v>5.661403456656112</c:v>
                      </c:pt>
                      <c:pt idx="85">
                        <c:v>5.6707312296220653</c:v>
                      </c:pt>
                      <c:pt idx="86">
                        <c:v>5.6800597311261196</c:v>
                      </c:pt>
                      <c:pt idx="87">
                        <c:v>5.6893889431250324</c:v>
                      </c:pt>
                      <c:pt idx="88">
                        <c:v>5.6987188478977897</c:v>
                      </c:pt>
                      <c:pt idx="89">
                        <c:v>5.7080494280395477</c:v>
                      </c:pt>
                      <c:pt idx="90">
                        <c:v>5.7173806664556945</c:v>
                      </c:pt>
                      <c:pt idx="91">
                        <c:v>5.7267125463560422</c:v>
                      </c:pt>
                      <c:pt idx="92">
                        <c:v>5.7360450512491337</c:v>
                      </c:pt>
                      <c:pt idx="93">
                        <c:v>5.7453781649366737</c:v>
                      </c:pt>
                      <c:pt idx="94">
                        <c:v>5.7547118715080687</c:v>
                      </c:pt>
                      <c:pt idx="95">
                        <c:v>5.7640461553350777</c:v>
                      </c:pt>
                      <c:pt idx="96">
                        <c:v>5.7733810010665865</c:v>
                      </c:pt>
                      <c:pt idx="97">
                        <c:v>5.7827163936234642</c:v>
                      </c:pt>
                      <c:pt idx="98">
                        <c:v>5.7920523181935621</c:v>
                      </c:pt>
                      <c:pt idx="99">
                        <c:v>5.8013887602267671</c:v>
                      </c:pt>
                      <c:pt idx="100">
                        <c:v>5.8107257054302064</c:v>
                      </c:pt>
                      <c:pt idx="101">
                        <c:v>5.8200631397635014</c:v>
                      </c:pt>
                      <c:pt idx="102">
                        <c:v>5.8294010494341553</c:v>
                      </c:pt>
                      <c:pt idx="103">
                        <c:v>5.8387394208930194</c:v>
                      </c:pt>
                      <c:pt idx="104">
                        <c:v>5.8480782408298451</c:v>
                      </c:pt>
                      <c:pt idx="105">
                        <c:v>5.8574174961689307</c:v>
                      </c:pt>
                      <c:pt idx="106">
                        <c:v>5.866757174064861</c:v>
                      </c:pt>
                      <c:pt idx="107">
                        <c:v>5.8760972618983232</c:v>
                      </c:pt>
                      <c:pt idx="108">
                        <c:v>5.8854377472720136</c:v>
                      </c:pt>
                      <c:pt idx="109">
                        <c:v>5.8947786180066197</c:v>
                      </c:pt>
                      <c:pt idx="110">
                        <c:v>5.9041198621368851</c:v>
                      </c:pt>
                      <c:pt idx="111">
                        <c:v>5.9134614679077542</c:v>
                      </c:pt>
                      <c:pt idx="112">
                        <c:v>5.9228034237705929</c:v>
                      </c:pt>
                      <c:pt idx="113">
                        <c:v>5.9321457183794815</c:v>
                      </c:pt>
                      <c:pt idx="114">
                        <c:v>5.9414883405875729</c:v>
                      </c:pt>
                      <c:pt idx="115">
                        <c:v>5.9508312794435492</c:v>
                      </c:pt>
                      <c:pt idx="116">
                        <c:v>5.9601745241881154</c:v>
                      </c:pt>
                      <c:pt idx="117">
                        <c:v>5.969518064250579</c:v>
                      </c:pt>
                      <c:pt idx="118">
                        <c:v>5.9788618892454997</c:v>
                      </c:pt>
                      <c:pt idx="119">
                        <c:v>5.9882059889693888</c:v>
                      </c:pt>
                      <c:pt idx="120">
                        <c:v>5.9975503533974868</c:v>
                      </c:pt>
                      <c:pt idx="121">
                        <c:v>6.0068949726806107</c:v>
                      </c:pt>
                      <c:pt idx="122">
                        <c:v>6.0162398371420229</c:v>
                      </c:pt>
                      <c:pt idx="123">
                        <c:v>6.0255849372744175</c:v>
                      </c:pt>
                      <c:pt idx="124">
                        <c:v>6.0349302637369169</c:v>
                      </c:pt>
                      <c:pt idx="125">
                        <c:v>6.0442758073521539</c:v>
                      </c:pt>
                      <c:pt idx="126">
                        <c:v>6.0536215591033997</c:v>
                      </c:pt>
                      <c:pt idx="127">
                        <c:v>6.0629675101317364</c:v>
                      </c:pt>
                      <c:pt idx="128">
                        <c:v>6.0723136517333165</c:v>
                      </c:pt>
                      <c:pt idx="129">
                        <c:v>6.0816599753566383</c:v>
                      </c:pt>
                      <c:pt idx="130">
                        <c:v>6.0910064725998909</c:v>
                      </c:pt>
                      <c:pt idx="131">
                        <c:v>6.1003531352083424</c:v>
                      </c:pt>
                      <c:pt idx="132">
                        <c:v>6.1096999550717968</c:v>
                      </c:pt>
                      <c:pt idx="133">
                        <c:v>6.1190469242220713</c:v>
                      </c:pt>
                      <c:pt idx="134">
                        <c:v>6.1283940348305377</c:v>
                      </c:pt>
                      <c:pt idx="135">
                        <c:v>6.1377412792057049</c:v>
                      </c:pt>
                      <c:pt idx="136">
                        <c:v>6.147088649790855</c:v>
                      </c:pt>
                      <c:pt idx="137">
                        <c:v>6.1564361391617108</c:v>
                      </c:pt>
                      <c:pt idx="138">
                        <c:v>6.1657837400241613</c:v>
                      </c:pt>
                      <c:pt idx="139">
                        <c:v>6.1751314452120099</c:v>
                      </c:pt>
                      <c:pt idx="140">
                        <c:v>6.184479247684787</c:v>
                      </c:pt>
                      <c:pt idx="141">
                        <c:v>6.1938271405255936</c:v>
                      </c:pt>
                      <c:pt idx="142">
                        <c:v>6.2031751169389739</c:v>
                      </c:pt>
                      <c:pt idx="143">
                        <c:v>6.2125231702488524</c:v>
                      </c:pt>
                      <c:pt idx="144">
                        <c:v>6.2218712938964833</c:v>
                      </c:pt>
                      <c:pt idx="145">
                        <c:v>6.2312194814384503</c:v>
                      </c:pt>
                      <c:pt idx="146">
                        <c:v>6.240567726544711</c:v>
                      </c:pt>
                      <c:pt idx="147">
                        <c:v>6.2499160229966622</c:v>
                      </c:pt>
                      <c:pt idx="148">
                        <c:v>6.2592643646852357</c:v>
                      </c:pt>
                      <c:pt idx="149">
                        <c:v>6.2686127456090706</c:v>
                      </c:pt>
                      <c:pt idx="150">
                        <c:v>6.277961159872655</c:v>
                      </c:pt>
                      <c:pt idx="151">
                        <c:v>6.2873096016845551</c:v>
                      </c:pt>
                      <c:pt idx="152">
                        <c:v>6.2966580653556523</c:v>
                      </c:pt>
                      <c:pt idx="153">
                        <c:v>6.3060065452974134</c:v>
                      </c:pt>
                      <c:pt idx="154">
                        <c:v>6.315355036020204</c:v>
                      </c:pt>
                      <c:pt idx="155">
                        <c:v>6.3247035321316147</c:v>
                      </c:pt>
                      <c:pt idx="156">
                        <c:v>6.3340520283348303</c:v>
                      </c:pt>
                      <c:pt idx="157">
                        <c:v>6.3434005194270302</c:v>
                      </c:pt>
                      <c:pt idx="158">
                        <c:v>6.3527490002978046</c:v>
                      </c:pt>
                      <c:pt idx="159">
                        <c:v>6.3620974659276124</c:v>
                      </c:pt>
                      <c:pt idx="160">
                        <c:v>6.3714459113862594</c:v>
                      </c:pt>
                      <c:pt idx="161">
                        <c:v>6.3807943318314075</c:v>
                      </c:pt>
                      <c:pt idx="162">
                        <c:v>6.3901427225071057</c:v>
                      </c:pt>
                      <c:pt idx="163">
                        <c:v>6.399491078742356</c:v>
                      </c:pt>
                      <c:pt idx="164">
                        <c:v>6.4088393959496974</c:v>
                      </c:pt>
                      <c:pt idx="165">
                        <c:v>6.4181876696238112</c:v>
                      </c:pt>
                      <c:pt idx="166">
                        <c:v>6.4275358953401689</c:v>
                      </c:pt>
                      <c:pt idx="167">
                        <c:v>6.4368840687536792</c:v>
                      </c:pt>
                      <c:pt idx="168">
                        <c:v>6.4462321855973803</c:v>
                      </c:pt>
                      <c:pt idx="169">
                        <c:v>6.4555802416811519</c:v>
                      </c:pt>
                      <c:pt idx="170">
                        <c:v>6.4649282328904256</c:v>
                      </c:pt>
                      <c:pt idx="171">
                        <c:v>6.4742761551849615</c:v>
                      </c:pt>
                      <c:pt idx="172">
                        <c:v>6.4836240045976057</c:v>
                      </c:pt>
                      <c:pt idx="173">
                        <c:v>6.4929717772330902</c:v>
                      </c:pt>
                      <c:pt idx="174">
                        <c:v>6.5023194692668529</c:v>
                      </c:pt>
                      <c:pt idx="175">
                        <c:v>6.5116670769438763</c:v>
                      </c:pt>
                      <c:pt idx="176">
                        <c:v>6.5210145965775332</c:v>
                      </c:pt>
                      <c:pt idx="177">
                        <c:v>6.5303620245484808</c:v>
                      </c:pt>
                      <c:pt idx="178">
                        <c:v>6.5397093573035479</c:v>
                      </c:pt>
                      <c:pt idx="179">
                        <c:v>6.549056591354657</c:v>
                      </c:pt>
                      <c:pt idx="180">
                        <c:v>6.5584037232777517</c:v>
                      </c:pt>
                      <c:pt idx="181">
                        <c:v>6.5677507497117569</c:v>
                      </c:pt>
                      <c:pt idx="182">
                        <c:v>6.577097667357549</c:v>
                      </c:pt>
                      <c:pt idx="183">
                        <c:v>6.5864444729769467</c:v>
                      </c:pt>
                      <c:pt idx="184">
                        <c:v>6.5957911633917119</c:v>
                      </c:pt>
                      <c:pt idx="185">
                        <c:v>6.605137735482586</c:v>
                      </c:pt>
                      <c:pt idx="186">
                        <c:v>6.6144841861883119</c:v>
                      </c:pt>
                      <c:pt idx="187">
                        <c:v>6.6238305125047114</c:v>
                      </c:pt>
                      <c:pt idx="188">
                        <c:v>6.6331767114837445</c:v>
                      </c:pt>
                      <c:pt idx="189">
                        <c:v>6.6425227802326043</c:v>
                      </c:pt>
                      <c:pt idx="190">
                        <c:v>6.6518687159128209</c:v>
                      </c:pt>
                      <c:pt idx="191">
                        <c:v>6.6612145157393803</c:v>
                      </c:pt>
                      <c:pt idx="192">
                        <c:v>6.6705601769798593</c:v>
                      </c:pt>
                      <c:pt idx="193">
                        <c:v>6.6799056969535791</c:v>
                      </c:pt>
                      <c:pt idx="194">
                        <c:v>6.6892510730307597</c:v>
                      </c:pt>
                      <c:pt idx="195">
                        <c:v>6.6985963026317128</c:v>
                      </c:pt>
                      <c:pt idx="196">
                        <c:v>6.7079413832260206</c:v>
                      </c:pt>
                      <c:pt idx="197">
                        <c:v>6.7172863123317432</c:v>
                      </c:pt>
                      <c:pt idx="198">
                        <c:v>6.7266310875146491</c:v>
                      </c:pt>
                      <c:pt idx="199">
                        <c:v>6.7359757063874337</c:v>
                      </c:pt>
                      <c:pt idx="200">
                        <c:v>6.7453201666089724</c:v>
                      </c:pt>
                    </c:numCache>
                  </c:numRef>
                </c:val>
                <c:smooth val="0"/>
                <c:extLst xmlns:c15="http://schemas.microsoft.com/office/drawing/2012/chart">
                  <c:ext xmlns:c16="http://schemas.microsoft.com/office/drawing/2014/chart" uri="{C3380CC4-5D6E-409C-BE32-E72D297353CC}">
                    <c16:uniqueId val="{0000000C-50A6-46D4-AEF8-03ADE34CD569}"/>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9.6176996127100636E-2</c:v>
                      </c:pt>
                      <c:pt idx="2">
                        <c:v>9.7103942143320229E-2</c:v>
                      </c:pt>
                      <c:pt idx="3">
                        <c:v>9.8024664140531112E-2</c:v>
                      </c:pt>
                      <c:pt idx="4">
                        <c:v>9.8939226247063222E-2</c:v>
                      </c:pt>
                      <c:pt idx="5">
                        <c:v>9.9847691689993287E-2</c:v>
                      </c:pt>
                      <c:pt idx="6">
                        <c:v>0.10075012281131032</c:v>
                      </c:pt>
                      <c:pt idx="7">
                        <c:v>0.10164658108372684</c:v>
                      </c:pt>
                      <c:pt idx="8">
                        <c:v>0.10253712712614538</c:v>
                      </c:pt>
                      <c:pt idx="9">
                        <c:v>0.10342182071878886</c:v>
                      </c:pt>
                      <c:pt idx="10">
                        <c:v>0.10430072081800383</c:v>
                      </c:pt>
                      <c:pt idx="11">
                        <c:v>0.10517388557074457</c:v>
                      </c:pt>
                      <c:pt idx="12">
                        <c:v>0.10604137232874646</c:v>
                      </c:pt>
                      <c:pt idx="13">
                        <c:v>0.10690323766239641</c:v>
                      </c:pt>
                      <c:pt idx="14">
                        <c:v>0.10775953737430781</c:v>
                      </c:pt>
                      <c:pt idx="15">
                        <c:v>0.10861032651260794</c:v>
                      </c:pt>
                      <c:pt idx="16">
                        <c:v>0.10945565938394397</c:v>
                      </c:pt>
                      <c:pt idx="17">
                        <c:v>0.11029558956621666</c:v>
                      </c:pt>
                      <c:pt idx="18">
                        <c:v>0.11113016992104552</c:v>
                      </c:pt>
                      <c:pt idx="19">
                        <c:v>0.11195945260597535</c:v>
                      </c:pt>
                      <c:pt idx="20">
                        <c:v>0.11278348908642792</c:v>
                      </c:pt>
                      <c:pt idx="21">
                        <c:v>0.11360233014740644</c:v>
                      </c:pt>
                      <c:pt idx="22">
                        <c:v>0.11441602590495836</c:v>
                      </c:pt>
                      <c:pt idx="23">
                        <c:v>0.11522462581740282</c:v>
                      </c:pt>
                      <c:pt idx="24">
                        <c:v>0.11602817869632817</c:v>
                      </c:pt>
                      <c:pt idx="25">
                        <c:v>0.11682673271736467</c:v>
                      </c:pt>
                      <c:pt idx="26">
                        <c:v>0.11762033543073909</c:v>
                      </c:pt>
                      <c:pt idx="27">
                        <c:v>0.11840903377161496</c:v>
                      </c:pt>
                      <c:pt idx="28">
                        <c:v>0.11919287407022439</c:v>
                      </c:pt>
                      <c:pt idx="29">
                        <c:v>0.119971902061797</c:v>
                      </c:pt>
                      <c:pt idx="30">
                        <c:v>0.1207461628962888</c:v>
                      </c:pt>
                      <c:pt idx="31">
                        <c:v>0.12151570114791836</c:v>
                      </c:pt>
                      <c:pt idx="32">
                        <c:v>0.12228056082451272</c:v>
                      </c:pt>
                      <c:pt idx="33">
                        <c:v>0.12304078537666861</c:v>
                      </c:pt>
                      <c:pt idx="34">
                        <c:v>0.12379641770673275</c:v>
                      </c:pt>
                      <c:pt idx="35">
                        <c:v>0.12454750017760573</c:v>
                      </c:pt>
                      <c:pt idx="36">
                        <c:v>0.12529407462137399</c:v>
                      </c:pt>
                      <c:pt idx="37">
                        <c:v>0.12603618234777253</c:v>
                      </c:pt>
                      <c:pt idx="38">
                        <c:v>0.12677386415248401</c:v>
                      </c:pt>
                      <c:pt idx="39">
                        <c:v>0.12750716032527651</c:v>
                      </c:pt>
                      <c:pt idx="40">
                        <c:v>0.12823611065798432</c:v>
                      </c:pt>
                      <c:pt idx="41">
                        <c:v>0.12896075445233587</c:v>
                      </c:pt>
                      <c:pt idx="42">
                        <c:v>0.12968113052763078</c:v>
                      </c:pt>
                      <c:pt idx="43">
                        <c:v>0.13039727722827077</c:v>
                      </c:pt>
                      <c:pt idx="44">
                        <c:v>0.13110923243114761</c:v>
                      </c:pt>
                      <c:pt idx="45">
                        <c:v>0.13181703355289076</c:v>
                      </c:pt>
                      <c:pt idx="46">
                        <c:v>0.13252071755697739</c:v>
                      </c:pt>
                      <c:pt idx="47">
                        <c:v>0.13322032096070976</c:v>
                      </c:pt>
                      <c:pt idx="48">
                        <c:v>0.13391587984206133</c:v>
                      </c:pt>
                      <c:pt idx="49">
                        <c:v>0.13460742984639404</c:v>
                      </c:pt>
                      <c:pt idx="50">
                        <c:v>0.13529500619305165</c:v>
                      </c:pt>
                      <c:pt idx="51">
                        <c:v>0.13597864368183005</c:v>
                      </c:pt>
                      <c:pt idx="52">
                        <c:v>0.13665837669932793</c:v>
                      </c:pt>
                      <c:pt idx="53">
                        <c:v>0.13733423922518001</c:v>
                      </c:pt>
                      <c:pt idx="54">
                        <c:v>0.13800626483817699</c:v>
                      </c:pt>
                      <c:pt idx="55">
                        <c:v>0.13867448672227178</c:v>
                      </c:pt>
                      <c:pt idx="56">
                        <c:v>0.1393389376724771</c:v>
                      </c:pt>
                      <c:pt idx="57">
                        <c:v>0.13999965010065565</c:v>
                      </c:pt>
                      <c:pt idx="58">
                        <c:v>0.1406566560412052</c:v>
                      </c:pt>
                      <c:pt idx="59">
                        <c:v>0.1413099871566412</c:v>
                      </c:pt>
                      <c:pt idx="60">
                        <c:v>0.14195967474307819</c:v>
                      </c:pt>
                      <c:pt idx="61">
                        <c:v>0.14260574973561396</c:v>
                      </c:pt>
                      <c:pt idx="62">
                        <c:v>0.14324824271361644</c:v>
                      </c:pt>
                      <c:pt idx="63">
                        <c:v>0.14388718390591657</c:v>
                      </c:pt>
                      <c:pt idx="64">
                        <c:v>0.14452260319590926</c:v>
                      </c:pt>
                      <c:pt idx="65">
                        <c:v>0.14515453012656349</c:v>
                      </c:pt>
                      <c:pt idx="66">
                        <c:v>0.14578299390534422</c:v>
                      </c:pt>
                      <c:pt idx="67">
                        <c:v>0.14640802340904782</c:v>
                      </c:pt>
                      <c:pt idx="68">
                        <c:v>0.14702964718855258</c:v>
                      </c:pt>
                      <c:pt idx="69">
                        <c:v>0.14764789347348578</c:v>
                      </c:pt>
                      <c:pt idx="70">
                        <c:v>0.14826279017681024</c:v>
                      </c:pt>
                      <c:pt idx="71">
                        <c:v>0.14887436489933031</c:v>
                      </c:pt>
                      <c:pt idx="72">
                        <c:v>0.1494826449341207</c:v>
                      </c:pt>
                      <c:pt idx="73">
                        <c:v>0.15008765727087794</c:v>
                      </c:pt>
                      <c:pt idx="74">
                        <c:v>0.15068942860019804</c:v>
                      </c:pt>
                      <c:pt idx="75">
                        <c:v>0.15128798531777973</c:v>
                      </c:pt>
                      <c:pt idx="76">
                        <c:v>0.1518833535285565</c:v>
                      </c:pt>
                      <c:pt idx="77">
                        <c:v>0.1524755590507583</c:v>
                      </c:pt>
                      <c:pt idx="78">
                        <c:v>0.15306462741990351</c:v>
                      </c:pt>
                      <c:pt idx="79">
                        <c:v>0.15365058389272418</c:v>
                      </c:pt>
                      <c:pt idx="80">
                        <c:v>0.15423345345102449</c:v>
                      </c:pt>
                      <c:pt idx="81">
                        <c:v>0.15481326080547408</c:v>
                      </c:pt>
                      <c:pt idx="82">
                        <c:v>0.15539003039933866</c:v>
                      </c:pt>
                      <c:pt idx="83">
                        <c:v>0.15596378641214675</c:v>
                      </c:pt>
                      <c:pt idx="84">
                        <c:v>0.15653455276329697</c:v>
                      </c:pt>
                      <c:pt idx="85">
                        <c:v>0.1571023531156038</c:v>
                      </c:pt>
                      <c:pt idx="86">
                        <c:v>0.15766721087878552</c:v>
                      </c:pt>
                      <c:pt idx="87">
                        <c:v>0.15822914921289444</c:v>
                      </c:pt>
                      <c:pt idx="88">
                        <c:v>0.15878819103169034</c:v>
                      </c:pt>
                      <c:pt idx="89">
                        <c:v>0.15934435900595817</c:v>
                      </c:pt>
                      <c:pt idx="90">
                        <c:v>0.15989767556677256</c:v>
                      </c:pt>
                      <c:pt idx="91">
                        <c:v>0.16044816290870798</c:v>
                      </c:pt>
                      <c:pt idx="92">
                        <c:v>0.16099584299299696</c:v>
                      </c:pt>
                      <c:pt idx="93">
                        <c:v>0.16154073755063716</c:v>
                      </c:pt>
                      <c:pt idx="94">
                        <c:v>0.16208286808544808</c:v>
                      </c:pt>
                      <c:pt idx="95">
                        <c:v>0.16262225587707857</c:v>
                      </c:pt>
                      <c:pt idx="96">
                        <c:v>0.163158921983966</c:v>
                      </c:pt>
                      <c:pt idx="97">
                        <c:v>0.16369288724624742</c:v>
                      </c:pt>
                      <c:pt idx="98">
                        <c:v>0.16422417228862493</c:v>
                      </c:pt>
                      <c:pt idx="99">
                        <c:v>0.16475279752318517</c:v>
                      </c:pt>
                      <c:pt idx="100">
                        <c:v>0.1652787831521734</c:v>
                      </c:pt>
                      <c:pt idx="101">
                        <c:v>0.16580214917072458</c:v>
                      </c:pt>
                      <c:pt idx="102">
                        <c:v>0.1663229153695501</c:v>
                      </c:pt>
                      <c:pt idx="103">
                        <c:v>0.16684110133758387</c:v>
                      </c:pt>
                      <c:pt idx="104">
                        <c:v>0.16735672646458483</c:v>
                      </c:pt>
                      <c:pt idx="105">
                        <c:v>0.16786980994370002</c:v>
                      </c:pt>
                      <c:pt idx="106">
                        <c:v>0.16838037077398726</c:v>
                      </c:pt>
                      <c:pt idx="107">
                        <c:v>0.16888842776289834</c:v>
                      </c:pt>
                      <c:pt idx="108">
                        <c:v>0.16939399952872411</c:v>
                      </c:pt>
                      <c:pt idx="109">
                        <c:v>0.16989710450300105</c:v>
                      </c:pt>
                      <c:pt idx="110">
                        <c:v>0.17039776093288103</c:v>
                      </c:pt>
                      <c:pt idx="111">
                        <c:v>0.17089598688346475</c:v>
                      </c:pt>
                      <c:pt idx="112">
                        <c:v>0.17139180024009879</c:v>
                      </c:pt>
                      <c:pt idx="113">
                        <c:v>0.17188521871063814</c:v>
                      </c:pt>
                      <c:pt idx="114">
                        <c:v>0.17237625982767349</c:v>
                      </c:pt>
                      <c:pt idx="115">
                        <c:v>0.17286494095072491</c:v>
                      </c:pt>
                      <c:pt idx="116">
                        <c:v>0.17335127926840257</c:v>
                      </c:pt>
                      <c:pt idx="117">
                        <c:v>0.17383529180053425</c:v>
                      </c:pt>
                      <c:pt idx="118">
                        <c:v>0.17431699540026038</c:v>
                      </c:pt>
                      <c:pt idx="119">
                        <c:v>0.17479640675609839</c:v>
                      </c:pt>
                      <c:pt idx="120">
                        <c:v>0.17527354239397575</c:v>
                      </c:pt>
                      <c:pt idx="121">
                        <c:v>0.17574841867923222</c:v>
                      </c:pt>
                      <c:pt idx="122">
                        <c:v>0.17622105181859207</c:v>
                      </c:pt>
                      <c:pt idx="123">
                        <c:v>0.17669145786210769</c:v>
                      </c:pt>
                      <c:pt idx="124">
                        <c:v>0.17715965270507372</c:v>
                      </c:pt>
                      <c:pt idx="125">
                        <c:v>0.1776256520899126</c:v>
                      </c:pt>
                      <c:pt idx="126">
                        <c:v>0.17808947160803332</c:v>
                      </c:pt>
                      <c:pt idx="127">
                        <c:v>0.17855112670166093</c:v>
                      </c:pt>
                      <c:pt idx="128">
                        <c:v>0.17901063266564149</c:v>
                      </c:pt>
                      <c:pt idx="129">
                        <c:v>0.17946800464921808</c:v>
                      </c:pt>
                      <c:pt idx="130">
                        <c:v>0.17992325765778311</c:v>
                      </c:pt>
                      <c:pt idx="131">
                        <c:v>0.18037640655460313</c:v>
                      </c:pt>
                      <c:pt idx="132">
                        <c:v>0.18082746606252023</c:v>
                      </c:pt>
                      <c:pt idx="133">
                        <c:v>0.18127645076562737</c:v>
                      </c:pt>
                      <c:pt idx="134">
                        <c:v>0.18172337511092054</c:v>
                      </c:pt>
                      <c:pt idx="135">
                        <c:v>0.18216825340992585</c:v>
                      </c:pt>
                      <c:pt idx="136">
                        <c:v>0.18261109984030491</c:v>
                      </c:pt>
                      <c:pt idx="137">
                        <c:v>0.1830519284474352</c:v>
                      </c:pt>
                      <c:pt idx="138">
                        <c:v>0.18349075314596974</c:v>
                      </c:pt>
                      <c:pt idx="139">
                        <c:v>0.18392758772137274</c:v>
                      </c:pt>
                      <c:pt idx="140">
                        <c:v>0.18436244583143466</c:v>
                      </c:pt>
                      <c:pt idx="141">
                        <c:v>0.18479534100776485</c:v>
                      </c:pt>
                      <c:pt idx="142">
                        <c:v>0.18522628665726396</c:v>
                      </c:pt>
                      <c:pt idx="143">
                        <c:v>0.18565529606357425</c:v>
                      </c:pt>
                      <c:pt idx="144">
                        <c:v>0.18608238238851102</c:v>
                      </c:pt>
                      <c:pt idx="145">
                        <c:v>0.18650755867347235</c:v>
                      </c:pt>
                      <c:pt idx="146">
                        <c:v>0.18693083784083039</c:v>
                      </c:pt>
                      <c:pt idx="147">
                        <c:v>0.18735223269530224</c:v>
                      </c:pt>
                      <c:pt idx="148">
                        <c:v>0.18777175592530185</c:v>
                      </c:pt>
                      <c:pt idx="149">
                        <c:v>0.18818942010427378</c:v>
                      </c:pt>
                      <c:pt idx="150">
                        <c:v>0.18860523769200777</c:v>
                      </c:pt>
                      <c:pt idx="151">
                        <c:v>0.18901922103593477</c:v>
                      </c:pt>
                      <c:pt idx="152">
                        <c:v>0.18943138237240628</c:v>
                      </c:pt>
                      <c:pt idx="153">
                        <c:v>0.1898417338279548</c:v>
                      </c:pt>
                      <c:pt idx="154">
                        <c:v>0.19025028742053757</c:v>
                      </c:pt>
                      <c:pt idx="155">
                        <c:v>0.19065705506076364</c:v>
                      </c:pt>
                      <c:pt idx="156">
                        <c:v>0.19106204855310263</c:v>
                      </c:pt>
                      <c:pt idx="157">
                        <c:v>0.19146527959707904</c:v>
                      </c:pt>
                      <c:pt idx="158">
                        <c:v>0.19186675978844844</c:v>
                      </c:pt>
                      <c:pt idx="159">
                        <c:v>0.19226650062035955</c:v>
                      </c:pt>
                      <c:pt idx="160">
                        <c:v>0.19266451348449792</c:v>
                      </c:pt>
                      <c:pt idx="161">
                        <c:v>0.19306080967221775</c:v>
                      </c:pt>
                      <c:pt idx="162">
                        <c:v>0.19345540037565465</c:v>
                      </c:pt>
                      <c:pt idx="163">
                        <c:v>0.19384829668882655</c:v>
                      </c:pt>
                      <c:pt idx="164">
                        <c:v>0.19423950960871764</c:v>
                      </c:pt>
                      <c:pt idx="165">
                        <c:v>0.19462905003634923</c:v>
                      </c:pt>
                      <c:pt idx="166">
                        <c:v>0.19501692877783569</c:v>
                      </c:pt>
                      <c:pt idx="167">
                        <c:v>0.19540315654542606</c:v>
                      </c:pt>
                      <c:pt idx="168">
                        <c:v>0.19578774395853263</c:v>
                      </c:pt>
                      <c:pt idx="169">
                        <c:v>0.19617070154474509</c:v>
                      </c:pt>
                      <c:pt idx="170">
                        <c:v>0.1965520397408313</c:v>
                      </c:pt>
                      <c:pt idx="171">
                        <c:v>0.1969317688937261</c:v>
                      </c:pt>
                      <c:pt idx="172">
                        <c:v>0.197309899261505</c:v>
                      </c:pt>
                      <c:pt idx="173">
                        <c:v>0.19768644101434718</c:v>
                      </c:pt>
                      <c:pt idx="174">
                        <c:v>0.19806140423548393</c:v>
                      </c:pt>
                      <c:pt idx="175">
                        <c:v>0.19843479892213658</c:v>
                      </c:pt>
                      <c:pt idx="176">
                        <c:v>0.19880663498644066</c:v>
                      </c:pt>
                      <c:pt idx="177">
                        <c:v>0.19917692225635911</c:v>
                      </c:pt>
                      <c:pt idx="178">
                        <c:v>0.19954567047658259</c:v>
                      </c:pt>
                      <c:pt idx="179">
                        <c:v>0.19991288930941939</c:v>
                      </c:pt>
                      <c:pt idx="180">
                        <c:v>0.20027858833567269</c:v>
                      </c:pt>
                      <c:pt idx="181">
                        <c:v>0.20064277705550712</c:v>
                      </c:pt>
                      <c:pt idx="182">
                        <c:v>0.20100546488930435</c:v>
                      </c:pt>
                      <c:pt idx="183">
                        <c:v>0.20136666117850671</c:v>
                      </c:pt>
                      <c:pt idx="184">
                        <c:v>0.20172637518645123</c:v>
                      </c:pt>
                      <c:pt idx="185">
                        <c:v>0.20208461609919265</c:v>
                      </c:pt>
                      <c:pt idx="186">
                        <c:v>0.202441393026315</c:v>
                      </c:pt>
                      <c:pt idx="187">
                        <c:v>0.20279671500173457</c:v>
                      </c:pt>
                      <c:pt idx="188">
                        <c:v>0.20315059098449087</c:v>
                      </c:pt>
                      <c:pt idx="189">
                        <c:v>0.20350302985952923</c:v>
                      </c:pt>
                      <c:pt idx="190">
                        <c:v>0.20385404043847249</c:v>
                      </c:pt>
                      <c:pt idx="191">
                        <c:v>0.20420363146038278</c:v>
                      </c:pt>
                      <c:pt idx="192">
                        <c:v>0.2045518115925147</c:v>
                      </c:pt>
                      <c:pt idx="193">
                        <c:v>0.20489858943105854</c:v>
                      </c:pt>
                      <c:pt idx="194">
                        <c:v>0.20524397350187404</c:v>
                      </c:pt>
                      <c:pt idx="195">
                        <c:v>0.20558797226121475</c:v>
                      </c:pt>
                      <c:pt idx="196">
                        <c:v>0.20593059409644426</c:v>
                      </c:pt>
                      <c:pt idx="197">
                        <c:v>0.20627184732674303</c:v>
                      </c:pt>
                      <c:pt idx="198">
                        <c:v>0.20661174020380574</c:v>
                      </c:pt>
                      <c:pt idx="199">
                        <c:v>0.20695028091253165</c:v>
                      </c:pt>
                      <c:pt idx="200">
                        <c:v>0.20728747757170468</c:v>
                      </c:pt>
                    </c:numCache>
                  </c:numRef>
                </c:val>
                <c:smooth val="0"/>
                <c:extLst xmlns:c15="http://schemas.microsoft.com/office/drawing/2012/chart">
                  <c:ext xmlns:c16="http://schemas.microsoft.com/office/drawing/2014/chart" uri="{C3380CC4-5D6E-409C-BE32-E72D297353CC}">
                    <c16:uniqueId val="{0000000D-50A6-46D4-AEF8-03ADE34CD569}"/>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1442800306468137"/>
          <c:y val="2.1750913298499427E-2"/>
          <c:w val="0.26677559208967577"/>
          <c:h val="0.12980666695775783"/>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3-39DF-4DF9-9D5A-11C17911BDDC}"/>
                  </c:ext>
                </c:extLst>
              </c15:ser>
            </c15:filteredLineSeries>
          </c:ext>
        </c:extLst>
      </c:lineChart>
      <c:lineChart>
        <c:grouping val="standard"/>
        <c:varyColors val="0"/>
        <c:ser>
          <c:idx val="13"/>
          <c:order val="1"/>
          <c:tx>
            <c:strRef>
              <c:f>'Efficiency vs VIN Calculations'!$BE$7</c:f>
              <c:strCache>
                <c:ptCount val="1"/>
                <c:pt idx="0">
                  <c:v>Controller IC Losses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Calculations'!$BH$9:$BH$209</c:f>
              <c:numCache>
                <c:formatCode>0.000</c:formatCode>
                <c:ptCount val="201"/>
                <c:pt idx="0">
                  <c:v>0.51683999999999997</c:v>
                </c:pt>
                <c:pt idx="1">
                  <c:v>0.51683999999999997</c:v>
                </c:pt>
                <c:pt idx="2">
                  <c:v>0.51683999999999997</c:v>
                </c:pt>
                <c:pt idx="3">
                  <c:v>0.51683999999999997</c:v>
                </c:pt>
                <c:pt idx="4">
                  <c:v>0.51683999999999997</c:v>
                </c:pt>
                <c:pt idx="5">
                  <c:v>0.51683999999999997</c:v>
                </c:pt>
                <c:pt idx="6">
                  <c:v>0.51683999999999997</c:v>
                </c:pt>
                <c:pt idx="7">
                  <c:v>0.51683999999999997</c:v>
                </c:pt>
                <c:pt idx="8">
                  <c:v>0.51683999999999997</c:v>
                </c:pt>
                <c:pt idx="9">
                  <c:v>0.51683999999999997</c:v>
                </c:pt>
                <c:pt idx="10">
                  <c:v>0.51683999999999997</c:v>
                </c:pt>
                <c:pt idx="11">
                  <c:v>0.51683999999999997</c:v>
                </c:pt>
                <c:pt idx="12">
                  <c:v>0.51683999999999997</c:v>
                </c:pt>
                <c:pt idx="13">
                  <c:v>0.51683999999999997</c:v>
                </c:pt>
                <c:pt idx="14">
                  <c:v>0.51683999999999997</c:v>
                </c:pt>
                <c:pt idx="15">
                  <c:v>0.51683999999999997</c:v>
                </c:pt>
                <c:pt idx="16">
                  <c:v>0.51683999999999997</c:v>
                </c:pt>
                <c:pt idx="17">
                  <c:v>0.51683999999999997</c:v>
                </c:pt>
                <c:pt idx="18">
                  <c:v>0.51683999999999997</c:v>
                </c:pt>
                <c:pt idx="19">
                  <c:v>0.51683999999999997</c:v>
                </c:pt>
                <c:pt idx="20">
                  <c:v>0.51683999999999997</c:v>
                </c:pt>
                <c:pt idx="21">
                  <c:v>0.51683999999999997</c:v>
                </c:pt>
                <c:pt idx="22">
                  <c:v>0.51683999999999997</c:v>
                </c:pt>
                <c:pt idx="23">
                  <c:v>0.51683999999999997</c:v>
                </c:pt>
                <c:pt idx="24">
                  <c:v>0.51683999999999997</c:v>
                </c:pt>
                <c:pt idx="25">
                  <c:v>0.51683999999999997</c:v>
                </c:pt>
                <c:pt idx="26">
                  <c:v>0.51683999999999997</c:v>
                </c:pt>
                <c:pt idx="27">
                  <c:v>0.51683999999999997</c:v>
                </c:pt>
                <c:pt idx="28">
                  <c:v>0.51683999999999997</c:v>
                </c:pt>
                <c:pt idx="29">
                  <c:v>0.51683999999999997</c:v>
                </c:pt>
                <c:pt idx="30">
                  <c:v>0.51683999999999997</c:v>
                </c:pt>
                <c:pt idx="31">
                  <c:v>0.51683999999999997</c:v>
                </c:pt>
                <c:pt idx="32">
                  <c:v>0.51683999999999997</c:v>
                </c:pt>
                <c:pt idx="33">
                  <c:v>0.51683999999999997</c:v>
                </c:pt>
                <c:pt idx="34">
                  <c:v>0.51683999999999997</c:v>
                </c:pt>
                <c:pt idx="35">
                  <c:v>0.51683999999999997</c:v>
                </c:pt>
                <c:pt idx="36">
                  <c:v>0.51683999999999997</c:v>
                </c:pt>
                <c:pt idx="37">
                  <c:v>0.51683999999999997</c:v>
                </c:pt>
                <c:pt idx="38">
                  <c:v>0.51683999999999997</c:v>
                </c:pt>
                <c:pt idx="39">
                  <c:v>0.51683999999999997</c:v>
                </c:pt>
                <c:pt idx="40">
                  <c:v>0.51683999999999997</c:v>
                </c:pt>
                <c:pt idx="41">
                  <c:v>0.51683999999999997</c:v>
                </c:pt>
                <c:pt idx="42">
                  <c:v>0.51683999999999997</c:v>
                </c:pt>
                <c:pt idx="43">
                  <c:v>0.51683999999999997</c:v>
                </c:pt>
                <c:pt idx="44">
                  <c:v>0.51683999999999997</c:v>
                </c:pt>
                <c:pt idx="45">
                  <c:v>0.51683999999999997</c:v>
                </c:pt>
                <c:pt idx="46">
                  <c:v>0.51683999999999997</c:v>
                </c:pt>
                <c:pt idx="47">
                  <c:v>0.51683999999999997</c:v>
                </c:pt>
                <c:pt idx="48">
                  <c:v>0.51683999999999997</c:v>
                </c:pt>
                <c:pt idx="49">
                  <c:v>0.51683999999999997</c:v>
                </c:pt>
                <c:pt idx="50">
                  <c:v>0.51683999999999997</c:v>
                </c:pt>
                <c:pt idx="51">
                  <c:v>0.51683999999999997</c:v>
                </c:pt>
                <c:pt idx="52">
                  <c:v>0.51683999999999997</c:v>
                </c:pt>
                <c:pt idx="53">
                  <c:v>0.51683999999999997</c:v>
                </c:pt>
                <c:pt idx="54">
                  <c:v>0.51683999999999997</c:v>
                </c:pt>
                <c:pt idx="55">
                  <c:v>0.51683999999999997</c:v>
                </c:pt>
                <c:pt idx="56">
                  <c:v>0.51683999999999997</c:v>
                </c:pt>
                <c:pt idx="57">
                  <c:v>0.51683999999999997</c:v>
                </c:pt>
                <c:pt idx="58">
                  <c:v>0.51683999999999997</c:v>
                </c:pt>
                <c:pt idx="59">
                  <c:v>0.51683999999999997</c:v>
                </c:pt>
                <c:pt idx="60">
                  <c:v>0.51683999999999997</c:v>
                </c:pt>
                <c:pt idx="61">
                  <c:v>0.51683999999999997</c:v>
                </c:pt>
                <c:pt idx="62">
                  <c:v>0.51683999999999997</c:v>
                </c:pt>
                <c:pt idx="63">
                  <c:v>0.51683999999999997</c:v>
                </c:pt>
                <c:pt idx="64">
                  <c:v>0.51683999999999997</c:v>
                </c:pt>
                <c:pt idx="65">
                  <c:v>0.51683999999999997</c:v>
                </c:pt>
                <c:pt idx="66">
                  <c:v>0.51683999999999997</c:v>
                </c:pt>
                <c:pt idx="67">
                  <c:v>0.51683999999999997</c:v>
                </c:pt>
                <c:pt idx="68">
                  <c:v>0.51683999999999997</c:v>
                </c:pt>
                <c:pt idx="69">
                  <c:v>0.51683999999999997</c:v>
                </c:pt>
                <c:pt idx="70">
                  <c:v>0.51683999999999997</c:v>
                </c:pt>
                <c:pt idx="71">
                  <c:v>0.51683999999999997</c:v>
                </c:pt>
                <c:pt idx="72">
                  <c:v>0.51683999999999997</c:v>
                </c:pt>
                <c:pt idx="73">
                  <c:v>0.51683999999999997</c:v>
                </c:pt>
                <c:pt idx="74">
                  <c:v>0.51683999999999997</c:v>
                </c:pt>
                <c:pt idx="75">
                  <c:v>0.51683999999999997</c:v>
                </c:pt>
                <c:pt idx="76">
                  <c:v>0.51683999999999997</c:v>
                </c:pt>
                <c:pt idx="77">
                  <c:v>0.51683999999999997</c:v>
                </c:pt>
                <c:pt idx="78">
                  <c:v>0.51683999999999997</c:v>
                </c:pt>
                <c:pt idx="79">
                  <c:v>0.51683999999999997</c:v>
                </c:pt>
                <c:pt idx="80">
                  <c:v>0.51683999999999997</c:v>
                </c:pt>
                <c:pt idx="81">
                  <c:v>0.51683999999999997</c:v>
                </c:pt>
                <c:pt idx="82">
                  <c:v>0.51683999999999997</c:v>
                </c:pt>
                <c:pt idx="83">
                  <c:v>0.51683999999999997</c:v>
                </c:pt>
                <c:pt idx="84">
                  <c:v>0.51683999999999997</c:v>
                </c:pt>
                <c:pt idx="85">
                  <c:v>0.51683999999999997</c:v>
                </c:pt>
                <c:pt idx="86">
                  <c:v>0.51683999999999997</c:v>
                </c:pt>
                <c:pt idx="87">
                  <c:v>0.51683999999999997</c:v>
                </c:pt>
                <c:pt idx="88">
                  <c:v>0.51683999999999997</c:v>
                </c:pt>
                <c:pt idx="89">
                  <c:v>0.51683999999999997</c:v>
                </c:pt>
                <c:pt idx="90">
                  <c:v>0.51683999999999997</c:v>
                </c:pt>
                <c:pt idx="91">
                  <c:v>0.51683999999999997</c:v>
                </c:pt>
                <c:pt idx="92">
                  <c:v>0.51683999999999997</c:v>
                </c:pt>
                <c:pt idx="93">
                  <c:v>0.51683999999999997</c:v>
                </c:pt>
                <c:pt idx="94">
                  <c:v>0.51683999999999997</c:v>
                </c:pt>
                <c:pt idx="95">
                  <c:v>0.51683999999999997</c:v>
                </c:pt>
                <c:pt idx="96">
                  <c:v>0.51683999999999997</c:v>
                </c:pt>
                <c:pt idx="97">
                  <c:v>0.51683999999999997</c:v>
                </c:pt>
                <c:pt idx="98">
                  <c:v>0.51683999999999997</c:v>
                </c:pt>
                <c:pt idx="99">
                  <c:v>0.51683999999999997</c:v>
                </c:pt>
                <c:pt idx="100">
                  <c:v>0.51683999999999997</c:v>
                </c:pt>
                <c:pt idx="101">
                  <c:v>0.51683999999999997</c:v>
                </c:pt>
                <c:pt idx="102">
                  <c:v>0.51683999999999997</c:v>
                </c:pt>
                <c:pt idx="103">
                  <c:v>0.51683999999999997</c:v>
                </c:pt>
                <c:pt idx="104">
                  <c:v>0.51683999999999997</c:v>
                </c:pt>
                <c:pt idx="105">
                  <c:v>0.51683999999999997</c:v>
                </c:pt>
                <c:pt idx="106">
                  <c:v>0.51683999999999997</c:v>
                </c:pt>
                <c:pt idx="107">
                  <c:v>0.51683999999999997</c:v>
                </c:pt>
                <c:pt idx="108">
                  <c:v>0.51683999999999997</c:v>
                </c:pt>
                <c:pt idx="109">
                  <c:v>0.51683999999999997</c:v>
                </c:pt>
                <c:pt idx="110">
                  <c:v>0.51683999999999997</c:v>
                </c:pt>
                <c:pt idx="111">
                  <c:v>0.51683999999999997</c:v>
                </c:pt>
                <c:pt idx="112">
                  <c:v>0.51683999999999997</c:v>
                </c:pt>
                <c:pt idx="113">
                  <c:v>0.51683999999999997</c:v>
                </c:pt>
                <c:pt idx="114">
                  <c:v>0.51683999999999997</c:v>
                </c:pt>
                <c:pt idx="115">
                  <c:v>0.51683999999999997</c:v>
                </c:pt>
                <c:pt idx="116">
                  <c:v>0.51683999999999997</c:v>
                </c:pt>
                <c:pt idx="117">
                  <c:v>0.51683999999999997</c:v>
                </c:pt>
                <c:pt idx="118">
                  <c:v>0.51683999999999997</c:v>
                </c:pt>
                <c:pt idx="119">
                  <c:v>0.51683999999999997</c:v>
                </c:pt>
                <c:pt idx="120">
                  <c:v>0.51683999999999997</c:v>
                </c:pt>
                <c:pt idx="121">
                  <c:v>0.51683999999999997</c:v>
                </c:pt>
                <c:pt idx="122">
                  <c:v>0.51683999999999997</c:v>
                </c:pt>
                <c:pt idx="123">
                  <c:v>0.51683999999999997</c:v>
                </c:pt>
                <c:pt idx="124">
                  <c:v>0.51683999999999997</c:v>
                </c:pt>
                <c:pt idx="125">
                  <c:v>0.51683999999999997</c:v>
                </c:pt>
                <c:pt idx="126">
                  <c:v>0.51683999999999997</c:v>
                </c:pt>
                <c:pt idx="127">
                  <c:v>0.51683999999999997</c:v>
                </c:pt>
                <c:pt idx="128">
                  <c:v>0.51683999999999997</c:v>
                </c:pt>
                <c:pt idx="129">
                  <c:v>0.51683999999999997</c:v>
                </c:pt>
                <c:pt idx="130">
                  <c:v>0.51683999999999997</c:v>
                </c:pt>
                <c:pt idx="131">
                  <c:v>0.51683999999999997</c:v>
                </c:pt>
                <c:pt idx="132">
                  <c:v>0.51683999999999997</c:v>
                </c:pt>
                <c:pt idx="133">
                  <c:v>0.51683999999999997</c:v>
                </c:pt>
                <c:pt idx="134">
                  <c:v>0.51683999999999997</c:v>
                </c:pt>
                <c:pt idx="135">
                  <c:v>0.51683999999999997</c:v>
                </c:pt>
                <c:pt idx="136">
                  <c:v>0.51683999999999997</c:v>
                </c:pt>
                <c:pt idx="137">
                  <c:v>0.51683999999999997</c:v>
                </c:pt>
                <c:pt idx="138">
                  <c:v>0.51683999999999997</c:v>
                </c:pt>
                <c:pt idx="139">
                  <c:v>0.51683999999999997</c:v>
                </c:pt>
                <c:pt idx="140">
                  <c:v>0.51683999999999997</c:v>
                </c:pt>
                <c:pt idx="141">
                  <c:v>0.51683999999999997</c:v>
                </c:pt>
                <c:pt idx="142">
                  <c:v>0.51683999999999997</c:v>
                </c:pt>
                <c:pt idx="143">
                  <c:v>0.51683999999999997</c:v>
                </c:pt>
                <c:pt idx="144">
                  <c:v>0.51683999999999997</c:v>
                </c:pt>
                <c:pt idx="145">
                  <c:v>0.51683999999999997</c:v>
                </c:pt>
                <c:pt idx="146">
                  <c:v>0.51683999999999997</c:v>
                </c:pt>
                <c:pt idx="147">
                  <c:v>0.51683999999999997</c:v>
                </c:pt>
                <c:pt idx="148">
                  <c:v>0.51683999999999997</c:v>
                </c:pt>
                <c:pt idx="149">
                  <c:v>0.51683999999999997</c:v>
                </c:pt>
                <c:pt idx="150">
                  <c:v>0.51683999999999997</c:v>
                </c:pt>
                <c:pt idx="151">
                  <c:v>0.51683999999999997</c:v>
                </c:pt>
                <c:pt idx="152">
                  <c:v>0.51683999999999997</c:v>
                </c:pt>
                <c:pt idx="153">
                  <c:v>0.51683999999999997</c:v>
                </c:pt>
                <c:pt idx="154">
                  <c:v>0.51683999999999997</c:v>
                </c:pt>
                <c:pt idx="155">
                  <c:v>0.51683999999999997</c:v>
                </c:pt>
                <c:pt idx="156">
                  <c:v>0.51683999999999997</c:v>
                </c:pt>
                <c:pt idx="157">
                  <c:v>0.51683999999999997</c:v>
                </c:pt>
                <c:pt idx="158">
                  <c:v>0.51683999999999997</c:v>
                </c:pt>
                <c:pt idx="159">
                  <c:v>0.51683999999999997</c:v>
                </c:pt>
                <c:pt idx="160">
                  <c:v>0.51683999999999997</c:v>
                </c:pt>
                <c:pt idx="161">
                  <c:v>0.51683999999999997</c:v>
                </c:pt>
                <c:pt idx="162">
                  <c:v>0.51683999999999997</c:v>
                </c:pt>
                <c:pt idx="163">
                  <c:v>0.51683999999999997</c:v>
                </c:pt>
                <c:pt idx="164">
                  <c:v>0.51683999999999997</c:v>
                </c:pt>
                <c:pt idx="165">
                  <c:v>0.51683999999999997</c:v>
                </c:pt>
                <c:pt idx="166">
                  <c:v>0.51683999999999997</c:v>
                </c:pt>
                <c:pt idx="167">
                  <c:v>0.51683999999999997</c:v>
                </c:pt>
                <c:pt idx="168">
                  <c:v>0.51683999999999997</c:v>
                </c:pt>
                <c:pt idx="169">
                  <c:v>0.51683999999999997</c:v>
                </c:pt>
                <c:pt idx="170">
                  <c:v>0.51683999999999997</c:v>
                </c:pt>
                <c:pt idx="171">
                  <c:v>0.51683999999999997</c:v>
                </c:pt>
                <c:pt idx="172">
                  <c:v>0.51683999999999997</c:v>
                </c:pt>
                <c:pt idx="173">
                  <c:v>0.51683999999999997</c:v>
                </c:pt>
                <c:pt idx="174">
                  <c:v>0.51683999999999997</c:v>
                </c:pt>
                <c:pt idx="175">
                  <c:v>0.51683999999999997</c:v>
                </c:pt>
                <c:pt idx="176">
                  <c:v>0.51683999999999997</c:v>
                </c:pt>
                <c:pt idx="177">
                  <c:v>0.51683999999999997</c:v>
                </c:pt>
                <c:pt idx="178">
                  <c:v>0.51683999999999997</c:v>
                </c:pt>
                <c:pt idx="179">
                  <c:v>0.51683999999999997</c:v>
                </c:pt>
                <c:pt idx="180">
                  <c:v>0.51683999999999997</c:v>
                </c:pt>
                <c:pt idx="181">
                  <c:v>0.51683999999999997</c:v>
                </c:pt>
                <c:pt idx="182">
                  <c:v>0.51683999999999997</c:v>
                </c:pt>
                <c:pt idx="183">
                  <c:v>0.51683999999999997</c:v>
                </c:pt>
                <c:pt idx="184">
                  <c:v>0.51683999999999997</c:v>
                </c:pt>
                <c:pt idx="185">
                  <c:v>0.51683999999999997</c:v>
                </c:pt>
                <c:pt idx="186">
                  <c:v>0.51683999999999997</c:v>
                </c:pt>
                <c:pt idx="187">
                  <c:v>0.51683999999999997</c:v>
                </c:pt>
                <c:pt idx="188">
                  <c:v>0.51683999999999997</c:v>
                </c:pt>
                <c:pt idx="189">
                  <c:v>0.51683999999999997</c:v>
                </c:pt>
                <c:pt idx="190">
                  <c:v>0.51683999999999997</c:v>
                </c:pt>
                <c:pt idx="191">
                  <c:v>0.51683999999999997</c:v>
                </c:pt>
                <c:pt idx="192">
                  <c:v>0.51683999999999997</c:v>
                </c:pt>
                <c:pt idx="193">
                  <c:v>0.51683999999999997</c:v>
                </c:pt>
                <c:pt idx="194">
                  <c:v>0.51683999999999997</c:v>
                </c:pt>
                <c:pt idx="195">
                  <c:v>0.51683999999999997</c:v>
                </c:pt>
                <c:pt idx="196">
                  <c:v>0.51683999999999997</c:v>
                </c:pt>
                <c:pt idx="197">
                  <c:v>0.51683999999999997</c:v>
                </c:pt>
                <c:pt idx="198">
                  <c:v>0.51683999999999997</c:v>
                </c:pt>
                <c:pt idx="199">
                  <c:v>0.51683999999999997</c:v>
                </c:pt>
                <c:pt idx="200">
                  <c:v>0.51683999999999997</c:v>
                </c:pt>
              </c:numCache>
            </c:numRef>
          </c:val>
          <c:smooth val="0"/>
          <c:extLst>
            <c:ext xmlns:c16="http://schemas.microsoft.com/office/drawing/2014/chart" uri="{C3380CC4-5D6E-409C-BE32-E72D297353CC}">
              <c16:uniqueId val="{00000000-39DF-4DF9-9D5A-11C17911BDDC}"/>
            </c:ext>
          </c:extLst>
        </c:ser>
        <c:ser>
          <c:idx val="5"/>
          <c:order val="9"/>
          <c:tx>
            <c:strRef>
              <c:f>'Efficiency vs VIN Calculations'!$X$8</c:f>
              <c:strCache>
                <c:ptCount val="1"/>
                <c:pt idx="0">
                  <c:v>DCR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Calculations'!$X$9:$X$209</c:f>
              <c:numCache>
                <c:formatCode>0.000</c:formatCode>
                <c:ptCount val="201"/>
                <c:pt idx="0">
                  <c:v>0.89849918959212216</c:v>
                </c:pt>
                <c:pt idx="1">
                  <c:v>0.89856554358310536</c:v>
                </c:pt>
                <c:pt idx="2">
                  <c:v>0.89863205432339699</c:v>
                </c:pt>
                <c:pt idx="3">
                  <c:v>0.89869871382199906</c:v>
                </c:pt>
                <c:pt idx="4">
                  <c:v>0.89876551428543616</c:v>
                </c:pt>
                <c:pt idx="5">
                  <c:v>0.89883244811287077</c:v>
                </c:pt>
                <c:pt idx="6">
                  <c:v>0.89889950789134287</c:v>
                </c:pt>
                <c:pt idx="7">
                  <c:v>0.8989666863911413</c:v>
                </c:pt>
                <c:pt idx="8">
                  <c:v>0.89903397656129536</c:v>
                </c:pt>
                <c:pt idx="9">
                  <c:v>0.89910137152518987</c:v>
                </c:pt>
                <c:pt idx="10">
                  <c:v>0.89916886457629241</c:v>
                </c:pt>
                <c:pt idx="11">
                  <c:v>0.89923644917399836</c:v>
                </c:pt>
                <c:pt idx="12">
                  <c:v>0.89930411893958162</c:v>
                </c:pt>
                <c:pt idx="13">
                  <c:v>0.89937186765225141</c:v>
                </c:pt>
                <c:pt idx="14">
                  <c:v>0.89943968924531881</c:v>
                </c:pt>
                <c:pt idx="15">
                  <c:v>0.89950757780245649</c:v>
                </c:pt>
                <c:pt idx="16">
                  <c:v>0.89957552755405856</c:v>
                </c:pt>
                <c:pt idx="17">
                  <c:v>0.89964353287369869</c:v>
                </c:pt>
                <c:pt idx="18">
                  <c:v>0.8997115882746729</c:v>
                </c:pt>
                <c:pt idx="19">
                  <c:v>0.89977968840664058</c:v>
                </c:pt>
                <c:pt idx="20">
                  <c:v>0.89984782805234487</c:v>
                </c:pt>
                <c:pt idx="21">
                  <c:v>0.89991600212442246</c:v>
                </c:pt>
                <c:pt idx="22">
                  <c:v>0.89998420566229376</c:v>
                </c:pt>
                <c:pt idx="23">
                  <c:v>0.90005243382913069</c:v>
                </c:pt>
                <c:pt idx="24">
                  <c:v>0.90012068190890759</c:v>
                </c:pt>
                <c:pt idx="25">
                  <c:v>0.90018894530352056</c:v>
                </c:pt>
                <c:pt idx="26">
                  <c:v>0.90025721952998705</c:v>
                </c:pt>
                <c:pt idx="27">
                  <c:v>0.90032550021771052</c:v>
                </c:pt>
                <c:pt idx="28">
                  <c:v>0.90039378310581708</c:v>
                </c:pt>
                <c:pt idx="29">
                  <c:v>0.90046206404056262</c:v>
                </c:pt>
                <c:pt idx="30">
                  <c:v>0.90053033897279733</c:v>
                </c:pt>
                <c:pt idx="31">
                  <c:v>0.90059860395550362</c:v>
                </c:pt>
                <c:pt idx="32">
                  <c:v>0.90066685514138678</c:v>
                </c:pt>
                <c:pt idx="33">
                  <c:v>0.90073508878053432</c:v>
                </c:pt>
                <c:pt idx="34">
                  <c:v>0.90080330121812735</c:v>
                </c:pt>
                <c:pt idx="35">
                  <c:v>0.90087148889220969</c:v>
                </c:pt>
                <c:pt idx="36">
                  <c:v>0.90093964833151963</c:v>
                </c:pt>
                <c:pt idx="37">
                  <c:v>0.90100777615336414</c:v>
                </c:pt>
                <c:pt idx="38">
                  <c:v>0.9010758690615549</c:v>
                </c:pt>
                <c:pt idx="39">
                  <c:v>0.90114392384439157</c:v>
                </c:pt>
                <c:pt idx="40">
                  <c:v>0.90121193737269489</c:v>
                </c:pt>
                <c:pt idx="41">
                  <c:v>0.90127990659788837</c:v>
                </c:pt>
                <c:pt idx="42">
                  <c:v>0.90134782855012718</c:v>
                </c:pt>
                <c:pt idx="43">
                  <c:v>0.90141570033647223</c:v>
                </c:pt>
                <c:pt idx="44">
                  <c:v>0.9014835191391104</c:v>
                </c:pt>
                <c:pt idx="45">
                  <c:v>0.90155128221361769</c:v>
                </c:pt>
                <c:pt idx="46">
                  <c:v>0.90161898688726194</c:v>
                </c:pt>
                <c:pt idx="47">
                  <c:v>0.90168663055735043</c:v>
                </c:pt>
                <c:pt idx="48">
                  <c:v>0.90175421068961614</c:v>
                </c:pt>
                <c:pt idx="49">
                  <c:v>0.90182172481664202</c:v>
                </c:pt>
                <c:pt idx="50">
                  <c:v>0.90188917053632423</c:v>
                </c:pt>
                <c:pt idx="51">
                  <c:v>0.90195654551037341</c:v>
                </c:pt>
                <c:pt idx="52">
                  <c:v>0.90202384746284803</c:v>
                </c:pt>
                <c:pt idx="53">
                  <c:v>0.90209107417872814</c:v>
                </c:pt>
                <c:pt idx="54">
                  <c:v>0.90215822350252062</c:v>
                </c:pt>
                <c:pt idx="55">
                  <c:v>0.90222529333689683</c:v>
                </c:pt>
                <c:pt idx="56">
                  <c:v>0.90229228164136199</c:v>
                </c:pt>
                <c:pt idx="57">
                  <c:v>0.90235918643096225</c:v>
                </c:pt>
                <c:pt idx="58">
                  <c:v>0.9024260057750142</c:v>
                </c:pt>
                <c:pt idx="59">
                  <c:v>0.90249273779586958</c:v>
                </c:pt>
                <c:pt idx="60">
                  <c:v>0.90255938066770958</c:v>
                </c:pt>
                <c:pt idx="61">
                  <c:v>0.90262593261536217</c:v>
                </c:pt>
                <c:pt idx="62">
                  <c:v>0.90269239191315509</c:v>
                </c:pt>
                <c:pt idx="63">
                  <c:v>0.90275875688378904</c:v>
                </c:pt>
                <c:pt idx="64">
                  <c:v>0.90282502589724067</c:v>
                </c:pt>
                <c:pt idx="65">
                  <c:v>0.90289119736969137</c:v>
                </c:pt>
                <c:pt idx="66">
                  <c:v>0.90295726976247914</c:v>
                </c:pt>
                <c:pt idx="67">
                  <c:v>0.90302324158107672</c:v>
                </c:pt>
                <c:pt idx="68">
                  <c:v>0.90308911137409276</c:v>
                </c:pt>
                <c:pt idx="69">
                  <c:v>0.90315487773229564</c:v>
                </c:pt>
                <c:pt idx="70">
                  <c:v>0.90322053928766133</c:v>
                </c:pt>
                <c:pt idx="71">
                  <c:v>0.90328609471244281</c:v>
                </c:pt>
                <c:pt idx="72">
                  <c:v>0.9033515427182589</c:v>
                </c:pt>
                <c:pt idx="73">
                  <c:v>0.90341688205520809</c:v>
                </c:pt>
                <c:pt idx="74">
                  <c:v>0.90348211151099878</c:v>
                </c:pt>
                <c:pt idx="75">
                  <c:v>0.9035472299101025</c:v>
                </c:pt>
                <c:pt idx="76">
                  <c:v>0.9036122361129254</c:v>
                </c:pt>
                <c:pt idx="77">
                  <c:v>0.90367712901499764</c:v>
                </c:pt>
                <c:pt idx="78">
                  <c:v>0.90374190754618289</c:v>
                </c:pt>
                <c:pt idx="79">
                  <c:v>0.90380657066990588</c:v>
                </c:pt>
                <c:pt idx="80">
                  <c:v>0.903871117382397</c:v>
                </c:pt>
                <c:pt idx="81">
                  <c:v>0.90393554671195242</c:v>
                </c:pt>
                <c:pt idx="82">
                  <c:v>0.90399985771821534</c:v>
                </c:pt>
                <c:pt idx="83">
                  <c:v>0.90406404949146912</c:v>
                </c:pt>
                <c:pt idx="84">
                  <c:v>0.90412812115194829</c:v>
                </c:pt>
                <c:pt idx="85">
                  <c:v>0.90419207184916628</c:v>
                </c:pt>
                <c:pt idx="86">
                  <c:v>0.90425590076125451</c:v>
                </c:pt>
                <c:pt idx="87">
                  <c:v>0.90431960709432291</c:v>
                </c:pt>
                <c:pt idx="88">
                  <c:v>0.90438319008182821</c:v>
                </c:pt>
                <c:pt idx="89">
                  <c:v>0.90444664898395732</c:v>
                </c:pt>
                <c:pt idx="90">
                  <c:v>0.90450998308703079</c:v>
                </c:pt>
                <c:pt idx="91">
                  <c:v>0.90457319170291262</c:v>
                </c:pt>
                <c:pt idx="92">
                  <c:v>0.90463627416843462</c:v>
                </c:pt>
                <c:pt idx="93">
                  <c:v>0.9046992298448373</c:v>
                </c:pt>
                <c:pt idx="94">
                  <c:v>0.90476205811722044</c:v>
                </c:pt>
                <c:pt idx="95">
                  <c:v>0.90482475839400256</c:v>
                </c:pt>
                <c:pt idx="96">
                  <c:v>0.90488733010640154</c:v>
                </c:pt>
                <c:pt idx="97">
                  <c:v>0.90494977270791732</c:v>
                </c:pt>
                <c:pt idx="98">
                  <c:v>0.90501208567383118</c:v>
                </c:pt>
                <c:pt idx="99">
                  <c:v>0.90507426850071437</c:v>
                </c:pt>
                <c:pt idx="100">
                  <c:v>0.90513632070594985</c:v>
                </c:pt>
                <c:pt idx="101">
                  <c:v>0.90519824182726072</c:v>
                </c:pt>
                <c:pt idx="102">
                  <c:v>0.9052600314222522</c:v>
                </c:pt>
                <c:pt idx="103">
                  <c:v>0.90532168906796329</c:v>
                </c:pt>
                <c:pt idx="104">
                  <c:v>0.90538321436042657</c:v>
                </c:pt>
                <c:pt idx="105">
                  <c:v>0.90544460691423967</c:v>
                </c:pt>
                <c:pt idx="106">
                  <c:v>0.90550586636214447</c:v>
                </c:pt>
                <c:pt idx="107">
                  <c:v>0.90556699235461713</c:v>
                </c:pt>
                <c:pt idx="108">
                  <c:v>0.90562798455946569</c:v>
                </c:pt>
                <c:pt idx="109">
                  <c:v>0.90568884266143701</c:v>
                </c:pt>
                <c:pt idx="110">
                  <c:v>0.90574956636183279</c:v>
                </c:pt>
                <c:pt idx="111">
                  <c:v>0.90581015537813314</c:v>
                </c:pt>
                <c:pt idx="112">
                  <c:v>0.90587060944362929</c:v>
                </c:pt>
                <c:pt idx="113">
                  <c:v>0.90593092830706234</c:v>
                </c:pt>
                <c:pt idx="114">
                  <c:v>0.90599111173227231</c:v>
                </c:pt>
                <c:pt idx="115">
                  <c:v>0.90605115949785364</c:v>
                </c:pt>
                <c:pt idx="116">
                  <c:v>0.90611107139681746</c:v>
                </c:pt>
                <c:pt idx="117">
                  <c:v>0.9061708472362634</c:v>
                </c:pt>
                <c:pt idx="118">
                  <c:v>0.90623048683705509</c:v>
                </c:pt>
                <c:pt idx="119">
                  <c:v>0.90628999003350563</c:v>
                </c:pt>
                <c:pt idx="120">
                  <c:v>0.9063493566730686</c:v>
                </c:pt>
                <c:pt idx="121">
                  <c:v>0.90640858661603774</c:v>
                </c:pt>
                <c:pt idx="122">
                  <c:v>0.90646767973524711</c:v>
                </c:pt>
                <c:pt idx="123">
                  <c:v>0.90652663591578542</c:v>
                </c:pt>
                <c:pt idx="124">
                  <c:v>0.90658545505471211</c:v>
                </c:pt>
                <c:pt idx="125">
                  <c:v>0.90664413706078029</c:v>
                </c:pt>
                <c:pt idx="126">
                  <c:v>0.90670268185416492</c:v>
                </c:pt>
                <c:pt idx="127">
                  <c:v>0.90676108936619815</c:v>
                </c:pt>
                <c:pt idx="128">
                  <c:v>0.90681935953911053</c:v>
                </c:pt>
                <c:pt idx="129">
                  <c:v>0.90687749232577619</c:v>
                </c:pt>
                <c:pt idx="130">
                  <c:v>0.90693548768946364</c:v>
                </c:pt>
                <c:pt idx="131">
                  <c:v>0.90699334560359368</c:v>
                </c:pt>
                <c:pt idx="132">
                  <c:v>0.90705106605150099</c:v>
                </c:pt>
                <c:pt idx="133">
                  <c:v>0.90710864902620147</c:v>
                </c:pt>
                <c:pt idx="134">
                  <c:v>0.90716609453016228</c:v>
                </c:pt>
                <c:pt idx="135">
                  <c:v>0.90722340257508127</c:v>
                </c:pt>
                <c:pt idx="136">
                  <c:v>0.9072805731816671</c:v>
                </c:pt>
                <c:pt idx="137">
                  <c:v>0.90733760637942484</c:v>
                </c:pt>
                <c:pt idx="138">
                  <c:v>0.90739450220644968</c:v>
                </c:pt>
                <c:pt idx="139">
                  <c:v>0.90745126070921656</c:v>
                </c:pt>
                <c:pt idx="140">
                  <c:v>0.90750788194238563</c:v>
                </c:pt>
                <c:pt idx="141">
                  <c:v>0.90756436596860268</c:v>
                </c:pt>
                <c:pt idx="142">
                  <c:v>0.90762071285830781</c:v>
                </c:pt>
                <c:pt idx="143">
                  <c:v>0.90767692268954658</c:v>
                </c:pt>
                <c:pt idx="144">
                  <c:v>0.90773299554778808</c:v>
                </c:pt>
                <c:pt idx="145">
                  <c:v>0.90778893152574214</c:v>
                </c:pt>
                <c:pt idx="146">
                  <c:v>0.90784473072318472</c:v>
                </c:pt>
                <c:pt idx="147">
                  <c:v>0.90790039324678529</c:v>
                </c:pt>
                <c:pt idx="148">
                  <c:v>0.90795591920993557</c:v>
                </c:pt>
                <c:pt idx="149">
                  <c:v>0.9080113087325884</c:v>
                </c:pt>
                <c:pt idx="150">
                  <c:v>0.9080665619410907</c:v>
                </c:pt>
                <c:pt idx="151">
                  <c:v>0.90812167896802876</c:v>
                </c:pt>
                <c:pt idx="152">
                  <c:v>0.90817665995207131</c:v>
                </c:pt>
                <c:pt idx="153">
                  <c:v>0.90823150503781802</c:v>
                </c:pt>
                <c:pt idx="154">
                  <c:v>0.90828621437565005</c:v>
                </c:pt>
                <c:pt idx="155">
                  <c:v>0.90834078812158614</c:v>
                </c:pt>
                <c:pt idx="156">
                  <c:v>0.90839522643713844</c:v>
                </c:pt>
                <c:pt idx="157">
                  <c:v>0.90844952948917279</c:v>
                </c:pt>
                <c:pt idx="158">
                  <c:v>0.90850369744977333</c:v>
                </c:pt>
                <c:pt idx="159">
                  <c:v>0.908557730496109</c:v>
                </c:pt>
                <c:pt idx="160">
                  <c:v>0.90861162881029922</c:v>
                </c:pt>
                <c:pt idx="161">
                  <c:v>0.90866539257929102</c:v>
                </c:pt>
                <c:pt idx="162">
                  <c:v>0.90871902199472798</c:v>
                </c:pt>
                <c:pt idx="163">
                  <c:v>0.9087725172528317</c:v>
                </c:pt>
                <c:pt idx="164">
                  <c:v>0.90882587855427921</c:v>
                </c:pt>
                <c:pt idx="165">
                  <c:v>0.90887910610408573</c:v>
                </c:pt>
                <c:pt idx="166">
                  <c:v>0.90893220011148934</c:v>
                </c:pt>
                <c:pt idx="167">
                  <c:v>0.90898516078983782</c:v>
                </c:pt>
                <c:pt idx="168">
                  <c:v>0.90903798835647809</c:v>
                </c:pt>
                <c:pt idx="169">
                  <c:v>0.90909068303264895</c:v>
                </c:pt>
                <c:pt idx="170">
                  <c:v>0.9091432450433734</c:v>
                </c:pt>
                <c:pt idx="171">
                  <c:v>0.90919567461735595</c:v>
                </c:pt>
                <c:pt idx="172">
                  <c:v>0.90924797198688168</c:v>
                </c:pt>
                <c:pt idx="173">
                  <c:v>0.90930013738771565</c:v>
                </c:pt>
                <c:pt idx="174">
                  <c:v>0.90935217105900479</c:v>
                </c:pt>
                <c:pt idx="175">
                  <c:v>0.90940407324318584</c:v>
                </c:pt>
                <c:pt idx="176">
                  <c:v>0.90945584418588699</c:v>
                </c:pt>
                <c:pt idx="177">
                  <c:v>0.90950748413584226</c:v>
                </c:pt>
                <c:pt idx="178">
                  <c:v>0.90955899334479684</c:v>
                </c:pt>
                <c:pt idx="179">
                  <c:v>0.90961037206742312</c:v>
                </c:pt>
                <c:pt idx="180">
                  <c:v>0.90966162056123279</c:v>
                </c:pt>
                <c:pt idx="181">
                  <c:v>0.90971273908649408</c:v>
                </c:pt>
                <c:pt idx="182">
                  <c:v>0.90976372790614879</c:v>
                </c:pt>
                <c:pt idx="183">
                  <c:v>0.90981458728573361</c:v>
                </c:pt>
                <c:pt idx="184">
                  <c:v>0.90986531749329647</c:v>
                </c:pt>
                <c:pt idx="185">
                  <c:v>0.90991591879932687</c:v>
                </c:pt>
                <c:pt idx="186">
                  <c:v>0.90996639147667346</c:v>
                </c:pt>
                <c:pt idx="187">
                  <c:v>0.91001673580047482</c:v>
                </c:pt>
                <c:pt idx="188">
                  <c:v>0.91006695204808385</c:v>
                </c:pt>
                <c:pt idx="189">
                  <c:v>0.91011704049899866</c:v>
                </c:pt>
                <c:pt idx="190">
                  <c:v>0.91016700143479434</c:v>
                </c:pt>
                <c:pt idx="191">
                  <c:v>0.91021683513905016</c:v>
                </c:pt>
                <c:pt idx="192">
                  <c:v>0.91026654189728984</c:v>
                </c:pt>
                <c:pt idx="193">
                  <c:v>0.9103161219969117</c:v>
                </c:pt>
                <c:pt idx="194">
                  <c:v>0.91036557572712662</c:v>
                </c:pt>
                <c:pt idx="195">
                  <c:v>0.91041490337889464</c:v>
                </c:pt>
                <c:pt idx="196">
                  <c:v>0.91046410524486598</c:v>
                </c:pt>
                <c:pt idx="197">
                  <c:v>0.91051318161931916</c:v>
                </c:pt>
                <c:pt idx="198">
                  <c:v>0.91056213279810372</c:v>
                </c:pt>
                <c:pt idx="199">
                  <c:v>0.91061095907858247</c:v>
                </c:pt>
                <c:pt idx="200">
                  <c:v>0.9106596607595755</c:v>
                </c:pt>
              </c:numCache>
            </c:numRef>
          </c:val>
          <c:smooth val="0"/>
          <c:extLst>
            <c:ext xmlns:c16="http://schemas.microsoft.com/office/drawing/2014/chart" uri="{C3380CC4-5D6E-409C-BE32-E72D297353CC}">
              <c16:uniqueId val="{00000001-39DF-4DF9-9D5A-11C17911BDDC}"/>
            </c:ext>
          </c:extLst>
        </c:ser>
        <c:ser>
          <c:idx val="4"/>
          <c:order val="10"/>
          <c:tx>
            <c:strRef>
              <c:f>'Efficiency vs VIN Calculations'!$Y$8</c:f>
              <c:strCache>
                <c:ptCount val="1"/>
                <c:pt idx="0">
                  <c:v>Core Loss</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Calculations'!$Y$9:$Y$209</c:f>
              <c:numCache>
                <c:formatCode>0.000</c:formatCode>
                <c:ptCount val="201"/>
                <c:pt idx="0">
                  <c:v>0.26799715872171348</c:v>
                </c:pt>
                <c:pt idx="1">
                  <c:v>0.27385896205927035</c:v>
                </c:pt>
                <c:pt idx="2">
                  <c:v>0.27975121583219742</c:v>
                </c:pt>
                <c:pt idx="3">
                  <c:v>0.28567306591099251</c:v>
                </c:pt>
                <c:pt idx="4">
                  <c:v>0.29162367340451267</c:v>
                </c:pt>
                <c:pt idx="5">
                  <c:v>0.29760221444524654</c:v>
                </c:pt>
                <c:pt idx="6">
                  <c:v>0.3036078799742758</c:v>
                </c:pt>
                <c:pt idx="7">
                  <c:v>0.30963987552621391</c:v>
                </c:pt>
                <c:pt idx="8">
                  <c:v>0.31569742101438547</c:v>
                </c:pt>
                <c:pt idx="9">
                  <c:v>0.32177975051649033</c:v>
                </c:pt>
                <c:pt idx="10">
                  <c:v>0.32788611206096679</c:v>
                </c:pt>
                <c:pt idx="11">
                  <c:v>0.33401576741426192</c:v>
                </c:pt>
                <c:pt idx="12">
                  <c:v>0.34016799186917956</c:v>
                </c:pt>
                <c:pt idx="13">
                  <c:v>0.34634207403448503</c:v>
                </c:pt>
                <c:pt idx="14">
                  <c:v>0.35253731562590362</c:v>
                </c:pt>
                <c:pt idx="15">
                  <c:v>0.35875303125865643</c:v>
                </c:pt>
                <c:pt idx="16">
                  <c:v>0.36498854824165494</c:v>
                </c:pt>
                <c:pt idx="17">
                  <c:v>0.37124320637346037</c:v>
                </c:pt>
                <c:pt idx="18">
                  <c:v>0.377516357740108</c:v>
                </c:pt>
                <c:pt idx="19">
                  <c:v>0.38380736651489256</c:v>
                </c:pt>
                <c:pt idx="20">
                  <c:v>0.39011560876017426</c:v>
                </c:pt>
                <c:pt idx="21">
                  <c:v>0.39644047223130435</c:v>
                </c:pt>
                <c:pt idx="22">
                  <c:v>0.40278135618269306</c:v>
                </c:pt>
                <c:pt idx="23">
                  <c:v>0.40913767117611716</c:v>
                </c:pt>
                <c:pt idx="24">
                  <c:v>0.41550883889127527</c:v>
                </c:pt>
                <c:pt idx="25">
                  <c:v>0.4218942919386513</c:v>
                </c:pt>
                <c:pt idx="26">
                  <c:v>0.42829347367472315</c:v>
                </c:pt>
                <c:pt idx="27">
                  <c:v>0.43470583801952623</c:v>
                </c:pt>
                <c:pt idx="28">
                  <c:v>0.44113084927661728</c:v>
                </c:pt>
                <c:pt idx="29">
                  <c:v>0.44756798195543757</c:v>
                </c:pt>
                <c:pt idx="30">
                  <c:v>0.45401672059610781</c:v>
                </c:pt>
                <c:pt idx="31">
                  <c:v>0.46047655959664713</c:v>
                </c:pt>
                <c:pt idx="32">
                  <c:v>0.46694700304263459</c:v>
                </c:pt>
                <c:pt idx="33">
                  <c:v>0.47342756453931534</c:v>
                </c:pt>
                <c:pt idx="34">
                  <c:v>0.47991776704614708</c:v>
                </c:pt>
                <c:pt idx="35">
                  <c:v>0.48641714271377889</c:v>
                </c:pt>
                <c:pt idx="36">
                  <c:v>0.49292523272347771</c:v>
                </c:pt>
                <c:pt idx="37">
                  <c:v>0.49944158712896403</c:v>
                </c:pt>
                <c:pt idx="38">
                  <c:v>0.50596576470067733</c:v>
                </c:pt>
                <c:pt idx="39">
                  <c:v>0.51249733277243059</c:v>
                </c:pt>
                <c:pt idx="40">
                  <c:v>0.51903586709046623</c:v>
                </c:pt>
                <c:pt idx="41">
                  <c:v>0.52558095166487984</c:v>
                </c:pt>
                <c:pt idx="42">
                  <c:v>0.53213217862338946</c:v>
                </c:pt>
                <c:pt idx="43">
                  <c:v>0.53868914806746193</c:v>
                </c:pt>
                <c:pt idx="44">
                  <c:v>0.54525146793074053</c:v>
                </c:pt>
                <c:pt idx="45">
                  <c:v>0.55181875383977319</c:v>
                </c:pt>
                <c:pt idx="46">
                  <c:v>0.55839062897701663</c:v>
                </c:pt>
                <c:pt idx="47">
                  <c:v>0.56496672394608782</c:v>
                </c:pt>
                <c:pt idx="48">
                  <c:v>0.57154667663924841</c:v>
                </c:pt>
                <c:pt idx="49">
                  <c:v>0.5781301321070822</c:v>
                </c:pt>
                <c:pt idx="50">
                  <c:v>0.5847167424303612</c:v>
                </c:pt>
                <c:pt idx="51">
                  <c:v>0.5913061665940581</c:v>
                </c:pt>
                <c:pt idx="52">
                  <c:v>0.59789807036348053</c:v>
                </c:pt>
                <c:pt idx="53">
                  <c:v>0.60449212616251735</c:v>
                </c:pt>
                <c:pt idx="54">
                  <c:v>0.61108801295394122</c:v>
                </c:pt>
                <c:pt idx="55">
                  <c:v>0.61768541612177308</c:v>
                </c:pt>
                <c:pt idx="56">
                  <c:v>0.62428402735565114</c:v>
                </c:pt>
                <c:pt idx="57">
                  <c:v>0.63088354453719464</c:v>
                </c:pt>
                <c:pt idx="58">
                  <c:v>0.63748367162834119</c:v>
                </c:pt>
                <c:pt idx="59">
                  <c:v>0.64408411856159919</c:v>
                </c:pt>
                <c:pt idx="60">
                  <c:v>0.65068460113222704</c:v>
                </c:pt>
                <c:pt idx="61">
                  <c:v>0.65728484089227479</c:v>
                </c:pt>
                <c:pt idx="62">
                  <c:v>0.66388456504649618</c:v>
                </c:pt>
                <c:pt idx="63">
                  <c:v>0.6704835063500646</c:v>
                </c:pt>
                <c:pt idx="64">
                  <c:v>0.67708140300810482</c:v>
                </c:pt>
                <c:pt idx="65">
                  <c:v>0.6836779985769762</c:v>
                </c:pt>
                <c:pt idx="66">
                  <c:v>0.69027304186731098</c:v>
                </c:pt>
                <c:pt idx="67">
                  <c:v>0.69686628684875918</c:v>
                </c:pt>
                <c:pt idx="68">
                  <c:v>0.70345749255641965</c:v>
                </c:pt>
                <c:pt idx="69">
                  <c:v>0.71004642299894005</c:v>
                </c:pt>
                <c:pt idx="70">
                  <c:v>0.71663284706823749</c:v>
                </c:pt>
                <c:pt idx="71">
                  <c:v>0.72321653845083766</c:v>
                </c:pt>
                <c:pt idx="72">
                  <c:v>0.72979727554078666</c:v>
                </c:pt>
                <c:pt idx="73">
                  <c:v>0.7363748413541219</c:v>
                </c:pt>
                <c:pt idx="74">
                  <c:v>0.74294902344486846</c:v>
                </c:pt>
                <c:pt idx="75">
                  <c:v>0.74951961382254484</c:v>
                </c:pt>
                <c:pt idx="76">
                  <c:v>0.75608640887113621</c:v>
                </c:pt>
                <c:pt idx="77">
                  <c:v>0.76264920926953395</c:v>
                </c:pt>
                <c:pt idx="78">
                  <c:v>0.76920781991339493</c:v>
                </c:pt>
                <c:pt idx="79">
                  <c:v>0.77576204983840247</c:v>
                </c:pt>
                <c:pt idx="80">
                  <c:v>0.78231171214492201</c:v>
                </c:pt>
                <c:pt idx="81">
                  <c:v>0.78885662392399281</c:v>
                </c:pt>
                <c:pt idx="82">
                  <c:v>0.79539660618467223</c:v>
                </c:pt>
                <c:pt idx="83">
                  <c:v>0.80193148378267609</c:v>
                </c:pt>
                <c:pt idx="84">
                  <c:v>0.80846108535031147</c:v>
                </c:pt>
                <c:pt idx="85">
                  <c:v>0.81498524322767218</c:v>
                </c:pt>
                <c:pt idx="86">
                  <c:v>0.82150379339508517</c:v>
                </c:pt>
                <c:pt idx="87">
                  <c:v>0.82801657540676066</c:v>
                </c:pt>
                <c:pt idx="88">
                  <c:v>0.83452343232565696</c:v>
                </c:pt>
                <c:pt idx="89">
                  <c:v>0.84102421065951249</c:v>
                </c:pt>
                <c:pt idx="90">
                  <c:v>0.84751876029804463</c:v>
                </c:pt>
                <c:pt idx="91">
                  <c:v>0.85400693445127351</c:v>
                </c:pt>
                <c:pt idx="92">
                  <c:v>0.86048858958897401</c:v>
                </c:pt>
                <c:pt idx="93">
                  <c:v>0.8669635853812101</c:v>
                </c:pt>
                <c:pt idx="94">
                  <c:v>0.87343178463995752</c:v>
                </c:pt>
                <c:pt idx="95">
                  <c:v>0.87989305326177814</c:v>
                </c:pt>
                <c:pt idx="96">
                  <c:v>0.88634726017152954</c:v>
                </c:pt>
                <c:pt idx="97">
                  <c:v>0.89279427726710603</c:v>
                </c:pt>
                <c:pt idx="98">
                  <c:v>0.89923397936515903</c:v>
                </c:pt>
                <c:pt idx="99">
                  <c:v>0.9056662441478246</c:v>
                </c:pt>
                <c:pt idx="100">
                  <c:v>0.91209095211039881</c:v>
                </c:pt>
                <c:pt idx="101">
                  <c:v>0.91850798650996723</c:v>
                </c:pt>
                <c:pt idx="102">
                  <c:v>0.92491723331496545</c:v>
                </c:pt>
                <c:pt idx="103">
                  <c:v>0.93131858115564692</c:v>
                </c:pt>
                <c:pt idx="104">
                  <c:v>0.9377119212754581</c:v>
                </c:pt>
                <c:pt idx="105">
                  <c:v>0.94409714748328499</c:v>
                </c:pt>
                <c:pt idx="106">
                  <c:v>0.9504741561065615</c:v>
                </c:pt>
                <c:pt idx="107">
                  <c:v>0.95684284594524271</c:v>
                </c:pt>
                <c:pt idx="108">
                  <c:v>0.96320311822659066</c:v>
                </c:pt>
                <c:pt idx="109">
                  <c:v>0.9695548765607882</c:v>
                </c:pt>
                <c:pt idx="110">
                  <c:v>0.97589802689736338</c:v>
                </c:pt>
                <c:pt idx="111">
                  <c:v>0.98223247748238085</c:v>
                </c:pt>
                <c:pt idx="112">
                  <c:v>0.98855813881642973</c:v>
                </c:pt>
                <c:pt idx="113">
                  <c:v>0.99487492361335217</c:v>
                </c:pt>
                <c:pt idx="114">
                  <c:v>1.0011827467597332</c:v>
                </c:pt>
                <c:pt idx="115">
                  <c:v>1.0074815252751104</c:v>
                </c:pt>
                <c:pt idx="116">
                  <c:v>1.0137711782729055</c:v>
                </c:pt>
                <c:pt idx="117">
                  <c:v>1.0200516269220687</c:v>
                </c:pt>
                <c:pt idx="118">
                  <c:v>1.0263227944094</c:v>
                </c:pt>
                <c:pt idx="119">
                  <c:v>1.0325846059025647</c:v>
                </c:pt>
                <c:pt idx="120">
                  <c:v>1.0388369885137649</c:v>
                </c:pt>
                <c:pt idx="121">
                  <c:v>1.0450798712640792</c:v>
                </c:pt>
                <c:pt idx="122">
                  <c:v>1.0513131850484214</c:v>
                </c:pt>
                <c:pt idx="123">
                  <c:v>1.0575368626011648</c:v>
                </c:pt>
                <c:pt idx="124">
                  <c:v>1.063750838462346</c:v>
                </c:pt>
                <c:pt idx="125">
                  <c:v>1.0699550489445095</c:v>
                </c:pt>
                <c:pt idx="126">
                  <c:v>1.0761494321001326</c:v>
                </c:pt>
                <c:pt idx="127">
                  <c:v>1.082333927689636</c:v>
                </c:pt>
                <c:pt idx="128">
                  <c:v>1.0885084771499767</c:v>
                </c:pt>
                <c:pt idx="129">
                  <c:v>1.0946730235637983</c:v>
                </c:pt>
                <c:pt idx="130">
                  <c:v>1.1008275116291375</c:v>
                </c:pt>
                <c:pt idx="131">
                  <c:v>1.1069718876296746</c:v>
                </c:pt>
                <c:pt idx="132">
                  <c:v>1.1131060994055222</c:v>
                </c:pt>
                <c:pt idx="133">
                  <c:v>1.119230096324529</c:v>
                </c:pt>
                <c:pt idx="134">
                  <c:v>1.1253438292540945</c:v>
                </c:pt>
                <c:pt idx="135">
                  <c:v>1.1314472505335176</c:v>
                </c:pt>
                <c:pt idx="136">
                  <c:v>1.1375403139467981</c:v>
                </c:pt>
                <c:pt idx="137">
                  <c:v>1.1436229746959488</c:v>
                </c:pt>
                <c:pt idx="138">
                  <c:v>1.1496951893747975</c:v>
                </c:pt>
                <c:pt idx="139">
                  <c:v>1.1557569159432213</c:v>
                </c:pt>
                <c:pt idx="140">
                  <c:v>1.1618081137018799</c:v>
                </c:pt>
                <c:pt idx="141">
                  <c:v>1.1678487432673661</c:v>
                </c:pt>
                <c:pt idx="142">
                  <c:v>1.1738787665478341</c:v>
                </c:pt>
                <c:pt idx="143">
                  <c:v>1.1798981467190262</c:v>
                </c:pt>
                <c:pt idx="144">
                  <c:v>1.1859068482007642</c:v>
                </c:pt>
                <c:pt idx="145">
                  <c:v>1.1919048366338192</c:v>
                </c:pt>
                <c:pt idx="146">
                  <c:v>1.1978920788572409</c:v>
                </c:pt>
                <c:pt idx="147">
                  <c:v>1.2038685428860476</c:v>
                </c:pt>
                <c:pt idx="148">
                  <c:v>1.2098341978893403</c:v>
                </c:pt>
                <c:pt idx="149">
                  <c:v>1.215789014168791</c:v>
                </c:pt>
                <c:pt idx="150">
                  <c:v>1.2217329631375229</c:v>
                </c:pt>
                <c:pt idx="151">
                  <c:v>1.2276660172993659</c:v>
                </c:pt>
                <c:pt idx="152">
                  <c:v>1.2335881502284738</c:v>
                </c:pt>
                <c:pt idx="153">
                  <c:v>1.2394993365493072</c:v>
                </c:pt>
                <c:pt idx="154">
                  <c:v>1.2453995519169752</c:v>
                </c:pt>
                <c:pt idx="155">
                  <c:v>1.2512887729979163</c:v>
                </c:pt>
                <c:pt idx="156">
                  <c:v>1.2571669774509338</c:v>
                </c:pt>
                <c:pt idx="157">
                  <c:v>1.2630341439085637</c:v>
                </c:pt>
                <c:pt idx="158">
                  <c:v>1.2688902519587593</c:v>
                </c:pt>
                <c:pt idx="159">
                  <c:v>1.2747352821269258</c:v>
                </c:pt>
                <c:pt idx="160">
                  <c:v>1.2805692158582445</c:v>
                </c:pt>
                <c:pt idx="161">
                  <c:v>1.2863920355003358</c:v>
                </c:pt>
                <c:pt idx="162">
                  <c:v>1.2922037242862072</c:v>
                </c:pt>
                <c:pt idx="163">
                  <c:v>1.298004266317514</c:v>
                </c:pt>
                <c:pt idx="164">
                  <c:v>1.3037936465481208</c:v>
                </c:pt>
                <c:pt idx="165">
                  <c:v>1.3095718507679364</c:v>
                </c:pt>
                <c:pt idx="166">
                  <c:v>1.3153388655870493</c:v>
                </c:pt>
                <c:pt idx="167">
                  <c:v>1.3210946784201361</c:v>
                </c:pt>
                <c:pt idx="168">
                  <c:v>1.3268392774711459</c:v>
                </c:pt>
                <c:pt idx="169">
                  <c:v>1.3325726517182568</c:v>
                </c:pt>
                <c:pt idx="170">
                  <c:v>1.338294790899089</c:v>
                </c:pt>
                <c:pt idx="171">
                  <c:v>1.3440056854961966</c:v>
                </c:pt>
                <c:pt idx="172">
                  <c:v>1.3497053267227892</c:v>
                </c:pt>
                <c:pt idx="173">
                  <c:v>1.3553937065087367</c:v>
                </c:pt>
                <c:pt idx="174">
                  <c:v>1.3610708174867785</c:v>
                </c:pt>
                <c:pt idx="175">
                  <c:v>1.3667366529790228</c:v>
                </c:pt>
                <c:pt idx="176">
                  <c:v>1.3723912069836433</c:v>
                </c:pt>
                <c:pt idx="177">
                  <c:v>1.3780344741618289</c:v>
                </c:pt>
                <c:pt idx="178">
                  <c:v>1.3836664498249645</c:v>
                </c:pt>
                <c:pt idx="179">
                  <c:v>1.3892871299220282</c:v>
                </c:pt>
                <c:pt idx="180">
                  <c:v>1.3948965110272082</c:v>
                </c:pt>
                <c:pt idx="181">
                  <c:v>1.4004945903277519</c:v>
                </c:pt>
                <c:pt idx="182">
                  <c:v>1.406081365612009</c:v>
                </c:pt>
                <c:pt idx="183">
                  <c:v>1.4116568352576986</c:v>
                </c:pt>
                <c:pt idx="184">
                  <c:v>1.4172209982203678</c:v>
                </c:pt>
                <c:pt idx="185">
                  <c:v>1.42277385402208</c:v>
                </c:pt>
                <c:pt idx="186">
                  <c:v>1.4283154027402558</c:v>
                </c:pt>
                <c:pt idx="187">
                  <c:v>1.4338456449967634</c:v>
                </c:pt>
                <c:pt idx="188">
                  <c:v>1.4393645819471474</c:v>
                </c:pt>
                <c:pt idx="189">
                  <c:v>1.4448722152700855</c:v>
                </c:pt>
                <c:pt idx="190">
                  <c:v>1.4503685471570169</c:v>
                </c:pt>
                <c:pt idx="191">
                  <c:v>1.4558535803019395</c:v>
                </c:pt>
                <c:pt idx="192">
                  <c:v>1.4613273178914032</c:v>
                </c:pt>
                <c:pt idx="193">
                  <c:v>1.4667897635946701</c:v>
                </c:pt>
                <c:pt idx="194">
                  <c:v>1.4722409215540488</c:v>
                </c:pt>
                <c:pt idx="195">
                  <c:v>1.4776807963753911</c:v>
                </c:pt>
                <c:pt idx="196">
                  <c:v>1.4831093931187649</c:v>
                </c:pt>
                <c:pt idx="197">
                  <c:v>1.4885267172892798</c:v>
                </c:pt>
                <c:pt idx="198">
                  <c:v>1.4939327748280891</c:v>
                </c:pt>
                <c:pt idx="199">
                  <c:v>1.4993275721035211</c:v>
                </c:pt>
                <c:pt idx="200">
                  <c:v>1.5047111159023929</c:v>
                </c:pt>
              </c:numCache>
            </c:numRef>
          </c:val>
          <c:smooth val="0"/>
          <c:extLst>
            <c:ext xmlns:c16="http://schemas.microsoft.com/office/drawing/2014/chart" uri="{C3380CC4-5D6E-409C-BE32-E72D297353CC}">
              <c16:uniqueId val="{00000002-39DF-4DF9-9D5A-11C17911BDDC}"/>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12"/>
                <c:order val="2"/>
                <c:tx>
                  <c:strRef>
                    <c:extLst>
                      <c:ext uri="{02D57815-91ED-43cb-92C2-25804820EDAC}">
                        <c15:formulaRef>
                          <c15:sqref>'Efficiency vs VIN Calculations'!$BB$8</c15:sqref>
                        </c15:formulaRef>
                      </c:ext>
                    </c:extLst>
                    <c:strCache>
                      <c:ptCount val="1"/>
                      <c:pt idx="0">
                        <c:v>Reverse Recovery Loss MOSFET D BOOST</c:v>
                      </c:pt>
                    </c:strCache>
                  </c:strRef>
                </c:tx>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Calculations'!$BB$9:$BB$209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39DF-4DF9-9D5A-11C17911BDDC}"/>
                  </c:ext>
                </c:extLst>
              </c15:ser>
            </c15:filteredLineSeries>
            <c15:filteredLineSeries>
              <c15:ser>
                <c:idx val="11"/>
                <c:order val="3"/>
                <c:tx>
                  <c:strRef>
                    <c:extLst xmlns:c15="http://schemas.microsoft.com/office/drawing/2012/chart">
                      <c:ext xmlns:c15="http://schemas.microsoft.com/office/drawing/2012/chart" uri="{02D57815-91ED-43cb-92C2-25804820EDAC}">
                        <c15:formulaRef>
                          <c15:sqref>'Efficiency vs VIN Calculations'!$AU$7</c15:sqref>
                        </c15:formulaRef>
                      </c:ext>
                    </c:extLst>
                    <c:strCache>
                      <c:ptCount val="1"/>
                      <c:pt idx="0">
                        <c:v>High-side BOOST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Calculations'!$AX$9:$AX$209</c15:sqref>
                        </c15:formulaRef>
                      </c:ext>
                    </c:extLst>
                    <c:numCache>
                      <c:formatCode>0.000</c:formatCode>
                      <c:ptCount val="201"/>
                      <c:pt idx="0">
                        <c:v>0.71051455693915033</c:v>
                      </c:pt>
                      <c:pt idx="1">
                        <c:v>0.71057185755438468</c:v>
                      </c:pt>
                      <c:pt idx="2">
                        <c:v>0.71062929431359978</c:v>
                      </c:pt>
                      <c:pt idx="3">
                        <c:v>0.71068686032140771</c:v>
                      </c:pt>
                      <c:pt idx="4">
                        <c:v>0.7107445488526366</c:v>
                      </c:pt>
                      <c:pt idx="5">
                        <c:v>0.71080235334812214</c:v>
                      </c:pt>
                      <c:pt idx="6">
                        <c:v>0.71086026741060471</c:v>
                      </c:pt>
                      <c:pt idx="7">
                        <c:v>0.71091828480074304</c:v>
                      </c:pt>
                      <c:pt idx="8">
                        <c:v>0.71097639943322877</c:v>
                      </c:pt>
                      <c:pt idx="9">
                        <c:v>0.71103460537300878</c:v>
                      </c:pt>
                      <c:pt idx="10">
                        <c:v>0.71109289683160382</c:v>
                      </c:pt>
                      <c:pt idx="11">
                        <c:v>0.7111512681635288</c:v>
                      </c:pt>
                      <c:pt idx="12">
                        <c:v>0.71120971386280474</c:v>
                      </c:pt>
                      <c:pt idx="13">
                        <c:v>0.7112682285595614</c:v>
                      </c:pt>
                      <c:pt idx="14">
                        <c:v>0.71132680701673412</c:v>
                      </c:pt>
                      <c:pt idx="15">
                        <c:v>0.71138544412684313</c:v>
                      </c:pt>
                      <c:pt idx="16">
                        <c:v>0.71144413490885572</c:v>
                      </c:pt>
                      <c:pt idx="17">
                        <c:v>0.71150287450513694</c:v>
                      </c:pt>
                      <c:pt idx="18">
                        <c:v>0.71156165817847028</c:v>
                      </c:pt>
                      <c:pt idx="19">
                        <c:v>0.71162048130916433</c:v>
                      </c:pt>
                      <c:pt idx="20">
                        <c:v>0.71167933939222783</c:v>
                      </c:pt>
                      <c:pt idx="21">
                        <c:v>0.7117382280346215</c:v>
                      </c:pt>
                      <c:pt idx="22">
                        <c:v>0.71179714295257812</c:v>
                      </c:pt>
                      <c:pt idx="23">
                        <c:v>0.71185607996899358</c:v>
                      </c:pt>
                      <c:pt idx="24">
                        <c:v>0.71191503501088294</c:v>
                      </c:pt>
                      <c:pt idx="25">
                        <c:v>0.71197400410690137</c:v>
                      </c:pt>
                      <c:pt idx="26">
                        <c:v>0.71203298338493093</c:v>
                      </c:pt>
                      <c:pt idx="27">
                        <c:v>0.71209196906972516</c:v>
                      </c:pt>
                      <c:pt idx="28">
                        <c:v>0.7121509574806143</c:v>
                      </c:pt>
                      <c:pt idx="29">
                        <c:v>0.71220994502927193</c:v>
                      </c:pt>
                      <c:pt idx="30">
                        <c:v>0.71226892821753163</c:v>
                      </c:pt>
                      <c:pt idx="31">
                        <c:v>0.71232790363526544</c:v>
                      </c:pt>
                      <c:pt idx="32">
                        <c:v>0.71238686795830952</c:v>
                      </c:pt>
                      <c:pt idx="33">
                        <c:v>0.71244581794644679</c:v>
                      </c:pt>
                      <c:pt idx="34">
                        <c:v>0.71250475044143669</c:v>
                      </c:pt>
                      <c:pt idx="35">
                        <c:v>0.71256366236509316</c:v>
                      </c:pt>
                      <c:pt idx="36">
                        <c:v>0.71262255071741665</c:v>
                      </c:pt>
                      <c:pt idx="37">
                        <c:v>0.71268141257476481</c:v>
                      </c:pt>
                      <c:pt idx="38">
                        <c:v>0.71274024508807221</c:v>
                      </c:pt>
                      <c:pt idx="39">
                        <c:v>0.71279904548111461</c:v>
                      </c:pt>
                      <c:pt idx="40">
                        <c:v>0.7128578110488154</c:v>
                      </c:pt>
                      <c:pt idx="41">
                        <c:v>0.7129165391555915</c:v>
                      </c:pt>
                      <c:pt idx="42">
                        <c:v>0.71297522723374396</c:v>
                      </c:pt>
                      <c:pt idx="43">
                        <c:v>0.71303387278188257</c:v>
                      </c:pt>
                      <c:pt idx="44">
                        <c:v>0.71309247336339565</c:v>
                      </c:pt>
                      <c:pt idx="45">
                        <c:v>0.71315102660495133</c:v>
                      </c:pt>
                      <c:pt idx="46">
                        <c:v>0.71320953019503774</c:v>
                      </c:pt>
                      <c:pt idx="47">
                        <c:v>0.71326798188253859</c:v>
                      </c:pt>
                      <c:pt idx="48">
                        <c:v>0.71332637947534305</c:v>
                      </c:pt>
                      <c:pt idx="49">
                        <c:v>0.71338472083898952</c:v>
                      </c:pt>
                      <c:pt idx="50">
                        <c:v>0.71344300389534065</c:v>
                      </c:pt>
                      <c:pt idx="51">
                        <c:v>0.71350122662129301</c:v>
                      </c:pt>
                      <c:pt idx="52">
                        <c:v>0.71355938704751409</c:v>
                      </c:pt>
                      <c:pt idx="53">
                        <c:v>0.71361748325721286</c:v>
                      </c:pt>
                      <c:pt idx="54">
                        <c:v>0.71367551338493884</c:v>
                      </c:pt>
                      <c:pt idx="55">
                        <c:v>0.71373347561540867</c:v>
                      </c:pt>
                      <c:pt idx="56">
                        <c:v>0.71379136818235966</c:v>
                      </c:pt>
                      <c:pt idx="57">
                        <c:v>0.71384918936743647</c:v>
                      </c:pt>
                      <c:pt idx="58">
                        <c:v>0.71390693749909595</c:v>
                      </c:pt>
                      <c:pt idx="59">
                        <c:v>0.71396461095154373</c:v>
                      </c:pt>
                      <c:pt idx="60">
                        <c:v>0.71402220814369499</c:v>
                      </c:pt>
                      <c:pt idx="61">
                        <c:v>0.71407972753815607</c:v>
                      </c:pt>
                      <c:pt idx="62">
                        <c:v>0.71413716764023671</c:v>
                      </c:pt>
                      <c:pt idx="63">
                        <c:v>0.71419452699697816</c:v>
                      </c:pt>
                      <c:pt idx="64">
                        <c:v>0.71425180419620959</c:v>
                      </c:pt>
                      <c:pt idx="65">
                        <c:v>0.71430899786562352</c:v>
                      </c:pt>
                      <c:pt idx="66">
                        <c:v>0.71436610667187483</c:v>
                      </c:pt>
                      <c:pt idx="67">
                        <c:v>0.7144231293196992</c:v>
                      </c:pt>
                      <c:pt idx="68">
                        <c:v>0.7144800645510524</c:v>
                      </c:pt>
                      <c:pt idx="69">
                        <c:v>0.7145369111442702</c:v>
                      </c:pt>
                      <c:pt idx="70">
                        <c:v>0.71459366791324774</c:v>
                      </c:pt>
                      <c:pt idx="71">
                        <c:v>0.714650333706637</c:v>
                      </c:pt>
                      <c:pt idx="72">
                        <c:v>0.71470690740706289</c:v>
                      </c:pt>
                      <c:pt idx="73">
                        <c:v>0.71476338793035887</c:v>
                      </c:pt>
                      <c:pt idx="74">
                        <c:v>0.71481977422481846</c:v>
                      </c:pt>
                      <c:pt idx="75">
                        <c:v>0.71487606527046488</c:v>
                      </c:pt>
                      <c:pt idx="76">
                        <c:v>0.7149322600783371</c:v>
                      </c:pt>
                      <c:pt idx="77">
                        <c:v>0.71498835768979241</c:v>
                      </c:pt>
                      <c:pt idx="78">
                        <c:v>0.71504435717582426</c:v>
                      </c:pt>
                      <c:pt idx="79">
                        <c:v>0.71510025763639717</c:v>
                      </c:pt>
                      <c:pt idx="80">
                        <c:v>0.71515605819979522</c:v>
                      </c:pt>
                      <c:pt idx="81">
                        <c:v>0.71521175802198578</c:v>
                      </c:pt>
                      <c:pt idx="82">
                        <c:v>0.71526735628599858</c:v>
                      </c:pt>
                      <c:pt idx="83">
                        <c:v>0.71532285220131775</c:v>
                      </c:pt>
                      <c:pt idx="84">
                        <c:v>0.71537824500328751</c:v>
                      </c:pt>
                      <c:pt idx="85">
                        <c:v>0.71543353395253284</c:v>
                      </c:pt>
                      <c:pt idx="86">
                        <c:v>0.71548871833439087</c:v>
                      </c:pt>
                      <c:pt idx="87">
                        <c:v>0.71554379745835794</c:v>
                      </c:pt>
                      <c:pt idx="88">
                        <c:v>0.71559877065754696</c:v>
                      </c:pt>
                      <c:pt idx="89">
                        <c:v>0.71565363728815523</c:v>
                      </c:pt>
                      <c:pt idx="90">
                        <c:v>0.7157083967289497</c:v>
                      </c:pt>
                      <c:pt idx="91">
                        <c:v>0.71576304838075977</c:v>
                      </c:pt>
                      <c:pt idx="92">
                        <c:v>0.71581759166598036</c:v>
                      </c:pt>
                      <c:pt idx="93">
                        <c:v>0.71587202602808941</c:v>
                      </c:pt>
                      <c:pt idx="94">
                        <c:v>0.71592635093117518</c:v>
                      </c:pt>
                      <c:pt idx="95">
                        <c:v>0.71598056585947045</c:v>
                      </c:pt>
                      <c:pt idx="96">
                        <c:v>0.71603467031690382</c:v>
                      </c:pt>
                      <c:pt idx="97">
                        <c:v>0.71608866382665493</c:v>
                      </c:pt>
                      <c:pt idx="98">
                        <c:v>0.71614254593072213</c:v>
                      </c:pt>
                      <c:pt idx="99">
                        <c:v>0.71619631618949964</c:v>
                      </c:pt>
                      <c:pt idx="100">
                        <c:v>0.71624997418136394</c:v>
                      </c:pt>
                      <c:pt idx="101">
                        <c:v>0.716303519502269</c:v>
                      </c:pt>
                      <c:pt idx="102">
                        <c:v>0.71635695176534997</c:v>
                      </c:pt>
                      <c:pt idx="103">
                        <c:v>0.71641027060053708</c:v>
                      </c:pt>
                      <c:pt idx="104">
                        <c:v>0.71646347565417712</c:v>
                      </c:pt>
                      <c:pt idx="105">
                        <c:v>0.71651656658866203</c:v>
                      </c:pt>
                      <c:pt idx="106">
                        <c:v>0.71656954308206799</c:v>
                      </c:pt>
                      <c:pt idx="107">
                        <c:v>0.71662240482780071</c:v>
                      </c:pt>
                      <c:pt idx="108">
                        <c:v>0.71667515153424932</c:v>
                      </c:pt>
                      <c:pt idx="109">
                        <c:v>0.71672778292444705</c:v>
                      </c:pt>
                      <c:pt idx="110">
                        <c:v>0.71678029873573956</c:v>
                      </c:pt>
                      <c:pt idx="111">
                        <c:v>0.71683269871946176</c:v>
                      </c:pt>
                      <c:pt idx="112">
                        <c:v>0.71688498264061973</c:v>
                      </c:pt>
                      <c:pt idx="113">
                        <c:v>0.71693715027757987</c:v>
                      </c:pt>
                      <c:pt idx="114">
                        <c:v>0.71698920142176636</c:v>
                      </c:pt>
                      <c:pt idx="115">
                        <c:v>0.71704113587736373</c:v>
                      </c:pt>
                      <c:pt idx="116">
                        <c:v>0.71709295346102542</c:v>
                      </c:pt>
                      <c:pt idx="117">
                        <c:v>0.71714465400159133</c:v>
                      </c:pt>
                      <c:pt idx="118">
                        <c:v>0.71719623733980808</c:v>
                      </c:pt>
                      <c:pt idx="119">
                        <c:v>0.71724770332805632</c:v>
                      </c:pt>
                      <c:pt idx="120">
                        <c:v>0.71729905183008602</c:v>
                      </c:pt>
                      <c:pt idx="121">
                        <c:v>0.7173502827207564</c:v>
                      </c:pt>
                      <c:pt idx="122">
                        <c:v>0.71740139588577734</c:v>
                      </c:pt>
                      <c:pt idx="123">
                        <c:v>0.71745239122146354</c:v>
                      </c:pt>
                      <c:pt idx="124">
                        <c:v>0.71750326863448888</c:v>
                      </c:pt>
                      <c:pt idx="125">
                        <c:v>0.71755402804164781</c:v>
                      </c:pt>
                      <c:pt idx="126">
                        <c:v>0.71760466936962075</c:v>
                      </c:pt>
                      <c:pt idx="127">
                        <c:v>0.71765519255474641</c:v>
                      </c:pt>
                      <c:pt idx="128">
                        <c:v>0.71770559754279717</c:v>
                      </c:pt>
                      <c:pt idx="129">
                        <c:v>0.71775588428876025</c:v>
                      </c:pt>
                      <c:pt idx="130">
                        <c:v>0.71780605275662246</c:v>
                      </c:pt>
                      <c:pt idx="131">
                        <c:v>0.71785610291916147</c:v>
                      </c:pt>
                      <c:pt idx="132">
                        <c:v>0.71790603475773995</c:v>
                      </c:pt>
                      <c:pt idx="133">
                        <c:v>0.71795584826210446</c:v>
                      </c:pt>
                      <c:pt idx="134">
                        <c:v>0.71800554343018774</c:v>
                      </c:pt>
                      <c:pt idx="135">
                        <c:v>0.71805512026791762</c:v>
                      </c:pt>
                      <c:pt idx="136">
                        <c:v>0.71810457878902823</c:v>
                      </c:pt>
                      <c:pt idx="137">
                        <c:v>0.71815391901487358</c:v>
                      </c:pt>
                      <c:pt idx="138">
                        <c:v>0.7182031409742512</c:v>
                      </c:pt>
                      <c:pt idx="139">
                        <c:v>0.71825224470321891</c:v>
                      </c:pt>
                      <c:pt idx="140">
                        <c:v>0.71830123024492853</c:v>
                      </c:pt>
                      <c:pt idx="141">
                        <c:v>0.71835009764945201</c:v>
                      </c:pt>
                      <c:pt idx="142">
                        <c:v>0.71839884697361778</c:v>
                      </c:pt>
                      <c:pt idx="143">
                        <c:v>0.71844747828084643</c:v>
                      </c:pt>
                      <c:pt idx="144">
                        <c:v>0.71849599164099476</c:v>
                      </c:pt>
                      <c:pt idx="145">
                        <c:v>0.71854438713019742</c:v>
                      </c:pt>
                      <c:pt idx="146">
                        <c:v>0.71859266483071604</c:v>
                      </c:pt>
                      <c:pt idx="147">
                        <c:v>0.7186408248307905</c:v>
                      </c:pt>
                      <c:pt idx="148">
                        <c:v>0.71868886722449099</c:v>
                      </c:pt>
                      <c:pt idx="149">
                        <c:v>0.71873679211157915</c:v>
                      </c:pt>
                      <c:pt idx="150">
                        <c:v>0.71878459959736318</c:v>
                      </c:pt>
                      <c:pt idx="151">
                        <c:v>0.71883228979256475</c:v>
                      </c:pt>
                      <c:pt idx="152">
                        <c:v>0.71887986281318372</c:v>
                      </c:pt>
                      <c:pt idx="153">
                        <c:v>0.71892731878036664</c:v>
                      </c:pt>
                      <c:pt idx="154">
                        <c:v>0.71897465782027836</c:v>
                      </c:pt>
                      <c:pt idx="155">
                        <c:v>0.71902188006397683</c:v>
                      </c:pt>
                      <c:pt idx="156">
                        <c:v>0.71906898564729005</c:v>
                      </c:pt>
                      <c:pt idx="157">
                        <c:v>0.71911597471069411</c:v>
                      </c:pt>
                      <c:pt idx="158">
                        <c:v>0.719162847399196</c:v>
                      </c:pt>
                      <c:pt idx="159">
                        <c:v>0.71920960386222033</c:v>
                      </c:pt>
                      <c:pt idx="160">
                        <c:v>0.71925624425349088</c:v>
                      </c:pt>
                      <c:pt idx="161">
                        <c:v>0.71930276873092602</c:v>
                      </c:pt>
                      <c:pt idx="162">
                        <c:v>0.71934917745652505</c:v>
                      </c:pt>
                      <c:pt idx="163">
                        <c:v>0.7193954705962653</c:v>
                      </c:pt>
                      <c:pt idx="164">
                        <c:v>0.71944164831999735</c:v>
                      </c:pt>
                      <c:pt idx="165">
                        <c:v>0.71948771080134211</c:v>
                      </c:pt>
                      <c:pt idx="166">
                        <c:v>0.71953365821759319</c:v>
                      </c:pt>
                      <c:pt idx="167">
                        <c:v>0.71957949074961713</c:v>
                      </c:pt>
                      <c:pt idx="168">
                        <c:v>0.7196252085817596</c:v>
                      </c:pt>
                      <c:pt idx="169">
                        <c:v>0.71967081190175131</c:v>
                      </c:pt>
                      <c:pt idx="170">
                        <c:v>0.71971630090061556</c:v>
                      </c:pt>
                      <c:pt idx="171">
                        <c:v>0.71976167577257966</c:v>
                      </c:pt>
                      <c:pt idx="172">
                        <c:v>0.71980693671498774</c:v>
                      </c:pt>
                      <c:pt idx="173">
                        <c:v>0.71985208392821298</c:v>
                      </c:pt>
                      <c:pt idx="174">
                        <c:v>0.71989711761557373</c:v>
                      </c:pt>
                      <c:pt idx="175">
                        <c:v>0.7199420379832534</c:v>
                      </c:pt>
                      <c:pt idx="176">
                        <c:v>0.71998684524021606</c:v>
                      </c:pt>
                      <c:pt idx="177">
                        <c:v>0.72003153959813149</c:v>
                      </c:pt>
                      <c:pt idx="178">
                        <c:v>0.72007612127129417</c:v>
                      </c:pt>
                      <c:pt idx="179">
                        <c:v>0.72012059047655008</c:v>
                      </c:pt>
                      <c:pt idx="180">
                        <c:v>0.72016494743322113</c:v>
                      </c:pt>
                      <c:pt idx="181">
                        <c:v>0.72020919236303327</c:v>
                      </c:pt>
                      <c:pt idx="182">
                        <c:v>0.72025332549004506</c:v>
                      </c:pt>
                      <c:pt idx="183">
                        <c:v>0.72029734704057957</c:v>
                      </c:pt>
                      <c:pt idx="184">
                        <c:v>0.72034125724315157</c:v>
                      </c:pt>
                      <c:pt idx="185">
                        <c:v>0.72038505632840788</c:v>
                      </c:pt>
                      <c:pt idx="186">
                        <c:v>0.72042874452905614</c:v>
                      </c:pt>
                      <c:pt idx="187">
                        <c:v>0.72047232207980372</c:v>
                      </c:pt>
                      <c:pt idx="188">
                        <c:v>0.72051578921729431</c:v>
                      </c:pt>
                      <c:pt idx="189">
                        <c:v>0.72055914618004646</c:v>
                      </c:pt>
                      <c:pt idx="190">
                        <c:v>0.7206023932083947</c:v>
                      </c:pt>
                      <c:pt idx="191">
                        <c:v>0.72064553054442815</c:v>
                      </c:pt>
                      <c:pt idx="192">
                        <c:v>0.72068855843193713</c:v>
                      </c:pt>
                      <c:pt idx="193">
                        <c:v>0.72073147711635299</c:v>
                      </c:pt>
                      <c:pt idx="194">
                        <c:v>0.72077428684469491</c:v>
                      </c:pt>
                      <c:pt idx="195">
                        <c:v>0.72081698786551496</c:v>
                      </c:pt>
                      <c:pt idx="196">
                        <c:v>0.72085958042884679</c:v>
                      </c:pt>
                      <c:pt idx="197">
                        <c:v>0.72090206478615193</c:v>
                      </c:pt>
                      <c:pt idx="198">
                        <c:v>0.72094444119027157</c:v>
                      </c:pt>
                      <c:pt idx="199">
                        <c:v>0.72098670989537395</c:v>
                      </c:pt>
                      <c:pt idx="200">
                        <c:v>0.7210288711569085</c:v>
                      </c:pt>
                    </c:numCache>
                  </c:numRef>
                </c:val>
                <c:smooth val="0"/>
                <c:extLst xmlns:c15="http://schemas.microsoft.com/office/drawing/2012/chart">
                  <c:ext xmlns:c16="http://schemas.microsoft.com/office/drawing/2014/chart" uri="{C3380CC4-5D6E-409C-BE32-E72D297353CC}">
                    <c16:uniqueId val="{00000005-39DF-4DF9-9D5A-11C17911BDDC}"/>
                  </c:ext>
                </c:extLst>
              </c15:ser>
            </c15:filteredLineSeries>
            <c15:filteredLineSeries>
              <c15:ser>
                <c:idx val="10"/>
                <c:order val="4"/>
                <c:tx>
                  <c:strRef>
                    <c:extLst xmlns:c15="http://schemas.microsoft.com/office/drawing/2012/chart">
                      <c:ext xmlns:c15="http://schemas.microsoft.com/office/drawing/2012/chart" uri="{02D57815-91ED-43cb-92C2-25804820EDAC}">
                        <c15:formulaRef>
                          <c15:sqref>'Efficiency vs VIN Calculations'!$AP$7</c15:sqref>
                        </c15:formulaRef>
                      </c:ext>
                    </c:extLst>
                    <c:strCache>
                      <c:ptCount val="1"/>
                      <c:pt idx="0">
                        <c:v>Low-side BOOST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Calculations'!$AT$9:$AT$209</c15:sqref>
                        </c15:formulaRef>
                      </c:ext>
                    </c:extLst>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xmlns:c15="http://schemas.microsoft.com/office/drawing/2012/chart">
                  <c:ext xmlns:c16="http://schemas.microsoft.com/office/drawing/2014/chart" uri="{C3380CC4-5D6E-409C-BE32-E72D297353CC}">
                    <c16:uniqueId val="{00000006-39DF-4DF9-9D5A-11C17911BDDC}"/>
                  </c:ext>
                </c:extLst>
              </c15:ser>
            </c15:filteredLineSeries>
            <c15:filteredLineSeries>
              <c15:ser>
                <c:idx val="9"/>
                <c:order val="5"/>
                <c:tx>
                  <c:strRef>
                    <c:extLst xmlns:c15="http://schemas.microsoft.com/office/drawing/2012/chart">
                      <c:ext xmlns:c15="http://schemas.microsoft.com/office/drawing/2012/chart" uri="{02D57815-91ED-43cb-92C2-25804820EDAC}">
                        <c15:formulaRef>
                          <c15:sqref>'Efficiency vs VIN Calculations'!$AL$7</c15:sqref>
                        </c15:formulaRef>
                      </c:ext>
                    </c:extLst>
                    <c:strCache>
                      <c:ptCount val="1"/>
                      <c:pt idx="0">
                        <c:v>Low-side BUCK "Sync"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Calculations'!$AO$9:$AO$209</c15:sqref>
                        </c15:formulaRef>
                      </c:ext>
                    </c:extLst>
                    <c:numCache>
                      <c:formatCode>0.000</c:formatCode>
                      <c:ptCount val="201"/>
                      <c:pt idx="0">
                        <c:v>0.76682892981848416</c:v>
                      </c:pt>
                      <c:pt idx="1">
                        <c:v>0.76876019929867889</c:v>
                      </c:pt>
                      <c:pt idx="2">
                        <c:v>0.77067995133071665</c:v>
                      </c:pt>
                      <c:pt idx="3">
                        <c:v>0.77258829213482738</c:v>
                      </c:pt>
                      <c:pt idx="4">
                        <c:v>0.77448532657974101</c:v>
                      </c:pt>
                      <c:pt idx="5">
                        <c:v>0.77637115820492941</c:v>
                      </c:pt>
                      <c:pt idx="6">
                        <c:v>0.77824588924239702</c:v>
                      </c:pt>
                      <c:pt idx="7">
                        <c:v>0.78010962063802802</c:v>
                      </c:pt>
                      <c:pt idx="8">
                        <c:v>0.78196245207250448</c:v>
                      </c:pt>
                      <c:pt idx="9">
                        <c:v>0.78380448198180097</c:v>
                      </c:pt>
                      <c:pt idx="10">
                        <c:v>0.78563580757727103</c:v>
                      </c:pt>
                      <c:pt idx="11">
                        <c:v>0.78745652486533035</c:v>
                      </c:pt>
                      <c:pt idx="12">
                        <c:v>0.78926672866675163</c:v>
                      </c:pt>
                      <c:pt idx="13">
                        <c:v>0.79106651263557459</c:v>
                      </c:pt>
                      <c:pt idx="14">
                        <c:v>0.7928559692776449</c:v>
                      </c:pt>
                      <c:pt idx="15">
                        <c:v>0.79463518996878812</c:v>
                      </c:pt>
                      <c:pt idx="16">
                        <c:v>0.79640426497262817</c:v>
                      </c:pt>
                      <c:pt idx="17">
                        <c:v>0.79816328345805931</c:v>
                      </c:pt>
                      <c:pt idx="18">
                        <c:v>0.79991233351637692</c:v>
                      </c:pt>
                      <c:pt idx="19">
                        <c:v>0.80165150217808012</c:v>
                      </c:pt>
                      <c:pt idx="20">
                        <c:v>0.80338087542934766</c:v>
                      </c:pt>
                      <c:pt idx="21">
                        <c:v>0.80510053822819927</c:v>
                      </c:pt>
                      <c:pt idx="22">
                        <c:v>0.80681057452034755</c:v>
                      </c:pt>
                      <c:pt idx="23">
                        <c:v>0.80851106725474797</c:v>
                      </c:pt>
                      <c:pt idx="24">
                        <c:v>0.81020209839885504</c:v>
                      </c:pt>
                      <c:pt idx="25">
                        <c:v>0.81188374895358728</c:v>
                      </c:pt>
                      <c:pt idx="26">
                        <c:v>0.81355609896801429</c:v>
                      </c:pt>
                      <c:pt idx="27">
                        <c:v>0.81521922755376441</c:v>
                      </c:pt>
                      <c:pt idx="28">
                        <c:v>0.81687321289916603</c:v>
                      </c:pt>
                      <c:pt idx="29">
                        <c:v>0.81851813228312464</c:v>
                      </c:pt>
                      <c:pt idx="30">
                        <c:v>0.82015406208874098</c:v>
                      </c:pt>
                      <c:pt idx="31">
                        <c:v>0.82178107781668097</c:v>
                      </c:pt>
                      <c:pt idx="32">
                        <c:v>0.82339925409829551</c:v>
                      </c:pt>
                      <c:pt idx="33">
                        <c:v>0.82500866470850276</c:v>
                      </c:pt>
                      <c:pt idx="34">
                        <c:v>0.82660938257843231</c:v>
                      </c:pt>
                      <c:pt idx="35">
                        <c:v>0.82820147980784142</c:v>
                      </c:pt>
                      <c:pt idx="36">
                        <c:v>0.82978502767730455</c:v>
                      </c:pt>
                      <c:pt idx="37">
                        <c:v>0.83136009666018207</c:v>
                      </c:pt>
                      <c:pt idx="38">
                        <c:v>0.83292675643437541</c:v>
                      </c:pt>
                      <c:pt idx="39">
                        <c:v>0.83448507589386844</c:v>
                      </c:pt>
                      <c:pt idx="40">
                        <c:v>0.83603512316006456</c:v>
                      </c:pt>
                      <c:pt idx="41">
                        <c:v>0.83757696559292061</c:v>
                      </c:pt>
                      <c:pt idx="42">
                        <c:v>0.8391106698018832</c:v>
                      </c:pt>
                      <c:pt idx="43">
                        <c:v>0.8406363016566315</c:v>
                      </c:pt>
                      <c:pt idx="44">
                        <c:v>0.84215392629763086</c:v>
                      </c:pt>
                      <c:pt idx="45">
                        <c:v>0.84366360814650077</c:v>
                      </c:pt>
                      <c:pt idx="46">
                        <c:v>0.84516541091620023</c:v>
                      </c:pt>
                      <c:pt idx="47">
                        <c:v>0.84665939762103681</c:v>
                      </c:pt>
                      <c:pt idx="48">
                        <c:v>0.8481456305865015</c:v>
                      </c:pt>
                      <c:pt idx="49">
                        <c:v>0.84962417145893154</c:v>
                      </c:pt>
                      <c:pt idx="50">
                        <c:v>0.85109508121500776</c:v>
                      </c:pt>
                      <c:pt idx="51">
                        <c:v>0.85255842017108852</c:v>
                      </c:pt>
                      <c:pt idx="52">
                        <c:v>0.8540142479923819</c:v>
                      </c:pt>
                      <c:pt idx="53">
                        <c:v>0.85546262370196247</c:v>
                      </c:pt>
                      <c:pt idx="54">
                        <c:v>0.85690360568963519</c:v>
                      </c:pt>
                      <c:pt idx="55">
                        <c:v>0.8583372517206459</c:v>
                      </c:pt>
                      <c:pt idx="56">
                        <c:v>0.85976361894424647</c:v>
                      </c:pt>
                      <c:pt idx="57">
                        <c:v>0.86118276390211557</c:v>
                      </c:pt>
                      <c:pt idx="58">
                        <c:v>0.86259474253663693</c:v>
                      </c:pt>
                      <c:pt idx="59">
                        <c:v>0.86399961019903926</c:v>
                      </c:pt>
                      <c:pt idx="60">
                        <c:v>0.86539742165739941</c:v>
                      </c:pt>
                      <c:pt idx="61">
                        <c:v>0.86678823110451408</c:v>
                      </c:pt>
                      <c:pt idx="62">
                        <c:v>0.86817209216563918</c:v>
                      </c:pt>
                      <c:pt idx="63">
                        <c:v>0.8695490579061016</c:v>
                      </c:pt>
                      <c:pt idx="64">
                        <c:v>0.87091918083878606</c:v>
                      </c:pt>
                      <c:pt idx="65">
                        <c:v>0.87228251293149806</c:v>
                      </c:pt>
                      <c:pt idx="66">
                        <c:v>0.87363910561420688</c:v>
                      </c:pt>
                      <c:pt idx="67">
                        <c:v>0.87498900978617</c:v>
                      </c:pt>
                      <c:pt idx="68">
                        <c:v>0.87633227582294171</c:v>
                      </c:pt>
                      <c:pt idx="69">
                        <c:v>0.87766895358326769</c:v>
                      </c:pt>
                      <c:pt idx="70">
                        <c:v>0.87899909241586827</c:v>
                      </c:pt>
                      <c:pt idx="71">
                        <c:v>0.88032274116611264</c:v>
                      </c:pt>
                      <c:pt idx="72">
                        <c:v>0.8816399481825854</c:v>
                      </c:pt>
                      <c:pt idx="73">
                        <c:v>0.88295076132354755</c:v>
                      </c:pt>
                      <c:pt idx="74">
                        <c:v>0.88425522796329536</c:v>
                      </c:pt>
                      <c:pt idx="75">
                        <c:v>0.88555339499841679</c:v>
                      </c:pt>
                      <c:pt idx="76">
                        <c:v>0.88684530885394941</c:v>
                      </c:pt>
                      <c:pt idx="77">
                        <c:v>0.88813101548944129</c:v>
                      </c:pt>
                      <c:pt idx="78">
                        <c:v>0.88941056040491417</c:v>
                      </c:pt>
                      <c:pt idx="79">
                        <c:v>0.89068398864673604</c:v>
                      </c:pt>
                      <c:pt idx="80">
                        <c:v>0.89195134481339899</c:v>
                      </c:pt>
                      <c:pt idx="81">
                        <c:v>0.89321267306120677</c:v>
                      </c:pt>
                      <c:pt idx="82">
                        <c:v>0.89446801710987722</c:v>
                      </c:pt>
                      <c:pt idx="83">
                        <c:v>0.89571742024805279</c:v>
                      </c:pt>
                      <c:pt idx="84">
                        <c:v>0.89696092533872873</c:v>
                      </c:pt>
                      <c:pt idx="85">
                        <c:v>0.89819857482459753</c:v>
                      </c:pt>
                      <c:pt idx="86">
                        <c:v>0.89943041073330832</c:v>
                      </c:pt>
                      <c:pt idx="87">
                        <c:v>0.9006564746826502</c:v>
                      </c:pt>
                      <c:pt idx="88">
                        <c:v>0.90187680788565172</c:v>
                      </c:pt>
                      <c:pt idx="89">
                        <c:v>0.90309145115560452</c:v>
                      </c:pt>
                      <c:pt idx="90">
                        <c:v>0.9043004449110108</c:v>
                      </c:pt>
                      <c:pt idx="91">
                        <c:v>0.90550382918045602</c:v>
                      </c:pt>
                      <c:pt idx="92">
                        <c:v>0.90670164360740579</c:v>
                      </c:pt>
                      <c:pt idx="93">
                        <c:v>0.90789392745493303</c:v>
                      </c:pt>
                      <c:pt idx="94">
                        <c:v>0.90908071961037218</c:v>
                      </c:pt>
                      <c:pt idx="95">
                        <c:v>0.91026205858990517</c:v>
                      </c:pt>
                      <c:pt idx="96">
                        <c:v>0.91143798254307751</c:v>
                      </c:pt>
                      <c:pt idx="97">
                        <c:v>0.91260852925724734</c:v>
                      </c:pt>
                      <c:pt idx="98">
                        <c:v>0.91377373616196889</c:v>
                      </c:pt>
                      <c:pt idx="99">
                        <c:v>0.91493364033331115</c:v>
                      </c:pt>
                      <c:pt idx="100">
                        <c:v>0.91608827849811103</c:v>
                      </c:pt>
                      <c:pt idx="101">
                        <c:v>0.9172376870381671</c:v>
                      </c:pt>
                      <c:pt idx="102">
                        <c:v>0.91838190199436642</c:v>
                      </c:pt>
                      <c:pt idx="103">
                        <c:v>0.91952095907075815</c:v>
                      </c:pt>
                      <c:pt idx="104">
                        <c:v>0.92065489363856057</c:v>
                      </c:pt>
                      <c:pt idx="105">
                        <c:v>0.92178374074011404</c:v>
                      </c:pt>
                      <c:pt idx="106">
                        <c:v>0.92290753509277534</c:v>
                      </c:pt>
                      <c:pt idx="107">
                        <c:v>0.92402631109275468</c:v>
                      </c:pt>
                      <c:pt idx="108">
                        <c:v>0.92514010281889936</c:v>
                      </c:pt>
                      <c:pt idx="109">
                        <c:v>0.92624894403642088</c:v>
                      </c:pt>
                      <c:pt idx="110">
                        <c:v>0.92735286820056895</c:v>
                      </c:pt>
                      <c:pt idx="111">
                        <c:v>0.92845190846025438</c:v>
                      </c:pt>
                      <c:pt idx="112">
                        <c:v>0.92954609766161789</c:v>
                      </c:pt>
                      <c:pt idx="113">
                        <c:v>0.93063546835154998</c:v>
                      </c:pt>
                      <c:pt idx="114">
                        <c:v>0.9317200527811591</c:v>
                      </c:pt>
                      <c:pt idx="115">
                        <c:v>0.93279988290919202</c:v>
                      </c:pt>
                      <c:pt idx="116">
                        <c:v>0.933874990405406</c:v>
                      </c:pt>
                      <c:pt idx="117">
                        <c:v>0.93494540665389192</c:v>
                      </c:pt>
                      <c:pt idx="118">
                        <c:v>0.93601116275635154</c:v>
                      </c:pt>
                      <c:pt idx="119">
                        <c:v>0.93707228953532895</c:v>
                      </c:pt>
                      <c:pt idx="120">
                        <c:v>0.93812881753739774</c:v>
                      </c:pt>
                      <c:pt idx="121">
                        <c:v>0.93918077703630165</c:v>
                      </c:pt>
                      <c:pt idx="122">
                        <c:v>0.94022819803605207</c:v>
                      </c:pt>
                      <c:pt idx="123">
                        <c:v>0.94127111027398458</c:v>
                      </c:pt>
                      <c:pt idx="124">
                        <c:v>0.94230954322377058</c:v>
                      </c:pt>
                      <c:pt idx="125">
                        <c:v>0.9433435260983889</c:v>
                      </c:pt>
                      <c:pt idx="126">
                        <c:v>0.94437308785305663</c:v>
                      </c:pt>
                      <c:pt idx="127">
                        <c:v>0.94539825718811765</c:v>
                      </c:pt>
                      <c:pt idx="128">
                        <c:v>0.9464190625518949</c:v>
                      </c:pt>
                      <c:pt idx="129">
                        <c:v>0.94743553214350074</c:v>
                      </c:pt>
                      <c:pt idx="130">
                        <c:v>0.94844769391561101</c:v>
                      </c:pt>
                      <c:pt idx="131">
                        <c:v>0.9494555755771994</c:v>
                      </c:pt>
                      <c:pt idx="132">
                        <c:v>0.95045920459623856</c:v>
                      </c:pt>
                      <c:pt idx="133">
                        <c:v>0.9514586082023585</c:v>
                      </c:pt>
                      <c:pt idx="134">
                        <c:v>0.95245381338947666</c:v>
                      </c:pt>
                      <c:pt idx="135">
                        <c:v>0.95344484691838527</c:v>
                      </c:pt>
                      <c:pt idx="136">
                        <c:v>0.95443173531931014</c:v>
                      </c:pt>
                      <c:pt idx="137">
                        <c:v>0.9554145048944308</c:v>
                      </c:pt>
                      <c:pt idx="138">
                        <c:v>0.95639318172037024</c:v>
                      </c:pt>
                      <c:pt idx="139">
                        <c:v>0.95736779165064889</c:v>
                      </c:pt>
                      <c:pt idx="140">
                        <c:v>0.95833836031810749</c:v>
                      </c:pt>
                      <c:pt idx="141">
                        <c:v>0.9593049131372976</c:v>
                      </c:pt>
                      <c:pt idx="142">
                        <c:v>0.96026747530684109</c:v>
                      </c:pt>
                      <c:pt idx="143">
                        <c:v>0.96122607181175657</c:v>
                      </c:pt>
                      <c:pt idx="144">
                        <c:v>0.962180727425758</c:v>
                      </c:pt>
                      <c:pt idx="145">
                        <c:v>0.96313146671352068</c:v>
                      </c:pt>
                      <c:pt idx="146">
                        <c:v>0.96407831403291944</c:v>
                      </c:pt>
                      <c:pt idx="147">
                        <c:v>0.96502129353723698</c:v>
                      </c:pt>
                      <c:pt idx="148">
                        <c:v>0.96596042917734182</c:v>
                      </c:pt>
                      <c:pt idx="149">
                        <c:v>0.96689574470384154</c:v>
                      </c:pt>
                      <c:pt idx="150">
                        <c:v>0.96782726366920513</c:v>
                      </c:pt>
                      <c:pt idx="151">
                        <c:v>0.96875500942985826</c:v>
                      </c:pt>
                      <c:pt idx="152">
                        <c:v>0.96967900514825323</c:v>
                      </c:pt>
                      <c:pt idx="153">
                        <c:v>0.9705992737949104</c:v>
                      </c:pt>
                      <c:pt idx="154">
                        <c:v>0.97151583815043518</c:v>
                      </c:pt>
                      <c:pt idx="155">
                        <c:v>0.97242872080750753</c:v>
                      </c:pt>
                      <c:pt idx="156">
                        <c:v>0.9733379441728468</c:v>
                      </c:pt>
                      <c:pt idx="157">
                        <c:v>0.97424353046915213</c:v>
                      </c:pt>
                      <c:pt idx="158">
                        <c:v>0.97514550173701653</c:v>
                      </c:pt>
                      <c:pt idx="159">
                        <c:v>0.97604387983682028</c:v>
                      </c:pt>
                      <c:pt idx="160">
                        <c:v>0.97693868645059367</c:v>
                      </c:pt>
                      <c:pt idx="161">
                        <c:v>0.9778299430838655</c:v>
                      </c:pt>
                      <c:pt idx="162">
                        <c:v>0.97871767106747887</c:v>
                      </c:pt>
                      <c:pt idx="163">
                        <c:v>0.9796018915593917</c:v>
                      </c:pt>
                      <c:pt idx="164">
                        <c:v>0.9804826255464496</c:v>
                      </c:pt>
                      <c:pt idx="165">
                        <c:v>0.98135989384613975</c:v>
                      </c:pt>
                      <c:pt idx="166">
                        <c:v>0.98223371710832152</c:v>
                      </c:pt>
                      <c:pt idx="167">
                        <c:v>0.98310411581693513</c:v>
                      </c:pt>
                      <c:pt idx="168">
                        <c:v>0.98397111029169038</c:v>
                      </c:pt>
                      <c:pt idx="169">
                        <c:v>0.98483472068973432</c:v>
                      </c:pt>
                      <c:pt idx="170">
                        <c:v>0.98569496700729542</c:v>
                      </c:pt>
                      <c:pt idx="171">
                        <c:v>0.98655186908131387</c:v>
                      </c:pt>
                      <c:pt idx="172">
                        <c:v>0.9874054465910439</c:v>
                      </c:pt>
                      <c:pt idx="173">
                        <c:v>0.98825571905964349</c:v>
                      </c:pt>
                      <c:pt idx="174">
                        <c:v>0.98910270585573901</c:v>
                      </c:pt>
                      <c:pt idx="175">
                        <c:v>0.9899464261949753</c:v>
                      </c:pt>
                      <c:pt idx="176">
                        <c:v>0.99078689914154328</c:v>
                      </c:pt>
                      <c:pt idx="177">
                        <c:v>0.9916241436096922</c:v>
                      </c:pt>
                      <c:pt idx="178">
                        <c:v>0.99245817836521943</c:v>
                      </c:pt>
                      <c:pt idx="179">
                        <c:v>0.99328902202694769</c:v>
                      </c:pt>
                      <c:pt idx="180">
                        <c:v>0.99411669306817918</c:v>
                      </c:pt>
                      <c:pt idx="181">
                        <c:v>0.99494120981813472</c:v>
                      </c:pt>
                      <c:pt idx="182">
                        <c:v>0.99576259046337701</c:v>
                      </c:pt>
                      <c:pt idx="183">
                        <c:v>0.99658085304921262</c:v>
                      </c:pt>
                      <c:pt idx="184">
                        <c:v>0.9973960154810807</c:v>
                      </c:pt>
                      <c:pt idx="185">
                        <c:v>0.99820809552592615</c:v>
                      </c:pt>
                      <c:pt idx="186">
                        <c:v>0.99901711081355027</c:v>
                      </c:pt>
                      <c:pt idx="187">
                        <c:v>0.99982307883795363</c:v>
                      </c:pt>
                      <c:pt idx="188">
                        <c:v>1.0006260169586552</c:v>
                      </c:pt>
                      <c:pt idx="189">
                        <c:v>1.0014259424020024</c:v>
                      </c:pt>
                      <c:pt idx="190">
                        <c:v>1.0022228722624618</c:v>
                      </c:pt>
                      <c:pt idx="191">
                        <c:v>1.0030168235038939</c:v>
                      </c:pt>
                      <c:pt idx="192">
                        <c:v>1.0038078129608174</c:v>
                      </c:pt>
                      <c:pt idx="193">
                        <c:v>1.0045958573396538</c:v>
                      </c:pt>
                      <c:pt idx="194">
                        <c:v>1.0053809732199614</c:v>
                      </c:pt>
                      <c:pt idx="195">
                        <c:v>1.0061631770556496</c:v>
                      </c:pt>
                      <c:pt idx="196">
                        <c:v>1.0069424851761863</c:v>
                      </c:pt>
                      <c:pt idx="197">
                        <c:v>1.0077189137877849</c:v>
                      </c:pt>
                      <c:pt idx="198">
                        <c:v>1.0084924789745804</c:v>
                      </c:pt>
                      <c:pt idx="199">
                        <c:v>1.0092631966997918</c:v>
                      </c:pt>
                      <c:pt idx="200">
                        <c:v>1.010031082806871</c:v>
                      </c:pt>
                    </c:numCache>
                  </c:numRef>
                </c:val>
                <c:smooth val="0"/>
                <c:extLst xmlns:c15="http://schemas.microsoft.com/office/drawing/2012/chart">
                  <c:ext xmlns:c16="http://schemas.microsoft.com/office/drawing/2014/chart" uri="{C3380CC4-5D6E-409C-BE32-E72D297353CC}">
                    <c16:uniqueId val="{00000007-39DF-4DF9-9D5A-11C17911BDDC}"/>
                  </c:ext>
                </c:extLst>
              </c15:ser>
            </c15:filteredLineSeries>
            <c15:filteredLineSeries>
              <c15:ser>
                <c:idx val="8"/>
                <c:order val="6"/>
                <c:tx>
                  <c:strRef>
                    <c:extLst xmlns:c15="http://schemas.microsoft.com/office/drawing/2012/chart">
                      <c:ext xmlns:c15="http://schemas.microsoft.com/office/drawing/2012/chart" uri="{02D57815-91ED-43cb-92C2-25804820EDAC}">
                        <c15:formulaRef>
                          <c15:sqref>'Efficiency vs VIN Calculations'!$AG$7</c15:sqref>
                        </c15:formulaRef>
                      </c:ext>
                    </c:extLst>
                    <c:strCache>
                      <c:ptCount val="1"/>
                      <c:pt idx="0">
                        <c:v>High-side BUCK "Control" MOSFET Losses </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Calculations'!$AK$9:$AK$209</c15:sqref>
                        </c15:formulaRef>
                      </c:ext>
                    </c:extLst>
                    <c:numCache>
                      <c:formatCode>0.000</c:formatCode>
                      <c:ptCount val="201"/>
                      <c:pt idx="0">
                        <c:v>3.1666385121192331</c:v>
                      </c:pt>
                      <c:pt idx="1">
                        <c:v>3.1729581350464509</c:v>
                      </c:pt>
                      <c:pt idx="2">
                        <c:v>3.1792936199445592</c:v>
                      </c:pt>
                      <c:pt idx="3">
                        <c:v>3.1856447761917663</c:v>
                      </c:pt>
                      <c:pt idx="4">
                        <c:v>3.1920114162546822</c:v>
                      </c:pt>
                      <c:pt idx="5">
                        <c:v>3.1983933556253223</c:v>
                      </c:pt>
                      <c:pt idx="6">
                        <c:v>3.2047904127596665</c:v>
                      </c:pt>
                      <c:pt idx="7">
                        <c:v>3.2112024090177109</c:v>
                      </c:pt>
                      <c:pt idx="8">
                        <c:v>3.2176291686049869</c:v>
                      </c:pt>
                      <c:pt idx="9">
                        <c:v>3.2240705185155027</c:v>
                      </c:pt>
                      <c:pt idx="10">
                        <c:v>3.2305262884760442</c:v>
                      </c:pt>
                      <c:pt idx="11">
                        <c:v>3.2369963108918434</c:v>
                      </c:pt>
                      <c:pt idx="12">
                        <c:v>3.2434804207935253</c:v>
                      </c:pt>
                      <c:pt idx="13">
                        <c:v>3.2499784557853326</c:v>
                      </c:pt>
                      <c:pt idx="14">
                        <c:v>3.2564902559945779</c:v>
                      </c:pt>
                      <c:pt idx="15">
                        <c:v>3.2630156640222894</c:v>
                      </c:pt>
                      <c:pt idx="16">
                        <c:v>3.2695545248950224</c:v>
                      </c:pt>
                      <c:pt idx="17">
                        <c:v>3.2761066860178043</c:v>
                      </c:pt>
                      <c:pt idx="18">
                        <c:v>3.282671997128169</c:v>
                      </c:pt>
                      <c:pt idx="19">
                        <c:v>3.2892503102512789</c:v>
                      </c:pt>
                      <c:pt idx="20">
                        <c:v>3.2958414796560689</c:v>
                      </c:pt>
                      <c:pt idx="21">
                        <c:v>3.3024453618124179</c:v>
                      </c:pt>
                      <c:pt idx="22">
                        <c:v>3.3090618153492928</c:v>
                      </c:pt>
                      <c:pt idx="23">
                        <c:v>3.3156907010138652</c:v>
                      </c:pt>
                      <c:pt idx="24">
                        <c:v>3.3223318816315497</c:v>
                      </c:pt>
                      <c:pt idx="25">
                        <c:v>3.3289852220669585</c:v>
                      </c:pt>
                      <c:pt idx="26">
                        <c:v>3.3356505891857298</c:v>
                      </c:pt>
                      <c:pt idx="27">
                        <c:v>3.3423278518172301</c:v>
                      </c:pt>
                      <c:pt idx="28">
                        <c:v>3.3490168807180889</c:v>
                      </c:pt>
                      <c:pt idx="29">
                        <c:v>3.355717548536544</c:v>
                      </c:pt>
                      <c:pt idx="30">
                        <c:v>3.3624297297775882</c:v>
                      </c:pt>
                      <c:pt idx="31">
                        <c:v>3.3691533007688865</c:v>
                      </c:pt>
                      <c:pt idx="32">
                        <c:v>3.3758881396274552</c:v>
                      </c:pt>
                      <c:pt idx="33">
                        <c:v>3.3826341262270612</c:v>
                      </c:pt>
                      <c:pt idx="34">
                        <c:v>3.3893911421663523</c:v>
                      </c:pt>
                      <c:pt idx="35">
                        <c:v>3.3961590707376645</c:v>
                      </c:pt>
                      <c:pt idx="36">
                        <c:v>3.4029377968965386</c:v>
                      </c:pt>
                      <c:pt idx="37">
                        <c:v>3.409727207231867</c:v>
                      </c:pt>
                      <c:pt idx="38">
                        <c:v>3.4165271899367062</c:v>
                      </c:pt>
                      <c:pt idx="39">
                        <c:v>3.423337634779712</c:v>
                      </c:pt>
                      <c:pt idx="40">
                        <c:v>3.4301584330771866</c:v>
                      </c:pt>
                      <c:pt idx="41">
                        <c:v>3.4369894776657279</c:v>
                      </c:pt>
                      <c:pt idx="42">
                        <c:v>3.4438306628754507</c:v>
                      </c:pt>
                      <c:pt idx="43">
                        <c:v>3.4506818845037914</c:v>
                      </c:pt>
                      <c:pt idx="44">
                        <c:v>3.4575430397898574</c:v>
                      </c:pt>
                      <c:pt idx="45">
                        <c:v>3.4644140273893167</c:v>
                      </c:pt>
                      <c:pt idx="46">
                        <c:v>3.4712947473498188</c:v>
                      </c:pt>
                      <c:pt idx="47">
                        <c:v>3.4781851010869258</c:v>
                      </c:pt>
                      <c:pt idx="48">
                        <c:v>3.4850849913605462</c:v>
                      </c:pt>
                      <c:pt idx="49">
                        <c:v>3.4919943222518639</c:v>
                      </c:pt>
                      <c:pt idx="50">
                        <c:v>3.4989129991407326</c:v>
                      </c:pt>
                      <c:pt idx="51">
                        <c:v>3.5058409286835497</c:v>
                      </c:pt>
                      <c:pt idx="52">
                        <c:v>3.5127780187915696</c:v>
                      </c:pt>
                      <c:pt idx="53">
                        <c:v>3.5197241786096805</c:v>
                      </c:pt>
                      <c:pt idx="54">
                        <c:v>3.5266793184955949</c:v>
                      </c:pt>
                      <c:pt idx="55">
                        <c:v>3.5336433499994766</c:v>
                      </c:pt>
                      <c:pt idx="56">
                        <c:v>3.5406161858439678</c:v>
                      </c:pt>
                      <c:pt idx="57">
                        <c:v>3.5475977399046381</c:v>
                      </c:pt>
                      <c:pt idx="58">
                        <c:v>3.5545879271908016</c:v>
                      </c:pt>
                      <c:pt idx="59">
                        <c:v>3.5615866638267466</c:v>
                      </c:pt>
                      <c:pt idx="60">
                        <c:v>3.5685938670333135</c:v>
                      </c:pt>
                      <c:pt idx="61">
                        <c:v>3.5756094551098587</c:v>
                      </c:pt>
                      <c:pt idx="62">
                        <c:v>3.5826333474165679</c:v>
                      </c:pt>
                      <c:pt idx="63">
                        <c:v>3.5896654643571195</c:v>
                      </c:pt>
                      <c:pt idx="64">
                        <c:v>3.5967057273616909</c:v>
                      </c:pt>
                      <c:pt idx="65">
                        <c:v>3.603754058870297</c:v>
                      </c:pt>
                      <c:pt idx="66">
                        <c:v>3.6108103823164601</c:v>
                      </c:pt>
                      <c:pt idx="67">
                        <c:v>3.6178746221111888</c:v>
                      </c:pt>
                      <c:pt idx="68">
                        <c:v>3.6249467036272716</c:v>
                      </c:pt>
                      <c:pt idx="69">
                        <c:v>3.6320265531838873</c:v>
                      </c:pt>
                      <c:pt idx="70">
                        <c:v>3.639114098031488</c:v>
                      </c:pt>
                      <c:pt idx="71">
                        <c:v>3.646209266336998</c:v>
                      </c:pt>
                      <c:pt idx="72">
                        <c:v>3.6533119871692743</c:v>
                      </c:pt>
                      <c:pt idx="73">
                        <c:v>3.6604221904848666</c:v>
                      </c:pt>
                      <c:pt idx="74">
                        <c:v>3.667539807114029</c:v>
                      </c:pt>
                      <c:pt idx="75">
                        <c:v>3.6746647687470135</c:v>
                      </c:pt>
                      <c:pt idx="76">
                        <c:v>3.681797007920609</c:v>
                      </c:pt>
                      <c:pt idx="77">
                        <c:v>3.6889364580049406</c:v>
                      </c:pt>
                      <c:pt idx="78">
                        <c:v>3.6960830531905251</c:v>
                      </c:pt>
                      <c:pt idx="79">
                        <c:v>3.7032367284755527</c:v>
                      </c:pt>
                      <c:pt idx="80">
                        <c:v>3.710397419653416</c:v>
                      </c:pt>
                      <c:pt idx="81">
                        <c:v>3.7175650633004715</c:v>
                      </c:pt>
                      <c:pt idx="82">
                        <c:v>3.724739596764028</c:v>
                      </c:pt>
                      <c:pt idx="83">
                        <c:v>3.7319209581505515</c:v>
                      </c:pt>
                      <c:pt idx="84">
                        <c:v>3.7391090863140954</c:v>
                      </c:pt>
                      <c:pt idx="85">
                        <c:v>3.7463039208449347</c:v>
                      </c:pt>
                      <c:pt idx="86">
                        <c:v>3.7535054020584204</c:v>
                      </c:pt>
                      <c:pt idx="87">
                        <c:v>3.7607134709840238</c:v>
                      </c:pt>
                      <c:pt idx="88">
                        <c:v>3.7679280693545913</c:v>
                      </c:pt>
                      <c:pt idx="89">
                        <c:v>3.7751491395957881</c:v>
                      </c:pt>
                      <c:pt idx="90">
                        <c:v>3.782376624815734</c:v>
                      </c:pt>
                      <c:pt idx="91">
                        <c:v>3.7896104687948258</c:v>
                      </c:pt>
                      <c:pt idx="92">
                        <c:v>3.7968506159757478</c:v>
                      </c:pt>
                      <c:pt idx="93">
                        <c:v>3.8040970114536514</c:v>
                      </c:pt>
                      <c:pt idx="94">
                        <c:v>3.8113496009665213</c:v>
                      </c:pt>
                      <c:pt idx="95">
                        <c:v>3.8186083308857022</c:v>
                      </c:pt>
                      <c:pt idx="96">
                        <c:v>3.8258731482066044</c:v>
                      </c:pt>
                      <c:pt idx="97">
                        <c:v>3.8331440005395625</c:v>
                      </c:pt>
                      <c:pt idx="98">
                        <c:v>3.8404208361008707</c:v>
                      </c:pt>
                      <c:pt idx="99">
                        <c:v>3.8477036037039567</c:v>
                      </c:pt>
                      <c:pt idx="100">
                        <c:v>3.8549922527507312</c:v>
                      </c:pt>
                      <c:pt idx="101">
                        <c:v>3.862286733223065</c:v>
                      </c:pt>
                      <c:pt idx="102">
                        <c:v>3.8695869956744389</c:v>
                      </c:pt>
                      <c:pt idx="103">
                        <c:v>3.876892991221724</c:v>
                      </c:pt>
                      <c:pt idx="104">
                        <c:v>3.8842046715371072</c:v>
                      </c:pt>
                      <c:pt idx="105">
                        <c:v>3.8915219888401547</c:v>
                      </c:pt>
                      <c:pt idx="106">
                        <c:v>3.8988448958900173</c:v>
                      </c:pt>
                      <c:pt idx="107">
                        <c:v>3.9061733459777677</c:v>
                      </c:pt>
                      <c:pt idx="108">
                        <c:v>3.9135072929188652</c:v>
                      </c:pt>
                      <c:pt idx="109">
                        <c:v>3.9208466910457518</c:v>
                      </c:pt>
                      <c:pt idx="110">
                        <c:v>3.9281914952005765</c:v>
                      </c:pt>
                      <c:pt idx="111">
                        <c:v>3.9355416607280378</c:v>
                      </c:pt>
                      <c:pt idx="112">
                        <c:v>3.9428971434683557</c:v>
                      </c:pt>
                      <c:pt idx="113">
                        <c:v>3.9502578997503512</c:v>
                      </c:pt>
                      <c:pt idx="114">
                        <c:v>3.9576238863846478</c:v>
                      </c:pt>
                      <c:pt idx="115">
                        <c:v>3.9649950606569937</c:v>
                      </c:pt>
                      <c:pt idx="116">
                        <c:v>3.9723713803216838</c:v>
                      </c:pt>
                      <c:pt idx="117">
                        <c:v>3.9797528035950966</c:v>
                      </c:pt>
                      <c:pt idx="118">
                        <c:v>3.9871392891493405</c:v>
                      </c:pt>
                      <c:pt idx="119">
                        <c:v>3.994530796106003</c:v>
                      </c:pt>
                      <c:pt idx="120">
                        <c:v>4.0019272840300033</c:v>
                      </c:pt>
                      <c:pt idx="121">
                        <c:v>4.0093287129235522</c:v>
                      </c:pt>
                      <c:pt idx="122">
                        <c:v>4.0167350432201943</c:v>
                      </c:pt>
                      <c:pt idx="123">
                        <c:v>4.0241462357789688</c:v>
                      </c:pt>
                      <c:pt idx="124">
                        <c:v>4.0315622518786576</c:v>
                      </c:pt>
                      <c:pt idx="125">
                        <c:v>4.0389830532121174</c:v>
                      </c:pt>
                      <c:pt idx="126">
                        <c:v>4.0464086018807217</c:v>
                      </c:pt>
                      <c:pt idx="127">
                        <c:v>4.053838860388872</c:v>
                      </c:pt>
                      <c:pt idx="128">
                        <c:v>4.0612737916386248</c:v>
                      </c:pt>
                      <c:pt idx="129">
                        <c:v>4.068713358924378</c:v>
                      </c:pt>
                      <c:pt idx="130">
                        <c:v>4.0761575259276572</c:v>
                      </c:pt>
                      <c:pt idx="131">
                        <c:v>4.0836062567119811</c:v>
                      </c:pt>
                      <c:pt idx="132">
                        <c:v>4.0910595157178191</c:v>
                      </c:pt>
                      <c:pt idx="133">
                        <c:v>4.0985172677576092</c:v>
                      </c:pt>
                      <c:pt idx="134">
                        <c:v>4.1059794780108732</c:v>
                      </c:pt>
                      <c:pt idx="135">
                        <c:v>4.1134461120194015</c:v>
                      </c:pt>
                      <c:pt idx="136">
                        <c:v>4.1209171356825163</c:v>
                      </c:pt>
                      <c:pt idx="137">
                        <c:v>4.1283925152524068</c:v>
                      </c:pt>
                      <c:pt idx="138">
                        <c:v>4.1358722173295401</c:v>
                      </c:pt>
                      <c:pt idx="139">
                        <c:v>4.1433562088581422</c:v>
                      </c:pt>
                      <c:pt idx="140">
                        <c:v>4.1508444571217513</c:v>
                      </c:pt>
                      <c:pt idx="141">
                        <c:v>4.1583369297388435</c:v>
                      </c:pt>
                      <c:pt idx="142">
                        <c:v>4.1658335946585154</c:v>
                      </c:pt>
                      <c:pt idx="143">
                        <c:v>4.1733344201562499</c:v>
                      </c:pt>
                      <c:pt idx="144">
                        <c:v>4.1808393748297306</c:v>
                      </c:pt>
                      <c:pt idx="145">
                        <c:v>4.1883484275947316</c:v>
                      </c:pt>
                      <c:pt idx="146">
                        <c:v>4.1958615476810754</c:v>
                      </c:pt>
                      <c:pt idx="147">
                        <c:v>4.2033787046286335</c:v>
                      </c:pt>
                      <c:pt idx="148">
                        <c:v>4.2108998682834038</c:v>
                      </c:pt>
                      <c:pt idx="149">
                        <c:v>4.2184250087936501</c:v>
                      </c:pt>
                      <c:pt idx="150">
                        <c:v>4.2259540966060865</c:v>
                      </c:pt>
                      <c:pt idx="151">
                        <c:v>4.2334871024621314</c:v>
                      </c:pt>
                      <c:pt idx="152">
                        <c:v>4.2410239973942145</c:v>
                      </c:pt>
                      <c:pt idx="153">
                        <c:v>4.2485647527221371</c:v>
                      </c:pt>
                      <c:pt idx="154">
                        <c:v>4.2561093400494903</c:v>
                      </c:pt>
                      <c:pt idx="155">
                        <c:v>4.26365773126013</c:v>
                      </c:pt>
                      <c:pt idx="156">
                        <c:v>4.2712098985146936</c:v>
                      </c:pt>
                      <c:pt idx="157">
                        <c:v>4.2787658142471843</c:v>
                      </c:pt>
                      <c:pt idx="158">
                        <c:v>4.2863254511615922</c:v>
                      </c:pt>
                      <c:pt idx="159">
                        <c:v>4.2938887822285725</c:v>
                      </c:pt>
                      <c:pt idx="160">
                        <c:v>4.3014557806821747</c:v>
                      </c:pt>
                      <c:pt idx="161">
                        <c:v>4.3090264200166155</c:v>
                      </c:pt>
                      <c:pt idx="162">
                        <c:v>4.3166006739831015</c:v>
                      </c:pt>
                      <c:pt idx="163">
                        <c:v>4.3241785165866995</c:v>
                      </c:pt>
                      <c:pt idx="164">
                        <c:v>4.3317599220832506</c:v>
                      </c:pt>
                      <c:pt idx="165">
                        <c:v>4.3393448649763293</c:v>
                      </c:pt>
                      <c:pt idx="166">
                        <c:v>4.3469333200142533</c:v>
                      </c:pt>
                      <c:pt idx="167">
                        <c:v>4.354525262187126</c:v>
                      </c:pt>
                      <c:pt idx="168">
                        <c:v>4.3621206667239312</c:v>
                      </c:pt>
                      <c:pt idx="169">
                        <c:v>4.3697195090896663</c:v>
                      </c:pt>
                      <c:pt idx="170">
                        <c:v>4.3773217649825149</c:v>
                      </c:pt>
                      <c:pt idx="171">
                        <c:v>4.384927410331068</c:v>
                      </c:pt>
                      <c:pt idx="172">
                        <c:v>4.3925364212915738</c:v>
                      </c:pt>
                      <c:pt idx="173">
                        <c:v>4.4001487742452339</c:v>
                      </c:pt>
                      <c:pt idx="174">
                        <c:v>4.4077644457955403</c:v>
                      </c:pt>
                      <c:pt idx="175">
                        <c:v>4.4153834127656477</c:v>
                      </c:pt>
                      <c:pt idx="176">
                        <c:v>4.4230056521957737</c:v>
                      </c:pt>
                      <c:pt idx="177">
                        <c:v>4.4306311413406574</c:v>
                      </c:pt>
                      <c:pt idx="178">
                        <c:v>4.4382598576670347</c:v>
                      </c:pt>
                      <c:pt idx="179">
                        <c:v>4.4458917788511592</c:v>
                      </c:pt>
                      <c:pt idx="180">
                        <c:v>4.4535268827763517</c:v>
                      </c:pt>
                      <c:pt idx="181">
                        <c:v>4.4611651475305889</c:v>
                      </c:pt>
                      <c:pt idx="182">
                        <c:v>4.4688065514041266</c:v>
                      </c:pt>
                      <c:pt idx="183">
                        <c:v>4.4764510728871549</c:v>
                      </c:pt>
                      <c:pt idx="184">
                        <c:v>4.48409869066748</c:v>
                      </c:pt>
                      <c:pt idx="185">
                        <c:v>4.4917493836282523</c:v>
                      </c:pt>
                      <c:pt idx="186">
                        <c:v>4.499403130845705</c:v>
                      </c:pt>
                      <c:pt idx="187">
                        <c:v>4.5070599115869543</c:v>
                      </c:pt>
                      <c:pt idx="188">
                        <c:v>4.5147197053077956</c:v>
                      </c:pt>
                      <c:pt idx="189">
                        <c:v>4.5223824916505553</c:v>
                      </c:pt>
                      <c:pt idx="190">
                        <c:v>4.5300482504419648</c:v>
                      </c:pt>
                      <c:pt idx="191">
                        <c:v>4.537716961691058</c:v>
                      </c:pt>
                      <c:pt idx="192">
                        <c:v>4.545388605587104</c:v>
                      </c:pt>
                      <c:pt idx="193">
                        <c:v>4.5530631624975717</c:v>
                      </c:pt>
                      <c:pt idx="194">
                        <c:v>4.5607406129661037</c:v>
                      </c:pt>
                      <c:pt idx="195">
                        <c:v>4.568420937710548</c:v>
                      </c:pt>
                      <c:pt idx="196">
                        <c:v>4.5761041176209867</c:v>
                      </c:pt>
                      <c:pt idx="197">
                        <c:v>4.5837901337578062</c:v>
                      </c:pt>
                      <c:pt idx="198">
                        <c:v>4.591478967349798</c:v>
                      </c:pt>
                      <c:pt idx="199">
                        <c:v>4.5991705997922674</c:v>
                      </c:pt>
                      <c:pt idx="200">
                        <c:v>4.6068650126451924</c:v>
                      </c:pt>
                    </c:numCache>
                  </c:numRef>
                </c:val>
                <c:smooth val="0"/>
                <c:extLst xmlns:c15="http://schemas.microsoft.com/office/drawing/2012/chart">
                  <c:ext xmlns:c16="http://schemas.microsoft.com/office/drawing/2014/chart" uri="{C3380CC4-5D6E-409C-BE32-E72D297353CC}">
                    <c16:uniqueId val="{00000008-39DF-4DF9-9D5A-11C17911BDD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'Efficiency vs VIN Calculations'!$AF$8</c15:sqref>
                        </c15:formulaRef>
                      </c:ext>
                    </c:extLst>
                    <c:strCache>
                      <c:ptCount val="1"/>
                      <c:pt idx="0">
                        <c:v>Total Cin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Calculations'!$AF$9:$AF$209</c15:sqref>
                        </c15:formulaRef>
                      </c:ext>
                    </c:extLst>
                    <c:numCache>
                      <c:formatCode>0.000</c:formatCode>
                      <c:ptCount val="201"/>
                      <c:pt idx="0">
                        <c:v>5.6109654535195889E-2</c:v>
                      </c:pt>
                      <c:pt idx="1">
                        <c:v>5.6462117129342668E-2</c:v>
                      </c:pt>
                      <c:pt idx="2">
                        <c:v>5.6808454005512085E-2</c:v>
                      </c:pt>
                      <c:pt idx="3">
                        <c:v>5.7148766643195022E-2</c:v>
                      </c:pt>
                      <c:pt idx="4">
                        <c:v>5.7483154589628063E-2</c:v>
                      </c:pt>
                      <c:pt idx="5">
                        <c:v>5.7811715502547614E-2</c:v>
                      </c:pt>
                      <c:pt idx="6">
                        <c:v>5.8134545191856318E-2</c:v>
                      </c:pt>
                      <c:pt idx="7">
                        <c:v>5.8451737660232803E-2</c:v>
                      </c:pt>
                      <c:pt idx="8">
                        <c:v>5.8763385142715681E-2</c:v>
                      </c:pt>
                      <c:pt idx="9">
                        <c:v>5.9069578145290839E-2</c:v>
                      </c:pt>
                      <c:pt idx="10">
                        <c:v>5.9370405482510616E-2</c:v>
                      </c:pt>
                      <c:pt idx="11">
                        <c:v>5.9665954314172369E-2</c:v>
                      </c:pt>
                      <c:pt idx="12">
                        <c:v>5.9956310181083286E-2</c:v>
                      </c:pt>
                      <c:pt idx="13">
                        <c:v>6.0241557039936833E-2</c:v>
                      </c:pt>
                      <c:pt idx="14">
                        <c:v>6.052177729732662E-2</c:v>
                      </c:pt>
                      <c:pt idx="15">
                        <c:v>6.0797051842920932E-2</c:v>
                      </c:pt>
                      <c:pt idx="16">
                        <c:v>6.1067460081822192E-2</c:v>
                      </c:pt>
                      <c:pt idx="17">
                        <c:v>6.1333079966133637E-2</c:v>
                      </c:pt>
                      <c:pt idx="18">
                        <c:v>6.1593988025755587E-2</c:v>
                      </c:pt>
                      <c:pt idx="19">
                        <c:v>6.1850259398432084E-2</c:v>
                      </c:pt>
                      <c:pt idx="20">
                        <c:v>6.2101967859069067E-2</c:v>
                      </c:pt>
                      <c:pt idx="21">
                        <c:v>6.2349185848343994E-2</c:v>
                      </c:pt>
                      <c:pt idx="22">
                        <c:v>6.2591984500626266E-2</c:v>
                      </c:pt>
                      <c:pt idx="23">
                        <c:v>6.2830433671227051E-2</c:v>
                      </c:pt>
                      <c:pt idx="24">
                        <c:v>6.3064601962997346E-2</c:v>
                      </c:pt>
                      <c:pt idx="25">
                        <c:v>6.3294556752291245E-2</c:v>
                      </c:pt>
                      <c:pt idx="26">
                        <c:v>6.3520364214312189E-2</c:v>
                      </c:pt>
                      <c:pt idx="27">
                        <c:v>6.3742089347858383E-2</c:v>
                      </c:pt>
                      <c:pt idx="28">
                        <c:v>6.3959795999483773E-2</c:v>
                      </c:pt>
                      <c:pt idx="29">
                        <c:v>6.4173546887089927E-2</c:v>
                      </c:pt>
                      <c:pt idx="30">
                        <c:v>6.4383403622964644E-2</c:v>
                      </c:pt>
                      <c:pt idx="31">
                        <c:v>6.4589426736280917E-2</c:v>
                      </c:pt>
                      <c:pt idx="32">
                        <c:v>6.4791675695071854E-2</c:v>
                      </c:pt>
                      <c:pt idx="33">
                        <c:v>6.4990208927694262E-2</c:v>
                      </c:pt>
                      <c:pt idx="34">
                        <c:v>6.5185083843794997E-2</c:v>
                      </c:pt>
                      <c:pt idx="35">
                        <c:v>6.5376356854793052E-2</c:v>
                      </c:pt>
                      <c:pt idx="36">
                        <c:v>6.5564083393889708E-2</c:v>
                      </c:pt>
                      <c:pt idx="37">
                        <c:v>6.5748317935619638E-2</c:v>
                      </c:pt>
                      <c:pt idx="38">
                        <c:v>6.5929114014954243E-2</c:v>
                      </c:pt>
                      <c:pt idx="39">
                        <c:v>6.6106524245969356E-2</c:v>
                      </c:pt>
                      <c:pt idx="40">
                        <c:v>6.6280600340088272E-2</c:v>
                      </c:pt>
                      <c:pt idx="41">
                        <c:v>6.6451393123911073E-2</c:v>
                      </c:pt>
                      <c:pt idx="42">
                        <c:v>6.6618952556640965E-2</c:v>
                      </c:pt>
                      <c:pt idx="43">
                        <c:v>6.6783327747117829E-2</c:v>
                      </c:pt>
                      <c:pt idx="44">
                        <c:v>6.6944566970469174E-2</c:v>
                      </c:pt>
                      <c:pt idx="45">
                        <c:v>6.7102717684387872E-2</c:v>
                      </c:pt>
                      <c:pt idx="46">
                        <c:v>6.7257826545046584E-2</c:v>
                      </c:pt>
                      <c:pt idx="47">
                        <c:v>6.7409939422657619E-2</c:v>
                      </c:pt>
                      <c:pt idx="48">
                        <c:v>6.7559101416687611E-2</c:v>
                      </c:pt>
                      <c:pt idx="49">
                        <c:v>6.7705356870735284E-2</c:v>
                      </c:pt>
                      <c:pt idx="50">
                        <c:v>6.7848749387080742E-2</c:v>
                      </c:pt>
                      <c:pt idx="51">
                        <c:v>6.7989321840915051E-2</c:v>
                      </c:pt>
                      <c:pt idx="52">
                        <c:v>6.8127116394257226E-2</c:v>
                      </c:pt>
                      <c:pt idx="53">
                        <c:v>6.8262174509567161E-2</c:v>
                      </c:pt>
                      <c:pt idx="54">
                        <c:v>6.8394536963061275E-2</c:v>
                      </c:pt>
                      <c:pt idx="55">
                        <c:v>6.8524243857739017E-2</c:v>
                      </c:pt>
                      <c:pt idx="56">
                        <c:v>6.8651334636126521E-2</c:v>
                      </c:pt>
                      <c:pt idx="57">
                        <c:v>6.8775848092745062E-2</c:v>
                      </c:pt>
                      <c:pt idx="58">
                        <c:v>6.889782238631055E-2</c:v>
                      </c:pt>
                      <c:pt idx="59">
                        <c:v>6.9017295051670771E-2</c:v>
                      </c:pt>
                      <c:pt idx="60">
                        <c:v>6.9134303011486667E-2</c:v>
                      </c:pt>
                      <c:pt idx="61">
                        <c:v>6.9248882587664415E-2</c:v>
                      </c:pt>
                      <c:pt idx="62">
                        <c:v>6.9361069512543047E-2</c:v>
                      </c:pt>
                      <c:pt idx="63">
                        <c:v>6.9470898939845177E-2</c:v>
                      </c:pt>
                      <c:pt idx="64">
                        <c:v>6.9578405455394912E-2</c:v>
                      </c:pt>
                      <c:pt idx="65">
                        <c:v>6.9683623087609781E-2</c:v>
                      </c:pt>
                      <c:pt idx="66">
                        <c:v>6.9786585317771252E-2</c:v>
                      </c:pt>
                      <c:pt idx="67">
                        <c:v>6.988732509007943E-2</c:v>
                      </c:pt>
                      <c:pt idx="68">
                        <c:v>6.9985874821497374E-2</c:v>
                      </c:pt>
                      <c:pt idx="69">
                        <c:v>7.0082266411389066E-2</c:v>
                      </c:pt>
                      <c:pt idx="70">
                        <c:v>7.0176531250957103E-2</c:v>
                      </c:pt>
                      <c:pt idx="71">
                        <c:v>7.0268700232483924E-2</c:v>
                      </c:pt>
                      <c:pt idx="72">
                        <c:v>7.0358803758381494E-2</c:v>
                      </c:pt>
                      <c:pt idx="73">
                        <c:v>7.0446871750054083E-2</c:v>
                      </c:pt>
                      <c:pt idx="74">
                        <c:v>7.0532933656578214E-2</c:v>
                      </c:pt>
                      <c:pt idx="75">
                        <c:v>7.0617018463204118E-2</c:v>
                      </c:pt>
                      <c:pt idx="76">
                        <c:v>7.0699154699683103E-2</c:v>
                      </c:pt>
                      <c:pt idx="77">
                        <c:v>7.0779370448424389E-2</c:v>
                      </c:pt>
                      <c:pt idx="78">
                        <c:v>7.0857693352485707E-2</c:v>
                      </c:pt>
                      <c:pt idx="79">
                        <c:v>7.0934150623401637E-2</c:v>
                      </c:pt>
                      <c:pt idx="80">
                        <c:v>7.1008769048852477E-2</c:v>
                      </c:pt>
                      <c:pt idx="81">
                        <c:v>7.1081575000178795E-2</c:v>
                      </c:pt>
                      <c:pt idx="82">
                        <c:v>7.1152594439743741E-2</c:v>
                      </c:pt>
                      <c:pt idx="83">
                        <c:v>7.1221852928147533E-2</c:v>
                      </c:pt>
                      <c:pt idx="84">
                        <c:v>7.1289375631296961E-2</c:v>
                      </c:pt>
                      <c:pt idx="85">
                        <c:v>7.1355187327333508E-2</c:v>
                      </c:pt>
                      <c:pt idx="86">
                        <c:v>7.1419312413423003E-2</c:v>
                      </c:pt>
                      <c:pt idx="87">
                        <c:v>7.1481774912410215E-2</c:v>
                      </c:pt>
                      <c:pt idx="88">
                        <c:v>7.1542598479341177E-2</c:v>
                      </c:pt>
                      <c:pt idx="89">
                        <c:v>7.1601806407856294E-2</c:v>
                      </c:pt>
                      <c:pt idx="90">
                        <c:v>7.1659421636457124E-2</c:v>
                      </c:pt>
                      <c:pt idx="91">
                        <c:v>7.1715466754649779E-2</c:v>
                      </c:pt>
                      <c:pt idx="92">
                        <c:v>7.1769964008967277E-2</c:v>
                      </c:pt>
                      <c:pt idx="93">
                        <c:v>7.182293530887407E-2</c:v>
                      </c:pt>
                      <c:pt idx="94">
                        <c:v>7.1874402232554951E-2</c:v>
                      </c:pt>
                      <c:pt idx="95">
                        <c:v>7.1924386032591006E-2</c:v>
                      </c:pt>
                      <c:pt idx="96">
                        <c:v>7.1972907641525183E-2</c:v>
                      </c:pt>
                      <c:pt idx="97">
                        <c:v>7.2019987677319888E-2</c:v>
                      </c:pt>
                      <c:pt idx="98">
                        <c:v>7.2065646448708623E-2</c:v>
                      </c:pt>
                      <c:pt idx="99">
                        <c:v>7.2109903960444546E-2</c:v>
                      </c:pt>
                      <c:pt idx="100">
                        <c:v>7.2152779918447887E-2</c:v>
                      </c:pt>
                      <c:pt idx="101">
                        <c:v>7.2194293734854198E-2</c:v>
                      </c:pt>
                      <c:pt idx="102">
                        <c:v>7.2234464532966211E-2</c:v>
                      </c:pt>
                      <c:pt idx="103">
                        <c:v>7.2273311152110511E-2</c:v>
                      </c:pt>
                      <c:pt idx="104">
                        <c:v>7.2310852152402114E-2</c:v>
                      </c:pt>
                      <c:pt idx="105">
                        <c:v>7.2347105819417848E-2</c:v>
                      </c:pt>
                      <c:pt idx="106">
                        <c:v>7.2382090168781402E-2</c:v>
                      </c:pt>
                      <c:pt idx="107">
                        <c:v>7.2415822950661346E-2</c:v>
                      </c:pt>
                      <c:pt idx="108">
                        <c:v>7.2448321654184286E-2</c:v>
                      </c:pt>
                      <c:pt idx="109">
                        <c:v>7.247960351176469E-2</c:v>
                      </c:pt>
                      <c:pt idx="110">
                        <c:v>7.2509685503353599E-2</c:v>
                      </c:pt>
                      <c:pt idx="111">
                        <c:v>7.2538584360607339E-2</c:v>
                      </c:pt>
                      <c:pt idx="112">
                        <c:v>7.2566316570978312E-2</c:v>
                      </c:pt>
                      <c:pt idx="113">
                        <c:v>7.259289838172979E-2</c:v>
                      </c:pt>
                      <c:pt idx="114">
                        <c:v>7.2618345803875287E-2</c:v>
                      </c:pt>
                      <c:pt idx="115">
                        <c:v>7.2642674616045358E-2</c:v>
                      </c:pt>
                      <c:pt idx="116">
                        <c:v>7.2665900368282452E-2</c:v>
                      </c:pt>
                      <c:pt idx="117">
                        <c:v>7.2688038385765569E-2</c:v>
                      </c:pt>
                      <c:pt idx="118">
                        <c:v>7.270910377246631E-2</c:v>
                      </c:pt>
                      <c:pt idx="119">
                        <c:v>7.2729111414737674E-2</c:v>
                      </c:pt>
                      <c:pt idx="120">
                        <c:v>7.2748075984836943E-2</c:v>
                      </c:pt>
                      <c:pt idx="121">
                        <c:v>7.2766011944383868E-2</c:v>
                      </c:pt>
                      <c:pt idx="122">
                        <c:v>7.2782933547755904E-2</c:v>
                      </c:pt>
                      <c:pt idx="123">
                        <c:v>7.2798854845421465E-2</c:v>
                      </c:pt>
                      <c:pt idx="124">
                        <c:v>7.281378968721243E-2</c:v>
                      </c:pt>
                      <c:pt idx="125">
                        <c:v>7.2827751725537487E-2</c:v>
                      </c:pt>
                      <c:pt idx="126">
                        <c:v>7.2840754418537018E-2</c:v>
                      </c:pt>
                      <c:pt idx="127">
                        <c:v>7.2852811033181183E-2</c:v>
                      </c:pt>
                      <c:pt idx="128">
                        <c:v>7.2863934648312173E-2</c:v>
                      </c:pt>
                      <c:pt idx="129">
                        <c:v>7.2874138157631579E-2</c:v>
                      </c:pt>
                      <c:pt idx="130">
                        <c:v>7.2883434272634426E-2</c:v>
                      </c:pt>
                      <c:pt idx="131">
                        <c:v>7.2891835525490292E-2</c:v>
                      </c:pt>
                      <c:pt idx="132">
                        <c:v>7.2899354271873537E-2</c:v>
                      </c:pt>
                      <c:pt idx="133">
                        <c:v>7.290600269374245E-2</c:v>
                      </c:pt>
                      <c:pt idx="134">
                        <c:v>7.2911792802069414E-2</c:v>
                      </c:pt>
                      <c:pt idx="135">
                        <c:v>7.2916736439522539E-2</c:v>
                      </c:pt>
                      <c:pt idx="136">
                        <c:v>7.2920845283099722E-2</c:v>
                      </c:pt>
                      <c:pt idx="137">
                        <c:v>7.2924130846716242E-2</c:v>
                      </c:pt>
                      <c:pt idx="138">
                        <c:v>7.2926604483746812E-2</c:v>
                      </c:pt>
                      <c:pt idx="139">
                        <c:v>7.2928277389522816E-2</c:v>
                      </c:pt>
                      <c:pt idx="140">
                        <c:v>7.2929160603785737E-2</c:v>
                      </c:pt>
                      <c:pt idx="141">
                        <c:v>7.2929265013097835E-2</c:v>
                      </c:pt>
                      <c:pt idx="142">
                        <c:v>7.2928601353210346E-2</c:v>
                      </c:pt>
                      <c:pt idx="143">
                        <c:v>7.2927180211390677E-2</c:v>
                      </c:pt>
                      <c:pt idx="144">
                        <c:v>7.2925012028709046E-2</c:v>
                      </c:pt>
                      <c:pt idx="145">
                        <c:v>7.2922107102285416E-2</c:v>
                      </c:pt>
                      <c:pt idx="146">
                        <c:v>7.2918475587497478E-2</c:v>
                      </c:pt>
                      <c:pt idx="147">
                        <c:v>7.2914127500150611E-2</c:v>
                      </c:pt>
                      <c:pt idx="148">
                        <c:v>7.2909072718610135E-2</c:v>
                      </c:pt>
                      <c:pt idx="149">
                        <c:v>7.2903320985897288E-2</c:v>
                      </c:pt>
                      <c:pt idx="150">
                        <c:v>7.2896881911748826E-2</c:v>
                      </c:pt>
                      <c:pt idx="151">
                        <c:v>7.2889764974641516E-2</c:v>
                      </c:pt>
                      <c:pt idx="152">
                        <c:v>7.288197952378199E-2</c:v>
                      </c:pt>
                      <c:pt idx="153">
                        <c:v>7.2873534781062635E-2</c:v>
                      </c:pt>
                      <c:pt idx="154">
                        <c:v>7.2864439842984241E-2</c:v>
                      </c:pt>
                      <c:pt idx="155">
                        <c:v>7.2854703682545707E-2</c:v>
                      </c:pt>
                      <c:pt idx="156">
                        <c:v>7.2844335151102099E-2</c:v>
                      </c:pt>
                      <c:pt idx="157">
                        <c:v>7.2833342980191201E-2</c:v>
                      </c:pt>
                      <c:pt idx="158">
                        <c:v>7.2821735783328775E-2</c:v>
                      </c:pt>
                      <c:pt idx="159">
                        <c:v>7.280952205777412E-2</c:v>
                      </c:pt>
                      <c:pt idx="160">
                        <c:v>7.2796710186265642E-2</c:v>
                      </c:pt>
                      <c:pt idx="161">
                        <c:v>7.2783308438727448E-2</c:v>
                      </c:pt>
                      <c:pt idx="162">
                        <c:v>7.2769324973947266E-2</c:v>
                      </c:pt>
                      <c:pt idx="163">
                        <c:v>7.2754767841226212E-2</c:v>
                      </c:pt>
                      <c:pt idx="164">
                        <c:v>7.2739644982001514E-2</c:v>
                      </c:pt>
                      <c:pt idx="165">
                        <c:v>7.2723964231441424E-2</c:v>
                      </c:pt>
                      <c:pt idx="166">
                        <c:v>7.2707733320014567E-2</c:v>
                      </c:pt>
                      <c:pt idx="167">
                        <c:v>7.2690959875032379E-2</c:v>
                      </c:pt>
                      <c:pt idx="168">
                        <c:v>7.2673651422166891E-2</c:v>
                      </c:pt>
                      <c:pt idx="169">
                        <c:v>7.2655815386942574E-2</c:v>
                      </c:pt>
                      <c:pt idx="170">
                        <c:v>7.263745909620449E-2</c:v>
                      </c:pt>
                      <c:pt idx="171">
                        <c:v>7.2618589779561482E-2</c:v>
                      </c:pt>
                      <c:pt idx="172">
                        <c:v>7.2599214570806342E-2</c:v>
                      </c:pt>
                      <c:pt idx="173">
                        <c:v>7.2579340509312279E-2</c:v>
                      </c:pt>
                      <c:pt idx="174">
                        <c:v>7.2558974541406723E-2</c:v>
                      </c:pt>
                      <c:pt idx="175">
                        <c:v>7.25381235217228E-2</c:v>
                      </c:pt>
                      <c:pt idx="176">
                        <c:v>7.2516794214528613E-2</c:v>
                      </c:pt>
                      <c:pt idx="177">
                        <c:v>7.2494993295035087E-2</c:v>
                      </c:pt>
                      <c:pt idx="178">
                        <c:v>7.2472727350682511E-2</c:v>
                      </c:pt>
                      <c:pt idx="179">
                        <c:v>7.24500028824063E-2</c:v>
                      </c:pt>
                      <c:pt idx="180">
                        <c:v>7.2426826305882278E-2</c:v>
                      </c:pt>
                      <c:pt idx="181">
                        <c:v>7.2403203952751821E-2</c:v>
                      </c:pt>
                      <c:pt idx="182">
                        <c:v>7.2379142071827621E-2</c:v>
                      </c:pt>
                      <c:pt idx="183">
                        <c:v>7.2354646830279479E-2</c:v>
                      </c:pt>
                      <c:pt idx="184">
                        <c:v>7.2329724314801724E-2</c:v>
                      </c:pt>
                      <c:pt idx="185">
                        <c:v>7.2304380532761475E-2</c:v>
                      </c:pt>
                      <c:pt idx="186">
                        <c:v>7.2278621413328803E-2</c:v>
                      </c:pt>
                      <c:pt idx="187">
                        <c:v>7.2252452808588996E-2</c:v>
                      </c:pt>
                      <c:pt idx="188">
                        <c:v>7.2225880494636713E-2</c:v>
                      </c:pt>
                      <c:pt idx="189">
                        <c:v>7.2198910172653202E-2</c:v>
                      </c:pt>
                      <c:pt idx="190">
                        <c:v>7.2171547469966249E-2</c:v>
                      </c:pt>
                      <c:pt idx="191">
                        <c:v>7.214379794109331E-2</c:v>
                      </c:pt>
                      <c:pt idx="192">
                        <c:v>7.2115667068768249E-2</c:v>
                      </c:pt>
                      <c:pt idx="193">
                        <c:v>7.2087160264952016E-2</c:v>
                      </c:pt>
                      <c:pt idx="194">
                        <c:v>7.2058282871827237E-2</c:v>
                      </c:pt>
                      <c:pt idx="195">
                        <c:v>7.2029040162777128E-2</c:v>
                      </c:pt>
                      <c:pt idx="196">
                        <c:v>7.1999437343349404E-2</c:v>
                      </c:pt>
                      <c:pt idx="197">
                        <c:v>7.1969479552204813E-2</c:v>
                      </c:pt>
                      <c:pt idx="198">
                        <c:v>7.1939171862050996E-2</c:v>
                      </c:pt>
                      <c:pt idx="199">
                        <c:v>7.1908519280561647E-2</c:v>
                      </c:pt>
                      <c:pt idx="200">
                        <c:v>7.1877526751281617E-2</c:v>
                      </c:pt>
                    </c:numCache>
                  </c:numRef>
                </c:val>
                <c:smooth val="0"/>
                <c:extLst xmlns:c15="http://schemas.microsoft.com/office/drawing/2012/chart">
                  <c:ext xmlns:c16="http://schemas.microsoft.com/office/drawing/2014/chart" uri="{C3380CC4-5D6E-409C-BE32-E72D297353CC}">
                    <c16:uniqueId val="{00000009-39DF-4DF9-9D5A-11C17911BDDC}"/>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'Efficiency vs VIN Calculations'!$AC$8</c15:sqref>
                        </c15:formulaRef>
                      </c:ext>
                    </c:extLst>
                    <c:strCache>
                      <c:ptCount val="1"/>
                      <c:pt idx="0">
                        <c:v>Total Cout Loss</c:v>
                      </c:pt>
                    </c:strCache>
                  </c:strRef>
                </c:tx>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Calculations'!$AC$9:$AC$209</c15:sqref>
                        </c15:formulaRef>
                      </c:ext>
                    </c:extLst>
                    <c:numCache>
                      <c:formatCode>0.000</c:formatCode>
                      <c:ptCount val="201"/>
                      <c:pt idx="0">
                        <c:v>2.6259597524932012E-3</c:v>
                      </c:pt>
                      <c:pt idx="1">
                        <c:v>2.6757465998962959E-3</c:v>
                      </c:pt>
                      <c:pt idx="2">
                        <c:v>2.7256505648593898E-3</c:v>
                      </c:pt>
                      <c:pt idx="3">
                        <c:v>2.7756656482147918E-3</c:v>
                      </c:pt>
                      <c:pt idx="4">
                        <c:v>2.8257859992278141E-3</c:v>
                      </c:pt>
                      <c:pt idx="5">
                        <c:v>2.8760059119227487E-3</c:v>
                      </c:pt>
                      <c:pt idx="6">
                        <c:v>2.9263198215073011E-3</c:v>
                      </c:pt>
                      <c:pt idx="7">
                        <c:v>2.9767223008926196E-3</c:v>
                      </c:pt>
                      <c:pt idx="8">
                        <c:v>3.0272080573061017E-3</c:v>
                      </c:pt>
                      <c:pt idx="9">
                        <c:v>3.0777719289942578E-3</c:v>
                      </c:pt>
                      <c:pt idx="10">
                        <c:v>3.1284088820129879E-3</c:v>
                      </c:pt>
                      <c:pt idx="11">
                        <c:v>3.1791140071027774E-3</c:v>
                      </c:pt>
                      <c:pt idx="12">
                        <c:v>3.2298825166463029E-3</c:v>
                      </c:pt>
                      <c:pt idx="13">
                        <c:v>3.2807097417060695E-3</c:v>
                      </c:pt>
                      <c:pt idx="14">
                        <c:v>3.3315911291397992E-3</c:v>
                      </c:pt>
                      <c:pt idx="15">
                        <c:v>3.3825222387912916E-3</c:v>
                      </c:pt>
                      <c:pt idx="16">
                        <c:v>3.4334987407546452E-3</c:v>
                      </c:pt>
                      <c:pt idx="17">
                        <c:v>3.4845164127096867E-3</c:v>
                      </c:pt>
                      <c:pt idx="18">
                        <c:v>3.5355711373265971E-3</c:v>
                      </c:pt>
                      <c:pt idx="19">
                        <c:v>3.586658899737815E-3</c:v>
                      </c:pt>
                      <c:pt idx="20">
                        <c:v>3.6377757850752142E-3</c:v>
                      </c:pt>
                      <c:pt idx="21">
                        <c:v>3.6889179760708052E-3</c:v>
                      </c:pt>
                      <c:pt idx="22">
                        <c:v>3.7400817507190821E-3</c:v>
                      </c:pt>
                      <c:pt idx="23">
                        <c:v>3.7912634799993801E-3</c:v>
                      </c:pt>
                      <c:pt idx="24">
                        <c:v>3.842459625656458E-3</c:v>
                      </c:pt>
                      <c:pt idx="25">
                        <c:v>3.893666738037746E-3</c:v>
                      </c:pt>
                      <c:pt idx="26">
                        <c:v>3.9448814539856693E-3</c:v>
                      </c:pt>
                      <c:pt idx="27">
                        <c:v>3.9961004947834736E-3</c:v>
                      </c:pt>
                      <c:pt idx="28">
                        <c:v>4.0473206641531388E-3</c:v>
                      </c:pt>
                      <c:pt idx="29">
                        <c:v>4.0985388463038504E-3</c:v>
                      </c:pt>
                      <c:pt idx="30">
                        <c:v>4.1497520040297518E-3</c:v>
                      </c:pt>
                      <c:pt idx="31">
                        <c:v>4.2009571768554764E-3</c:v>
                      </c:pt>
                      <c:pt idx="32">
                        <c:v>4.2521514792282838E-3</c:v>
                      </c:pt>
                      <c:pt idx="33">
                        <c:v>4.3033320987554378E-3</c:v>
                      </c:pt>
                      <c:pt idx="34">
                        <c:v>4.3544962944856401E-3</c:v>
                      </c:pt>
                      <c:pt idx="35">
                        <c:v>4.4056413952332568E-3</c:v>
                      </c:pt>
                      <c:pt idx="36">
                        <c:v>4.456764797944289E-3</c:v>
                      </c:pt>
                      <c:pt idx="37">
                        <c:v>4.5078639661028166E-3</c:v>
                      </c:pt>
                      <c:pt idx="38">
                        <c:v>4.5589364281769266E-3</c:v>
                      </c:pt>
                      <c:pt idx="39">
                        <c:v>4.609979776103031E-3</c:v>
                      </c:pt>
                      <c:pt idx="40">
                        <c:v>4.6609916638075182E-3</c:v>
                      </c:pt>
                      <c:pt idx="41">
                        <c:v>4.711969805764795E-3</c:v>
                      </c:pt>
                      <c:pt idx="42">
                        <c:v>4.7629119755906472E-3</c:v>
                      </c:pt>
                      <c:pt idx="43">
                        <c:v>4.8138160046700962E-3</c:v>
                      </c:pt>
                      <c:pt idx="44">
                        <c:v>4.8646797808187649E-3</c:v>
                      </c:pt>
                      <c:pt idx="45">
                        <c:v>4.9155012469768514E-3</c:v>
                      </c:pt>
                      <c:pt idx="46">
                        <c:v>4.9662783999348814E-3</c:v>
                      </c:pt>
                      <c:pt idx="47">
                        <c:v>5.0170092890904176E-3</c:v>
                      </c:pt>
                      <c:pt idx="48">
                        <c:v>5.0676920152348389E-3</c:v>
                      </c:pt>
                      <c:pt idx="49">
                        <c:v>5.1183247293694698E-3</c:v>
                      </c:pt>
                      <c:pt idx="50">
                        <c:v>5.1689056315502814E-3</c:v>
                      </c:pt>
                      <c:pt idx="51">
                        <c:v>5.2194329697603402E-3</c:v>
                      </c:pt>
                      <c:pt idx="52">
                        <c:v>5.2699050388094219E-3</c:v>
                      </c:pt>
                      <c:pt idx="53">
                        <c:v>5.320320179259928E-3</c:v>
                      </c:pt>
                      <c:pt idx="54">
                        <c:v>5.3706767763785556E-3</c:v>
                      </c:pt>
                      <c:pt idx="55">
                        <c:v>5.4209732591129559E-3</c:v>
                      </c:pt>
                      <c:pt idx="56">
                        <c:v>5.4712080990927947E-3</c:v>
                      </c:pt>
                      <c:pt idx="57">
                        <c:v>5.521379809654549E-3</c:v>
                      </c:pt>
                      <c:pt idx="58">
                        <c:v>5.5714869448894866E-3</c:v>
                      </c:pt>
                      <c:pt idx="59">
                        <c:v>5.6215280987141417E-3</c:v>
                      </c:pt>
                      <c:pt idx="60">
                        <c:v>5.6715019039628098E-3</c:v>
                      </c:pt>
                      <c:pt idx="61">
                        <c:v>5.7214070315013991E-3</c:v>
                      </c:pt>
                      <c:pt idx="62">
                        <c:v>5.7712421893622431E-3</c:v>
                      </c:pt>
                      <c:pt idx="63">
                        <c:v>5.821006121899122E-3</c:v>
                      </c:pt>
                      <c:pt idx="64">
                        <c:v>5.8706976089622264E-3</c:v>
                      </c:pt>
                      <c:pt idx="65">
                        <c:v>5.9203154650923516E-3</c:v>
                      </c:pt>
                      <c:pt idx="66">
                        <c:v>5.9698585387339799E-3</c:v>
                      </c:pt>
                      <c:pt idx="67">
                        <c:v>6.0193257114666823E-3</c:v>
                      </c:pt>
                      <c:pt idx="68">
                        <c:v>6.0687158972544397E-3</c:v>
                      </c:pt>
                      <c:pt idx="69">
                        <c:v>6.1180280417124202E-3</c:v>
                      </c:pt>
                      <c:pt idx="70">
                        <c:v>6.1672611213907328E-3</c:v>
                      </c:pt>
                      <c:pt idx="71">
                        <c:v>6.2164141430747916E-3</c:v>
                      </c:pt>
                      <c:pt idx="72">
                        <c:v>6.2654861431018687E-3</c:v>
                      </c:pt>
                      <c:pt idx="73">
                        <c:v>6.3144761866933772E-3</c:v>
                      </c:pt>
                      <c:pt idx="74">
                        <c:v>6.3633833673025879E-3</c:v>
                      </c:pt>
                      <c:pt idx="75">
                        <c:v>6.4122068059772955E-3</c:v>
                      </c:pt>
                      <c:pt idx="76">
                        <c:v>6.4609456507371604E-3</c:v>
                      </c:pt>
                      <c:pt idx="77">
                        <c:v>6.5095990759652727E-3</c:v>
                      </c:pt>
                      <c:pt idx="78">
                        <c:v>6.5581662818137015E-3</c:v>
                      </c:pt>
                      <c:pt idx="79">
                        <c:v>6.6066464936225533E-3</c:v>
                      </c:pt>
                      <c:pt idx="80">
                        <c:v>6.6550389613523313E-3</c:v>
                      </c:pt>
                      <c:pt idx="81">
                        <c:v>6.7033429590291575E-3</c:v>
                      </c:pt>
                      <c:pt idx="82">
                        <c:v>6.7515577842026907E-3</c:v>
                      </c:pt>
                      <c:pt idx="83">
                        <c:v>6.7996827574162708E-3</c:v>
                      </c:pt>
                      <c:pt idx="84">
                        <c:v>6.847717221689067E-3</c:v>
                      </c:pt>
                      <c:pt idx="85">
                        <c:v>6.8956605420099912E-3</c:v>
                      </c:pt>
                      <c:pt idx="86">
                        <c:v>6.9435121048430125E-3</c:v>
                      </c:pt>
                      <c:pt idx="87">
                        <c:v>6.9912713176436131E-3</c:v>
                      </c:pt>
                      <c:pt idx="88">
                        <c:v>7.0389376083861352E-3</c:v>
                      </c:pt>
                      <c:pt idx="89">
                        <c:v>7.0865104251017618E-3</c:v>
                      </c:pt>
                      <c:pt idx="90">
                        <c:v>7.1339892354268805E-3</c:v>
                      </c:pt>
                      <c:pt idx="91">
                        <c:v>7.1813735261615202E-3</c:v>
                      </c:pt>
                      <c:pt idx="92">
                        <c:v>7.2286628028377219E-3</c:v>
                      </c:pt>
                      <c:pt idx="93">
                        <c:v>7.2758565892975255E-3</c:v>
                      </c:pt>
                      <c:pt idx="94">
                        <c:v>7.3229544272803565E-3</c:v>
                      </c:pt>
                      <c:pt idx="95">
                        <c:v>7.3699558760196683E-3</c:v>
                      </c:pt>
                      <c:pt idx="96">
                        <c:v>7.4168605118484603E-3</c:v>
                      </c:pt>
                      <c:pt idx="97">
                        <c:v>7.4636679278136725E-3</c:v>
                      </c:pt>
                      <c:pt idx="98">
                        <c:v>7.51037773329902E-3</c:v>
                      </c:pt>
                      <c:pt idx="99">
                        <c:v>7.5569895536562823E-3</c:v>
                      </c:pt>
                      <c:pt idx="100">
                        <c:v>7.6035030298446729E-3</c:v>
                      </c:pt>
                      <c:pt idx="101">
                        <c:v>7.649917818078231E-3</c:v>
                      </c:pt>
                      <c:pt idx="102">
                        <c:v>7.6962335894809695E-3</c:v>
                      </c:pt>
                      <c:pt idx="103">
                        <c:v>7.7424500297496E-3</c:v>
                      </c:pt>
                      <c:pt idx="104">
                        <c:v>7.7885668388237433E-3</c:v>
                      </c:pt>
                      <c:pt idx="105">
                        <c:v>7.8345837305633E-3</c:v>
                      </c:pt>
                      <c:pt idx="106">
                        <c:v>7.8805004324329873E-3</c:v>
                      </c:pt>
                      <c:pt idx="107">
                        <c:v>7.9263166851937291E-3</c:v>
                      </c:pt>
                      <c:pt idx="108">
                        <c:v>7.9720322426008444E-3</c:v>
                      </c:pt>
                      <c:pt idx="109">
                        <c:v>8.0176468711087821E-3</c:v>
                      </c:pt>
                      <c:pt idx="110">
                        <c:v>8.0631603495823888E-3</c:v>
                      </c:pt>
                      <c:pt idx="111">
                        <c:v>8.1085724690143843E-3</c:v>
                      </c:pt>
                      <c:pt idx="112">
                        <c:v>8.1538830322490582E-3</c:v>
                      </c:pt>
                      <c:pt idx="113">
                        <c:v>8.1990918537119383E-3</c:v>
                      </c:pt>
                      <c:pt idx="114">
                        <c:v>8.2441987591453519E-3</c:v>
                      </c:pt>
                      <c:pt idx="115">
                        <c:v>8.2892035853497498E-3</c:v>
                      </c:pt>
                      <c:pt idx="116">
                        <c:v>8.3341061799305904E-3</c:v>
                      </c:pt>
                      <c:pt idx="117">
                        <c:v>8.3789064010507588E-3</c:v>
                      </c:pt>
                      <c:pt idx="118">
                        <c:v>8.4236041171883089E-3</c:v>
                      </c:pt>
                      <c:pt idx="119">
                        <c:v>8.4681992068994412E-3</c:v>
                      </c:pt>
                      <c:pt idx="120">
                        <c:v>8.5126915585866433E-3</c:v>
                      </c:pt>
                      <c:pt idx="121">
                        <c:v>8.5570810702717947E-3</c:v>
                      </c:pt>
                      <c:pt idx="122">
                        <c:v>8.6013676493741139E-3</c:v>
                      </c:pt>
                      <c:pt idx="123">
                        <c:v>8.6455512124930384E-3</c:v>
                      </c:pt>
                      <c:pt idx="124">
                        <c:v>8.6896316851955823E-3</c:v>
                      </c:pt>
                      <c:pt idx="125">
                        <c:v>8.7336090018084005E-3</c:v>
                      </c:pt>
                      <c:pt idx="126">
                        <c:v>8.7774831052142756E-3</c:v>
                      </c:pt>
                      <c:pt idx="127">
                        <c:v>8.821253946652929E-3</c:v>
                      </c:pt>
                      <c:pt idx="128">
                        <c:v>8.86492148552619E-3</c:v>
                      </c:pt>
                      <c:pt idx="129">
                        <c:v>8.9084856892072371E-3</c:v>
                      </c:pt>
                      <c:pt idx="130">
                        <c:v>8.9519465328539698E-3</c:v>
                      </c:pt>
                      <c:pt idx="131">
                        <c:v>8.9953039992263818E-3</c:v>
                      </c:pt>
                      <c:pt idx="132">
                        <c:v>9.03855807850781E-3</c:v>
                      </c:pt>
                      <c:pt idx="133">
                        <c:v>9.0817087681299945E-3</c:v>
                      </c:pt>
                      <c:pt idx="134">
                        <c:v>9.1247560726018338E-3</c:v>
                      </c:pt>
                      <c:pt idx="135">
                        <c:v>9.1677000033419317E-3</c:v>
                      </c:pt>
                      <c:pt idx="136">
                        <c:v>9.2105405785144947E-3</c:v>
                      </c:pt>
                      <c:pt idx="137">
                        <c:v>9.253277822868864E-3</c:v>
                      </c:pt>
                      <c:pt idx="138">
                        <c:v>9.2959117675824737E-3</c:v>
                      </c:pt>
                      <c:pt idx="139">
                        <c:v>9.3384424501069888E-3</c:v>
                      </c:pt>
                      <c:pt idx="140">
                        <c:v>9.3808699140179395E-3</c:v>
                      </c:pt>
                      <c:pt idx="141">
                        <c:v>9.4231942088672856E-3</c:v>
                      </c:pt>
                      <c:pt idx="142">
                        <c:v>9.465415390039339E-3</c:v>
                      </c:pt>
                      <c:pt idx="143">
                        <c:v>9.5075335186095497E-3</c:v>
                      </c:pt>
                      <c:pt idx="144">
                        <c:v>9.5495486612064556E-3</c:v>
                      </c:pt>
                      <c:pt idx="145">
                        <c:v>9.5914608898763562E-3</c:v>
                      </c:pt>
                      <c:pt idx="146">
                        <c:v>9.6332702819510452E-3</c:v>
                      </c:pt>
                      <c:pt idx="147">
                        <c:v>9.6749769199182042E-3</c:v>
                      </c:pt>
                      <c:pt idx="148">
                        <c:v>9.7165808912945649E-3</c:v>
                      </c:pt>
                      <c:pt idx="149">
                        <c:v>9.758082288501781E-3</c:v>
                      </c:pt>
                      <c:pt idx="150">
                        <c:v>9.7994812087448483E-3</c:v>
                      </c:pt>
                      <c:pt idx="151">
                        <c:v>9.8407777538932067E-3</c:v>
                      </c:pt>
                      <c:pt idx="152">
                        <c:v>9.8819720303642312E-3</c:v>
                      </c:pt>
                      <c:pt idx="153">
                        <c:v>9.9230641490091961E-3</c:v>
                      </c:pt>
                      <c:pt idx="154">
                        <c:v>9.9640542250017203E-3</c:v>
                      </c:pt>
                      <c:pt idx="155">
                        <c:v>1.0004942377728468E-2</c:v>
                      </c:pt>
                      <c:pt idx="156">
                        <c:v>1.004572873068219E-2</c:v>
                      </c:pt>
                      <c:pt idx="157">
                        <c:v>1.0086413411357062E-2</c:v>
                      </c:pt>
                      <c:pt idx="158">
                        <c:v>1.0126996551146064E-2</c:v>
                      </c:pt>
                      <c:pt idx="159">
                        <c:v>1.0167478285240745E-2</c:v>
                      </c:pt>
                      <c:pt idx="160">
                        <c:v>1.0207858752532889E-2</c:v>
                      </c:pt>
                      <c:pt idx="161">
                        <c:v>1.0248138095518373E-2</c:v>
                      </c:pt>
                      <c:pt idx="162">
                        <c:v>1.0288316460202982E-2</c:v>
                      </c:pt>
                      <c:pt idx="163">
                        <c:v>1.0328393996010231E-2</c:v>
                      </c:pt>
                      <c:pt idx="164">
                        <c:v>1.036837085569111E-2</c:v>
                      </c:pt>
                      <c:pt idx="165">
                        <c:v>1.0408247195235747E-2</c:v>
                      </c:pt>
                      <c:pt idx="166">
                        <c:v>1.0448023173786864E-2</c:v>
                      </c:pt>
                      <c:pt idx="167">
                        <c:v>1.0487698953555112E-2</c:v>
                      </c:pt>
                      <c:pt idx="168">
                        <c:v>1.0527274699736154E-2</c:v>
                      </c:pt>
                      <c:pt idx="169">
                        <c:v>1.0566750580429503E-2</c:v>
                      </c:pt>
                      <c:pt idx="170">
                        <c:v>1.0606126766559029E-2</c:v>
                      </c:pt>
                      <c:pt idx="171">
                        <c:v>1.0645403431795186E-2</c:v>
                      </c:pt>
                      <c:pt idx="172">
                        <c:v>1.0684580752478806E-2</c:v>
                      </c:pt>
                      <c:pt idx="173">
                        <c:v>1.0723658907546561E-2</c:v>
                      </c:pt>
                      <c:pt idx="174">
                        <c:v>1.076263807845791E-2</c:v>
                      </c:pt>
                      <c:pt idx="175">
                        <c:v>1.0801518449123691E-2</c:v>
                      </c:pt>
                      <c:pt idx="176">
                        <c:v>1.0840300205836054E-2</c:v>
                      </c:pt>
                      <c:pt idx="177">
                        <c:v>1.0878983537200028E-2</c:v>
                      </c:pt>
                      <c:pt idx="178">
                        <c:v>1.0917568634066411E-2</c:v>
                      </c:pt>
                      <c:pt idx="179">
                        <c:v>1.0956055689466105E-2</c:v>
                      </c:pt>
                      <c:pt idx="180">
                        <c:v>1.0994444898545848E-2</c:v>
                      </c:pt>
                      <c:pt idx="181">
                        <c:v>1.1032736458505266E-2</c:v>
                      </c:pt>
                      <c:pt idx="182">
                        <c:v>1.1070930568535258E-2</c:v>
                      </c:pt>
                      <c:pt idx="183">
                        <c:v>1.1109027429757706E-2</c:v>
                      </c:pt>
                      <c:pt idx="184">
                        <c:v>1.1147027245166344E-2</c:v>
                      </c:pt>
                      <c:pt idx="185">
                        <c:v>1.1184930219569065E-2</c:v>
                      </c:pt>
                      <c:pt idx="186">
                        <c:v>1.1222736559531222E-2</c:v>
                      </c:pt>
                      <c:pt idx="187">
                        <c:v>1.1260446473320303E-2</c:v>
                      </c:pt>
                      <c:pt idx="188">
                        <c:v>1.1298060170851615E-2</c:v>
                      </c:pt>
                      <c:pt idx="189">
                        <c:v>1.1335577863635244E-2</c:v>
                      </c:pt>
                      <c:pt idx="190">
                        <c:v>1.1372999764724103E-2</c:v>
                      </c:pt>
                      <c:pt idx="191">
                        <c:v>1.1410326088662963E-2</c:v>
                      </c:pt>
                      <c:pt idx="192">
                        <c:v>1.1447557051438722E-2</c:v>
                      </c:pt>
                      <c:pt idx="193">
                        <c:v>1.1484692870431619E-2</c:v>
                      </c:pt>
                      <c:pt idx="194">
                        <c:v>1.1521733764367515E-2</c:v>
                      </c:pt>
                      <c:pt idx="195">
                        <c:v>1.1558679953271166E-2</c:v>
                      </c:pt>
                      <c:pt idx="196">
                        <c:v>1.1595531658420494E-2</c:v>
                      </c:pt>
                      <c:pt idx="197">
                        <c:v>1.1632289102301819E-2</c:v>
                      </c:pt>
                      <c:pt idx="198">
                        <c:v>1.1668952508566081E-2</c:v>
                      </c:pt>
                      <c:pt idx="199">
                        <c:v>1.1705522101985904E-2</c:v>
                      </c:pt>
                      <c:pt idx="200">
                        <c:v>1.1741998108413641E-2</c:v>
                      </c:pt>
                    </c:numCache>
                  </c:numRef>
                </c:val>
                <c:smooth val="0"/>
                <c:extLst xmlns:c15="http://schemas.microsoft.com/office/drawing/2012/chart">
                  <c:ext xmlns:c16="http://schemas.microsoft.com/office/drawing/2014/chart" uri="{C3380CC4-5D6E-409C-BE32-E72D297353CC}">
                    <c16:uniqueId val="{0000000A-39DF-4DF9-9D5A-11C17911BDDC}"/>
                  </c:ext>
                </c:extLst>
              </c15:ser>
            </c15:filteredLineSeries>
            <c15:filteredLineSeries>
              <c15:ser>
                <c:idx val="3"/>
                <c:order val="11"/>
                <c:tx>
                  <c:v>Inductor Loss</c:v>
                </c:tx>
                <c:spPr>
                  <a:ln w="38100">
                    <a:solidFill>
                      <a:srgbClr val="800080"/>
                    </a:solidFill>
                    <a:prstDash val="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Calculations'!$BP$9:$BP$209</c15:sqref>
                        </c15:formulaRef>
                      </c:ext>
                    </c:extLst>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val>
                <c:smooth val="0"/>
                <c:extLst xmlns:c15="http://schemas.microsoft.com/office/drawing/2012/chart">
                  <c:ext xmlns:c16="http://schemas.microsoft.com/office/drawing/2014/chart" uri="{C3380CC4-5D6E-409C-BE32-E72D297353CC}">
                    <c16:uniqueId val="{0000000B-39DF-4DF9-9D5A-11C17911BDDC}"/>
                  </c:ext>
                </c:extLst>
              </c15:ser>
            </c15:filteredLineSeries>
            <c15:filteredLineSeries>
              <c15:ser>
                <c:idx val="2"/>
                <c:order val="12"/>
                <c:tx>
                  <c:v>Total MOSFET Loss</c:v>
                </c:tx>
                <c:spPr>
                  <a:ln w="38100">
                    <a:solidFill>
                      <a:srgbClr val="808000"/>
                    </a:solidFill>
                    <a:prstDash val="sysDash"/>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Calculations'!$BQ$9:$BQ$209</c15:sqref>
                        </c15:formulaRef>
                      </c:ext>
                    </c:extLst>
                    <c:numCache>
                      <c:formatCode>0.000</c:formatCode>
                      <c:ptCount val="201"/>
                      <c:pt idx="0">
                        <c:v>4.8833771988768673</c:v>
                      </c:pt>
                      <c:pt idx="1">
                        <c:v>4.8925253918995137</c:v>
                      </c:pt>
                      <c:pt idx="2">
                        <c:v>4.9016780655888761</c:v>
                      </c:pt>
                      <c:pt idx="3">
                        <c:v>4.9108351286480012</c:v>
                      </c:pt>
                      <c:pt idx="4">
                        <c:v>4.9199964916870602</c:v>
                      </c:pt>
                      <c:pt idx="5">
                        <c:v>4.9291620671783738</c:v>
                      </c:pt>
                      <c:pt idx="6">
                        <c:v>4.9383317694126685</c:v>
                      </c:pt>
                      <c:pt idx="7">
                        <c:v>4.9475055144564823</c:v>
                      </c:pt>
                      <c:pt idx="8">
                        <c:v>4.9566832201107207</c:v>
                      </c:pt>
                      <c:pt idx="9">
                        <c:v>4.9658648058703125</c:v>
                      </c:pt>
                      <c:pt idx="10">
                        <c:v>4.9750501928849182</c:v>
                      </c:pt>
                      <c:pt idx="11">
                        <c:v>4.9842393039207025</c:v>
                      </c:pt>
                      <c:pt idx="12">
                        <c:v>4.9934320633230813</c:v>
                      </c:pt>
                      <c:pt idx="13">
                        <c:v>5.0026283969804686</c:v>
                      </c:pt>
                      <c:pt idx="14">
                        <c:v>5.0118282322889574</c:v>
                      </c:pt>
                      <c:pt idx="15">
                        <c:v>5.02103149811792</c:v>
                      </c:pt>
                      <c:pt idx="16">
                        <c:v>5.0302381247765062</c:v>
                      </c:pt>
                      <c:pt idx="17">
                        <c:v>5.0394480439810003</c:v>
                      </c:pt>
                      <c:pt idx="18">
                        <c:v>5.0486611888230168</c:v>
                      </c:pt>
                      <c:pt idx="19">
                        <c:v>5.0578774937385234</c:v>
                      </c:pt>
                      <c:pt idx="20">
                        <c:v>5.0670968944776442</c:v>
                      </c:pt>
                      <c:pt idx="21">
                        <c:v>5.0763193280752388</c:v>
                      </c:pt>
                      <c:pt idx="22">
                        <c:v>5.0855447328222185</c:v>
                      </c:pt>
                      <c:pt idx="23">
                        <c:v>5.0947730482376068</c:v>
                      </c:pt>
                      <c:pt idx="24">
                        <c:v>5.1040042150412885</c:v>
                      </c:pt>
                      <c:pt idx="25">
                        <c:v>5.1132381751274467</c:v>
                      </c:pt>
                      <c:pt idx="26">
                        <c:v>5.1224748715386745</c:v>
                      </c:pt>
                      <c:pt idx="27">
                        <c:v>5.1317142484407192</c:v>
                      </c:pt>
                      <c:pt idx="28">
                        <c:v>5.1409562510978697</c:v>
                      </c:pt>
                      <c:pt idx="29">
                        <c:v>5.1502008258489411</c:v>
                      </c:pt>
                      <c:pt idx="30">
                        <c:v>5.1594479200838617</c:v>
                      </c:pt>
                      <c:pt idx="31">
                        <c:v>5.1686974822208329</c:v>
                      </c:pt>
                      <c:pt idx="32">
                        <c:v>5.1779494616840598</c:v>
                      </c:pt>
                      <c:pt idx="33">
                        <c:v>5.1872038088820114</c:v>
                      </c:pt>
                      <c:pt idx="34">
                        <c:v>5.196460475186222</c:v>
                      </c:pt>
                      <c:pt idx="35">
                        <c:v>5.2057194129105984</c:v>
                      </c:pt>
                      <c:pt idx="36">
                        <c:v>5.2149805752912588</c:v>
                      </c:pt>
                      <c:pt idx="37">
                        <c:v>5.2242439164668131</c:v>
                      </c:pt>
                      <c:pt idx="38">
                        <c:v>5.2335093914591546</c:v>
                      </c:pt>
                      <c:pt idx="39">
                        <c:v>5.2427769561546951</c:v>
                      </c:pt>
                      <c:pt idx="40">
                        <c:v>5.252046567286067</c:v>
                      </c:pt>
                      <c:pt idx="41">
                        <c:v>5.2613181824142394</c:v>
                      </c:pt>
                      <c:pt idx="42">
                        <c:v>5.2705917599110776</c:v>
                      </c:pt>
                      <c:pt idx="43">
                        <c:v>5.2798672589423052</c:v>
                      </c:pt>
                      <c:pt idx="44">
                        <c:v>5.2891446394508845</c:v>
                      </c:pt>
                      <c:pt idx="45">
                        <c:v>5.2984238621407691</c:v>
                      </c:pt>
                      <c:pt idx="46">
                        <c:v>5.3077048884610569</c:v>
                      </c:pt>
                      <c:pt idx="47">
                        <c:v>5.3169876805905014</c:v>
                      </c:pt>
                      <c:pt idx="48">
                        <c:v>5.3262722014223911</c:v>
                      </c:pt>
                      <c:pt idx="49">
                        <c:v>5.3355584145497854</c:v>
                      </c:pt>
                      <c:pt idx="50">
                        <c:v>5.3448462842510818</c:v>
                      </c:pt>
                      <c:pt idx="51">
                        <c:v>5.3541357754759309</c:v>
                      </c:pt>
                      <c:pt idx="52">
                        <c:v>5.3634268538314656</c:v>
                      </c:pt>
                      <c:pt idx="53">
                        <c:v>5.3727194855688563</c:v>
                      </c:pt>
                      <c:pt idx="54">
                        <c:v>5.3820136375701688</c:v>
                      </c:pt>
                      <c:pt idx="55">
                        <c:v>5.391309277335532</c:v>
                      </c:pt>
                      <c:pt idx="56">
                        <c:v>5.4006063729705733</c:v>
                      </c:pt>
                      <c:pt idx="57">
                        <c:v>5.4099048931741898</c:v>
                      </c:pt>
                      <c:pt idx="58">
                        <c:v>5.4192048072265342</c:v>
                      </c:pt>
                      <c:pt idx="59">
                        <c:v>5.4285060849773297</c:v>
                      </c:pt>
                      <c:pt idx="60">
                        <c:v>5.4378086968344084</c:v>
                      </c:pt>
                      <c:pt idx="61">
                        <c:v>5.4471126137525285</c:v>
                      </c:pt>
                      <c:pt idx="62">
                        <c:v>5.4564178072224436</c:v>
                      </c:pt>
                      <c:pt idx="63">
                        <c:v>5.4657242492601998</c:v>
                      </c:pt>
                      <c:pt idx="64">
                        <c:v>5.4750319123966866</c:v>
                      </c:pt>
                      <c:pt idx="65">
                        <c:v>5.4843407696674191</c:v>
                      </c:pt>
                      <c:pt idx="66">
                        <c:v>5.4936507946025417</c:v>
                      </c:pt>
                      <c:pt idx="67">
                        <c:v>5.5029619612170579</c:v>
                      </c:pt>
                      <c:pt idx="68">
                        <c:v>5.512274244001266</c:v>
                      </c:pt>
                      <c:pt idx="69">
                        <c:v>5.5215876179114254</c:v>
                      </c:pt>
                      <c:pt idx="70">
                        <c:v>5.5309020583606046</c:v>
                      </c:pt>
                      <c:pt idx="71">
                        <c:v>5.5402175412097474</c:v>
                      </c:pt>
                      <c:pt idx="72">
                        <c:v>5.5495340427589221</c:v>
                      </c:pt>
                      <c:pt idx="73">
                        <c:v>5.5588515397387726</c:v>
                      </c:pt>
                      <c:pt idx="74">
                        <c:v>5.5681700093021433</c:v>
                      </c:pt>
                      <c:pt idx="75">
                        <c:v>5.5774894290158956</c:v>
                      </c:pt>
                      <c:pt idx="76">
                        <c:v>5.5868097768528955</c:v>
                      </c:pt>
                      <c:pt idx="77">
                        <c:v>5.5961310311841741</c:v>
                      </c:pt>
                      <c:pt idx="78">
                        <c:v>5.6054531707712627</c:v>
                      </c:pt>
                      <c:pt idx="79">
                        <c:v>5.6147761747586857</c:v>
                      </c:pt>
                      <c:pt idx="80">
                        <c:v>5.6241000226666111</c:v>
                      </c:pt>
                      <c:pt idx="81">
                        <c:v>5.6334246943836632</c:v>
                      </c:pt>
                      <c:pt idx="82">
                        <c:v>5.6427501701599034</c:v>
                      </c:pt>
                      <c:pt idx="83">
                        <c:v>5.652076430599922</c:v>
                      </c:pt>
                      <c:pt idx="84">
                        <c:v>5.661403456656112</c:v>
                      </c:pt>
                      <c:pt idx="85">
                        <c:v>5.6707312296220653</c:v>
                      </c:pt>
                      <c:pt idx="86">
                        <c:v>5.6800597311261196</c:v>
                      </c:pt>
                      <c:pt idx="87">
                        <c:v>5.6893889431250324</c:v>
                      </c:pt>
                      <c:pt idx="88">
                        <c:v>5.6987188478977897</c:v>
                      </c:pt>
                      <c:pt idx="89">
                        <c:v>5.7080494280395477</c:v>
                      </c:pt>
                      <c:pt idx="90">
                        <c:v>5.7173806664556945</c:v>
                      </c:pt>
                      <c:pt idx="91">
                        <c:v>5.7267125463560422</c:v>
                      </c:pt>
                      <c:pt idx="92">
                        <c:v>5.7360450512491337</c:v>
                      </c:pt>
                      <c:pt idx="93">
                        <c:v>5.7453781649366737</c:v>
                      </c:pt>
                      <c:pt idx="94">
                        <c:v>5.7547118715080687</c:v>
                      </c:pt>
                      <c:pt idx="95">
                        <c:v>5.7640461553350777</c:v>
                      </c:pt>
                      <c:pt idx="96">
                        <c:v>5.7733810010665865</c:v>
                      </c:pt>
                      <c:pt idx="97">
                        <c:v>5.7827163936234642</c:v>
                      </c:pt>
                      <c:pt idx="98">
                        <c:v>5.7920523181935621</c:v>
                      </c:pt>
                      <c:pt idx="99">
                        <c:v>5.8013887602267671</c:v>
                      </c:pt>
                      <c:pt idx="100">
                        <c:v>5.8107257054302064</c:v>
                      </c:pt>
                      <c:pt idx="101">
                        <c:v>5.8200631397635014</c:v>
                      </c:pt>
                      <c:pt idx="102">
                        <c:v>5.8294010494341553</c:v>
                      </c:pt>
                      <c:pt idx="103">
                        <c:v>5.8387394208930194</c:v>
                      </c:pt>
                      <c:pt idx="104">
                        <c:v>5.8480782408298451</c:v>
                      </c:pt>
                      <c:pt idx="105">
                        <c:v>5.8574174961689307</c:v>
                      </c:pt>
                      <c:pt idx="106">
                        <c:v>5.866757174064861</c:v>
                      </c:pt>
                      <c:pt idx="107">
                        <c:v>5.8760972618983232</c:v>
                      </c:pt>
                      <c:pt idx="108">
                        <c:v>5.8854377472720136</c:v>
                      </c:pt>
                      <c:pt idx="109">
                        <c:v>5.8947786180066197</c:v>
                      </c:pt>
                      <c:pt idx="110">
                        <c:v>5.9041198621368851</c:v>
                      </c:pt>
                      <c:pt idx="111">
                        <c:v>5.9134614679077542</c:v>
                      </c:pt>
                      <c:pt idx="112">
                        <c:v>5.9228034237705929</c:v>
                      </c:pt>
                      <c:pt idx="113">
                        <c:v>5.9321457183794815</c:v>
                      </c:pt>
                      <c:pt idx="114">
                        <c:v>5.9414883405875729</c:v>
                      </c:pt>
                      <c:pt idx="115">
                        <c:v>5.9508312794435492</c:v>
                      </c:pt>
                      <c:pt idx="116">
                        <c:v>5.9601745241881154</c:v>
                      </c:pt>
                      <c:pt idx="117">
                        <c:v>5.969518064250579</c:v>
                      </c:pt>
                      <c:pt idx="118">
                        <c:v>5.9788618892454997</c:v>
                      </c:pt>
                      <c:pt idx="119">
                        <c:v>5.9882059889693888</c:v>
                      </c:pt>
                      <c:pt idx="120">
                        <c:v>5.9975503533974868</c:v>
                      </c:pt>
                      <c:pt idx="121">
                        <c:v>6.0068949726806107</c:v>
                      </c:pt>
                      <c:pt idx="122">
                        <c:v>6.0162398371420229</c:v>
                      </c:pt>
                      <c:pt idx="123">
                        <c:v>6.0255849372744175</c:v>
                      </c:pt>
                      <c:pt idx="124">
                        <c:v>6.0349302637369169</c:v>
                      </c:pt>
                      <c:pt idx="125">
                        <c:v>6.0442758073521539</c:v>
                      </c:pt>
                      <c:pt idx="126">
                        <c:v>6.0536215591033997</c:v>
                      </c:pt>
                      <c:pt idx="127">
                        <c:v>6.0629675101317364</c:v>
                      </c:pt>
                      <c:pt idx="128">
                        <c:v>6.0723136517333165</c:v>
                      </c:pt>
                      <c:pt idx="129">
                        <c:v>6.0816599753566383</c:v>
                      </c:pt>
                      <c:pt idx="130">
                        <c:v>6.0910064725998909</c:v>
                      </c:pt>
                      <c:pt idx="131">
                        <c:v>6.1003531352083424</c:v>
                      </c:pt>
                      <c:pt idx="132">
                        <c:v>6.1096999550717968</c:v>
                      </c:pt>
                      <c:pt idx="133">
                        <c:v>6.1190469242220713</c:v>
                      </c:pt>
                      <c:pt idx="134">
                        <c:v>6.1283940348305377</c:v>
                      </c:pt>
                      <c:pt idx="135">
                        <c:v>6.1377412792057049</c:v>
                      </c:pt>
                      <c:pt idx="136">
                        <c:v>6.147088649790855</c:v>
                      </c:pt>
                      <c:pt idx="137">
                        <c:v>6.1564361391617108</c:v>
                      </c:pt>
                      <c:pt idx="138">
                        <c:v>6.1657837400241613</c:v>
                      </c:pt>
                      <c:pt idx="139">
                        <c:v>6.1751314452120099</c:v>
                      </c:pt>
                      <c:pt idx="140">
                        <c:v>6.184479247684787</c:v>
                      </c:pt>
                      <c:pt idx="141">
                        <c:v>6.1938271405255936</c:v>
                      </c:pt>
                      <c:pt idx="142">
                        <c:v>6.2031751169389739</c:v>
                      </c:pt>
                      <c:pt idx="143">
                        <c:v>6.2125231702488524</c:v>
                      </c:pt>
                      <c:pt idx="144">
                        <c:v>6.2218712938964833</c:v>
                      </c:pt>
                      <c:pt idx="145">
                        <c:v>6.2312194814384503</c:v>
                      </c:pt>
                      <c:pt idx="146">
                        <c:v>6.240567726544711</c:v>
                      </c:pt>
                      <c:pt idx="147">
                        <c:v>6.2499160229966622</c:v>
                      </c:pt>
                      <c:pt idx="148">
                        <c:v>6.2592643646852357</c:v>
                      </c:pt>
                      <c:pt idx="149">
                        <c:v>6.2686127456090706</c:v>
                      </c:pt>
                      <c:pt idx="150">
                        <c:v>6.277961159872655</c:v>
                      </c:pt>
                      <c:pt idx="151">
                        <c:v>6.2873096016845551</c:v>
                      </c:pt>
                      <c:pt idx="152">
                        <c:v>6.2966580653556523</c:v>
                      </c:pt>
                      <c:pt idx="153">
                        <c:v>6.3060065452974134</c:v>
                      </c:pt>
                      <c:pt idx="154">
                        <c:v>6.315355036020204</c:v>
                      </c:pt>
                      <c:pt idx="155">
                        <c:v>6.3247035321316147</c:v>
                      </c:pt>
                      <c:pt idx="156">
                        <c:v>6.3340520283348303</c:v>
                      </c:pt>
                      <c:pt idx="157">
                        <c:v>6.3434005194270302</c:v>
                      </c:pt>
                      <c:pt idx="158">
                        <c:v>6.3527490002978046</c:v>
                      </c:pt>
                      <c:pt idx="159">
                        <c:v>6.3620974659276124</c:v>
                      </c:pt>
                      <c:pt idx="160">
                        <c:v>6.3714459113862594</c:v>
                      </c:pt>
                      <c:pt idx="161">
                        <c:v>6.3807943318314075</c:v>
                      </c:pt>
                      <c:pt idx="162">
                        <c:v>6.3901427225071057</c:v>
                      </c:pt>
                      <c:pt idx="163">
                        <c:v>6.399491078742356</c:v>
                      </c:pt>
                      <c:pt idx="164">
                        <c:v>6.4088393959496974</c:v>
                      </c:pt>
                      <c:pt idx="165">
                        <c:v>6.4181876696238112</c:v>
                      </c:pt>
                      <c:pt idx="166">
                        <c:v>6.4275358953401689</c:v>
                      </c:pt>
                      <c:pt idx="167">
                        <c:v>6.4368840687536792</c:v>
                      </c:pt>
                      <c:pt idx="168">
                        <c:v>6.4462321855973803</c:v>
                      </c:pt>
                      <c:pt idx="169">
                        <c:v>6.4555802416811519</c:v>
                      </c:pt>
                      <c:pt idx="170">
                        <c:v>6.4649282328904256</c:v>
                      </c:pt>
                      <c:pt idx="171">
                        <c:v>6.4742761551849615</c:v>
                      </c:pt>
                      <c:pt idx="172">
                        <c:v>6.4836240045976057</c:v>
                      </c:pt>
                      <c:pt idx="173">
                        <c:v>6.4929717772330902</c:v>
                      </c:pt>
                      <c:pt idx="174">
                        <c:v>6.5023194692668529</c:v>
                      </c:pt>
                      <c:pt idx="175">
                        <c:v>6.5116670769438763</c:v>
                      </c:pt>
                      <c:pt idx="176">
                        <c:v>6.5210145965775332</c:v>
                      </c:pt>
                      <c:pt idx="177">
                        <c:v>6.5303620245484808</c:v>
                      </c:pt>
                      <c:pt idx="178">
                        <c:v>6.5397093573035479</c:v>
                      </c:pt>
                      <c:pt idx="179">
                        <c:v>6.549056591354657</c:v>
                      </c:pt>
                      <c:pt idx="180">
                        <c:v>6.5584037232777517</c:v>
                      </c:pt>
                      <c:pt idx="181">
                        <c:v>6.5677507497117569</c:v>
                      </c:pt>
                      <c:pt idx="182">
                        <c:v>6.577097667357549</c:v>
                      </c:pt>
                      <c:pt idx="183">
                        <c:v>6.5864444729769467</c:v>
                      </c:pt>
                      <c:pt idx="184">
                        <c:v>6.5957911633917119</c:v>
                      </c:pt>
                      <c:pt idx="185">
                        <c:v>6.605137735482586</c:v>
                      </c:pt>
                      <c:pt idx="186">
                        <c:v>6.6144841861883119</c:v>
                      </c:pt>
                      <c:pt idx="187">
                        <c:v>6.6238305125047114</c:v>
                      </c:pt>
                      <c:pt idx="188">
                        <c:v>6.6331767114837445</c:v>
                      </c:pt>
                      <c:pt idx="189">
                        <c:v>6.6425227802326043</c:v>
                      </c:pt>
                      <c:pt idx="190">
                        <c:v>6.6518687159128209</c:v>
                      </c:pt>
                      <c:pt idx="191">
                        <c:v>6.6612145157393803</c:v>
                      </c:pt>
                      <c:pt idx="192">
                        <c:v>6.6705601769798593</c:v>
                      </c:pt>
                      <c:pt idx="193">
                        <c:v>6.6799056969535791</c:v>
                      </c:pt>
                      <c:pt idx="194">
                        <c:v>6.6892510730307597</c:v>
                      </c:pt>
                      <c:pt idx="195">
                        <c:v>6.6985963026317128</c:v>
                      </c:pt>
                      <c:pt idx="196">
                        <c:v>6.7079413832260206</c:v>
                      </c:pt>
                      <c:pt idx="197">
                        <c:v>6.7172863123317432</c:v>
                      </c:pt>
                      <c:pt idx="198">
                        <c:v>6.7266310875146491</c:v>
                      </c:pt>
                      <c:pt idx="199">
                        <c:v>6.7359757063874337</c:v>
                      </c:pt>
                      <c:pt idx="200">
                        <c:v>6.7453201666089724</c:v>
                      </c:pt>
                    </c:numCache>
                  </c:numRef>
                </c:val>
                <c:smooth val="0"/>
                <c:extLst xmlns:c15="http://schemas.microsoft.com/office/drawing/2012/chart">
                  <c:ext xmlns:c16="http://schemas.microsoft.com/office/drawing/2014/chart" uri="{C3380CC4-5D6E-409C-BE32-E72D297353CC}">
                    <c16:uniqueId val="{0000000C-39DF-4DF9-9D5A-11C17911BDDC}"/>
                  </c:ext>
                </c:extLst>
              </c15:ser>
            </c15:filteredLineSeries>
            <c15:filteredLineSeries>
              <c15:ser>
                <c:idx val="1"/>
                <c:order val="13"/>
                <c:tx>
                  <c:v>Shunt Loss</c:v>
                </c:tx>
                <c:spPr>
                  <a:ln w="38100">
                    <a:solidFill>
                      <a:srgbClr val="002060"/>
                    </a:solidFill>
                    <a:prstDash val="sysDot"/>
                  </a:ln>
                </c:spPr>
                <c:marker>
                  <c:symbol val="none"/>
                </c:marker>
                <c:cat>
                  <c:numRef>
                    <c:extLst xmlns:c15="http://schemas.microsoft.com/office/drawing/2012/chart">
                      <c:ext xmlns:c15="http://schemas.microsoft.com/office/drawing/2012/char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xmlns:c15="http://schemas.microsoft.com/office/drawing/2012/chart">
                      <c:ext xmlns:c15="http://schemas.microsoft.com/office/drawing/2012/chart" uri="{02D57815-91ED-43cb-92C2-25804820EDAC}">
                        <c15:formulaRef>
                          <c15:sqref>'Efficiency vs VIN Calculations'!$BV$9:$BV$209</c15:sqref>
                        </c15:formulaRef>
                      </c:ext>
                    </c:extLst>
                    <c:numCache>
                      <c:formatCode>0.000</c:formatCode>
                      <c:ptCount val="201"/>
                      <c:pt idx="0">
                        <c:v>9.5243761045760475E-2</c:v>
                      </c:pt>
                      <c:pt idx="1">
                        <c:v>9.6176996127100636E-2</c:v>
                      </c:pt>
                      <c:pt idx="2">
                        <c:v>9.7103942143320229E-2</c:v>
                      </c:pt>
                      <c:pt idx="3">
                        <c:v>9.8024664140531112E-2</c:v>
                      </c:pt>
                      <c:pt idx="4">
                        <c:v>9.8939226247063222E-2</c:v>
                      </c:pt>
                      <c:pt idx="5">
                        <c:v>9.9847691689993287E-2</c:v>
                      </c:pt>
                      <c:pt idx="6">
                        <c:v>0.10075012281131032</c:v>
                      </c:pt>
                      <c:pt idx="7">
                        <c:v>0.10164658108372684</c:v>
                      </c:pt>
                      <c:pt idx="8">
                        <c:v>0.10253712712614538</c:v>
                      </c:pt>
                      <c:pt idx="9">
                        <c:v>0.10342182071878886</c:v>
                      </c:pt>
                      <c:pt idx="10">
                        <c:v>0.10430072081800383</c:v>
                      </c:pt>
                      <c:pt idx="11">
                        <c:v>0.10517388557074457</c:v>
                      </c:pt>
                      <c:pt idx="12">
                        <c:v>0.10604137232874646</c:v>
                      </c:pt>
                      <c:pt idx="13">
                        <c:v>0.10690323766239641</c:v>
                      </c:pt>
                      <c:pt idx="14">
                        <c:v>0.10775953737430781</c:v>
                      </c:pt>
                      <c:pt idx="15">
                        <c:v>0.10861032651260794</c:v>
                      </c:pt>
                      <c:pt idx="16">
                        <c:v>0.10945565938394397</c:v>
                      </c:pt>
                      <c:pt idx="17">
                        <c:v>0.11029558956621666</c:v>
                      </c:pt>
                      <c:pt idx="18">
                        <c:v>0.11113016992104552</c:v>
                      </c:pt>
                      <c:pt idx="19">
                        <c:v>0.11195945260597535</c:v>
                      </c:pt>
                      <c:pt idx="20">
                        <c:v>0.11278348908642792</c:v>
                      </c:pt>
                      <c:pt idx="21">
                        <c:v>0.11360233014740644</c:v>
                      </c:pt>
                      <c:pt idx="22">
                        <c:v>0.11441602590495836</c:v>
                      </c:pt>
                      <c:pt idx="23">
                        <c:v>0.11522462581740282</c:v>
                      </c:pt>
                      <c:pt idx="24">
                        <c:v>0.11602817869632817</c:v>
                      </c:pt>
                      <c:pt idx="25">
                        <c:v>0.11682673271736467</c:v>
                      </c:pt>
                      <c:pt idx="26">
                        <c:v>0.11762033543073909</c:v>
                      </c:pt>
                      <c:pt idx="27">
                        <c:v>0.11840903377161496</c:v>
                      </c:pt>
                      <c:pt idx="28">
                        <c:v>0.11919287407022439</c:v>
                      </c:pt>
                      <c:pt idx="29">
                        <c:v>0.119971902061797</c:v>
                      </c:pt>
                      <c:pt idx="30">
                        <c:v>0.1207461628962888</c:v>
                      </c:pt>
                      <c:pt idx="31">
                        <c:v>0.12151570114791836</c:v>
                      </c:pt>
                      <c:pt idx="32">
                        <c:v>0.12228056082451272</c:v>
                      </c:pt>
                      <c:pt idx="33">
                        <c:v>0.12304078537666861</c:v>
                      </c:pt>
                      <c:pt idx="34">
                        <c:v>0.12379641770673275</c:v>
                      </c:pt>
                      <c:pt idx="35">
                        <c:v>0.12454750017760573</c:v>
                      </c:pt>
                      <c:pt idx="36">
                        <c:v>0.12529407462137399</c:v>
                      </c:pt>
                      <c:pt idx="37">
                        <c:v>0.12603618234777253</c:v>
                      </c:pt>
                      <c:pt idx="38">
                        <c:v>0.12677386415248401</c:v>
                      </c:pt>
                      <c:pt idx="39">
                        <c:v>0.12750716032527651</c:v>
                      </c:pt>
                      <c:pt idx="40">
                        <c:v>0.12823611065798432</c:v>
                      </c:pt>
                      <c:pt idx="41">
                        <c:v>0.12896075445233587</c:v>
                      </c:pt>
                      <c:pt idx="42">
                        <c:v>0.12968113052763078</c:v>
                      </c:pt>
                      <c:pt idx="43">
                        <c:v>0.13039727722827077</c:v>
                      </c:pt>
                      <c:pt idx="44">
                        <c:v>0.13110923243114761</c:v>
                      </c:pt>
                      <c:pt idx="45">
                        <c:v>0.13181703355289076</c:v>
                      </c:pt>
                      <c:pt idx="46">
                        <c:v>0.13252071755697739</c:v>
                      </c:pt>
                      <c:pt idx="47">
                        <c:v>0.13322032096070976</c:v>
                      </c:pt>
                      <c:pt idx="48">
                        <c:v>0.13391587984206133</c:v>
                      </c:pt>
                      <c:pt idx="49">
                        <c:v>0.13460742984639404</c:v>
                      </c:pt>
                      <c:pt idx="50">
                        <c:v>0.13529500619305165</c:v>
                      </c:pt>
                      <c:pt idx="51">
                        <c:v>0.13597864368183005</c:v>
                      </c:pt>
                      <c:pt idx="52">
                        <c:v>0.13665837669932793</c:v>
                      </c:pt>
                      <c:pt idx="53">
                        <c:v>0.13733423922518001</c:v>
                      </c:pt>
                      <c:pt idx="54">
                        <c:v>0.13800626483817699</c:v>
                      </c:pt>
                      <c:pt idx="55">
                        <c:v>0.13867448672227178</c:v>
                      </c:pt>
                      <c:pt idx="56">
                        <c:v>0.1393389376724771</c:v>
                      </c:pt>
                      <c:pt idx="57">
                        <c:v>0.13999965010065565</c:v>
                      </c:pt>
                      <c:pt idx="58">
                        <c:v>0.1406566560412052</c:v>
                      </c:pt>
                      <c:pt idx="59">
                        <c:v>0.1413099871566412</c:v>
                      </c:pt>
                      <c:pt idx="60">
                        <c:v>0.14195967474307819</c:v>
                      </c:pt>
                      <c:pt idx="61">
                        <c:v>0.14260574973561396</c:v>
                      </c:pt>
                      <c:pt idx="62">
                        <c:v>0.14324824271361644</c:v>
                      </c:pt>
                      <c:pt idx="63">
                        <c:v>0.14388718390591657</c:v>
                      </c:pt>
                      <c:pt idx="64">
                        <c:v>0.14452260319590926</c:v>
                      </c:pt>
                      <c:pt idx="65">
                        <c:v>0.14515453012656349</c:v>
                      </c:pt>
                      <c:pt idx="66">
                        <c:v>0.14578299390534422</c:v>
                      </c:pt>
                      <c:pt idx="67">
                        <c:v>0.14640802340904782</c:v>
                      </c:pt>
                      <c:pt idx="68">
                        <c:v>0.14702964718855258</c:v>
                      </c:pt>
                      <c:pt idx="69">
                        <c:v>0.14764789347348578</c:v>
                      </c:pt>
                      <c:pt idx="70">
                        <c:v>0.14826279017681024</c:v>
                      </c:pt>
                      <c:pt idx="71">
                        <c:v>0.14887436489933031</c:v>
                      </c:pt>
                      <c:pt idx="72">
                        <c:v>0.1494826449341207</c:v>
                      </c:pt>
                      <c:pt idx="73">
                        <c:v>0.15008765727087794</c:v>
                      </c:pt>
                      <c:pt idx="74">
                        <c:v>0.15068942860019804</c:v>
                      </c:pt>
                      <c:pt idx="75">
                        <c:v>0.15128798531777973</c:v>
                      </c:pt>
                      <c:pt idx="76">
                        <c:v>0.1518833535285565</c:v>
                      </c:pt>
                      <c:pt idx="77">
                        <c:v>0.1524755590507583</c:v>
                      </c:pt>
                      <c:pt idx="78">
                        <c:v>0.15306462741990351</c:v>
                      </c:pt>
                      <c:pt idx="79">
                        <c:v>0.15365058389272418</c:v>
                      </c:pt>
                      <c:pt idx="80">
                        <c:v>0.15423345345102449</c:v>
                      </c:pt>
                      <c:pt idx="81">
                        <c:v>0.15481326080547408</c:v>
                      </c:pt>
                      <c:pt idx="82">
                        <c:v>0.15539003039933866</c:v>
                      </c:pt>
                      <c:pt idx="83">
                        <c:v>0.15596378641214675</c:v>
                      </c:pt>
                      <c:pt idx="84">
                        <c:v>0.15653455276329697</c:v>
                      </c:pt>
                      <c:pt idx="85">
                        <c:v>0.1571023531156038</c:v>
                      </c:pt>
                      <c:pt idx="86">
                        <c:v>0.15766721087878552</c:v>
                      </c:pt>
                      <c:pt idx="87">
                        <c:v>0.15822914921289444</c:v>
                      </c:pt>
                      <c:pt idx="88">
                        <c:v>0.15878819103169034</c:v>
                      </c:pt>
                      <c:pt idx="89">
                        <c:v>0.15934435900595817</c:v>
                      </c:pt>
                      <c:pt idx="90">
                        <c:v>0.15989767556677256</c:v>
                      </c:pt>
                      <c:pt idx="91">
                        <c:v>0.16044816290870798</c:v>
                      </c:pt>
                      <c:pt idx="92">
                        <c:v>0.16099584299299696</c:v>
                      </c:pt>
                      <c:pt idx="93">
                        <c:v>0.16154073755063716</c:v>
                      </c:pt>
                      <c:pt idx="94">
                        <c:v>0.16208286808544808</c:v>
                      </c:pt>
                      <c:pt idx="95">
                        <c:v>0.16262225587707857</c:v>
                      </c:pt>
                      <c:pt idx="96">
                        <c:v>0.163158921983966</c:v>
                      </c:pt>
                      <c:pt idx="97">
                        <c:v>0.16369288724624742</c:v>
                      </c:pt>
                      <c:pt idx="98">
                        <c:v>0.16422417228862493</c:v>
                      </c:pt>
                      <c:pt idx="99">
                        <c:v>0.16475279752318517</c:v>
                      </c:pt>
                      <c:pt idx="100">
                        <c:v>0.1652787831521734</c:v>
                      </c:pt>
                      <c:pt idx="101">
                        <c:v>0.16580214917072458</c:v>
                      </c:pt>
                      <c:pt idx="102">
                        <c:v>0.1663229153695501</c:v>
                      </c:pt>
                      <c:pt idx="103">
                        <c:v>0.16684110133758387</c:v>
                      </c:pt>
                      <c:pt idx="104">
                        <c:v>0.16735672646458483</c:v>
                      </c:pt>
                      <c:pt idx="105">
                        <c:v>0.16786980994370002</c:v>
                      </c:pt>
                      <c:pt idx="106">
                        <c:v>0.16838037077398726</c:v>
                      </c:pt>
                      <c:pt idx="107">
                        <c:v>0.16888842776289834</c:v>
                      </c:pt>
                      <c:pt idx="108">
                        <c:v>0.16939399952872411</c:v>
                      </c:pt>
                      <c:pt idx="109">
                        <c:v>0.16989710450300105</c:v>
                      </c:pt>
                      <c:pt idx="110">
                        <c:v>0.17039776093288103</c:v>
                      </c:pt>
                      <c:pt idx="111">
                        <c:v>0.17089598688346475</c:v>
                      </c:pt>
                      <c:pt idx="112">
                        <c:v>0.17139180024009879</c:v>
                      </c:pt>
                      <c:pt idx="113">
                        <c:v>0.17188521871063814</c:v>
                      </c:pt>
                      <c:pt idx="114">
                        <c:v>0.17237625982767349</c:v>
                      </c:pt>
                      <c:pt idx="115">
                        <c:v>0.17286494095072491</c:v>
                      </c:pt>
                      <c:pt idx="116">
                        <c:v>0.17335127926840257</c:v>
                      </c:pt>
                      <c:pt idx="117">
                        <c:v>0.17383529180053425</c:v>
                      </c:pt>
                      <c:pt idx="118">
                        <c:v>0.17431699540026038</c:v>
                      </c:pt>
                      <c:pt idx="119">
                        <c:v>0.17479640675609839</c:v>
                      </c:pt>
                      <c:pt idx="120">
                        <c:v>0.17527354239397575</c:v>
                      </c:pt>
                      <c:pt idx="121">
                        <c:v>0.17574841867923222</c:v>
                      </c:pt>
                      <c:pt idx="122">
                        <c:v>0.17622105181859207</c:v>
                      </c:pt>
                      <c:pt idx="123">
                        <c:v>0.17669145786210769</c:v>
                      </c:pt>
                      <c:pt idx="124">
                        <c:v>0.17715965270507372</c:v>
                      </c:pt>
                      <c:pt idx="125">
                        <c:v>0.1776256520899126</c:v>
                      </c:pt>
                      <c:pt idx="126">
                        <c:v>0.17808947160803332</c:v>
                      </c:pt>
                      <c:pt idx="127">
                        <c:v>0.17855112670166093</c:v>
                      </c:pt>
                      <c:pt idx="128">
                        <c:v>0.17901063266564149</c:v>
                      </c:pt>
                      <c:pt idx="129">
                        <c:v>0.17946800464921808</c:v>
                      </c:pt>
                      <c:pt idx="130">
                        <c:v>0.17992325765778311</c:v>
                      </c:pt>
                      <c:pt idx="131">
                        <c:v>0.18037640655460313</c:v>
                      </c:pt>
                      <c:pt idx="132">
                        <c:v>0.18082746606252023</c:v>
                      </c:pt>
                      <c:pt idx="133">
                        <c:v>0.18127645076562737</c:v>
                      </c:pt>
                      <c:pt idx="134">
                        <c:v>0.18172337511092054</c:v>
                      </c:pt>
                      <c:pt idx="135">
                        <c:v>0.18216825340992585</c:v>
                      </c:pt>
                      <c:pt idx="136">
                        <c:v>0.18261109984030491</c:v>
                      </c:pt>
                      <c:pt idx="137">
                        <c:v>0.1830519284474352</c:v>
                      </c:pt>
                      <c:pt idx="138">
                        <c:v>0.18349075314596974</c:v>
                      </c:pt>
                      <c:pt idx="139">
                        <c:v>0.18392758772137274</c:v>
                      </c:pt>
                      <c:pt idx="140">
                        <c:v>0.18436244583143466</c:v>
                      </c:pt>
                      <c:pt idx="141">
                        <c:v>0.18479534100776485</c:v>
                      </c:pt>
                      <c:pt idx="142">
                        <c:v>0.18522628665726396</c:v>
                      </c:pt>
                      <c:pt idx="143">
                        <c:v>0.18565529606357425</c:v>
                      </c:pt>
                      <c:pt idx="144">
                        <c:v>0.18608238238851102</c:v>
                      </c:pt>
                      <c:pt idx="145">
                        <c:v>0.18650755867347235</c:v>
                      </c:pt>
                      <c:pt idx="146">
                        <c:v>0.18693083784083039</c:v>
                      </c:pt>
                      <c:pt idx="147">
                        <c:v>0.18735223269530224</c:v>
                      </c:pt>
                      <c:pt idx="148">
                        <c:v>0.18777175592530185</c:v>
                      </c:pt>
                      <c:pt idx="149">
                        <c:v>0.18818942010427378</c:v>
                      </c:pt>
                      <c:pt idx="150">
                        <c:v>0.18860523769200777</c:v>
                      </c:pt>
                      <c:pt idx="151">
                        <c:v>0.18901922103593477</c:v>
                      </c:pt>
                      <c:pt idx="152">
                        <c:v>0.18943138237240628</c:v>
                      </c:pt>
                      <c:pt idx="153">
                        <c:v>0.1898417338279548</c:v>
                      </c:pt>
                      <c:pt idx="154">
                        <c:v>0.19025028742053757</c:v>
                      </c:pt>
                      <c:pt idx="155">
                        <c:v>0.19065705506076364</c:v>
                      </c:pt>
                      <c:pt idx="156">
                        <c:v>0.19106204855310263</c:v>
                      </c:pt>
                      <c:pt idx="157">
                        <c:v>0.19146527959707904</c:v>
                      </c:pt>
                      <c:pt idx="158">
                        <c:v>0.19186675978844844</c:v>
                      </c:pt>
                      <c:pt idx="159">
                        <c:v>0.19226650062035955</c:v>
                      </c:pt>
                      <c:pt idx="160">
                        <c:v>0.19266451348449792</c:v>
                      </c:pt>
                      <c:pt idx="161">
                        <c:v>0.19306080967221775</c:v>
                      </c:pt>
                      <c:pt idx="162">
                        <c:v>0.19345540037565465</c:v>
                      </c:pt>
                      <c:pt idx="163">
                        <c:v>0.19384829668882655</c:v>
                      </c:pt>
                      <c:pt idx="164">
                        <c:v>0.19423950960871764</c:v>
                      </c:pt>
                      <c:pt idx="165">
                        <c:v>0.19462905003634923</c:v>
                      </c:pt>
                      <c:pt idx="166">
                        <c:v>0.19501692877783569</c:v>
                      </c:pt>
                      <c:pt idx="167">
                        <c:v>0.19540315654542606</c:v>
                      </c:pt>
                      <c:pt idx="168">
                        <c:v>0.19578774395853263</c:v>
                      </c:pt>
                      <c:pt idx="169">
                        <c:v>0.19617070154474509</c:v>
                      </c:pt>
                      <c:pt idx="170">
                        <c:v>0.1965520397408313</c:v>
                      </c:pt>
                      <c:pt idx="171">
                        <c:v>0.1969317688937261</c:v>
                      </c:pt>
                      <c:pt idx="172">
                        <c:v>0.197309899261505</c:v>
                      </c:pt>
                      <c:pt idx="173">
                        <c:v>0.19768644101434718</c:v>
                      </c:pt>
                      <c:pt idx="174">
                        <c:v>0.19806140423548393</c:v>
                      </c:pt>
                      <c:pt idx="175">
                        <c:v>0.19843479892213658</c:v>
                      </c:pt>
                      <c:pt idx="176">
                        <c:v>0.19880663498644066</c:v>
                      </c:pt>
                      <c:pt idx="177">
                        <c:v>0.19917692225635911</c:v>
                      </c:pt>
                      <c:pt idx="178">
                        <c:v>0.19954567047658259</c:v>
                      </c:pt>
                      <c:pt idx="179">
                        <c:v>0.19991288930941939</c:v>
                      </c:pt>
                      <c:pt idx="180">
                        <c:v>0.20027858833567269</c:v>
                      </c:pt>
                      <c:pt idx="181">
                        <c:v>0.20064277705550712</c:v>
                      </c:pt>
                      <c:pt idx="182">
                        <c:v>0.20100546488930435</c:v>
                      </c:pt>
                      <c:pt idx="183">
                        <c:v>0.20136666117850671</c:v>
                      </c:pt>
                      <c:pt idx="184">
                        <c:v>0.20172637518645123</c:v>
                      </c:pt>
                      <c:pt idx="185">
                        <c:v>0.20208461609919265</c:v>
                      </c:pt>
                      <c:pt idx="186">
                        <c:v>0.202441393026315</c:v>
                      </c:pt>
                      <c:pt idx="187">
                        <c:v>0.20279671500173457</c:v>
                      </c:pt>
                      <c:pt idx="188">
                        <c:v>0.20315059098449087</c:v>
                      </c:pt>
                      <c:pt idx="189">
                        <c:v>0.20350302985952923</c:v>
                      </c:pt>
                      <c:pt idx="190">
                        <c:v>0.20385404043847249</c:v>
                      </c:pt>
                      <c:pt idx="191">
                        <c:v>0.20420363146038278</c:v>
                      </c:pt>
                      <c:pt idx="192">
                        <c:v>0.2045518115925147</c:v>
                      </c:pt>
                      <c:pt idx="193">
                        <c:v>0.20489858943105854</c:v>
                      </c:pt>
                      <c:pt idx="194">
                        <c:v>0.20524397350187404</c:v>
                      </c:pt>
                      <c:pt idx="195">
                        <c:v>0.20558797226121475</c:v>
                      </c:pt>
                      <c:pt idx="196">
                        <c:v>0.20593059409644426</c:v>
                      </c:pt>
                      <c:pt idx="197">
                        <c:v>0.20627184732674303</c:v>
                      </c:pt>
                      <c:pt idx="198">
                        <c:v>0.20661174020380574</c:v>
                      </c:pt>
                      <c:pt idx="199">
                        <c:v>0.20695028091253165</c:v>
                      </c:pt>
                      <c:pt idx="200">
                        <c:v>0.20728747757170468</c:v>
                      </c:pt>
                    </c:numCache>
                  </c:numRef>
                </c:val>
                <c:smooth val="0"/>
                <c:extLst xmlns:c15="http://schemas.microsoft.com/office/drawing/2012/chart">
                  <c:ext xmlns:c16="http://schemas.microsoft.com/office/drawing/2014/chart" uri="{C3380CC4-5D6E-409C-BE32-E72D297353CC}">
                    <c16:uniqueId val="{0000000D-39DF-4DF9-9D5A-11C17911BDDC}"/>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1442800306468137"/>
          <c:y val="2.0343390532745328E-3"/>
          <c:w val="0.27928047681026974"/>
          <c:h val="0.18156267435147316"/>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High-side BUCK "Control"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3-437A-4BD3-B446-8D6D037309A4}"/>
                  </c:ext>
                </c:extLst>
              </c15:ser>
            </c15:filteredLineSeries>
          </c:ext>
        </c:extLst>
      </c:lineChart>
      <c:lineChart>
        <c:grouping val="standard"/>
        <c:varyColors val="0"/>
        <c:ser>
          <c:idx val="2"/>
          <c:order val="1"/>
          <c:tx>
            <c:strRef>
              <c:f>'Efficiency vs VIN Calculations'!$AJ$8</c:f>
              <c:strCache>
                <c:ptCount val="1"/>
                <c:pt idx="0">
                  <c:v>Dead Time Loss BuCtrl</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Calculations'!$AJ$9:$AJ$209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437A-4BD3-B446-8D6D037309A4}"/>
            </c:ext>
          </c:extLst>
        </c:ser>
        <c:ser>
          <c:idx val="1"/>
          <c:order val="2"/>
          <c:tx>
            <c:strRef>
              <c:f>'Efficiency vs VIN Calculations'!$AI$8</c:f>
              <c:strCache>
                <c:ptCount val="1"/>
                <c:pt idx="0">
                  <c:v>Transition Loss BuCtrl</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Calculations'!$AI$9:$AI$209</c:f>
              <c:numCache>
                <c:formatCode>0.000</c:formatCode>
                <c:ptCount val="201"/>
                <c:pt idx="0">
                  <c:v>2.3799280662760158</c:v>
                </c:pt>
                <c:pt idx="1">
                  <c:v>2.3882578145079818</c:v>
                </c:pt>
                <c:pt idx="2">
                  <c:v>2.3965875627399478</c:v>
                </c:pt>
                <c:pt idx="3">
                  <c:v>2.4049173109719137</c:v>
                </c:pt>
                <c:pt idx="4">
                  <c:v>2.4132470592038802</c:v>
                </c:pt>
                <c:pt idx="5">
                  <c:v>2.4215768074358461</c:v>
                </c:pt>
                <c:pt idx="6">
                  <c:v>2.4299065556678121</c:v>
                </c:pt>
                <c:pt idx="7">
                  <c:v>2.4382363038997781</c:v>
                </c:pt>
                <c:pt idx="8">
                  <c:v>2.4465660521317436</c:v>
                </c:pt>
                <c:pt idx="9">
                  <c:v>2.4548958003637105</c:v>
                </c:pt>
                <c:pt idx="10">
                  <c:v>2.4632255485956764</c:v>
                </c:pt>
                <c:pt idx="11">
                  <c:v>2.4715552968276424</c:v>
                </c:pt>
                <c:pt idx="12">
                  <c:v>2.4798850450596084</c:v>
                </c:pt>
                <c:pt idx="13">
                  <c:v>2.4882147932915744</c:v>
                </c:pt>
                <c:pt idx="14">
                  <c:v>2.4965445415235403</c:v>
                </c:pt>
                <c:pt idx="15">
                  <c:v>2.5048742897555067</c:v>
                </c:pt>
                <c:pt idx="16">
                  <c:v>2.5132040379874727</c:v>
                </c:pt>
                <c:pt idx="17">
                  <c:v>2.5215337862194391</c:v>
                </c:pt>
                <c:pt idx="18">
                  <c:v>2.5298635344514047</c:v>
                </c:pt>
                <c:pt idx="19">
                  <c:v>2.5381932826833706</c:v>
                </c:pt>
                <c:pt idx="20">
                  <c:v>2.5465230309153366</c:v>
                </c:pt>
                <c:pt idx="21">
                  <c:v>2.554852779147303</c:v>
                </c:pt>
                <c:pt idx="22">
                  <c:v>2.563182527379269</c:v>
                </c:pt>
                <c:pt idx="23">
                  <c:v>2.571512275611235</c:v>
                </c:pt>
                <c:pt idx="24">
                  <c:v>2.5798420238432005</c:v>
                </c:pt>
                <c:pt idx="25">
                  <c:v>2.5881717720751674</c:v>
                </c:pt>
                <c:pt idx="26">
                  <c:v>2.5965015203071338</c:v>
                </c:pt>
                <c:pt idx="27">
                  <c:v>2.6048312685390993</c:v>
                </c:pt>
                <c:pt idx="28">
                  <c:v>2.6131610167710653</c:v>
                </c:pt>
                <c:pt idx="29">
                  <c:v>2.6214907650030312</c:v>
                </c:pt>
                <c:pt idx="30">
                  <c:v>2.6298205132349981</c:v>
                </c:pt>
                <c:pt idx="31">
                  <c:v>2.6381502614669636</c:v>
                </c:pt>
                <c:pt idx="32">
                  <c:v>2.6464800096989296</c:v>
                </c:pt>
                <c:pt idx="33">
                  <c:v>2.6548097579308951</c:v>
                </c:pt>
                <c:pt idx="34">
                  <c:v>2.6631395061628615</c:v>
                </c:pt>
                <c:pt idx="35">
                  <c:v>2.6714692543948275</c:v>
                </c:pt>
                <c:pt idx="36">
                  <c:v>2.6797990026267939</c:v>
                </c:pt>
                <c:pt idx="37">
                  <c:v>2.6881287508587599</c:v>
                </c:pt>
                <c:pt idx="38">
                  <c:v>2.6964584990907259</c:v>
                </c:pt>
                <c:pt idx="39">
                  <c:v>2.7047882473226919</c:v>
                </c:pt>
                <c:pt idx="40">
                  <c:v>2.7131179955546578</c:v>
                </c:pt>
                <c:pt idx="41">
                  <c:v>2.7214477437866242</c:v>
                </c:pt>
                <c:pt idx="42">
                  <c:v>2.7297774920185907</c:v>
                </c:pt>
                <c:pt idx="43">
                  <c:v>2.7381072402505562</c:v>
                </c:pt>
                <c:pt idx="44">
                  <c:v>2.7464369884825222</c:v>
                </c:pt>
                <c:pt idx="45">
                  <c:v>2.7547667367144877</c:v>
                </c:pt>
                <c:pt idx="46">
                  <c:v>2.7630964849464541</c:v>
                </c:pt>
                <c:pt idx="47">
                  <c:v>2.7714262331784205</c:v>
                </c:pt>
                <c:pt idx="48">
                  <c:v>2.7797559814103865</c:v>
                </c:pt>
                <c:pt idx="49">
                  <c:v>2.788085729642352</c:v>
                </c:pt>
                <c:pt idx="50">
                  <c:v>2.7964154778743184</c:v>
                </c:pt>
                <c:pt idx="51">
                  <c:v>2.8047452261062853</c:v>
                </c:pt>
                <c:pt idx="52">
                  <c:v>2.8130749743382508</c:v>
                </c:pt>
                <c:pt idx="53">
                  <c:v>2.8214047225702168</c:v>
                </c:pt>
                <c:pt idx="54">
                  <c:v>2.8297344708021828</c:v>
                </c:pt>
                <c:pt idx="55">
                  <c:v>2.8380642190341492</c:v>
                </c:pt>
                <c:pt idx="56">
                  <c:v>2.8463939672661147</c:v>
                </c:pt>
                <c:pt idx="57">
                  <c:v>2.8547237154980811</c:v>
                </c:pt>
                <c:pt idx="58">
                  <c:v>2.8630534637300467</c:v>
                </c:pt>
                <c:pt idx="59">
                  <c:v>2.8713832119620131</c:v>
                </c:pt>
                <c:pt idx="60">
                  <c:v>2.879712960193979</c:v>
                </c:pt>
                <c:pt idx="61">
                  <c:v>2.888042708425945</c:v>
                </c:pt>
                <c:pt idx="62">
                  <c:v>2.896372456657911</c:v>
                </c:pt>
                <c:pt idx="63">
                  <c:v>2.9047022048898774</c:v>
                </c:pt>
                <c:pt idx="64">
                  <c:v>2.9130319531218434</c:v>
                </c:pt>
                <c:pt idx="65">
                  <c:v>2.9213617013538093</c:v>
                </c:pt>
                <c:pt idx="66">
                  <c:v>2.9296914495857753</c:v>
                </c:pt>
                <c:pt idx="67">
                  <c:v>2.9380211978177422</c:v>
                </c:pt>
                <c:pt idx="68">
                  <c:v>2.9463509460497077</c:v>
                </c:pt>
                <c:pt idx="69">
                  <c:v>2.9546806942816737</c:v>
                </c:pt>
                <c:pt idx="70">
                  <c:v>2.9630104425136392</c:v>
                </c:pt>
                <c:pt idx="71">
                  <c:v>2.9713401907456056</c:v>
                </c:pt>
                <c:pt idx="72">
                  <c:v>2.9796699389775716</c:v>
                </c:pt>
                <c:pt idx="73">
                  <c:v>2.987999687209538</c:v>
                </c:pt>
                <c:pt idx="74">
                  <c:v>2.9963294354415035</c:v>
                </c:pt>
                <c:pt idx="75">
                  <c:v>3.00465918367347</c:v>
                </c:pt>
                <c:pt idx="76">
                  <c:v>3.0129889319054364</c:v>
                </c:pt>
                <c:pt idx="77">
                  <c:v>3.0213186801374019</c:v>
                </c:pt>
                <c:pt idx="78">
                  <c:v>3.0296484283693679</c:v>
                </c:pt>
                <c:pt idx="79">
                  <c:v>3.0379781766013343</c:v>
                </c:pt>
                <c:pt idx="80">
                  <c:v>3.0463079248333007</c:v>
                </c:pt>
                <c:pt idx="81">
                  <c:v>3.0546376730652662</c:v>
                </c:pt>
                <c:pt idx="82">
                  <c:v>3.0629674212972322</c:v>
                </c:pt>
                <c:pt idx="83">
                  <c:v>3.0712971695291977</c:v>
                </c:pt>
                <c:pt idx="84">
                  <c:v>3.0796269177611646</c:v>
                </c:pt>
                <c:pt idx="85">
                  <c:v>3.0879566659931306</c:v>
                </c:pt>
                <c:pt idx="86">
                  <c:v>3.0962864142250965</c:v>
                </c:pt>
                <c:pt idx="87">
                  <c:v>3.1046161624570625</c:v>
                </c:pt>
                <c:pt idx="88">
                  <c:v>3.1129459106890285</c:v>
                </c:pt>
                <c:pt idx="89">
                  <c:v>3.1212756589209949</c:v>
                </c:pt>
                <c:pt idx="90">
                  <c:v>3.1296054071529609</c:v>
                </c:pt>
                <c:pt idx="91">
                  <c:v>3.1379351553849268</c:v>
                </c:pt>
                <c:pt idx="92">
                  <c:v>3.1462649036168933</c:v>
                </c:pt>
                <c:pt idx="93">
                  <c:v>3.1545946518488588</c:v>
                </c:pt>
                <c:pt idx="94">
                  <c:v>3.1629244000808248</c:v>
                </c:pt>
                <c:pt idx="95">
                  <c:v>3.1712541483127907</c:v>
                </c:pt>
                <c:pt idx="96">
                  <c:v>3.1795838965447571</c:v>
                </c:pt>
                <c:pt idx="97">
                  <c:v>3.1879136447767231</c:v>
                </c:pt>
                <c:pt idx="98">
                  <c:v>3.1962433930086891</c:v>
                </c:pt>
                <c:pt idx="99">
                  <c:v>3.2045731412406546</c:v>
                </c:pt>
                <c:pt idx="100">
                  <c:v>3.2129028894726215</c:v>
                </c:pt>
                <c:pt idx="101">
                  <c:v>3.2212326377045879</c:v>
                </c:pt>
                <c:pt idx="102">
                  <c:v>3.2295623859365534</c:v>
                </c:pt>
                <c:pt idx="103">
                  <c:v>3.2378921341685194</c:v>
                </c:pt>
                <c:pt idx="104">
                  <c:v>3.2462218824004854</c:v>
                </c:pt>
                <c:pt idx="105">
                  <c:v>3.2545516306324522</c:v>
                </c:pt>
                <c:pt idx="106">
                  <c:v>3.2628813788644178</c:v>
                </c:pt>
                <c:pt idx="107">
                  <c:v>3.2712111270963837</c:v>
                </c:pt>
                <c:pt idx="108">
                  <c:v>3.2795408753283501</c:v>
                </c:pt>
                <c:pt idx="109">
                  <c:v>3.2878706235603161</c:v>
                </c:pt>
                <c:pt idx="110">
                  <c:v>3.2962003717922825</c:v>
                </c:pt>
                <c:pt idx="111">
                  <c:v>3.3045301200242481</c:v>
                </c:pt>
                <c:pt idx="112">
                  <c:v>3.312859868256214</c:v>
                </c:pt>
                <c:pt idx="113">
                  <c:v>3.32118961648818</c:v>
                </c:pt>
                <c:pt idx="114">
                  <c:v>3.329519364720146</c:v>
                </c:pt>
                <c:pt idx="115">
                  <c:v>3.3378491129521115</c:v>
                </c:pt>
                <c:pt idx="116">
                  <c:v>3.3461788611840775</c:v>
                </c:pt>
                <c:pt idx="117">
                  <c:v>3.3545086094160439</c:v>
                </c:pt>
                <c:pt idx="118">
                  <c:v>3.3628383576480103</c:v>
                </c:pt>
                <c:pt idx="119">
                  <c:v>3.3711681058799763</c:v>
                </c:pt>
                <c:pt idx="120">
                  <c:v>3.3794978541119418</c:v>
                </c:pt>
                <c:pt idx="121">
                  <c:v>3.3878276023439087</c:v>
                </c:pt>
                <c:pt idx="122">
                  <c:v>3.3961573505758746</c:v>
                </c:pt>
                <c:pt idx="123">
                  <c:v>3.4044870988078406</c:v>
                </c:pt>
                <c:pt idx="124">
                  <c:v>3.4128168470398061</c:v>
                </c:pt>
                <c:pt idx="125">
                  <c:v>3.4211465952717726</c:v>
                </c:pt>
                <c:pt idx="126">
                  <c:v>3.4294763435037394</c:v>
                </c:pt>
                <c:pt idx="127">
                  <c:v>3.4378060917357049</c:v>
                </c:pt>
                <c:pt idx="128">
                  <c:v>3.4461358399676709</c:v>
                </c:pt>
                <c:pt idx="129">
                  <c:v>3.4544655881996369</c:v>
                </c:pt>
                <c:pt idx="130">
                  <c:v>3.4627953364316033</c:v>
                </c:pt>
                <c:pt idx="131">
                  <c:v>3.4711250846635688</c:v>
                </c:pt>
                <c:pt idx="132">
                  <c:v>3.4794548328955353</c:v>
                </c:pt>
                <c:pt idx="133">
                  <c:v>3.4877845811275017</c:v>
                </c:pt>
                <c:pt idx="134">
                  <c:v>3.4961143293594676</c:v>
                </c:pt>
                <c:pt idx="135">
                  <c:v>3.5044440775914336</c:v>
                </c:pt>
                <c:pt idx="136">
                  <c:v>3.5127738258233991</c:v>
                </c:pt>
                <c:pt idx="137">
                  <c:v>3.5211035740553651</c:v>
                </c:pt>
                <c:pt idx="138">
                  <c:v>3.5294333222873315</c:v>
                </c:pt>
                <c:pt idx="139">
                  <c:v>3.5377630705192975</c:v>
                </c:pt>
                <c:pt idx="140">
                  <c:v>3.546092818751263</c:v>
                </c:pt>
                <c:pt idx="141">
                  <c:v>3.554422566983229</c:v>
                </c:pt>
                <c:pt idx="142">
                  <c:v>3.562752315215195</c:v>
                </c:pt>
                <c:pt idx="143">
                  <c:v>3.5710820634471618</c:v>
                </c:pt>
                <c:pt idx="144">
                  <c:v>3.5794118116791278</c:v>
                </c:pt>
                <c:pt idx="145">
                  <c:v>3.5877415599110933</c:v>
                </c:pt>
                <c:pt idx="146">
                  <c:v>3.5960713081430598</c:v>
                </c:pt>
                <c:pt idx="147">
                  <c:v>3.6044010563750257</c:v>
                </c:pt>
                <c:pt idx="148">
                  <c:v>3.6127308046069921</c:v>
                </c:pt>
                <c:pt idx="149">
                  <c:v>3.6210605528389577</c:v>
                </c:pt>
                <c:pt idx="150">
                  <c:v>3.6293903010709241</c:v>
                </c:pt>
                <c:pt idx="151">
                  <c:v>3.6377200493028905</c:v>
                </c:pt>
                <c:pt idx="152">
                  <c:v>3.646049797534856</c:v>
                </c:pt>
                <c:pt idx="153">
                  <c:v>3.654379545766822</c:v>
                </c:pt>
                <c:pt idx="154">
                  <c:v>3.6627092939987884</c:v>
                </c:pt>
                <c:pt idx="155">
                  <c:v>3.6710390422307548</c:v>
                </c:pt>
                <c:pt idx="156">
                  <c:v>3.6793687904627204</c:v>
                </c:pt>
                <c:pt idx="157">
                  <c:v>3.6876985386946863</c:v>
                </c:pt>
                <c:pt idx="158">
                  <c:v>3.6960282869266532</c:v>
                </c:pt>
                <c:pt idx="159">
                  <c:v>3.7043580351586192</c:v>
                </c:pt>
                <c:pt idx="160">
                  <c:v>3.7126877833905851</c:v>
                </c:pt>
                <c:pt idx="161">
                  <c:v>3.7210175316225507</c:v>
                </c:pt>
                <c:pt idx="162">
                  <c:v>3.7293472798545166</c:v>
                </c:pt>
                <c:pt idx="163">
                  <c:v>3.7376770280864826</c:v>
                </c:pt>
                <c:pt idx="164">
                  <c:v>3.746006776318449</c:v>
                </c:pt>
                <c:pt idx="165">
                  <c:v>3.7543365245504146</c:v>
                </c:pt>
                <c:pt idx="166">
                  <c:v>3.7626662727823805</c:v>
                </c:pt>
                <c:pt idx="167">
                  <c:v>3.7709960210143465</c:v>
                </c:pt>
                <c:pt idx="168">
                  <c:v>3.7793257692463129</c:v>
                </c:pt>
                <c:pt idx="169">
                  <c:v>3.7876555174782789</c:v>
                </c:pt>
                <c:pt idx="170">
                  <c:v>3.7959852657102449</c:v>
                </c:pt>
                <c:pt idx="171">
                  <c:v>3.8043150139422113</c:v>
                </c:pt>
                <c:pt idx="172">
                  <c:v>3.8126447621741772</c:v>
                </c:pt>
                <c:pt idx="173">
                  <c:v>3.8209745104061432</c:v>
                </c:pt>
                <c:pt idx="174">
                  <c:v>3.8293042586381087</c:v>
                </c:pt>
                <c:pt idx="175">
                  <c:v>3.8376340068700756</c:v>
                </c:pt>
                <c:pt idx="176">
                  <c:v>3.845963755102042</c:v>
                </c:pt>
                <c:pt idx="177">
                  <c:v>3.8542935033340076</c:v>
                </c:pt>
                <c:pt idx="178">
                  <c:v>3.8626232515659735</c:v>
                </c:pt>
                <c:pt idx="179">
                  <c:v>3.8709529997979395</c:v>
                </c:pt>
                <c:pt idx="180">
                  <c:v>3.8792827480299064</c:v>
                </c:pt>
                <c:pt idx="181">
                  <c:v>3.8876124962618719</c:v>
                </c:pt>
                <c:pt idx="182">
                  <c:v>3.8959422444938379</c:v>
                </c:pt>
                <c:pt idx="183">
                  <c:v>3.9042719927258043</c:v>
                </c:pt>
                <c:pt idx="184">
                  <c:v>3.9126017409577702</c:v>
                </c:pt>
                <c:pt idx="185">
                  <c:v>3.9209314891897367</c:v>
                </c:pt>
                <c:pt idx="186">
                  <c:v>3.9292612374217022</c:v>
                </c:pt>
                <c:pt idx="187">
                  <c:v>3.9375909856536686</c:v>
                </c:pt>
                <c:pt idx="188">
                  <c:v>3.9459207338856337</c:v>
                </c:pt>
                <c:pt idx="189">
                  <c:v>3.9542504821176001</c:v>
                </c:pt>
                <c:pt idx="190">
                  <c:v>3.9625802303495656</c:v>
                </c:pt>
                <c:pt idx="191">
                  <c:v>3.9709099785815316</c:v>
                </c:pt>
                <c:pt idx="192">
                  <c:v>3.979239726813498</c:v>
                </c:pt>
                <c:pt idx="193">
                  <c:v>3.9875694750454644</c:v>
                </c:pt>
                <c:pt idx="194">
                  <c:v>3.9958992232774304</c:v>
                </c:pt>
                <c:pt idx="195">
                  <c:v>4.0042289715093959</c:v>
                </c:pt>
                <c:pt idx="196">
                  <c:v>4.0125587197413628</c:v>
                </c:pt>
                <c:pt idx="197">
                  <c:v>4.0208884679733288</c:v>
                </c:pt>
                <c:pt idx="198">
                  <c:v>4.0292182162052947</c:v>
                </c:pt>
                <c:pt idx="199">
                  <c:v>4.0375479644372598</c:v>
                </c:pt>
                <c:pt idx="200">
                  <c:v>4.0458777126692267</c:v>
                </c:pt>
              </c:numCache>
            </c:numRef>
          </c:val>
          <c:smooth val="0"/>
          <c:extLst>
            <c:ext xmlns:c16="http://schemas.microsoft.com/office/drawing/2014/chart" uri="{C3380CC4-5D6E-409C-BE32-E72D297353CC}">
              <c16:uniqueId val="{00000001-437A-4BD3-B446-8D6D037309A4}"/>
            </c:ext>
          </c:extLst>
        </c:ser>
        <c:ser>
          <c:idx val="9"/>
          <c:order val="3"/>
          <c:tx>
            <c:strRef>
              <c:f>'Efficiency vs VIN Calculations'!$AH$8</c:f>
              <c:strCache>
                <c:ptCount val="1"/>
                <c:pt idx="0">
                  <c:v>RDS(on) Loss BuCtrl</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Calculations'!$AH$9:$AH$209</c:f>
              <c:numCache>
                <c:formatCode>0.000</c:formatCode>
                <c:ptCount val="201"/>
                <c:pt idx="0">
                  <c:v>0.44699628763521665</c:v>
                </c:pt>
                <c:pt idx="1">
                  <c:v>0.44547027365038389</c:v>
                </c:pt>
                <c:pt idx="2">
                  <c:v>0.44395492367370382</c:v>
                </c:pt>
                <c:pt idx="3">
                  <c:v>0.44245012338840822</c:v>
                </c:pt>
                <c:pt idx="4">
                  <c:v>0.44095576014428511</c:v>
                </c:pt>
                <c:pt idx="5">
                  <c:v>0.4394717229268264</c:v>
                </c:pt>
                <c:pt idx="6">
                  <c:v>0.43799790232706487</c:v>
                </c:pt>
                <c:pt idx="7">
                  <c:v>0.43653419051208875</c:v>
                </c:pt>
                <c:pt idx="8">
                  <c:v>0.43508048119621284</c:v>
                </c:pt>
                <c:pt idx="9">
                  <c:v>0.43363666961278985</c:v>
                </c:pt>
                <c:pt idx="10">
                  <c:v>0.43220265248664452</c:v>
                </c:pt>
                <c:pt idx="11">
                  <c:v>0.43077832800711552</c:v>
                </c:pt>
                <c:pt idx="12">
                  <c:v>0.42936359580168904</c:v>
                </c:pt>
                <c:pt idx="13">
                  <c:v>0.42795835691020723</c:v>
                </c:pt>
                <c:pt idx="14">
                  <c:v>0.42656251375964027</c:v>
                </c:pt>
                <c:pt idx="15">
                  <c:v>0.4251759701394035</c:v>
                </c:pt>
                <c:pt idx="16">
                  <c:v>0.42379863117720801</c:v>
                </c:pt>
                <c:pt idx="17">
                  <c:v>0.42243040331543236</c:v>
                </c:pt>
                <c:pt idx="18">
                  <c:v>0.421071194287998</c:v>
                </c:pt>
                <c:pt idx="19">
                  <c:v>0.41972091309774123</c:v>
                </c:pt>
                <c:pt idx="20">
                  <c:v>0.41837946999426417</c:v>
                </c:pt>
                <c:pt idx="21">
                  <c:v>0.41704677645225657</c:v>
                </c:pt>
                <c:pt idx="22">
                  <c:v>0.41572274515027402</c:v>
                </c:pt>
                <c:pt idx="23">
                  <c:v>0.41440728994996268</c:v>
                </c:pt>
                <c:pt idx="24">
                  <c:v>0.4131003258757201</c:v>
                </c:pt>
                <c:pt idx="25">
                  <c:v>0.41180176909477906</c:v>
                </c:pt>
                <c:pt idx="26">
                  <c:v>0.41051153689770631</c:v>
                </c:pt>
                <c:pt idx="27">
                  <c:v>0.40922954767930503</c:v>
                </c:pt>
                <c:pt idx="28">
                  <c:v>0.40795572091991167</c:v>
                </c:pt>
                <c:pt idx="29">
                  <c:v>0.4066899771670765</c:v>
                </c:pt>
                <c:pt idx="30">
                  <c:v>0.40543223801761991</c:v>
                </c:pt>
                <c:pt idx="31">
                  <c:v>0.40418242610005595</c:v>
                </c:pt>
                <c:pt idx="32">
                  <c:v>0.40294046505737041</c:v>
                </c:pt>
                <c:pt idx="33">
                  <c:v>0.40170627953015114</c:v>
                </c:pt>
                <c:pt idx="34">
                  <c:v>0.4004797951400571</c:v>
                </c:pt>
                <c:pt idx="35">
                  <c:v>0.39926093847361832</c:v>
                </c:pt>
                <c:pt idx="36">
                  <c:v>0.39804963706636504</c:v>
                </c:pt>
                <c:pt idx="37">
                  <c:v>0.39684581938726854</c:v>
                </c:pt>
                <c:pt idx="38">
                  <c:v>0.39564941482349558</c:v>
                </c:pt>
                <c:pt idx="39">
                  <c:v>0.39446035366546217</c:v>
                </c:pt>
                <c:pt idx="40">
                  <c:v>0.39327856709218456</c:v>
                </c:pt>
                <c:pt idx="41">
                  <c:v>0.39210398715691813</c:v>
                </c:pt>
                <c:pt idx="42">
                  <c:v>0.3909365467730766</c:v>
                </c:pt>
                <c:pt idx="43">
                  <c:v>0.3897761797004281</c:v>
                </c:pt>
                <c:pt idx="44">
                  <c:v>0.38862282053155978</c:v>
                </c:pt>
                <c:pt idx="45">
                  <c:v>0.38747640467860417</c:v>
                </c:pt>
                <c:pt idx="46">
                  <c:v>0.38633686836022346</c:v>
                </c:pt>
                <c:pt idx="47">
                  <c:v>0.38520414858884361</c:v>
                </c:pt>
                <c:pt idx="48">
                  <c:v>0.38407818315813419</c:v>
                </c:pt>
                <c:pt idx="49">
                  <c:v>0.38295891063072851</c:v>
                </c:pt>
                <c:pt idx="50">
                  <c:v>0.38184627032617541</c:v>
                </c:pt>
                <c:pt idx="51">
                  <c:v>0.3807402023091242</c:v>
                </c:pt>
                <c:pt idx="52">
                  <c:v>0.37964064737772923</c:v>
                </c:pt>
                <c:pt idx="53">
                  <c:v>0.37854754705227595</c:v>
                </c:pt>
                <c:pt idx="54">
                  <c:v>0.37746084356402043</c:v>
                </c:pt>
                <c:pt idx="55">
                  <c:v>0.37638047984423828</c:v>
                </c:pt>
                <c:pt idx="56">
                  <c:v>0.37530639951347644</c:v>
                </c:pt>
                <c:pt idx="57">
                  <c:v>0.37423854687100838</c:v>
                </c:pt>
                <c:pt idx="58">
                  <c:v>0.37317686688448243</c:v>
                </c:pt>
                <c:pt idx="59">
                  <c:v>0.37212130517976277</c:v>
                </c:pt>
                <c:pt idx="60">
                  <c:v>0.37107180803095752</c:v>
                </c:pt>
                <c:pt idx="61">
                  <c:v>0.37002832235062971</c:v>
                </c:pt>
                <c:pt idx="62">
                  <c:v>0.36899079568018878</c:v>
                </c:pt>
                <c:pt idx="63">
                  <c:v>0.36795917618045537</c:v>
                </c:pt>
                <c:pt idx="64">
                  <c:v>0.36693341262240087</c:v>
                </c:pt>
                <c:pt idx="65">
                  <c:v>0.36591345437805106</c:v>
                </c:pt>
                <c:pt idx="66">
                  <c:v>0.36489925141155843</c:v>
                </c:pt>
                <c:pt idx="67">
                  <c:v>0.36389075427043177</c:v>
                </c:pt>
                <c:pt idx="68">
                  <c:v>0.36288791407692544</c:v>
                </c:pt>
                <c:pt idx="69">
                  <c:v>0.3618906825195824</c:v>
                </c:pt>
                <c:pt idx="70">
                  <c:v>0.36089901184492701</c:v>
                </c:pt>
                <c:pt idx="71">
                  <c:v>0.35991285484930802</c:v>
                </c:pt>
                <c:pt idx="72">
                  <c:v>0.35893216487088281</c:v>
                </c:pt>
                <c:pt idx="73">
                  <c:v>0.3579568957817475</c:v>
                </c:pt>
                <c:pt idx="74">
                  <c:v>0.35698700198020145</c:v>
                </c:pt>
                <c:pt idx="75">
                  <c:v>0.35602243838315106</c:v>
                </c:pt>
                <c:pt idx="76">
                  <c:v>0.3550631604186445</c:v>
                </c:pt>
                <c:pt idx="77">
                  <c:v>0.35410912401853695</c:v>
                </c:pt>
                <c:pt idx="78">
                  <c:v>0.35316028561128571</c:v>
                </c:pt>
                <c:pt idx="79">
                  <c:v>0.35221660211486627</c:v>
                </c:pt>
                <c:pt idx="80">
                  <c:v>0.35127803092981491</c:v>
                </c:pt>
                <c:pt idx="81">
                  <c:v>0.35034452993238785</c:v>
                </c:pt>
                <c:pt idx="82">
                  <c:v>0.34941605746784127</c:v>
                </c:pt>
                <c:pt idx="83">
                  <c:v>0.34849257234382308</c:v>
                </c:pt>
                <c:pt idx="84">
                  <c:v>0.34757403382387991</c:v>
                </c:pt>
                <c:pt idx="85">
                  <c:v>0.34666040162107409</c:v>
                </c:pt>
                <c:pt idx="86">
                  <c:v>0.34575163589170843</c:v>
                </c:pt>
                <c:pt idx="87">
                  <c:v>0.34484769722915787</c:v>
                </c:pt>
                <c:pt idx="88">
                  <c:v>0.34394854665780461</c:v>
                </c:pt>
                <c:pt idx="89">
                  <c:v>0.34305414562707581</c:v>
                </c:pt>
                <c:pt idx="90">
                  <c:v>0.34216445600558071</c:v>
                </c:pt>
                <c:pt idx="91">
                  <c:v>0.34127944007534644</c:v>
                </c:pt>
                <c:pt idx="92">
                  <c:v>0.34039906052614888</c:v>
                </c:pt>
                <c:pt idx="93">
                  <c:v>0.33952328044993957</c:v>
                </c:pt>
                <c:pt idx="94">
                  <c:v>0.33865206333536285</c:v>
                </c:pt>
                <c:pt idx="95">
                  <c:v>0.33778537306236445</c:v>
                </c:pt>
                <c:pt idx="96">
                  <c:v>0.33692317389688992</c:v>
                </c:pt>
                <c:pt idx="97">
                  <c:v>0.33606543048566773</c:v>
                </c:pt>
                <c:pt idx="98">
                  <c:v>0.33521210785108124</c:v>
                </c:pt>
                <c:pt idx="99">
                  <c:v>0.33436317138612021</c:v>
                </c:pt>
                <c:pt idx="100">
                  <c:v>0.33351858684941837</c:v>
                </c:pt>
                <c:pt idx="101">
                  <c:v>0.33267832036036871</c:v>
                </c:pt>
                <c:pt idx="102">
                  <c:v>0.33184233839431992</c:v>
                </c:pt>
                <c:pt idx="103">
                  <c:v>0.33101060777784863</c:v>
                </c:pt>
                <c:pt idx="104">
                  <c:v>0.33018309568410942</c:v>
                </c:pt>
                <c:pt idx="105">
                  <c:v>0.32935976962825703</c:v>
                </c:pt>
                <c:pt idx="106">
                  <c:v>0.32854059746294528</c:v>
                </c:pt>
                <c:pt idx="107">
                  <c:v>0.32772554737389348</c:v>
                </c:pt>
                <c:pt idx="108">
                  <c:v>0.32691458787552818</c:v>
                </c:pt>
                <c:pt idx="109">
                  <c:v>0.32610768780668975</c:v>
                </c:pt>
                <c:pt idx="110">
                  <c:v>0.32530481632640917</c:v>
                </c:pt>
                <c:pt idx="111">
                  <c:v>0.32450594290975132</c:v>
                </c:pt>
                <c:pt idx="112">
                  <c:v>0.32371103734372331</c:v>
                </c:pt>
                <c:pt idx="113">
                  <c:v>0.32292006972324611</c:v>
                </c:pt>
                <c:pt idx="114">
                  <c:v>0.32213301044719078</c:v>
                </c:pt>
                <c:pt idx="115">
                  <c:v>0.32134983021447594</c:v>
                </c:pt>
                <c:pt idx="116">
                  <c:v>0.32057050002022536</c:v>
                </c:pt>
                <c:pt idx="117">
                  <c:v>0.31979499115198506</c:v>
                </c:pt>
                <c:pt idx="118">
                  <c:v>0.31902327518600088</c:v>
                </c:pt>
                <c:pt idx="119">
                  <c:v>0.31825532398355028</c:v>
                </c:pt>
                <c:pt idx="120">
                  <c:v>0.31749110968733329</c:v>
                </c:pt>
                <c:pt idx="121">
                  <c:v>0.3167306047179182</c:v>
                </c:pt>
                <c:pt idx="122">
                  <c:v>0.31597378177023966</c:v>
                </c:pt>
                <c:pt idx="123">
                  <c:v>0.31522061381015321</c:v>
                </c:pt>
                <c:pt idx="124">
                  <c:v>0.31447107407104058</c:v>
                </c:pt>
                <c:pt idx="125">
                  <c:v>0.31372513605046587</c:v>
                </c:pt>
                <c:pt idx="126">
                  <c:v>0.31298277350688419</c:v>
                </c:pt>
                <c:pt idx="127">
                  <c:v>0.31224396045639791</c:v>
                </c:pt>
                <c:pt idx="128">
                  <c:v>0.31150867116956427</c:v>
                </c:pt>
                <c:pt idx="129">
                  <c:v>0.31077688016824784</c:v>
                </c:pt>
                <c:pt idx="130">
                  <c:v>0.31004856222252192</c:v>
                </c:pt>
                <c:pt idx="131">
                  <c:v>0.30932369234761692</c:v>
                </c:pt>
                <c:pt idx="132">
                  <c:v>0.30860224580091261</c:v>
                </c:pt>
                <c:pt idx="133">
                  <c:v>0.30788419807897527</c:v>
                </c:pt>
                <c:pt idx="134">
                  <c:v>0.30716952491463922</c:v>
                </c:pt>
                <c:pt idx="135">
                  <c:v>0.3064582022741319</c:v>
                </c:pt>
                <c:pt idx="136">
                  <c:v>0.30575020635424016</c:v>
                </c:pt>
                <c:pt idx="137">
                  <c:v>0.30504551357951887</c:v>
                </c:pt>
                <c:pt idx="138">
                  <c:v>0.30434410059954037</c:v>
                </c:pt>
                <c:pt idx="139">
                  <c:v>0.3036459442861838</c:v>
                </c:pt>
                <c:pt idx="140">
                  <c:v>0.30295102173096494</c:v>
                </c:pt>
                <c:pt idx="141">
                  <c:v>0.3022593102424036</c:v>
                </c:pt>
                <c:pt idx="142">
                  <c:v>0.30157078734342968</c:v>
                </c:pt>
                <c:pt idx="143">
                  <c:v>0.3008854307688274</c:v>
                </c:pt>
                <c:pt idx="144">
                  <c:v>0.30020321846271503</c:v>
                </c:pt>
                <c:pt idx="145">
                  <c:v>0.29952412857606259</c:v>
                </c:pt>
                <c:pt idx="146">
                  <c:v>0.29884813946424382</c:v>
                </c:pt>
                <c:pt idx="147">
                  <c:v>0.29817522968462368</c:v>
                </c:pt>
                <c:pt idx="148">
                  <c:v>0.29750537799418036</c:v>
                </c:pt>
                <c:pt idx="149">
                  <c:v>0.29683856334716152</c:v>
                </c:pt>
                <c:pt idx="150">
                  <c:v>0.29617476489277272</c:v>
                </c:pt>
                <c:pt idx="151">
                  <c:v>0.29551396197289986</c:v>
                </c:pt>
                <c:pt idx="152">
                  <c:v>0.2948561341198635</c:v>
                </c:pt>
                <c:pt idx="153">
                  <c:v>0.29420126105420397</c:v>
                </c:pt>
                <c:pt idx="154">
                  <c:v>0.29354932268249834</c:v>
                </c:pt>
                <c:pt idx="155">
                  <c:v>0.29290029909520909</c:v>
                </c:pt>
                <c:pt idx="156">
                  <c:v>0.29225417056456071</c:v>
                </c:pt>
                <c:pt idx="157">
                  <c:v>0.29161091754244728</c:v>
                </c:pt>
                <c:pt idx="158">
                  <c:v>0.29097052065836915</c:v>
                </c:pt>
                <c:pt idx="159">
                  <c:v>0.29033296071739839</c:v>
                </c:pt>
                <c:pt idx="160">
                  <c:v>0.28969821869817103</c:v>
                </c:pt>
                <c:pt idx="161">
                  <c:v>0.28906627575090965</c:v>
                </c:pt>
                <c:pt idx="162">
                  <c:v>0.28843711319547077</c:v>
                </c:pt>
                <c:pt idx="163">
                  <c:v>0.28781071251942003</c:v>
                </c:pt>
                <c:pt idx="164">
                  <c:v>0.28718705537613504</c:v>
                </c:pt>
                <c:pt idx="165">
                  <c:v>0.28656612358293132</c:v>
                </c:pt>
                <c:pt idx="166">
                  <c:v>0.28594789911921698</c:v>
                </c:pt>
                <c:pt idx="167">
                  <c:v>0.2853323641246705</c:v>
                </c:pt>
                <c:pt idx="168">
                  <c:v>0.28471950089744369</c:v>
                </c:pt>
                <c:pt idx="169">
                  <c:v>0.28410929189238937</c:v>
                </c:pt>
                <c:pt idx="170">
                  <c:v>0.28350171971931315</c:v>
                </c:pt>
                <c:pt idx="171">
                  <c:v>0.28289676714124828</c:v>
                </c:pt>
                <c:pt idx="172">
                  <c:v>0.28229441707275377</c:v>
                </c:pt>
                <c:pt idx="173">
                  <c:v>0.281694652578236</c:v>
                </c:pt>
                <c:pt idx="174">
                  <c:v>0.28109745687029153</c:v>
                </c:pt>
                <c:pt idx="175">
                  <c:v>0.28050281330807453</c:v>
                </c:pt>
                <c:pt idx="176">
                  <c:v>0.27991070539568191</c:v>
                </c:pt>
                <c:pt idx="177">
                  <c:v>0.27932111678056476</c:v>
                </c:pt>
                <c:pt idx="178">
                  <c:v>0.278734031251957</c:v>
                </c:pt>
                <c:pt idx="179">
                  <c:v>0.27814943273932691</c:v>
                </c:pt>
                <c:pt idx="180">
                  <c:v>0.27756730531084833</c:v>
                </c:pt>
                <c:pt idx="181">
                  <c:v>0.2769876331718924</c:v>
                </c:pt>
                <c:pt idx="182">
                  <c:v>0.27641040066353828</c:v>
                </c:pt>
                <c:pt idx="183">
                  <c:v>0.27583559226110532</c:v>
                </c:pt>
                <c:pt idx="184">
                  <c:v>0.2752631925727016</c:v>
                </c:pt>
                <c:pt idx="185">
                  <c:v>0.27469318633779455</c:v>
                </c:pt>
                <c:pt idx="186">
                  <c:v>0.27412555842579694</c:v>
                </c:pt>
                <c:pt idx="187">
                  <c:v>0.27356029383467512</c:v>
                </c:pt>
                <c:pt idx="188">
                  <c:v>0.27299737768957089</c:v>
                </c:pt>
                <c:pt idx="189">
                  <c:v>0.27243679524144437</c:v>
                </c:pt>
                <c:pt idx="190">
                  <c:v>0.27187853186573463</c:v>
                </c:pt>
                <c:pt idx="191">
                  <c:v>0.27132257306103408</c:v>
                </c:pt>
                <c:pt idx="192">
                  <c:v>0.27076890444778384</c:v>
                </c:pt>
                <c:pt idx="193">
                  <c:v>0.27021751176698411</c:v>
                </c:pt>
                <c:pt idx="194">
                  <c:v>0.26966838087892042</c:v>
                </c:pt>
                <c:pt idx="195">
                  <c:v>0.26912149776190697</c:v>
                </c:pt>
                <c:pt idx="196">
                  <c:v>0.26857684851104696</c:v>
                </c:pt>
                <c:pt idx="197">
                  <c:v>0.26803441933700534</c:v>
                </c:pt>
                <c:pt idx="198">
                  <c:v>0.26749419656480183</c:v>
                </c:pt>
                <c:pt idx="199">
                  <c:v>0.26695616663261507</c:v>
                </c:pt>
                <c:pt idx="200">
                  <c:v>0.26642031609060385</c:v>
                </c:pt>
              </c:numCache>
            </c:numRef>
          </c:val>
          <c:smooth val="0"/>
          <c:extLst>
            <c:ext xmlns:c16="http://schemas.microsoft.com/office/drawing/2014/chart" uri="{C3380CC4-5D6E-409C-BE32-E72D297353CC}">
              <c16:uniqueId val="{00000002-437A-4BD3-B446-8D6D037309A4}"/>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196219610883936"/>
          <c:y val="3.9002915763071203E-2"/>
          <c:w val="0.19856895379285092"/>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Low-side BUCK "Sync" MOSFET Losses </a:t>
            </a:r>
          </a:p>
          <a:p>
            <a:pPr>
              <a:defRPr/>
            </a:pPr>
            <a:endParaRPr lang="en-US"/>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2-FE6A-49A6-BE9D-8B73A0F1094D}"/>
                  </c:ext>
                </c:extLst>
              </c15:ser>
            </c15:filteredLineSeries>
          </c:ext>
        </c:extLst>
      </c:lineChart>
      <c:lineChart>
        <c:grouping val="standard"/>
        <c:varyColors val="0"/>
        <c:ser>
          <c:idx val="2"/>
          <c:order val="1"/>
          <c:tx>
            <c:strRef>
              <c:f>'Efficiency vs VIN Calculations'!$AN$8</c:f>
              <c:strCache>
                <c:ptCount val="1"/>
                <c:pt idx="0">
                  <c:v>Deadtime Loss BuSync</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Calculations'!$AN$9:$AN$209</c:f>
              <c:numCache>
                <c:formatCode>0.000</c:formatCode>
                <c:ptCount val="201"/>
                <c:pt idx="0">
                  <c:v>0.57737142857142854</c:v>
                </c:pt>
                <c:pt idx="1">
                  <c:v>0.57737142857142854</c:v>
                </c:pt>
                <c:pt idx="2">
                  <c:v>0.57737142857142854</c:v>
                </c:pt>
                <c:pt idx="3">
                  <c:v>0.57737142857142854</c:v>
                </c:pt>
                <c:pt idx="4">
                  <c:v>0.57737142857142854</c:v>
                </c:pt>
                <c:pt idx="5">
                  <c:v>0.57737142857142854</c:v>
                </c:pt>
                <c:pt idx="6">
                  <c:v>0.57737142857142854</c:v>
                </c:pt>
                <c:pt idx="7">
                  <c:v>0.57737142857142854</c:v>
                </c:pt>
                <c:pt idx="8">
                  <c:v>0.57737142857142854</c:v>
                </c:pt>
                <c:pt idx="9">
                  <c:v>0.57737142857142854</c:v>
                </c:pt>
                <c:pt idx="10">
                  <c:v>0.57737142857142854</c:v>
                </c:pt>
                <c:pt idx="11">
                  <c:v>0.57737142857142854</c:v>
                </c:pt>
                <c:pt idx="12">
                  <c:v>0.57737142857142854</c:v>
                </c:pt>
                <c:pt idx="13">
                  <c:v>0.57737142857142854</c:v>
                </c:pt>
                <c:pt idx="14">
                  <c:v>0.57737142857142854</c:v>
                </c:pt>
                <c:pt idx="15">
                  <c:v>0.57737142857142854</c:v>
                </c:pt>
                <c:pt idx="16">
                  <c:v>0.57737142857142854</c:v>
                </c:pt>
                <c:pt idx="17">
                  <c:v>0.57737142857142854</c:v>
                </c:pt>
                <c:pt idx="18">
                  <c:v>0.57737142857142854</c:v>
                </c:pt>
                <c:pt idx="19">
                  <c:v>0.57737142857142854</c:v>
                </c:pt>
                <c:pt idx="20">
                  <c:v>0.57737142857142854</c:v>
                </c:pt>
                <c:pt idx="21">
                  <c:v>0.57737142857142854</c:v>
                </c:pt>
                <c:pt idx="22">
                  <c:v>0.57737142857142854</c:v>
                </c:pt>
                <c:pt idx="23">
                  <c:v>0.57737142857142854</c:v>
                </c:pt>
                <c:pt idx="24">
                  <c:v>0.57737142857142854</c:v>
                </c:pt>
                <c:pt idx="25">
                  <c:v>0.57737142857142854</c:v>
                </c:pt>
                <c:pt idx="26">
                  <c:v>0.57737142857142854</c:v>
                </c:pt>
                <c:pt idx="27">
                  <c:v>0.57737142857142854</c:v>
                </c:pt>
                <c:pt idx="28">
                  <c:v>0.57737142857142854</c:v>
                </c:pt>
                <c:pt idx="29">
                  <c:v>0.57737142857142854</c:v>
                </c:pt>
                <c:pt idx="30">
                  <c:v>0.57737142857142854</c:v>
                </c:pt>
                <c:pt idx="31">
                  <c:v>0.57737142857142854</c:v>
                </c:pt>
                <c:pt idx="32">
                  <c:v>0.57737142857142854</c:v>
                </c:pt>
                <c:pt idx="33">
                  <c:v>0.57737142857142854</c:v>
                </c:pt>
                <c:pt idx="34">
                  <c:v>0.57737142857142854</c:v>
                </c:pt>
                <c:pt idx="35">
                  <c:v>0.57737142857142854</c:v>
                </c:pt>
                <c:pt idx="36">
                  <c:v>0.57737142857142854</c:v>
                </c:pt>
                <c:pt idx="37">
                  <c:v>0.57737142857142854</c:v>
                </c:pt>
                <c:pt idx="38">
                  <c:v>0.57737142857142854</c:v>
                </c:pt>
                <c:pt idx="39">
                  <c:v>0.57737142857142854</c:v>
                </c:pt>
                <c:pt idx="40">
                  <c:v>0.57737142857142854</c:v>
                </c:pt>
                <c:pt idx="41">
                  <c:v>0.57737142857142854</c:v>
                </c:pt>
                <c:pt idx="42">
                  <c:v>0.57737142857142854</c:v>
                </c:pt>
                <c:pt idx="43">
                  <c:v>0.57737142857142854</c:v>
                </c:pt>
                <c:pt idx="44">
                  <c:v>0.57737142857142854</c:v>
                </c:pt>
                <c:pt idx="45">
                  <c:v>0.57737142857142854</c:v>
                </c:pt>
                <c:pt idx="46">
                  <c:v>0.57737142857142854</c:v>
                </c:pt>
                <c:pt idx="47">
                  <c:v>0.57737142857142854</c:v>
                </c:pt>
                <c:pt idx="48">
                  <c:v>0.57737142857142854</c:v>
                </c:pt>
                <c:pt idx="49">
                  <c:v>0.57737142857142854</c:v>
                </c:pt>
                <c:pt idx="50">
                  <c:v>0.57737142857142854</c:v>
                </c:pt>
                <c:pt idx="51">
                  <c:v>0.57737142857142854</c:v>
                </c:pt>
                <c:pt idx="52">
                  <c:v>0.57737142857142854</c:v>
                </c:pt>
                <c:pt idx="53">
                  <c:v>0.57737142857142854</c:v>
                </c:pt>
                <c:pt idx="54">
                  <c:v>0.57737142857142854</c:v>
                </c:pt>
                <c:pt idx="55">
                  <c:v>0.57737142857142854</c:v>
                </c:pt>
                <c:pt idx="56">
                  <c:v>0.57737142857142854</c:v>
                </c:pt>
                <c:pt idx="57">
                  <c:v>0.57737142857142854</c:v>
                </c:pt>
                <c:pt idx="58">
                  <c:v>0.57737142857142854</c:v>
                </c:pt>
                <c:pt idx="59">
                  <c:v>0.57737142857142854</c:v>
                </c:pt>
                <c:pt idx="60">
                  <c:v>0.57737142857142854</c:v>
                </c:pt>
                <c:pt idx="61">
                  <c:v>0.57737142857142854</c:v>
                </c:pt>
                <c:pt idx="62">
                  <c:v>0.57737142857142854</c:v>
                </c:pt>
                <c:pt idx="63">
                  <c:v>0.57737142857142854</c:v>
                </c:pt>
                <c:pt idx="64">
                  <c:v>0.57737142857142854</c:v>
                </c:pt>
                <c:pt idx="65">
                  <c:v>0.57737142857142854</c:v>
                </c:pt>
                <c:pt idx="66">
                  <c:v>0.57737142857142854</c:v>
                </c:pt>
                <c:pt idx="67">
                  <c:v>0.57737142857142854</c:v>
                </c:pt>
                <c:pt idx="68">
                  <c:v>0.57737142857142854</c:v>
                </c:pt>
                <c:pt idx="69">
                  <c:v>0.57737142857142854</c:v>
                </c:pt>
                <c:pt idx="70">
                  <c:v>0.57737142857142854</c:v>
                </c:pt>
                <c:pt idx="71">
                  <c:v>0.57737142857142854</c:v>
                </c:pt>
                <c:pt idx="72">
                  <c:v>0.57737142857142854</c:v>
                </c:pt>
                <c:pt idx="73">
                  <c:v>0.57737142857142854</c:v>
                </c:pt>
                <c:pt idx="74">
                  <c:v>0.57737142857142854</c:v>
                </c:pt>
                <c:pt idx="75">
                  <c:v>0.57737142857142854</c:v>
                </c:pt>
                <c:pt idx="76">
                  <c:v>0.57737142857142854</c:v>
                </c:pt>
                <c:pt idx="77">
                  <c:v>0.57737142857142854</c:v>
                </c:pt>
                <c:pt idx="78">
                  <c:v>0.57737142857142854</c:v>
                </c:pt>
                <c:pt idx="79">
                  <c:v>0.57737142857142854</c:v>
                </c:pt>
                <c:pt idx="80">
                  <c:v>0.57737142857142854</c:v>
                </c:pt>
                <c:pt idx="81">
                  <c:v>0.57737142857142854</c:v>
                </c:pt>
                <c:pt idx="82">
                  <c:v>0.57737142857142854</c:v>
                </c:pt>
                <c:pt idx="83">
                  <c:v>0.57737142857142854</c:v>
                </c:pt>
                <c:pt idx="84">
                  <c:v>0.57737142857142854</c:v>
                </c:pt>
                <c:pt idx="85">
                  <c:v>0.57737142857142854</c:v>
                </c:pt>
                <c:pt idx="86">
                  <c:v>0.57737142857142854</c:v>
                </c:pt>
                <c:pt idx="87">
                  <c:v>0.57737142857142854</c:v>
                </c:pt>
                <c:pt idx="88">
                  <c:v>0.57737142857142854</c:v>
                </c:pt>
                <c:pt idx="89">
                  <c:v>0.57737142857142854</c:v>
                </c:pt>
                <c:pt idx="90">
                  <c:v>0.57737142857142854</c:v>
                </c:pt>
                <c:pt idx="91">
                  <c:v>0.57737142857142854</c:v>
                </c:pt>
                <c:pt idx="92">
                  <c:v>0.57737142857142854</c:v>
                </c:pt>
                <c:pt idx="93">
                  <c:v>0.57737142857142854</c:v>
                </c:pt>
                <c:pt idx="94">
                  <c:v>0.57737142857142854</c:v>
                </c:pt>
                <c:pt idx="95">
                  <c:v>0.57737142857142854</c:v>
                </c:pt>
                <c:pt idx="96">
                  <c:v>0.57737142857142854</c:v>
                </c:pt>
                <c:pt idx="97">
                  <c:v>0.57737142857142854</c:v>
                </c:pt>
                <c:pt idx="98">
                  <c:v>0.57737142857142854</c:v>
                </c:pt>
                <c:pt idx="99">
                  <c:v>0.57737142857142854</c:v>
                </c:pt>
                <c:pt idx="100">
                  <c:v>0.57737142857142854</c:v>
                </c:pt>
                <c:pt idx="101">
                  <c:v>0.57737142857142854</c:v>
                </c:pt>
                <c:pt idx="102">
                  <c:v>0.57737142857142854</c:v>
                </c:pt>
                <c:pt idx="103">
                  <c:v>0.57737142857142854</c:v>
                </c:pt>
                <c:pt idx="104">
                  <c:v>0.57737142857142854</c:v>
                </c:pt>
                <c:pt idx="105">
                  <c:v>0.57737142857142854</c:v>
                </c:pt>
                <c:pt idx="106">
                  <c:v>0.57737142857142854</c:v>
                </c:pt>
                <c:pt idx="107">
                  <c:v>0.57737142857142854</c:v>
                </c:pt>
                <c:pt idx="108">
                  <c:v>0.57737142857142854</c:v>
                </c:pt>
                <c:pt idx="109">
                  <c:v>0.57737142857142854</c:v>
                </c:pt>
                <c:pt idx="110">
                  <c:v>0.57737142857142854</c:v>
                </c:pt>
                <c:pt idx="111">
                  <c:v>0.57737142857142854</c:v>
                </c:pt>
                <c:pt idx="112">
                  <c:v>0.57737142857142854</c:v>
                </c:pt>
                <c:pt idx="113">
                  <c:v>0.57737142857142854</c:v>
                </c:pt>
                <c:pt idx="114">
                  <c:v>0.57737142857142854</c:v>
                </c:pt>
                <c:pt idx="115">
                  <c:v>0.57737142857142854</c:v>
                </c:pt>
                <c:pt idx="116">
                  <c:v>0.57737142857142854</c:v>
                </c:pt>
                <c:pt idx="117">
                  <c:v>0.57737142857142854</c:v>
                </c:pt>
                <c:pt idx="118">
                  <c:v>0.57737142857142854</c:v>
                </c:pt>
                <c:pt idx="119">
                  <c:v>0.57737142857142854</c:v>
                </c:pt>
                <c:pt idx="120">
                  <c:v>0.57737142857142854</c:v>
                </c:pt>
                <c:pt idx="121">
                  <c:v>0.57737142857142854</c:v>
                </c:pt>
                <c:pt idx="122">
                  <c:v>0.57737142857142854</c:v>
                </c:pt>
                <c:pt idx="123">
                  <c:v>0.57737142857142854</c:v>
                </c:pt>
                <c:pt idx="124">
                  <c:v>0.57737142857142854</c:v>
                </c:pt>
                <c:pt idx="125">
                  <c:v>0.57737142857142854</c:v>
                </c:pt>
                <c:pt idx="126">
                  <c:v>0.57737142857142854</c:v>
                </c:pt>
                <c:pt idx="127">
                  <c:v>0.57737142857142854</c:v>
                </c:pt>
                <c:pt idx="128">
                  <c:v>0.57737142857142854</c:v>
                </c:pt>
                <c:pt idx="129">
                  <c:v>0.57737142857142854</c:v>
                </c:pt>
                <c:pt idx="130">
                  <c:v>0.57737142857142854</c:v>
                </c:pt>
                <c:pt idx="131">
                  <c:v>0.57737142857142854</c:v>
                </c:pt>
                <c:pt idx="132">
                  <c:v>0.57737142857142854</c:v>
                </c:pt>
                <c:pt idx="133">
                  <c:v>0.57737142857142854</c:v>
                </c:pt>
                <c:pt idx="134">
                  <c:v>0.57737142857142854</c:v>
                </c:pt>
                <c:pt idx="135">
                  <c:v>0.57737142857142854</c:v>
                </c:pt>
                <c:pt idx="136">
                  <c:v>0.57737142857142854</c:v>
                </c:pt>
                <c:pt idx="137">
                  <c:v>0.57737142857142854</c:v>
                </c:pt>
                <c:pt idx="138">
                  <c:v>0.57737142857142854</c:v>
                </c:pt>
                <c:pt idx="139">
                  <c:v>0.57737142857142854</c:v>
                </c:pt>
                <c:pt idx="140">
                  <c:v>0.57737142857142854</c:v>
                </c:pt>
                <c:pt idx="141">
                  <c:v>0.57737142857142854</c:v>
                </c:pt>
                <c:pt idx="142">
                  <c:v>0.57737142857142854</c:v>
                </c:pt>
                <c:pt idx="143">
                  <c:v>0.57737142857142854</c:v>
                </c:pt>
                <c:pt idx="144">
                  <c:v>0.57737142857142854</c:v>
                </c:pt>
                <c:pt idx="145">
                  <c:v>0.57737142857142854</c:v>
                </c:pt>
                <c:pt idx="146">
                  <c:v>0.57737142857142854</c:v>
                </c:pt>
                <c:pt idx="147">
                  <c:v>0.57737142857142854</c:v>
                </c:pt>
                <c:pt idx="148">
                  <c:v>0.57737142857142854</c:v>
                </c:pt>
                <c:pt idx="149">
                  <c:v>0.57737142857142854</c:v>
                </c:pt>
                <c:pt idx="150">
                  <c:v>0.57737142857142854</c:v>
                </c:pt>
                <c:pt idx="151">
                  <c:v>0.57737142857142854</c:v>
                </c:pt>
                <c:pt idx="152">
                  <c:v>0.57737142857142854</c:v>
                </c:pt>
                <c:pt idx="153">
                  <c:v>0.57737142857142854</c:v>
                </c:pt>
                <c:pt idx="154">
                  <c:v>0.57737142857142854</c:v>
                </c:pt>
                <c:pt idx="155">
                  <c:v>0.57737142857142854</c:v>
                </c:pt>
                <c:pt idx="156">
                  <c:v>0.57737142857142854</c:v>
                </c:pt>
                <c:pt idx="157">
                  <c:v>0.57737142857142854</c:v>
                </c:pt>
                <c:pt idx="158">
                  <c:v>0.57737142857142854</c:v>
                </c:pt>
                <c:pt idx="159">
                  <c:v>0.57737142857142854</c:v>
                </c:pt>
                <c:pt idx="160">
                  <c:v>0.57737142857142854</c:v>
                </c:pt>
                <c:pt idx="161">
                  <c:v>0.57737142857142854</c:v>
                </c:pt>
                <c:pt idx="162">
                  <c:v>0.57737142857142854</c:v>
                </c:pt>
                <c:pt idx="163">
                  <c:v>0.57737142857142854</c:v>
                </c:pt>
                <c:pt idx="164">
                  <c:v>0.57737142857142854</c:v>
                </c:pt>
                <c:pt idx="165">
                  <c:v>0.57737142857142854</c:v>
                </c:pt>
                <c:pt idx="166">
                  <c:v>0.57737142857142854</c:v>
                </c:pt>
                <c:pt idx="167">
                  <c:v>0.57737142857142854</c:v>
                </c:pt>
                <c:pt idx="168">
                  <c:v>0.57737142857142854</c:v>
                </c:pt>
                <c:pt idx="169">
                  <c:v>0.57737142857142854</c:v>
                </c:pt>
                <c:pt idx="170">
                  <c:v>0.57737142857142854</c:v>
                </c:pt>
                <c:pt idx="171">
                  <c:v>0.57737142857142854</c:v>
                </c:pt>
                <c:pt idx="172">
                  <c:v>0.57737142857142854</c:v>
                </c:pt>
                <c:pt idx="173">
                  <c:v>0.57737142857142854</c:v>
                </c:pt>
                <c:pt idx="174">
                  <c:v>0.57737142857142854</c:v>
                </c:pt>
                <c:pt idx="175">
                  <c:v>0.57737142857142854</c:v>
                </c:pt>
                <c:pt idx="176">
                  <c:v>0.57737142857142854</c:v>
                </c:pt>
                <c:pt idx="177">
                  <c:v>0.57737142857142854</c:v>
                </c:pt>
                <c:pt idx="178">
                  <c:v>0.57737142857142854</c:v>
                </c:pt>
                <c:pt idx="179">
                  <c:v>0.57737142857142854</c:v>
                </c:pt>
                <c:pt idx="180">
                  <c:v>0.57737142857142854</c:v>
                </c:pt>
                <c:pt idx="181">
                  <c:v>0.57737142857142854</c:v>
                </c:pt>
                <c:pt idx="182">
                  <c:v>0.57737142857142854</c:v>
                </c:pt>
                <c:pt idx="183">
                  <c:v>0.57737142857142854</c:v>
                </c:pt>
                <c:pt idx="184">
                  <c:v>0.57737142857142854</c:v>
                </c:pt>
                <c:pt idx="185">
                  <c:v>0.57737142857142854</c:v>
                </c:pt>
                <c:pt idx="186">
                  <c:v>0.57737142857142854</c:v>
                </c:pt>
                <c:pt idx="187">
                  <c:v>0.57737142857142854</c:v>
                </c:pt>
                <c:pt idx="188">
                  <c:v>0.57737142857142854</c:v>
                </c:pt>
                <c:pt idx="189">
                  <c:v>0.57737142857142854</c:v>
                </c:pt>
                <c:pt idx="190">
                  <c:v>0.57737142857142854</c:v>
                </c:pt>
                <c:pt idx="191">
                  <c:v>0.57737142857142854</c:v>
                </c:pt>
                <c:pt idx="192">
                  <c:v>0.57737142857142854</c:v>
                </c:pt>
                <c:pt idx="193">
                  <c:v>0.57737142857142854</c:v>
                </c:pt>
                <c:pt idx="194">
                  <c:v>0.57737142857142854</c:v>
                </c:pt>
                <c:pt idx="195">
                  <c:v>0.57737142857142854</c:v>
                </c:pt>
                <c:pt idx="196">
                  <c:v>0.57737142857142854</c:v>
                </c:pt>
                <c:pt idx="197">
                  <c:v>0.57737142857142854</c:v>
                </c:pt>
                <c:pt idx="198">
                  <c:v>0.57737142857142854</c:v>
                </c:pt>
                <c:pt idx="199">
                  <c:v>0.57737142857142854</c:v>
                </c:pt>
                <c:pt idx="200">
                  <c:v>0.57737142857142854</c:v>
                </c:pt>
              </c:numCache>
            </c:numRef>
          </c:val>
          <c:smooth val="0"/>
          <c:extLst>
            <c:ext xmlns:c16="http://schemas.microsoft.com/office/drawing/2014/chart" uri="{C3380CC4-5D6E-409C-BE32-E72D297353CC}">
              <c16:uniqueId val="{00000000-FE6A-49A6-BE9D-8B73A0F1094D}"/>
            </c:ext>
          </c:extLst>
        </c:ser>
        <c:ser>
          <c:idx val="9"/>
          <c:order val="2"/>
          <c:tx>
            <c:strRef>
              <c:f>'Efficiency vs VIN Calculations'!$AM$8</c:f>
              <c:strCache>
                <c:ptCount val="1"/>
                <c:pt idx="0">
                  <c:v>RDS(on) Loss BuSync</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Calculations'!$AM$9:$AM$209</c:f>
              <c:numCache>
                <c:formatCode>0.000</c:formatCode>
                <c:ptCount val="201"/>
                <c:pt idx="0">
                  <c:v>0.16000951855687762</c:v>
                </c:pt>
                <c:pt idx="1">
                  <c:v>0.16157735349352909</c:v>
                </c:pt>
                <c:pt idx="2">
                  <c:v>0.16313462280077801</c:v>
                </c:pt>
                <c:pt idx="3">
                  <c:v>0.16468143575609229</c:v>
                </c:pt>
                <c:pt idx="4">
                  <c:v>0.16621790009506623</c:v>
                </c:pt>
                <c:pt idx="5">
                  <c:v>0.16774412203918873</c:v>
                </c:pt>
                <c:pt idx="6">
                  <c:v>0.16926020632300137</c:v>
                </c:pt>
                <c:pt idx="7">
                  <c:v>0.17076625622066113</c:v>
                </c:pt>
                <c:pt idx="8">
                  <c:v>0.17226237357192425</c:v>
                </c:pt>
                <c:pt idx="9">
                  <c:v>0.17374865880756532</c:v>
                </c:pt>
                <c:pt idx="10">
                  <c:v>0.17522521097424645</c:v>
                </c:pt>
                <c:pt idx="11">
                  <c:v>0.1766921277588509</c:v>
                </c:pt>
                <c:pt idx="12">
                  <c:v>0.17814950551229408</c:v>
                </c:pt>
                <c:pt idx="13">
                  <c:v>0.17959743927282601</c:v>
                </c:pt>
                <c:pt idx="14">
                  <c:v>0.18103602278883715</c:v>
                </c:pt>
                <c:pt idx="15">
                  <c:v>0.18246534854118135</c:v>
                </c:pt>
                <c:pt idx="16">
                  <c:v>0.18388550776502591</c:v>
                </c:pt>
                <c:pt idx="17">
                  <c:v>0.185296590471244</c:v>
                </c:pt>
                <c:pt idx="18">
                  <c:v>0.18669868546735649</c:v>
                </c:pt>
                <c:pt idx="19">
                  <c:v>0.18809188037803862</c:v>
                </c:pt>
                <c:pt idx="20">
                  <c:v>0.18947626166519893</c:v>
                </c:pt>
                <c:pt idx="21">
                  <c:v>0.19085191464764284</c:v>
                </c:pt>
                <c:pt idx="22">
                  <c:v>0.1922189235203301</c:v>
                </c:pt>
                <c:pt idx="23">
                  <c:v>0.19357737137323677</c:v>
                </c:pt>
                <c:pt idx="24">
                  <c:v>0.19492734020983135</c:v>
                </c:pt>
                <c:pt idx="25">
                  <c:v>0.19626891096517268</c:v>
                </c:pt>
                <c:pt idx="26">
                  <c:v>0.19760216352364168</c:v>
                </c:pt>
                <c:pt idx="27">
                  <c:v>0.19892717673631316</c:v>
                </c:pt>
                <c:pt idx="28">
                  <c:v>0.20024402843797698</c:v>
                </c:pt>
                <c:pt idx="29">
                  <c:v>0.20155279546381899</c:v>
                </c:pt>
                <c:pt idx="30">
                  <c:v>0.20285355366576521</c:v>
                </c:pt>
                <c:pt idx="31">
                  <c:v>0.20414637792850288</c:v>
                </c:pt>
                <c:pt idx="32">
                  <c:v>0.20543134218518139</c:v>
                </c:pt>
                <c:pt idx="33">
                  <c:v>0.2067085194328033</c:v>
                </c:pt>
                <c:pt idx="34">
                  <c:v>0.20797798174731102</c:v>
                </c:pt>
                <c:pt idx="35">
                  <c:v>0.20923980029837763</c:v>
                </c:pt>
                <c:pt idx="36">
                  <c:v>0.21049404536390834</c:v>
                </c:pt>
                <c:pt idx="37">
                  <c:v>0.21174078634425789</c:v>
                </c:pt>
                <c:pt idx="38">
                  <c:v>0.21298009177617316</c:v>
                </c:pt>
                <c:pt idx="39">
                  <c:v>0.21421202934646455</c:v>
                </c:pt>
                <c:pt idx="40">
                  <c:v>0.21543666590541372</c:v>
                </c:pt>
                <c:pt idx="41">
                  <c:v>0.21665406747992433</c:v>
                </c:pt>
                <c:pt idx="42">
                  <c:v>0.2178642992864197</c:v>
                </c:pt>
                <c:pt idx="43">
                  <c:v>0.21906742574349494</c:v>
                </c:pt>
                <c:pt idx="44">
                  <c:v>0.22026351048432802</c:v>
                </c:pt>
                <c:pt idx="45">
                  <c:v>0.22145261636885649</c:v>
                </c:pt>
                <c:pt idx="46">
                  <c:v>0.22263480549572204</c:v>
                </c:pt>
                <c:pt idx="47">
                  <c:v>0.22381013921399245</c:v>
                </c:pt>
                <c:pt idx="48">
                  <c:v>0.22497867813466307</c:v>
                </c:pt>
                <c:pt idx="49">
                  <c:v>0.22614048214194199</c:v>
                </c:pt>
                <c:pt idx="50">
                  <c:v>0.2272956104043268</c:v>
                </c:pt>
                <c:pt idx="51">
                  <c:v>0.22844412138547451</c:v>
                </c:pt>
                <c:pt idx="52">
                  <c:v>0.22958607285487093</c:v>
                </c:pt>
                <c:pt idx="53">
                  <c:v>0.23072152189830245</c:v>
                </c:pt>
                <c:pt idx="54">
                  <c:v>0.2318505249281374</c:v>
                </c:pt>
                <c:pt idx="55">
                  <c:v>0.23297313769341663</c:v>
                </c:pt>
                <c:pt idx="56">
                  <c:v>0.23408941528976157</c:v>
                </c:pt>
                <c:pt idx="57">
                  <c:v>0.23519941216910153</c:v>
                </c:pt>
                <c:pt idx="58">
                  <c:v>0.23630318214922474</c:v>
                </c:pt>
                <c:pt idx="59">
                  <c:v>0.23740077842315721</c:v>
                </c:pt>
                <c:pt idx="60">
                  <c:v>0.23849225356837137</c:v>
                </c:pt>
                <c:pt idx="61">
                  <c:v>0.23957765955583149</c:v>
                </c:pt>
                <c:pt idx="62">
                  <c:v>0.24065704775887564</c:v>
                </c:pt>
                <c:pt idx="63">
                  <c:v>0.24173046896193989</c:v>
                </c:pt>
                <c:pt idx="64">
                  <c:v>0.24279797336912762</c:v>
                </c:pt>
                <c:pt idx="65">
                  <c:v>0.24385961061262668</c:v>
                </c:pt>
                <c:pt idx="66">
                  <c:v>0.2449154297609783</c:v>
                </c:pt>
                <c:pt idx="67">
                  <c:v>0.24596547932720039</c:v>
                </c:pt>
                <c:pt idx="68">
                  <c:v>0.24700980727676836</c:v>
                </c:pt>
                <c:pt idx="69">
                  <c:v>0.24804846103545616</c:v>
                </c:pt>
                <c:pt idx="70">
                  <c:v>0.2490814874970412</c:v>
                </c:pt>
                <c:pt idx="71">
                  <c:v>0.25010893303087495</c:v>
                </c:pt>
                <c:pt idx="72">
                  <c:v>0.2511308434893228</c:v>
                </c:pt>
                <c:pt idx="73">
                  <c:v>0.252147264215075</c:v>
                </c:pt>
                <c:pt idx="74">
                  <c:v>0.25315824004833276</c:v>
                </c:pt>
                <c:pt idx="75">
                  <c:v>0.25416381533387</c:v>
                </c:pt>
                <c:pt idx="76">
                  <c:v>0.25516403392797493</c:v>
                </c:pt>
                <c:pt idx="77">
                  <c:v>0.25615893920527399</c:v>
                </c:pt>
                <c:pt idx="78">
                  <c:v>0.2571485740654379</c:v>
                </c:pt>
                <c:pt idx="79">
                  <c:v>0.25813298093977666</c:v>
                </c:pt>
                <c:pt idx="80">
                  <c:v>0.25911220179772121</c:v>
                </c:pt>
                <c:pt idx="81">
                  <c:v>0.26008627815319652</c:v>
                </c:pt>
                <c:pt idx="82">
                  <c:v>0.26105525107088895</c:v>
                </c:pt>
                <c:pt idx="83">
                  <c:v>0.26201916117240659</c:v>
                </c:pt>
                <c:pt idx="84">
                  <c:v>0.26297804864233892</c:v>
                </c:pt>
                <c:pt idx="85">
                  <c:v>0.26393195323421442</c:v>
                </c:pt>
                <c:pt idx="86">
                  <c:v>0.26488091427635968</c:v>
                </c:pt>
                <c:pt idx="87">
                  <c:v>0.2658249706776627</c:v>
                </c:pt>
                <c:pt idx="88">
                  <c:v>0.26676416093323979</c:v>
                </c:pt>
                <c:pt idx="89">
                  <c:v>0.26769852313000975</c:v>
                </c:pt>
                <c:pt idx="90">
                  <c:v>0.26862809495217793</c:v>
                </c:pt>
                <c:pt idx="91">
                  <c:v>0.26955291368662948</c:v>
                </c:pt>
                <c:pt idx="92">
                  <c:v>0.27047301622823494</c:v>
                </c:pt>
                <c:pt idx="93">
                  <c:v>0.27138843908507049</c:v>
                </c:pt>
                <c:pt idx="94">
                  <c:v>0.27229921838355281</c:v>
                </c:pt>
                <c:pt idx="95">
                  <c:v>0.27320538987349202</c:v>
                </c:pt>
                <c:pt idx="96">
                  <c:v>0.2741069889330629</c:v>
                </c:pt>
                <c:pt idx="97">
                  <c:v>0.2750040505736957</c:v>
                </c:pt>
                <c:pt idx="98">
                  <c:v>0.27589660944488992</c:v>
                </c:pt>
                <c:pt idx="99">
                  <c:v>0.27678469983895115</c:v>
                </c:pt>
                <c:pt idx="100">
                  <c:v>0.27766835569565135</c:v>
                </c:pt>
                <c:pt idx="101">
                  <c:v>0.27854761060681732</c:v>
                </c:pt>
                <c:pt idx="102">
                  <c:v>0.27942249782084416</c:v>
                </c:pt>
                <c:pt idx="103">
                  <c:v>0.28029305024714096</c:v>
                </c:pt>
                <c:pt idx="104">
                  <c:v>0.28115930046050253</c:v>
                </c:pt>
                <c:pt idx="105">
                  <c:v>0.28202128070541604</c:v>
                </c:pt>
                <c:pt idx="106">
                  <c:v>0.28287902290029865</c:v>
                </c:pt>
                <c:pt idx="107">
                  <c:v>0.28373255864166924</c:v>
                </c:pt>
                <c:pt idx="108">
                  <c:v>0.28458191920825654</c:v>
                </c:pt>
                <c:pt idx="109">
                  <c:v>0.28542713556504179</c:v>
                </c:pt>
                <c:pt idx="110">
                  <c:v>0.28626823836724019</c:v>
                </c:pt>
                <c:pt idx="111">
                  <c:v>0.28710525796422082</c:v>
                </c:pt>
                <c:pt idx="112">
                  <c:v>0.28793822440336597</c:v>
                </c:pt>
                <c:pt idx="113">
                  <c:v>0.2887671674338721</c:v>
                </c:pt>
                <c:pt idx="114">
                  <c:v>0.28959211651049149</c:v>
                </c:pt>
                <c:pt idx="115">
                  <c:v>0.29041310079721788</c:v>
                </c:pt>
                <c:pt idx="116">
                  <c:v>0.29123014917091639</c:v>
                </c:pt>
                <c:pt idx="117">
                  <c:v>0.29204329022489761</c:v>
                </c:pt>
                <c:pt idx="118">
                  <c:v>0.29285255227243751</c:v>
                </c:pt>
                <c:pt idx="119">
                  <c:v>0.29365796335024535</c:v>
                </c:pt>
                <c:pt idx="120">
                  <c:v>0.29445955122187928</c:v>
                </c:pt>
                <c:pt idx="121">
                  <c:v>0.2952573433811102</c:v>
                </c:pt>
                <c:pt idx="122">
                  <c:v>0.29605136705523472</c:v>
                </c:pt>
                <c:pt idx="123">
                  <c:v>0.296841649208341</c:v>
                </c:pt>
                <c:pt idx="124">
                  <c:v>0.29762821654452387</c:v>
                </c:pt>
                <c:pt idx="125">
                  <c:v>0.29841109551105316</c:v>
                </c:pt>
                <c:pt idx="126">
                  <c:v>0.29919031230149601</c:v>
                </c:pt>
                <c:pt idx="127">
                  <c:v>0.29996589285879044</c:v>
                </c:pt>
                <c:pt idx="128">
                  <c:v>0.3007378628782777</c:v>
                </c:pt>
                <c:pt idx="129">
                  <c:v>0.30150624781068641</c:v>
                </c:pt>
                <c:pt idx="130">
                  <c:v>0.30227107286507565</c:v>
                </c:pt>
                <c:pt idx="131">
                  <c:v>0.30303236301173325</c:v>
                </c:pt>
                <c:pt idx="132">
                  <c:v>0.30379014298503404</c:v>
                </c:pt>
                <c:pt idx="133">
                  <c:v>0.30454443728625402</c:v>
                </c:pt>
                <c:pt idx="134">
                  <c:v>0.30529527018634656</c:v>
                </c:pt>
                <c:pt idx="135">
                  <c:v>0.3060426657286755</c:v>
                </c:pt>
                <c:pt idx="136">
                  <c:v>0.30678664773171227</c:v>
                </c:pt>
                <c:pt idx="137">
                  <c:v>0.30752723979169116</c:v>
                </c:pt>
                <c:pt idx="138">
                  <c:v>0.30826446528522922</c:v>
                </c:pt>
                <c:pt idx="139">
                  <c:v>0.30899834737190623</c:v>
                </c:pt>
                <c:pt idx="140">
                  <c:v>0.30972890899681027</c:v>
                </c:pt>
                <c:pt idx="141">
                  <c:v>0.31045617289304495</c:v>
                </c:pt>
                <c:pt idx="142">
                  <c:v>0.31118016158420347</c:v>
                </c:pt>
                <c:pt idx="143">
                  <c:v>0.31190089738680482</c:v>
                </c:pt>
                <c:pt idx="144">
                  <c:v>0.31261840241269856</c:v>
                </c:pt>
                <c:pt idx="145">
                  <c:v>0.31333269857143359</c:v>
                </c:pt>
                <c:pt idx="146">
                  <c:v>0.31404380757259509</c:v>
                </c:pt>
                <c:pt idx="147">
                  <c:v>0.31475175092810781</c:v>
                </c:pt>
                <c:pt idx="148">
                  <c:v>0.31545654995450717</c:v>
                </c:pt>
                <c:pt idx="149">
                  <c:v>0.31615822577517999</c:v>
                </c:pt>
                <c:pt idx="150">
                  <c:v>0.31685679932257305</c:v>
                </c:pt>
                <c:pt idx="151">
                  <c:v>0.3175522913403705</c:v>
                </c:pt>
                <c:pt idx="152">
                  <c:v>0.31824472238564261</c:v>
                </c:pt>
                <c:pt idx="153">
                  <c:v>0.31893411283096407</c:v>
                </c:pt>
                <c:pt idx="154">
                  <c:v>0.31962048286650313</c:v>
                </c:pt>
                <c:pt idx="155">
                  <c:v>0.32030385250208293</c:v>
                </c:pt>
                <c:pt idx="156">
                  <c:v>0.32098424156921246</c:v>
                </c:pt>
                <c:pt idx="157">
                  <c:v>0.32166166972309285</c:v>
                </c:pt>
                <c:pt idx="158">
                  <c:v>0.3223361564445934</c:v>
                </c:pt>
                <c:pt idx="159">
                  <c:v>0.3230077210422041</c:v>
                </c:pt>
                <c:pt idx="160">
                  <c:v>0.32367638265395654</c:v>
                </c:pt>
                <c:pt idx="161">
                  <c:v>0.32434216024932588</c:v>
                </c:pt>
                <c:pt idx="162">
                  <c:v>0.32500507263109985</c:v>
                </c:pt>
                <c:pt idx="163">
                  <c:v>0.32566513843722866</c:v>
                </c:pt>
                <c:pt idx="164">
                  <c:v>0.3263223761426457</c:v>
                </c:pt>
                <c:pt idx="165">
                  <c:v>0.32697680406106677</c:v>
                </c:pt>
                <c:pt idx="166">
                  <c:v>0.32762844034676403</c:v>
                </c:pt>
                <c:pt idx="167">
                  <c:v>0.32827730299631586</c:v>
                </c:pt>
                <c:pt idx="168">
                  <c:v>0.32892340985033486</c:v>
                </c:pt>
                <c:pt idx="169">
                  <c:v>0.32956677859517181</c:v>
                </c:pt>
                <c:pt idx="170">
                  <c:v>0.33020742676459663</c:v>
                </c:pt>
                <c:pt idx="171">
                  <c:v>0.33084537174145989</c:v>
                </c:pt>
                <c:pt idx="172">
                  <c:v>0.33148063075932843</c:v>
                </c:pt>
                <c:pt idx="173">
                  <c:v>0.33211322090410328</c:v>
                </c:pt>
                <c:pt idx="174">
                  <c:v>0.33274315911561303</c:v>
                </c:pt>
                <c:pt idx="175">
                  <c:v>0.33337046218918948</c:v>
                </c:pt>
                <c:pt idx="176">
                  <c:v>0.33399514677722036</c:v>
                </c:pt>
                <c:pt idx="177">
                  <c:v>0.33461722939068334</c:v>
                </c:pt>
                <c:pt idx="178">
                  <c:v>0.33523672640065877</c:v>
                </c:pt>
                <c:pt idx="179">
                  <c:v>0.33585365403982459</c:v>
                </c:pt>
                <c:pt idx="180">
                  <c:v>0.33646802840393014</c:v>
                </c:pt>
                <c:pt idx="181">
                  <c:v>0.33707986545325203</c:v>
                </c:pt>
                <c:pt idx="182">
                  <c:v>0.33768918101403134</c:v>
                </c:pt>
                <c:pt idx="183">
                  <c:v>0.33829599077989131</c:v>
                </c:pt>
                <c:pt idx="184">
                  <c:v>0.33890031031323808</c:v>
                </c:pt>
                <c:pt idx="185">
                  <c:v>0.33950215504664372</c:v>
                </c:pt>
                <c:pt idx="186">
                  <c:v>0.34010154028420925</c:v>
                </c:pt>
                <c:pt idx="187">
                  <c:v>0.34069848120291413</c:v>
                </c:pt>
                <c:pt idx="188">
                  <c:v>0.34129299285394471</c:v>
                </c:pt>
                <c:pt idx="189">
                  <c:v>0.34188509016400914</c:v>
                </c:pt>
                <c:pt idx="190">
                  <c:v>0.34247478793663383</c:v>
                </c:pt>
                <c:pt idx="191">
                  <c:v>0.34306210085344307</c:v>
                </c:pt>
                <c:pt idx="192">
                  <c:v>0.34364704347542474</c:v>
                </c:pt>
                <c:pt idx="193">
                  <c:v>0.34422963024417841</c:v>
                </c:pt>
                <c:pt idx="194">
                  <c:v>0.3448098754831484</c:v>
                </c:pt>
                <c:pt idx="195">
                  <c:v>0.34538779339884079</c:v>
                </c:pt>
                <c:pt idx="196">
                  <c:v>0.34596339808202642</c:v>
                </c:pt>
                <c:pt idx="197">
                  <c:v>0.34653670350892829</c:v>
                </c:pt>
                <c:pt idx="198">
                  <c:v>0.34710772354239372</c:v>
                </c:pt>
                <c:pt idx="199">
                  <c:v>0.34767647193305318</c:v>
                </c:pt>
                <c:pt idx="200">
                  <c:v>0.34824296232046392</c:v>
                </c:pt>
              </c:numCache>
            </c:numRef>
          </c:val>
          <c:smooth val="0"/>
          <c:extLst>
            <c:ext xmlns:c16="http://schemas.microsoft.com/office/drawing/2014/chart" uri="{C3380CC4-5D6E-409C-BE32-E72D297353CC}">
              <c16:uniqueId val="{00000001-FE6A-49A6-BE9D-8B73A0F1094D}"/>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196219610883936"/>
          <c:y val="3.9002915763071203E-2"/>
          <c:w val="0.19856895379285092"/>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Low-side BOOST "Control"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3-3C23-4391-B2C6-43C19F35BBF1}"/>
                  </c:ext>
                </c:extLst>
              </c15:ser>
            </c15:filteredLineSeries>
          </c:ext>
        </c:extLst>
      </c:lineChart>
      <c:lineChart>
        <c:grouping val="standard"/>
        <c:varyColors val="0"/>
        <c:ser>
          <c:idx val="2"/>
          <c:order val="1"/>
          <c:tx>
            <c:strRef>
              <c:f>'Efficiency vs VIN Calculations'!$AR$8</c:f>
              <c:strCache>
                <c:ptCount val="1"/>
                <c:pt idx="0">
                  <c:v>Transition Loss BoCtlr</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Calculations'!$AR$9:$AR$209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3C23-4391-B2C6-43C19F35BBF1}"/>
            </c:ext>
          </c:extLst>
        </c:ser>
        <c:ser>
          <c:idx val="1"/>
          <c:order val="2"/>
          <c:tx>
            <c:strRef>
              <c:f>'Efficiency vs VIN Calculations'!$AS$8</c:f>
              <c:strCache>
                <c:ptCount val="1"/>
                <c:pt idx="0">
                  <c:v>Dead Time Loss BoCtlr</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Calculations'!$AS$9:$AS$209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1-3C23-4391-B2C6-43C19F35BBF1}"/>
            </c:ext>
          </c:extLst>
        </c:ser>
        <c:ser>
          <c:idx val="9"/>
          <c:order val="3"/>
          <c:tx>
            <c:strRef>
              <c:f>'Efficiency vs VIN Calculations'!$AQ$8</c:f>
              <c:strCache>
                <c:ptCount val="1"/>
                <c:pt idx="0">
                  <c:v>RDS(on) Loss BoCtlr</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Calculations'!$AQ$9:$AQ$209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2-3C23-4391-B2C6-43C19F35BBF1}"/>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5663198899668607"/>
          <c:y val="7.5971492472867871E-2"/>
          <c:w val="0.23290347792106295"/>
          <c:h val="0.1778607711004701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High-side BOOST "Sync" MOSFET Losses </a:t>
            </a:r>
          </a:p>
        </c:rich>
      </c:tx>
      <c:overlay val="0"/>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dLbls>
          <c:showLegendKey val="0"/>
          <c:showVal val="0"/>
          <c:showCatName val="0"/>
          <c:showSerName val="0"/>
          <c:showPercent val="0"/>
          <c:showBubbleSize val="0"/>
        </c:dLbls>
        <c:marker val="1"/>
        <c:smooth val="0"/>
        <c:axId val="196417792"/>
        <c:axId val="196419968"/>
        <c:extLst>
          <c:ext xmlns:c15="http://schemas.microsoft.com/office/drawing/2012/chart" uri="{02D57815-91ED-43cb-92C2-25804820EDAC}">
            <c15:filteredLineSeries>
              <c15:ser>
                <c:idx val="0"/>
                <c:order val="0"/>
                <c:tx>
                  <c:v>Efficiency</c:v>
                </c:tx>
                <c:spPr>
                  <a:ln w="31750">
                    <a:solidFill>
                      <a:srgbClr val="FF0000"/>
                    </a:solidFill>
                    <a:prstDash val="solid"/>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Calculations'!$BO$9:$BO$209</c15:sqref>
                        </c15:formulaRef>
                      </c:ext>
                    </c:extLst>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2-A14E-48BD-BFE8-75720359AA8F}"/>
                  </c:ext>
                </c:extLst>
              </c15:ser>
            </c15:filteredLineSeries>
          </c:ext>
        </c:extLst>
      </c:lineChart>
      <c:lineChart>
        <c:grouping val="standard"/>
        <c:varyColors val="0"/>
        <c:ser>
          <c:idx val="2"/>
          <c:order val="1"/>
          <c:tx>
            <c:strRef>
              <c:f>'Efficiency vs VIN Calculations'!$AV$8</c:f>
              <c:strCache>
                <c:ptCount val="1"/>
                <c:pt idx="0">
                  <c:v>RDS(on) Loss BoSync</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Calculations'!$AV$9:$AV$209</c:f>
              <c:numCache>
                <c:formatCode>0.000</c:formatCode>
                <c:ptCount val="201"/>
                <c:pt idx="0">
                  <c:v>0.60700580619209421</c:v>
                </c:pt>
                <c:pt idx="1">
                  <c:v>0.60704762714391303</c:v>
                </c:pt>
                <c:pt idx="2">
                  <c:v>0.60708954647448188</c:v>
                </c:pt>
                <c:pt idx="3">
                  <c:v>0.60713155914450057</c:v>
                </c:pt>
                <c:pt idx="4">
                  <c:v>0.60717366023935138</c:v>
                </c:pt>
                <c:pt idx="5">
                  <c:v>0.60721584496601522</c:v>
                </c:pt>
                <c:pt idx="6">
                  <c:v>0.60725810865006613</c:v>
                </c:pt>
                <c:pt idx="7">
                  <c:v>0.60730044673274985</c:v>
                </c:pt>
                <c:pt idx="8">
                  <c:v>0.6073428547681371</c:v>
                </c:pt>
                <c:pt idx="9">
                  <c:v>0.60738532842035531</c:v>
                </c:pt>
                <c:pt idx="10">
                  <c:v>0.60742786346089095</c:v>
                </c:pt>
                <c:pt idx="11">
                  <c:v>0.60747045576596626</c:v>
                </c:pt>
                <c:pt idx="12">
                  <c:v>0.60751310131398317</c:v>
                </c:pt>
                <c:pt idx="13">
                  <c:v>0.60755579618303335</c:v>
                </c:pt>
                <c:pt idx="14">
                  <c:v>0.60759853654847751</c:v>
                </c:pt>
                <c:pt idx="15">
                  <c:v>0.60764131868058502</c:v>
                </c:pt>
                <c:pt idx="16">
                  <c:v>0.60768413894223394</c:v>
                </c:pt>
                <c:pt idx="17">
                  <c:v>0.60772699378667638</c:v>
                </c:pt>
                <c:pt idx="18">
                  <c:v>0.60776987975535446</c:v>
                </c:pt>
                <c:pt idx="19">
                  <c:v>0.60781279347577988</c:v>
                </c:pt>
                <c:pt idx="20">
                  <c:v>0.60785573165946316</c:v>
                </c:pt>
                <c:pt idx="21">
                  <c:v>0.60789869109989947</c:v>
                </c:pt>
                <c:pt idx="22">
                  <c:v>0.60794166867060406</c:v>
                </c:pt>
                <c:pt idx="23">
                  <c:v>0.6079846613231995</c:v>
                </c:pt>
                <c:pt idx="24">
                  <c:v>0.60802766608555159</c:v>
                </c:pt>
                <c:pt idx="25">
                  <c:v>0.60807068005995168</c:v>
                </c:pt>
                <c:pt idx="26">
                  <c:v>0.60811370042134794</c:v>
                </c:pt>
                <c:pt idx="27">
                  <c:v>0.6081567244156183</c:v>
                </c:pt>
                <c:pt idx="28">
                  <c:v>0.60819974935788867</c:v>
                </c:pt>
                <c:pt idx="29">
                  <c:v>0.60824277263089543</c:v>
                </c:pt>
                <c:pt idx="30">
                  <c:v>0.60828579168338504</c:v>
                </c:pt>
                <c:pt idx="31">
                  <c:v>0.60832880402855871</c:v>
                </c:pt>
                <c:pt idx="32">
                  <c:v>0.60837180724255169</c:v>
                </c:pt>
                <c:pt idx="33">
                  <c:v>0.60841479896295436</c:v>
                </c:pt>
                <c:pt idx="34">
                  <c:v>0.60845777688736813</c:v>
                </c:pt>
                <c:pt idx="35">
                  <c:v>0.60850073877199595</c:v>
                </c:pt>
                <c:pt idx="36">
                  <c:v>0.60854368243027324</c:v>
                </c:pt>
                <c:pt idx="37">
                  <c:v>0.60858660573152656</c:v>
                </c:pt>
                <c:pt idx="38">
                  <c:v>0.60862950659966886</c:v>
                </c:pt>
                <c:pt idx="39">
                  <c:v>0.60867238301192661</c:v>
                </c:pt>
                <c:pt idx="40">
                  <c:v>0.60871523299759833</c:v>
                </c:pt>
                <c:pt idx="41">
                  <c:v>0.60875805463684241</c:v>
                </c:pt>
                <c:pt idx="42">
                  <c:v>0.60880084605949636</c:v>
                </c:pt>
                <c:pt idx="43">
                  <c:v>0.60884360544392302</c:v>
                </c:pt>
                <c:pt idx="44">
                  <c:v>0.60888633101588774</c:v>
                </c:pt>
                <c:pt idx="45">
                  <c:v>0.60892902104746061</c:v>
                </c:pt>
                <c:pt idx="46">
                  <c:v>0.60897167385594542</c:v>
                </c:pt>
                <c:pt idx="47">
                  <c:v>0.60901428780283606</c:v>
                </c:pt>
                <c:pt idx="48">
                  <c:v>0.60905686129279735</c:v>
                </c:pt>
                <c:pt idx="49">
                  <c:v>0.60909939277267044</c:v>
                </c:pt>
                <c:pt idx="50">
                  <c:v>0.60914188073050224</c:v>
                </c:pt>
                <c:pt idx="51">
                  <c:v>0.60918432369459885</c:v>
                </c:pt>
                <c:pt idx="52">
                  <c:v>0.60922672023260016</c:v>
                </c:pt>
                <c:pt idx="53">
                  <c:v>0.60926906895057842</c:v>
                </c:pt>
                <c:pt idx="54">
                  <c:v>0.60931136849215795</c:v>
                </c:pt>
                <c:pt idx="55">
                  <c:v>0.60935361753765516</c:v>
                </c:pt>
                <c:pt idx="56">
                  <c:v>0.60939581480323801</c:v>
                </c:pt>
                <c:pt idx="57">
                  <c:v>0.60943795904010989</c:v>
                </c:pt>
                <c:pt idx="58">
                  <c:v>0.60948004903370723</c:v>
                </c:pt>
                <c:pt idx="59">
                  <c:v>0.60952208360291982</c:v>
                </c:pt>
                <c:pt idx="60">
                  <c:v>0.60956406159932885</c:v>
                </c:pt>
                <c:pt idx="61">
                  <c:v>0.60960598190646109</c:v>
                </c:pt>
                <c:pt idx="62">
                  <c:v>0.60964784343906431</c:v>
                </c:pt>
                <c:pt idx="63">
                  <c:v>0.60968964514239532</c:v>
                </c:pt>
                <c:pt idx="64">
                  <c:v>0.60973138599152843</c:v>
                </c:pt>
                <c:pt idx="65">
                  <c:v>0.60977306499067774</c:v>
                </c:pt>
                <c:pt idx="66">
                  <c:v>0.60981468117253668</c:v>
                </c:pt>
                <c:pt idx="67">
                  <c:v>0.60985623359763219</c:v>
                </c:pt>
                <c:pt idx="68">
                  <c:v>0.60989772135369391</c:v>
                </c:pt>
                <c:pt idx="69">
                  <c:v>0.60993914355503853</c:v>
                </c:pt>
                <c:pt idx="70">
                  <c:v>0.60998049934196819</c:v>
                </c:pt>
                <c:pt idx="71">
                  <c:v>0.61002178788018291</c:v>
                </c:pt>
                <c:pt idx="72">
                  <c:v>0.61006300836020566</c:v>
                </c:pt>
                <c:pt idx="73">
                  <c:v>0.61010415999682255</c:v>
                </c:pt>
                <c:pt idx="74">
                  <c:v>0.61014524202853426</c:v>
                </c:pt>
                <c:pt idx="75">
                  <c:v>0.61018625371702095</c:v>
                </c:pt>
                <c:pt idx="76">
                  <c:v>0.61022719434661921</c:v>
                </c:pt>
                <c:pt idx="77">
                  <c:v>0.61026806322381089</c:v>
                </c:pt>
                <c:pt idx="78">
                  <c:v>0.61030885967672355</c:v>
                </c:pt>
                <c:pt idx="79">
                  <c:v>0.61034958305464293</c:v>
                </c:pt>
                <c:pt idx="80">
                  <c:v>0.61039023272753601</c:v>
                </c:pt>
                <c:pt idx="81">
                  <c:v>0.61043080808558448</c:v>
                </c:pt>
                <c:pt idx="82">
                  <c:v>0.61047130853873022</c:v>
                </c:pt>
                <c:pt idx="83">
                  <c:v>0.61051173351622967</c:v>
                </c:pt>
                <c:pt idx="84">
                  <c:v>0.61055208246621884</c:v>
                </c:pt>
                <c:pt idx="85">
                  <c:v>0.61059235485528851</c:v>
                </c:pt>
                <c:pt idx="86">
                  <c:v>0.61063255016806806</c:v>
                </c:pt>
                <c:pt idx="87">
                  <c:v>0.6106726679068204</c:v>
                </c:pt>
                <c:pt idx="88">
                  <c:v>0.61071270759104457</c:v>
                </c:pt>
                <c:pt idx="89">
                  <c:v>0.61075266875708567</c:v>
                </c:pt>
                <c:pt idx="90">
                  <c:v>0.61079255095775864</c:v>
                </c:pt>
                <c:pt idx="91">
                  <c:v>0.61083235376197587</c:v>
                </c:pt>
                <c:pt idx="92">
                  <c:v>0.61087207675438382</c:v>
                </c:pt>
                <c:pt idx="93">
                  <c:v>0.61091171953500989</c:v>
                </c:pt>
                <c:pt idx="94">
                  <c:v>0.61095128171891577</c:v>
                </c:pt>
                <c:pt idx="95">
                  <c:v>0.61099076293585663</c:v>
                </c:pt>
                <c:pt idx="96">
                  <c:v>0.61103016282995282</c:v>
                </c:pt>
                <c:pt idx="97">
                  <c:v>0.61106948105936354</c:v>
                </c:pt>
                <c:pt idx="98">
                  <c:v>0.61110871729597138</c:v>
                </c:pt>
                <c:pt idx="99">
                  <c:v>0.61114787122507142</c:v>
                </c:pt>
                <c:pt idx="100">
                  <c:v>0.61118694254506967</c:v>
                </c:pt>
                <c:pt idx="101">
                  <c:v>0.61122593096718592</c:v>
                </c:pt>
                <c:pt idx="102">
                  <c:v>0.61126483621516414</c:v>
                </c:pt>
                <c:pt idx="103">
                  <c:v>0.61130365802498965</c:v>
                </c:pt>
                <c:pt idx="104">
                  <c:v>0.61134239614461194</c:v>
                </c:pt>
                <c:pt idx="105">
                  <c:v>0.61138105033367318</c:v>
                </c:pt>
                <c:pt idx="106">
                  <c:v>0.61141962036324371</c:v>
                </c:pt>
                <c:pt idx="107">
                  <c:v>0.61145810601556272</c:v>
                </c:pt>
                <c:pt idx="108">
                  <c:v>0.61149650708378478</c:v>
                </c:pt>
                <c:pt idx="109">
                  <c:v>0.6115348233717316</c:v>
                </c:pt>
                <c:pt idx="110">
                  <c:v>0.61157305469364931</c:v>
                </c:pt>
                <c:pt idx="111">
                  <c:v>0.61161120087397214</c:v>
                </c:pt>
                <c:pt idx="112">
                  <c:v>0.61164926174708933</c:v>
                </c:pt>
                <c:pt idx="113">
                  <c:v>0.61168723715711815</c:v>
                </c:pt>
                <c:pt idx="114">
                  <c:v>0.61172512695768222</c:v>
                </c:pt>
                <c:pt idx="115">
                  <c:v>0.61176293101169399</c:v>
                </c:pt>
                <c:pt idx="116">
                  <c:v>0.61180064919114174</c:v>
                </c:pt>
                <c:pt idx="117">
                  <c:v>0.61183828137688268</c:v>
                </c:pt>
                <c:pt idx="118">
                  <c:v>0.61187582745843838</c:v>
                </c:pt>
                <c:pt idx="119">
                  <c:v>0.61191328733379569</c:v>
                </c:pt>
                <c:pt idx="120">
                  <c:v>0.61195066090921257</c:v>
                </c:pt>
                <c:pt idx="121">
                  <c:v>0.61198794809902834</c:v>
                </c:pt>
                <c:pt idx="122">
                  <c:v>0.61202514882547432</c:v>
                </c:pt>
                <c:pt idx="123">
                  <c:v>0.6120622630184942</c:v>
                </c:pt>
                <c:pt idx="124">
                  <c:v>0.61209929061556423</c:v>
                </c:pt>
                <c:pt idx="125">
                  <c:v>0.61213623156151908</c:v>
                </c:pt>
                <c:pt idx="126">
                  <c:v>0.61217308580838004</c:v>
                </c:pt>
                <c:pt idx="127">
                  <c:v>0.61220985331518851</c:v>
                </c:pt>
                <c:pt idx="128">
                  <c:v>0.61224653404784202</c:v>
                </c:pt>
                <c:pt idx="129">
                  <c:v>0.61228312797893425</c:v>
                </c:pt>
                <c:pt idx="130">
                  <c:v>0.61231963508759757</c:v>
                </c:pt>
                <c:pt idx="131">
                  <c:v>0.61235605535935023</c:v>
                </c:pt>
                <c:pt idx="132">
                  <c:v>0.6123923887859466</c:v>
                </c:pt>
                <c:pt idx="133">
                  <c:v>0.61242863536522929</c:v>
                </c:pt>
                <c:pt idx="134">
                  <c:v>0.61246479510098573</c:v>
                </c:pt>
                <c:pt idx="135">
                  <c:v>0.61250086800280734</c:v>
                </c:pt>
                <c:pt idx="136">
                  <c:v>0.61253685408595238</c:v>
                </c:pt>
                <c:pt idx="137">
                  <c:v>0.61257275337120976</c:v>
                </c:pt>
                <c:pt idx="138">
                  <c:v>0.61260856588476964</c:v>
                </c:pt>
                <c:pt idx="139">
                  <c:v>0.61264429165809009</c:v>
                </c:pt>
                <c:pt idx="140">
                  <c:v>0.61267993072777527</c:v>
                </c:pt>
                <c:pt idx="141">
                  <c:v>0.61271548313544866</c:v>
                </c:pt>
                <c:pt idx="142">
                  <c:v>0.61275094892763327</c:v>
                </c:pt>
                <c:pt idx="143">
                  <c:v>0.61278632815563205</c:v>
                </c:pt>
                <c:pt idx="144">
                  <c:v>0.61282162087541348</c:v>
                </c:pt>
                <c:pt idx="145">
                  <c:v>0.61285682714749623</c:v>
                </c:pt>
                <c:pt idx="146">
                  <c:v>0.61289194703683891</c:v>
                </c:pt>
                <c:pt idx="147">
                  <c:v>0.61292698061273143</c:v>
                </c:pt>
                <c:pt idx="148">
                  <c:v>0.61296192794868731</c:v>
                </c:pt>
                <c:pt idx="149">
                  <c:v>0.61299678912234157</c:v>
                </c:pt>
                <c:pt idx="150">
                  <c:v>0.61303156421534577</c:v>
                </c:pt>
                <c:pt idx="151">
                  <c:v>0.61306625331327036</c:v>
                </c:pt>
                <c:pt idx="152">
                  <c:v>0.61310085650550605</c:v>
                </c:pt>
                <c:pt idx="153">
                  <c:v>0.61313537388516792</c:v>
                </c:pt>
                <c:pt idx="154">
                  <c:v>0.61316980554900158</c:v>
                </c:pt>
                <c:pt idx="155">
                  <c:v>0.61320415159729191</c:v>
                </c:pt>
                <c:pt idx="156">
                  <c:v>0.61323841213377317</c:v>
                </c:pt>
                <c:pt idx="157">
                  <c:v>0.61327258726554013</c:v>
                </c:pt>
                <c:pt idx="158">
                  <c:v>0.61330667710296261</c:v>
                </c:pt>
                <c:pt idx="159">
                  <c:v>0.61334068175960244</c:v>
                </c:pt>
                <c:pt idx="160">
                  <c:v>0.61337460135212762</c:v>
                </c:pt>
                <c:pt idx="161">
                  <c:v>0.61340843600023565</c:v>
                </c:pt>
                <c:pt idx="162">
                  <c:v>0.61344218582657062</c:v>
                </c:pt>
                <c:pt idx="163">
                  <c:v>0.61347585095664869</c:v>
                </c:pt>
                <c:pt idx="164">
                  <c:v>0.61350943151878068</c:v>
                </c:pt>
                <c:pt idx="165">
                  <c:v>0.61354292764399809</c:v>
                </c:pt>
                <c:pt idx="166">
                  <c:v>0.613576339465981</c:v>
                </c:pt>
                <c:pt idx="167">
                  <c:v>0.61360966712098641</c:v>
                </c:pt>
                <c:pt idx="168">
                  <c:v>0.61364291074777844</c:v>
                </c:pt>
                <c:pt idx="169">
                  <c:v>0.61367607048756101</c:v>
                </c:pt>
                <c:pt idx="170">
                  <c:v>0.61370914648390984</c:v>
                </c:pt>
                <c:pt idx="171">
                  <c:v>0.61374213888270801</c:v>
                </c:pt>
                <c:pt idx="172">
                  <c:v>0.61377504783208225</c:v>
                </c:pt>
                <c:pt idx="173">
                  <c:v>0.61380787348233934</c:v>
                </c:pt>
                <c:pt idx="174">
                  <c:v>0.61384061598590467</c:v>
                </c:pt>
                <c:pt idx="175">
                  <c:v>0.61387327549726411</c:v>
                </c:pt>
                <c:pt idx="176">
                  <c:v>0.61390585217290217</c:v>
                </c:pt>
                <c:pt idx="177">
                  <c:v>0.61393834617124798</c:v>
                </c:pt>
                <c:pt idx="178">
                  <c:v>0.61397075765261577</c:v>
                </c:pt>
                <c:pt idx="179">
                  <c:v>0.61400308677915161</c:v>
                </c:pt>
                <c:pt idx="180">
                  <c:v>0.61403533371477859</c:v>
                </c:pt>
                <c:pt idx="181">
                  <c:v>0.61406749862514443</c:v>
                </c:pt>
                <c:pt idx="182">
                  <c:v>0.61409958167756951</c:v>
                </c:pt>
                <c:pt idx="183">
                  <c:v>0.6141315830409968</c:v>
                </c:pt>
                <c:pt idx="184">
                  <c:v>0.61416350288593979</c:v>
                </c:pt>
                <c:pt idx="185">
                  <c:v>0.6141953413844381</c:v>
                </c:pt>
                <c:pt idx="186">
                  <c:v>0.61422709871000625</c:v>
                </c:pt>
                <c:pt idx="187">
                  <c:v>0.61425877503758908</c:v>
                </c:pt>
                <c:pt idx="188">
                  <c:v>0.61429037054351543</c:v>
                </c:pt>
                <c:pt idx="189">
                  <c:v>0.61432188540545363</c:v>
                </c:pt>
                <c:pt idx="190">
                  <c:v>0.61435331980236851</c:v>
                </c:pt>
                <c:pt idx="191">
                  <c:v>0.61438467391447693</c:v>
                </c:pt>
                <c:pt idx="192">
                  <c:v>0.61441594792320853</c:v>
                </c:pt>
                <c:pt idx="193">
                  <c:v>0.61444714201116257</c:v>
                </c:pt>
                <c:pt idx="194">
                  <c:v>0.61447825636206888</c:v>
                </c:pt>
                <c:pt idx="195">
                  <c:v>0.61450929116074782</c:v>
                </c:pt>
                <c:pt idx="196">
                  <c:v>0.61454024659307327</c:v>
                </c:pt>
                <c:pt idx="197">
                  <c:v>0.6145711228459334</c:v>
                </c:pt>
                <c:pt idx="198">
                  <c:v>0.6146019201071955</c:v>
                </c:pt>
                <c:pt idx="199">
                  <c:v>0.6146326385656683</c:v>
                </c:pt>
                <c:pt idx="200">
                  <c:v>0.61466327841106772</c:v>
                </c:pt>
              </c:numCache>
            </c:numRef>
          </c:val>
          <c:smooth val="0"/>
          <c:extLst>
            <c:ext xmlns:c16="http://schemas.microsoft.com/office/drawing/2014/chart" uri="{C3380CC4-5D6E-409C-BE32-E72D297353CC}">
              <c16:uniqueId val="{00000000-A14E-48BD-BFE8-75720359AA8F}"/>
            </c:ext>
          </c:extLst>
        </c:ser>
        <c:ser>
          <c:idx val="1"/>
          <c:order val="2"/>
          <c:tx>
            <c:strRef>
              <c:f>'Efficiency vs VIN Calculations'!$AW$8</c:f>
              <c:strCache>
                <c:ptCount val="1"/>
                <c:pt idx="0">
                  <c:v>Deadtime Loss BoSync</c:v>
                </c:pt>
              </c:strCache>
            </c:strRef>
          </c:tx>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Calculations'!$AW$9:$AW$209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1-A14E-48BD-BFE8-75720359AA8F}"/>
            </c:ext>
          </c:extLst>
        </c:ser>
        <c:dLbls>
          <c:showLegendKey val="0"/>
          <c:showVal val="0"/>
          <c:showCatName val="0"/>
          <c:showSerName val="0"/>
          <c:showPercent val="0"/>
          <c:showBubbleSize val="0"/>
        </c:dLbls>
        <c:marker val="1"/>
        <c:smooth val="0"/>
        <c:axId val="196432256"/>
        <c:axId val="196421888"/>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65663198899668607"/>
          <c:y val="7.5971492472867871E-2"/>
          <c:w val="0.23290347792106295"/>
          <c:h val="0.10885276124218299"/>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Inductor</a:t>
            </a:r>
            <a:r>
              <a:rPr lang="en-US" baseline="0"/>
              <a:t> Ripple Ratio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602559055118109"/>
          <c:y val="0.17171296296296296"/>
          <c:w val="0.76593285214348206"/>
          <c:h val="0.60940543890347043"/>
        </c:manualLayout>
      </c:layout>
      <c:scatterChart>
        <c:scatterStyle val="smoothMarker"/>
        <c:varyColors val="0"/>
        <c:ser>
          <c:idx val="0"/>
          <c:order val="0"/>
          <c:tx>
            <c:strRef>
              <c:f>'Inductor Current'!$AC$81</c:f>
              <c:strCache>
                <c:ptCount val="1"/>
                <c:pt idx="0">
                  <c:v>Vin = 20 V</c:v>
                </c:pt>
              </c:strCache>
            </c:strRef>
          </c:tx>
          <c:spPr>
            <a:ln w="19050" cap="rnd">
              <a:solidFill>
                <a:schemeClr val="accent1"/>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Current'!$AC$82:$AC$102</c:f>
              <c:numCache>
                <c:formatCode>0%</c:formatCode>
                <c:ptCount val="21"/>
                <c:pt idx="0">
                  <c:v>0.90478255219909853</c:v>
                </c:pt>
                <c:pt idx="1">
                  <c:v>0.33984628922322718</c:v>
                </c:pt>
                <c:pt idx="2">
                  <c:v>0.20921484418921188</c:v>
                </c:pt>
                <c:pt idx="3">
                  <c:v>0.15112487429478139</c:v>
                </c:pt>
                <c:pt idx="4">
                  <c:v>0.11828281932402258</c:v>
                </c:pt>
                <c:pt idx="5">
                  <c:v>9.7166791188722623E-2</c:v>
                </c:pt>
                <c:pt idx="6">
                  <c:v>8.2448041830650604E-2</c:v>
                </c:pt>
                <c:pt idx="7">
                  <c:v>7.1601849759373629E-2</c:v>
                </c:pt>
                <c:pt idx="8">
                  <c:v>6.3277568797216133E-2</c:v>
                </c:pt>
                <c:pt idx="9">
                  <c:v>5.6687230236908727E-2</c:v>
                </c:pt>
                <c:pt idx="10">
                  <c:v>5.1340168138775129E-2</c:v>
                </c:pt>
                <c:pt idx="11">
                  <c:v>4.6914888880586862E-2</c:v>
                </c:pt>
                <c:pt idx="12">
                  <c:v>4.3191947626559112E-2</c:v>
                </c:pt>
                <c:pt idx="13">
                  <c:v>4.0016434709965888E-2</c:v>
                </c:pt>
                <c:pt idx="14">
                  <c:v>3.7275876917734749E-2</c:v>
                </c:pt>
                <c:pt idx="15">
                  <c:v>3.4886637427985846E-2</c:v>
                </c:pt>
                <c:pt idx="16">
                  <c:v>3.2785230969191996E-2</c:v>
                </c:pt>
                <c:pt idx="17">
                  <c:v>3.0922599457166227E-2</c:v>
                </c:pt>
                <c:pt idx="18">
                  <c:v>2.9260234045334784E-2</c:v>
                </c:pt>
                <c:pt idx="19">
                  <c:v>2.7767484207653167E-2</c:v>
                </c:pt>
                <c:pt idx="20">
                  <c:v>2.6419650524213679E-2</c:v>
                </c:pt>
              </c:numCache>
            </c:numRef>
          </c:yVal>
          <c:smooth val="1"/>
          <c:extLst>
            <c:ext xmlns:c16="http://schemas.microsoft.com/office/drawing/2014/chart" uri="{C3380CC4-5D6E-409C-BE32-E72D297353CC}">
              <c16:uniqueId val="{00000000-0699-4CCA-B939-D7CD0415B9D6}"/>
            </c:ext>
          </c:extLst>
        </c:ser>
        <c:ser>
          <c:idx val="1"/>
          <c:order val="1"/>
          <c:tx>
            <c:strRef>
              <c:f>'Inductor Current'!$AD$81</c:f>
              <c:strCache>
                <c:ptCount val="1"/>
                <c:pt idx="0">
                  <c:v>Vin = 23.6 V</c:v>
                </c:pt>
              </c:strCache>
            </c:strRef>
          </c:tx>
          <c:spPr>
            <a:ln w="19050" cap="rnd">
              <a:solidFill>
                <a:schemeClr val="accent2"/>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Current'!$AD$82:$AD$102</c:f>
              <c:numCache>
                <c:formatCode>0%</c:formatCode>
                <c:ptCount val="21"/>
                <c:pt idx="0">
                  <c:v>1.2782334970057798</c:v>
                </c:pt>
                <c:pt idx="1">
                  <c:v>0.48011857618431669</c:v>
                </c:pt>
                <c:pt idx="2">
                  <c:v>0.2955687211955082</c:v>
                </c:pt>
                <c:pt idx="3">
                  <c:v>0.21350199126283478</c:v>
                </c:pt>
                <c:pt idx="4">
                  <c:v>0.16710430745240321</c:v>
                </c:pt>
                <c:pt idx="5">
                  <c:v>0.13727259327903191</c:v>
                </c:pt>
                <c:pt idx="6">
                  <c:v>0.11647864846014472</c:v>
                </c:pt>
                <c:pt idx="7">
                  <c:v>0.10115566727890068</c:v>
                </c:pt>
                <c:pt idx="8">
                  <c:v>8.9395521442251324E-2</c:v>
                </c:pt>
                <c:pt idx="9">
                  <c:v>8.0085006463907607E-2</c:v>
                </c:pt>
                <c:pt idx="10">
                  <c:v>7.2530932982061355E-2</c:v>
                </c:pt>
                <c:pt idx="11">
                  <c:v>6.6279110190305746E-2</c:v>
                </c:pt>
                <c:pt idx="12">
                  <c:v>6.1019516924811612E-2</c:v>
                </c:pt>
                <c:pt idx="13">
                  <c:v>5.6533304220667012E-2</c:v>
                </c:pt>
                <c:pt idx="14">
                  <c:v>5.2661575304149187E-2</c:v>
                </c:pt>
                <c:pt idx="15">
                  <c:v>4.9286172075226169E-2</c:v>
                </c:pt>
                <c:pt idx="16">
                  <c:v>4.6317405579977135E-2</c:v>
                </c:pt>
                <c:pt idx="17">
                  <c:v>4.3685968904432187E-2</c:v>
                </c:pt>
                <c:pt idx="18">
                  <c:v>4.1337458592753264E-2</c:v>
                </c:pt>
                <c:pt idx="19">
                  <c:v>3.9228573048334957E-2</c:v>
                </c:pt>
                <c:pt idx="20">
                  <c:v>3.7324418112568779E-2</c:v>
                </c:pt>
              </c:numCache>
            </c:numRef>
          </c:yVal>
          <c:smooth val="1"/>
          <c:extLst>
            <c:ext xmlns:c16="http://schemas.microsoft.com/office/drawing/2014/chart" uri="{C3380CC4-5D6E-409C-BE32-E72D297353CC}">
              <c16:uniqueId val="{00000001-0699-4CCA-B939-D7CD0415B9D6}"/>
            </c:ext>
          </c:extLst>
        </c:ser>
        <c:ser>
          <c:idx val="2"/>
          <c:order val="2"/>
          <c:tx>
            <c:strRef>
              <c:f>'Inductor Current'!$AE$81</c:f>
              <c:strCache>
                <c:ptCount val="1"/>
                <c:pt idx="0">
                  <c:v>Vin = 34 V</c:v>
                </c:pt>
              </c:strCache>
            </c:strRef>
          </c:tx>
          <c:spPr>
            <a:ln w="19050" cap="rnd">
              <a:solidFill>
                <a:schemeClr val="accent3"/>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Current'!$AE$82:$AE$102</c:f>
              <c:numCache>
                <c:formatCode>0%</c:formatCode>
                <c:ptCount val="21"/>
                <c:pt idx="0">
                  <c:v>1.9132476447722055</c:v>
                </c:pt>
                <c:pt idx="1">
                  <c:v>0.71863688226586586</c:v>
                </c:pt>
                <c:pt idx="2">
                  <c:v>0.44240442847124167</c:v>
                </c:pt>
                <c:pt idx="3">
                  <c:v>0.31956773382535414</c:v>
                </c:pt>
                <c:pt idx="4">
                  <c:v>0.25012012548060719</c:v>
                </c:pt>
                <c:pt idx="5">
                  <c:v>0.20546830168204636</c:v>
                </c:pt>
                <c:pt idx="6">
                  <c:v>0.17434412441439395</c:v>
                </c:pt>
                <c:pt idx="7">
                  <c:v>0.1514088330731975</c:v>
                </c:pt>
                <c:pt idx="8">
                  <c:v>0.13380635952133649</c:v>
                </c:pt>
                <c:pt idx="9">
                  <c:v>0.11987046995525985</c:v>
                </c:pt>
                <c:pt idx="10">
                  <c:v>0.1085636051833432</c:v>
                </c:pt>
                <c:pt idx="11">
                  <c:v>9.9205936760571822E-2</c:v>
                </c:pt>
                <c:pt idx="12">
                  <c:v>9.1333427980886076E-2</c:v>
                </c:pt>
                <c:pt idx="13">
                  <c:v>8.4618507811560398E-2</c:v>
                </c:pt>
                <c:pt idx="14">
                  <c:v>7.8823341084920714E-2</c:v>
                </c:pt>
                <c:pt idx="15">
                  <c:v>7.3771069889539687E-2</c:v>
                </c:pt>
                <c:pt idx="16">
                  <c:v>6.9327448658974986E-2</c:v>
                </c:pt>
                <c:pt idx="17">
                  <c:v>6.5388739468794227E-2</c:v>
                </c:pt>
                <c:pt idx="18">
                  <c:v>6.1873511747827507E-2</c:v>
                </c:pt>
                <c:pt idx="19">
                  <c:v>5.8716952081378525E-2</c:v>
                </c:pt>
                <c:pt idx="20">
                  <c:v>5.5866831227348417E-2</c:v>
                </c:pt>
              </c:numCache>
            </c:numRef>
          </c:yVal>
          <c:smooth val="1"/>
          <c:extLst>
            <c:ext xmlns:c16="http://schemas.microsoft.com/office/drawing/2014/chart" uri="{C3380CC4-5D6E-409C-BE32-E72D297353CC}">
              <c16:uniqueId val="{00000002-0699-4CCA-B939-D7CD0415B9D6}"/>
            </c:ext>
          </c:extLst>
        </c:ser>
        <c:dLbls>
          <c:showLegendKey val="0"/>
          <c:showVal val="0"/>
          <c:showCatName val="0"/>
          <c:showSerName val="0"/>
          <c:showPercent val="0"/>
          <c:showBubbleSize val="0"/>
        </c:dLbls>
        <c:axId val="1531255152"/>
        <c:axId val="1959075888"/>
      </c:scatterChart>
      <c:valAx>
        <c:axId val="1531255152"/>
        <c:scaling>
          <c:orientation val="minMax"/>
          <c:min val="0.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075888"/>
        <c:crosses val="autoZero"/>
        <c:crossBetween val="midCat"/>
      </c:valAx>
      <c:valAx>
        <c:axId val="1959075888"/>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 Ripple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1255152"/>
        <c:crossesAt val="0.5"/>
        <c:crossBetween val="midCat"/>
      </c:valAx>
      <c:spPr>
        <a:noFill/>
        <a:ln>
          <a:noFill/>
        </a:ln>
        <a:effectLst/>
      </c:spPr>
    </c:plotArea>
    <c:legend>
      <c:legendPos val="b"/>
      <c:layout>
        <c:manualLayout>
          <c:xMode val="edge"/>
          <c:yMode val="edge"/>
          <c:x val="0.69293766404199475"/>
          <c:y val="0.17187445319335082"/>
          <c:w val="0.22523556430446195"/>
          <c:h val="0.2540514727325751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 Peak,Peak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48381452318461"/>
          <c:y val="0.17171296296296296"/>
          <c:w val="0.80982174103237092"/>
          <c:h val="0.70199803149606288"/>
        </c:manualLayout>
      </c:layout>
      <c:scatterChart>
        <c:scatterStyle val="smoothMarker"/>
        <c:varyColors val="0"/>
        <c:ser>
          <c:idx val="0"/>
          <c:order val="0"/>
          <c:tx>
            <c:strRef>
              <c:f>'Inductor Current'!$S$81</c:f>
              <c:strCache>
                <c:ptCount val="1"/>
                <c:pt idx="0">
                  <c:v>Vin = 20 V</c:v>
                </c:pt>
              </c:strCache>
            </c:strRef>
          </c:tx>
          <c:spPr>
            <a:ln w="19050" cap="rnd">
              <a:solidFill>
                <a:schemeClr val="accent1"/>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Current'!$S$82:$S$102</c:f>
              <c:numCache>
                <c:formatCode>General</c:formatCode>
                <c:ptCount val="21"/>
                <c:pt idx="0">
                  <c:v>10.857390626389183</c:v>
                </c:pt>
                <c:pt idx="1">
                  <c:v>4.078155470678726</c:v>
                </c:pt>
                <c:pt idx="2">
                  <c:v>2.5105781302705426</c:v>
                </c:pt>
                <c:pt idx="3">
                  <c:v>1.8134984915373766</c:v>
                </c:pt>
                <c:pt idx="4">
                  <c:v>1.4193938318882711</c:v>
                </c:pt>
                <c:pt idx="5">
                  <c:v>1.1660014942646715</c:v>
                </c:pt>
                <c:pt idx="6">
                  <c:v>0.98937650196780724</c:v>
                </c:pt>
                <c:pt idx="7">
                  <c:v>0.85922219711248349</c:v>
                </c:pt>
                <c:pt idx="8">
                  <c:v>0.75933082556659359</c:v>
                </c:pt>
                <c:pt idx="9">
                  <c:v>0.68024676284290475</c:v>
                </c:pt>
                <c:pt idx="10">
                  <c:v>0.61608201766530157</c:v>
                </c:pt>
                <c:pt idx="11">
                  <c:v>0.56297866656704232</c:v>
                </c:pt>
                <c:pt idx="12">
                  <c:v>0.51830337151870931</c:v>
                </c:pt>
                <c:pt idx="13">
                  <c:v>0.48019721651959069</c:v>
                </c:pt>
                <c:pt idx="14">
                  <c:v>0.44731052301281699</c:v>
                </c:pt>
                <c:pt idx="15">
                  <c:v>0.41863964913583013</c:v>
                </c:pt>
                <c:pt idx="16">
                  <c:v>0.39342277163030398</c:v>
                </c:pt>
                <c:pt idx="17">
                  <c:v>0.37107119348599471</c:v>
                </c:pt>
                <c:pt idx="18">
                  <c:v>0.3511228085440174</c:v>
                </c:pt>
                <c:pt idx="19">
                  <c:v>0.33320981049183801</c:v>
                </c:pt>
                <c:pt idx="20">
                  <c:v>0.31703580629056416</c:v>
                </c:pt>
              </c:numCache>
            </c:numRef>
          </c:yVal>
          <c:smooth val="1"/>
          <c:extLst>
            <c:ext xmlns:c16="http://schemas.microsoft.com/office/drawing/2014/chart" uri="{C3380CC4-5D6E-409C-BE32-E72D297353CC}">
              <c16:uniqueId val="{00000000-3913-4DED-B871-C0D99F35D2FB}"/>
            </c:ext>
          </c:extLst>
        </c:ser>
        <c:ser>
          <c:idx val="1"/>
          <c:order val="1"/>
          <c:tx>
            <c:strRef>
              <c:f>'Inductor Current'!$T$81</c:f>
              <c:strCache>
                <c:ptCount val="1"/>
                <c:pt idx="0">
                  <c:v>Vin = 23.6 V</c:v>
                </c:pt>
              </c:strCache>
            </c:strRef>
          </c:tx>
          <c:spPr>
            <a:ln w="19050" cap="rnd">
              <a:solidFill>
                <a:schemeClr val="accent2"/>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Current'!$T$82:$T$102</c:f>
              <c:numCache>
                <c:formatCode>General</c:formatCode>
                <c:ptCount val="21"/>
                <c:pt idx="0">
                  <c:v>15.338801964069358</c:v>
                </c:pt>
                <c:pt idx="1">
                  <c:v>5.7614229142118001</c:v>
                </c:pt>
                <c:pt idx="2">
                  <c:v>3.5468246543460982</c:v>
                </c:pt>
                <c:pt idx="3">
                  <c:v>2.5620238951540175</c:v>
                </c:pt>
                <c:pt idx="4">
                  <c:v>2.0052516894288384</c:v>
                </c:pt>
                <c:pt idx="5">
                  <c:v>1.6472711193483829</c:v>
                </c:pt>
                <c:pt idx="6">
                  <c:v>1.3977437815217366</c:v>
                </c:pt>
                <c:pt idx="7">
                  <c:v>1.2138680073468082</c:v>
                </c:pt>
                <c:pt idx="8">
                  <c:v>1.0727462573070159</c:v>
                </c:pt>
                <c:pt idx="9">
                  <c:v>0.96102007756689123</c:v>
                </c:pt>
                <c:pt idx="10">
                  <c:v>0.87037119578473632</c:v>
                </c:pt>
                <c:pt idx="11">
                  <c:v>0.79534932228366895</c:v>
                </c:pt>
                <c:pt idx="12">
                  <c:v>0.73223420309773934</c:v>
                </c:pt>
                <c:pt idx="13">
                  <c:v>0.67839965064800412</c:v>
                </c:pt>
                <c:pt idx="14">
                  <c:v>0.63193890364979022</c:v>
                </c:pt>
                <c:pt idx="15">
                  <c:v>0.591434064902714</c:v>
                </c:pt>
                <c:pt idx="16">
                  <c:v>0.55580886695972564</c:v>
                </c:pt>
                <c:pt idx="17">
                  <c:v>0.52423162685318625</c:v>
                </c:pt>
                <c:pt idx="18">
                  <c:v>0.49604950311303914</c:v>
                </c:pt>
                <c:pt idx="19">
                  <c:v>0.47074287658001945</c:v>
                </c:pt>
                <c:pt idx="20">
                  <c:v>0.44789301735082532</c:v>
                </c:pt>
              </c:numCache>
            </c:numRef>
          </c:yVal>
          <c:smooth val="1"/>
          <c:extLst>
            <c:ext xmlns:c16="http://schemas.microsoft.com/office/drawing/2014/chart" uri="{C3380CC4-5D6E-409C-BE32-E72D297353CC}">
              <c16:uniqueId val="{00000001-3913-4DED-B871-C0D99F35D2FB}"/>
            </c:ext>
          </c:extLst>
        </c:ser>
        <c:ser>
          <c:idx val="2"/>
          <c:order val="2"/>
          <c:tx>
            <c:strRef>
              <c:f>'Inductor Current'!$U$81</c:f>
              <c:strCache>
                <c:ptCount val="1"/>
                <c:pt idx="0">
                  <c:v>Vin = 34 V</c:v>
                </c:pt>
              </c:strCache>
            </c:strRef>
          </c:tx>
          <c:spPr>
            <a:ln w="19050" cap="rnd">
              <a:solidFill>
                <a:schemeClr val="accent3"/>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Current'!$U$82:$U$102</c:f>
              <c:numCache>
                <c:formatCode>General</c:formatCode>
                <c:ptCount val="21"/>
                <c:pt idx="0">
                  <c:v>22.958971737266467</c:v>
                </c:pt>
                <c:pt idx="1">
                  <c:v>8.6236425871903908</c:v>
                </c:pt>
                <c:pt idx="2">
                  <c:v>5.3088531416549003</c:v>
                </c:pt>
                <c:pt idx="3">
                  <c:v>3.8348128059042499</c:v>
                </c:pt>
                <c:pt idx="4">
                  <c:v>3.0014415057672861</c:v>
                </c:pt>
                <c:pt idx="5">
                  <c:v>2.4656196201845564</c:v>
                </c:pt>
                <c:pt idx="6">
                  <c:v>2.0921294929727274</c:v>
                </c:pt>
                <c:pt idx="7">
                  <c:v>1.8169059968783698</c:v>
                </c:pt>
                <c:pt idx="8">
                  <c:v>1.6056763142560377</c:v>
                </c:pt>
                <c:pt idx="9">
                  <c:v>1.4384456394631182</c:v>
                </c:pt>
                <c:pt idx="10">
                  <c:v>1.3027632622001184</c:v>
                </c:pt>
                <c:pt idx="11">
                  <c:v>1.1904712411268619</c:v>
                </c:pt>
                <c:pt idx="12">
                  <c:v>1.096001135770633</c:v>
                </c:pt>
                <c:pt idx="13">
                  <c:v>1.0154220937387248</c:v>
                </c:pt>
                <c:pt idx="14">
                  <c:v>0.94588009301904863</c:v>
                </c:pt>
                <c:pt idx="15">
                  <c:v>0.88525283867447624</c:v>
                </c:pt>
                <c:pt idx="16">
                  <c:v>0.83192938390769988</c:v>
                </c:pt>
                <c:pt idx="17">
                  <c:v>0.78466487362553072</c:v>
                </c:pt>
                <c:pt idx="18">
                  <c:v>0.74248214097393006</c:v>
                </c:pt>
                <c:pt idx="19">
                  <c:v>0.70460342497654227</c:v>
                </c:pt>
                <c:pt idx="20">
                  <c:v>0.67040197472818097</c:v>
                </c:pt>
              </c:numCache>
            </c:numRef>
          </c:yVal>
          <c:smooth val="1"/>
          <c:extLst>
            <c:ext xmlns:c16="http://schemas.microsoft.com/office/drawing/2014/chart" uri="{C3380CC4-5D6E-409C-BE32-E72D297353CC}">
              <c16:uniqueId val="{00000002-3913-4DED-B871-C0D99F35D2FB}"/>
            </c:ext>
          </c:extLst>
        </c:ser>
        <c:dLbls>
          <c:showLegendKey val="0"/>
          <c:showVal val="0"/>
          <c:showCatName val="0"/>
          <c:showSerName val="0"/>
          <c:showPercent val="0"/>
          <c:showBubbleSize val="0"/>
        </c:dLbls>
        <c:axId val="2084845216"/>
        <c:axId val="2023289856"/>
      </c:scatterChart>
      <c:valAx>
        <c:axId val="2084845216"/>
        <c:scaling>
          <c:logBase val="10"/>
          <c:orientation val="minMax"/>
          <c:min val="0.5"/>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289856"/>
        <c:crossesAt val="0.1"/>
        <c:crossBetween val="midCat"/>
      </c:valAx>
      <c:valAx>
        <c:axId val="2023289856"/>
        <c:scaling>
          <c:logBase val="10"/>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IL Peak,Peak [A]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845216"/>
        <c:crossesAt val="0.5"/>
        <c:crossBetween val="midCat"/>
      </c:valAx>
      <c:spPr>
        <a:noFill/>
        <a:ln>
          <a:noFill/>
        </a:ln>
        <a:effectLst/>
      </c:spPr>
    </c:plotArea>
    <c:legend>
      <c:legendPos val="b"/>
      <c:layout>
        <c:manualLayout>
          <c:xMode val="edge"/>
          <c:yMode val="edge"/>
          <c:x val="0.70593766404199476"/>
          <c:y val="0.2042818606007582"/>
          <c:w val="0.21868000874890639"/>
          <c:h val="0.32349591717701953"/>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Inductor</a:t>
            </a:r>
            <a:r>
              <a:rPr lang="en-US" baseline="0"/>
              <a:t> Ripple Ratio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602559055118109"/>
          <c:y val="0.17171296296296296"/>
          <c:w val="0.76593285214348206"/>
          <c:h val="0.60940543890347043"/>
        </c:manualLayout>
      </c:layout>
      <c:scatterChart>
        <c:scatterStyle val="smoothMarker"/>
        <c:varyColors val="0"/>
        <c:ser>
          <c:idx val="0"/>
          <c:order val="0"/>
          <c:tx>
            <c:strRef>
              <c:f>'Inductor Current'!$AC$81</c:f>
              <c:strCache>
                <c:ptCount val="1"/>
                <c:pt idx="0">
                  <c:v>Vin = 20 V</c:v>
                </c:pt>
              </c:strCache>
            </c:strRef>
          </c:tx>
          <c:spPr>
            <a:ln w="19050" cap="rnd">
              <a:solidFill>
                <a:schemeClr val="accent1"/>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Current'!$AC$82:$AC$102</c:f>
              <c:numCache>
                <c:formatCode>0%</c:formatCode>
                <c:ptCount val="21"/>
                <c:pt idx="0">
                  <c:v>0.90478255219909853</c:v>
                </c:pt>
                <c:pt idx="1">
                  <c:v>0.33984628922322718</c:v>
                </c:pt>
                <c:pt idx="2">
                  <c:v>0.20921484418921188</c:v>
                </c:pt>
                <c:pt idx="3">
                  <c:v>0.15112487429478139</c:v>
                </c:pt>
                <c:pt idx="4">
                  <c:v>0.11828281932402258</c:v>
                </c:pt>
                <c:pt idx="5">
                  <c:v>9.7166791188722623E-2</c:v>
                </c:pt>
                <c:pt idx="6">
                  <c:v>8.2448041830650604E-2</c:v>
                </c:pt>
                <c:pt idx="7">
                  <c:v>7.1601849759373629E-2</c:v>
                </c:pt>
                <c:pt idx="8">
                  <c:v>6.3277568797216133E-2</c:v>
                </c:pt>
                <c:pt idx="9">
                  <c:v>5.6687230236908727E-2</c:v>
                </c:pt>
                <c:pt idx="10">
                  <c:v>5.1340168138775129E-2</c:v>
                </c:pt>
                <c:pt idx="11">
                  <c:v>4.6914888880586862E-2</c:v>
                </c:pt>
                <c:pt idx="12">
                  <c:v>4.3191947626559112E-2</c:v>
                </c:pt>
                <c:pt idx="13">
                  <c:v>4.0016434709965888E-2</c:v>
                </c:pt>
                <c:pt idx="14">
                  <c:v>3.7275876917734749E-2</c:v>
                </c:pt>
                <c:pt idx="15">
                  <c:v>3.4886637427985846E-2</c:v>
                </c:pt>
                <c:pt idx="16">
                  <c:v>3.2785230969191996E-2</c:v>
                </c:pt>
                <c:pt idx="17">
                  <c:v>3.0922599457166227E-2</c:v>
                </c:pt>
                <c:pt idx="18">
                  <c:v>2.9260234045334784E-2</c:v>
                </c:pt>
                <c:pt idx="19">
                  <c:v>2.7767484207653167E-2</c:v>
                </c:pt>
                <c:pt idx="20">
                  <c:v>2.6419650524213679E-2</c:v>
                </c:pt>
              </c:numCache>
            </c:numRef>
          </c:yVal>
          <c:smooth val="1"/>
          <c:extLst>
            <c:ext xmlns:c16="http://schemas.microsoft.com/office/drawing/2014/chart" uri="{C3380CC4-5D6E-409C-BE32-E72D297353CC}">
              <c16:uniqueId val="{00000000-3935-40BB-B18A-C477C7E496EF}"/>
            </c:ext>
          </c:extLst>
        </c:ser>
        <c:ser>
          <c:idx val="1"/>
          <c:order val="1"/>
          <c:tx>
            <c:strRef>
              <c:f>'Inductor Current'!$AD$81</c:f>
              <c:strCache>
                <c:ptCount val="1"/>
                <c:pt idx="0">
                  <c:v>Vin = 23.6 V</c:v>
                </c:pt>
              </c:strCache>
            </c:strRef>
          </c:tx>
          <c:spPr>
            <a:ln w="19050" cap="rnd">
              <a:solidFill>
                <a:schemeClr val="accent2"/>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Current'!$AD$82:$AD$102</c:f>
              <c:numCache>
                <c:formatCode>0%</c:formatCode>
                <c:ptCount val="21"/>
                <c:pt idx="0">
                  <c:v>1.2782334970057798</c:v>
                </c:pt>
                <c:pt idx="1">
                  <c:v>0.48011857618431669</c:v>
                </c:pt>
                <c:pt idx="2">
                  <c:v>0.2955687211955082</c:v>
                </c:pt>
                <c:pt idx="3">
                  <c:v>0.21350199126283478</c:v>
                </c:pt>
                <c:pt idx="4">
                  <c:v>0.16710430745240321</c:v>
                </c:pt>
                <c:pt idx="5">
                  <c:v>0.13727259327903191</c:v>
                </c:pt>
                <c:pt idx="6">
                  <c:v>0.11647864846014472</c:v>
                </c:pt>
                <c:pt idx="7">
                  <c:v>0.10115566727890068</c:v>
                </c:pt>
                <c:pt idx="8">
                  <c:v>8.9395521442251324E-2</c:v>
                </c:pt>
                <c:pt idx="9">
                  <c:v>8.0085006463907607E-2</c:v>
                </c:pt>
                <c:pt idx="10">
                  <c:v>7.2530932982061355E-2</c:v>
                </c:pt>
                <c:pt idx="11">
                  <c:v>6.6279110190305746E-2</c:v>
                </c:pt>
                <c:pt idx="12">
                  <c:v>6.1019516924811612E-2</c:v>
                </c:pt>
                <c:pt idx="13">
                  <c:v>5.6533304220667012E-2</c:v>
                </c:pt>
                <c:pt idx="14">
                  <c:v>5.2661575304149187E-2</c:v>
                </c:pt>
                <c:pt idx="15">
                  <c:v>4.9286172075226169E-2</c:v>
                </c:pt>
                <c:pt idx="16">
                  <c:v>4.6317405579977135E-2</c:v>
                </c:pt>
                <c:pt idx="17">
                  <c:v>4.3685968904432187E-2</c:v>
                </c:pt>
                <c:pt idx="18">
                  <c:v>4.1337458592753264E-2</c:v>
                </c:pt>
                <c:pt idx="19">
                  <c:v>3.9228573048334957E-2</c:v>
                </c:pt>
                <c:pt idx="20">
                  <c:v>3.7324418112568779E-2</c:v>
                </c:pt>
              </c:numCache>
            </c:numRef>
          </c:yVal>
          <c:smooth val="1"/>
          <c:extLst>
            <c:ext xmlns:c16="http://schemas.microsoft.com/office/drawing/2014/chart" uri="{C3380CC4-5D6E-409C-BE32-E72D297353CC}">
              <c16:uniqueId val="{00000001-3935-40BB-B18A-C477C7E496EF}"/>
            </c:ext>
          </c:extLst>
        </c:ser>
        <c:ser>
          <c:idx val="2"/>
          <c:order val="2"/>
          <c:tx>
            <c:strRef>
              <c:f>'Inductor Current'!$AE$81</c:f>
              <c:strCache>
                <c:ptCount val="1"/>
                <c:pt idx="0">
                  <c:v>Vin = 34 V</c:v>
                </c:pt>
              </c:strCache>
            </c:strRef>
          </c:tx>
          <c:spPr>
            <a:ln w="19050" cap="rnd">
              <a:solidFill>
                <a:schemeClr val="accent3"/>
              </a:solidFill>
              <a:round/>
            </a:ln>
            <a:effectLst/>
          </c:spPr>
          <c:marker>
            <c:symbol val="none"/>
          </c:marker>
          <c:xVal>
            <c:numRef>
              <c:f>'Inductor Current'!$AB$82:$AB$102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Current'!$AE$82:$AE$102</c:f>
              <c:numCache>
                <c:formatCode>0%</c:formatCode>
                <c:ptCount val="21"/>
                <c:pt idx="0">
                  <c:v>1.9132476447722055</c:v>
                </c:pt>
                <c:pt idx="1">
                  <c:v>0.71863688226586586</c:v>
                </c:pt>
                <c:pt idx="2">
                  <c:v>0.44240442847124167</c:v>
                </c:pt>
                <c:pt idx="3">
                  <c:v>0.31956773382535414</c:v>
                </c:pt>
                <c:pt idx="4">
                  <c:v>0.25012012548060719</c:v>
                </c:pt>
                <c:pt idx="5">
                  <c:v>0.20546830168204636</c:v>
                </c:pt>
                <c:pt idx="6">
                  <c:v>0.17434412441439395</c:v>
                </c:pt>
                <c:pt idx="7">
                  <c:v>0.1514088330731975</c:v>
                </c:pt>
                <c:pt idx="8">
                  <c:v>0.13380635952133649</c:v>
                </c:pt>
                <c:pt idx="9">
                  <c:v>0.11987046995525985</c:v>
                </c:pt>
                <c:pt idx="10">
                  <c:v>0.1085636051833432</c:v>
                </c:pt>
                <c:pt idx="11">
                  <c:v>9.9205936760571822E-2</c:v>
                </c:pt>
                <c:pt idx="12">
                  <c:v>9.1333427980886076E-2</c:v>
                </c:pt>
                <c:pt idx="13">
                  <c:v>8.4618507811560398E-2</c:v>
                </c:pt>
                <c:pt idx="14">
                  <c:v>7.8823341084920714E-2</c:v>
                </c:pt>
                <c:pt idx="15">
                  <c:v>7.3771069889539687E-2</c:v>
                </c:pt>
                <c:pt idx="16">
                  <c:v>6.9327448658974986E-2</c:v>
                </c:pt>
                <c:pt idx="17">
                  <c:v>6.5388739468794227E-2</c:v>
                </c:pt>
                <c:pt idx="18">
                  <c:v>6.1873511747827507E-2</c:v>
                </c:pt>
                <c:pt idx="19">
                  <c:v>5.8716952081378525E-2</c:v>
                </c:pt>
                <c:pt idx="20">
                  <c:v>5.5866831227348417E-2</c:v>
                </c:pt>
              </c:numCache>
            </c:numRef>
          </c:yVal>
          <c:smooth val="1"/>
          <c:extLst>
            <c:ext xmlns:c16="http://schemas.microsoft.com/office/drawing/2014/chart" uri="{C3380CC4-5D6E-409C-BE32-E72D297353CC}">
              <c16:uniqueId val="{00000002-3935-40BB-B18A-C477C7E496EF}"/>
            </c:ext>
          </c:extLst>
        </c:ser>
        <c:dLbls>
          <c:showLegendKey val="0"/>
          <c:showVal val="0"/>
          <c:showCatName val="0"/>
          <c:showSerName val="0"/>
          <c:showPercent val="0"/>
          <c:showBubbleSize val="0"/>
        </c:dLbls>
        <c:axId val="1531255152"/>
        <c:axId val="1959075888"/>
      </c:scatterChart>
      <c:valAx>
        <c:axId val="1531255152"/>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075888"/>
        <c:crosses val="autoZero"/>
        <c:crossBetween val="midCat"/>
      </c:valAx>
      <c:valAx>
        <c:axId val="195907588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 Ripple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1255152"/>
        <c:crossesAt val="0.1"/>
        <c:crossBetween val="midCat"/>
      </c:valAx>
      <c:spPr>
        <a:noFill/>
        <a:ln>
          <a:noFill/>
        </a:ln>
        <a:effectLst/>
      </c:spPr>
    </c:plotArea>
    <c:legend>
      <c:legendPos val="b"/>
      <c:layout>
        <c:manualLayout>
          <c:xMode val="edge"/>
          <c:yMode val="edge"/>
          <c:x val="0.69293766404199475"/>
          <c:y val="0.17187445319335082"/>
          <c:w val="0.22523556430446195"/>
          <c:h val="0.2540514727325751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 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48381452318461"/>
          <c:y val="0.17171296296296296"/>
          <c:w val="0.80982174103237092"/>
          <c:h val="0.70199803149606288"/>
        </c:manualLayout>
      </c:layout>
      <c:scatterChart>
        <c:scatterStyle val="smoothMarker"/>
        <c:varyColors val="0"/>
        <c:ser>
          <c:idx val="0"/>
          <c:order val="0"/>
          <c:tx>
            <c:strRef>
              <c:f>'Inductor Current'!$X$81</c:f>
              <c:strCache>
                <c:ptCount val="1"/>
                <c:pt idx="0">
                  <c:v>Vin = 20 V</c:v>
                </c:pt>
              </c:strCache>
            </c:strRef>
          </c:tx>
          <c:spPr>
            <a:ln w="19050" cap="rnd">
              <a:solidFill>
                <a:schemeClr val="accent1"/>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Current'!$X$82:$X$102</c:f>
              <c:numCache>
                <c:formatCode>General</c:formatCode>
                <c:ptCount val="21"/>
                <c:pt idx="0">
                  <c:v>17.428695313194591</c:v>
                </c:pt>
                <c:pt idx="1">
                  <c:v>14.039077735339363</c:v>
                </c:pt>
                <c:pt idx="2">
                  <c:v>13.255289065135271</c:v>
                </c:pt>
                <c:pt idx="3">
                  <c:v>12.906749245768689</c:v>
                </c:pt>
                <c:pt idx="4">
                  <c:v>12.709696915944136</c:v>
                </c:pt>
                <c:pt idx="5">
                  <c:v>12.583000747132335</c:v>
                </c:pt>
                <c:pt idx="6">
                  <c:v>12.494688250983904</c:v>
                </c:pt>
                <c:pt idx="7">
                  <c:v>12.429611098556242</c:v>
                </c:pt>
                <c:pt idx="8">
                  <c:v>12.379665412783297</c:v>
                </c:pt>
                <c:pt idx="9">
                  <c:v>12.340123381421453</c:v>
                </c:pt>
                <c:pt idx="10">
                  <c:v>12.308041008832651</c:v>
                </c:pt>
                <c:pt idx="11">
                  <c:v>12.28148933328352</c:v>
                </c:pt>
                <c:pt idx="12">
                  <c:v>12.259151685759354</c:v>
                </c:pt>
                <c:pt idx="13">
                  <c:v>12.240098608259796</c:v>
                </c:pt>
                <c:pt idx="14">
                  <c:v>12.223655261506408</c:v>
                </c:pt>
                <c:pt idx="15">
                  <c:v>12.209319824567915</c:v>
                </c:pt>
                <c:pt idx="16">
                  <c:v>12.196711385815153</c:v>
                </c:pt>
                <c:pt idx="17">
                  <c:v>12.185535596742998</c:v>
                </c:pt>
                <c:pt idx="18">
                  <c:v>12.175561404272008</c:v>
                </c:pt>
                <c:pt idx="19">
                  <c:v>12.166604905245919</c:v>
                </c:pt>
                <c:pt idx="20">
                  <c:v>12.158517903145283</c:v>
                </c:pt>
              </c:numCache>
            </c:numRef>
          </c:yVal>
          <c:smooth val="1"/>
          <c:extLst>
            <c:ext xmlns:c16="http://schemas.microsoft.com/office/drawing/2014/chart" uri="{C3380CC4-5D6E-409C-BE32-E72D297353CC}">
              <c16:uniqueId val="{00000000-45E3-439B-AA14-CE324DA121FD}"/>
            </c:ext>
          </c:extLst>
        </c:ser>
        <c:ser>
          <c:idx val="1"/>
          <c:order val="1"/>
          <c:tx>
            <c:strRef>
              <c:f>'Inductor Current'!$Y$81</c:f>
              <c:strCache>
                <c:ptCount val="1"/>
                <c:pt idx="0">
                  <c:v>Vin = 23.6 V</c:v>
                </c:pt>
              </c:strCache>
            </c:strRef>
          </c:tx>
          <c:spPr>
            <a:ln w="19050" cap="rnd">
              <a:solidFill>
                <a:schemeClr val="accent2"/>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Current'!$Y$82:$Y$102</c:f>
              <c:numCache>
                <c:formatCode>General</c:formatCode>
                <c:ptCount val="21"/>
                <c:pt idx="0">
                  <c:v>19.669400982034681</c:v>
                </c:pt>
                <c:pt idx="1">
                  <c:v>14.8807114571059</c:v>
                </c:pt>
                <c:pt idx="2">
                  <c:v>13.773412327173048</c:v>
                </c:pt>
                <c:pt idx="3">
                  <c:v>13.281011947577008</c:v>
                </c:pt>
                <c:pt idx="4">
                  <c:v>13.002625844714419</c:v>
                </c:pt>
                <c:pt idx="5">
                  <c:v>12.823635559674191</c:v>
                </c:pt>
                <c:pt idx="6">
                  <c:v>12.698871890760868</c:v>
                </c:pt>
                <c:pt idx="7">
                  <c:v>12.606934003673404</c:v>
                </c:pt>
                <c:pt idx="8">
                  <c:v>12.536373128653509</c:v>
                </c:pt>
                <c:pt idx="9">
                  <c:v>12.480510038783446</c:v>
                </c:pt>
                <c:pt idx="10">
                  <c:v>12.435185597892367</c:v>
                </c:pt>
                <c:pt idx="11">
                  <c:v>12.397674661141835</c:v>
                </c:pt>
                <c:pt idx="12">
                  <c:v>12.36611710154887</c:v>
                </c:pt>
                <c:pt idx="13">
                  <c:v>12.339199825324002</c:v>
                </c:pt>
                <c:pt idx="14">
                  <c:v>12.315969451824895</c:v>
                </c:pt>
                <c:pt idx="15">
                  <c:v>12.295717032451357</c:v>
                </c:pt>
                <c:pt idx="16">
                  <c:v>12.277904433479863</c:v>
                </c:pt>
                <c:pt idx="17">
                  <c:v>12.262115813426593</c:v>
                </c:pt>
                <c:pt idx="18">
                  <c:v>12.248024751556519</c:v>
                </c:pt>
                <c:pt idx="19">
                  <c:v>12.235371438290009</c:v>
                </c:pt>
                <c:pt idx="20">
                  <c:v>12.223946508675413</c:v>
                </c:pt>
              </c:numCache>
            </c:numRef>
          </c:yVal>
          <c:smooth val="1"/>
          <c:extLst>
            <c:ext xmlns:c16="http://schemas.microsoft.com/office/drawing/2014/chart" uri="{C3380CC4-5D6E-409C-BE32-E72D297353CC}">
              <c16:uniqueId val="{00000001-45E3-439B-AA14-CE324DA121FD}"/>
            </c:ext>
          </c:extLst>
        </c:ser>
        <c:ser>
          <c:idx val="2"/>
          <c:order val="2"/>
          <c:tx>
            <c:strRef>
              <c:f>'Inductor Current'!$Z$81</c:f>
              <c:strCache>
                <c:ptCount val="1"/>
                <c:pt idx="0">
                  <c:v>Vin = 34 V</c:v>
                </c:pt>
              </c:strCache>
            </c:strRef>
          </c:tx>
          <c:spPr>
            <a:ln w="19050" cap="rnd">
              <a:solidFill>
                <a:schemeClr val="accent3"/>
              </a:solidFill>
              <a:round/>
            </a:ln>
            <a:effectLst/>
          </c:spPr>
          <c:marker>
            <c:symbol val="none"/>
          </c:marker>
          <c:xVal>
            <c:numRef>
              <c:f>'Inductor Current'!$R$82:$R$102</c:f>
              <c:numCache>
                <c:formatCode>_(* #,##0.00_);_(* \(#,##0.00\);_(* "-"??_);_(@_)</c:formatCode>
                <c:ptCount val="21"/>
                <c:pt idx="0">
                  <c:v>0.60833333333333339</c:v>
                </c:pt>
                <c:pt idx="1">
                  <c:v>1.6195833333333334</c:v>
                </c:pt>
                <c:pt idx="2">
                  <c:v>2.6308333333333338</c:v>
                </c:pt>
                <c:pt idx="3">
                  <c:v>3.6420833333333333</c:v>
                </c:pt>
                <c:pt idx="4">
                  <c:v>4.6533333333333333</c:v>
                </c:pt>
                <c:pt idx="5">
                  <c:v>5.6645833333333329</c:v>
                </c:pt>
                <c:pt idx="6">
                  <c:v>6.6758333333333342</c:v>
                </c:pt>
                <c:pt idx="7">
                  <c:v>7.6870833333333346</c:v>
                </c:pt>
                <c:pt idx="8">
                  <c:v>8.6983333333333341</c:v>
                </c:pt>
                <c:pt idx="9">
                  <c:v>9.7095833333333346</c:v>
                </c:pt>
                <c:pt idx="10">
                  <c:v>10.720833333333335</c:v>
                </c:pt>
                <c:pt idx="11">
                  <c:v>11.732083333333334</c:v>
                </c:pt>
                <c:pt idx="12">
                  <c:v>12.743333333333336</c:v>
                </c:pt>
                <c:pt idx="13">
                  <c:v>13.754583333333336</c:v>
                </c:pt>
                <c:pt idx="14">
                  <c:v>14.765833333333335</c:v>
                </c:pt>
                <c:pt idx="15">
                  <c:v>15.777083333333335</c:v>
                </c:pt>
                <c:pt idx="16">
                  <c:v>16.788333333333334</c:v>
                </c:pt>
                <c:pt idx="17">
                  <c:v>17.799583333333334</c:v>
                </c:pt>
                <c:pt idx="18">
                  <c:v>18.810833333333331</c:v>
                </c:pt>
                <c:pt idx="19">
                  <c:v>19.822083333333335</c:v>
                </c:pt>
                <c:pt idx="20">
                  <c:v>20.833333333333332</c:v>
                </c:pt>
              </c:numCache>
            </c:numRef>
          </c:xVal>
          <c:yVal>
            <c:numRef>
              <c:f>'Inductor Current'!$Z$82:$Z$102</c:f>
              <c:numCache>
                <c:formatCode>General</c:formatCode>
                <c:ptCount val="21"/>
                <c:pt idx="0">
                  <c:v>23.479485868633233</c:v>
                </c:pt>
                <c:pt idx="1">
                  <c:v>16.311821293595195</c:v>
                </c:pt>
                <c:pt idx="2">
                  <c:v>14.65442657082745</c:v>
                </c:pt>
                <c:pt idx="3">
                  <c:v>13.917406402952125</c:v>
                </c:pt>
                <c:pt idx="4">
                  <c:v>13.500720752883643</c:v>
                </c:pt>
                <c:pt idx="5">
                  <c:v>13.232809810092277</c:v>
                </c:pt>
                <c:pt idx="6">
                  <c:v>13.046064746486364</c:v>
                </c:pt>
                <c:pt idx="7">
                  <c:v>12.908452998439184</c:v>
                </c:pt>
                <c:pt idx="8">
                  <c:v>12.802838157128019</c:v>
                </c:pt>
                <c:pt idx="9">
                  <c:v>12.719222819731559</c:v>
                </c:pt>
                <c:pt idx="10">
                  <c:v>12.65138163110006</c:v>
                </c:pt>
                <c:pt idx="11">
                  <c:v>12.595235620563431</c:v>
                </c:pt>
                <c:pt idx="12">
                  <c:v>12.548000567885316</c:v>
                </c:pt>
                <c:pt idx="13">
                  <c:v>12.507711046869362</c:v>
                </c:pt>
                <c:pt idx="14">
                  <c:v>12.472940046509525</c:v>
                </c:pt>
                <c:pt idx="15">
                  <c:v>12.442626419337238</c:v>
                </c:pt>
                <c:pt idx="16">
                  <c:v>12.41596469195385</c:v>
                </c:pt>
                <c:pt idx="17">
                  <c:v>12.392332436812765</c:v>
                </c:pt>
                <c:pt idx="18">
                  <c:v>12.371241070486965</c:v>
                </c:pt>
                <c:pt idx="19">
                  <c:v>12.352301712488272</c:v>
                </c:pt>
                <c:pt idx="20">
                  <c:v>12.335200987364091</c:v>
                </c:pt>
              </c:numCache>
            </c:numRef>
          </c:yVal>
          <c:smooth val="1"/>
          <c:extLst>
            <c:ext xmlns:c16="http://schemas.microsoft.com/office/drawing/2014/chart" uri="{C3380CC4-5D6E-409C-BE32-E72D297353CC}">
              <c16:uniqueId val="{00000002-45E3-439B-AA14-CE324DA121FD}"/>
            </c:ext>
          </c:extLst>
        </c:ser>
        <c:dLbls>
          <c:showLegendKey val="0"/>
          <c:showVal val="0"/>
          <c:showCatName val="0"/>
          <c:showSerName val="0"/>
          <c:showPercent val="0"/>
          <c:showBubbleSize val="0"/>
        </c:dLbls>
        <c:axId val="2084845216"/>
        <c:axId val="2023289856"/>
      </c:scatterChart>
      <c:valAx>
        <c:axId val="2084845216"/>
        <c:scaling>
          <c:logBase val="10"/>
          <c:orientation val="minMax"/>
          <c:min val="0.5"/>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Inductor</a:t>
                </a:r>
                <a:r>
                  <a:rPr lang="en-US" baseline="0"/>
                  <a:t> [uH]</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289856"/>
        <c:crossesAt val="0.1"/>
        <c:crossBetween val="midCat"/>
      </c:valAx>
      <c:valAx>
        <c:axId val="20232898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IL Peak,Peak [A]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845216"/>
        <c:crossesAt val="0.5"/>
        <c:crossBetween val="midCat"/>
      </c:valAx>
      <c:spPr>
        <a:noFill/>
        <a:ln>
          <a:noFill/>
        </a:ln>
        <a:effectLst/>
      </c:spPr>
    </c:plotArea>
    <c:legend>
      <c:legendPos val="b"/>
      <c:layout>
        <c:manualLayout>
          <c:xMode val="edge"/>
          <c:yMode val="edge"/>
          <c:x val="0.70593766404199476"/>
          <c:y val="0.2042818606007582"/>
          <c:w val="0.21868000874890639"/>
          <c:h val="0.32349591717701953"/>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Operation</a:t>
            </a:r>
            <a:r>
              <a:rPr lang="en-US" baseline="0"/>
              <a:t> mode ranges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2909755951004E-2"/>
          <c:y val="0.18218325343399555"/>
          <c:w val="0.81902831704763235"/>
          <c:h val="0.72842824240150528"/>
        </c:manualLayout>
      </c:layout>
      <c:barChart>
        <c:barDir val="bar"/>
        <c:grouping val="stacked"/>
        <c:varyColors val="0"/>
        <c:ser>
          <c:idx val="0"/>
          <c:order val="0"/>
          <c:spPr>
            <a:solidFill>
              <a:schemeClr val="accent1"/>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6-F2A7-4A9C-86AB-B7194BED70CA}"/>
              </c:ext>
            </c:extLst>
          </c:dPt>
          <c:val>
            <c:numRef>
              <c:f>Timings!$AB$26</c:f>
              <c:numCache>
                <c:formatCode>General</c:formatCode>
                <c:ptCount val="1"/>
                <c:pt idx="0">
                  <c:v>20</c:v>
                </c:pt>
              </c:numCache>
            </c:numRef>
          </c:val>
          <c:extLst>
            <c:ext xmlns:c16="http://schemas.microsoft.com/office/drawing/2014/chart" uri="{C3380CC4-5D6E-409C-BE32-E72D297353CC}">
              <c16:uniqueId val="{00000000-F2A7-4A9C-86AB-B7194BED70CA}"/>
            </c:ext>
          </c:extLst>
        </c:ser>
        <c:ser>
          <c:idx val="1"/>
          <c:order val="1"/>
          <c:tx>
            <c:strRef>
              <c:f>Timings!$AC$24</c:f>
              <c:strCache>
                <c:ptCount val="1"/>
                <c:pt idx="0">
                  <c:v>Boost</c:v>
                </c:pt>
              </c:strCache>
            </c:strRef>
          </c:tx>
          <c:spPr>
            <a:solidFill>
              <a:schemeClr val="accent2"/>
            </a:solidFill>
            <a:ln>
              <a:noFill/>
            </a:ln>
            <a:effectLst/>
          </c:spPr>
          <c:invertIfNegative val="0"/>
          <c:val>
            <c:numRef>
              <c:f>Timings!$AC$26</c:f>
              <c:numCache>
                <c:formatCode>General</c:formatCode>
                <c:ptCount val="1"/>
                <c:pt idx="0">
                  <c:v>-9.3035985925633806</c:v>
                </c:pt>
              </c:numCache>
            </c:numRef>
          </c:val>
          <c:extLst>
            <c:ext xmlns:c16="http://schemas.microsoft.com/office/drawing/2014/chart" uri="{C3380CC4-5D6E-409C-BE32-E72D297353CC}">
              <c16:uniqueId val="{00000001-F2A7-4A9C-86AB-B7194BED70CA}"/>
            </c:ext>
          </c:extLst>
        </c:ser>
        <c:ser>
          <c:idx val="2"/>
          <c:order val="2"/>
          <c:spPr>
            <a:solidFill>
              <a:schemeClr val="accent3"/>
            </a:solidFill>
            <a:ln>
              <a:noFill/>
            </a:ln>
            <a:effectLst/>
          </c:spPr>
          <c:invertIfNegative val="0"/>
          <c:val>
            <c:numRef>
              <c:f>Timings!$AD$26</c:f>
              <c:numCache>
                <c:formatCode>General</c:formatCode>
                <c:ptCount val="1"/>
                <c:pt idx="0">
                  <c:v>2.0701097429104713</c:v>
                </c:pt>
              </c:numCache>
            </c:numRef>
          </c:val>
          <c:extLst>
            <c:ext xmlns:c16="http://schemas.microsoft.com/office/drawing/2014/chart" uri="{C3380CC4-5D6E-409C-BE32-E72D297353CC}">
              <c16:uniqueId val="{00000002-F2A7-4A9C-86AB-B7194BED70CA}"/>
            </c:ext>
          </c:extLst>
        </c:ser>
        <c:ser>
          <c:idx val="3"/>
          <c:order val="3"/>
          <c:tx>
            <c:strRef>
              <c:f>Timings!$AE$24</c:f>
              <c:strCache>
                <c:ptCount val="1"/>
                <c:pt idx="0">
                  <c:v>BuckBoost</c:v>
                </c:pt>
              </c:strCache>
            </c:strRef>
          </c:tx>
          <c:spPr>
            <a:solidFill>
              <a:schemeClr val="accent4"/>
            </a:solidFill>
            <a:ln>
              <a:noFill/>
            </a:ln>
            <a:effectLst/>
          </c:spPr>
          <c:invertIfNegative val="0"/>
          <c:val>
            <c:numRef>
              <c:f>Timings!$AE$26</c:f>
              <c:numCache>
                <c:formatCode>General</c:formatCode>
                <c:ptCount val="1"/>
                <c:pt idx="0">
                  <c:v>3.9302979848726505</c:v>
                </c:pt>
              </c:numCache>
            </c:numRef>
          </c:val>
          <c:extLst>
            <c:ext xmlns:c16="http://schemas.microsoft.com/office/drawing/2014/chart" uri="{C3380CC4-5D6E-409C-BE32-E72D297353CC}">
              <c16:uniqueId val="{00000003-F2A7-4A9C-86AB-B7194BED70CA}"/>
            </c:ext>
          </c:extLst>
        </c:ser>
        <c:ser>
          <c:idx val="4"/>
          <c:order val="4"/>
          <c:spPr>
            <a:solidFill>
              <a:schemeClr val="accent5"/>
            </a:solidFill>
            <a:ln>
              <a:noFill/>
            </a:ln>
            <a:effectLst/>
          </c:spPr>
          <c:invertIfNegative val="0"/>
          <c:val>
            <c:numRef>
              <c:f>Timings!$AF$26</c:f>
              <c:numCache>
                <c:formatCode>General</c:formatCode>
                <c:ptCount val="1"/>
                <c:pt idx="0">
                  <c:v>3.2313883847238891</c:v>
                </c:pt>
              </c:numCache>
            </c:numRef>
          </c:val>
          <c:extLst>
            <c:ext xmlns:c16="http://schemas.microsoft.com/office/drawing/2014/chart" uri="{C3380CC4-5D6E-409C-BE32-E72D297353CC}">
              <c16:uniqueId val="{00000004-F2A7-4A9C-86AB-B7194BED70CA}"/>
            </c:ext>
          </c:extLst>
        </c:ser>
        <c:ser>
          <c:idx val="5"/>
          <c:order val="5"/>
          <c:tx>
            <c:strRef>
              <c:f>Timings!$AG$24</c:f>
              <c:strCache>
                <c:ptCount val="1"/>
                <c:pt idx="0">
                  <c:v>Boost</c:v>
                </c:pt>
              </c:strCache>
            </c:strRef>
          </c:tx>
          <c:spPr>
            <a:solidFill>
              <a:schemeClr val="accent6"/>
            </a:solidFill>
            <a:ln>
              <a:noFill/>
            </a:ln>
            <a:effectLst/>
          </c:spPr>
          <c:invertIfNegative val="0"/>
          <c:val>
            <c:numRef>
              <c:f>Timings!$AG$26</c:f>
              <c:numCache>
                <c:formatCode>General</c:formatCode>
                <c:ptCount val="1"/>
                <c:pt idx="0">
                  <c:v>14.07180248005637</c:v>
                </c:pt>
              </c:numCache>
            </c:numRef>
          </c:val>
          <c:extLst>
            <c:ext xmlns:c16="http://schemas.microsoft.com/office/drawing/2014/chart" uri="{C3380CC4-5D6E-409C-BE32-E72D297353CC}">
              <c16:uniqueId val="{00000005-F2A7-4A9C-86AB-B7194BED70CA}"/>
            </c:ext>
          </c:extLst>
        </c:ser>
        <c:dLbls>
          <c:showLegendKey val="0"/>
          <c:showVal val="0"/>
          <c:showCatName val="0"/>
          <c:showSerName val="0"/>
          <c:showPercent val="0"/>
          <c:showBubbleSize val="0"/>
        </c:dLbls>
        <c:gapWidth val="50"/>
        <c:overlap val="100"/>
        <c:axId val="258381679"/>
        <c:axId val="148475023"/>
      </c:barChart>
      <c:catAx>
        <c:axId val="258381679"/>
        <c:scaling>
          <c:orientation val="minMax"/>
        </c:scaling>
        <c:delete val="1"/>
        <c:axPos val="l"/>
        <c:majorTickMark val="none"/>
        <c:minorTickMark val="none"/>
        <c:tickLblPos val="nextTo"/>
        <c:crossAx val="148475023"/>
        <c:crosses val="autoZero"/>
        <c:auto val="1"/>
        <c:lblAlgn val="ctr"/>
        <c:lblOffset val="100"/>
        <c:noMultiLvlLbl val="0"/>
      </c:catAx>
      <c:valAx>
        <c:axId val="1484750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381679"/>
        <c:crosses val="autoZero"/>
        <c:crossBetween val="between"/>
      </c:valAx>
      <c:spPr>
        <a:noFill/>
        <a:ln>
          <a:noFill/>
        </a:ln>
        <a:effectLst/>
      </c:spPr>
    </c:plotArea>
    <c:legend>
      <c:legendPos val="r"/>
      <c:legendEntry>
        <c:idx val="0"/>
        <c:delete val="1"/>
      </c:legendEntry>
      <c:legendEntry>
        <c:idx val="2"/>
        <c:delete val="1"/>
      </c:legendEntry>
      <c:legendEntry>
        <c:idx val="4"/>
        <c:delete val="1"/>
      </c:legendEntry>
      <c:layout>
        <c:manualLayout>
          <c:xMode val="edge"/>
          <c:yMode val="edge"/>
          <c:x val="0.15096959903040097"/>
          <c:y val="0.14660668796843018"/>
          <c:w val="0.53444448137830347"/>
          <c:h val="7.0577288363279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LM5177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66.121401018675698</c:v>
                </c:pt>
                <c:pt idx="1">
                  <c:v>65.34242387754837</c:v>
                </c:pt>
                <c:pt idx="2">
                  <c:v>64.561298008105666</c:v>
                </c:pt>
                <c:pt idx="3">
                  <c:v>63.778607370811557</c:v>
                </c:pt>
                <c:pt idx="4">
                  <c:v>62.995405638631574</c:v>
                </c:pt>
                <c:pt idx="5">
                  <c:v>62.210903360062851</c:v>
                </c:pt>
                <c:pt idx="6">
                  <c:v>61.426716569785036</c:v>
                </c:pt>
                <c:pt idx="7">
                  <c:v>60.642834400344341</c:v>
                </c:pt>
                <c:pt idx="8">
                  <c:v>59.86035212017444</c:v>
                </c:pt>
                <c:pt idx="9">
                  <c:v>59.079235132267023</c:v>
                </c:pt>
                <c:pt idx="10">
                  <c:v>58.3005404273908</c:v>
                </c:pt>
                <c:pt idx="11">
                  <c:v>57.524829979075761</c:v>
                </c:pt>
                <c:pt idx="12">
                  <c:v>56.752453494708526</c:v>
                </c:pt>
                <c:pt idx="13">
                  <c:v>55.985013194702631</c:v>
                </c:pt>
                <c:pt idx="14">
                  <c:v>55.222877375340211</c:v>
                </c:pt>
                <c:pt idx="15">
                  <c:v>54.467464096197098</c:v>
                </c:pt>
                <c:pt idx="16">
                  <c:v>53.719994539479295</c:v>
                </c:pt>
                <c:pt idx="17">
                  <c:v>52.982032862249454</c:v>
                </c:pt>
                <c:pt idx="18">
                  <c:v>52.255015873193841</c:v>
                </c:pt>
                <c:pt idx="19">
                  <c:v>51.540990319497311</c:v>
                </c:pt>
                <c:pt idx="20">
                  <c:v>50.841865446152468</c:v>
                </c:pt>
                <c:pt idx="21">
                  <c:v>50.160026405157119</c:v>
                </c:pt>
                <c:pt idx="22">
                  <c:v>49.497738192409358</c:v>
                </c:pt>
                <c:pt idx="23">
                  <c:v>48.857700361429806</c:v>
                </c:pt>
                <c:pt idx="24">
                  <c:v>48.242352321242436</c:v>
                </c:pt>
                <c:pt idx="25">
                  <c:v>47.654381158363591</c:v>
                </c:pt>
                <c:pt idx="26">
                  <c:v>47.096134085584076</c:v>
                </c:pt>
                <c:pt idx="27">
                  <c:v>46.570046707184616</c:v>
                </c:pt>
                <c:pt idx="28">
                  <c:v>46.078004746213843</c:v>
                </c:pt>
                <c:pt idx="29">
                  <c:v>45.621741004008868</c:v>
                </c:pt>
                <c:pt idx="30">
                  <c:v>45.201431284450706</c:v>
                </c:pt>
                <c:pt idx="31">
                  <c:v>44.818029503137225</c:v>
                </c:pt>
                <c:pt idx="32">
                  <c:v>44.470983170839553</c:v>
                </c:pt>
                <c:pt idx="33">
                  <c:v>44.15964441564212</c:v>
                </c:pt>
                <c:pt idx="34">
                  <c:v>43.882336360580865</c:v>
                </c:pt>
                <c:pt idx="35">
                  <c:v>43.637332418839385</c:v>
                </c:pt>
                <c:pt idx="36">
                  <c:v>43.422342683110706</c:v>
                </c:pt>
                <c:pt idx="37">
                  <c:v>43.234793892117551</c:v>
                </c:pt>
                <c:pt idx="38">
                  <c:v>43.0722655531046</c:v>
                </c:pt>
                <c:pt idx="39">
                  <c:v>42.931995959343709</c:v>
                </c:pt>
                <c:pt idx="40">
                  <c:v>42.811478468662827</c:v>
                </c:pt>
                <c:pt idx="41">
                  <c:v>42.708250862794664</c:v>
                </c:pt>
                <c:pt idx="42">
                  <c:v>42.620034610445273</c:v>
                </c:pt>
                <c:pt idx="43">
                  <c:v>42.544698617546146</c:v>
                </c:pt>
                <c:pt idx="44">
                  <c:v>42.480352314350966</c:v>
                </c:pt>
                <c:pt idx="45">
                  <c:v>42.425262940045421</c:v>
                </c:pt>
                <c:pt idx="46">
                  <c:v>42.37790435598523</c:v>
                </c:pt>
                <c:pt idx="47">
                  <c:v>42.336895470550317</c:v>
                </c:pt>
                <c:pt idx="48">
                  <c:v>42.301022271069009</c:v>
                </c:pt>
                <c:pt idx="49">
                  <c:v>42.269176570530163</c:v>
                </c:pt>
                <c:pt idx="50">
                  <c:v>42.24036724139647</c:v>
                </c:pt>
                <c:pt idx="51">
                  <c:v>42.213670512564001</c:v>
                </c:pt>
                <c:pt idx="52">
                  <c:v>42.188233159254054</c:v>
                </c:pt>
                <c:pt idx="53">
                  <c:v>42.163224357515475</c:v>
                </c:pt>
                <c:pt idx="54">
                  <c:v>42.13783964486889</c:v>
                </c:pt>
                <c:pt idx="55">
                  <c:v>42.111200341915939</c:v>
                </c:pt>
                <c:pt idx="56">
                  <c:v>42.082467433323323</c:v>
                </c:pt>
                <c:pt idx="57">
                  <c:v>42.050680833694628</c:v>
                </c:pt>
                <c:pt idx="58">
                  <c:v>42.014831117742048</c:v>
                </c:pt>
                <c:pt idx="59">
                  <c:v>41.973736729546388</c:v>
                </c:pt>
                <c:pt idx="60">
                  <c:v>41.926113589089205</c:v>
                </c:pt>
                <c:pt idx="61">
                  <c:v>41.870466302355595</c:v>
                </c:pt>
                <c:pt idx="62">
                  <c:v>41.805048182788653</c:v>
                </c:pt>
                <c:pt idx="63">
                  <c:v>41.727954925291861</c:v>
                </c:pt>
                <c:pt idx="64">
                  <c:v>41.636867440516163</c:v>
                </c:pt>
                <c:pt idx="65">
                  <c:v>41.529227298111884</c:v>
                </c:pt>
                <c:pt idx="66">
                  <c:v>41.40207933277226</c:v>
                </c:pt>
                <c:pt idx="67">
                  <c:v>41.252114055145547</c:v>
                </c:pt>
                <c:pt idx="68">
                  <c:v>41.075558110726348</c:v>
                </c:pt>
                <c:pt idx="69">
                  <c:v>40.868334874947394</c:v>
                </c:pt>
                <c:pt idx="70">
                  <c:v>40.625913592240217</c:v>
                </c:pt>
                <c:pt idx="71">
                  <c:v>40.343542300562873</c:v>
                </c:pt>
                <c:pt idx="72">
                  <c:v>40.016133575773082</c:v>
                </c:pt>
                <c:pt idx="73">
                  <c:v>39.638645582781372</c:v>
                </c:pt>
                <c:pt idx="74">
                  <c:v>39.20592154687381</c:v>
                </c:pt>
                <c:pt idx="75">
                  <c:v>38.713216522311029</c:v>
                </c:pt>
                <c:pt idx="76">
                  <c:v>38.15606562174397</c:v>
                </c:pt>
                <c:pt idx="77">
                  <c:v>37.530993237599446</c:v>
                </c:pt>
                <c:pt idx="78">
                  <c:v>36.835242095928692</c:v>
                </c:pt>
                <c:pt idx="79">
                  <c:v>36.067630659853023</c:v>
                </c:pt>
                <c:pt idx="80">
                  <c:v>35.226290283074469</c:v>
                </c:pt>
                <c:pt idx="81">
                  <c:v>34.312986347860281</c:v>
                </c:pt>
                <c:pt idx="82">
                  <c:v>33.328918631115812</c:v>
                </c:pt>
                <c:pt idx="83">
                  <c:v>32.277646709980004</c:v>
                </c:pt>
                <c:pt idx="84">
                  <c:v>31.162080774126789</c:v>
                </c:pt>
                <c:pt idx="85">
                  <c:v>29.987210522636087</c:v>
                </c:pt>
                <c:pt idx="86">
                  <c:v>28.757697040832738</c:v>
                </c:pt>
                <c:pt idx="87">
                  <c:v>27.477892922476567</c:v>
                </c:pt>
                <c:pt idx="88">
                  <c:v>26.154100083781987</c:v>
                </c:pt>
                <c:pt idx="89">
                  <c:v>24.790223979890698</c:v>
                </c:pt>
                <c:pt idx="90">
                  <c:v>23.391479822701505</c:v>
                </c:pt>
                <c:pt idx="91">
                  <c:v>21.962131523210143</c:v>
                </c:pt>
                <c:pt idx="92">
                  <c:v>20.506374929079119</c:v>
                </c:pt>
                <c:pt idx="93">
                  <c:v>19.027362375691318</c:v>
                </c:pt>
                <c:pt idx="94">
                  <c:v>18.654544647801877</c:v>
                </c:pt>
                <c:pt idx="95">
                  <c:v>18.466527884195656</c:v>
                </c:pt>
                <c:pt idx="96">
                  <c:v>18.28037222730617</c:v>
                </c:pt>
                <c:pt idx="97">
                  <c:v>18.091792488429746</c:v>
                </c:pt>
                <c:pt idx="98">
                  <c:v>17.905090828808685</c:v>
                </c:pt>
                <c:pt idx="99">
                  <c:v>17.715922190227282</c:v>
                </c:pt>
                <c:pt idx="100">
                  <c:v>17.528648914433319</c:v>
                </c:pt>
                <c:pt idx="101">
                  <c:v>17.339011436334278</c:v>
                </c:pt>
                <c:pt idx="102">
                  <c:v>17.151284003371082</c:v>
                </c:pt>
                <c:pt idx="103">
                  <c:v>16.96101535810843</c:v>
                </c:pt>
                <c:pt idx="104">
                  <c:v>16.772674498854247</c:v>
                </c:pt>
                <c:pt idx="105">
                  <c:v>16.58189873404211</c:v>
                </c:pt>
                <c:pt idx="106">
                  <c:v>16.393065810999154</c:v>
                </c:pt>
                <c:pt idx="107">
                  <c:v>16.201900291132439</c:v>
                </c:pt>
                <c:pt idx="108">
                  <c:v>16.012690084696729</c:v>
                </c:pt>
                <c:pt idx="109">
                  <c:v>15.821115904336374</c:v>
                </c:pt>
                <c:pt idx="110">
                  <c:v>15.63150968423005</c:v>
                </c:pt>
                <c:pt idx="111">
                  <c:v>15.439385122885994</c:v>
                </c:pt>
                <c:pt idx="112">
                  <c:v>15.249243878707583</c:v>
                </c:pt>
                <c:pt idx="113">
                  <c:v>15.056690601267977</c:v>
                </c:pt>
                <c:pt idx="114">
                  <c:v>14.866133319556782</c:v>
                </c:pt>
                <c:pt idx="115">
                  <c:v>14.673144277072222</c:v>
                </c:pt>
                <c:pt idx="116">
                  <c:v>14.4821638681486</c:v>
                </c:pt>
                <c:pt idx="117">
                  <c:v>14.288735484929134</c:v>
                </c:pt>
                <c:pt idx="118">
                  <c:v>14.097328266843409</c:v>
                </c:pt>
                <c:pt idx="119">
                  <c:v>13.903577066492582</c:v>
                </c:pt>
                <c:pt idx="120">
                  <c:v>13.711856955337806</c:v>
                </c:pt>
                <c:pt idx="121">
                  <c:v>13.517778236067457</c:v>
                </c:pt>
                <c:pt idx="122">
                  <c:v>13.325740438642979</c:v>
                </c:pt>
                <c:pt idx="123">
                  <c:v>13.131220467609259</c:v>
                </c:pt>
                <c:pt idx="124">
                  <c:v>12.938753454656366</c:v>
                </c:pt>
                <c:pt idx="125">
                  <c:v>12.743910061116399</c:v>
                </c:pt>
                <c:pt idx="126">
                  <c:v>12.551129015464733</c:v>
                </c:pt>
                <c:pt idx="127">
                  <c:v>12.355965704525651</c:v>
                </c:pt>
                <c:pt idx="128">
                  <c:v>12.162873879652036</c:v>
                </c:pt>
                <c:pt idx="129">
                  <c:v>11.967396499291983</c:v>
                </c:pt>
                <c:pt idx="130">
                  <c:v>11.773999444704428</c:v>
                </c:pt>
                <c:pt idx="131">
                  <c:v>11.578215980859227</c:v>
                </c:pt>
                <c:pt idx="132">
                  <c:v>11.481110287673008</c:v>
                </c:pt>
                <c:pt idx="133">
                  <c:v>11.38452134068408</c:v>
                </c:pt>
                <c:pt idx="134">
                  <c:v>11.286166025413154</c:v>
                </c:pt>
                <c:pt idx="135">
                  <c:v>11.188341037507524</c:v>
                </c:pt>
                <c:pt idx="136">
                  <c:v>11.091040799326651</c:v>
                </c:pt>
                <c:pt idx="137">
                  <c:v>10.994259817169761</c:v>
                </c:pt>
                <c:pt idx="138">
                  <c:v>10.895812971745416</c:v>
                </c:pt>
                <c:pt idx="139">
                  <c:v>10.79789786764815</c:v>
                </c:pt>
                <c:pt idx="140">
                  <c:v>10.700508890535357</c:v>
                </c:pt>
                <c:pt idx="141">
                  <c:v>10.6036405110515</c:v>
                </c:pt>
                <c:pt idx="142">
                  <c:v>10.505008627320041</c:v>
                </c:pt>
                <c:pt idx="143">
                  <c:v>10.406910863295867</c:v>
                </c:pt>
                <c:pt idx="144">
                  <c:v>10.309341553057344</c:v>
                </c:pt>
                <c:pt idx="145">
                  <c:v>10.212295117007571</c:v>
                </c:pt>
                <c:pt idx="146">
                  <c:v>10.11353613723352</c:v>
                </c:pt>
                <c:pt idx="147">
                  <c:v>10.015312988134795</c:v>
                </c:pt>
                <c:pt idx="148">
                  <c:v>9.9176199631067714</c:v>
                </c:pt>
                <c:pt idx="149">
                  <c:v>9.8204514429794472</c:v>
                </c:pt>
                <c:pt idx="150">
                  <c:v>9.7215733174231644</c:v>
                </c:pt>
                <c:pt idx="151">
                  <c:v>9.6232326046147634</c:v>
                </c:pt>
                <c:pt idx="152">
                  <c:v>9.5254235596558505</c:v>
                </c:pt>
                <c:pt idx="153">
                  <c:v>9.4281405261348254</c:v>
                </c:pt>
                <c:pt idx="154">
                  <c:v>9.329106320788668</c:v>
                </c:pt>
                <c:pt idx="155">
                  <c:v>9.2306114687796885</c:v>
                </c:pt>
                <c:pt idx="156">
                  <c:v>9.1326501814755261</c:v>
                </c:pt>
                <c:pt idx="157">
                  <c:v>9.0352167598869997</c:v>
                </c:pt>
                <c:pt idx="158">
                  <c:v>8.9360383724502146</c:v>
                </c:pt>
                <c:pt idx="159">
                  <c:v>8.8374011086081232</c:v>
                </c:pt>
                <c:pt idx="160">
                  <c:v>8.7392991389835224</c:v>
                </c:pt>
                <c:pt idx="161">
                  <c:v>8.6417267249301926</c:v>
                </c:pt>
                <c:pt idx="162">
                  <c:v>8.5424598318598122</c:v>
                </c:pt>
                <c:pt idx="163">
                  <c:v>8.4437351846156616</c:v>
                </c:pt>
                <c:pt idx="164">
                  <c:v>8.3455469237981674</c:v>
                </c:pt>
                <c:pt idx="165">
                  <c:v>8.2478892815968408</c:v>
                </c:pt>
                <c:pt idx="166">
                  <c:v>8.1484583546200842</c:v>
                </c:pt>
                <c:pt idx="167">
                  <c:v>8.0495715769410623</c:v>
                </c:pt>
                <c:pt idx="168">
                  <c:v>7.9512230467566702</c:v>
                </c:pt>
                <c:pt idx="169">
                  <c:v>7.8534069549620158</c:v>
                </c:pt>
                <c:pt idx="170">
                  <c:v>7.7540355595642074</c:v>
                </c:pt>
                <c:pt idx="171">
                  <c:v>7.6552077346404976</c:v>
                </c:pt>
                <c:pt idx="172">
                  <c:v>7.5569175765467609</c:v>
                </c:pt>
                <c:pt idx="173">
                  <c:v>7.4591592745897897</c:v>
                </c:pt>
                <c:pt idx="174">
                  <c:v>7.3594826279343213</c:v>
                </c:pt>
                <c:pt idx="175">
                  <c:v>7.2603529145731693</c:v>
                </c:pt>
                <c:pt idx="176">
                  <c:v>7.1617641651439312</c:v>
                </c:pt>
                <c:pt idx="177">
                  <c:v>7.0637105048203965</c:v>
                </c:pt>
                <c:pt idx="178">
                  <c:v>6.9637946308653991</c:v>
                </c:pt>
                <c:pt idx="179">
                  <c:v>6.8644282951120204</c:v>
                </c:pt>
                <c:pt idx="180">
                  <c:v>6.7656054748314842</c:v>
                </c:pt>
                <c:pt idx="181">
                  <c:v>6.6673202431551557</c:v>
                </c:pt>
                <c:pt idx="182">
                  <c:v>6.5676170819027959</c:v>
                </c:pt>
                <c:pt idx="183">
                  <c:v>6.4684610680508268</c:v>
                </c:pt>
                <c:pt idx="184">
                  <c:v>6.3698462075934517</c:v>
                </c:pt>
                <c:pt idx="185">
                  <c:v>6.2717666019657194</c:v>
                </c:pt>
                <c:pt idx="186">
                  <c:v>6.1715460104352182</c:v>
                </c:pt>
                <c:pt idx="187">
                  <c:v>6.0718781401111404</c:v>
                </c:pt>
                <c:pt idx="188">
                  <c:v>5.9727568950956531</c:v>
                </c:pt>
                <c:pt idx="189">
                  <c:v>5.8741762772779307</c:v>
                </c:pt>
                <c:pt idx="190">
                  <c:v>5.7742644410150392</c:v>
                </c:pt>
                <c:pt idx="191">
                  <c:v>5.674901787382824</c:v>
                </c:pt>
                <c:pt idx="192">
                  <c:v>5.5760822687749512</c:v>
                </c:pt>
                <c:pt idx="193">
                  <c:v>5.4777999345150388</c:v>
                </c:pt>
                <c:pt idx="194">
                  <c:v>5.3774932634104449</c:v>
                </c:pt>
                <c:pt idx="195">
                  <c:v>5.2777399196745804</c:v>
                </c:pt>
                <c:pt idx="196">
                  <c:v>5.1785337774258426</c:v>
                </c:pt>
                <c:pt idx="197">
                  <c:v>5.0798688095515168</c:v>
                </c:pt>
                <c:pt idx="198">
                  <c:v>4.9795962040495096</c:v>
                </c:pt>
                <c:pt idx="199">
                  <c:v>4.8798763143859638</c:v>
                </c:pt>
                <c:pt idx="200">
                  <c:v>4.7807030151325121</c:v>
                </c:pt>
                <c:pt idx="201">
                  <c:v>4.682070279778646</c:v>
                </c:pt>
                <c:pt idx="202">
                  <c:v>4.5818758842603833</c:v>
                </c:pt>
                <c:pt idx="203">
                  <c:v>4.4822330647193755</c:v>
                </c:pt>
                <c:pt idx="204">
                  <c:v>4.3831357051645341</c:v>
                </c:pt>
                <c:pt idx="205">
                  <c:v>4.2845777884713172</c:v>
                </c:pt>
                <c:pt idx="206">
                  <c:v>4.184160835284799</c:v>
                </c:pt>
                <c:pt idx="207">
                  <c:v>4.0842975784476661</c:v>
                </c:pt>
                <c:pt idx="208">
                  <c:v>3.9849818574285099</c:v>
                </c:pt>
                <c:pt idx="209">
                  <c:v>3.8862076116673165</c:v>
                </c:pt>
                <c:pt idx="210">
                  <c:v>3.7852940467687768</c:v>
                </c:pt>
                <c:pt idx="211">
                  <c:v>3.6849392777842302</c:v>
                </c:pt>
                <c:pt idx="212">
                  <c:v>3.5851370497740214</c:v>
                </c:pt>
                <c:pt idx="213">
                  <c:v>3.4858812099554233</c:v>
                </c:pt>
                <c:pt idx="214">
                  <c:v>3.3852034064359326</c:v>
                </c:pt>
                <c:pt idx="215">
                  <c:v>3.2850813777615908</c:v>
                </c:pt>
                <c:pt idx="216">
                  <c:v>3.1855089103549119</c:v>
                </c:pt>
                <c:pt idx="217">
                  <c:v>3.0864798920322309</c:v>
                </c:pt>
                <c:pt idx="218">
                  <c:v>2.985748793572589</c:v>
                </c:pt>
                <c:pt idx="219">
                  <c:v>2.8855735909099374</c:v>
                </c:pt>
                <c:pt idx="220">
                  <c:v>2.7859480594151331</c:v>
                </c:pt>
                <c:pt idx="221">
                  <c:v>2.6868660762237182</c:v>
                </c:pt>
                <c:pt idx="222">
                  <c:v>2.5861308464724586</c:v>
                </c:pt>
                <c:pt idx="223">
                  <c:v>2.4859510454711926</c:v>
                </c:pt>
                <c:pt idx="224">
                  <c:v>2.3863204474923152</c:v>
                </c:pt>
                <c:pt idx="225">
                  <c:v>2.2872329287212252</c:v>
                </c:pt>
                <c:pt idx="226">
                  <c:v>2.1862331865218834</c:v>
                </c:pt>
                <c:pt idx="227">
                  <c:v>2.0857912231167823</c:v>
                </c:pt>
                <c:pt idx="228">
                  <c:v>1.9859007644371909</c:v>
                </c:pt>
                <c:pt idx="229">
                  <c:v>1.8865556395010548</c:v>
                </c:pt>
                <c:pt idx="230">
                  <c:v>1.684711491586852</c:v>
                </c:pt>
                <c:pt idx="231">
                  <c:v>1.5846221956257367</c:v>
                </c:pt>
                <c:pt idx="232">
                  <c:v>1.4850797754960021</c:v>
                </c:pt>
                <c:pt idx="233">
                  <c:v>1.3837344609211253</c:v>
                </c:pt>
                <c:pt idx="234">
                  <c:v>1.282949456123808</c:v>
                </c:pt>
                <c:pt idx="235">
                  <c:v>1.1827184266258171</c:v>
                </c:pt>
                <c:pt idx="236">
                  <c:v>1.0830351425913742</c:v>
                </c:pt>
                <c:pt idx="237">
                  <c:v>0.98188747050558889</c:v>
                </c:pt>
                <c:pt idx="238">
                  <c:v>0.88129721785141557</c:v>
                </c:pt>
                <c:pt idx="239">
                  <c:v>0.78125809020652737</c:v>
                </c:pt>
                <c:pt idx="240">
                  <c:v>0.68176389702125251</c:v>
                </c:pt>
                <c:pt idx="241">
                  <c:v>0.58028545259852127</c:v>
                </c:pt>
                <c:pt idx="242">
                  <c:v>0.47936730161217778</c:v>
                </c:pt>
                <c:pt idx="243">
                  <c:v>0.37900309224087392</c:v>
                </c:pt>
                <c:pt idx="244">
                  <c:v>0.27918657790392942</c:v>
                </c:pt>
                <c:pt idx="245">
                  <c:v>0.17771770302441531</c:v>
                </c:pt>
                <c:pt idx="246">
                  <c:v>7.680819573435195E-2</c:v>
                </c:pt>
                <c:pt idx="247">
                  <c:v>-2.354828886673848E-2</c:v>
                </c:pt>
                <c:pt idx="248">
                  <c:v>-0.12335799048719201</c:v>
                </c:pt>
                <c:pt idx="249">
                  <c:v>-0.2250415394359665</c:v>
                </c:pt>
                <c:pt idx="250">
                  <c:v>-0.32616423452799126</c:v>
                </c:pt>
                <c:pt idx="251">
                  <c:v>-0.4267324547031856</c:v>
                </c:pt>
                <c:pt idx="252">
                  <c:v>-0.52675247285481031</c:v>
                </c:pt>
                <c:pt idx="253">
                  <c:v>-0.62832999949384838</c:v>
                </c:pt>
                <c:pt idx="254">
                  <c:v>-0.72934876694258677</c:v>
                </c:pt>
                <c:pt idx="255">
                  <c:v>-0.82981512730689699</c:v>
                </c:pt>
                <c:pt idx="256">
                  <c:v>-0.92973532714186513</c:v>
                </c:pt>
                <c:pt idx="257">
                  <c:v>-1.0316830040640712</c:v>
                </c:pt>
                <c:pt idx="258">
                  <c:v>-1.1330688434874927</c:v>
                </c:pt>
                <c:pt idx="259">
                  <c:v>-1.2338992587927957</c:v>
                </c:pt>
                <c:pt idx="260">
                  <c:v>-1.3341805563552132</c:v>
                </c:pt>
                <c:pt idx="261">
                  <c:v>-1.4361794575589062</c:v>
                </c:pt>
                <c:pt idx="262">
                  <c:v>-1.5376170073937292</c:v>
                </c:pt>
                <c:pt idx="263">
                  <c:v>-1.6384996198341475</c:v>
                </c:pt>
                <c:pt idx="264">
                  <c:v>-1.7388336017405248</c:v>
                </c:pt>
                <c:pt idx="265">
                  <c:v>-1.8408366312578541</c:v>
                </c:pt>
                <c:pt idx="266">
                  <c:v>-1.94227937030811</c:v>
                </c:pt>
                <c:pt idx="267">
                  <c:v>-2.0431682236436877</c:v>
                </c:pt>
                <c:pt idx="268">
                  <c:v>-2.1435094890136126</c:v>
                </c:pt>
                <c:pt idx="269">
                  <c:v>-2.2457133389160004</c:v>
                </c:pt>
                <c:pt idx="270">
                  <c:v>-2.3473558648179913</c:v>
                </c:pt>
                <c:pt idx="271">
                  <c:v>-2.4484434981203491</c:v>
                </c:pt>
                <c:pt idx="272">
                  <c:v>-2.548982562534472</c:v>
                </c:pt>
                <c:pt idx="273">
                  <c:v>-2.6513311930240873</c:v>
                </c:pt>
                <c:pt idx="274">
                  <c:v>-2.7531181454095326</c:v>
                </c:pt>
                <c:pt idx="275">
                  <c:v>-2.854349866198183</c:v>
                </c:pt>
                <c:pt idx="276">
                  <c:v>-2.9550326937784299</c:v>
                </c:pt>
                <c:pt idx="277">
                  <c:v>-3.0572438007357023</c:v>
                </c:pt>
                <c:pt idx="278">
                  <c:v>-3.1588960241257178</c:v>
                </c:pt>
                <c:pt idx="279">
                  <c:v>-3.2599957715645895</c:v>
                </c:pt>
                <c:pt idx="280">
                  <c:v>-3.3605493433248865</c:v>
                </c:pt>
                <c:pt idx="281">
                  <c:v>-3.4632646523581423</c:v>
                </c:pt>
                <c:pt idx="282">
                  <c:v>-3.5654169300490439</c:v>
                </c:pt>
                <c:pt idx="283">
                  <c:v>-3.6670126644561893</c:v>
                </c:pt>
                <c:pt idx="284">
                  <c:v>-3.7680582344054905</c:v>
                </c:pt>
                <c:pt idx="285">
                  <c:v>-3.8705424136695599</c:v>
                </c:pt>
                <c:pt idx="286">
                  <c:v>-3.972467510440381</c:v>
                </c:pt>
                <c:pt idx="287">
                  <c:v>-4.0738399539996193</c:v>
                </c:pt>
                <c:pt idx="288">
                  <c:v>-4.1746660656179149</c:v>
                </c:pt>
                <c:pt idx="289">
                  <c:v>-4.2775385543527866</c:v>
                </c:pt>
                <c:pt idx="290">
                  <c:v>-4.3798492255384618</c:v>
                </c:pt>
                <c:pt idx="291">
                  <c:v>-4.4816045648459397</c:v>
                </c:pt>
                <c:pt idx="292">
                  <c:v>-4.5828109485803594</c:v>
                </c:pt>
                <c:pt idx="293">
                  <c:v>-4.6857945419277325</c:v>
                </c:pt>
                <c:pt idx="294">
                  <c:v>-4.7882166775390012</c:v>
                </c:pt>
                <c:pt idx="295">
                  <c:v>-4.8900838442381298</c:v>
                </c:pt>
                <c:pt idx="296">
                  <c:v>-4.9914024213182975</c:v>
                </c:pt>
                <c:pt idx="297">
                  <c:v>-5.0944487265959806</c:v>
                </c:pt>
                <c:pt idx="298">
                  <c:v>-5.1969345320485463</c:v>
                </c:pt>
                <c:pt idx="299">
                  <c:v>-5.2988663193544028</c:v>
                </c:pt>
                <c:pt idx="300">
                  <c:v>-5.4002504607268005</c:v>
                </c:pt>
                <c:pt idx="301">
                  <c:v>-5.5033146077676367</c:v>
                </c:pt>
                <c:pt idx="302">
                  <c:v>-5.6058197696871304</c:v>
                </c:pt>
                <c:pt idx="303">
                  <c:v>-5.7077724114100441</c:v>
                </c:pt>
                <c:pt idx="304">
                  <c:v>-5.8091788886742322</c:v>
                </c:pt>
                <c:pt idx="305">
                  <c:v>-5.912614593848728</c:v>
                </c:pt>
                <c:pt idx="306">
                  <c:v>-6.0154890777802086</c:v>
                </c:pt>
                <c:pt idx="307">
                  <c:v>-6.11780885365821</c:v>
                </c:pt>
                <c:pt idx="308">
                  <c:v>-6.2195803243021217</c:v>
                </c:pt>
                <c:pt idx="309">
                  <c:v>-6.3229371863407344</c:v>
                </c:pt>
                <c:pt idx="310">
                  <c:v>-6.425735541428919</c:v>
                </c:pt>
                <c:pt idx="311">
                  <c:v>-6.5279818652390826</c:v>
                </c:pt>
                <c:pt idx="312">
                  <c:v>-6.6296825238173067</c:v>
                </c:pt>
                <c:pt idx="313">
                  <c:v>-6.7333044371543203</c:v>
                </c:pt>
                <c:pt idx="314">
                  <c:v>-6.8363669243262564</c:v>
                </c:pt>
                <c:pt idx="315">
                  <c:v>-6.9388764865565866</c:v>
                </c:pt>
                <c:pt idx="316">
                  <c:v>-7.0408395147631628</c:v>
                </c:pt>
                <c:pt idx="317">
                  <c:v>-7.1446705863532598</c:v>
                </c:pt>
                <c:pt idx="318">
                  <c:v>-7.247942002175396</c:v>
                </c:pt>
                <c:pt idx="319">
                  <c:v>-7.350660277103227</c:v>
                </c:pt>
                <c:pt idx="320">
                  <c:v>-7.4528318152887172</c:v>
                </c:pt>
                <c:pt idx="321">
                  <c:v>-7.5568200460586956</c:v>
                </c:pt>
                <c:pt idx="322">
                  <c:v>-7.6602490372198373</c:v>
                </c:pt>
                <c:pt idx="323">
                  <c:v>-7.7631253060809442</c:v>
                </c:pt>
                <c:pt idx="324">
                  <c:v>-7.8654552590639835</c:v>
                </c:pt>
                <c:pt idx="325">
                  <c:v>-7.9695523744795445</c:v>
                </c:pt>
                <c:pt idx="326">
                  <c:v>-8.0730912689879837</c:v>
                </c:pt>
                <c:pt idx="327">
                  <c:v>-8.176078451816668</c:v>
                </c:pt>
                <c:pt idx="328">
                  <c:v>-8.2785203213736036</c:v>
                </c:pt>
                <c:pt idx="329">
                  <c:v>-8.3828553154389613</c:v>
                </c:pt>
                <c:pt idx="330">
                  <c:v>-8.4866318152222338</c:v>
                </c:pt>
                <c:pt idx="331">
                  <c:v>-8.5898563443892879</c:v>
                </c:pt>
                <c:pt idx="332">
                  <c:v>-8.6925353153410096</c:v>
                </c:pt>
                <c:pt idx="333">
                  <c:v>-8.7968858212426859</c:v>
                </c:pt>
                <c:pt idx="334">
                  <c:v>-8.9006800198118867</c:v>
                </c:pt>
                <c:pt idx="335">
                  <c:v>-9.0039244061373864</c:v>
                </c:pt>
                <c:pt idx="336">
                  <c:v>-9.1066253645681563</c:v>
                </c:pt>
                <c:pt idx="337">
                  <c:v>-9.2112864944630797</c:v>
                </c:pt>
                <c:pt idx="338">
                  <c:v>-9.3153904521872271</c:v>
                </c:pt>
                <c:pt idx="339">
                  <c:v>-9.4189437575052022</c:v>
                </c:pt>
                <c:pt idx="340">
                  <c:v>-9.5219528187528955</c:v>
                </c:pt>
                <c:pt idx="341">
                  <c:v>-9.6268688601469226</c:v>
                </c:pt>
                <c:pt idx="342">
                  <c:v>-9.7312275562934847</c:v>
                </c:pt>
                <c:pt idx="343">
                  <c:v>-9.8350354395019419</c:v>
                </c:pt>
                <c:pt idx="344">
                  <c:v>-9.9382989302338025</c:v>
                </c:pt>
                <c:pt idx="345">
                  <c:v>-10.043258509477056</c:v>
                </c:pt>
                <c:pt idx="346">
                  <c:v>-10.147662901145502</c:v>
                </c:pt>
                <c:pt idx="347">
                  <c:v>-10.251518609129231</c:v>
                </c:pt>
                <c:pt idx="348">
                  <c:v>-10.354832025976874</c:v>
                </c:pt>
                <c:pt idx="349">
                  <c:v>-10.460109557654311</c:v>
                </c:pt>
                <c:pt idx="350">
                  <c:v>-10.564831254889535</c:v>
                </c:pt>
                <c:pt idx="351">
                  <c:v>-10.669003642163062</c:v>
                </c:pt>
                <c:pt idx="352">
                  <c:v>-10.772633131999591</c:v>
                </c:pt>
                <c:pt idx="353">
                  <c:v>-10.878174131260268</c:v>
                </c:pt>
                <c:pt idx="354">
                  <c:v>-10.983159327341976</c:v>
                </c:pt>
                <c:pt idx="355">
                  <c:v>-11.087595253280462</c:v>
                </c:pt>
                <c:pt idx="356">
                  <c:v>-11.1914883298059</c:v>
                </c:pt>
                <c:pt idx="357">
                  <c:v>-11.297092351110008</c:v>
                </c:pt>
                <c:pt idx="358">
                  <c:v>-11.402142799987283</c:v>
                </c:pt>
                <c:pt idx="359">
                  <c:v>-11.506646179149593</c:v>
                </c:pt>
                <c:pt idx="360">
                  <c:v>-11.610608879536279</c:v>
                </c:pt>
                <c:pt idx="361">
                  <c:v>-11.716531728138246</c:v>
                </c:pt>
                <c:pt idx="362">
                  <c:v>-11.821900653388912</c:v>
                </c:pt>
                <c:pt idx="363">
                  <c:v>-11.926722172787168</c:v>
                </c:pt>
                <c:pt idx="364">
                  <c:v>-12.031002691553766</c:v>
                </c:pt>
                <c:pt idx="365">
                  <c:v>-12.137047942059425</c:v>
                </c:pt>
                <c:pt idx="366">
                  <c:v>-12.242541066948762</c:v>
                </c:pt>
                <c:pt idx="367">
                  <c:v>-12.347488560413113</c:v>
                </c:pt>
                <c:pt idx="368">
                  <c:v>-12.451896804724612</c:v>
                </c:pt>
                <c:pt idx="369">
                  <c:v>-12.558305876076668</c:v>
                </c:pt>
                <c:pt idx="370">
                  <c:v>-12.664162210474521</c:v>
                </c:pt>
                <c:pt idx="371">
                  <c:v>-12.769472320853755</c:v>
                </c:pt>
                <c:pt idx="372">
                  <c:v>-12.874242607617267</c:v>
                </c:pt>
                <c:pt idx="373">
                  <c:v>-12.98082342470936</c:v>
                </c:pt>
                <c:pt idx="374">
                  <c:v>-13.086852987715481</c:v>
                </c:pt>
                <c:pt idx="375">
                  <c:v>-13.192337791036653</c:v>
                </c:pt>
                <c:pt idx="376">
                  <c:v>-13.297284216775404</c:v>
                </c:pt>
                <c:pt idx="377">
                  <c:v>-13.404264987569078</c:v>
                </c:pt>
                <c:pt idx="378">
                  <c:v>-13.510693734543828</c:v>
                </c:pt>
                <c:pt idx="379">
                  <c:v>-13.616576972828664</c:v>
                </c:pt>
                <c:pt idx="380">
                  <c:v>-13.721921104575861</c:v>
                </c:pt>
                <c:pt idx="381">
                  <c:v>-13.828982044718416</c:v>
                </c:pt>
                <c:pt idx="382">
                  <c:v>-13.935493582051343</c:v>
                </c:pt>
                <c:pt idx="383">
                  <c:v>-14.041462192113073</c:v>
                </c:pt>
                <c:pt idx="384">
                  <c:v>-14.146894238168269</c:v>
                </c:pt>
                <c:pt idx="385">
                  <c:v>-14.254389087573923</c:v>
                </c:pt>
                <c:pt idx="386">
                  <c:v>-14.361333627994636</c:v>
                </c:pt>
                <c:pt idx="387">
                  <c:v>-14.467734357023289</c:v>
                </c:pt>
                <c:pt idx="388">
                  <c:v>-14.573597659250874</c:v>
                </c:pt>
                <c:pt idx="389">
                  <c:v>-14.681343580934247</c:v>
                </c:pt>
                <c:pt idx="390">
                  <c:v>-14.78854026281356</c:v>
                </c:pt>
                <c:pt idx="391">
                  <c:v>-14.895194189048137</c:v>
                </c:pt>
                <c:pt idx="392">
                  <c:v>-15.001311730876516</c:v>
                </c:pt>
                <c:pt idx="393">
                  <c:v>-15.109264459013554</c:v>
                </c:pt>
                <c:pt idx="394">
                  <c:v>-15.216669559753997</c:v>
                </c:pt>
                <c:pt idx="395">
                  <c:v>-15.323533493526178</c:v>
                </c:pt>
                <c:pt idx="396">
                  <c:v>-15.429862608150156</c:v>
                </c:pt>
                <c:pt idx="397">
                  <c:v>-15.538225188808175</c:v>
                </c:pt>
                <c:pt idx="398">
                  <c:v>-15.646039797033477</c:v>
                </c:pt>
                <c:pt idx="399">
                  <c:v>-15.753312903295972</c:v>
                </c:pt>
                <c:pt idx="400">
                  <c:v>-15.860050864976527</c:v>
                </c:pt>
                <c:pt idx="401">
                  <c:v>-15.968651368444426</c:v>
                </c:pt>
                <c:pt idx="402">
                  <c:v>-16.076705388956263</c:v>
                </c:pt>
                <c:pt idx="403">
                  <c:v>-16.184219373789329</c:v>
                </c:pt>
                <c:pt idx="404">
                  <c:v>-16.291199657414886</c:v>
                </c:pt>
                <c:pt idx="405">
                  <c:v>-16.400113707492793</c:v>
                </c:pt>
                <c:pt idx="406">
                  <c:v>-16.508482094563316</c:v>
                </c:pt>
                <c:pt idx="407">
                  <c:v>-16.616311253602575</c:v>
                </c:pt>
                <c:pt idx="408">
                  <c:v>-16.723607506802654</c:v>
                </c:pt>
                <c:pt idx="409">
                  <c:v>-16.832904623560406</c:v>
                </c:pt>
                <c:pt idx="410">
                  <c:v>-16.941656297719458</c:v>
                </c:pt>
                <c:pt idx="411">
                  <c:v>-17.049868961521558</c:v>
                </c:pt>
                <c:pt idx="412">
                  <c:v>-17.157548934213867</c:v>
                </c:pt>
                <c:pt idx="413">
                  <c:v>-17.267180293665824</c:v>
                </c:pt>
                <c:pt idx="414">
                  <c:v>-17.376267011075722</c:v>
                </c:pt>
                <c:pt idx="415">
                  <c:v>-17.484815504629236</c:v>
                </c:pt>
                <c:pt idx="416">
                  <c:v>-17.592832079562285</c:v>
                </c:pt>
                <c:pt idx="417">
                  <c:v>-17.702862734115222</c:v>
                </c:pt>
                <c:pt idx="418">
                  <c:v>-17.812348992415778</c:v>
                </c:pt>
                <c:pt idx="419">
                  <c:v>-17.92129726719488</c:v>
                </c:pt>
                <c:pt idx="420">
                  <c:v>-18.029713858070149</c:v>
                </c:pt>
                <c:pt idx="421">
                  <c:v>-18.13998698834029</c:v>
                </c:pt>
                <c:pt idx="422">
                  <c:v>-18.249717597167439</c:v>
                </c:pt>
                <c:pt idx="423">
                  <c:v>-18.358912061899183</c:v>
                </c:pt>
                <c:pt idx="424">
                  <c:v>-18.467576647302643</c:v>
                </c:pt>
                <c:pt idx="425">
                  <c:v>-18.578371904156995</c:v>
                </c:pt>
                <c:pt idx="426">
                  <c:v>-18.688623848313252</c:v>
                </c:pt>
                <c:pt idx="427">
                  <c:v>-18.798338867290457</c:v>
                </c:pt>
                <c:pt idx="428">
                  <c:v>-18.907523235482955</c:v>
                </c:pt>
                <c:pt idx="429">
                  <c:v>-19.018682106705903</c:v>
                </c:pt>
                <c:pt idx="430">
                  <c:v>-19.129298511028903</c:v>
                </c:pt>
                <c:pt idx="431">
                  <c:v>-19.239378815920016</c:v>
                </c:pt>
                <c:pt idx="432">
                  <c:v>-19.348929275883467</c:v>
                </c:pt>
                <c:pt idx="433">
                  <c:v>-19.460406989348655</c:v>
                </c:pt>
                <c:pt idx="434">
                  <c:v>-19.571343584530833</c:v>
                </c:pt>
                <c:pt idx="435">
                  <c:v>-19.681745398543324</c:v>
                </c:pt>
                <c:pt idx="436">
                  <c:v>-19.791618655936368</c:v>
                </c:pt>
                <c:pt idx="437">
                  <c:v>-19.903573898699964</c:v>
                </c:pt>
                <c:pt idx="438">
                  <c:v>-20.01498790075771</c:v>
                </c:pt>
                <c:pt idx="439">
                  <c:v>-20.125866993054494</c:v>
                </c:pt>
                <c:pt idx="440">
                  <c:v>-20.236217393799215</c:v>
                </c:pt>
                <c:pt idx="441">
                  <c:v>-20.348600031959645</c:v>
                </c:pt>
                <c:pt idx="442">
                  <c:v>-20.460441859143458</c:v>
                </c:pt>
                <c:pt idx="443">
                  <c:v>-20.57174918877136</c:v>
                </c:pt>
                <c:pt idx="444">
                  <c:v>-20.68252822162188</c:v>
                </c:pt>
                <c:pt idx="445">
                  <c:v>-20.795291435793235</c:v>
                </c:pt>
                <c:pt idx="446">
                  <c:v>-20.907514773577578</c:v>
                </c:pt>
                <c:pt idx="447">
                  <c:v>-21.019204520326127</c:v>
                </c:pt>
                <c:pt idx="448">
                  <c:v>-21.13036684909201</c:v>
                </c:pt>
                <c:pt idx="449">
                  <c:v>-21.243656093170795</c:v>
                </c:pt>
                <c:pt idx="450">
                  <c:v>-21.356405058012577</c:v>
                </c:pt>
                <c:pt idx="451">
                  <c:v>-21.46862002235607</c:v>
                </c:pt>
                <c:pt idx="452">
                  <c:v>-21.58030715247893</c:v>
                </c:pt>
                <c:pt idx="453">
                  <c:v>-21.693978209366133</c:v>
                </c:pt>
                <c:pt idx="454">
                  <c:v>-21.807110003616547</c:v>
                </c:pt>
                <c:pt idx="455">
                  <c:v>-21.919708780793435</c:v>
                </c:pt>
                <c:pt idx="456">
                  <c:v>-22.031780674471637</c:v>
                </c:pt>
                <c:pt idx="457">
                  <c:v>-22.145972713579457</c:v>
                </c:pt>
                <c:pt idx="458">
                  <c:v>-22.259625225236665</c:v>
                </c:pt>
                <c:pt idx="459">
                  <c:v>-22.372744442088152</c:v>
                </c:pt>
                <c:pt idx="460">
                  <c:v>-22.485336484784892</c:v>
                </c:pt>
                <c:pt idx="461">
                  <c:v>-22.599999197354951</c:v>
                </c:pt>
                <c:pt idx="462">
                  <c:v>-22.714122627170088</c:v>
                </c:pt>
                <c:pt idx="463">
                  <c:v>-22.827712983110402</c:v>
                </c:pt>
                <c:pt idx="464">
                  <c:v>-22.940776362324527</c:v>
                </c:pt>
                <c:pt idx="465">
                  <c:v>-23.0559502644522</c:v>
                </c:pt>
                <c:pt idx="466">
                  <c:v>-23.17058477327063</c:v>
                </c:pt>
                <c:pt idx="467">
                  <c:v>-23.284686077936875</c:v>
                </c:pt>
                <c:pt idx="468">
                  <c:v>-23.39826025605246</c:v>
                </c:pt>
                <c:pt idx="469">
                  <c:v>-23.513896219104822</c:v>
                </c:pt>
                <c:pt idx="470">
                  <c:v>-23.628993153636561</c:v>
                </c:pt>
                <c:pt idx="471">
                  <c:v>-23.743557218826975</c:v>
                </c:pt>
                <c:pt idx="472">
                  <c:v>-23.857594462733708</c:v>
                </c:pt>
                <c:pt idx="473">
                  <c:v>-23.973815343696398</c:v>
                </c:pt>
                <c:pt idx="474">
                  <c:v>-24.089496427637439</c:v>
                </c:pt>
                <c:pt idx="475">
                  <c:v>-24.204643860966115</c:v>
                </c:pt>
                <c:pt idx="476">
                  <c:v>-24.319263679006795</c:v>
                </c:pt>
                <c:pt idx="477">
                  <c:v>-24.436016810789827</c:v>
                </c:pt>
                <c:pt idx="478">
                  <c:v>-24.552229871015943</c:v>
                </c:pt>
                <c:pt idx="479">
                  <c:v>-24.667908982681922</c:v>
                </c:pt>
                <c:pt idx="480">
                  <c:v>-24.783060158009281</c:v>
                </c:pt>
                <c:pt idx="481">
                  <c:v>-24.900295892174551</c:v>
                </c:pt>
                <c:pt idx="482">
                  <c:v>-25.016991728801337</c:v>
                </c:pt>
                <c:pt idx="483">
                  <c:v>-25.133153757721587</c:v>
                </c:pt>
                <c:pt idx="484">
                  <c:v>-25.248787958557365</c:v>
                </c:pt>
                <c:pt idx="485">
                  <c:v>-25.36653945109245</c:v>
                </c:pt>
                <c:pt idx="486">
                  <c:v>-25.48375089426915</c:v>
                </c:pt>
                <c:pt idx="487">
                  <c:v>-25.600428348145691</c:v>
                </c:pt>
                <c:pt idx="488">
                  <c:v>-25.716577763077634</c:v>
                </c:pt>
                <c:pt idx="489">
                  <c:v>-25.834953563775834</c:v>
                </c:pt>
                <c:pt idx="490">
                  <c:v>-25.952788145860918</c:v>
                </c:pt>
                <c:pt idx="491">
                  <c:v>-26.07008755449618</c:v>
                </c:pt>
                <c:pt idx="492">
                  <c:v>-26.186857725317282</c:v>
                </c:pt>
                <c:pt idx="493">
                  <c:v>-26.305803511808442</c:v>
                </c:pt>
                <c:pt idx="494">
                  <c:v>-26.424207376514204</c:v>
                </c:pt>
                <c:pt idx="495">
                  <c:v>-26.542075339698876</c:v>
                </c:pt>
                <c:pt idx="496">
                  <c:v>-26.659413312544082</c:v>
                </c:pt>
                <c:pt idx="497">
                  <c:v>-26.778953357971371</c:v>
                </c:pt>
                <c:pt idx="498">
                  <c:v>-26.897950516096717</c:v>
                </c:pt>
                <c:pt idx="499">
                  <c:v>-27.016410784508817</c:v>
                </c:pt>
                <c:pt idx="500">
                  <c:v>-27.134340052136864</c:v>
                </c:pt>
                <c:pt idx="501">
                  <c:v>-27.25449589732392</c:v>
                </c:pt>
                <c:pt idx="502">
                  <c:v>-27.374107645135179</c:v>
                </c:pt>
                <c:pt idx="503">
                  <c:v>-27.493181272409327</c:v>
                </c:pt>
                <c:pt idx="504">
                  <c:v>-27.611722647736062</c:v>
                </c:pt>
                <c:pt idx="505">
                  <c:v>-27.732440176549066</c:v>
                </c:pt>
                <c:pt idx="506">
                  <c:v>-27.852612826962755</c:v>
                </c:pt>
                <c:pt idx="507">
                  <c:v>-27.972246546010201</c:v>
                </c:pt>
                <c:pt idx="508">
                  <c:v>-28.091347173141521</c:v>
                </c:pt>
                <c:pt idx="509">
                  <c:v>-28.212646705806122</c:v>
                </c:pt>
                <c:pt idx="510">
                  <c:v>-28.333400324482724</c:v>
                </c:pt>
                <c:pt idx="511">
                  <c:v>-28.453613948685135</c:v>
                </c:pt>
                <c:pt idx="512">
                  <c:v>-28.573293390994099</c:v>
                </c:pt>
                <c:pt idx="513">
                  <c:v>-28.695263148258139</c:v>
                </c:pt>
                <c:pt idx="514">
                  <c:v>-28.816685086701913</c:v>
                </c:pt>
                <c:pt idx="515">
                  <c:v>-28.937565110540149</c:v>
                </c:pt>
                <c:pt idx="516">
                  <c:v>-29.057909017452186</c:v>
                </c:pt>
                <c:pt idx="517">
                  <c:v>-29.180491327250561</c:v>
                </c:pt>
                <c:pt idx="518">
                  <c:v>-29.302524346650291</c:v>
                </c:pt>
                <c:pt idx="519">
                  <c:v>-29.424013955774999</c:v>
                </c:pt>
                <c:pt idx="520">
                  <c:v>-29.544965928865345</c:v>
                </c:pt>
                <c:pt idx="521">
                  <c:v>-29.668173792599344</c:v>
                </c:pt>
                <c:pt idx="522">
                  <c:v>-29.790830683468972</c:v>
                </c:pt>
                <c:pt idx="523">
                  <c:v>-29.912942459257476</c:v>
                </c:pt>
                <c:pt idx="524">
                  <c:v>-30.034514872520582</c:v>
                </c:pt>
                <c:pt idx="525">
                  <c:v>-30.158359014428409</c:v>
                </c:pt>
                <c:pt idx="526">
                  <c:v>-30.281650303120891</c:v>
                </c:pt>
                <c:pt idx="527">
                  <c:v>-30.404394575671596</c:v>
                </c:pt>
                <c:pt idx="528">
                  <c:v>-30.526597564588933</c:v>
                </c:pt>
                <c:pt idx="529">
                  <c:v>-30.65108651852605</c:v>
                </c:pt>
                <c:pt idx="530">
                  <c:v>-30.775020553266835</c:v>
                </c:pt>
                <c:pt idx="531">
                  <c:v>-30.898405486713383</c:v>
                </c:pt>
                <c:pt idx="532">
                  <c:v>-31.021247032876168</c:v>
                </c:pt>
                <c:pt idx="533">
                  <c:v>-31.146451685639672</c:v>
                </c:pt>
                <c:pt idx="534">
                  <c:v>-31.271098606827469</c:v>
                </c:pt>
                <c:pt idx="535">
                  <c:v>-31.395193605548034</c:v>
                </c:pt>
                <c:pt idx="536">
                  <c:v>-31.518742387493557</c:v>
                </c:pt>
                <c:pt idx="537">
                  <c:v>-31.644537079577717</c:v>
                </c:pt>
                <c:pt idx="538">
                  <c:v>-31.769772221485468</c:v>
                </c:pt>
                <c:pt idx="539">
                  <c:v>-31.894453596930575</c:v>
                </c:pt>
                <c:pt idx="540">
                  <c:v>-32.018586887127675</c:v>
                </c:pt>
                <c:pt idx="541">
                  <c:v>-32.145101893848164</c:v>
                </c:pt>
                <c:pt idx="542">
                  <c:v>-32.271054243641274</c:v>
                </c:pt>
                <c:pt idx="543">
                  <c:v>-32.396449713805431</c:v>
                </c:pt>
                <c:pt idx="544">
                  <c:v>-32.521293979657209</c:v>
                </c:pt>
                <c:pt idx="545">
                  <c:v>-32.648465463682449</c:v>
                </c:pt>
                <c:pt idx="546">
                  <c:v>-32.77507161521028</c:v>
                </c:pt>
                <c:pt idx="547">
                  <c:v>-32.901118197631668</c:v>
                </c:pt>
                <c:pt idx="548">
                  <c:v>-33.026610873098704</c:v>
                </c:pt>
                <c:pt idx="549">
                  <c:v>-33.154437649265638</c:v>
                </c:pt>
                <c:pt idx="550">
                  <c:v>-33.281696285276247</c:v>
                </c:pt>
                <c:pt idx="551">
                  <c:v>-33.408392532008811</c:v>
                </c:pt>
                <c:pt idx="552">
                  <c:v>-33.534532039858547</c:v>
                </c:pt>
                <c:pt idx="553">
                  <c:v>-33.663070175970084</c:v>
                </c:pt>
                <c:pt idx="554">
                  <c:v>-33.791036719342607</c:v>
                </c:pt>
                <c:pt idx="555">
                  <c:v>-33.918437417596941</c:v>
                </c:pt>
                <c:pt idx="556">
                  <c:v>-34.045277918458765</c:v>
                </c:pt>
                <c:pt idx="557">
                  <c:v>-34.303186364379741</c:v>
                </c:pt>
                <c:pt idx="558">
                  <c:v>-34.558817176802407</c:v>
                </c:pt>
                <c:pt idx="559">
                  <c:v>-34.817997531896829</c:v>
                </c:pt>
                <c:pt idx="560">
                  <c:v>-35.074887797747763</c:v>
                </c:pt>
                <c:pt idx="561">
                  <c:v>-35.335547447881353</c:v>
                </c:pt>
                <c:pt idx="562">
                  <c:v>-35.593900267801985</c:v>
                </c:pt>
                <c:pt idx="563">
                  <c:v>-35.85546208315882</c:v>
                </c:pt>
                <c:pt idx="564">
                  <c:v>-36.114709844667132</c:v>
                </c:pt>
                <c:pt idx="565">
                  <c:v>-36.378137622206026</c:v>
                </c:pt>
                <c:pt idx="566">
                  <c:v>-36.639226468785665</c:v>
                </c:pt>
                <c:pt idx="567">
                  <c:v>-36.904356538347486</c:v>
                </c:pt>
                <c:pt idx="568">
                  <c:v>-37.167124997114534</c:v>
                </c:pt>
                <c:pt idx="569">
                  <c:v>-37.43276267113751</c:v>
                </c:pt>
                <c:pt idx="570">
                  <c:v>-37.696036550011016</c:v>
                </c:pt>
                <c:pt idx="571">
                  <c:v>-37.964122587415787</c:v>
                </c:pt>
                <c:pt idx="572">
                  <c:v>-38.229807502777724</c:v>
                </c:pt>
                <c:pt idx="573">
                  <c:v>-38.498139481503216</c:v>
                </c:pt>
                <c:pt idx="574">
                  <c:v>-38.764071521453275</c:v>
                </c:pt>
                <c:pt idx="575">
                  <c:v>-39.034527622023091</c:v>
                </c:pt>
                <c:pt idx="576">
                  <c:v>-39.30255078009273</c:v>
                </c:pt>
                <c:pt idx="577">
                  <c:v>-40.411316899509025</c:v>
                </c:pt>
                <c:pt idx="578">
                  <c:v>-41.480448073208784</c:v>
                </c:pt>
                <c:pt idx="579">
                  <c:v>-43.697972934281722</c:v>
                </c:pt>
                <c:pt idx="580">
                  <c:v>-45.956835104211834</c:v>
                </c:pt>
                <c:pt idx="581">
                  <c:v>-48.251296528392615</c:v>
                </c:pt>
                <c:pt idx="582">
                  <c:v>-50.579799757122821</c:v>
                </c:pt>
                <c:pt idx="583">
                  <c:v>-52.937165478813043</c:v>
                </c:pt>
                <c:pt idx="584">
                  <c:v>-55.321382345101291</c:v>
                </c:pt>
                <c:pt idx="585">
                  <c:v>-57.727089878163426</c:v>
                </c:pt>
                <c:pt idx="586">
                  <c:v>-60.150552875480159</c:v>
                </c:pt>
                <c:pt idx="587">
                  <c:v>-62.589056579616638</c:v>
                </c:pt>
                <c:pt idx="588">
                  <c:v>-65.036454168981649</c:v>
                </c:pt>
                <c:pt idx="589">
                  <c:v>-67.491219150015667</c:v>
                </c:pt>
                <c:pt idx="590">
                  <c:v>-69.949360402793872</c:v>
                </c:pt>
                <c:pt idx="591">
                  <c:v>-72.408520009815135</c:v>
                </c:pt>
                <c:pt idx="592">
                  <c:v>-74.866313563571921</c:v>
                </c:pt>
                <c:pt idx="593">
                  <c:v>-77.32193031751298</c:v>
                </c:pt>
                <c:pt idx="594">
                  <c:v>-79.773655706305107</c:v>
                </c:pt>
                <c:pt idx="595">
                  <c:v>-82.221331930393404</c:v>
                </c:pt>
                <c:pt idx="596">
                  <c:v>-84.66414809200694</c:v>
                </c:pt>
                <c:pt idx="597">
                  <c:v>-87.102573983728888</c:v>
                </c:pt>
                <c:pt idx="598">
                  <c:v>-89.536143838430448</c:v>
                </c:pt>
                <c:pt idx="599">
                  <c:v>-91.965742698518952</c:v>
                </c:pt>
                <c:pt idx="600">
                  <c:v>-94.391337517030891</c:v>
                </c:pt>
                <c:pt idx="604">
                  <c:v>7.680819573435195E-2</c:v>
                </c:pt>
              </c:numCache>
            </c:numRef>
          </c:yVal>
          <c:smooth val="1"/>
          <c:extLst>
            <c:ext xmlns:c16="http://schemas.microsoft.com/office/drawing/2014/chart" uri="{C3380CC4-5D6E-409C-BE32-E72D297353CC}">
              <c16:uniqueId val="{00000000-4362-43AB-BDC1-536058DC7619}"/>
            </c:ext>
          </c:extLst>
        </c:ser>
        <c:ser>
          <c:idx val="6"/>
          <c:order val="1"/>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66.121401018675698</c:v>
                </c:pt>
                <c:pt idx="1">
                  <c:v>65.34242387754837</c:v>
                </c:pt>
                <c:pt idx="2">
                  <c:v>64.561298008105666</c:v>
                </c:pt>
                <c:pt idx="3">
                  <c:v>63.778607370811557</c:v>
                </c:pt>
                <c:pt idx="4">
                  <c:v>62.995405638631574</c:v>
                </c:pt>
                <c:pt idx="5">
                  <c:v>62.210903360062851</c:v>
                </c:pt>
                <c:pt idx="6">
                  <c:v>61.426716569785036</c:v>
                </c:pt>
                <c:pt idx="7">
                  <c:v>60.642834400344341</c:v>
                </c:pt>
                <c:pt idx="8">
                  <c:v>59.86035212017444</c:v>
                </c:pt>
                <c:pt idx="9">
                  <c:v>59.079235132267023</c:v>
                </c:pt>
                <c:pt idx="10">
                  <c:v>58.3005404273908</c:v>
                </c:pt>
                <c:pt idx="11">
                  <c:v>57.524829979075761</c:v>
                </c:pt>
                <c:pt idx="12">
                  <c:v>56.752453494708526</c:v>
                </c:pt>
                <c:pt idx="13">
                  <c:v>55.985013194702631</c:v>
                </c:pt>
                <c:pt idx="14">
                  <c:v>55.222877375340211</c:v>
                </c:pt>
                <c:pt idx="15">
                  <c:v>54.467464096197098</c:v>
                </c:pt>
                <c:pt idx="16">
                  <c:v>53.719994539479295</c:v>
                </c:pt>
                <c:pt idx="17">
                  <c:v>52.982032862249454</c:v>
                </c:pt>
                <c:pt idx="18">
                  <c:v>52.255015873193841</c:v>
                </c:pt>
                <c:pt idx="19">
                  <c:v>51.540990319497311</c:v>
                </c:pt>
                <c:pt idx="20">
                  <c:v>50.841865446152468</c:v>
                </c:pt>
                <c:pt idx="21">
                  <c:v>50.160026405157119</c:v>
                </c:pt>
                <c:pt idx="22">
                  <c:v>49.497738192409358</c:v>
                </c:pt>
                <c:pt idx="23">
                  <c:v>48.857700361429806</c:v>
                </c:pt>
                <c:pt idx="24">
                  <c:v>48.242352321242436</c:v>
                </c:pt>
                <c:pt idx="25">
                  <c:v>47.654381158363591</c:v>
                </c:pt>
                <c:pt idx="26">
                  <c:v>47.096134085584076</c:v>
                </c:pt>
                <c:pt idx="27">
                  <c:v>46.570046707184616</c:v>
                </c:pt>
                <c:pt idx="28">
                  <c:v>46.078004746213843</c:v>
                </c:pt>
                <c:pt idx="29">
                  <c:v>45.621741004008868</c:v>
                </c:pt>
                <c:pt idx="30">
                  <c:v>45.201431284450706</c:v>
                </c:pt>
                <c:pt idx="31">
                  <c:v>44.818029503137225</c:v>
                </c:pt>
                <c:pt idx="32">
                  <c:v>44.470983170839553</c:v>
                </c:pt>
                <c:pt idx="33">
                  <c:v>44.15964441564212</c:v>
                </c:pt>
                <c:pt idx="34">
                  <c:v>43.882336360580865</c:v>
                </c:pt>
                <c:pt idx="35">
                  <c:v>43.637332418839385</c:v>
                </c:pt>
                <c:pt idx="36">
                  <c:v>43.422342683110706</c:v>
                </c:pt>
                <c:pt idx="37">
                  <c:v>43.234793892117551</c:v>
                </c:pt>
                <c:pt idx="38">
                  <c:v>43.0722655531046</c:v>
                </c:pt>
                <c:pt idx="39">
                  <c:v>42.931995959343709</c:v>
                </c:pt>
                <c:pt idx="40">
                  <c:v>42.811478468662827</c:v>
                </c:pt>
                <c:pt idx="41">
                  <c:v>42.708250862794664</c:v>
                </c:pt>
                <c:pt idx="42">
                  <c:v>42.620034610445273</c:v>
                </c:pt>
                <c:pt idx="43">
                  <c:v>42.544698617546146</c:v>
                </c:pt>
                <c:pt idx="44">
                  <c:v>42.480352314350966</c:v>
                </c:pt>
                <c:pt idx="45">
                  <c:v>42.425262940045421</c:v>
                </c:pt>
                <c:pt idx="46">
                  <c:v>42.37790435598523</c:v>
                </c:pt>
                <c:pt idx="47">
                  <c:v>42.336895470550317</c:v>
                </c:pt>
                <c:pt idx="48">
                  <c:v>42.301022271069009</c:v>
                </c:pt>
                <c:pt idx="49">
                  <c:v>42.269176570530163</c:v>
                </c:pt>
                <c:pt idx="50">
                  <c:v>42.24036724139647</c:v>
                </c:pt>
                <c:pt idx="51">
                  <c:v>42.213670512564001</c:v>
                </c:pt>
                <c:pt idx="52">
                  <c:v>42.188233159254054</c:v>
                </c:pt>
                <c:pt idx="53">
                  <c:v>42.163224357515475</c:v>
                </c:pt>
                <c:pt idx="54">
                  <c:v>42.13783964486889</c:v>
                </c:pt>
                <c:pt idx="55">
                  <c:v>42.111200341915939</c:v>
                </c:pt>
                <c:pt idx="56">
                  <c:v>42.082467433323323</c:v>
                </c:pt>
                <c:pt idx="57">
                  <c:v>42.050680833694628</c:v>
                </c:pt>
                <c:pt idx="58">
                  <c:v>42.014831117742048</c:v>
                </c:pt>
                <c:pt idx="59">
                  <c:v>41.973736729546388</c:v>
                </c:pt>
                <c:pt idx="60">
                  <c:v>41.926113589089205</c:v>
                </c:pt>
                <c:pt idx="61">
                  <c:v>41.870466302355595</c:v>
                </c:pt>
                <c:pt idx="62">
                  <c:v>41.805048182788653</c:v>
                </c:pt>
                <c:pt idx="63">
                  <c:v>41.727954925291861</c:v>
                </c:pt>
                <c:pt idx="64">
                  <c:v>41.636867440516163</c:v>
                </c:pt>
                <c:pt idx="65">
                  <c:v>41.529227298111884</c:v>
                </c:pt>
                <c:pt idx="66">
                  <c:v>41.40207933277226</c:v>
                </c:pt>
                <c:pt idx="67">
                  <c:v>41.252114055145547</c:v>
                </c:pt>
                <c:pt idx="68">
                  <c:v>41.075558110726348</c:v>
                </c:pt>
                <c:pt idx="69">
                  <c:v>40.868334874947394</c:v>
                </c:pt>
                <c:pt idx="70">
                  <c:v>40.625913592240217</c:v>
                </c:pt>
                <c:pt idx="71">
                  <c:v>40.343542300562873</c:v>
                </c:pt>
                <c:pt idx="72">
                  <c:v>40.016133575773082</c:v>
                </c:pt>
                <c:pt idx="73">
                  <c:v>39.638645582781372</c:v>
                </c:pt>
                <c:pt idx="74">
                  <c:v>39.20592154687381</c:v>
                </c:pt>
                <c:pt idx="75">
                  <c:v>38.713216522311029</c:v>
                </c:pt>
                <c:pt idx="76">
                  <c:v>38.15606562174397</c:v>
                </c:pt>
                <c:pt idx="77">
                  <c:v>37.530993237599446</c:v>
                </c:pt>
                <c:pt idx="78">
                  <c:v>36.835242095928692</c:v>
                </c:pt>
                <c:pt idx="79">
                  <c:v>36.067630659853023</c:v>
                </c:pt>
                <c:pt idx="80">
                  <c:v>35.226290283074469</c:v>
                </c:pt>
                <c:pt idx="81">
                  <c:v>34.312986347860281</c:v>
                </c:pt>
                <c:pt idx="82">
                  <c:v>33.328918631115812</c:v>
                </c:pt>
                <c:pt idx="83">
                  <c:v>32.277646709980004</c:v>
                </c:pt>
                <c:pt idx="84">
                  <c:v>31.162080774126789</c:v>
                </c:pt>
                <c:pt idx="85">
                  <c:v>29.987210522636087</c:v>
                </c:pt>
                <c:pt idx="86">
                  <c:v>28.757697040832738</c:v>
                </c:pt>
                <c:pt idx="87">
                  <c:v>27.477892922476567</c:v>
                </c:pt>
                <c:pt idx="88">
                  <c:v>26.154100083781987</c:v>
                </c:pt>
                <c:pt idx="89">
                  <c:v>24.790223979890698</c:v>
                </c:pt>
                <c:pt idx="90">
                  <c:v>23.391479822701505</c:v>
                </c:pt>
                <c:pt idx="91">
                  <c:v>21.962131523210143</c:v>
                </c:pt>
                <c:pt idx="92">
                  <c:v>20.506374929079119</c:v>
                </c:pt>
                <c:pt idx="93">
                  <c:v>19.027362375691318</c:v>
                </c:pt>
                <c:pt idx="94">
                  <c:v>18.654544647801877</c:v>
                </c:pt>
                <c:pt idx="95">
                  <c:v>18.466527884195656</c:v>
                </c:pt>
                <c:pt idx="96">
                  <c:v>18.28037222730617</c:v>
                </c:pt>
                <c:pt idx="97">
                  <c:v>18.091792488429746</c:v>
                </c:pt>
                <c:pt idx="98">
                  <c:v>17.905090828808685</c:v>
                </c:pt>
                <c:pt idx="99">
                  <c:v>17.715922190227282</c:v>
                </c:pt>
                <c:pt idx="100">
                  <c:v>17.528648914433319</c:v>
                </c:pt>
                <c:pt idx="101">
                  <c:v>17.339011436334278</c:v>
                </c:pt>
                <c:pt idx="102">
                  <c:v>17.151284003371082</c:v>
                </c:pt>
                <c:pt idx="103">
                  <c:v>16.96101535810843</c:v>
                </c:pt>
                <c:pt idx="104">
                  <c:v>16.772674498854247</c:v>
                </c:pt>
                <c:pt idx="105">
                  <c:v>16.58189873404211</c:v>
                </c:pt>
                <c:pt idx="106">
                  <c:v>16.393065810999154</c:v>
                </c:pt>
                <c:pt idx="107">
                  <c:v>16.201900291132439</c:v>
                </c:pt>
                <c:pt idx="108">
                  <c:v>16.012690084696729</c:v>
                </c:pt>
                <c:pt idx="109">
                  <c:v>15.821115904336374</c:v>
                </c:pt>
                <c:pt idx="110">
                  <c:v>15.63150968423005</c:v>
                </c:pt>
                <c:pt idx="111">
                  <c:v>15.439385122885994</c:v>
                </c:pt>
                <c:pt idx="112">
                  <c:v>15.249243878707583</c:v>
                </c:pt>
                <c:pt idx="113">
                  <c:v>15.056690601267977</c:v>
                </c:pt>
                <c:pt idx="114">
                  <c:v>14.866133319556782</c:v>
                </c:pt>
                <c:pt idx="115">
                  <c:v>14.673144277072222</c:v>
                </c:pt>
                <c:pt idx="116">
                  <c:v>14.4821638681486</c:v>
                </c:pt>
                <c:pt idx="117">
                  <c:v>14.288735484929134</c:v>
                </c:pt>
                <c:pt idx="118">
                  <c:v>14.097328266843409</c:v>
                </c:pt>
                <c:pt idx="119">
                  <c:v>13.903577066492582</c:v>
                </c:pt>
                <c:pt idx="120">
                  <c:v>13.711856955337806</c:v>
                </c:pt>
                <c:pt idx="121">
                  <c:v>13.517778236067457</c:v>
                </c:pt>
                <c:pt idx="122">
                  <c:v>13.325740438642979</c:v>
                </c:pt>
                <c:pt idx="123">
                  <c:v>13.131220467609259</c:v>
                </c:pt>
                <c:pt idx="124">
                  <c:v>12.938753454656366</c:v>
                </c:pt>
                <c:pt idx="125">
                  <c:v>12.743910061116399</c:v>
                </c:pt>
                <c:pt idx="126">
                  <c:v>12.551129015464733</c:v>
                </c:pt>
                <c:pt idx="127">
                  <c:v>12.355965704525651</c:v>
                </c:pt>
                <c:pt idx="128">
                  <c:v>12.162873879652036</c:v>
                </c:pt>
                <c:pt idx="129">
                  <c:v>11.967396499291983</c:v>
                </c:pt>
                <c:pt idx="130">
                  <c:v>11.773999444704428</c:v>
                </c:pt>
                <c:pt idx="131">
                  <c:v>11.578215980859227</c:v>
                </c:pt>
                <c:pt idx="132">
                  <c:v>11.481110287673008</c:v>
                </c:pt>
                <c:pt idx="133">
                  <c:v>11.38452134068408</c:v>
                </c:pt>
                <c:pt idx="134">
                  <c:v>11.286166025413154</c:v>
                </c:pt>
                <c:pt idx="135">
                  <c:v>11.188341037507524</c:v>
                </c:pt>
                <c:pt idx="136">
                  <c:v>11.091040799326651</c:v>
                </c:pt>
                <c:pt idx="137">
                  <c:v>10.994259817169761</c:v>
                </c:pt>
                <c:pt idx="138">
                  <c:v>10.895812971745416</c:v>
                </c:pt>
                <c:pt idx="139">
                  <c:v>10.79789786764815</c:v>
                </c:pt>
                <c:pt idx="140">
                  <c:v>10.700508890535357</c:v>
                </c:pt>
                <c:pt idx="141">
                  <c:v>10.6036405110515</c:v>
                </c:pt>
                <c:pt idx="142">
                  <c:v>10.505008627320041</c:v>
                </c:pt>
                <c:pt idx="143">
                  <c:v>10.406910863295867</c:v>
                </c:pt>
                <c:pt idx="144">
                  <c:v>10.309341553057344</c:v>
                </c:pt>
                <c:pt idx="145">
                  <c:v>10.212295117007571</c:v>
                </c:pt>
                <c:pt idx="146">
                  <c:v>10.11353613723352</c:v>
                </c:pt>
                <c:pt idx="147">
                  <c:v>10.015312988134795</c:v>
                </c:pt>
                <c:pt idx="148">
                  <c:v>9.9176199631067714</c:v>
                </c:pt>
                <c:pt idx="149">
                  <c:v>9.8204514429794472</c:v>
                </c:pt>
                <c:pt idx="150">
                  <c:v>9.7215733174231644</c:v>
                </c:pt>
                <c:pt idx="151">
                  <c:v>9.6232326046147634</c:v>
                </c:pt>
                <c:pt idx="152">
                  <c:v>9.5254235596558505</c:v>
                </c:pt>
                <c:pt idx="153">
                  <c:v>9.4281405261348254</c:v>
                </c:pt>
                <c:pt idx="154">
                  <c:v>9.329106320788668</c:v>
                </c:pt>
                <c:pt idx="155">
                  <c:v>9.2306114687796885</c:v>
                </c:pt>
                <c:pt idx="156">
                  <c:v>9.1326501814755261</c:v>
                </c:pt>
                <c:pt idx="157">
                  <c:v>9.0352167598869997</c:v>
                </c:pt>
                <c:pt idx="158">
                  <c:v>8.9360383724502146</c:v>
                </c:pt>
                <c:pt idx="159">
                  <c:v>8.8374011086081232</c:v>
                </c:pt>
                <c:pt idx="160">
                  <c:v>8.7392991389835224</c:v>
                </c:pt>
                <c:pt idx="161">
                  <c:v>8.6417267249301926</c:v>
                </c:pt>
                <c:pt idx="162">
                  <c:v>8.5424598318598122</c:v>
                </c:pt>
                <c:pt idx="163">
                  <c:v>8.4437351846156616</c:v>
                </c:pt>
                <c:pt idx="164">
                  <c:v>8.3455469237981674</c:v>
                </c:pt>
                <c:pt idx="165">
                  <c:v>8.2478892815968408</c:v>
                </c:pt>
                <c:pt idx="166">
                  <c:v>8.1484583546200842</c:v>
                </c:pt>
                <c:pt idx="167">
                  <c:v>8.0495715769410623</c:v>
                </c:pt>
                <c:pt idx="168">
                  <c:v>7.9512230467566702</c:v>
                </c:pt>
                <c:pt idx="169">
                  <c:v>7.8534069549620158</c:v>
                </c:pt>
                <c:pt idx="170">
                  <c:v>7.7540355595642074</c:v>
                </c:pt>
                <c:pt idx="171">
                  <c:v>7.6552077346404976</c:v>
                </c:pt>
                <c:pt idx="172">
                  <c:v>7.5569175765467609</c:v>
                </c:pt>
                <c:pt idx="173">
                  <c:v>7.4591592745897897</c:v>
                </c:pt>
                <c:pt idx="174">
                  <c:v>7.3594826279343213</c:v>
                </c:pt>
                <c:pt idx="175">
                  <c:v>7.2603529145731693</c:v>
                </c:pt>
                <c:pt idx="176">
                  <c:v>7.1617641651439312</c:v>
                </c:pt>
                <c:pt idx="177">
                  <c:v>7.0637105048203965</c:v>
                </c:pt>
                <c:pt idx="178">
                  <c:v>6.9637946308653991</c:v>
                </c:pt>
                <c:pt idx="179">
                  <c:v>6.8644282951120204</c:v>
                </c:pt>
                <c:pt idx="180">
                  <c:v>6.7656054748314842</c:v>
                </c:pt>
                <c:pt idx="181">
                  <c:v>6.6673202431551557</c:v>
                </c:pt>
                <c:pt idx="182">
                  <c:v>6.5676170819027959</c:v>
                </c:pt>
                <c:pt idx="183">
                  <c:v>6.4684610680508268</c:v>
                </c:pt>
                <c:pt idx="184">
                  <c:v>6.3698462075934517</c:v>
                </c:pt>
                <c:pt idx="185">
                  <c:v>6.2717666019657194</c:v>
                </c:pt>
                <c:pt idx="186">
                  <c:v>6.1715460104352182</c:v>
                </c:pt>
                <c:pt idx="187">
                  <c:v>6.0718781401111404</c:v>
                </c:pt>
                <c:pt idx="188">
                  <c:v>5.9727568950956531</c:v>
                </c:pt>
                <c:pt idx="189">
                  <c:v>5.8741762772779307</c:v>
                </c:pt>
                <c:pt idx="190">
                  <c:v>5.7742644410150392</c:v>
                </c:pt>
                <c:pt idx="191">
                  <c:v>5.674901787382824</c:v>
                </c:pt>
                <c:pt idx="192">
                  <c:v>5.5760822687749512</c:v>
                </c:pt>
                <c:pt idx="193">
                  <c:v>5.4777999345150388</c:v>
                </c:pt>
                <c:pt idx="194">
                  <c:v>5.3774932634104449</c:v>
                </c:pt>
                <c:pt idx="195">
                  <c:v>5.2777399196745804</c:v>
                </c:pt>
                <c:pt idx="196">
                  <c:v>5.1785337774258426</c:v>
                </c:pt>
                <c:pt idx="197">
                  <c:v>5.0798688095515168</c:v>
                </c:pt>
                <c:pt idx="198">
                  <c:v>4.9795962040495096</c:v>
                </c:pt>
                <c:pt idx="199">
                  <c:v>4.8798763143859638</c:v>
                </c:pt>
                <c:pt idx="200">
                  <c:v>4.7807030151325121</c:v>
                </c:pt>
                <c:pt idx="201">
                  <c:v>4.682070279778646</c:v>
                </c:pt>
                <c:pt idx="202">
                  <c:v>4.5818758842603833</c:v>
                </c:pt>
                <c:pt idx="203">
                  <c:v>4.4822330647193755</c:v>
                </c:pt>
                <c:pt idx="204">
                  <c:v>4.3831357051645341</c:v>
                </c:pt>
                <c:pt idx="205">
                  <c:v>4.2845777884713172</c:v>
                </c:pt>
                <c:pt idx="206">
                  <c:v>4.184160835284799</c:v>
                </c:pt>
                <c:pt idx="207">
                  <c:v>4.0842975784476661</c:v>
                </c:pt>
                <c:pt idx="208">
                  <c:v>3.9849818574285099</c:v>
                </c:pt>
                <c:pt idx="209">
                  <c:v>3.8862076116673165</c:v>
                </c:pt>
                <c:pt idx="210">
                  <c:v>3.7852940467687768</c:v>
                </c:pt>
                <c:pt idx="211">
                  <c:v>3.6849392777842302</c:v>
                </c:pt>
                <c:pt idx="212">
                  <c:v>3.5851370497740214</c:v>
                </c:pt>
                <c:pt idx="213">
                  <c:v>3.4858812099554233</c:v>
                </c:pt>
                <c:pt idx="214">
                  <c:v>3.3852034064359326</c:v>
                </c:pt>
                <c:pt idx="215">
                  <c:v>3.2850813777615908</c:v>
                </c:pt>
                <c:pt idx="216">
                  <c:v>3.1855089103549119</c:v>
                </c:pt>
                <c:pt idx="217">
                  <c:v>3.0864798920322309</c:v>
                </c:pt>
                <c:pt idx="218">
                  <c:v>2.985748793572589</c:v>
                </c:pt>
                <c:pt idx="219">
                  <c:v>2.8855735909099374</c:v>
                </c:pt>
                <c:pt idx="220">
                  <c:v>2.7859480594151331</c:v>
                </c:pt>
                <c:pt idx="221">
                  <c:v>2.6868660762237182</c:v>
                </c:pt>
                <c:pt idx="222">
                  <c:v>2.5861308464724586</c:v>
                </c:pt>
                <c:pt idx="223">
                  <c:v>2.4859510454711926</c:v>
                </c:pt>
                <c:pt idx="224">
                  <c:v>2.3863204474923152</c:v>
                </c:pt>
                <c:pt idx="225">
                  <c:v>2.2872329287212252</c:v>
                </c:pt>
                <c:pt idx="226">
                  <c:v>2.1862331865218834</c:v>
                </c:pt>
                <c:pt idx="227">
                  <c:v>2.0857912231167823</c:v>
                </c:pt>
                <c:pt idx="228">
                  <c:v>1.9859007644371909</c:v>
                </c:pt>
                <c:pt idx="229">
                  <c:v>1.8865556395010548</c:v>
                </c:pt>
                <c:pt idx="230">
                  <c:v>1.684711491586852</c:v>
                </c:pt>
                <c:pt idx="231">
                  <c:v>1.5846221956257367</c:v>
                </c:pt>
                <c:pt idx="232">
                  <c:v>1.4850797754960021</c:v>
                </c:pt>
                <c:pt idx="233">
                  <c:v>1.3837344609211253</c:v>
                </c:pt>
                <c:pt idx="234">
                  <c:v>1.282949456123808</c:v>
                </c:pt>
                <c:pt idx="235">
                  <c:v>1.1827184266258171</c:v>
                </c:pt>
                <c:pt idx="236">
                  <c:v>1.0830351425913742</c:v>
                </c:pt>
                <c:pt idx="237">
                  <c:v>0.98188747050558889</c:v>
                </c:pt>
                <c:pt idx="238">
                  <c:v>0.88129721785141557</c:v>
                </c:pt>
                <c:pt idx="239">
                  <c:v>0.78125809020652737</c:v>
                </c:pt>
                <c:pt idx="240">
                  <c:v>0.68176389702125251</c:v>
                </c:pt>
                <c:pt idx="241">
                  <c:v>0.58028545259852127</c:v>
                </c:pt>
                <c:pt idx="242">
                  <c:v>0.47936730161217778</c:v>
                </c:pt>
                <c:pt idx="243">
                  <c:v>0.37900309224087392</c:v>
                </c:pt>
                <c:pt idx="244">
                  <c:v>0.27918657790392942</c:v>
                </c:pt>
                <c:pt idx="245">
                  <c:v>0.17771770302441531</c:v>
                </c:pt>
                <c:pt idx="246">
                  <c:v>7.680819573435195E-2</c:v>
                </c:pt>
                <c:pt idx="247">
                  <c:v>-2.354828886673848E-2</c:v>
                </c:pt>
                <c:pt idx="248">
                  <c:v>-0.12335799048719201</c:v>
                </c:pt>
                <c:pt idx="249">
                  <c:v>-0.2250415394359665</c:v>
                </c:pt>
                <c:pt idx="250">
                  <c:v>-0.32616423452799126</c:v>
                </c:pt>
                <c:pt idx="251">
                  <c:v>-0.4267324547031856</c:v>
                </c:pt>
                <c:pt idx="252">
                  <c:v>-0.52675247285481031</c:v>
                </c:pt>
                <c:pt idx="253">
                  <c:v>-0.62832999949384838</c:v>
                </c:pt>
                <c:pt idx="254">
                  <c:v>-0.72934876694258677</c:v>
                </c:pt>
                <c:pt idx="255">
                  <c:v>-0.82981512730689699</c:v>
                </c:pt>
                <c:pt idx="256">
                  <c:v>-0.92973532714186513</c:v>
                </c:pt>
                <c:pt idx="257">
                  <c:v>-1.0316830040640712</c:v>
                </c:pt>
                <c:pt idx="258">
                  <c:v>-1.1330688434874927</c:v>
                </c:pt>
                <c:pt idx="259">
                  <c:v>-1.2338992587927957</c:v>
                </c:pt>
                <c:pt idx="260">
                  <c:v>-1.3341805563552132</c:v>
                </c:pt>
                <c:pt idx="261">
                  <c:v>-1.4361794575589062</c:v>
                </c:pt>
                <c:pt idx="262">
                  <c:v>-1.5376170073937292</c:v>
                </c:pt>
                <c:pt idx="263">
                  <c:v>-1.6384996198341475</c:v>
                </c:pt>
                <c:pt idx="264">
                  <c:v>-1.7388336017405248</c:v>
                </c:pt>
                <c:pt idx="265">
                  <c:v>-1.8408366312578541</c:v>
                </c:pt>
                <c:pt idx="266">
                  <c:v>-1.94227937030811</c:v>
                </c:pt>
                <c:pt idx="267">
                  <c:v>-2.0431682236436877</c:v>
                </c:pt>
                <c:pt idx="268">
                  <c:v>-2.1435094890136126</c:v>
                </c:pt>
                <c:pt idx="269">
                  <c:v>-2.2457133389160004</c:v>
                </c:pt>
                <c:pt idx="270">
                  <c:v>-2.3473558648179913</c:v>
                </c:pt>
                <c:pt idx="271">
                  <c:v>-2.4484434981203491</c:v>
                </c:pt>
                <c:pt idx="272">
                  <c:v>-2.548982562534472</c:v>
                </c:pt>
                <c:pt idx="273">
                  <c:v>-2.6513311930240873</c:v>
                </c:pt>
                <c:pt idx="274">
                  <c:v>-2.7531181454095326</c:v>
                </c:pt>
                <c:pt idx="275">
                  <c:v>-2.854349866198183</c:v>
                </c:pt>
                <c:pt idx="276">
                  <c:v>-2.9550326937784299</c:v>
                </c:pt>
                <c:pt idx="277">
                  <c:v>-3.0572438007357023</c:v>
                </c:pt>
                <c:pt idx="278">
                  <c:v>-3.1588960241257178</c:v>
                </c:pt>
                <c:pt idx="279">
                  <c:v>-3.2599957715645895</c:v>
                </c:pt>
                <c:pt idx="280">
                  <c:v>-3.3605493433248865</c:v>
                </c:pt>
                <c:pt idx="281">
                  <c:v>-3.4632646523581423</c:v>
                </c:pt>
                <c:pt idx="282">
                  <c:v>-3.5654169300490439</c:v>
                </c:pt>
                <c:pt idx="283">
                  <c:v>-3.6670126644561893</c:v>
                </c:pt>
                <c:pt idx="284">
                  <c:v>-3.7680582344054905</c:v>
                </c:pt>
                <c:pt idx="285">
                  <c:v>-3.8705424136695599</c:v>
                </c:pt>
                <c:pt idx="286">
                  <c:v>-3.972467510440381</c:v>
                </c:pt>
                <c:pt idx="287">
                  <c:v>-4.0738399539996193</c:v>
                </c:pt>
                <c:pt idx="288">
                  <c:v>-4.1746660656179149</c:v>
                </c:pt>
                <c:pt idx="289">
                  <c:v>-4.2775385543527866</c:v>
                </c:pt>
                <c:pt idx="290">
                  <c:v>-4.3798492255384618</c:v>
                </c:pt>
                <c:pt idx="291">
                  <c:v>-4.4816045648459397</c:v>
                </c:pt>
                <c:pt idx="292">
                  <c:v>-4.5828109485803594</c:v>
                </c:pt>
                <c:pt idx="293">
                  <c:v>-4.6857945419277325</c:v>
                </c:pt>
                <c:pt idx="294">
                  <c:v>-4.7882166775390012</c:v>
                </c:pt>
                <c:pt idx="295">
                  <c:v>-4.8900838442381298</c:v>
                </c:pt>
                <c:pt idx="296">
                  <c:v>-4.9914024213182975</c:v>
                </c:pt>
                <c:pt idx="297">
                  <c:v>-5.0944487265959806</c:v>
                </c:pt>
                <c:pt idx="298">
                  <c:v>-5.1969345320485463</c:v>
                </c:pt>
                <c:pt idx="299">
                  <c:v>-5.2988663193544028</c:v>
                </c:pt>
                <c:pt idx="300">
                  <c:v>-5.4002504607268005</c:v>
                </c:pt>
                <c:pt idx="301">
                  <c:v>-5.5033146077676367</c:v>
                </c:pt>
                <c:pt idx="302">
                  <c:v>-5.6058197696871304</c:v>
                </c:pt>
                <c:pt idx="303">
                  <c:v>-5.7077724114100441</c:v>
                </c:pt>
                <c:pt idx="304">
                  <c:v>-5.8091788886742322</c:v>
                </c:pt>
                <c:pt idx="305">
                  <c:v>-5.912614593848728</c:v>
                </c:pt>
                <c:pt idx="306">
                  <c:v>-6.0154890777802086</c:v>
                </c:pt>
                <c:pt idx="307">
                  <c:v>-6.11780885365821</c:v>
                </c:pt>
                <c:pt idx="308">
                  <c:v>-6.2195803243021217</c:v>
                </c:pt>
                <c:pt idx="309">
                  <c:v>-6.3229371863407344</c:v>
                </c:pt>
                <c:pt idx="310">
                  <c:v>-6.425735541428919</c:v>
                </c:pt>
                <c:pt idx="311">
                  <c:v>-6.5279818652390826</c:v>
                </c:pt>
                <c:pt idx="312">
                  <c:v>-6.6296825238173067</c:v>
                </c:pt>
                <c:pt idx="313">
                  <c:v>-6.7333044371543203</c:v>
                </c:pt>
                <c:pt idx="314">
                  <c:v>-6.8363669243262564</c:v>
                </c:pt>
                <c:pt idx="315">
                  <c:v>-6.9388764865565866</c:v>
                </c:pt>
                <c:pt idx="316">
                  <c:v>-7.0408395147631628</c:v>
                </c:pt>
                <c:pt idx="317">
                  <c:v>-7.1446705863532598</c:v>
                </c:pt>
                <c:pt idx="318">
                  <c:v>-7.247942002175396</c:v>
                </c:pt>
                <c:pt idx="319">
                  <c:v>-7.350660277103227</c:v>
                </c:pt>
                <c:pt idx="320">
                  <c:v>-7.4528318152887172</c:v>
                </c:pt>
                <c:pt idx="321">
                  <c:v>-7.5568200460586956</c:v>
                </c:pt>
                <c:pt idx="322">
                  <c:v>-7.6602490372198373</c:v>
                </c:pt>
                <c:pt idx="323">
                  <c:v>-7.7631253060809442</c:v>
                </c:pt>
                <c:pt idx="324">
                  <c:v>-7.8654552590639835</c:v>
                </c:pt>
                <c:pt idx="325">
                  <c:v>-7.9695523744795445</c:v>
                </c:pt>
                <c:pt idx="326">
                  <c:v>-8.0730912689879837</c:v>
                </c:pt>
                <c:pt idx="327">
                  <c:v>-8.176078451816668</c:v>
                </c:pt>
                <c:pt idx="328">
                  <c:v>-8.2785203213736036</c:v>
                </c:pt>
                <c:pt idx="329">
                  <c:v>-8.3828553154389613</c:v>
                </c:pt>
                <c:pt idx="330">
                  <c:v>-8.4866318152222338</c:v>
                </c:pt>
                <c:pt idx="331">
                  <c:v>-8.5898563443892879</c:v>
                </c:pt>
                <c:pt idx="332">
                  <c:v>-8.6925353153410096</c:v>
                </c:pt>
                <c:pt idx="333">
                  <c:v>-8.7968858212426859</c:v>
                </c:pt>
                <c:pt idx="334">
                  <c:v>-8.9006800198118867</c:v>
                </c:pt>
                <c:pt idx="335">
                  <c:v>-9.0039244061373864</c:v>
                </c:pt>
                <c:pt idx="336">
                  <c:v>-9.1066253645681563</c:v>
                </c:pt>
                <c:pt idx="337">
                  <c:v>-9.2112864944630797</c:v>
                </c:pt>
                <c:pt idx="338">
                  <c:v>-9.3153904521872271</c:v>
                </c:pt>
                <c:pt idx="339">
                  <c:v>-9.4189437575052022</c:v>
                </c:pt>
                <c:pt idx="340">
                  <c:v>-9.5219528187528955</c:v>
                </c:pt>
                <c:pt idx="341">
                  <c:v>-9.6268688601469226</c:v>
                </c:pt>
                <c:pt idx="342">
                  <c:v>-9.7312275562934847</c:v>
                </c:pt>
                <c:pt idx="343">
                  <c:v>-9.8350354395019419</c:v>
                </c:pt>
                <c:pt idx="344">
                  <c:v>-9.9382989302338025</c:v>
                </c:pt>
                <c:pt idx="345">
                  <c:v>-10.043258509477056</c:v>
                </c:pt>
                <c:pt idx="346">
                  <c:v>-10.147662901145502</c:v>
                </c:pt>
                <c:pt idx="347">
                  <c:v>-10.251518609129231</c:v>
                </c:pt>
                <c:pt idx="348">
                  <c:v>-10.354832025976874</c:v>
                </c:pt>
                <c:pt idx="349">
                  <c:v>-10.460109557654311</c:v>
                </c:pt>
                <c:pt idx="350">
                  <c:v>-10.564831254889535</c:v>
                </c:pt>
                <c:pt idx="351">
                  <c:v>-10.669003642163062</c:v>
                </c:pt>
                <c:pt idx="352">
                  <c:v>-10.772633131999591</c:v>
                </c:pt>
                <c:pt idx="353">
                  <c:v>-10.878174131260268</c:v>
                </c:pt>
                <c:pt idx="354">
                  <c:v>-10.983159327341976</c:v>
                </c:pt>
                <c:pt idx="355">
                  <c:v>-11.087595253280462</c:v>
                </c:pt>
                <c:pt idx="356">
                  <c:v>-11.1914883298059</c:v>
                </c:pt>
                <c:pt idx="357">
                  <c:v>-11.297092351110008</c:v>
                </c:pt>
                <c:pt idx="358">
                  <c:v>-11.402142799987283</c:v>
                </c:pt>
                <c:pt idx="359">
                  <c:v>-11.506646179149593</c:v>
                </c:pt>
                <c:pt idx="360">
                  <c:v>-11.610608879536279</c:v>
                </c:pt>
                <c:pt idx="361">
                  <c:v>-11.716531728138246</c:v>
                </c:pt>
                <c:pt idx="362">
                  <c:v>-11.821900653388912</c:v>
                </c:pt>
                <c:pt idx="363">
                  <c:v>-11.926722172787168</c:v>
                </c:pt>
                <c:pt idx="364">
                  <c:v>-12.031002691553766</c:v>
                </c:pt>
                <c:pt idx="365">
                  <c:v>-12.137047942059425</c:v>
                </c:pt>
                <c:pt idx="366">
                  <c:v>-12.242541066948762</c:v>
                </c:pt>
                <c:pt idx="367">
                  <c:v>-12.347488560413113</c:v>
                </c:pt>
                <c:pt idx="368">
                  <c:v>-12.451896804724612</c:v>
                </c:pt>
                <c:pt idx="369">
                  <c:v>-12.558305876076668</c:v>
                </c:pt>
                <c:pt idx="370">
                  <c:v>-12.664162210474521</c:v>
                </c:pt>
                <c:pt idx="371">
                  <c:v>-12.769472320853755</c:v>
                </c:pt>
                <c:pt idx="372">
                  <c:v>-12.874242607617267</c:v>
                </c:pt>
                <c:pt idx="373">
                  <c:v>-12.98082342470936</c:v>
                </c:pt>
                <c:pt idx="374">
                  <c:v>-13.086852987715481</c:v>
                </c:pt>
                <c:pt idx="375">
                  <c:v>-13.192337791036653</c:v>
                </c:pt>
                <c:pt idx="376">
                  <c:v>-13.297284216775404</c:v>
                </c:pt>
                <c:pt idx="377">
                  <c:v>-13.404264987569078</c:v>
                </c:pt>
                <c:pt idx="378">
                  <c:v>-13.510693734543828</c:v>
                </c:pt>
                <c:pt idx="379">
                  <c:v>-13.616576972828664</c:v>
                </c:pt>
                <c:pt idx="380">
                  <c:v>-13.721921104575861</c:v>
                </c:pt>
                <c:pt idx="381">
                  <c:v>-13.828982044718416</c:v>
                </c:pt>
                <c:pt idx="382">
                  <c:v>-13.935493582051343</c:v>
                </c:pt>
                <c:pt idx="383">
                  <c:v>-14.041462192113073</c:v>
                </c:pt>
                <c:pt idx="384">
                  <c:v>-14.146894238168269</c:v>
                </c:pt>
                <c:pt idx="385">
                  <c:v>-14.254389087573923</c:v>
                </c:pt>
                <c:pt idx="386">
                  <c:v>-14.361333627994636</c:v>
                </c:pt>
                <c:pt idx="387">
                  <c:v>-14.467734357023289</c:v>
                </c:pt>
                <c:pt idx="388">
                  <c:v>-14.573597659250874</c:v>
                </c:pt>
                <c:pt idx="389">
                  <c:v>-14.681343580934247</c:v>
                </c:pt>
                <c:pt idx="390">
                  <c:v>-14.78854026281356</c:v>
                </c:pt>
                <c:pt idx="391">
                  <c:v>-14.895194189048137</c:v>
                </c:pt>
                <c:pt idx="392">
                  <c:v>-15.001311730876516</c:v>
                </c:pt>
                <c:pt idx="393">
                  <c:v>-15.109264459013554</c:v>
                </c:pt>
                <c:pt idx="394">
                  <c:v>-15.216669559753997</c:v>
                </c:pt>
                <c:pt idx="395">
                  <c:v>-15.323533493526178</c:v>
                </c:pt>
                <c:pt idx="396">
                  <c:v>-15.429862608150156</c:v>
                </c:pt>
                <c:pt idx="397">
                  <c:v>-15.538225188808175</c:v>
                </c:pt>
                <c:pt idx="398">
                  <c:v>-15.646039797033477</c:v>
                </c:pt>
                <c:pt idx="399">
                  <c:v>-15.753312903295972</c:v>
                </c:pt>
                <c:pt idx="400">
                  <c:v>-15.860050864976527</c:v>
                </c:pt>
                <c:pt idx="401">
                  <c:v>-15.968651368444426</c:v>
                </c:pt>
                <c:pt idx="402">
                  <c:v>-16.076705388956263</c:v>
                </c:pt>
                <c:pt idx="403">
                  <c:v>-16.184219373789329</c:v>
                </c:pt>
                <c:pt idx="404">
                  <c:v>-16.291199657414886</c:v>
                </c:pt>
                <c:pt idx="405">
                  <c:v>-16.400113707492793</c:v>
                </c:pt>
                <c:pt idx="406">
                  <c:v>-16.508482094563316</c:v>
                </c:pt>
                <c:pt idx="407">
                  <c:v>-16.616311253602575</c:v>
                </c:pt>
                <c:pt idx="408">
                  <c:v>-16.723607506802654</c:v>
                </c:pt>
                <c:pt idx="409">
                  <c:v>-16.832904623560406</c:v>
                </c:pt>
                <c:pt idx="410">
                  <c:v>-16.941656297719458</c:v>
                </c:pt>
                <c:pt idx="411">
                  <c:v>-17.049868961521558</c:v>
                </c:pt>
                <c:pt idx="412">
                  <c:v>-17.157548934213867</c:v>
                </c:pt>
                <c:pt idx="413">
                  <c:v>-17.267180293665824</c:v>
                </c:pt>
                <c:pt idx="414">
                  <c:v>-17.376267011075722</c:v>
                </c:pt>
                <c:pt idx="415">
                  <c:v>-17.484815504629236</c:v>
                </c:pt>
                <c:pt idx="416">
                  <c:v>-17.592832079562285</c:v>
                </c:pt>
                <c:pt idx="417">
                  <c:v>-17.702862734115222</c:v>
                </c:pt>
                <c:pt idx="418">
                  <c:v>-17.812348992415778</c:v>
                </c:pt>
                <c:pt idx="419">
                  <c:v>-17.92129726719488</c:v>
                </c:pt>
                <c:pt idx="420">
                  <c:v>-18.029713858070149</c:v>
                </c:pt>
                <c:pt idx="421">
                  <c:v>-18.13998698834029</c:v>
                </c:pt>
                <c:pt idx="422">
                  <c:v>-18.249717597167439</c:v>
                </c:pt>
                <c:pt idx="423">
                  <c:v>-18.358912061899183</c:v>
                </c:pt>
                <c:pt idx="424">
                  <c:v>-18.467576647302643</c:v>
                </c:pt>
                <c:pt idx="425">
                  <c:v>-18.578371904156995</c:v>
                </c:pt>
                <c:pt idx="426">
                  <c:v>-18.688623848313252</c:v>
                </c:pt>
                <c:pt idx="427">
                  <c:v>-18.798338867290457</c:v>
                </c:pt>
                <c:pt idx="428">
                  <c:v>-18.907523235482955</c:v>
                </c:pt>
                <c:pt idx="429">
                  <c:v>-19.018682106705903</c:v>
                </c:pt>
                <c:pt idx="430">
                  <c:v>-19.129298511028903</c:v>
                </c:pt>
                <c:pt idx="431">
                  <c:v>-19.239378815920016</c:v>
                </c:pt>
                <c:pt idx="432">
                  <c:v>-19.348929275883467</c:v>
                </c:pt>
                <c:pt idx="433">
                  <c:v>-19.460406989348655</c:v>
                </c:pt>
                <c:pt idx="434">
                  <c:v>-19.571343584530833</c:v>
                </c:pt>
                <c:pt idx="435">
                  <c:v>-19.681745398543324</c:v>
                </c:pt>
                <c:pt idx="436">
                  <c:v>-19.791618655936368</c:v>
                </c:pt>
                <c:pt idx="437">
                  <c:v>-19.903573898699964</c:v>
                </c:pt>
                <c:pt idx="438">
                  <c:v>-20.01498790075771</c:v>
                </c:pt>
                <c:pt idx="439">
                  <c:v>-20.125866993054494</c:v>
                </c:pt>
                <c:pt idx="440">
                  <c:v>-20.236217393799215</c:v>
                </c:pt>
                <c:pt idx="441">
                  <c:v>-20.348600031959645</c:v>
                </c:pt>
                <c:pt idx="442">
                  <c:v>-20.460441859143458</c:v>
                </c:pt>
                <c:pt idx="443">
                  <c:v>-20.57174918877136</c:v>
                </c:pt>
                <c:pt idx="444">
                  <c:v>-20.68252822162188</c:v>
                </c:pt>
                <c:pt idx="445">
                  <c:v>-20.795291435793235</c:v>
                </c:pt>
                <c:pt idx="446">
                  <c:v>-20.907514773577578</c:v>
                </c:pt>
                <c:pt idx="447">
                  <c:v>-21.019204520326127</c:v>
                </c:pt>
                <c:pt idx="448">
                  <c:v>-21.13036684909201</c:v>
                </c:pt>
                <c:pt idx="449">
                  <c:v>-21.243656093170795</c:v>
                </c:pt>
                <c:pt idx="450">
                  <c:v>-21.356405058012577</c:v>
                </c:pt>
                <c:pt idx="451">
                  <c:v>-21.46862002235607</c:v>
                </c:pt>
                <c:pt idx="452">
                  <c:v>-21.58030715247893</c:v>
                </c:pt>
                <c:pt idx="453">
                  <c:v>-21.693978209366133</c:v>
                </c:pt>
                <c:pt idx="454">
                  <c:v>-21.807110003616547</c:v>
                </c:pt>
                <c:pt idx="455">
                  <c:v>-21.919708780793435</c:v>
                </c:pt>
                <c:pt idx="456">
                  <c:v>-22.031780674471637</c:v>
                </c:pt>
                <c:pt idx="457">
                  <c:v>-22.145972713579457</c:v>
                </c:pt>
                <c:pt idx="458">
                  <c:v>-22.259625225236665</c:v>
                </c:pt>
                <c:pt idx="459">
                  <c:v>-22.372744442088152</c:v>
                </c:pt>
                <c:pt idx="460">
                  <c:v>-22.485336484784892</c:v>
                </c:pt>
                <c:pt idx="461">
                  <c:v>-22.599999197354951</c:v>
                </c:pt>
                <c:pt idx="462">
                  <c:v>-22.714122627170088</c:v>
                </c:pt>
                <c:pt idx="463">
                  <c:v>-22.827712983110402</c:v>
                </c:pt>
                <c:pt idx="464">
                  <c:v>-22.940776362324527</c:v>
                </c:pt>
                <c:pt idx="465">
                  <c:v>-23.0559502644522</c:v>
                </c:pt>
                <c:pt idx="466">
                  <c:v>-23.17058477327063</c:v>
                </c:pt>
                <c:pt idx="467">
                  <c:v>-23.284686077936875</c:v>
                </c:pt>
                <c:pt idx="468">
                  <c:v>-23.39826025605246</c:v>
                </c:pt>
                <c:pt idx="469">
                  <c:v>-23.513896219104822</c:v>
                </c:pt>
                <c:pt idx="470">
                  <c:v>-23.628993153636561</c:v>
                </c:pt>
                <c:pt idx="471">
                  <c:v>-23.743557218826975</c:v>
                </c:pt>
                <c:pt idx="472">
                  <c:v>-23.857594462733708</c:v>
                </c:pt>
                <c:pt idx="473">
                  <c:v>-23.973815343696398</c:v>
                </c:pt>
                <c:pt idx="474">
                  <c:v>-24.089496427637439</c:v>
                </c:pt>
                <c:pt idx="475">
                  <c:v>-24.204643860966115</c:v>
                </c:pt>
                <c:pt idx="476">
                  <c:v>-24.319263679006795</c:v>
                </c:pt>
                <c:pt idx="477">
                  <c:v>-24.436016810789827</c:v>
                </c:pt>
                <c:pt idx="478">
                  <c:v>-24.552229871015943</c:v>
                </c:pt>
                <c:pt idx="479">
                  <c:v>-24.667908982681922</c:v>
                </c:pt>
                <c:pt idx="480">
                  <c:v>-24.783060158009281</c:v>
                </c:pt>
                <c:pt idx="481">
                  <c:v>-24.900295892174551</c:v>
                </c:pt>
                <c:pt idx="482">
                  <c:v>-25.016991728801337</c:v>
                </c:pt>
                <c:pt idx="483">
                  <c:v>-25.133153757721587</c:v>
                </c:pt>
                <c:pt idx="484">
                  <c:v>-25.248787958557365</c:v>
                </c:pt>
                <c:pt idx="485">
                  <c:v>-25.36653945109245</c:v>
                </c:pt>
                <c:pt idx="486">
                  <c:v>-25.48375089426915</c:v>
                </c:pt>
                <c:pt idx="487">
                  <c:v>-25.600428348145691</c:v>
                </c:pt>
                <c:pt idx="488">
                  <c:v>-25.716577763077634</c:v>
                </c:pt>
                <c:pt idx="489">
                  <c:v>-25.834953563775834</c:v>
                </c:pt>
                <c:pt idx="490">
                  <c:v>-25.952788145860918</c:v>
                </c:pt>
                <c:pt idx="491">
                  <c:v>-26.07008755449618</c:v>
                </c:pt>
                <c:pt idx="492">
                  <c:v>-26.186857725317282</c:v>
                </c:pt>
                <c:pt idx="493">
                  <c:v>-26.305803511808442</c:v>
                </c:pt>
                <c:pt idx="494">
                  <c:v>-26.424207376514204</c:v>
                </c:pt>
                <c:pt idx="495">
                  <c:v>-26.542075339698876</c:v>
                </c:pt>
                <c:pt idx="496">
                  <c:v>-26.659413312544082</c:v>
                </c:pt>
                <c:pt idx="497">
                  <c:v>-26.778953357971371</c:v>
                </c:pt>
                <c:pt idx="498">
                  <c:v>-26.897950516096717</c:v>
                </c:pt>
                <c:pt idx="499">
                  <c:v>-27.016410784508817</c:v>
                </c:pt>
                <c:pt idx="500">
                  <c:v>-27.134340052136864</c:v>
                </c:pt>
                <c:pt idx="501">
                  <c:v>-27.25449589732392</c:v>
                </c:pt>
                <c:pt idx="502">
                  <c:v>-27.374107645135179</c:v>
                </c:pt>
                <c:pt idx="503">
                  <c:v>-27.493181272409327</c:v>
                </c:pt>
                <c:pt idx="504">
                  <c:v>-27.611722647736062</c:v>
                </c:pt>
                <c:pt idx="505">
                  <c:v>-27.732440176549066</c:v>
                </c:pt>
                <c:pt idx="506">
                  <c:v>-27.852612826962755</c:v>
                </c:pt>
                <c:pt idx="507">
                  <c:v>-27.972246546010201</c:v>
                </c:pt>
                <c:pt idx="508">
                  <c:v>-28.091347173141521</c:v>
                </c:pt>
                <c:pt idx="509">
                  <c:v>-28.212646705806122</c:v>
                </c:pt>
                <c:pt idx="510">
                  <c:v>-28.333400324482724</c:v>
                </c:pt>
                <c:pt idx="511">
                  <c:v>-28.453613948685135</c:v>
                </c:pt>
                <c:pt idx="512">
                  <c:v>-28.573293390994099</c:v>
                </c:pt>
                <c:pt idx="513">
                  <c:v>-28.695263148258139</c:v>
                </c:pt>
                <c:pt idx="514">
                  <c:v>-28.816685086701913</c:v>
                </c:pt>
                <c:pt idx="515">
                  <c:v>-28.937565110540149</c:v>
                </c:pt>
                <c:pt idx="516">
                  <c:v>-29.057909017452186</c:v>
                </c:pt>
                <c:pt idx="517">
                  <c:v>-29.180491327250561</c:v>
                </c:pt>
                <c:pt idx="518">
                  <c:v>-29.302524346650291</c:v>
                </c:pt>
                <c:pt idx="519">
                  <c:v>-29.424013955774999</c:v>
                </c:pt>
                <c:pt idx="520">
                  <c:v>-29.544965928865345</c:v>
                </c:pt>
                <c:pt idx="521">
                  <c:v>-29.668173792599344</c:v>
                </c:pt>
                <c:pt idx="522">
                  <c:v>-29.790830683468972</c:v>
                </c:pt>
                <c:pt idx="523">
                  <c:v>-29.912942459257476</c:v>
                </c:pt>
                <c:pt idx="524">
                  <c:v>-30.034514872520582</c:v>
                </c:pt>
                <c:pt idx="525">
                  <c:v>-30.158359014428409</c:v>
                </c:pt>
                <c:pt idx="526">
                  <c:v>-30.281650303120891</c:v>
                </c:pt>
                <c:pt idx="527">
                  <c:v>-30.404394575671596</c:v>
                </c:pt>
                <c:pt idx="528">
                  <c:v>-30.526597564588933</c:v>
                </c:pt>
                <c:pt idx="529">
                  <c:v>-30.65108651852605</c:v>
                </c:pt>
                <c:pt idx="530">
                  <c:v>-30.775020553266835</c:v>
                </c:pt>
                <c:pt idx="531">
                  <c:v>-30.898405486713383</c:v>
                </c:pt>
                <c:pt idx="532">
                  <c:v>-31.021247032876168</c:v>
                </c:pt>
                <c:pt idx="533">
                  <c:v>-31.146451685639672</c:v>
                </c:pt>
                <c:pt idx="534">
                  <c:v>-31.271098606827469</c:v>
                </c:pt>
                <c:pt idx="535">
                  <c:v>-31.395193605548034</c:v>
                </c:pt>
                <c:pt idx="536">
                  <c:v>-31.518742387493557</c:v>
                </c:pt>
                <c:pt idx="537">
                  <c:v>-31.644537079577717</c:v>
                </c:pt>
                <c:pt idx="538">
                  <c:v>-31.769772221485468</c:v>
                </c:pt>
                <c:pt idx="539">
                  <c:v>-31.894453596930575</c:v>
                </c:pt>
                <c:pt idx="540">
                  <c:v>-32.018586887127675</c:v>
                </c:pt>
                <c:pt idx="541">
                  <c:v>-32.145101893848164</c:v>
                </c:pt>
                <c:pt idx="542">
                  <c:v>-32.271054243641274</c:v>
                </c:pt>
                <c:pt idx="543">
                  <c:v>-32.396449713805431</c:v>
                </c:pt>
                <c:pt idx="544">
                  <c:v>-32.521293979657209</c:v>
                </c:pt>
                <c:pt idx="545">
                  <c:v>-32.648465463682449</c:v>
                </c:pt>
                <c:pt idx="546">
                  <c:v>-32.77507161521028</c:v>
                </c:pt>
                <c:pt idx="547">
                  <c:v>-32.901118197631668</c:v>
                </c:pt>
                <c:pt idx="548">
                  <c:v>-33.026610873098704</c:v>
                </c:pt>
                <c:pt idx="549">
                  <c:v>-33.154437649265638</c:v>
                </c:pt>
                <c:pt idx="550">
                  <c:v>-33.281696285276247</c:v>
                </c:pt>
                <c:pt idx="551">
                  <c:v>-33.408392532008811</c:v>
                </c:pt>
                <c:pt idx="552">
                  <c:v>-33.534532039858547</c:v>
                </c:pt>
                <c:pt idx="553">
                  <c:v>-33.663070175970084</c:v>
                </c:pt>
                <c:pt idx="554">
                  <c:v>-33.791036719342607</c:v>
                </c:pt>
                <c:pt idx="555">
                  <c:v>-33.918437417596941</c:v>
                </c:pt>
                <c:pt idx="556">
                  <c:v>-34.045277918458765</c:v>
                </c:pt>
                <c:pt idx="557">
                  <c:v>-34.303186364379741</c:v>
                </c:pt>
                <c:pt idx="558">
                  <c:v>-34.558817176802407</c:v>
                </c:pt>
                <c:pt idx="559">
                  <c:v>-34.817997531896829</c:v>
                </c:pt>
                <c:pt idx="560">
                  <c:v>-35.074887797747763</c:v>
                </c:pt>
                <c:pt idx="561">
                  <c:v>-35.335547447881353</c:v>
                </c:pt>
                <c:pt idx="562">
                  <c:v>-35.593900267801985</c:v>
                </c:pt>
                <c:pt idx="563">
                  <c:v>-35.85546208315882</c:v>
                </c:pt>
                <c:pt idx="564">
                  <c:v>-36.114709844667132</c:v>
                </c:pt>
                <c:pt idx="565">
                  <c:v>-36.378137622206026</c:v>
                </c:pt>
                <c:pt idx="566">
                  <c:v>-36.639226468785665</c:v>
                </c:pt>
                <c:pt idx="567">
                  <c:v>-36.904356538347486</c:v>
                </c:pt>
                <c:pt idx="568">
                  <c:v>-37.167124997114534</c:v>
                </c:pt>
                <c:pt idx="569">
                  <c:v>-37.43276267113751</c:v>
                </c:pt>
                <c:pt idx="570">
                  <c:v>-37.696036550011016</c:v>
                </c:pt>
                <c:pt idx="571">
                  <c:v>-37.964122587415787</c:v>
                </c:pt>
                <c:pt idx="572">
                  <c:v>-38.229807502777724</c:v>
                </c:pt>
                <c:pt idx="573">
                  <c:v>-38.498139481503216</c:v>
                </c:pt>
                <c:pt idx="574">
                  <c:v>-38.764071521453275</c:v>
                </c:pt>
                <c:pt idx="575">
                  <c:v>-39.034527622023091</c:v>
                </c:pt>
                <c:pt idx="576">
                  <c:v>-39.30255078009273</c:v>
                </c:pt>
                <c:pt idx="577">
                  <c:v>-40.411316899509025</c:v>
                </c:pt>
                <c:pt idx="578">
                  <c:v>-41.480448073208784</c:v>
                </c:pt>
                <c:pt idx="579">
                  <c:v>-43.697972934281722</c:v>
                </c:pt>
                <c:pt idx="580">
                  <c:v>-45.956835104211834</c:v>
                </c:pt>
                <c:pt idx="581">
                  <c:v>-48.251296528392615</c:v>
                </c:pt>
                <c:pt idx="582">
                  <c:v>-50.579799757122821</c:v>
                </c:pt>
                <c:pt idx="583">
                  <c:v>-52.937165478813043</c:v>
                </c:pt>
                <c:pt idx="584">
                  <c:v>-55.321382345101291</c:v>
                </c:pt>
                <c:pt idx="585">
                  <c:v>-57.727089878163426</c:v>
                </c:pt>
                <c:pt idx="586">
                  <c:v>-60.150552875480159</c:v>
                </c:pt>
                <c:pt idx="587">
                  <c:v>-62.589056579616638</c:v>
                </c:pt>
                <c:pt idx="588">
                  <c:v>-65.036454168981649</c:v>
                </c:pt>
                <c:pt idx="589">
                  <c:v>-67.491219150015667</c:v>
                </c:pt>
                <c:pt idx="590">
                  <c:v>-69.949360402793872</c:v>
                </c:pt>
                <c:pt idx="591">
                  <c:v>-72.408520009815135</c:v>
                </c:pt>
                <c:pt idx="592">
                  <c:v>-74.866313563571921</c:v>
                </c:pt>
                <c:pt idx="593">
                  <c:v>-77.32193031751298</c:v>
                </c:pt>
                <c:pt idx="594">
                  <c:v>-79.773655706305107</c:v>
                </c:pt>
                <c:pt idx="595">
                  <c:v>-82.221331930393404</c:v>
                </c:pt>
                <c:pt idx="596">
                  <c:v>-84.66414809200694</c:v>
                </c:pt>
                <c:pt idx="597">
                  <c:v>-87.102573983728888</c:v>
                </c:pt>
                <c:pt idx="598">
                  <c:v>-89.536143838430448</c:v>
                </c:pt>
                <c:pt idx="599">
                  <c:v>-91.965742698518952</c:v>
                </c:pt>
                <c:pt idx="600">
                  <c:v>-94.391337517030891</c:v>
                </c:pt>
                <c:pt idx="604">
                  <c:v>7.680819573435195E-2</c:v>
                </c:pt>
              </c:numCache>
            </c:numRef>
          </c:yVal>
          <c:smooth val="1"/>
          <c:extLst>
            <c:ext xmlns:c16="http://schemas.microsoft.com/office/drawing/2014/chart" uri="{C3380CC4-5D6E-409C-BE32-E72D297353CC}">
              <c16:uniqueId val="{00000001-4362-43AB-BDC1-536058DC7619}"/>
            </c:ext>
          </c:extLst>
        </c:ser>
        <c:ser>
          <c:idx val="2"/>
          <c:order val="2"/>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66.121401018675698</c:v>
                </c:pt>
                <c:pt idx="1">
                  <c:v>65.34242387754837</c:v>
                </c:pt>
                <c:pt idx="2">
                  <c:v>64.561298008105666</c:v>
                </c:pt>
                <c:pt idx="3">
                  <c:v>63.778607370811557</c:v>
                </c:pt>
                <c:pt idx="4">
                  <c:v>62.995405638631574</c:v>
                </c:pt>
                <c:pt idx="5">
                  <c:v>62.210903360062851</c:v>
                </c:pt>
                <c:pt idx="6">
                  <c:v>61.426716569785036</c:v>
                </c:pt>
                <c:pt idx="7">
                  <c:v>60.642834400344341</c:v>
                </c:pt>
                <c:pt idx="8">
                  <c:v>59.86035212017444</c:v>
                </c:pt>
                <c:pt idx="9">
                  <c:v>59.079235132267023</c:v>
                </c:pt>
                <c:pt idx="10">
                  <c:v>58.3005404273908</c:v>
                </c:pt>
                <c:pt idx="11">
                  <c:v>57.524829979075761</c:v>
                </c:pt>
                <c:pt idx="12">
                  <c:v>56.752453494708526</c:v>
                </c:pt>
                <c:pt idx="13">
                  <c:v>55.985013194702631</c:v>
                </c:pt>
                <c:pt idx="14">
                  <c:v>55.222877375340211</c:v>
                </c:pt>
                <c:pt idx="15">
                  <c:v>54.467464096197098</c:v>
                </c:pt>
                <c:pt idx="16">
                  <c:v>53.719994539479295</c:v>
                </c:pt>
                <c:pt idx="17">
                  <c:v>52.982032862249454</c:v>
                </c:pt>
                <c:pt idx="18">
                  <c:v>52.255015873193841</c:v>
                </c:pt>
                <c:pt idx="19">
                  <c:v>51.540990319497311</c:v>
                </c:pt>
                <c:pt idx="20">
                  <c:v>50.841865446152468</c:v>
                </c:pt>
                <c:pt idx="21">
                  <c:v>50.160026405157119</c:v>
                </c:pt>
                <c:pt idx="22">
                  <c:v>49.497738192409358</c:v>
                </c:pt>
                <c:pt idx="23">
                  <c:v>48.857700361429806</c:v>
                </c:pt>
                <c:pt idx="24">
                  <c:v>48.242352321242436</c:v>
                </c:pt>
                <c:pt idx="25">
                  <c:v>47.654381158363591</c:v>
                </c:pt>
                <c:pt idx="26">
                  <c:v>47.096134085584076</c:v>
                </c:pt>
                <c:pt idx="27">
                  <c:v>46.570046707184616</c:v>
                </c:pt>
                <c:pt idx="28">
                  <c:v>46.078004746213843</c:v>
                </c:pt>
                <c:pt idx="29">
                  <c:v>45.621741004008868</c:v>
                </c:pt>
                <c:pt idx="30">
                  <c:v>45.201431284450706</c:v>
                </c:pt>
                <c:pt idx="31">
                  <c:v>44.818029503137225</c:v>
                </c:pt>
                <c:pt idx="32">
                  <c:v>44.470983170839553</c:v>
                </c:pt>
                <c:pt idx="33">
                  <c:v>44.15964441564212</c:v>
                </c:pt>
                <c:pt idx="34">
                  <c:v>43.882336360580865</c:v>
                </c:pt>
                <c:pt idx="35">
                  <c:v>43.637332418839385</c:v>
                </c:pt>
                <c:pt idx="36">
                  <c:v>43.422342683110706</c:v>
                </c:pt>
                <c:pt idx="37">
                  <c:v>43.234793892117551</c:v>
                </c:pt>
                <c:pt idx="38">
                  <c:v>43.0722655531046</c:v>
                </c:pt>
                <c:pt idx="39">
                  <c:v>42.931995959343709</c:v>
                </c:pt>
                <c:pt idx="40">
                  <c:v>42.811478468662827</c:v>
                </c:pt>
                <c:pt idx="41">
                  <c:v>42.708250862794664</c:v>
                </c:pt>
                <c:pt idx="42">
                  <c:v>42.620034610445273</c:v>
                </c:pt>
                <c:pt idx="43">
                  <c:v>42.544698617546146</c:v>
                </c:pt>
                <c:pt idx="44">
                  <c:v>42.480352314350966</c:v>
                </c:pt>
                <c:pt idx="45">
                  <c:v>42.425262940045421</c:v>
                </c:pt>
                <c:pt idx="46">
                  <c:v>42.37790435598523</c:v>
                </c:pt>
                <c:pt idx="47">
                  <c:v>42.336895470550317</c:v>
                </c:pt>
                <c:pt idx="48">
                  <c:v>42.301022271069009</c:v>
                </c:pt>
                <c:pt idx="49">
                  <c:v>42.269176570530163</c:v>
                </c:pt>
                <c:pt idx="50">
                  <c:v>42.24036724139647</c:v>
                </c:pt>
                <c:pt idx="51">
                  <c:v>42.213670512564001</c:v>
                </c:pt>
                <c:pt idx="52">
                  <c:v>42.188233159254054</c:v>
                </c:pt>
                <c:pt idx="53">
                  <c:v>42.163224357515475</c:v>
                </c:pt>
                <c:pt idx="54">
                  <c:v>42.13783964486889</c:v>
                </c:pt>
                <c:pt idx="55">
                  <c:v>42.111200341915939</c:v>
                </c:pt>
                <c:pt idx="56">
                  <c:v>42.082467433323323</c:v>
                </c:pt>
                <c:pt idx="57">
                  <c:v>42.050680833694628</c:v>
                </c:pt>
                <c:pt idx="58">
                  <c:v>42.014831117742048</c:v>
                </c:pt>
                <c:pt idx="59">
                  <c:v>41.973736729546388</c:v>
                </c:pt>
                <c:pt idx="60">
                  <c:v>41.926113589089205</c:v>
                </c:pt>
                <c:pt idx="61">
                  <c:v>41.870466302355595</c:v>
                </c:pt>
                <c:pt idx="62">
                  <c:v>41.805048182788653</c:v>
                </c:pt>
                <c:pt idx="63">
                  <c:v>41.727954925291861</c:v>
                </c:pt>
                <c:pt idx="64">
                  <c:v>41.636867440516163</c:v>
                </c:pt>
                <c:pt idx="65">
                  <c:v>41.529227298111884</c:v>
                </c:pt>
                <c:pt idx="66">
                  <c:v>41.40207933277226</c:v>
                </c:pt>
                <c:pt idx="67">
                  <c:v>41.252114055145547</c:v>
                </c:pt>
                <c:pt idx="68">
                  <c:v>41.075558110726348</c:v>
                </c:pt>
                <c:pt idx="69">
                  <c:v>40.868334874947394</c:v>
                </c:pt>
                <c:pt idx="70">
                  <c:v>40.625913592240217</c:v>
                </c:pt>
                <c:pt idx="71">
                  <c:v>40.343542300562873</c:v>
                </c:pt>
                <c:pt idx="72">
                  <c:v>40.016133575773082</c:v>
                </c:pt>
                <c:pt idx="73">
                  <c:v>39.638645582781372</c:v>
                </c:pt>
                <c:pt idx="74">
                  <c:v>39.20592154687381</c:v>
                </c:pt>
                <c:pt idx="75">
                  <c:v>38.713216522311029</c:v>
                </c:pt>
                <c:pt idx="76">
                  <c:v>38.15606562174397</c:v>
                </c:pt>
                <c:pt idx="77">
                  <c:v>37.530993237599446</c:v>
                </c:pt>
                <c:pt idx="78">
                  <c:v>36.835242095928692</c:v>
                </c:pt>
                <c:pt idx="79">
                  <c:v>36.067630659853023</c:v>
                </c:pt>
                <c:pt idx="80">
                  <c:v>35.226290283074469</c:v>
                </c:pt>
                <c:pt idx="81">
                  <c:v>34.312986347860281</c:v>
                </c:pt>
                <c:pt idx="82">
                  <c:v>33.328918631115812</c:v>
                </c:pt>
                <c:pt idx="83">
                  <c:v>32.277646709980004</c:v>
                </c:pt>
                <c:pt idx="84">
                  <c:v>31.162080774126789</c:v>
                </c:pt>
                <c:pt idx="85">
                  <c:v>29.987210522636087</c:v>
                </c:pt>
                <c:pt idx="86">
                  <c:v>28.757697040832738</c:v>
                </c:pt>
                <c:pt idx="87">
                  <c:v>27.477892922476567</c:v>
                </c:pt>
                <c:pt idx="88">
                  <c:v>26.154100083781987</c:v>
                </c:pt>
                <c:pt idx="89">
                  <c:v>24.790223979890698</c:v>
                </c:pt>
                <c:pt idx="90">
                  <c:v>23.391479822701505</c:v>
                </c:pt>
                <c:pt idx="91">
                  <c:v>21.962131523210143</c:v>
                </c:pt>
                <c:pt idx="92">
                  <c:v>20.506374929079119</c:v>
                </c:pt>
                <c:pt idx="93">
                  <c:v>19.027362375691318</c:v>
                </c:pt>
                <c:pt idx="94">
                  <c:v>18.654544647801877</c:v>
                </c:pt>
                <c:pt idx="95">
                  <c:v>18.466527884195656</c:v>
                </c:pt>
                <c:pt idx="96">
                  <c:v>18.28037222730617</c:v>
                </c:pt>
                <c:pt idx="97">
                  <c:v>18.091792488429746</c:v>
                </c:pt>
                <c:pt idx="98">
                  <c:v>17.905090828808685</c:v>
                </c:pt>
                <c:pt idx="99">
                  <c:v>17.715922190227282</c:v>
                </c:pt>
                <c:pt idx="100">
                  <c:v>17.528648914433319</c:v>
                </c:pt>
                <c:pt idx="101">
                  <c:v>17.339011436334278</c:v>
                </c:pt>
                <c:pt idx="102">
                  <c:v>17.151284003371082</c:v>
                </c:pt>
                <c:pt idx="103">
                  <c:v>16.96101535810843</c:v>
                </c:pt>
                <c:pt idx="104">
                  <c:v>16.772674498854247</c:v>
                </c:pt>
                <c:pt idx="105">
                  <c:v>16.58189873404211</c:v>
                </c:pt>
                <c:pt idx="106">
                  <c:v>16.393065810999154</c:v>
                </c:pt>
                <c:pt idx="107">
                  <c:v>16.201900291132439</c:v>
                </c:pt>
                <c:pt idx="108">
                  <c:v>16.012690084696729</c:v>
                </c:pt>
                <c:pt idx="109">
                  <c:v>15.821115904336374</c:v>
                </c:pt>
                <c:pt idx="110">
                  <c:v>15.63150968423005</c:v>
                </c:pt>
                <c:pt idx="111">
                  <c:v>15.439385122885994</c:v>
                </c:pt>
                <c:pt idx="112">
                  <c:v>15.249243878707583</c:v>
                </c:pt>
                <c:pt idx="113">
                  <c:v>15.056690601267977</c:v>
                </c:pt>
                <c:pt idx="114">
                  <c:v>14.866133319556782</c:v>
                </c:pt>
                <c:pt idx="115">
                  <c:v>14.673144277072222</c:v>
                </c:pt>
                <c:pt idx="116">
                  <c:v>14.4821638681486</c:v>
                </c:pt>
                <c:pt idx="117">
                  <c:v>14.288735484929134</c:v>
                </c:pt>
                <c:pt idx="118">
                  <c:v>14.097328266843409</c:v>
                </c:pt>
                <c:pt idx="119">
                  <c:v>13.903577066492582</c:v>
                </c:pt>
                <c:pt idx="120">
                  <c:v>13.711856955337806</c:v>
                </c:pt>
                <c:pt idx="121">
                  <c:v>13.517778236067457</c:v>
                </c:pt>
                <c:pt idx="122">
                  <c:v>13.325740438642979</c:v>
                </c:pt>
                <c:pt idx="123">
                  <c:v>13.131220467609259</c:v>
                </c:pt>
                <c:pt idx="124">
                  <c:v>12.938753454656366</c:v>
                </c:pt>
                <c:pt idx="125">
                  <c:v>12.743910061116399</c:v>
                </c:pt>
                <c:pt idx="126">
                  <c:v>12.551129015464733</c:v>
                </c:pt>
                <c:pt idx="127">
                  <c:v>12.355965704525651</c:v>
                </c:pt>
                <c:pt idx="128">
                  <c:v>12.162873879652036</c:v>
                </c:pt>
                <c:pt idx="129">
                  <c:v>11.967396499291983</c:v>
                </c:pt>
                <c:pt idx="130">
                  <c:v>11.773999444704428</c:v>
                </c:pt>
                <c:pt idx="131">
                  <c:v>11.578215980859227</c:v>
                </c:pt>
                <c:pt idx="132">
                  <c:v>11.481110287673008</c:v>
                </c:pt>
                <c:pt idx="133">
                  <c:v>11.38452134068408</c:v>
                </c:pt>
                <c:pt idx="134">
                  <c:v>11.286166025413154</c:v>
                </c:pt>
                <c:pt idx="135">
                  <c:v>11.188341037507524</c:v>
                </c:pt>
                <c:pt idx="136">
                  <c:v>11.091040799326651</c:v>
                </c:pt>
                <c:pt idx="137">
                  <c:v>10.994259817169761</c:v>
                </c:pt>
                <c:pt idx="138">
                  <c:v>10.895812971745416</c:v>
                </c:pt>
                <c:pt idx="139">
                  <c:v>10.79789786764815</c:v>
                </c:pt>
                <c:pt idx="140">
                  <c:v>10.700508890535357</c:v>
                </c:pt>
                <c:pt idx="141">
                  <c:v>10.6036405110515</c:v>
                </c:pt>
                <c:pt idx="142">
                  <c:v>10.505008627320041</c:v>
                </c:pt>
                <c:pt idx="143">
                  <c:v>10.406910863295867</c:v>
                </c:pt>
                <c:pt idx="144">
                  <c:v>10.309341553057344</c:v>
                </c:pt>
                <c:pt idx="145">
                  <c:v>10.212295117007571</c:v>
                </c:pt>
                <c:pt idx="146">
                  <c:v>10.11353613723352</c:v>
                </c:pt>
                <c:pt idx="147">
                  <c:v>10.015312988134795</c:v>
                </c:pt>
                <c:pt idx="148">
                  <c:v>9.9176199631067714</c:v>
                </c:pt>
                <c:pt idx="149">
                  <c:v>9.8204514429794472</c:v>
                </c:pt>
                <c:pt idx="150">
                  <c:v>9.7215733174231644</c:v>
                </c:pt>
                <c:pt idx="151">
                  <c:v>9.6232326046147634</c:v>
                </c:pt>
                <c:pt idx="152">
                  <c:v>9.5254235596558505</c:v>
                </c:pt>
                <c:pt idx="153">
                  <c:v>9.4281405261348254</c:v>
                </c:pt>
                <c:pt idx="154">
                  <c:v>9.329106320788668</c:v>
                </c:pt>
                <c:pt idx="155">
                  <c:v>9.2306114687796885</c:v>
                </c:pt>
                <c:pt idx="156">
                  <c:v>9.1326501814755261</c:v>
                </c:pt>
                <c:pt idx="157">
                  <c:v>9.0352167598869997</c:v>
                </c:pt>
                <c:pt idx="158">
                  <c:v>8.9360383724502146</c:v>
                </c:pt>
                <c:pt idx="159">
                  <c:v>8.8374011086081232</c:v>
                </c:pt>
                <c:pt idx="160">
                  <c:v>8.7392991389835224</c:v>
                </c:pt>
                <c:pt idx="161">
                  <c:v>8.6417267249301926</c:v>
                </c:pt>
                <c:pt idx="162">
                  <c:v>8.5424598318598122</c:v>
                </c:pt>
                <c:pt idx="163">
                  <c:v>8.4437351846156616</c:v>
                </c:pt>
                <c:pt idx="164">
                  <c:v>8.3455469237981674</c:v>
                </c:pt>
                <c:pt idx="165">
                  <c:v>8.2478892815968408</c:v>
                </c:pt>
                <c:pt idx="166">
                  <c:v>8.1484583546200842</c:v>
                </c:pt>
                <c:pt idx="167">
                  <c:v>8.0495715769410623</c:v>
                </c:pt>
                <c:pt idx="168">
                  <c:v>7.9512230467566702</c:v>
                </c:pt>
                <c:pt idx="169">
                  <c:v>7.8534069549620158</c:v>
                </c:pt>
                <c:pt idx="170">
                  <c:v>7.7540355595642074</c:v>
                </c:pt>
                <c:pt idx="171">
                  <c:v>7.6552077346404976</c:v>
                </c:pt>
                <c:pt idx="172">
                  <c:v>7.5569175765467609</c:v>
                </c:pt>
                <c:pt idx="173">
                  <c:v>7.4591592745897897</c:v>
                </c:pt>
                <c:pt idx="174">
                  <c:v>7.3594826279343213</c:v>
                </c:pt>
                <c:pt idx="175">
                  <c:v>7.2603529145731693</c:v>
                </c:pt>
                <c:pt idx="176">
                  <c:v>7.1617641651439312</c:v>
                </c:pt>
                <c:pt idx="177">
                  <c:v>7.0637105048203965</c:v>
                </c:pt>
                <c:pt idx="178">
                  <c:v>6.9637946308653991</c:v>
                </c:pt>
                <c:pt idx="179">
                  <c:v>6.8644282951120204</c:v>
                </c:pt>
                <c:pt idx="180">
                  <c:v>6.7656054748314842</c:v>
                </c:pt>
                <c:pt idx="181">
                  <c:v>6.6673202431551557</c:v>
                </c:pt>
                <c:pt idx="182">
                  <c:v>6.5676170819027959</c:v>
                </c:pt>
                <c:pt idx="183">
                  <c:v>6.4684610680508268</c:v>
                </c:pt>
                <c:pt idx="184">
                  <c:v>6.3698462075934517</c:v>
                </c:pt>
                <c:pt idx="185">
                  <c:v>6.2717666019657194</c:v>
                </c:pt>
                <c:pt idx="186">
                  <c:v>6.1715460104352182</c:v>
                </c:pt>
                <c:pt idx="187">
                  <c:v>6.0718781401111404</c:v>
                </c:pt>
                <c:pt idx="188">
                  <c:v>5.9727568950956531</c:v>
                </c:pt>
                <c:pt idx="189">
                  <c:v>5.8741762772779307</c:v>
                </c:pt>
                <c:pt idx="190">
                  <c:v>5.7742644410150392</c:v>
                </c:pt>
                <c:pt idx="191">
                  <c:v>5.674901787382824</c:v>
                </c:pt>
                <c:pt idx="192">
                  <c:v>5.5760822687749512</c:v>
                </c:pt>
                <c:pt idx="193">
                  <c:v>5.4777999345150388</c:v>
                </c:pt>
                <c:pt idx="194">
                  <c:v>5.3774932634104449</c:v>
                </c:pt>
                <c:pt idx="195">
                  <c:v>5.2777399196745804</c:v>
                </c:pt>
                <c:pt idx="196">
                  <c:v>5.1785337774258426</c:v>
                </c:pt>
                <c:pt idx="197">
                  <c:v>5.0798688095515168</c:v>
                </c:pt>
                <c:pt idx="198">
                  <c:v>4.9795962040495096</c:v>
                </c:pt>
                <c:pt idx="199">
                  <c:v>4.8798763143859638</c:v>
                </c:pt>
                <c:pt idx="200">
                  <c:v>4.7807030151325121</c:v>
                </c:pt>
                <c:pt idx="201">
                  <c:v>4.682070279778646</c:v>
                </c:pt>
                <c:pt idx="202">
                  <c:v>4.5818758842603833</c:v>
                </c:pt>
                <c:pt idx="203">
                  <c:v>4.4822330647193755</c:v>
                </c:pt>
                <c:pt idx="204">
                  <c:v>4.3831357051645341</c:v>
                </c:pt>
                <c:pt idx="205">
                  <c:v>4.2845777884713172</c:v>
                </c:pt>
                <c:pt idx="206">
                  <c:v>4.184160835284799</c:v>
                </c:pt>
                <c:pt idx="207">
                  <c:v>4.0842975784476661</c:v>
                </c:pt>
                <c:pt idx="208">
                  <c:v>3.9849818574285099</c:v>
                </c:pt>
                <c:pt idx="209">
                  <c:v>3.8862076116673165</c:v>
                </c:pt>
                <c:pt idx="210">
                  <c:v>3.7852940467687768</c:v>
                </c:pt>
                <c:pt idx="211">
                  <c:v>3.6849392777842302</c:v>
                </c:pt>
                <c:pt idx="212">
                  <c:v>3.5851370497740214</c:v>
                </c:pt>
                <c:pt idx="213">
                  <c:v>3.4858812099554233</c:v>
                </c:pt>
                <c:pt idx="214">
                  <c:v>3.3852034064359326</c:v>
                </c:pt>
                <c:pt idx="215">
                  <c:v>3.2850813777615908</c:v>
                </c:pt>
                <c:pt idx="216">
                  <c:v>3.1855089103549119</c:v>
                </c:pt>
                <c:pt idx="217">
                  <c:v>3.0864798920322309</c:v>
                </c:pt>
                <c:pt idx="218">
                  <c:v>2.985748793572589</c:v>
                </c:pt>
                <c:pt idx="219">
                  <c:v>2.8855735909099374</c:v>
                </c:pt>
                <c:pt idx="220">
                  <c:v>2.7859480594151331</c:v>
                </c:pt>
                <c:pt idx="221">
                  <c:v>2.6868660762237182</c:v>
                </c:pt>
                <c:pt idx="222">
                  <c:v>2.5861308464724586</c:v>
                </c:pt>
                <c:pt idx="223">
                  <c:v>2.4859510454711926</c:v>
                </c:pt>
                <c:pt idx="224">
                  <c:v>2.3863204474923152</c:v>
                </c:pt>
                <c:pt idx="225">
                  <c:v>2.2872329287212252</c:v>
                </c:pt>
                <c:pt idx="226">
                  <c:v>2.1862331865218834</c:v>
                </c:pt>
                <c:pt idx="227">
                  <c:v>2.0857912231167823</c:v>
                </c:pt>
                <c:pt idx="228">
                  <c:v>1.9859007644371909</c:v>
                </c:pt>
                <c:pt idx="229">
                  <c:v>1.8865556395010548</c:v>
                </c:pt>
                <c:pt idx="230">
                  <c:v>1.684711491586852</c:v>
                </c:pt>
                <c:pt idx="231">
                  <c:v>1.5846221956257367</c:v>
                </c:pt>
                <c:pt idx="232">
                  <c:v>1.4850797754960021</c:v>
                </c:pt>
                <c:pt idx="233">
                  <c:v>1.3837344609211253</c:v>
                </c:pt>
                <c:pt idx="234">
                  <c:v>1.282949456123808</c:v>
                </c:pt>
                <c:pt idx="235">
                  <c:v>1.1827184266258171</c:v>
                </c:pt>
                <c:pt idx="236">
                  <c:v>1.0830351425913742</c:v>
                </c:pt>
                <c:pt idx="237">
                  <c:v>0.98188747050558889</c:v>
                </c:pt>
                <c:pt idx="238">
                  <c:v>0.88129721785141557</c:v>
                </c:pt>
                <c:pt idx="239">
                  <c:v>0.78125809020652737</c:v>
                </c:pt>
                <c:pt idx="240">
                  <c:v>0.68176389702125251</c:v>
                </c:pt>
                <c:pt idx="241">
                  <c:v>0.58028545259852127</c:v>
                </c:pt>
                <c:pt idx="242">
                  <c:v>0.47936730161217778</c:v>
                </c:pt>
                <c:pt idx="243">
                  <c:v>0.37900309224087392</c:v>
                </c:pt>
                <c:pt idx="244">
                  <c:v>0.27918657790392942</c:v>
                </c:pt>
                <c:pt idx="245">
                  <c:v>0.17771770302441531</c:v>
                </c:pt>
                <c:pt idx="246">
                  <c:v>7.680819573435195E-2</c:v>
                </c:pt>
                <c:pt idx="247">
                  <c:v>-2.354828886673848E-2</c:v>
                </c:pt>
                <c:pt idx="248">
                  <c:v>-0.12335799048719201</c:v>
                </c:pt>
                <c:pt idx="249">
                  <c:v>-0.2250415394359665</c:v>
                </c:pt>
                <c:pt idx="250">
                  <c:v>-0.32616423452799126</c:v>
                </c:pt>
                <c:pt idx="251">
                  <c:v>-0.4267324547031856</c:v>
                </c:pt>
                <c:pt idx="252">
                  <c:v>-0.52675247285481031</c:v>
                </c:pt>
                <c:pt idx="253">
                  <c:v>-0.62832999949384838</c:v>
                </c:pt>
                <c:pt idx="254">
                  <c:v>-0.72934876694258677</c:v>
                </c:pt>
                <c:pt idx="255">
                  <c:v>-0.82981512730689699</c:v>
                </c:pt>
                <c:pt idx="256">
                  <c:v>-0.92973532714186513</c:v>
                </c:pt>
                <c:pt idx="257">
                  <c:v>-1.0316830040640712</c:v>
                </c:pt>
                <c:pt idx="258">
                  <c:v>-1.1330688434874927</c:v>
                </c:pt>
                <c:pt idx="259">
                  <c:v>-1.2338992587927957</c:v>
                </c:pt>
                <c:pt idx="260">
                  <c:v>-1.3341805563552132</c:v>
                </c:pt>
                <c:pt idx="261">
                  <c:v>-1.4361794575589062</c:v>
                </c:pt>
                <c:pt idx="262">
                  <c:v>-1.5376170073937292</c:v>
                </c:pt>
                <c:pt idx="263">
                  <c:v>-1.6384996198341475</c:v>
                </c:pt>
                <c:pt idx="264">
                  <c:v>-1.7388336017405248</c:v>
                </c:pt>
                <c:pt idx="265">
                  <c:v>-1.8408366312578541</c:v>
                </c:pt>
                <c:pt idx="266">
                  <c:v>-1.94227937030811</c:v>
                </c:pt>
                <c:pt idx="267">
                  <c:v>-2.0431682236436877</c:v>
                </c:pt>
                <c:pt idx="268">
                  <c:v>-2.1435094890136126</c:v>
                </c:pt>
                <c:pt idx="269">
                  <c:v>-2.2457133389160004</c:v>
                </c:pt>
                <c:pt idx="270">
                  <c:v>-2.3473558648179913</c:v>
                </c:pt>
                <c:pt idx="271">
                  <c:v>-2.4484434981203491</c:v>
                </c:pt>
                <c:pt idx="272">
                  <c:v>-2.548982562534472</c:v>
                </c:pt>
                <c:pt idx="273">
                  <c:v>-2.6513311930240873</c:v>
                </c:pt>
                <c:pt idx="274">
                  <c:v>-2.7531181454095326</c:v>
                </c:pt>
                <c:pt idx="275">
                  <c:v>-2.854349866198183</c:v>
                </c:pt>
                <c:pt idx="276">
                  <c:v>-2.9550326937784299</c:v>
                </c:pt>
                <c:pt idx="277">
                  <c:v>-3.0572438007357023</c:v>
                </c:pt>
                <c:pt idx="278">
                  <c:v>-3.1588960241257178</c:v>
                </c:pt>
                <c:pt idx="279">
                  <c:v>-3.2599957715645895</c:v>
                </c:pt>
                <c:pt idx="280">
                  <c:v>-3.3605493433248865</c:v>
                </c:pt>
                <c:pt idx="281">
                  <c:v>-3.4632646523581423</c:v>
                </c:pt>
                <c:pt idx="282">
                  <c:v>-3.5654169300490439</c:v>
                </c:pt>
                <c:pt idx="283">
                  <c:v>-3.6670126644561893</c:v>
                </c:pt>
                <c:pt idx="284">
                  <c:v>-3.7680582344054905</c:v>
                </c:pt>
                <c:pt idx="285">
                  <c:v>-3.8705424136695599</c:v>
                </c:pt>
                <c:pt idx="286">
                  <c:v>-3.972467510440381</c:v>
                </c:pt>
                <c:pt idx="287">
                  <c:v>-4.0738399539996193</c:v>
                </c:pt>
                <c:pt idx="288">
                  <c:v>-4.1746660656179149</c:v>
                </c:pt>
                <c:pt idx="289">
                  <c:v>-4.2775385543527866</c:v>
                </c:pt>
                <c:pt idx="290">
                  <c:v>-4.3798492255384618</c:v>
                </c:pt>
                <c:pt idx="291">
                  <c:v>-4.4816045648459397</c:v>
                </c:pt>
                <c:pt idx="292">
                  <c:v>-4.5828109485803594</c:v>
                </c:pt>
                <c:pt idx="293">
                  <c:v>-4.6857945419277325</c:v>
                </c:pt>
                <c:pt idx="294">
                  <c:v>-4.7882166775390012</c:v>
                </c:pt>
                <c:pt idx="295">
                  <c:v>-4.8900838442381298</c:v>
                </c:pt>
                <c:pt idx="296">
                  <c:v>-4.9914024213182975</c:v>
                </c:pt>
                <c:pt idx="297">
                  <c:v>-5.0944487265959806</c:v>
                </c:pt>
                <c:pt idx="298">
                  <c:v>-5.1969345320485463</c:v>
                </c:pt>
                <c:pt idx="299">
                  <c:v>-5.2988663193544028</c:v>
                </c:pt>
                <c:pt idx="300">
                  <c:v>-5.4002504607268005</c:v>
                </c:pt>
                <c:pt idx="301">
                  <c:v>-5.5033146077676367</c:v>
                </c:pt>
                <c:pt idx="302">
                  <c:v>-5.6058197696871304</c:v>
                </c:pt>
                <c:pt idx="303">
                  <c:v>-5.7077724114100441</c:v>
                </c:pt>
                <c:pt idx="304">
                  <c:v>-5.8091788886742322</c:v>
                </c:pt>
                <c:pt idx="305">
                  <c:v>-5.912614593848728</c:v>
                </c:pt>
                <c:pt idx="306">
                  <c:v>-6.0154890777802086</c:v>
                </c:pt>
                <c:pt idx="307">
                  <c:v>-6.11780885365821</c:v>
                </c:pt>
                <c:pt idx="308">
                  <c:v>-6.2195803243021217</c:v>
                </c:pt>
                <c:pt idx="309">
                  <c:v>-6.3229371863407344</c:v>
                </c:pt>
                <c:pt idx="310">
                  <c:v>-6.425735541428919</c:v>
                </c:pt>
                <c:pt idx="311">
                  <c:v>-6.5279818652390826</c:v>
                </c:pt>
                <c:pt idx="312">
                  <c:v>-6.6296825238173067</c:v>
                </c:pt>
                <c:pt idx="313">
                  <c:v>-6.7333044371543203</c:v>
                </c:pt>
                <c:pt idx="314">
                  <c:v>-6.8363669243262564</c:v>
                </c:pt>
                <c:pt idx="315">
                  <c:v>-6.9388764865565866</c:v>
                </c:pt>
                <c:pt idx="316">
                  <c:v>-7.0408395147631628</c:v>
                </c:pt>
                <c:pt idx="317">
                  <c:v>-7.1446705863532598</c:v>
                </c:pt>
                <c:pt idx="318">
                  <c:v>-7.247942002175396</c:v>
                </c:pt>
                <c:pt idx="319">
                  <c:v>-7.350660277103227</c:v>
                </c:pt>
                <c:pt idx="320">
                  <c:v>-7.4528318152887172</c:v>
                </c:pt>
                <c:pt idx="321">
                  <c:v>-7.5568200460586956</c:v>
                </c:pt>
                <c:pt idx="322">
                  <c:v>-7.6602490372198373</c:v>
                </c:pt>
                <c:pt idx="323">
                  <c:v>-7.7631253060809442</c:v>
                </c:pt>
                <c:pt idx="324">
                  <c:v>-7.8654552590639835</c:v>
                </c:pt>
                <c:pt idx="325">
                  <c:v>-7.9695523744795445</c:v>
                </c:pt>
                <c:pt idx="326">
                  <c:v>-8.0730912689879837</c:v>
                </c:pt>
                <c:pt idx="327">
                  <c:v>-8.176078451816668</c:v>
                </c:pt>
                <c:pt idx="328">
                  <c:v>-8.2785203213736036</c:v>
                </c:pt>
                <c:pt idx="329">
                  <c:v>-8.3828553154389613</c:v>
                </c:pt>
                <c:pt idx="330">
                  <c:v>-8.4866318152222338</c:v>
                </c:pt>
                <c:pt idx="331">
                  <c:v>-8.5898563443892879</c:v>
                </c:pt>
                <c:pt idx="332">
                  <c:v>-8.6925353153410096</c:v>
                </c:pt>
                <c:pt idx="333">
                  <c:v>-8.7968858212426859</c:v>
                </c:pt>
                <c:pt idx="334">
                  <c:v>-8.9006800198118867</c:v>
                </c:pt>
                <c:pt idx="335">
                  <c:v>-9.0039244061373864</c:v>
                </c:pt>
                <c:pt idx="336">
                  <c:v>-9.1066253645681563</c:v>
                </c:pt>
                <c:pt idx="337">
                  <c:v>-9.2112864944630797</c:v>
                </c:pt>
                <c:pt idx="338">
                  <c:v>-9.3153904521872271</c:v>
                </c:pt>
                <c:pt idx="339">
                  <c:v>-9.4189437575052022</c:v>
                </c:pt>
                <c:pt idx="340">
                  <c:v>-9.5219528187528955</c:v>
                </c:pt>
                <c:pt idx="341">
                  <c:v>-9.6268688601469226</c:v>
                </c:pt>
                <c:pt idx="342">
                  <c:v>-9.7312275562934847</c:v>
                </c:pt>
                <c:pt idx="343">
                  <c:v>-9.8350354395019419</c:v>
                </c:pt>
                <c:pt idx="344">
                  <c:v>-9.9382989302338025</c:v>
                </c:pt>
                <c:pt idx="345">
                  <c:v>-10.043258509477056</c:v>
                </c:pt>
                <c:pt idx="346">
                  <c:v>-10.147662901145502</c:v>
                </c:pt>
                <c:pt idx="347">
                  <c:v>-10.251518609129231</c:v>
                </c:pt>
                <c:pt idx="348">
                  <c:v>-10.354832025976874</c:v>
                </c:pt>
                <c:pt idx="349">
                  <c:v>-10.460109557654311</c:v>
                </c:pt>
                <c:pt idx="350">
                  <c:v>-10.564831254889535</c:v>
                </c:pt>
                <c:pt idx="351">
                  <c:v>-10.669003642163062</c:v>
                </c:pt>
                <c:pt idx="352">
                  <c:v>-10.772633131999591</c:v>
                </c:pt>
                <c:pt idx="353">
                  <c:v>-10.878174131260268</c:v>
                </c:pt>
                <c:pt idx="354">
                  <c:v>-10.983159327341976</c:v>
                </c:pt>
                <c:pt idx="355">
                  <c:v>-11.087595253280462</c:v>
                </c:pt>
                <c:pt idx="356">
                  <c:v>-11.1914883298059</c:v>
                </c:pt>
                <c:pt idx="357">
                  <c:v>-11.297092351110008</c:v>
                </c:pt>
                <c:pt idx="358">
                  <c:v>-11.402142799987283</c:v>
                </c:pt>
                <c:pt idx="359">
                  <c:v>-11.506646179149593</c:v>
                </c:pt>
                <c:pt idx="360">
                  <c:v>-11.610608879536279</c:v>
                </c:pt>
                <c:pt idx="361">
                  <c:v>-11.716531728138246</c:v>
                </c:pt>
                <c:pt idx="362">
                  <c:v>-11.821900653388912</c:v>
                </c:pt>
                <c:pt idx="363">
                  <c:v>-11.926722172787168</c:v>
                </c:pt>
                <c:pt idx="364">
                  <c:v>-12.031002691553766</c:v>
                </c:pt>
                <c:pt idx="365">
                  <c:v>-12.137047942059425</c:v>
                </c:pt>
                <c:pt idx="366">
                  <c:v>-12.242541066948762</c:v>
                </c:pt>
                <c:pt idx="367">
                  <c:v>-12.347488560413113</c:v>
                </c:pt>
                <c:pt idx="368">
                  <c:v>-12.451896804724612</c:v>
                </c:pt>
                <c:pt idx="369">
                  <c:v>-12.558305876076668</c:v>
                </c:pt>
                <c:pt idx="370">
                  <c:v>-12.664162210474521</c:v>
                </c:pt>
                <c:pt idx="371">
                  <c:v>-12.769472320853755</c:v>
                </c:pt>
                <c:pt idx="372">
                  <c:v>-12.874242607617267</c:v>
                </c:pt>
                <c:pt idx="373">
                  <c:v>-12.98082342470936</c:v>
                </c:pt>
                <c:pt idx="374">
                  <c:v>-13.086852987715481</c:v>
                </c:pt>
                <c:pt idx="375">
                  <c:v>-13.192337791036653</c:v>
                </c:pt>
                <c:pt idx="376">
                  <c:v>-13.297284216775404</c:v>
                </c:pt>
                <c:pt idx="377">
                  <c:v>-13.404264987569078</c:v>
                </c:pt>
                <c:pt idx="378">
                  <c:v>-13.510693734543828</c:v>
                </c:pt>
                <c:pt idx="379">
                  <c:v>-13.616576972828664</c:v>
                </c:pt>
                <c:pt idx="380">
                  <c:v>-13.721921104575861</c:v>
                </c:pt>
                <c:pt idx="381">
                  <c:v>-13.828982044718416</c:v>
                </c:pt>
                <c:pt idx="382">
                  <c:v>-13.935493582051343</c:v>
                </c:pt>
                <c:pt idx="383">
                  <c:v>-14.041462192113073</c:v>
                </c:pt>
                <c:pt idx="384">
                  <c:v>-14.146894238168269</c:v>
                </c:pt>
                <c:pt idx="385">
                  <c:v>-14.254389087573923</c:v>
                </c:pt>
                <c:pt idx="386">
                  <c:v>-14.361333627994636</c:v>
                </c:pt>
                <c:pt idx="387">
                  <c:v>-14.467734357023289</c:v>
                </c:pt>
                <c:pt idx="388">
                  <c:v>-14.573597659250874</c:v>
                </c:pt>
                <c:pt idx="389">
                  <c:v>-14.681343580934247</c:v>
                </c:pt>
                <c:pt idx="390">
                  <c:v>-14.78854026281356</c:v>
                </c:pt>
                <c:pt idx="391">
                  <c:v>-14.895194189048137</c:v>
                </c:pt>
                <c:pt idx="392">
                  <c:v>-15.001311730876516</c:v>
                </c:pt>
                <c:pt idx="393">
                  <c:v>-15.109264459013554</c:v>
                </c:pt>
                <c:pt idx="394">
                  <c:v>-15.216669559753997</c:v>
                </c:pt>
                <c:pt idx="395">
                  <c:v>-15.323533493526178</c:v>
                </c:pt>
                <c:pt idx="396">
                  <c:v>-15.429862608150156</c:v>
                </c:pt>
                <c:pt idx="397">
                  <c:v>-15.538225188808175</c:v>
                </c:pt>
                <c:pt idx="398">
                  <c:v>-15.646039797033477</c:v>
                </c:pt>
                <c:pt idx="399">
                  <c:v>-15.753312903295972</c:v>
                </c:pt>
                <c:pt idx="400">
                  <c:v>-15.860050864976527</c:v>
                </c:pt>
                <c:pt idx="401">
                  <c:v>-15.968651368444426</c:v>
                </c:pt>
                <c:pt idx="402">
                  <c:v>-16.076705388956263</c:v>
                </c:pt>
                <c:pt idx="403">
                  <c:v>-16.184219373789329</c:v>
                </c:pt>
                <c:pt idx="404">
                  <c:v>-16.291199657414886</c:v>
                </c:pt>
                <c:pt idx="405">
                  <c:v>-16.400113707492793</c:v>
                </c:pt>
                <c:pt idx="406">
                  <c:v>-16.508482094563316</c:v>
                </c:pt>
                <c:pt idx="407">
                  <c:v>-16.616311253602575</c:v>
                </c:pt>
                <c:pt idx="408">
                  <c:v>-16.723607506802654</c:v>
                </c:pt>
                <c:pt idx="409">
                  <c:v>-16.832904623560406</c:v>
                </c:pt>
                <c:pt idx="410">
                  <c:v>-16.941656297719458</c:v>
                </c:pt>
                <c:pt idx="411">
                  <c:v>-17.049868961521558</c:v>
                </c:pt>
                <c:pt idx="412">
                  <c:v>-17.157548934213867</c:v>
                </c:pt>
                <c:pt idx="413">
                  <c:v>-17.267180293665824</c:v>
                </c:pt>
                <c:pt idx="414">
                  <c:v>-17.376267011075722</c:v>
                </c:pt>
                <c:pt idx="415">
                  <c:v>-17.484815504629236</c:v>
                </c:pt>
                <c:pt idx="416">
                  <c:v>-17.592832079562285</c:v>
                </c:pt>
                <c:pt idx="417">
                  <c:v>-17.702862734115222</c:v>
                </c:pt>
                <c:pt idx="418">
                  <c:v>-17.812348992415778</c:v>
                </c:pt>
                <c:pt idx="419">
                  <c:v>-17.92129726719488</c:v>
                </c:pt>
                <c:pt idx="420">
                  <c:v>-18.029713858070149</c:v>
                </c:pt>
                <c:pt idx="421">
                  <c:v>-18.13998698834029</c:v>
                </c:pt>
                <c:pt idx="422">
                  <c:v>-18.249717597167439</c:v>
                </c:pt>
                <c:pt idx="423">
                  <c:v>-18.358912061899183</c:v>
                </c:pt>
                <c:pt idx="424">
                  <c:v>-18.467576647302643</c:v>
                </c:pt>
                <c:pt idx="425">
                  <c:v>-18.578371904156995</c:v>
                </c:pt>
                <c:pt idx="426">
                  <c:v>-18.688623848313252</c:v>
                </c:pt>
                <c:pt idx="427">
                  <c:v>-18.798338867290457</c:v>
                </c:pt>
                <c:pt idx="428">
                  <c:v>-18.907523235482955</c:v>
                </c:pt>
                <c:pt idx="429">
                  <c:v>-19.018682106705903</c:v>
                </c:pt>
                <c:pt idx="430">
                  <c:v>-19.129298511028903</c:v>
                </c:pt>
                <c:pt idx="431">
                  <c:v>-19.239378815920016</c:v>
                </c:pt>
                <c:pt idx="432">
                  <c:v>-19.348929275883467</c:v>
                </c:pt>
                <c:pt idx="433">
                  <c:v>-19.460406989348655</c:v>
                </c:pt>
                <c:pt idx="434">
                  <c:v>-19.571343584530833</c:v>
                </c:pt>
                <c:pt idx="435">
                  <c:v>-19.681745398543324</c:v>
                </c:pt>
                <c:pt idx="436">
                  <c:v>-19.791618655936368</c:v>
                </c:pt>
                <c:pt idx="437">
                  <c:v>-19.903573898699964</c:v>
                </c:pt>
                <c:pt idx="438">
                  <c:v>-20.01498790075771</c:v>
                </c:pt>
                <c:pt idx="439">
                  <c:v>-20.125866993054494</c:v>
                </c:pt>
                <c:pt idx="440">
                  <c:v>-20.236217393799215</c:v>
                </c:pt>
                <c:pt idx="441">
                  <c:v>-20.348600031959645</c:v>
                </c:pt>
                <c:pt idx="442">
                  <c:v>-20.460441859143458</c:v>
                </c:pt>
                <c:pt idx="443">
                  <c:v>-20.57174918877136</c:v>
                </c:pt>
                <c:pt idx="444">
                  <c:v>-20.68252822162188</c:v>
                </c:pt>
                <c:pt idx="445">
                  <c:v>-20.795291435793235</c:v>
                </c:pt>
                <c:pt idx="446">
                  <c:v>-20.907514773577578</c:v>
                </c:pt>
                <c:pt idx="447">
                  <c:v>-21.019204520326127</c:v>
                </c:pt>
                <c:pt idx="448">
                  <c:v>-21.13036684909201</c:v>
                </c:pt>
                <c:pt idx="449">
                  <c:v>-21.243656093170795</c:v>
                </c:pt>
                <c:pt idx="450">
                  <c:v>-21.356405058012577</c:v>
                </c:pt>
                <c:pt idx="451">
                  <c:v>-21.46862002235607</c:v>
                </c:pt>
                <c:pt idx="452">
                  <c:v>-21.58030715247893</c:v>
                </c:pt>
                <c:pt idx="453">
                  <c:v>-21.693978209366133</c:v>
                </c:pt>
                <c:pt idx="454">
                  <c:v>-21.807110003616547</c:v>
                </c:pt>
                <c:pt idx="455">
                  <c:v>-21.919708780793435</c:v>
                </c:pt>
                <c:pt idx="456">
                  <c:v>-22.031780674471637</c:v>
                </c:pt>
                <c:pt idx="457">
                  <c:v>-22.145972713579457</c:v>
                </c:pt>
                <c:pt idx="458">
                  <c:v>-22.259625225236665</c:v>
                </c:pt>
                <c:pt idx="459">
                  <c:v>-22.372744442088152</c:v>
                </c:pt>
                <c:pt idx="460">
                  <c:v>-22.485336484784892</c:v>
                </c:pt>
                <c:pt idx="461">
                  <c:v>-22.599999197354951</c:v>
                </c:pt>
                <c:pt idx="462">
                  <c:v>-22.714122627170088</c:v>
                </c:pt>
                <c:pt idx="463">
                  <c:v>-22.827712983110402</c:v>
                </c:pt>
                <c:pt idx="464">
                  <c:v>-22.940776362324527</c:v>
                </c:pt>
                <c:pt idx="465">
                  <c:v>-23.0559502644522</c:v>
                </c:pt>
                <c:pt idx="466">
                  <c:v>-23.17058477327063</c:v>
                </c:pt>
                <c:pt idx="467">
                  <c:v>-23.284686077936875</c:v>
                </c:pt>
                <c:pt idx="468">
                  <c:v>-23.39826025605246</c:v>
                </c:pt>
                <c:pt idx="469">
                  <c:v>-23.513896219104822</c:v>
                </c:pt>
                <c:pt idx="470">
                  <c:v>-23.628993153636561</c:v>
                </c:pt>
                <c:pt idx="471">
                  <c:v>-23.743557218826975</c:v>
                </c:pt>
                <c:pt idx="472">
                  <c:v>-23.857594462733708</c:v>
                </c:pt>
                <c:pt idx="473">
                  <c:v>-23.973815343696398</c:v>
                </c:pt>
                <c:pt idx="474">
                  <c:v>-24.089496427637439</c:v>
                </c:pt>
                <c:pt idx="475">
                  <c:v>-24.204643860966115</c:v>
                </c:pt>
                <c:pt idx="476">
                  <c:v>-24.319263679006795</c:v>
                </c:pt>
                <c:pt idx="477">
                  <c:v>-24.436016810789827</c:v>
                </c:pt>
                <c:pt idx="478">
                  <c:v>-24.552229871015943</c:v>
                </c:pt>
                <c:pt idx="479">
                  <c:v>-24.667908982681922</c:v>
                </c:pt>
                <c:pt idx="480">
                  <c:v>-24.783060158009281</c:v>
                </c:pt>
                <c:pt idx="481">
                  <c:v>-24.900295892174551</c:v>
                </c:pt>
                <c:pt idx="482">
                  <c:v>-25.016991728801337</c:v>
                </c:pt>
                <c:pt idx="483">
                  <c:v>-25.133153757721587</c:v>
                </c:pt>
                <c:pt idx="484">
                  <c:v>-25.248787958557365</c:v>
                </c:pt>
                <c:pt idx="485">
                  <c:v>-25.36653945109245</c:v>
                </c:pt>
                <c:pt idx="486">
                  <c:v>-25.48375089426915</c:v>
                </c:pt>
                <c:pt idx="487">
                  <c:v>-25.600428348145691</c:v>
                </c:pt>
                <c:pt idx="488">
                  <c:v>-25.716577763077634</c:v>
                </c:pt>
                <c:pt idx="489">
                  <c:v>-25.834953563775834</c:v>
                </c:pt>
                <c:pt idx="490">
                  <c:v>-25.952788145860918</c:v>
                </c:pt>
                <c:pt idx="491">
                  <c:v>-26.07008755449618</c:v>
                </c:pt>
                <c:pt idx="492">
                  <c:v>-26.186857725317282</c:v>
                </c:pt>
                <c:pt idx="493">
                  <c:v>-26.305803511808442</c:v>
                </c:pt>
                <c:pt idx="494">
                  <c:v>-26.424207376514204</c:v>
                </c:pt>
                <c:pt idx="495">
                  <c:v>-26.542075339698876</c:v>
                </c:pt>
                <c:pt idx="496">
                  <c:v>-26.659413312544082</c:v>
                </c:pt>
                <c:pt idx="497">
                  <c:v>-26.778953357971371</c:v>
                </c:pt>
                <c:pt idx="498">
                  <c:v>-26.897950516096717</c:v>
                </c:pt>
                <c:pt idx="499">
                  <c:v>-27.016410784508817</c:v>
                </c:pt>
                <c:pt idx="500">
                  <c:v>-27.134340052136864</c:v>
                </c:pt>
                <c:pt idx="501">
                  <c:v>-27.25449589732392</c:v>
                </c:pt>
                <c:pt idx="502">
                  <c:v>-27.374107645135179</c:v>
                </c:pt>
                <c:pt idx="503">
                  <c:v>-27.493181272409327</c:v>
                </c:pt>
                <c:pt idx="504">
                  <c:v>-27.611722647736062</c:v>
                </c:pt>
                <c:pt idx="505">
                  <c:v>-27.732440176549066</c:v>
                </c:pt>
                <c:pt idx="506">
                  <c:v>-27.852612826962755</c:v>
                </c:pt>
                <c:pt idx="507">
                  <c:v>-27.972246546010201</c:v>
                </c:pt>
                <c:pt idx="508">
                  <c:v>-28.091347173141521</c:v>
                </c:pt>
                <c:pt idx="509">
                  <c:v>-28.212646705806122</c:v>
                </c:pt>
                <c:pt idx="510">
                  <c:v>-28.333400324482724</c:v>
                </c:pt>
                <c:pt idx="511">
                  <c:v>-28.453613948685135</c:v>
                </c:pt>
                <c:pt idx="512">
                  <c:v>-28.573293390994099</c:v>
                </c:pt>
                <c:pt idx="513">
                  <c:v>-28.695263148258139</c:v>
                </c:pt>
                <c:pt idx="514">
                  <c:v>-28.816685086701913</c:v>
                </c:pt>
                <c:pt idx="515">
                  <c:v>-28.937565110540149</c:v>
                </c:pt>
                <c:pt idx="516">
                  <c:v>-29.057909017452186</c:v>
                </c:pt>
                <c:pt idx="517">
                  <c:v>-29.180491327250561</c:v>
                </c:pt>
                <c:pt idx="518">
                  <c:v>-29.302524346650291</c:v>
                </c:pt>
                <c:pt idx="519">
                  <c:v>-29.424013955774999</c:v>
                </c:pt>
                <c:pt idx="520">
                  <c:v>-29.544965928865345</c:v>
                </c:pt>
                <c:pt idx="521">
                  <c:v>-29.668173792599344</c:v>
                </c:pt>
                <c:pt idx="522">
                  <c:v>-29.790830683468972</c:v>
                </c:pt>
                <c:pt idx="523">
                  <c:v>-29.912942459257476</c:v>
                </c:pt>
                <c:pt idx="524">
                  <c:v>-30.034514872520582</c:v>
                </c:pt>
                <c:pt idx="525">
                  <c:v>-30.158359014428409</c:v>
                </c:pt>
                <c:pt idx="526">
                  <c:v>-30.281650303120891</c:v>
                </c:pt>
                <c:pt idx="527">
                  <c:v>-30.404394575671596</c:v>
                </c:pt>
                <c:pt idx="528">
                  <c:v>-30.526597564588933</c:v>
                </c:pt>
                <c:pt idx="529">
                  <c:v>-30.65108651852605</c:v>
                </c:pt>
                <c:pt idx="530">
                  <c:v>-30.775020553266835</c:v>
                </c:pt>
                <c:pt idx="531">
                  <c:v>-30.898405486713383</c:v>
                </c:pt>
                <c:pt idx="532">
                  <c:v>-31.021247032876168</c:v>
                </c:pt>
                <c:pt idx="533">
                  <c:v>-31.146451685639672</c:v>
                </c:pt>
                <c:pt idx="534">
                  <c:v>-31.271098606827469</c:v>
                </c:pt>
                <c:pt idx="535">
                  <c:v>-31.395193605548034</c:v>
                </c:pt>
                <c:pt idx="536">
                  <c:v>-31.518742387493557</c:v>
                </c:pt>
                <c:pt idx="537">
                  <c:v>-31.644537079577717</c:v>
                </c:pt>
                <c:pt idx="538">
                  <c:v>-31.769772221485468</c:v>
                </c:pt>
                <c:pt idx="539">
                  <c:v>-31.894453596930575</c:v>
                </c:pt>
                <c:pt idx="540">
                  <c:v>-32.018586887127675</c:v>
                </c:pt>
                <c:pt idx="541">
                  <c:v>-32.145101893848164</c:v>
                </c:pt>
                <c:pt idx="542">
                  <c:v>-32.271054243641274</c:v>
                </c:pt>
                <c:pt idx="543">
                  <c:v>-32.396449713805431</c:v>
                </c:pt>
                <c:pt idx="544">
                  <c:v>-32.521293979657209</c:v>
                </c:pt>
                <c:pt idx="545">
                  <c:v>-32.648465463682449</c:v>
                </c:pt>
                <c:pt idx="546">
                  <c:v>-32.77507161521028</c:v>
                </c:pt>
                <c:pt idx="547">
                  <c:v>-32.901118197631668</c:v>
                </c:pt>
                <c:pt idx="548">
                  <c:v>-33.026610873098704</c:v>
                </c:pt>
                <c:pt idx="549">
                  <c:v>-33.154437649265638</c:v>
                </c:pt>
                <c:pt idx="550">
                  <c:v>-33.281696285276247</c:v>
                </c:pt>
                <c:pt idx="551">
                  <c:v>-33.408392532008811</c:v>
                </c:pt>
                <c:pt idx="552">
                  <c:v>-33.534532039858547</c:v>
                </c:pt>
                <c:pt idx="553">
                  <c:v>-33.663070175970084</c:v>
                </c:pt>
                <c:pt idx="554">
                  <c:v>-33.791036719342607</c:v>
                </c:pt>
                <c:pt idx="555">
                  <c:v>-33.918437417596941</c:v>
                </c:pt>
                <c:pt idx="556">
                  <c:v>-34.045277918458765</c:v>
                </c:pt>
                <c:pt idx="557">
                  <c:v>-34.303186364379741</c:v>
                </c:pt>
                <c:pt idx="558">
                  <c:v>-34.558817176802407</c:v>
                </c:pt>
                <c:pt idx="559">
                  <c:v>-34.817997531896829</c:v>
                </c:pt>
                <c:pt idx="560">
                  <c:v>-35.074887797747763</c:v>
                </c:pt>
                <c:pt idx="561">
                  <c:v>-35.335547447881353</c:v>
                </c:pt>
                <c:pt idx="562">
                  <c:v>-35.593900267801985</c:v>
                </c:pt>
                <c:pt idx="563">
                  <c:v>-35.85546208315882</c:v>
                </c:pt>
                <c:pt idx="564">
                  <c:v>-36.114709844667132</c:v>
                </c:pt>
                <c:pt idx="565">
                  <c:v>-36.378137622206026</c:v>
                </c:pt>
                <c:pt idx="566">
                  <c:v>-36.639226468785665</c:v>
                </c:pt>
                <c:pt idx="567">
                  <c:v>-36.904356538347486</c:v>
                </c:pt>
                <c:pt idx="568">
                  <c:v>-37.167124997114534</c:v>
                </c:pt>
                <c:pt idx="569">
                  <c:v>-37.43276267113751</c:v>
                </c:pt>
                <c:pt idx="570">
                  <c:v>-37.696036550011016</c:v>
                </c:pt>
                <c:pt idx="571">
                  <c:v>-37.964122587415787</c:v>
                </c:pt>
                <c:pt idx="572">
                  <c:v>-38.229807502777724</c:v>
                </c:pt>
                <c:pt idx="573">
                  <c:v>-38.498139481503216</c:v>
                </c:pt>
                <c:pt idx="574">
                  <c:v>-38.764071521453275</c:v>
                </c:pt>
                <c:pt idx="575">
                  <c:v>-39.034527622023091</c:v>
                </c:pt>
                <c:pt idx="576">
                  <c:v>-39.30255078009273</c:v>
                </c:pt>
                <c:pt idx="577">
                  <c:v>-40.411316899509025</c:v>
                </c:pt>
                <c:pt idx="578">
                  <c:v>-41.480448073208784</c:v>
                </c:pt>
                <c:pt idx="579">
                  <c:v>-43.697972934281722</c:v>
                </c:pt>
                <c:pt idx="580">
                  <c:v>-45.956835104211834</c:v>
                </c:pt>
                <c:pt idx="581">
                  <c:v>-48.251296528392615</c:v>
                </c:pt>
                <c:pt idx="582">
                  <c:v>-50.579799757122821</c:v>
                </c:pt>
                <c:pt idx="583">
                  <c:v>-52.937165478813043</c:v>
                </c:pt>
                <c:pt idx="584">
                  <c:v>-55.321382345101291</c:v>
                </c:pt>
                <c:pt idx="585">
                  <c:v>-57.727089878163426</c:v>
                </c:pt>
                <c:pt idx="586">
                  <c:v>-60.150552875480159</c:v>
                </c:pt>
                <c:pt idx="587">
                  <c:v>-62.589056579616638</c:v>
                </c:pt>
                <c:pt idx="588">
                  <c:v>-65.036454168981649</c:v>
                </c:pt>
                <c:pt idx="589">
                  <c:v>-67.491219150015667</c:v>
                </c:pt>
                <c:pt idx="590">
                  <c:v>-69.949360402793872</c:v>
                </c:pt>
                <c:pt idx="591">
                  <c:v>-72.408520009815135</c:v>
                </c:pt>
                <c:pt idx="592">
                  <c:v>-74.866313563571921</c:v>
                </c:pt>
                <c:pt idx="593">
                  <c:v>-77.32193031751298</c:v>
                </c:pt>
                <c:pt idx="594">
                  <c:v>-79.773655706305107</c:v>
                </c:pt>
                <c:pt idx="595">
                  <c:v>-82.221331930393404</c:v>
                </c:pt>
                <c:pt idx="596">
                  <c:v>-84.66414809200694</c:v>
                </c:pt>
                <c:pt idx="597">
                  <c:v>-87.102573983728888</c:v>
                </c:pt>
                <c:pt idx="598">
                  <c:v>-89.536143838430448</c:v>
                </c:pt>
                <c:pt idx="599">
                  <c:v>-91.965742698518952</c:v>
                </c:pt>
                <c:pt idx="600">
                  <c:v>-94.391337517030891</c:v>
                </c:pt>
                <c:pt idx="604">
                  <c:v>7.680819573435195E-2</c:v>
                </c:pt>
              </c:numCache>
            </c:numRef>
          </c:yVal>
          <c:smooth val="1"/>
          <c:extLst>
            <c:ext xmlns:c16="http://schemas.microsoft.com/office/drawing/2014/chart" uri="{C3380CC4-5D6E-409C-BE32-E72D297353CC}">
              <c16:uniqueId val="{00000002-4362-43AB-BDC1-536058DC7619}"/>
            </c:ext>
          </c:extLst>
        </c:ser>
        <c:ser>
          <c:idx val="0"/>
          <c:order val="3"/>
          <c:tx>
            <c:strRef>
              <c:f>'Stability Calculations'!$AG$12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66.121401018675698</c:v>
                </c:pt>
                <c:pt idx="1">
                  <c:v>65.34242387754837</c:v>
                </c:pt>
                <c:pt idx="2">
                  <c:v>64.561298008105666</c:v>
                </c:pt>
                <c:pt idx="3">
                  <c:v>63.778607370811557</c:v>
                </c:pt>
                <c:pt idx="4">
                  <c:v>62.995405638631574</c:v>
                </c:pt>
                <c:pt idx="5">
                  <c:v>62.210903360062851</c:v>
                </c:pt>
                <c:pt idx="6">
                  <c:v>61.426716569785036</c:v>
                </c:pt>
                <c:pt idx="7">
                  <c:v>60.642834400344341</c:v>
                </c:pt>
                <c:pt idx="8">
                  <c:v>59.86035212017444</c:v>
                </c:pt>
                <c:pt idx="9">
                  <c:v>59.079235132267023</c:v>
                </c:pt>
                <c:pt idx="10">
                  <c:v>58.3005404273908</c:v>
                </c:pt>
                <c:pt idx="11">
                  <c:v>57.524829979075761</c:v>
                </c:pt>
                <c:pt idx="12">
                  <c:v>56.752453494708526</c:v>
                </c:pt>
                <c:pt idx="13">
                  <c:v>55.985013194702631</c:v>
                </c:pt>
                <c:pt idx="14">
                  <c:v>55.222877375340211</c:v>
                </c:pt>
                <c:pt idx="15">
                  <c:v>54.467464096197098</c:v>
                </c:pt>
                <c:pt idx="16">
                  <c:v>53.719994539479295</c:v>
                </c:pt>
                <c:pt idx="17">
                  <c:v>52.982032862249454</c:v>
                </c:pt>
                <c:pt idx="18">
                  <c:v>52.255015873193841</c:v>
                </c:pt>
                <c:pt idx="19">
                  <c:v>51.540990319497311</c:v>
                </c:pt>
                <c:pt idx="20">
                  <c:v>50.841865446152468</c:v>
                </c:pt>
                <c:pt idx="21">
                  <c:v>50.160026405157119</c:v>
                </c:pt>
                <c:pt idx="22">
                  <c:v>49.497738192409358</c:v>
                </c:pt>
                <c:pt idx="23">
                  <c:v>48.857700361429806</c:v>
                </c:pt>
                <c:pt idx="24">
                  <c:v>48.242352321242436</c:v>
                </c:pt>
                <c:pt idx="25">
                  <c:v>47.654381158363591</c:v>
                </c:pt>
                <c:pt idx="26">
                  <c:v>47.096134085584076</c:v>
                </c:pt>
                <c:pt idx="27">
                  <c:v>46.570046707184616</c:v>
                </c:pt>
                <c:pt idx="28">
                  <c:v>46.078004746213843</c:v>
                </c:pt>
                <c:pt idx="29">
                  <c:v>45.621741004008868</c:v>
                </c:pt>
                <c:pt idx="30">
                  <c:v>45.201431284450706</c:v>
                </c:pt>
                <c:pt idx="31">
                  <c:v>44.818029503137225</c:v>
                </c:pt>
                <c:pt idx="32">
                  <c:v>44.470983170839553</c:v>
                </c:pt>
                <c:pt idx="33">
                  <c:v>44.15964441564212</c:v>
                </c:pt>
                <c:pt idx="34">
                  <c:v>43.882336360580865</c:v>
                </c:pt>
                <c:pt idx="35">
                  <c:v>43.637332418839385</c:v>
                </c:pt>
                <c:pt idx="36">
                  <c:v>43.422342683110706</c:v>
                </c:pt>
                <c:pt idx="37">
                  <c:v>43.234793892117551</c:v>
                </c:pt>
                <c:pt idx="38">
                  <c:v>43.0722655531046</c:v>
                </c:pt>
                <c:pt idx="39">
                  <c:v>42.931995959343709</c:v>
                </c:pt>
                <c:pt idx="40">
                  <c:v>42.811478468662827</c:v>
                </c:pt>
                <c:pt idx="41">
                  <c:v>42.708250862794664</c:v>
                </c:pt>
                <c:pt idx="42">
                  <c:v>42.620034610445273</c:v>
                </c:pt>
                <c:pt idx="43">
                  <c:v>42.544698617546146</c:v>
                </c:pt>
                <c:pt idx="44">
                  <c:v>42.480352314350966</c:v>
                </c:pt>
                <c:pt idx="45">
                  <c:v>42.425262940045421</c:v>
                </c:pt>
                <c:pt idx="46">
                  <c:v>42.37790435598523</c:v>
                </c:pt>
                <c:pt idx="47">
                  <c:v>42.336895470550317</c:v>
                </c:pt>
                <c:pt idx="48">
                  <c:v>42.301022271069009</c:v>
                </c:pt>
                <c:pt idx="49">
                  <c:v>42.269176570530163</c:v>
                </c:pt>
                <c:pt idx="50">
                  <c:v>42.24036724139647</c:v>
                </c:pt>
                <c:pt idx="51">
                  <c:v>42.213670512564001</c:v>
                </c:pt>
                <c:pt idx="52">
                  <c:v>42.188233159254054</c:v>
                </c:pt>
                <c:pt idx="53">
                  <c:v>42.163224357515475</c:v>
                </c:pt>
                <c:pt idx="54">
                  <c:v>42.13783964486889</c:v>
                </c:pt>
                <c:pt idx="55">
                  <c:v>42.111200341915939</c:v>
                </c:pt>
                <c:pt idx="56">
                  <c:v>42.082467433323323</c:v>
                </c:pt>
                <c:pt idx="57">
                  <c:v>42.050680833694628</c:v>
                </c:pt>
                <c:pt idx="58">
                  <c:v>42.014831117742048</c:v>
                </c:pt>
                <c:pt idx="59">
                  <c:v>41.973736729546388</c:v>
                </c:pt>
                <c:pt idx="60">
                  <c:v>41.926113589089205</c:v>
                </c:pt>
                <c:pt idx="61">
                  <c:v>41.870466302355595</c:v>
                </c:pt>
                <c:pt idx="62">
                  <c:v>41.805048182788653</c:v>
                </c:pt>
                <c:pt idx="63">
                  <c:v>41.727954925291861</c:v>
                </c:pt>
                <c:pt idx="64">
                  <c:v>41.636867440516163</c:v>
                </c:pt>
                <c:pt idx="65">
                  <c:v>41.529227298111884</c:v>
                </c:pt>
                <c:pt idx="66">
                  <c:v>41.40207933277226</c:v>
                </c:pt>
                <c:pt idx="67">
                  <c:v>41.252114055145547</c:v>
                </c:pt>
                <c:pt idx="68">
                  <c:v>41.075558110726348</c:v>
                </c:pt>
                <c:pt idx="69">
                  <c:v>40.868334874947394</c:v>
                </c:pt>
                <c:pt idx="70">
                  <c:v>40.625913592240217</c:v>
                </c:pt>
                <c:pt idx="71">
                  <c:v>40.343542300562873</c:v>
                </c:pt>
                <c:pt idx="72">
                  <c:v>40.016133575773082</c:v>
                </c:pt>
                <c:pt idx="73">
                  <c:v>39.638645582781372</c:v>
                </c:pt>
                <c:pt idx="74">
                  <c:v>39.20592154687381</c:v>
                </c:pt>
                <c:pt idx="75">
                  <c:v>38.713216522311029</c:v>
                </c:pt>
                <c:pt idx="76">
                  <c:v>38.15606562174397</c:v>
                </c:pt>
                <c:pt idx="77">
                  <c:v>37.530993237599446</c:v>
                </c:pt>
                <c:pt idx="78">
                  <c:v>36.835242095928692</c:v>
                </c:pt>
                <c:pt idx="79">
                  <c:v>36.067630659853023</c:v>
                </c:pt>
                <c:pt idx="80">
                  <c:v>35.226290283074469</c:v>
                </c:pt>
                <c:pt idx="81">
                  <c:v>34.312986347860281</c:v>
                </c:pt>
                <c:pt idx="82">
                  <c:v>33.328918631115812</c:v>
                </c:pt>
                <c:pt idx="83">
                  <c:v>32.277646709980004</c:v>
                </c:pt>
                <c:pt idx="84">
                  <c:v>31.162080774126789</c:v>
                </c:pt>
                <c:pt idx="85">
                  <c:v>29.987210522636087</c:v>
                </c:pt>
                <c:pt idx="86">
                  <c:v>28.757697040832738</c:v>
                </c:pt>
                <c:pt idx="87">
                  <c:v>27.477892922476567</c:v>
                </c:pt>
                <c:pt idx="88">
                  <c:v>26.154100083781987</c:v>
                </c:pt>
                <c:pt idx="89">
                  <c:v>24.790223979890698</c:v>
                </c:pt>
                <c:pt idx="90">
                  <c:v>23.391479822701505</c:v>
                </c:pt>
                <c:pt idx="91">
                  <c:v>21.962131523210143</c:v>
                </c:pt>
                <c:pt idx="92">
                  <c:v>20.506374929079119</c:v>
                </c:pt>
                <c:pt idx="93">
                  <c:v>19.027362375691318</c:v>
                </c:pt>
                <c:pt idx="94">
                  <c:v>18.654544647801877</c:v>
                </c:pt>
                <c:pt idx="95">
                  <c:v>18.466527884195656</c:v>
                </c:pt>
                <c:pt idx="96">
                  <c:v>18.28037222730617</c:v>
                </c:pt>
                <c:pt idx="97">
                  <c:v>18.091792488429746</c:v>
                </c:pt>
                <c:pt idx="98">
                  <c:v>17.905090828808685</c:v>
                </c:pt>
                <c:pt idx="99">
                  <c:v>17.715922190227282</c:v>
                </c:pt>
                <c:pt idx="100">
                  <c:v>17.528648914433319</c:v>
                </c:pt>
                <c:pt idx="101">
                  <c:v>17.339011436334278</c:v>
                </c:pt>
                <c:pt idx="102">
                  <c:v>17.151284003371082</c:v>
                </c:pt>
                <c:pt idx="103">
                  <c:v>16.96101535810843</c:v>
                </c:pt>
                <c:pt idx="104">
                  <c:v>16.772674498854247</c:v>
                </c:pt>
                <c:pt idx="105">
                  <c:v>16.58189873404211</c:v>
                </c:pt>
                <c:pt idx="106">
                  <c:v>16.393065810999154</c:v>
                </c:pt>
                <c:pt idx="107">
                  <c:v>16.201900291132439</c:v>
                </c:pt>
                <c:pt idx="108">
                  <c:v>16.012690084696729</c:v>
                </c:pt>
                <c:pt idx="109">
                  <c:v>15.821115904336374</c:v>
                </c:pt>
                <c:pt idx="110">
                  <c:v>15.63150968423005</c:v>
                </c:pt>
                <c:pt idx="111">
                  <c:v>15.439385122885994</c:v>
                </c:pt>
                <c:pt idx="112">
                  <c:v>15.249243878707583</c:v>
                </c:pt>
                <c:pt idx="113">
                  <c:v>15.056690601267977</c:v>
                </c:pt>
                <c:pt idx="114">
                  <c:v>14.866133319556782</c:v>
                </c:pt>
                <c:pt idx="115">
                  <c:v>14.673144277072222</c:v>
                </c:pt>
                <c:pt idx="116">
                  <c:v>14.4821638681486</c:v>
                </c:pt>
                <c:pt idx="117">
                  <c:v>14.288735484929134</c:v>
                </c:pt>
                <c:pt idx="118">
                  <c:v>14.097328266843409</c:v>
                </c:pt>
                <c:pt idx="119">
                  <c:v>13.903577066492582</c:v>
                </c:pt>
                <c:pt idx="120">
                  <c:v>13.711856955337806</c:v>
                </c:pt>
                <c:pt idx="121">
                  <c:v>13.517778236067457</c:v>
                </c:pt>
                <c:pt idx="122">
                  <c:v>13.325740438642979</c:v>
                </c:pt>
                <c:pt idx="123">
                  <c:v>13.131220467609259</c:v>
                </c:pt>
                <c:pt idx="124">
                  <c:v>12.938753454656366</c:v>
                </c:pt>
                <c:pt idx="125">
                  <c:v>12.743910061116399</c:v>
                </c:pt>
                <c:pt idx="126">
                  <c:v>12.551129015464733</c:v>
                </c:pt>
                <c:pt idx="127">
                  <c:v>12.355965704525651</c:v>
                </c:pt>
                <c:pt idx="128">
                  <c:v>12.162873879652036</c:v>
                </c:pt>
                <c:pt idx="129">
                  <c:v>11.967396499291983</c:v>
                </c:pt>
                <c:pt idx="130">
                  <c:v>11.773999444704428</c:v>
                </c:pt>
                <c:pt idx="131">
                  <c:v>11.578215980859227</c:v>
                </c:pt>
                <c:pt idx="132">
                  <c:v>11.481110287673008</c:v>
                </c:pt>
                <c:pt idx="133">
                  <c:v>11.38452134068408</c:v>
                </c:pt>
                <c:pt idx="134">
                  <c:v>11.286166025413154</c:v>
                </c:pt>
                <c:pt idx="135">
                  <c:v>11.188341037507524</c:v>
                </c:pt>
                <c:pt idx="136">
                  <c:v>11.091040799326651</c:v>
                </c:pt>
                <c:pt idx="137">
                  <c:v>10.994259817169761</c:v>
                </c:pt>
                <c:pt idx="138">
                  <c:v>10.895812971745416</c:v>
                </c:pt>
                <c:pt idx="139">
                  <c:v>10.79789786764815</c:v>
                </c:pt>
                <c:pt idx="140">
                  <c:v>10.700508890535357</c:v>
                </c:pt>
                <c:pt idx="141">
                  <c:v>10.6036405110515</c:v>
                </c:pt>
                <c:pt idx="142">
                  <c:v>10.505008627320041</c:v>
                </c:pt>
                <c:pt idx="143">
                  <c:v>10.406910863295867</c:v>
                </c:pt>
                <c:pt idx="144">
                  <c:v>10.309341553057344</c:v>
                </c:pt>
                <c:pt idx="145">
                  <c:v>10.212295117007571</c:v>
                </c:pt>
                <c:pt idx="146">
                  <c:v>10.11353613723352</c:v>
                </c:pt>
                <c:pt idx="147">
                  <c:v>10.015312988134795</c:v>
                </c:pt>
                <c:pt idx="148">
                  <c:v>9.9176199631067714</c:v>
                </c:pt>
                <c:pt idx="149">
                  <c:v>9.8204514429794472</c:v>
                </c:pt>
                <c:pt idx="150">
                  <c:v>9.7215733174231644</c:v>
                </c:pt>
                <c:pt idx="151">
                  <c:v>9.6232326046147634</c:v>
                </c:pt>
                <c:pt idx="152">
                  <c:v>9.5254235596558505</c:v>
                </c:pt>
                <c:pt idx="153">
                  <c:v>9.4281405261348254</c:v>
                </c:pt>
                <c:pt idx="154">
                  <c:v>9.329106320788668</c:v>
                </c:pt>
                <c:pt idx="155">
                  <c:v>9.2306114687796885</c:v>
                </c:pt>
                <c:pt idx="156">
                  <c:v>9.1326501814755261</c:v>
                </c:pt>
                <c:pt idx="157">
                  <c:v>9.0352167598869997</c:v>
                </c:pt>
                <c:pt idx="158">
                  <c:v>8.9360383724502146</c:v>
                </c:pt>
                <c:pt idx="159">
                  <c:v>8.8374011086081232</c:v>
                </c:pt>
                <c:pt idx="160">
                  <c:v>8.7392991389835224</c:v>
                </c:pt>
                <c:pt idx="161">
                  <c:v>8.6417267249301926</c:v>
                </c:pt>
                <c:pt idx="162">
                  <c:v>8.5424598318598122</c:v>
                </c:pt>
                <c:pt idx="163">
                  <c:v>8.4437351846156616</c:v>
                </c:pt>
                <c:pt idx="164">
                  <c:v>8.3455469237981674</c:v>
                </c:pt>
                <c:pt idx="165">
                  <c:v>8.2478892815968408</c:v>
                </c:pt>
                <c:pt idx="166">
                  <c:v>8.1484583546200842</c:v>
                </c:pt>
                <c:pt idx="167">
                  <c:v>8.0495715769410623</c:v>
                </c:pt>
                <c:pt idx="168">
                  <c:v>7.9512230467566702</c:v>
                </c:pt>
                <c:pt idx="169">
                  <c:v>7.8534069549620158</c:v>
                </c:pt>
                <c:pt idx="170">
                  <c:v>7.7540355595642074</c:v>
                </c:pt>
                <c:pt idx="171">
                  <c:v>7.6552077346404976</c:v>
                </c:pt>
                <c:pt idx="172">
                  <c:v>7.5569175765467609</c:v>
                </c:pt>
                <c:pt idx="173">
                  <c:v>7.4591592745897897</c:v>
                </c:pt>
                <c:pt idx="174">
                  <c:v>7.3594826279343213</c:v>
                </c:pt>
                <c:pt idx="175">
                  <c:v>7.2603529145731693</c:v>
                </c:pt>
                <c:pt idx="176">
                  <c:v>7.1617641651439312</c:v>
                </c:pt>
                <c:pt idx="177">
                  <c:v>7.0637105048203965</c:v>
                </c:pt>
                <c:pt idx="178">
                  <c:v>6.9637946308653991</c:v>
                </c:pt>
                <c:pt idx="179">
                  <c:v>6.8644282951120204</c:v>
                </c:pt>
                <c:pt idx="180">
                  <c:v>6.7656054748314842</c:v>
                </c:pt>
                <c:pt idx="181">
                  <c:v>6.6673202431551557</c:v>
                </c:pt>
                <c:pt idx="182">
                  <c:v>6.5676170819027959</c:v>
                </c:pt>
                <c:pt idx="183">
                  <c:v>6.4684610680508268</c:v>
                </c:pt>
                <c:pt idx="184">
                  <c:v>6.3698462075934517</c:v>
                </c:pt>
                <c:pt idx="185">
                  <c:v>6.2717666019657194</c:v>
                </c:pt>
                <c:pt idx="186">
                  <c:v>6.1715460104352182</c:v>
                </c:pt>
                <c:pt idx="187">
                  <c:v>6.0718781401111404</c:v>
                </c:pt>
                <c:pt idx="188">
                  <c:v>5.9727568950956531</c:v>
                </c:pt>
                <c:pt idx="189">
                  <c:v>5.8741762772779307</c:v>
                </c:pt>
                <c:pt idx="190">
                  <c:v>5.7742644410150392</c:v>
                </c:pt>
                <c:pt idx="191">
                  <c:v>5.674901787382824</c:v>
                </c:pt>
                <c:pt idx="192">
                  <c:v>5.5760822687749512</c:v>
                </c:pt>
                <c:pt idx="193">
                  <c:v>5.4777999345150388</c:v>
                </c:pt>
                <c:pt idx="194">
                  <c:v>5.3774932634104449</c:v>
                </c:pt>
                <c:pt idx="195">
                  <c:v>5.2777399196745804</c:v>
                </c:pt>
                <c:pt idx="196">
                  <c:v>5.1785337774258426</c:v>
                </c:pt>
                <c:pt idx="197">
                  <c:v>5.0798688095515168</c:v>
                </c:pt>
                <c:pt idx="198">
                  <c:v>4.9795962040495096</c:v>
                </c:pt>
                <c:pt idx="199">
                  <c:v>4.8798763143859638</c:v>
                </c:pt>
                <c:pt idx="200">
                  <c:v>4.7807030151325121</c:v>
                </c:pt>
                <c:pt idx="201">
                  <c:v>4.682070279778646</c:v>
                </c:pt>
                <c:pt idx="202">
                  <c:v>4.5818758842603833</c:v>
                </c:pt>
                <c:pt idx="203">
                  <c:v>4.4822330647193755</c:v>
                </c:pt>
                <c:pt idx="204">
                  <c:v>4.3831357051645341</c:v>
                </c:pt>
                <c:pt idx="205">
                  <c:v>4.2845777884713172</c:v>
                </c:pt>
                <c:pt idx="206">
                  <c:v>4.184160835284799</c:v>
                </c:pt>
                <c:pt idx="207">
                  <c:v>4.0842975784476661</c:v>
                </c:pt>
                <c:pt idx="208">
                  <c:v>3.9849818574285099</c:v>
                </c:pt>
                <c:pt idx="209">
                  <c:v>3.8862076116673165</c:v>
                </c:pt>
                <c:pt idx="210">
                  <c:v>3.7852940467687768</c:v>
                </c:pt>
                <c:pt idx="211">
                  <c:v>3.6849392777842302</c:v>
                </c:pt>
                <c:pt idx="212">
                  <c:v>3.5851370497740214</c:v>
                </c:pt>
                <c:pt idx="213">
                  <c:v>3.4858812099554233</c:v>
                </c:pt>
                <c:pt idx="214">
                  <c:v>3.3852034064359326</c:v>
                </c:pt>
                <c:pt idx="215">
                  <c:v>3.2850813777615908</c:v>
                </c:pt>
                <c:pt idx="216">
                  <c:v>3.1855089103549119</c:v>
                </c:pt>
                <c:pt idx="217">
                  <c:v>3.0864798920322309</c:v>
                </c:pt>
                <c:pt idx="218">
                  <c:v>2.985748793572589</c:v>
                </c:pt>
                <c:pt idx="219">
                  <c:v>2.8855735909099374</c:v>
                </c:pt>
                <c:pt idx="220">
                  <c:v>2.7859480594151331</c:v>
                </c:pt>
                <c:pt idx="221">
                  <c:v>2.6868660762237182</c:v>
                </c:pt>
                <c:pt idx="222">
                  <c:v>2.5861308464724586</c:v>
                </c:pt>
                <c:pt idx="223">
                  <c:v>2.4859510454711926</c:v>
                </c:pt>
                <c:pt idx="224">
                  <c:v>2.3863204474923152</c:v>
                </c:pt>
                <c:pt idx="225">
                  <c:v>2.2872329287212252</c:v>
                </c:pt>
                <c:pt idx="226">
                  <c:v>2.1862331865218834</c:v>
                </c:pt>
                <c:pt idx="227">
                  <c:v>2.0857912231167823</c:v>
                </c:pt>
                <c:pt idx="228">
                  <c:v>1.9859007644371909</c:v>
                </c:pt>
                <c:pt idx="229">
                  <c:v>1.8865556395010548</c:v>
                </c:pt>
                <c:pt idx="230">
                  <c:v>1.684711491586852</c:v>
                </c:pt>
                <c:pt idx="231">
                  <c:v>1.5846221956257367</c:v>
                </c:pt>
                <c:pt idx="232">
                  <c:v>1.4850797754960021</c:v>
                </c:pt>
                <c:pt idx="233">
                  <c:v>1.3837344609211253</c:v>
                </c:pt>
                <c:pt idx="234">
                  <c:v>1.282949456123808</c:v>
                </c:pt>
                <c:pt idx="235">
                  <c:v>1.1827184266258171</c:v>
                </c:pt>
                <c:pt idx="236">
                  <c:v>1.0830351425913742</c:v>
                </c:pt>
                <c:pt idx="237">
                  <c:v>0.98188747050558889</c:v>
                </c:pt>
                <c:pt idx="238">
                  <c:v>0.88129721785141557</c:v>
                </c:pt>
                <c:pt idx="239">
                  <c:v>0.78125809020652737</c:v>
                </c:pt>
                <c:pt idx="240">
                  <c:v>0.68176389702125251</c:v>
                </c:pt>
                <c:pt idx="241">
                  <c:v>0.58028545259852127</c:v>
                </c:pt>
                <c:pt idx="242">
                  <c:v>0.47936730161217778</c:v>
                </c:pt>
                <c:pt idx="243">
                  <c:v>0.37900309224087392</c:v>
                </c:pt>
                <c:pt idx="244">
                  <c:v>0.27918657790392942</c:v>
                </c:pt>
                <c:pt idx="245">
                  <c:v>0.17771770302441531</c:v>
                </c:pt>
                <c:pt idx="246">
                  <c:v>7.680819573435195E-2</c:v>
                </c:pt>
                <c:pt idx="247">
                  <c:v>-2.354828886673848E-2</c:v>
                </c:pt>
                <c:pt idx="248">
                  <c:v>-0.12335799048719201</c:v>
                </c:pt>
                <c:pt idx="249">
                  <c:v>-0.2250415394359665</c:v>
                </c:pt>
                <c:pt idx="250">
                  <c:v>-0.32616423452799126</c:v>
                </c:pt>
                <c:pt idx="251">
                  <c:v>-0.4267324547031856</c:v>
                </c:pt>
                <c:pt idx="252">
                  <c:v>-0.52675247285481031</c:v>
                </c:pt>
                <c:pt idx="253">
                  <c:v>-0.62832999949384838</c:v>
                </c:pt>
                <c:pt idx="254">
                  <c:v>-0.72934876694258677</c:v>
                </c:pt>
                <c:pt idx="255">
                  <c:v>-0.82981512730689699</c:v>
                </c:pt>
                <c:pt idx="256">
                  <c:v>-0.92973532714186513</c:v>
                </c:pt>
                <c:pt idx="257">
                  <c:v>-1.0316830040640712</c:v>
                </c:pt>
                <c:pt idx="258">
                  <c:v>-1.1330688434874927</c:v>
                </c:pt>
                <c:pt idx="259">
                  <c:v>-1.2338992587927957</c:v>
                </c:pt>
                <c:pt idx="260">
                  <c:v>-1.3341805563552132</c:v>
                </c:pt>
                <c:pt idx="261">
                  <c:v>-1.4361794575589062</c:v>
                </c:pt>
                <c:pt idx="262">
                  <c:v>-1.5376170073937292</c:v>
                </c:pt>
                <c:pt idx="263">
                  <c:v>-1.6384996198341475</c:v>
                </c:pt>
                <c:pt idx="264">
                  <c:v>-1.7388336017405248</c:v>
                </c:pt>
                <c:pt idx="265">
                  <c:v>-1.8408366312578541</c:v>
                </c:pt>
                <c:pt idx="266">
                  <c:v>-1.94227937030811</c:v>
                </c:pt>
                <c:pt idx="267">
                  <c:v>-2.0431682236436877</c:v>
                </c:pt>
                <c:pt idx="268">
                  <c:v>-2.1435094890136126</c:v>
                </c:pt>
                <c:pt idx="269">
                  <c:v>-2.2457133389160004</c:v>
                </c:pt>
                <c:pt idx="270">
                  <c:v>-2.3473558648179913</c:v>
                </c:pt>
                <c:pt idx="271">
                  <c:v>-2.4484434981203491</c:v>
                </c:pt>
                <c:pt idx="272">
                  <c:v>-2.548982562534472</c:v>
                </c:pt>
                <c:pt idx="273">
                  <c:v>-2.6513311930240873</c:v>
                </c:pt>
                <c:pt idx="274">
                  <c:v>-2.7531181454095326</c:v>
                </c:pt>
                <c:pt idx="275">
                  <c:v>-2.854349866198183</c:v>
                </c:pt>
                <c:pt idx="276">
                  <c:v>-2.9550326937784299</c:v>
                </c:pt>
                <c:pt idx="277">
                  <c:v>-3.0572438007357023</c:v>
                </c:pt>
                <c:pt idx="278">
                  <c:v>-3.1588960241257178</c:v>
                </c:pt>
                <c:pt idx="279">
                  <c:v>-3.2599957715645895</c:v>
                </c:pt>
                <c:pt idx="280">
                  <c:v>-3.3605493433248865</c:v>
                </c:pt>
                <c:pt idx="281">
                  <c:v>-3.4632646523581423</c:v>
                </c:pt>
                <c:pt idx="282">
                  <c:v>-3.5654169300490439</c:v>
                </c:pt>
                <c:pt idx="283">
                  <c:v>-3.6670126644561893</c:v>
                </c:pt>
                <c:pt idx="284">
                  <c:v>-3.7680582344054905</c:v>
                </c:pt>
                <c:pt idx="285">
                  <c:v>-3.8705424136695599</c:v>
                </c:pt>
                <c:pt idx="286">
                  <c:v>-3.972467510440381</c:v>
                </c:pt>
                <c:pt idx="287">
                  <c:v>-4.0738399539996193</c:v>
                </c:pt>
                <c:pt idx="288">
                  <c:v>-4.1746660656179149</c:v>
                </c:pt>
                <c:pt idx="289">
                  <c:v>-4.2775385543527866</c:v>
                </c:pt>
                <c:pt idx="290">
                  <c:v>-4.3798492255384618</c:v>
                </c:pt>
                <c:pt idx="291">
                  <c:v>-4.4816045648459397</c:v>
                </c:pt>
                <c:pt idx="292">
                  <c:v>-4.5828109485803594</c:v>
                </c:pt>
                <c:pt idx="293">
                  <c:v>-4.6857945419277325</c:v>
                </c:pt>
                <c:pt idx="294">
                  <c:v>-4.7882166775390012</c:v>
                </c:pt>
                <c:pt idx="295">
                  <c:v>-4.8900838442381298</c:v>
                </c:pt>
                <c:pt idx="296">
                  <c:v>-4.9914024213182975</c:v>
                </c:pt>
                <c:pt idx="297">
                  <c:v>-5.0944487265959806</c:v>
                </c:pt>
                <c:pt idx="298">
                  <c:v>-5.1969345320485463</c:v>
                </c:pt>
                <c:pt idx="299">
                  <c:v>-5.2988663193544028</c:v>
                </c:pt>
                <c:pt idx="300">
                  <c:v>-5.4002504607268005</c:v>
                </c:pt>
                <c:pt idx="301">
                  <c:v>-5.5033146077676367</c:v>
                </c:pt>
                <c:pt idx="302">
                  <c:v>-5.6058197696871304</c:v>
                </c:pt>
                <c:pt idx="303">
                  <c:v>-5.7077724114100441</c:v>
                </c:pt>
                <c:pt idx="304">
                  <c:v>-5.8091788886742322</c:v>
                </c:pt>
                <c:pt idx="305">
                  <c:v>-5.912614593848728</c:v>
                </c:pt>
                <c:pt idx="306">
                  <c:v>-6.0154890777802086</c:v>
                </c:pt>
                <c:pt idx="307">
                  <c:v>-6.11780885365821</c:v>
                </c:pt>
                <c:pt idx="308">
                  <c:v>-6.2195803243021217</c:v>
                </c:pt>
                <c:pt idx="309">
                  <c:v>-6.3229371863407344</c:v>
                </c:pt>
                <c:pt idx="310">
                  <c:v>-6.425735541428919</c:v>
                </c:pt>
                <c:pt idx="311">
                  <c:v>-6.5279818652390826</c:v>
                </c:pt>
                <c:pt idx="312">
                  <c:v>-6.6296825238173067</c:v>
                </c:pt>
                <c:pt idx="313">
                  <c:v>-6.7333044371543203</c:v>
                </c:pt>
                <c:pt idx="314">
                  <c:v>-6.8363669243262564</c:v>
                </c:pt>
                <c:pt idx="315">
                  <c:v>-6.9388764865565866</c:v>
                </c:pt>
                <c:pt idx="316">
                  <c:v>-7.0408395147631628</c:v>
                </c:pt>
                <c:pt idx="317">
                  <c:v>-7.1446705863532598</c:v>
                </c:pt>
                <c:pt idx="318">
                  <c:v>-7.247942002175396</c:v>
                </c:pt>
                <c:pt idx="319">
                  <c:v>-7.350660277103227</c:v>
                </c:pt>
                <c:pt idx="320">
                  <c:v>-7.4528318152887172</c:v>
                </c:pt>
                <c:pt idx="321">
                  <c:v>-7.5568200460586956</c:v>
                </c:pt>
                <c:pt idx="322">
                  <c:v>-7.6602490372198373</c:v>
                </c:pt>
                <c:pt idx="323">
                  <c:v>-7.7631253060809442</c:v>
                </c:pt>
                <c:pt idx="324">
                  <c:v>-7.8654552590639835</c:v>
                </c:pt>
                <c:pt idx="325">
                  <c:v>-7.9695523744795445</c:v>
                </c:pt>
                <c:pt idx="326">
                  <c:v>-8.0730912689879837</c:v>
                </c:pt>
                <c:pt idx="327">
                  <c:v>-8.176078451816668</c:v>
                </c:pt>
                <c:pt idx="328">
                  <c:v>-8.2785203213736036</c:v>
                </c:pt>
                <c:pt idx="329">
                  <c:v>-8.3828553154389613</c:v>
                </c:pt>
                <c:pt idx="330">
                  <c:v>-8.4866318152222338</c:v>
                </c:pt>
                <c:pt idx="331">
                  <c:v>-8.5898563443892879</c:v>
                </c:pt>
                <c:pt idx="332">
                  <c:v>-8.6925353153410096</c:v>
                </c:pt>
                <c:pt idx="333">
                  <c:v>-8.7968858212426859</c:v>
                </c:pt>
                <c:pt idx="334">
                  <c:v>-8.9006800198118867</c:v>
                </c:pt>
                <c:pt idx="335">
                  <c:v>-9.0039244061373864</c:v>
                </c:pt>
                <c:pt idx="336">
                  <c:v>-9.1066253645681563</c:v>
                </c:pt>
                <c:pt idx="337">
                  <c:v>-9.2112864944630797</c:v>
                </c:pt>
                <c:pt idx="338">
                  <c:v>-9.3153904521872271</c:v>
                </c:pt>
                <c:pt idx="339">
                  <c:v>-9.4189437575052022</c:v>
                </c:pt>
                <c:pt idx="340">
                  <c:v>-9.5219528187528955</c:v>
                </c:pt>
                <c:pt idx="341">
                  <c:v>-9.6268688601469226</c:v>
                </c:pt>
                <c:pt idx="342">
                  <c:v>-9.7312275562934847</c:v>
                </c:pt>
                <c:pt idx="343">
                  <c:v>-9.8350354395019419</c:v>
                </c:pt>
                <c:pt idx="344">
                  <c:v>-9.9382989302338025</c:v>
                </c:pt>
                <c:pt idx="345">
                  <c:v>-10.043258509477056</c:v>
                </c:pt>
                <c:pt idx="346">
                  <c:v>-10.147662901145502</c:v>
                </c:pt>
                <c:pt idx="347">
                  <c:v>-10.251518609129231</c:v>
                </c:pt>
                <c:pt idx="348">
                  <c:v>-10.354832025976874</c:v>
                </c:pt>
                <c:pt idx="349">
                  <c:v>-10.460109557654311</c:v>
                </c:pt>
                <c:pt idx="350">
                  <c:v>-10.564831254889535</c:v>
                </c:pt>
                <c:pt idx="351">
                  <c:v>-10.669003642163062</c:v>
                </c:pt>
                <c:pt idx="352">
                  <c:v>-10.772633131999591</c:v>
                </c:pt>
                <c:pt idx="353">
                  <c:v>-10.878174131260268</c:v>
                </c:pt>
                <c:pt idx="354">
                  <c:v>-10.983159327341976</c:v>
                </c:pt>
                <c:pt idx="355">
                  <c:v>-11.087595253280462</c:v>
                </c:pt>
                <c:pt idx="356">
                  <c:v>-11.1914883298059</c:v>
                </c:pt>
                <c:pt idx="357">
                  <c:v>-11.297092351110008</c:v>
                </c:pt>
                <c:pt idx="358">
                  <c:v>-11.402142799987283</c:v>
                </c:pt>
                <c:pt idx="359">
                  <c:v>-11.506646179149593</c:v>
                </c:pt>
                <c:pt idx="360">
                  <c:v>-11.610608879536279</c:v>
                </c:pt>
                <c:pt idx="361">
                  <c:v>-11.716531728138246</c:v>
                </c:pt>
                <c:pt idx="362">
                  <c:v>-11.821900653388912</c:v>
                </c:pt>
                <c:pt idx="363">
                  <c:v>-11.926722172787168</c:v>
                </c:pt>
                <c:pt idx="364">
                  <c:v>-12.031002691553766</c:v>
                </c:pt>
                <c:pt idx="365">
                  <c:v>-12.137047942059425</c:v>
                </c:pt>
                <c:pt idx="366">
                  <c:v>-12.242541066948762</c:v>
                </c:pt>
                <c:pt idx="367">
                  <c:v>-12.347488560413113</c:v>
                </c:pt>
                <c:pt idx="368">
                  <c:v>-12.451896804724612</c:v>
                </c:pt>
                <c:pt idx="369">
                  <c:v>-12.558305876076668</c:v>
                </c:pt>
                <c:pt idx="370">
                  <c:v>-12.664162210474521</c:v>
                </c:pt>
                <c:pt idx="371">
                  <c:v>-12.769472320853755</c:v>
                </c:pt>
                <c:pt idx="372">
                  <c:v>-12.874242607617267</c:v>
                </c:pt>
                <c:pt idx="373">
                  <c:v>-12.98082342470936</c:v>
                </c:pt>
                <c:pt idx="374">
                  <c:v>-13.086852987715481</c:v>
                </c:pt>
                <c:pt idx="375">
                  <c:v>-13.192337791036653</c:v>
                </c:pt>
                <c:pt idx="376">
                  <c:v>-13.297284216775404</c:v>
                </c:pt>
                <c:pt idx="377">
                  <c:v>-13.404264987569078</c:v>
                </c:pt>
                <c:pt idx="378">
                  <c:v>-13.510693734543828</c:v>
                </c:pt>
                <c:pt idx="379">
                  <c:v>-13.616576972828664</c:v>
                </c:pt>
                <c:pt idx="380">
                  <c:v>-13.721921104575861</c:v>
                </c:pt>
                <c:pt idx="381">
                  <c:v>-13.828982044718416</c:v>
                </c:pt>
                <c:pt idx="382">
                  <c:v>-13.935493582051343</c:v>
                </c:pt>
                <c:pt idx="383">
                  <c:v>-14.041462192113073</c:v>
                </c:pt>
                <c:pt idx="384">
                  <c:v>-14.146894238168269</c:v>
                </c:pt>
                <c:pt idx="385">
                  <c:v>-14.254389087573923</c:v>
                </c:pt>
                <c:pt idx="386">
                  <c:v>-14.361333627994636</c:v>
                </c:pt>
                <c:pt idx="387">
                  <c:v>-14.467734357023289</c:v>
                </c:pt>
                <c:pt idx="388">
                  <c:v>-14.573597659250874</c:v>
                </c:pt>
                <c:pt idx="389">
                  <c:v>-14.681343580934247</c:v>
                </c:pt>
                <c:pt idx="390">
                  <c:v>-14.78854026281356</c:v>
                </c:pt>
                <c:pt idx="391">
                  <c:v>-14.895194189048137</c:v>
                </c:pt>
                <c:pt idx="392">
                  <c:v>-15.001311730876516</c:v>
                </c:pt>
                <c:pt idx="393">
                  <c:v>-15.109264459013554</c:v>
                </c:pt>
                <c:pt idx="394">
                  <c:v>-15.216669559753997</c:v>
                </c:pt>
                <c:pt idx="395">
                  <c:v>-15.323533493526178</c:v>
                </c:pt>
                <c:pt idx="396">
                  <c:v>-15.429862608150156</c:v>
                </c:pt>
                <c:pt idx="397">
                  <c:v>-15.538225188808175</c:v>
                </c:pt>
                <c:pt idx="398">
                  <c:v>-15.646039797033477</c:v>
                </c:pt>
                <c:pt idx="399">
                  <c:v>-15.753312903295972</c:v>
                </c:pt>
                <c:pt idx="400">
                  <c:v>-15.860050864976527</c:v>
                </c:pt>
                <c:pt idx="401">
                  <c:v>-15.968651368444426</c:v>
                </c:pt>
                <c:pt idx="402">
                  <c:v>-16.076705388956263</c:v>
                </c:pt>
                <c:pt idx="403">
                  <c:v>-16.184219373789329</c:v>
                </c:pt>
                <c:pt idx="404">
                  <c:v>-16.291199657414886</c:v>
                </c:pt>
                <c:pt idx="405">
                  <c:v>-16.400113707492793</c:v>
                </c:pt>
                <c:pt idx="406">
                  <c:v>-16.508482094563316</c:v>
                </c:pt>
                <c:pt idx="407">
                  <c:v>-16.616311253602575</c:v>
                </c:pt>
                <c:pt idx="408">
                  <c:v>-16.723607506802654</c:v>
                </c:pt>
                <c:pt idx="409">
                  <c:v>-16.832904623560406</c:v>
                </c:pt>
                <c:pt idx="410">
                  <c:v>-16.941656297719458</c:v>
                </c:pt>
                <c:pt idx="411">
                  <c:v>-17.049868961521558</c:v>
                </c:pt>
                <c:pt idx="412">
                  <c:v>-17.157548934213867</c:v>
                </c:pt>
                <c:pt idx="413">
                  <c:v>-17.267180293665824</c:v>
                </c:pt>
                <c:pt idx="414">
                  <c:v>-17.376267011075722</c:v>
                </c:pt>
                <c:pt idx="415">
                  <c:v>-17.484815504629236</c:v>
                </c:pt>
                <c:pt idx="416">
                  <c:v>-17.592832079562285</c:v>
                </c:pt>
                <c:pt idx="417">
                  <c:v>-17.702862734115222</c:v>
                </c:pt>
                <c:pt idx="418">
                  <c:v>-17.812348992415778</c:v>
                </c:pt>
                <c:pt idx="419">
                  <c:v>-17.92129726719488</c:v>
                </c:pt>
                <c:pt idx="420">
                  <c:v>-18.029713858070149</c:v>
                </c:pt>
                <c:pt idx="421">
                  <c:v>-18.13998698834029</c:v>
                </c:pt>
                <c:pt idx="422">
                  <c:v>-18.249717597167439</c:v>
                </c:pt>
                <c:pt idx="423">
                  <c:v>-18.358912061899183</c:v>
                </c:pt>
                <c:pt idx="424">
                  <c:v>-18.467576647302643</c:v>
                </c:pt>
                <c:pt idx="425">
                  <c:v>-18.578371904156995</c:v>
                </c:pt>
                <c:pt idx="426">
                  <c:v>-18.688623848313252</c:v>
                </c:pt>
                <c:pt idx="427">
                  <c:v>-18.798338867290457</c:v>
                </c:pt>
                <c:pt idx="428">
                  <c:v>-18.907523235482955</c:v>
                </c:pt>
                <c:pt idx="429">
                  <c:v>-19.018682106705903</c:v>
                </c:pt>
                <c:pt idx="430">
                  <c:v>-19.129298511028903</c:v>
                </c:pt>
                <c:pt idx="431">
                  <c:v>-19.239378815920016</c:v>
                </c:pt>
                <c:pt idx="432">
                  <c:v>-19.348929275883467</c:v>
                </c:pt>
                <c:pt idx="433">
                  <c:v>-19.460406989348655</c:v>
                </c:pt>
                <c:pt idx="434">
                  <c:v>-19.571343584530833</c:v>
                </c:pt>
                <c:pt idx="435">
                  <c:v>-19.681745398543324</c:v>
                </c:pt>
                <c:pt idx="436">
                  <c:v>-19.791618655936368</c:v>
                </c:pt>
                <c:pt idx="437">
                  <c:v>-19.903573898699964</c:v>
                </c:pt>
                <c:pt idx="438">
                  <c:v>-20.01498790075771</c:v>
                </c:pt>
                <c:pt idx="439">
                  <c:v>-20.125866993054494</c:v>
                </c:pt>
                <c:pt idx="440">
                  <c:v>-20.236217393799215</c:v>
                </c:pt>
                <c:pt idx="441">
                  <c:v>-20.348600031959645</c:v>
                </c:pt>
                <c:pt idx="442">
                  <c:v>-20.460441859143458</c:v>
                </c:pt>
                <c:pt idx="443">
                  <c:v>-20.57174918877136</c:v>
                </c:pt>
                <c:pt idx="444">
                  <c:v>-20.68252822162188</c:v>
                </c:pt>
                <c:pt idx="445">
                  <c:v>-20.795291435793235</c:v>
                </c:pt>
                <c:pt idx="446">
                  <c:v>-20.907514773577578</c:v>
                </c:pt>
                <c:pt idx="447">
                  <c:v>-21.019204520326127</c:v>
                </c:pt>
                <c:pt idx="448">
                  <c:v>-21.13036684909201</c:v>
                </c:pt>
                <c:pt idx="449">
                  <c:v>-21.243656093170795</c:v>
                </c:pt>
                <c:pt idx="450">
                  <c:v>-21.356405058012577</c:v>
                </c:pt>
                <c:pt idx="451">
                  <c:v>-21.46862002235607</c:v>
                </c:pt>
                <c:pt idx="452">
                  <c:v>-21.58030715247893</c:v>
                </c:pt>
                <c:pt idx="453">
                  <c:v>-21.693978209366133</c:v>
                </c:pt>
                <c:pt idx="454">
                  <c:v>-21.807110003616547</c:v>
                </c:pt>
                <c:pt idx="455">
                  <c:v>-21.919708780793435</c:v>
                </c:pt>
                <c:pt idx="456">
                  <c:v>-22.031780674471637</c:v>
                </c:pt>
                <c:pt idx="457">
                  <c:v>-22.145972713579457</c:v>
                </c:pt>
                <c:pt idx="458">
                  <c:v>-22.259625225236665</c:v>
                </c:pt>
                <c:pt idx="459">
                  <c:v>-22.372744442088152</c:v>
                </c:pt>
                <c:pt idx="460">
                  <c:v>-22.485336484784892</c:v>
                </c:pt>
                <c:pt idx="461">
                  <c:v>-22.599999197354951</c:v>
                </c:pt>
                <c:pt idx="462">
                  <c:v>-22.714122627170088</c:v>
                </c:pt>
                <c:pt idx="463">
                  <c:v>-22.827712983110402</c:v>
                </c:pt>
                <c:pt idx="464">
                  <c:v>-22.940776362324527</c:v>
                </c:pt>
                <c:pt idx="465">
                  <c:v>-23.0559502644522</c:v>
                </c:pt>
                <c:pt idx="466">
                  <c:v>-23.17058477327063</c:v>
                </c:pt>
                <c:pt idx="467">
                  <c:v>-23.284686077936875</c:v>
                </c:pt>
                <c:pt idx="468">
                  <c:v>-23.39826025605246</c:v>
                </c:pt>
                <c:pt idx="469">
                  <c:v>-23.513896219104822</c:v>
                </c:pt>
                <c:pt idx="470">
                  <c:v>-23.628993153636561</c:v>
                </c:pt>
                <c:pt idx="471">
                  <c:v>-23.743557218826975</c:v>
                </c:pt>
                <c:pt idx="472">
                  <c:v>-23.857594462733708</c:v>
                </c:pt>
                <c:pt idx="473">
                  <c:v>-23.973815343696398</c:v>
                </c:pt>
                <c:pt idx="474">
                  <c:v>-24.089496427637439</c:v>
                </c:pt>
                <c:pt idx="475">
                  <c:v>-24.204643860966115</c:v>
                </c:pt>
                <c:pt idx="476">
                  <c:v>-24.319263679006795</c:v>
                </c:pt>
                <c:pt idx="477">
                  <c:v>-24.436016810789827</c:v>
                </c:pt>
                <c:pt idx="478">
                  <c:v>-24.552229871015943</c:v>
                </c:pt>
                <c:pt idx="479">
                  <c:v>-24.667908982681922</c:v>
                </c:pt>
                <c:pt idx="480">
                  <c:v>-24.783060158009281</c:v>
                </c:pt>
                <c:pt idx="481">
                  <c:v>-24.900295892174551</c:v>
                </c:pt>
                <c:pt idx="482">
                  <c:v>-25.016991728801337</c:v>
                </c:pt>
                <c:pt idx="483">
                  <c:v>-25.133153757721587</c:v>
                </c:pt>
                <c:pt idx="484">
                  <c:v>-25.248787958557365</c:v>
                </c:pt>
                <c:pt idx="485">
                  <c:v>-25.36653945109245</c:v>
                </c:pt>
                <c:pt idx="486">
                  <c:v>-25.48375089426915</c:v>
                </c:pt>
                <c:pt idx="487">
                  <c:v>-25.600428348145691</c:v>
                </c:pt>
                <c:pt idx="488">
                  <c:v>-25.716577763077634</c:v>
                </c:pt>
                <c:pt idx="489">
                  <c:v>-25.834953563775834</c:v>
                </c:pt>
                <c:pt idx="490">
                  <c:v>-25.952788145860918</c:v>
                </c:pt>
                <c:pt idx="491">
                  <c:v>-26.07008755449618</c:v>
                </c:pt>
                <c:pt idx="492">
                  <c:v>-26.186857725317282</c:v>
                </c:pt>
                <c:pt idx="493">
                  <c:v>-26.305803511808442</c:v>
                </c:pt>
                <c:pt idx="494">
                  <c:v>-26.424207376514204</c:v>
                </c:pt>
                <c:pt idx="495">
                  <c:v>-26.542075339698876</c:v>
                </c:pt>
                <c:pt idx="496">
                  <c:v>-26.659413312544082</c:v>
                </c:pt>
                <c:pt idx="497">
                  <c:v>-26.778953357971371</c:v>
                </c:pt>
                <c:pt idx="498">
                  <c:v>-26.897950516096717</c:v>
                </c:pt>
                <c:pt idx="499">
                  <c:v>-27.016410784508817</c:v>
                </c:pt>
                <c:pt idx="500">
                  <c:v>-27.134340052136864</c:v>
                </c:pt>
                <c:pt idx="501">
                  <c:v>-27.25449589732392</c:v>
                </c:pt>
                <c:pt idx="502">
                  <c:v>-27.374107645135179</c:v>
                </c:pt>
                <c:pt idx="503">
                  <c:v>-27.493181272409327</c:v>
                </c:pt>
                <c:pt idx="504">
                  <c:v>-27.611722647736062</c:v>
                </c:pt>
                <c:pt idx="505">
                  <c:v>-27.732440176549066</c:v>
                </c:pt>
                <c:pt idx="506">
                  <c:v>-27.852612826962755</c:v>
                </c:pt>
                <c:pt idx="507">
                  <c:v>-27.972246546010201</c:v>
                </c:pt>
                <c:pt idx="508">
                  <c:v>-28.091347173141521</c:v>
                </c:pt>
                <c:pt idx="509">
                  <c:v>-28.212646705806122</c:v>
                </c:pt>
                <c:pt idx="510">
                  <c:v>-28.333400324482724</c:v>
                </c:pt>
                <c:pt idx="511">
                  <c:v>-28.453613948685135</c:v>
                </c:pt>
                <c:pt idx="512">
                  <c:v>-28.573293390994099</c:v>
                </c:pt>
                <c:pt idx="513">
                  <c:v>-28.695263148258139</c:v>
                </c:pt>
                <c:pt idx="514">
                  <c:v>-28.816685086701913</c:v>
                </c:pt>
                <c:pt idx="515">
                  <c:v>-28.937565110540149</c:v>
                </c:pt>
                <c:pt idx="516">
                  <c:v>-29.057909017452186</c:v>
                </c:pt>
                <c:pt idx="517">
                  <c:v>-29.180491327250561</c:v>
                </c:pt>
                <c:pt idx="518">
                  <c:v>-29.302524346650291</c:v>
                </c:pt>
                <c:pt idx="519">
                  <c:v>-29.424013955774999</c:v>
                </c:pt>
                <c:pt idx="520">
                  <c:v>-29.544965928865345</c:v>
                </c:pt>
                <c:pt idx="521">
                  <c:v>-29.668173792599344</c:v>
                </c:pt>
                <c:pt idx="522">
                  <c:v>-29.790830683468972</c:v>
                </c:pt>
                <c:pt idx="523">
                  <c:v>-29.912942459257476</c:v>
                </c:pt>
                <c:pt idx="524">
                  <c:v>-30.034514872520582</c:v>
                </c:pt>
                <c:pt idx="525">
                  <c:v>-30.158359014428409</c:v>
                </c:pt>
                <c:pt idx="526">
                  <c:v>-30.281650303120891</c:v>
                </c:pt>
                <c:pt idx="527">
                  <c:v>-30.404394575671596</c:v>
                </c:pt>
                <c:pt idx="528">
                  <c:v>-30.526597564588933</c:v>
                </c:pt>
                <c:pt idx="529">
                  <c:v>-30.65108651852605</c:v>
                </c:pt>
                <c:pt idx="530">
                  <c:v>-30.775020553266835</c:v>
                </c:pt>
                <c:pt idx="531">
                  <c:v>-30.898405486713383</c:v>
                </c:pt>
                <c:pt idx="532">
                  <c:v>-31.021247032876168</c:v>
                </c:pt>
                <c:pt idx="533">
                  <c:v>-31.146451685639672</c:v>
                </c:pt>
                <c:pt idx="534">
                  <c:v>-31.271098606827469</c:v>
                </c:pt>
                <c:pt idx="535">
                  <c:v>-31.395193605548034</c:v>
                </c:pt>
                <c:pt idx="536">
                  <c:v>-31.518742387493557</c:v>
                </c:pt>
                <c:pt idx="537">
                  <c:v>-31.644537079577717</c:v>
                </c:pt>
                <c:pt idx="538">
                  <c:v>-31.769772221485468</c:v>
                </c:pt>
                <c:pt idx="539">
                  <c:v>-31.894453596930575</c:v>
                </c:pt>
                <c:pt idx="540">
                  <c:v>-32.018586887127675</c:v>
                </c:pt>
                <c:pt idx="541">
                  <c:v>-32.145101893848164</c:v>
                </c:pt>
                <c:pt idx="542">
                  <c:v>-32.271054243641274</c:v>
                </c:pt>
                <c:pt idx="543">
                  <c:v>-32.396449713805431</c:v>
                </c:pt>
                <c:pt idx="544">
                  <c:v>-32.521293979657209</c:v>
                </c:pt>
                <c:pt idx="545">
                  <c:v>-32.648465463682449</c:v>
                </c:pt>
                <c:pt idx="546">
                  <c:v>-32.77507161521028</c:v>
                </c:pt>
                <c:pt idx="547">
                  <c:v>-32.901118197631668</c:v>
                </c:pt>
                <c:pt idx="548">
                  <c:v>-33.026610873098704</c:v>
                </c:pt>
                <c:pt idx="549">
                  <c:v>-33.154437649265638</c:v>
                </c:pt>
                <c:pt idx="550">
                  <c:v>-33.281696285276247</c:v>
                </c:pt>
                <c:pt idx="551">
                  <c:v>-33.408392532008811</c:v>
                </c:pt>
                <c:pt idx="552">
                  <c:v>-33.534532039858547</c:v>
                </c:pt>
                <c:pt idx="553">
                  <c:v>-33.663070175970084</c:v>
                </c:pt>
                <c:pt idx="554">
                  <c:v>-33.791036719342607</c:v>
                </c:pt>
                <c:pt idx="555">
                  <c:v>-33.918437417596941</c:v>
                </c:pt>
                <c:pt idx="556">
                  <c:v>-34.045277918458765</c:v>
                </c:pt>
                <c:pt idx="557">
                  <c:v>-34.303186364379741</c:v>
                </c:pt>
                <c:pt idx="558">
                  <c:v>-34.558817176802407</c:v>
                </c:pt>
                <c:pt idx="559">
                  <c:v>-34.817997531896829</c:v>
                </c:pt>
                <c:pt idx="560">
                  <c:v>-35.074887797747763</c:v>
                </c:pt>
                <c:pt idx="561">
                  <c:v>-35.335547447881353</c:v>
                </c:pt>
                <c:pt idx="562">
                  <c:v>-35.593900267801985</c:v>
                </c:pt>
                <c:pt idx="563">
                  <c:v>-35.85546208315882</c:v>
                </c:pt>
                <c:pt idx="564">
                  <c:v>-36.114709844667132</c:v>
                </c:pt>
                <c:pt idx="565">
                  <c:v>-36.378137622206026</c:v>
                </c:pt>
                <c:pt idx="566">
                  <c:v>-36.639226468785665</c:v>
                </c:pt>
                <c:pt idx="567">
                  <c:v>-36.904356538347486</c:v>
                </c:pt>
                <c:pt idx="568">
                  <c:v>-37.167124997114534</c:v>
                </c:pt>
                <c:pt idx="569">
                  <c:v>-37.43276267113751</c:v>
                </c:pt>
                <c:pt idx="570">
                  <c:v>-37.696036550011016</c:v>
                </c:pt>
                <c:pt idx="571">
                  <c:v>-37.964122587415787</c:v>
                </c:pt>
                <c:pt idx="572">
                  <c:v>-38.229807502777724</c:v>
                </c:pt>
                <c:pt idx="573">
                  <c:v>-38.498139481503216</c:v>
                </c:pt>
                <c:pt idx="574">
                  <c:v>-38.764071521453275</c:v>
                </c:pt>
                <c:pt idx="575">
                  <c:v>-39.034527622023091</c:v>
                </c:pt>
                <c:pt idx="576">
                  <c:v>-39.30255078009273</c:v>
                </c:pt>
                <c:pt idx="577">
                  <c:v>-40.411316899509025</c:v>
                </c:pt>
                <c:pt idx="578">
                  <c:v>-41.480448073208784</c:v>
                </c:pt>
                <c:pt idx="579">
                  <c:v>-43.697972934281722</c:v>
                </c:pt>
                <c:pt idx="580">
                  <c:v>-45.956835104211834</c:v>
                </c:pt>
                <c:pt idx="581">
                  <c:v>-48.251296528392615</c:v>
                </c:pt>
                <c:pt idx="582">
                  <c:v>-50.579799757122821</c:v>
                </c:pt>
                <c:pt idx="583">
                  <c:v>-52.937165478813043</c:v>
                </c:pt>
                <c:pt idx="584">
                  <c:v>-55.321382345101291</c:v>
                </c:pt>
                <c:pt idx="585">
                  <c:v>-57.727089878163426</c:v>
                </c:pt>
                <c:pt idx="586">
                  <c:v>-60.150552875480159</c:v>
                </c:pt>
                <c:pt idx="587">
                  <c:v>-62.589056579616638</c:v>
                </c:pt>
                <c:pt idx="588">
                  <c:v>-65.036454168981649</c:v>
                </c:pt>
                <c:pt idx="589">
                  <c:v>-67.491219150015667</c:v>
                </c:pt>
                <c:pt idx="590">
                  <c:v>-69.949360402793872</c:v>
                </c:pt>
                <c:pt idx="591">
                  <c:v>-72.408520009815135</c:v>
                </c:pt>
                <c:pt idx="592">
                  <c:v>-74.866313563571921</c:v>
                </c:pt>
                <c:pt idx="593">
                  <c:v>-77.32193031751298</c:v>
                </c:pt>
                <c:pt idx="594">
                  <c:v>-79.773655706305107</c:v>
                </c:pt>
                <c:pt idx="595">
                  <c:v>-82.221331930393404</c:v>
                </c:pt>
                <c:pt idx="596">
                  <c:v>-84.66414809200694</c:v>
                </c:pt>
                <c:pt idx="597">
                  <c:v>-87.102573983728888</c:v>
                </c:pt>
                <c:pt idx="598">
                  <c:v>-89.536143838430448</c:v>
                </c:pt>
                <c:pt idx="599">
                  <c:v>-91.965742698518952</c:v>
                </c:pt>
                <c:pt idx="600">
                  <c:v>-94.391337517030891</c:v>
                </c:pt>
                <c:pt idx="604">
                  <c:v>7.680819573435195E-2</c:v>
                </c:pt>
              </c:numCache>
            </c:numRef>
          </c:yVal>
          <c:smooth val="0"/>
          <c:extLst>
            <c:ext xmlns:c16="http://schemas.microsoft.com/office/drawing/2014/chart" uri="{C3380CC4-5D6E-409C-BE32-E72D297353CC}">
              <c16:uniqueId val="{00000003-4362-43AB-BDC1-536058DC7619}"/>
            </c:ext>
          </c:extLst>
        </c:ser>
        <c:dLbls>
          <c:showLegendKey val="0"/>
          <c:showVal val="0"/>
          <c:showCatName val="0"/>
          <c:showSerName val="0"/>
          <c:showPercent val="0"/>
          <c:showBubbleSize val="0"/>
        </c:dLbls>
        <c:axId val="196940928"/>
        <c:axId val="196942848"/>
      </c:scatterChart>
      <c:scatterChart>
        <c:scatterStyle val="lineMarker"/>
        <c:varyColors val="0"/>
        <c:ser>
          <c:idx val="1"/>
          <c:order val="4"/>
          <c:tx>
            <c:strRef>
              <c:f>'Stability Calculations'!$AH$12</c:f>
              <c:strCache>
                <c:ptCount val="1"/>
                <c:pt idx="0">
                  <c:v>:Loop Phase Margin (°)</c:v>
                </c:pt>
              </c:strCache>
            </c:strRef>
          </c:tx>
          <c:spPr>
            <a:ln w="25400">
              <a:solidFill>
                <a:srgbClr val="0000FF"/>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Calculations'!$AH$13:$AH$617</c:f>
              <c:numCache>
                <c:formatCode>0.0000</c:formatCode>
                <c:ptCount val="605"/>
                <c:pt idx="0">
                  <c:v>-77.530473001928243</c:v>
                </c:pt>
                <c:pt idx="1">
                  <c:v>-77.9693063089438</c:v>
                </c:pt>
                <c:pt idx="2">
                  <c:v>-78.310091909882615</c:v>
                </c:pt>
                <c:pt idx="3">
                  <c:v>-78.55501346003534</c:v>
                </c:pt>
                <c:pt idx="4">
                  <c:v>-78.705604855979175</c:v>
                </c:pt>
                <c:pt idx="5">
                  <c:v>-78.763069584811149</c:v>
                </c:pt>
                <c:pt idx="6">
                  <c:v>-78.727638177690537</c:v>
                </c:pt>
                <c:pt idx="7">
                  <c:v>-78.599097501217841</c:v>
                </c:pt>
                <c:pt idx="8">
                  <c:v>-78.376759850744293</c:v>
                </c:pt>
                <c:pt idx="9">
                  <c:v>-78.059084476789593</c:v>
                </c:pt>
                <c:pt idx="10">
                  <c:v>-77.644293598767447</c:v>
                </c:pt>
                <c:pt idx="11">
                  <c:v>-77.129904211611091</c:v>
                </c:pt>
                <c:pt idx="12">
                  <c:v>-76.51264258264554</c:v>
                </c:pt>
                <c:pt idx="13">
                  <c:v>-75.789759046126235</c:v>
                </c:pt>
                <c:pt idx="14">
                  <c:v>-74.957043485679833</c:v>
                </c:pt>
                <c:pt idx="15">
                  <c:v>-74.010921670042862</c:v>
                </c:pt>
                <c:pt idx="16">
                  <c:v>-72.947433605768481</c:v>
                </c:pt>
                <c:pt idx="17">
                  <c:v>-71.763015173780644</c:v>
                </c:pt>
                <c:pt idx="18">
                  <c:v>-70.453977106189086</c:v>
                </c:pt>
                <c:pt idx="19">
                  <c:v>-69.018007741031596</c:v>
                </c:pt>
                <c:pt idx="20">
                  <c:v>-67.453192151826514</c:v>
                </c:pt>
                <c:pt idx="21">
                  <c:v>-65.759621512316059</c:v>
                </c:pt>
                <c:pt idx="22">
                  <c:v>-63.938508384111714</c:v>
                </c:pt>
                <c:pt idx="23">
                  <c:v>-61.994095458140563</c:v>
                </c:pt>
                <c:pt idx="24">
                  <c:v>-59.932267875243845</c:v>
                </c:pt>
                <c:pt idx="25">
                  <c:v>-57.762598420208157</c:v>
                </c:pt>
                <c:pt idx="26">
                  <c:v>-55.496898888148458</c:v>
                </c:pt>
                <c:pt idx="27">
                  <c:v>-53.151301369929428</c:v>
                </c:pt>
                <c:pt idx="28">
                  <c:v>-50.744034817534853</c:v>
                </c:pt>
                <c:pt idx="29">
                  <c:v>-48.297383288710584</c:v>
                </c:pt>
                <c:pt idx="30">
                  <c:v>-45.829741135570529</c:v>
                </c:pt>
                <c:pt idx="31">
                  <c:v>-43.368085408485491</c:v>
                </c:pt>
                <c:pt idx="32">
                  <c:v>-40.934397927478138</c:v>
                </c:pt>
                <c:pt idx="33">
                  <c:v>-38.553230093765826</c:v>
                </c:pt>
                <c:pt idx="34">
                  <c:v>-36.243937394261941</c:v>
                </c:pt>
                <c:pt idx="35">
                  <c:v>-34.026735790533934</c:v>
                </c:pt>
                <c:pt idx="36">
                  <c:v>-31.917410573425364</c:v>
                </c:pt>
                <c:pt idx="37">
                  <c:v>-29.928110438973125</c:v>
                </c:pt>
                <c:pt idx="38">
                  <c:v>-28.070978802732256</c:v>
                </c:pt>
                <c:pt idx="39">
                  <c:v>-26.351950159187364</c:v>
                </c:pt>
                <c:pt idx="40">
                  <c:v>-24.776698969175126</c:v>
                </c:pt>
                <c:pt idx="41">
                  <c:v>-23.347939423337795</c:v>
                </c:pt>
                <c:pt idx="42">
                  <c:v>-22.067007439786327</c:v>
                </c:pt>
                <c:pt idx="43">
                  <c:v>-20.933417471268275</c:v>
                </c:pt>
                <c:pt idx="44">
                  <c:v>-19.946477439822754</c:v>
                </c:pt>
                <c:pt idx="45">
                  <c:v>-19.104442689999267</c:v>
                </c:pt>
                <c:pt idx="46">
                  <c:v>-18.405707032063727</c:v>
                </c:pt>
                <c:pt idx="47">
                  <c:v>-17.848374802215353</c:v>
                </c:pt>
                <c:pt idx="48">
                  <c:v>-17.431074407285404</c:v>
                </c:pt>
                <c:pt idx="49">
                  <c:v>-17.152609111571952</c:v>
                </c:pt>
                <c:pt idx="50">
                  <c:v>-17.012509081566172</c:v>
                </c:pt>
                <c:pt idx="51">
                  <c:v>-17.010911824361767</c:v>
                </c:pt>
                <c:pt idx="52">
                  <c:v>-17.148723411547849</c:v>
                </c:pt>
                <c:pt idx="53">
                  <c:v>-17.427615376299965</c:v>
                </c:pt>
                <c:pt idx="54">
                  <c:v>-17.849821609003126</c:v>
                </c:pt>
                <c:pt idx="55">
                  <c:v>-18.419595940537015</c:v>
                </c:pt>
                <c:pt idx="56">
                  <c:v>-19.140669924688016</c:v>
                </c:pt>
                <c:pt idx="57">
                  <c:v>-20.018831235864827</c:v>
                </c:pt>
                <c:pt idx="58">
                  <c:v>-21.059656206805279</c:v>
                </c:pt>
                <c:pt idx="59">
                  <c:v>-22.27104976550774</c:v>
                </c:pt>
                <c:pt idx="60">
                  <c:v>-23.660311275592235</c:v>
                </c:pt>
                <c:pt idx="61">
                  <c:v>-25.236265761381706</c:v>
                </c:pt>
                <c:pt idx="62">
                  <c:v>-27.009185204484641</c:v>
                </c:pt>
                <c:pt idx="63">
                  <c:v>-28.987122164557817</c:v>
                </c:pt>
                <c:pt idx="64">
                  <c:v>-31.181572704356487</c:v>
                </c:pt>
                <c:pt idx="65">
                  <c:v>-33.601643946169368</c:v>
                </c:pt>
                <c:pt idx="66">
                  <c:v>-36.256899537406944</c:v>
                </c:pt>
                <c:pt idx="67">
                  <c:v>-39.155345594891941</c:v>
                </c:pt>
                <c:pt idx="68">
                  <c:v>-42.304732710306524</c:v>
                </c:pt>
                <c:pt idx="69">
                  <c:v>-45.708945615250478</c:v>
                </c:pt>
                <c:pt idx="70">
                  <c:v>-49.370454045686898</c:v>
                </c:pt>
                <c:pt idx="71">
                  <c:v>-53.286617666531349</c:v>
                </c:pt>
                <c:pt idx="72">
                  <c:v>-57.45194205607141</c:v>
                </c:pt>
                <c:pt idx="73">
                  <c:v>-61.853936231947991</c:v>
                </c:pt>
                <c:pt idx="74">
                  <c:v>-66.476629218143131</c:v>
                </c:pt>
                <c:pt idx="75">
                  <c:v>-71.296357745830278</c:v>
                </c:pt>
                <c:pt idx="76">
                  <c:v>-76.28549943986927</c:v>
                </c:pt>
                <c:pt idx="77">
                  <c:v>-81.408370041567039</c:v>
                </c:pt>
                <c:pt idx="78">
                  <c:v>-86.626602407178567</c:v>
                </c:pt>
                <c:pt idx="79">
                  <c:v>-91.895252389891922</c:v>
                </c:pt>
                <c:pt idx="80">
                  <c:v>-97.180078815719483</c:v>
                </c:pt>
                <c:pt idx="81">
                  <c:v>-102.43075215040935</c:v>
                </c:pt>
                <c:pt idx="82">
                  <c:v>-107.60981614135754</c:v>
                </c:pt>
                <c:pt idx="83">
                  <c:v>-112.6761181584978</c:v>
                </c:pt>
                <c:pt idx="84">
                  <c:v>-117.60086421786487</c:v>
                </c:pt>
                <c:pt idx="85">
                  <c:v>-122.35419082948057</c:v>
                </c:pt>
                <c:pt idx="86">
                  <c:v>-126.91592445108456</c:v>
                </c:pt>
                <c:pt idx="87">
                  <c:v>-131.27355815390061</c:v>
                </c:pt>
                <c:pt idx="88">
                  <c:v>-135.41396594226484</c:v>
                </c:pt>
                <c:pt idx="89">
                  <c:v>-139.33689275187075</c:v>
                </c:pt>
                <c:pt idx="90">
                  <c:v>-143.04179183004894</c:v>
                </c:pt>
                <c:pt idx="91">
                  <c:v>-146.53393861262799</c:v>
                </c:pt>
                <c:pt idx="92">
                  <c:v>-149.82100152437059</c:v>
                </c:pt>
                <c:pt idx="93">
                  <c:v>-152.91452781523427</c:v>
                </c:pt>
                <c:pt idx="94">
                  <c:v>-153.65870748811884</c:v>
                </c:pt>
                <c:pt idx="95">
                  <c:v>-154.02887559988838</c:v>
                </c:pt>
                <c:pt idx="96">
                  <c:v>-154.3920611841761</c:v>
                </c:pt>
                <c:pt idx="97">
                  <c:v>-154.75666284965072</c:v>
                </c:pt>
                <c:pt idx="98">
                  <c:v>-155.11440044123466</c:v>
                </c:pt>
                <c:pt idx="99">
                  <c:v>-155.47363650063693</c:v>
                </c:pt>
                <c:pt idx="100">
                  <c:v>-155.82612326263902</c:v>
                </c:pt>
                <c:pt idx="101">
                  <c:v>-156.17991754399259</c:v>
                </c:pt>
                <c:pt idx="102">
                  <c:v>-156.52708389708016</c:v>
                </c:pt>
                <c:pt idx="103">
                  <c:v>-156.87588892358681</c:v>
                </c:pt>
                <c:pt idx="104">
                  <c:v>-157.21817428613932</c:v>
                </c:pt>
                <c:pt idx="105">
                  <c:v>-157.56190594592573</c:v>
                </c:pt>
                <c:pt idx="106">
                  <c:v>-157.89923295833344</c:v>
                </c:pt>
                <c:pt idx="107">
                  <c:v>-158.23783230693181</c:v>
                </c:pt>
                <c:pt idx="108">
                  <c:v>-158.57014777363275</c:v>
                </c:pt>
                <c:pt idx="109">
                  <c:v>-158.90380378377486</c:v>
                </c:pt>
                <c:pt idx="110">
                  <c:v>-159.23129322695871</c:v>
                </c:pt>
                <c:pt idx="111">
                  <c:v>-159.56039957536089</c:v>
                </c:pt>
                <c:pt idx="112">
                  <c:v>-159.88344570177074</c:v>
                </c:pt>
                <c:pt idx="113">
                  <c:v>-160.20793602575301</c:v>
                </c:pt>
                <c:pt idx="114">
                  <c:v>-160.52647829002203</c:v>
                </c:pt>
                <c:pt idx="115">
                  <c:v>-160.84651022763535</c:v>
                </c:pt>
                <c:pt idx="116">
                  <c:v>-161.16070386711809</c:v>
                </c:pt>
                <c:pt idx="117">
                  <c:v>-161.47642663089951</c:v>
                </c:pt>
                <c:pt idx="118">
                  <c:v>-161.7864187336769</c:v>
                </c:pt>
                <c:pt idx="119">
                  <c:v>-162.09778702381743</c:v>
                </c:pt>
                <c:pt idx="120">
                  <c:v>-162.40353711060698</c:v>
                </c:pt>
                <c:pt idx="121">
                  <c:v>-162.71070621561475</c:v>
                </c:pt>
                <c:pt idx="122">
                  <c:v>-163.01236712595747</c:v>
                </c:pt>
                <c:pt idx="123">
                  <c:v>-163.31565903624681</c:v>
                </c:pt>
                <c:pt idx="124">
                  <c:v>-163.61354438746412</c:v>
                </c:pt>
                <c:pt idx="125">
                  <c:v>-163.91291430710112</c:v>
                </c:pt>
                <c:pt idx="126">
                  <c:v>-164.20698390224706</c:v>
                </c:pt>
                <c:pt idx="127">
                  <c:v>-164.50256833253067</c:v>
                </c:pt>
                <c:pt idx="128">
                  <c:v>-164.79295680736672</c:v>
                </c:pt>
                <c:pt idx="129">
                  <c:v>-165.08488715940175</c:v>
                </c:pt>
                <c:pt idx="130">
                  <c:v>-165.37172420905796</c:v>
                </c:pt>
                <c:pt idx="131">
                  <c:v>-165.66012741418271</c:v>
                </c:pt>
                <c:pt idx="132">
                  <c:v>-165.8024466790886</c:v>
                </c:pt>
                <c:pt idx="133">
                  <c:v>-165.94353838042389</c:v>
                </c:pt>
                <c:pt idx="134">
                  <c:v>-166.08673322478435</c:v>
                </c:pt>
                <c:pt idx="135">
                  <c:v>-166.22868329052716</c:v>
                </c:pt>
                <c:pt idx="136">
                  <c:v>-166.36940905990349</c:v>
                </c:pt>
                <c:pt idx="137">
                  <c:v>-166.50893057117636</c:v>
                </c:pt>
                <c:pt idx="138">
                  <c:v>-166.65039460296222</c:v>
                </c:pt>
                <c:pt idx="139">
                  <c:v>-166.79064009525166</c:v>
                </c:pt>
                <c:pt idx="140">
                  <c:v>-166.92968711731075</c:v>
                </c:pt>
                <c:pt idx="141">
                  <c:v>-167.06755530261435</c:v>
                </c:pt>
                <c:pt idx="142">
                  <c:v>-167.20749176734654</c:v>
                </c:pt>
                <c:pt idx="143">
                  <c:v>-167.34623311383567</c:v>
                </c:pt>
                <c:pt idx="144">
                  <c:v>-167.48379906136557</c:v>
                </c:pt>
                <c:pt idx="145">
                  <c:v>-167.62020889990731</c:v>
                </c:pt>
                <c:pt idx="146">
                  <c:v>-167.75860164413237</c:v>
                </c:pt>
                <c:pt idx="147">
                  <c:v>-167.89582362720665</c:v>
                </c:pt>
                <c:pt idx="148">
                  <c:v>-168.03189418926735</c:v>
                </c:pt>
                <c:pt idx="149">
                  <c:v>-168.16683224855353</c:v>
                </c:pt>
                <c:pt idx="150">
                  <c:v>-168.3037374796285</c:v>
                </c:pt>
                <c:pt idx="151">
                  <c:v>-168.43949599277414</c:v>
                </c:pt>
                <c:pt idx="152">
                  <c:v>-168.57412675060368</c:v>
                </c:pt>
                <c:pt idx="153">
                  <c:v>-168.70764830129337</c:v>
                </c:pt>
                <c:pt idx="154">
                  <c:v>-168.84318326892239</c:v>
                </c:pt>
                <c:pt idx="155">
                  <c:v>-168.97759423080839</c:v>
                </c:pt>
                <c:pt idx="156">
                  <c:v>-169.11089979895411</c:v>
                </c:pt>
                <c:pt idx="157">
                  <c:v>-169.24311817769495</c:v>
                </c:pt>
                <c:pt idx="158">
                  <c:v>-169.37733111131433</c:v>
                </c:pt>
                <c:pt idx="159">
                  <c:v>-169.51044257169841</c:v>
                </c:pt>
                <c:pt idx="160">
                  <c:v>-169.64247081887376</c:v>
                </c:pt>
                <c:pt idx="161">
                  <c:v>-169.77343371209486</c:v>
                </c:pt>
                <c:pt idx="162">
                  <c:v>-169.90631439892533</c:v>
                </c:pt>
                <c:pt idx="163">
                  <c:v>-170.03811689884134</c:v>
                </c:pt>
                <c:pt idx="164">
                  <c:v>-170.16885909542074</c:v>
                </c:pt>
                <c:pt idx="165">
                  <c:v>-170.29855847916326</c:v>
                </c:pt>
                <c:pt idx="166">
                  <c:v>-170.43027272988255</c:v>
                </c:pt>
                <c:pt idx="167">
                  <c:v>-170.56092997653224</c:v>
                </c:pt>
                <c:pt idx="168">
                  <c:v>-170.69054777265291</c:v>
                </c:pt>
                <c:pt idx="169">
                  <c:v>-170.81914328512846</c:v>
                </c:pt>
                <c:pt idx="170">
                  <c:v>-170.94946038981948</c:v>
                </c:pt>
                <c:pt idx="171">
                  <c:v>-171.07874588387807</c:v>
                </c:pt>
                <c:pt idx="172">
                  <c:v>-171.20701688069394</c:v>
                </c:pt>
                <c:pt idx="173">
                  <c:v>-171.334290116727</c:v>
                </c:pt>
                <c:pt idx="174">
                  <c:v>-171.46375324787414</c:v>
                </c:pt>
                <c:pt idx="175">
                  <c:v>-171.59220213090765</c:v>
                </c:pt>
                <c:pt idx="176">
                  <c:v>-171.71965363265127</c:v>
                </c:pt>
                <c:pt idx="177">
                  <c:v>-171.84612424713475</c:v>
                </c:pt>
                <c:pt idx="178">
                  <c:v>-171.97470429681951</c:v>
                </c:pt>
                <c:pt idx="179">
                  <c:v>-172.10228852563966</c:v>
                </c:pt>
                <c:pt idx="180">
                  <c:v>-172.22889352244039</c:v>
                </c:pt>
                <c:pt idx="181">
                  <c:v>-172.3545355083904</c:v>
                </c:pt>
                <c:pt idx="182">
                  <c:v>-172.48171469004117</c:v>
                </c:pt>
                <c:pt idx="183">
                  <c:v>-172.60792492015017</c:v>
                </c:pt>
                <c:pt idx="184">
                  <c:v>-172.733182294259</c:v>
                </c:pt>
                <c:pt idx="185">
                  <c:v>-172.8575025517639</c:v>
                </c:pt>
                <c:pt idx="186">
                  <c:v>-172.98427564223633</c:v>
                </c:pt>
                <c:pt idx="187">
                  <c:v>-173.11009203374616</c:v>
                </c:pt>
                <c:pt idx="188">
                  <c:v>-173.2349676864568</c:v>
                </c:pt>
                <c:pt idx="189">
                  <c:v>-173.35891820544674</c:v>
                </c:pt>
                <c:pt idx="190">
                  <c:v>-173.48429820487684</c:v>
                </c:pt>
                <c:pt idx="191">
                  <c:v>-173.60874906117252</c:v>
                </c:pt>
                <c:pt idx="192">
                  <c:v>-173.73228621341576</c:v>
                </c:pt>
                <c:pt idx="193">
                  <c:v>-173.85492475810935</c:v>
                </c:pt>
                <c:pt idx="194">
                  <c:v>-173.97985977152427</c:v>
                </c:pt>
                <c:pt idx="195">
                  <c:v>-174.10387958819362</c:v>
                </c:pt>
                <c:pt idx="196">
                  <c:v>-174.22699945903605</c:v>
                </c:pt>
                <c:pt idx="197">
                  <c:v>-174.34923429513884</c:v>
                </c:pt>
                <c:pt idx="198">
                  <c:v>-174.47324666019483</c:v>
                </c:pt>
                <c:pt idx="199">
                  <c:v>-174.59636524328786</c:v>
                </c:pt>
                <c:pt idx="200">
                  <c:v>-174.71860491650241</c:v>
                </c:pt>
                <c:pt idx="201">
                  <c:v>-174.83998022053694</c:v>
                </c:pt>
                <c:pt idx="202">
                  <c:v>-174.96307885481784</c:v>
                </c:pt>
                <c:pt idx="203">
                  <c:v>-175.08530532641811</c:v>
                </c:pt>
                <c:pt idx="204">
                  <c:v>-175.20667411827171</c:v>
                </c:pt>
                <c:pt idx="205">
                  <c:v>-175.3271993907475</c:v>
                </c:pt>
                <c:pt idx="206">
                  <c:v>-175.44981431643697</c:v>
                </c:pt>
                <c:pt idx="207">
                  <c:v>-175.57157301421182</c:v>
                </c:pt>
                <c:pt idx="208">
                  <c:v>-175.69248971379926</c:v>
                </c:pt>
                <c:pt idx="209">
                  <c:v>-175.81257832722085</c:v>
                </c:pt>
                <c:pt idx="210">
                  <c:v>-175.93509779302369</c:v>
                </c:pt>
                <c:pt idx="211">
                  <c:v>-176.05677210808824</c:v>
                </c:pt>
                <c:pt idx="212">
                  <c:v>-176.17761536501271</c:v>
                </c:pt>
                <c:pt idx="213">
                  <c:v>-176.29764134014059</c:v>
                </c:pt>
                <c:pt idx="214">
                  <c:v>-176.41923194333467</c:v>
                </c:pt>
                <c:pt idx="215">
                  <c:v>-176.54000033754858</c:v>
                </c:pt>
                <c:pt idx="216">
                  <c:v>-176.65996017832879</c:v>
                </c:pt>
                <c:pt idx="217">
                  <c:v>-176.77912481539946</c:v>
                </c:pt>
                <c:pt idx="218">
                  <c:v>-176.90019755657019</c:v>
                </c:pt>
                <c:pt idx="219">
                  <c:v>-177.02046572326807</c:v>
                </c:pt>
                <c:pt idx="220">
                  <c:v>-177.13994266067081</c:v>
                </c:pt>
                <c:pt idx="221">
                  <c:v>-177.25864141485795</c:v>
                </c:pt>
                <c:pt idx="222">
                  <c:v>-177.37919520225546</c:v>
                </c:pt>
                <c:pt idx="223">
                  <c:v>-177.4989623748337</c:v>
                </c:pt>
                <c:pt idx="224">
                  <c:v>-177.6179559543354</c:v>
                </c:pt>
                <c:pt idx="225">
                  <c:v>-177.73618867057525</c:v>
                </c:pt>
                <c:pt idx="226">
                  <c:v>-177.8565914741001</c:v>
                </c:pt>
                <c:pt idx="227">
                  <c:v>-177.9762211890334</c:v>
                </c:pt>
                <c:pt idx="228">
                  <c:v>-178.09509061836724</c:v>
                </c:pt>
                <c:pt idx="229">
                  <c:v>-178.21321227726651</c:v>
                </c:pt>
                <c:pt idx="230">
                  <c:v>-178.45291626631831</c:v>
                </c:pt>
                <c:pt idx="231">
                  <c:v>-178.57164249137168</c:v>
                </c:pt>
                <c:pt idx="232">
                  <c:v>-178.6896346705991</c:v>
                </c:pt>
                <c:pt idx="233">
                  <c:v>-178.80967999233101</c:v>
                </c:pt>
                <c:pt idx="234">
                  <c:v>-178.92898117315676</c:v>
                </c:pt>
                <c:pt idx="235">
                  <c:v>-179.04755051684137</c:v>
                </c:pt>
                <c:pt idx="236">
                  <c:v>-179.16540004950062</c:v>
                </c:pt>
                <c:pt idx="237">
                  <c:v>-179.28491106257931</c:v>
                </c:pt>
                <c:pt idx="238">
                  <c:v>-179.40369720062864</c:v>
                </c:pt>
                <c:pt idx="239">
                  <c:v>-179.52177039210241</c:v>
                </c:pt>
                <c:pt idx="240">
                  <c:v>-179.63914229673446</c:v>
                </c:pt>
                <c:pt idx="241">
                  <c:v>-179.75879871410066</c:v>
                </c:pt>
                <c:pt idx="242">
                  <c:v>-179.87774153045123</c:v>
                </c:pt>
                <c:pt idx="243">
                  <c:v>-179.99598249054458</c:v>
                </c:pt>
                <c:pt idx="244">
                  <c:v>179.88646692634569</c:v>
                </c:pt>
                <c:pt idx="245">
                  <c:v>179.76701315833759</c:v>
                </c:pt>
                <c:pt idx="246">
                  <c:v>179.64825726877254</c:v>
                </c:pt>
                <c:pt idx="247">
                  <c:v>179.53018781092428</c:v>
                </c:pt>
                <c:pt idx="248">
                  <c:v>179.41279359684327</c:v>
                </c:pt>
                <c:pt idx="249">
                  <c:v>179.29322482753554</c:v>
                </c:pt>
                <c:pt idx="250">
                  <c:v>179.17434167688489</c:v>
                </c:pt>
                <c:pt idx="251">
                  <c:v>179.05613291644028</c:v>
                </c:pt>
                <c:pt idx="252">
                  <c:v>178.93858757217353</c:v>
                </c:pt>
                <c:pt idx="253">
                  <c:v>178.81922797493905</c:v>
                </c:pt>
                <c:pt idx="254">
                  <c:v>178.70053782389991</c:v>
                </c:pt>
                <c:pt idx="255">
                  <c:v>178.58250620957841</c:v>
                </c:pt>
                <c:pt idx="256">
                  <c:v>178.46512246949115</c:v>
                </c:pt>
                <c:pt idx="257">
                  <c:v>178.34536004515454</c:v>
                </c:pt>
                <c:pt idx="258">
                  <c:v>178.22625753186574</c:v>
                </c:pt>
                <c:pt idx="259">
                  <c:v>178.10780418261106</c:v>
                </c:pt>
                <c:pt idx="260">
                  <c:v>177.98998949461492</c:v>
                </c:pt>
                <c:pt idx="261">
                  <c:v>177.87014710178184</c:v>
                </c:pt>
                <c:pt idx="262">
                  <c:v>177.75095126213313</c:v>
                </c:pt>
                <c:pt idx="263">
                  <c:v>177.63239148938254</c:v>
                </c:pt>
                <c:pt idx="264">
                  <c:v>177.51445753572838</c:v>
                </c:pt>
                <c:pt idx="265">
                  <c:v>177.39453923410636</c:v>
                </c:pt>
                <c:pt idx="266">
                  <c:v>177.2752539542673</c:v>
                </c:pt>
                <c:pt idx="267">
                  <c:v>177.15659148000179</c:v>
                </c:pt>
                <c:pt idx="268">
                  <c:v>177.03854182750575</c:v>
                </c:pt>
                <c:pt idx="269">
                  <c:v>176.91826574402876</c:v>
                </c:pt>
                <c:pt idx="270">
                  <c:v>176.79861196723499</c:v>
                </c:pt>
                <c:pt idx="271">
                  <c:v>176.67957048841092</c:v>
                </c:pt>
                <c:pt idx="272">
                  <c:v>176.56113152702437</c:v>
                </c:pt>
                <c:pt idx="273">
                  <c:v>176.44051321834107</c:v>
                </c:pt>
                <c:pt idx="274">
                  <c:v>176.32050615157866</c:v>
                </c:pt>
                <c:pt idx="275">
                  <c:v>176.20110053946283</c:v>
                </c:pt>
                <c:pt idx="276">
                  <c:v>176.08228681821987</c:v>
                </c:pt>
                <c:pt idx="277">
                  <c:v>175.96160994268979</c:v>
                </c:pt>
                <c:pt idx="278">
                  <c:v>175.84153031031573</c:v>
                </c:pt>
                <c:pt idx="279">
                  <c:v>175.72203843057525</c:v>
                </c:pt>
                <c:pt idx="280">
                  <c:v>175.6031250294437</c:v>
                </c:pt>
                <c:pt idx="281">
                  <c:v>175.48158317451197</c:v>
                </c:pt>
                <c:pt idx="282">
                  <c:v>175.3606324063976</c:v>
                </c:pt>
                <c:pt idx="283">
                  <c:v>175.24026335062061</c:v>
                </c:pt>
                <c:pt idx="284">
                  <c:v>175.12046684764866</c:v>
                </c:pt>
                <c:pt idx="285">
                  <c:v>174.99888111848583</c:v>
                </c:pt>
                <c:pt idx="286">
                  <c:v>174.87787223415629</c:v>
                </c:pt>
                <c:pt idx="287">
                  <c:v>174.75743113314067</c:v>
                </c:pt>
                <c:pt idx="288">
                  <c:v>174.63754896129709</c:v>
                </c:pt>
                <c:pt idx="289">
                  <c:v>174.51513811983745</c:v>
                </c:pt>
                <c:pt idx="290">
                  <c:v>174.39329725929221</c:v>
                </c:pt>
                <c:pt idx="291">
                  <c:v>174.27201746329251</c:v>
                </c:pt>
                <c:pt idx="292">
                  <c:v>174.15129002034899</c:v>
                </c:pt>
                <c:pt idx="293">
                  <c:v>174.02833542833531</c:v>
                </c:pt>
                <c:pt idx="294">
                  <c:v>173.9059411970633</c:v>
                </c:pt>
                <c:pt idx="295">
                  <c:v>173.78409862591039</c:v>
                </c:pt>
                <c:pt idx="296">
                  <c:v>173.66279921445567</c:v>
                </c:pt>
                <c:pt idx="297">
                  <c:v>173.53931302862722</c:v>
                </c:pt>
                <c:pt idx="298">
                  <c:v>173.41637745500896</c:v>
                </c:pt>
                <c:pt idx="299">
                  <c:v>173.29398401747412</c:v>
                </c:pt>
                <c:pt idx="300">
                  <c:v>173.17212443511829</c:v>
                </c:pt>
                <c:pt idx="301">
                  <c:v>173.04811642689555</c:v>
                </c:pt>
                <c:pt idx="302">
                  <c:v>172.92464922617813</c:v>
                </c:pt>
                <c:pt idx="303">
                  <c:v>172.8017145882425</c:v>
                </c:pt>
                <c:pt idx="304">
                  <c:v>172.67930445836134</c:v>
                </c:pt>
                <c:pt idx="305">
                  <c:v>172.55430447080229</c:v>
                </c:pt>
                <c:pt idx="306">
                  <c:v>172.42983955655049</c:v>
                </c:pt>
                <c:pt idx="307">
                  <c:v>172.30590161583041</c:v>
                </c:pt>
                <c:pt idx="308">
                  <c:v>172.18248273625349</c:v>
                </c:pt>
                <c:pt idx="309">
                  <c:v>172.05699062777424</c:v>
                </c:pt>
                <c:pt idx="310">
                  <c:v>171.93202358918271</c:v>
                </c:pt>
                <c:pt idx="311">
                  <c:v>171.80757376834995</c:v>
                </c:pt>
                <c:pt idx="312">
                  <c:v>171.68363349474072</c:v>
                </c:pt>
                <c:pt idx="313">
                  <c:v>171.55719079584506</c:v>
                </c:pt>
                <c:pt idx="314">
                  <c:v>171.43126707058477</c:v>
                </c:pt>
                <c:pt idx="315">
                  <c:v>171.30585463311482</c:v>
                </c:pt>
                <c:pt idx="316">
                  <c:v>171.18094597585616</c:v>
                </c:pt>
                <c:pt idx="317">
                  <c:v>171.05357756048244</c:v>
                </c:pt>
                <c:pt idx="318">
                  <c:v>170.92672182534508</c:v>
                </c:pt>
                <c:pt idx="319">
                  <c:v>170.80037126208128</c:v>
                </c:pt>
                <c:pt idx="320">
                  <c:v>170.67451853689286</c:v>
                </c:pt>
                <c:pt idx="321">
                  <c:v>170.54624687077731</c:v>
                </c:pt>
                <c:pt idx="322">
                  <c:v>170.41848146955016</c:v>
                </c:pt>
                <c:pt idx="323">
                  <c:v>170.29121501165463</c:v>
                </c:pt>
                <c:pt idx="324">
                  <c:v>170.16444034607613</c:v>
                </c:pt>
                <c:pt idx="325">
                  <c:v>170.03528584405208</c:v>
                </c:pt>
                <c:pt idx="326">
                  <c:v>169.90663113846978</c:v>
                </c:pt>
                <c:pt idx="327">
                  <c:v>169.77846910214592</c:v>
                </c:pt>
                <c:pt idx="328">
                  <c:v>169.65079277414699</c:v>
                </c:pt>
                <c:pt idx="329">
                  <c:v>169.52055712673331</c:v>
                </c:pt>
                <c:pt idx="330">
                  <c:v>169.39081645646425</c:v>
                </c:pt>
                <c:pt idx="331">
                  <c:v>169.26156380206902</c:v>
                </c:pt>
                <c:pt idx="332">
                  <c:v>169.13279236507933</c:v>
                </c:pt>
                <c:pt idx="333">
                  <c:v>169.00171631208681</c:v>
                </c:pt>
                <c:pt idx="334">
                  <c:v>168.87112874323262</c:v>
                </c:pt>
                <c:pt idx="335">
                  <c:v>168.74102290475889</c:v>
                </c:pt>
                <c:pt idx="336">
                  <c:v>168.61139220093031</c:v>
                </c:pt>
                <c:pt idx="337">
                  <c:v>168.47907028490587</c:v>
                </c:pt>
                <c:pt idx="338">
                  <c:v>168.34723355338434</c:v>
                </c:pt>
                <c:pt idx="339">
                  <c:v>168.21587540072886</c:v>
                </c:pt>
                <c:pt idx="340">
                  <c:v>168.08498937635369</c:v>
                </c:pt>
                <c:pt idx="341">
                  <c:v>167.95145473419421</c:v>
                </c:pt>
                <c:pt idx="342">
                  <c:v>167.8184018719511</c:v>
                </c:pt>
                <c:pt idx="343">
                  <c:v>167.68582434178109</c:v>
                </c:pt>
                <c:pt idx="344">
                  <c:v>167.55371584757881</c:v>
                </c:pt>
                <c:pt idx="345">
                  <c:v>167.41920457593255</c:v>
                </c:pt>
                <c:pt idx="346">
                  <c:v>167.28517019506046</c:v>
                </c:pt>
                <c:pt idx="347">
                  <c:v>167.15160645117862</c:v>
                </c:pt>
                <c:pt idx="348">
                  <c:v>167.01850723774973</c:v>
                </c:pt>
                <c:pt idx="349">
                  <c:v>166.88263713284906</c:v>
                </c:pt>
                <c:pt idx="350">
                  <c:v>166.74724197798142</c:v>
                </c:pt>
                <c:pt idx="351">
                  <c:v>166.61231566230734</c:v>
                </c:pt>
                <c:pt idx="352">
                  <c:v>166.47785221929331</c:v>
                </c:pt>
                <c:pt idx="353">
                  <c:v>166.34066071759935</c:v>
                </c:pt>
                <c:pt idx="354">
                  <c:v>166.20394218126492</c:v>
                </c:pt>
                <c:pt idx="355">
                  <c:v>166.06769065083336</c:v>
                </c:pt>
                <c:pt idx="356">
                  <c:v>165.93190030790115</c:v>
                </c:pt>
                <c:pt idx="357">
                  <c:v>165.79361988880021</c:v>
                </c:pt>
                <c:pt idx="358">
                  <c:v>165.65580913730147</c:v>
                </c:pt>
                <c:pt idx="359">
                  <c:v>165.51846227654264</c:v>
                </c:pt>
                <c:pt idx="360">
                  <c:v>165.38157366642491</c:v>
                </c:pt>
                <c:pt idx="361">
                  <c:v>165.24184405838039</c:v>
                </c:pt>
                <c:pt idx="362">
                  <c:v>165.10258357923851</c:v>
                </c:pt>
                <c:pt idx="363">
                  <c:v>164.96378659049273</c:v>
                </c:pt>
                <c:pt idx="364">
                  <c:v>164.8254475874418</c:v>
                </c:pt>
                <c:pt idx="365">
                  <c:v>164.68450215362353</c:v>
                </c:pt>
                <c:pt idx="366">
                  <c:v>164.54402406592899</c:v>
                </c:pt>
                <c:pt idx="367">
                  <c:v>164.40400785326918</c:v>
                </c:pt>
                <c:pt idx="368">
                  <c:v>164.26444817442191</c:v>
                </c:pt>
                <c:pt idx="369">
                  <c:v>164.1219433181509</c:v>
                </c:pt>
                <c:pt idx="370">
                  <c:v>163.97990665247582</c:v>
                </c:pt>
                <c:pt idx="371">
                  <c:v>163.83833283438392</c:v>
                </c:pt>
                <c:pt idx="372">
                  <c:v>163.69721664796538</c:v>
                </c:pt>
                <c:pt idx="373">
                  <c:v>163.55338671689177</c:v>
                </c:pt>
                <c:pt idx="374">
                  <c:v>163.41002464651254</c:v>
                </c:pt>
                <c:pt idx="375">
                  <c:v>163.26712524870669</c:v>
                </c:pt>
                <c:pt idx="376">
                  <c:v>163.12468345876937</c:v>
                </c:pt>
                <c:pt idx="377">
                  <c:v>162.97920092189378</c:v>
                </c:pt>
                <c:pt idx="378">
                  <c:v>162.83418844073142</c:v>
                </c:pt>
                <c:pt idx="379">
                  <c:v>162.68964094680652</c:v>
                </c:pt>
                <c:pt idx="380">
                  <c:v>162.54555349240715</c:v>
                </c:pt>
                <c:pt idx="381">
                  <c:v>162.39883539465072</c:v>
                </c:pt>
                <c:pt idx="382">
                  <c:v>162.25258728189959</c:v>
                </c:pt>
                <c:pt idx="383">
                  <c:v>162.10680424786111</c:v>
                </c:pt>
                <c:pt idx="384">
                  <c:v>161.96148150292049</c:v>
                </c:pt>
                <c:pt idx="385">
                  <c:v>161.81302985352505</c:v>
                </c:pt>
                <c:pt idx="386">
                  <c:v>161.66505176720241</c:v>
                </c:pt>
                <c:pt idx="387">
                  <c:v>161.51754244855636</c:v>
                </c:pt>
                <c:pt idx="388">
                  <c:v>161.37049721631035</c:v>
                </c:pt>
                <c:pt idx="389">
                  <c:v>161.22054911500388</c:v>
                </c:pt>
                <c:pt idx="390">
                  <c:v>161.07107711043179</c:v>
                </c:pt>
                <c:pt idx="391">
                  <c:v>160.92207654025589</c:v>
                </c:pt>
                <c:pt idx="392">
                  <c:v>160.77354285289792</c:v>
                </c:pt>
                <c:pt idx="393">
                  <c:v>160.62215140273662</c:v>
                </c:pt>
                <c:pt idx="394">
                  <c:v>160.47123875878506</c:v>
                </c:pt>
                <c:pt idx="395">
                  <c:v>160.32080039394543</c:v>
                </c:pt>
                <c:pt idx="396">
                  <c:v>160.17083188833894</c:v>
                </c:pt>
                <c:pt idx="397">
                  <c:v>160.01770512715174</c:v>
                </c:pt>
                <c:pt idx="398">
                  <c:v>159.86506226041109</c:v>
                </c:pt>
                <c:pt idx="399">
                  <c:v>159.71289886766655</c:v>
                </c:pt>
                <c:pt idx="400">
                  <c:v>159.5612106329292</c:v>
                </c:pt>
                <c:pt idx="401">
                  <c:v>159.40658526181059</c:v>
                </c:pt>
                <c:pt idx="402">
                  <c:v>159.25244793559767</c:v>
                </c:pt>
                <c:pt idx="403">
                  <c:v>159.09879435813178</c:v>
                </c:pt>
                <c:pt idx="404">
                  <c:v>158.94562033427445</c:v>
                </c:pt>
                <c:pt idx="405">
                  <c:v>158.78938800187262</c:v>
                </c:pt>
                <c:pt idx="406">
                  <c:v>158.63364913694443</c:v>
                </c:pt>
                <c:pt idx="407">
                  <c:v>158.47839955460873</c:v>
                </c:pt>
                <c:pt idx="408">
                  <c:v>158.32363516783437</c:v>
                </c:pt>
                <c:pt idx="409">
                  <c:v>158.1656962768339</c:v>
                </c:pt>
                <c:pt idx="410">
                  <c:v>158.00825751758083</c:v>
                </c:pt>
                <c:pt idx="411">
                  <c:v>157.851314804635</c:v>
                </c:pt>
                <c:pt idx="412">
                  <c:v>157.69486414745708</c:v>
                </c:pt>
                <c:pt idx="413">
                  <c:v>157.53529183731371</c:v>
                </c:pt>
                <c:pt idx="414">
                  <c:v>157.37622650088946</c:v>
                </c:pt>
                <c:pt idx="415">
                  <c:v>157.21766415345962</c:v>
                </c:pt>
                <c:pt idx="416">
                  <c:v>157.05960090205585</c:v>
                </c:pt>
                <c:pt idx="417">
                  <c:v>156.89830661721189</c:v>
                </c:pt>
                <c:pt idx="418">
                  <c:v>156.7375273791736</c:v>
                </c:pt>
                <c:pt idx="419">
                  <c:v>156.57725929230091</c:v>
                </c:pt>
                <c:pt idx="420">
                  <c:v>156.41749854975518</c:v>
                </c:pt>
                <c:pt idx="421">
                  <c:v>156.2547222940436</c:v>
                </c:pt>
                <c:pt idx="422">
                  <c:v>156.09246831867782</c:v>
                </c:pt>
                <c:pt idx="423">
                  <c:v>155.93073282837074</c:v>
                </c:pt>
                <c:pt idx="424">
                  <c:v>155.76951211316793</c:v>
                </c:pt>
                <c:pt idx="425">
                  <c:v>155.60485449119804</c:v>
                </c:pt>
                <c:pt idx="426">
                  <c:v>155.44072966722123</c:v>
                </c:pt>
                <c:pt idx="427">
                  <c:v>155.27713391210517</c:v>
                </c:pt>
                <c:pt idx="428">
                  <c:v>155.11406357942192</c:v>
                </c:pt>
                <c:pt idx="429">
                  <c:v>154.94777371394164</c:v>
                </c:pt>
                <c:pt idx="430">
                  <c:v>154.78202630998948</c:v>
                </c:pt>
                <c:pt idx="431">
                  <c:v>154.61681771499929</c:v>
                </c:pt>
                <c:pt idx="432">
                  <c:v>154.45214435597663</c:v>
                </c:pt>
                <c:pt idx="433">
                  <c:v>154.2843098706287</c:v>
                </c:pt>
                <c:pt idx="434">
                  <c:v>154.11702770426351</c:v>
                </c:pt>
                <c:pt idx="435">
                  <c:v>153.95029427865524</c:v>
                </c:pt>
                <c:pt idx="436">
                  <c:v>153.78410609188998</c:v>
                </c:pt>
                <c:pt idx="437">
                  <c:v>153.61451148416003</c:v>
                </c:pt>
                <c:pt idx="438">
                  <c:v>153.44548126602126</c:v>
                </c:pt>
                <c:pt idx="439">
                  <c:v>153.27701191151817</c:v>
                </c:pt>
                <c:pt idx="440">
                  <c:v>153.10909996816824</c:v>
                </c:pt>
                <c:pt idx="441">
                  <c:v>152.93784612156995</c:v>
                </c:pt>
                <c:pt idx="442">
                  <c:v>152.76716889541379</c:v>
                </c:pt>
                <c:pt idx="443">
                  <c:v>152.59706481360291</c:v>
                </c:pt>
                <c:pt idx="444">
                  <c:v>152.42753047052975</c:v>
                </c:pt>
                <c:pt idx="445">
                  <c:v>152.25471882589815</c:v>
                </c:pt>
                <c:pt idx="446">
                  <c:v>152.0824961906097</c:v>
                </c:pt>
                <c:pt idx="447">
                  <c:v>151.91085913486268</c:v>
                </c:pt>
                <c:pt idx="448">
                  <c:v>151.73980429624822</c:v>
                </c:pt>
                <c:pt idx="449">
                  <c:v>151.56524520885705</c:v>
                </c:pt>
                <c:pt idx="450">
                  <c:v>151.39128968316436</c:v>
                </c:pt>
                <c:pt idx="451">
                  <c:v>151.21793431414949</c:v>
                </c:pt>
                <c:pt idx="452">
                  <c:v>151.0451757614367</c:v>
                </c:pt>
                <c:pt idx="453">
                  <c:v>150.86912765786292</c:v>
                </c:pt>
                <c:pt idx="454">
                  <c:v>150.69369677700868</c:v>
                </c:pt>
                <c:pt idx="455">
                  <c:v>150.51887974273731</c:v>
                </c:pt>
                <c:pt idx="456">
                  <c:v>150.34467324049149</c:v>
                </c:pt>
                <c:pt idx="457">
                  <c:v>150.16696158049936</c:v>
                </c:pt>
                <c:pt idx="458">
                  <c:v>149.98988293301736</c:v>
                </c:pt>
                <c:pt idx="459">
                  <c:v>149.81343392899689</c:v>
                </c:pt>
                <c:pt idx="460">
                  <c:v>149.6376112582316</c:v>
                </c:pt>
                <c:pt idx="461">
                  <c:v>149.45835764960944</c:v>
                </c:pt>
                <c:pt idx="462">
                  <c:v>149.27975291821917</c:v>
                </c:pt>
                <c:pt idx="463">
                  <c:v>149.10179369661779</c:v>
                </c:pt>
                <c:pt idx="464">
                  <c:v>148.92447667338803</c:v>
                </c:pt>
                <c:pt idx="465">
                  <c:v>148.74366533569807</c:v>
                </c:pt>
                <c:pt idx="466">
                  <c:v>148.56351980543744</c:v>
                </c:pt>
                <c:pt idx="467">
                  <c:v>148.38403670270765</c:v>
                </c:pt>
                <c:pt idx="468">
                  <c:v>148.20521270094051</c:v>
                </c:pt>
                <c:pt idx="469">
                  <c:v>148.02297199366006</c:v>
                </c:pt>
                <c:pt idx="470">
                  <c:v>147.84141404266137</c:v>
                </c:pt>
                <c:pt idx="471">
                  <c:v>147.66053544884886</c:v>
                </c:pt>
                <c:pt idx="472">
                  <c:v>147.48033286372836</c:v>
                </c:pt>
                <c:pt idx="473">
                  <c:v>147.29652390424755</c:v>
                </c:pt>
                <c:pt idx="474">
                  <c:v>147.11341667639292</c:v>
                </c:pt>
                <c:pt idx="475">
                  <c:v>146.9310077394791</c:v>
                </c:pt>
                <c:pt idx="476">
                  <c:v>146.74929370097033</c:v>
                </c:pt>
                <c:pt idx="477">
                  <c:v>146.56405734216605</c:v>
                </c:pt>
                <c:pt idx="478">
                  <c:v>146.37954163389756</c:v>
                </c:pt>
                <c:pt idx="479">
                  <c:v>146.19574308637959</c:v>
                </c:pt>
                <c:pt idx="480">
                  <c:v>146.01265825551368</c:v>
                </c:pt>
                <c:pt idx="481">
                  <c:v>145.82613530998725</c:v>
                </c:pt>
                <c:pt idx="482">
                  <c:v>145.64035183747768</c:v>
                </c:pt>
                <c:pt idx="483">
                  <c:v>145.45530429096459</c:v>
                </c:pt>
                <c:pt idx="484">
                  <c:v>145.27098916667717</c:v>
                </c:pt>
                <c:pt idx="485">
                  <c:v>145.08319264167966</c:v>
                </c:pt>
                <c:pt idx="486">
                  <c:v>144.89615530302049</c:v>
                </c:pt>
                <c:pt idx="487">
                  <c:v>144.70987353049412</c:v>
                </c:pt>
                <c:pt idx="488">
                  <c:v>144.52434374487814</c:v>
                </c:pt>
                <c:pt idx="489">
                  <c:v>144.33516895557753</c:v>
                </c:pt>
                <c:pt idx="490">
                  <c:v>144.14677494577808</c:v>
                </c:pt>
                <c:pt idx="491">
                  <c:v>143.95915799854754</c:v>
                </c:pt>
                <c:pt idx="492">
                  <c:v>143.7723144359511</c:v>
                </c:pt>
                <c:pt idx="493">
                  <c:v>143.58191957827717</c:v>
                </c:pt>
                <c:pt idx="494">
                  <c:v>143.39232684675238</c:v>
                </c:pt>
                <c:pt idx="495">
                  <c:v>143.20353241874767</c:v>
                </c:pt>
                <c:pt idx="496">
                  <c:v>143.01553250871777</c:v>
                </c:pt>
                <c:pt idx="497">
                  <c:v>142.82395364074546</c:v>
                </c:pt>
                <c:pt idx="498">
                  <c:v>142.63319898724112</c:v>
                </c:pt>
                <c:pt idx="499">
                  <c:v>142.44326460322182</c:v>
                </c:pt>
                <c:pt idx="500">
                  <c:v>142.25414657907436</c:v>
                </c:pt>
                <c:pt idx="501">
                  <c:v>142.06142709010709</c:v>
                </c:pt>
                <c:pt idx="502">
                  <c:v>141.86955458876062</c:v>
                </c:pt>
                <c:pt idx="503">
                  <c:v>141.67852499085251</c:v>
                </c:pt>
                <c:pt idx="504">
                  <c:v>141.48833424606593</c:v>
                </c:pt>
                <c:pt idx="505">
                  <c:v>141.29464184760383</c:v>
                </c:pt>
                <c:pt idx="506">
                  <c:v>141.10181878207595</c:v>
                </c:pt>
                <c:pt idx="507">
                  <c:v>140.90986081677585</c:v>
                </c:pt>
                <c:pt idx="508">
                  <c:v>140.71876375150933</c:v>
                </c:pt>
                <c:pt idx="509">
                  <c:v>140.52414953399497</c:v>
                </c:pt>
                <c:pt idx="510">
                  <c:v>140.33042755784174</c:v>
                </c:pt>
                <c:pt idx="511">
                  <c:v>140.13759342490013</c:v>
                </c:pt>
                <c:pt idx="512">
                  <c:v>139.94564276843482</c:v>
                </c:pt>
                <c:pt idx="513">
                  <c:v>139.7500514415637</c:v>
                </c:pt>
                <c:pt idx="514">
                  <c:v>139.55537681943423</c:v>
                </c:pt>
                <c:pt idx="515">
                  <c:v>139.36161431363351</c:v>
                </c:pt>
                <c:pt idx="516">
                  <c:v>139.16875936640284</c:v>
                </c:pt>
                <c:pt idx="517">
                  <c:v>138.97237220952883</c:v>
                </c:pt>
                <c:pt idx="518">
                  <c:v>138.77692558048591</c:v>
                </c:pt>
                <c:pt idx="519">
                  <c:v>138.5824146916716</c:v>
                </c:pt>
                <c:pt idx="520">
                  <c:v>138.38883478558833</c:v>
                </c:pt>
                <c:pt idx="521">
                  <c:v>138.19172191648309</c:v>
                </c:pt>
                <c:pt idx="522">
                  <c:v>137.99557375084075</c:v>
                </c:pt>
                <c:pt idx="523">
                  <c:v>137.80038528525844</c:v>
                </c:pt>
                <c:pt idx="524">
                  <c:v>137.60615154618978</c:v>
                </c:pt>
                <c:pt idx="525">
                  <c:v>137.40838883440864</c:v>
                </c:pt>
                <c:pt idx="526">
                  <c:v>137.21161527835019</c:v>
                </c:pt>
                <c:pt idx="527">
                  <c:v>137.0158256424759</c:v>
                </c:pt>
                <c:pt idx="528">
                  <c:v>136.82101472117614</c:v>
                </c:pt>
                <c:pt idx="529">
                  <c:v>136.62268346444759</c:v>
                </c:pt>
                <c:pt idx="530">
                  <c:v>136.42536601390728</c:v>
                </c:pt>
                <c:pt idx="531">
                  <c:v>136.22905688592004</c:v>
                </c:pt>
                <c:pt idx="532">
                  <c:v>136.03375062718499</c:v>
                </c:pt>
                <c:pt idx="533">
                  <c:v>135.83483483877058</c:v>
                </c:pt>
                <c:pt idx="534">
                  <c:v>135.63695869427951</c:v>
                </c:pt>
                <c:pt idx="535">
                  <c:v>135.44011643761348</c:v>
                </c:pt>
                <c:pt idx="536">
                  <c:v>135.2443023438264</c:v>
                </c:pt>
                <c:pt idx="537">
                  <c:v>135.04510003107799</c:v>
                </c:pt>
                <c:pt idx="538">
                  <c:v>134.84696108373146</c:v>
                </c:pt>
                <c:pt idx="539">
                  <c:v>134.64987947615293</c:v>
                </c:pt>
                <c:pt idx="540">
                  <c:v>134.45384921490887</c:v>
                </c:pt>
                <c:pt idx="541">
                  <c:v>134.2542532200699</c:v>
                </c:pt>
                <c:pt idx="542">
                  <c:v>134.05574641543177</c:v>
                </c:pt>
                <c:pt idx="543">
                  <c:v>133.85832247334105</c:v>
                </c:pt>
                <c:pt idx="544">
                  <c:v>133.66197509989792</c:v>
                </c:pt>
                <c:pt idx="545">
                  <c:v>133.46218724688117</c:v>
                </c:pt>
                <c:pt idx="546">
                  <c:v>133.26351319210337</c:v>
                </c:pt>
                <c:pt idx="547">
                  <c:v>133.06594630164645</c:v>
                </c:pt>
                <c:pt idx="548">
                  <c:v>132.86947997721478</c:v>
                </c:pt>
                <c:pt idx="549">
                  <c:v>132.66960326446008</c:v>
                </c:pt>
                <c:pt idx="550">
                  <c:v>132.47086473867756</c:v>
                </c:pt>
                <c:pt idx="551">
                  <c:v>132.27325744718385</c:v>
                </c:pt>
                <c:pt idx="552">
                  <c:v>132.07677447517429</c:v>
                </c:pt>
                <c:pt idx="553">
                  <c:v>131.87682335178306</c:v>
                </c:pt>
                <c:pt idx="554">
                  <c:v>131.67803556658964</c:v>
                </c:pt>
                <c:pt idx="555">
                  <c:v>131.4804038266272</c:v>
                </c:pt>
                <c:pt idx="556">
                  <c:v>131.28392087952813</c:v>
                </c:pt>
                <c:pt idx="557">
                  <c:v>130.88528847137803</c:v>
                </c:pt>
                <c:pt idx="558">
                  <c:v>130.49137785967451</c:v>
                </c:pt>
                <c:pt idx="559">
                  <c:v>130.09326046320231</c:v>
                </c:pt>
                <c:pt idx="560">
                  <c:v>129.69995622425461</c:v>
                </c:pt>
                <c:pt idx="561">
                  <c:v>129.30224014396208</c:v>
                </c:pt>
                <c:pt idx="562">
                  <c:v>128.90943470046955</c:v>
                </c:pt>
                <c:pt idx="563">
                  <c:v>128.51320077760337</c:v>
                </c:pt>
                <c:pt idx="564">
                  <c:v>128.12195139313556</c:v>
                </c:pt>
                <c:pt idx="565">
                  <c:v>127.72594098175509</c:v>
                </c:pt>
                <c:pt idx="566">
                  <c:v>127.33502371846177</c:v>
                </c:pt>
                <c:pt idx="567">
                  <c:v>126.9397005684297</c:v>
                </c:pt>
                <c:pt idx="568">
                  <c:v>126.54957126674276</c:v>
                </c:pt>
                <c:pt idx="569">
                  <c:v>126.15691148062325</c:v>
                </c:pt>
                <c:pt idx="570">
                  <c:v>125.7694972015674</c:v>
                </c:pt>
                <c:pt idx="571">
                  <c:v>125.37682931481142</c:v>
                </c:pt>
                <c:pt idx="572">
                  <c:v>124.98953275023499</c:v>
                </c:pt>
                <c:pt idx="573">
                  <c:v>124.60028583416262</c:v>
                </c:pt>
                <c:pt idx="574">
                  <c:v>124.2164458451312</c:v>
                </c:pt>
                <c:pt idx="575">
                  <c:v>123.82807540863466</c:v>
                </c:pt>
                <c:pt idx="576">
                  <c:v>123.44522017898716</c:v>
                </c:pt>
                <c:pt idx="577">
                  <c:v>121.88346189281913</c:v>
                </c:pt>
                <c:pt idx="578">
                  <c:v>120.41256557850542</c:v>
                </c:pt>
                <c:pt idx="579">
                  <c:v>117.4782790910572</c:v>
                </c:pt>
                <c:pt idx="580">
                  <c:v>114.66072278473564</c:v>
                </c:pt>
                <c:pt idx="581">
                  <c:v>111.98494958953759</c:v>
                </c:pt>
                <c:pt idx="582">
                  <c:v>109.46729332555847</c:v>
                </c:pt>
                <c:pt idx="583">
                  <c:v>107.12431985197722</c:v>
                </c:pt>
                <c:pt idx="584">
                  <c:v>104.96521922982465</c:v>
                </c:pt>
                <c:pt idx="585">
                  <c:v>102.99812809941683</c:v>
                </c:pt>
                <c:pt idx="586">
                  <c:v>101.22523094970072</c:v>
                </c:pt>
                <c:pt idx="587">
                  <c:v>99.643946459805136</c:v>
                </c:pt>
                <c:pt idx="588">
                  <c:v>98.249964202192061</c:v>
                </c:pt>
                <c:pt idx="589">
                  <c:v>97.032711168722244</c:v>
                </c:pt>
                <c:pt idx="590">
                  <c:v>95.980408600871314</c:v>
                </c:pt>
                <c:pt idx="591">
                  <c:v>95.078564758773965</c:v>
                </c:pt>
                <c:pt idx="592">
                  <c:v>94.311679381175281</c:v>
                </c:pt>
                <c:pt idx="593">
                  <c:v>93.66354274073943</c:v>
                </c:pt>
                <c:pt idx="594">
                  <c:v>93.118669006587652</c:v>
                </c:pt>
                <c:pt idx="595">
                  <c:v>92.662149937363282</c:v>
                </c:pt>
                <c:pt idx="596">
                  <c:v>92.280534132163865</c:v>
                </c:pt>
                <c:pt idx="597">
                  <c:v>91.961662946239898</c:v>
                </c:pt>
                <c:pt idx="598">
                  <c:v>91.69508108311021</c:v>
                </c:pt>
                <c:pt idx="599">
                  <c:v>91.471700904489026</c:v>
                </c:pt>
                <c:pt idx="600">
                  <c:v>91.283958321710159</c:v>
                </c:pt>
                <c:pt idx="604">
                  <c:v>179.64825726877254</c:v>
                </c:pt>
              </c:numCache>
            </c:numRef>
          </c:yVal>
          <c:smooth val="0"/>
          <c:extLst>
            <c:ext xmlns:c16="http://schemas.microsoft.com/office/drawing/2014/chart" uri="{C3380CC4-5D6E-409C-BE32-E72D297353CC}">
              <c16:uniqueId val="{00000004-4362-43AB-BDC1-536058DC7619}"/>
            </c:ext>
          </c:extLst>
        </c:ser>
        <c:ser>
          <c:idx val="8"/>
          <c:order val="5"/>
          <c:tx>
            <c:strRef>
              <c:f>'Stability Calculations'!$AI$12</c:f>
              <c:strCache>
                <c:ptCount val="1"/>
                <c:pt idx="0">
                  <c:v>Phase (°)</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Calculations'!$AI$13:$AI$617</c:f>
              <c:numCache>
                <c:formatCode>0.00</c:formatCode>
                <c:ptCount val="605"/>
                <c:pt idx="0">
                  <c:v>102.46952699807176</c:v>
                </c:pt>
                <c:pt idx="1">
                  <c:v>102.0306936910562</c:v>
                </c:pt>
                <c:pt idx="2">
                  <c:v>101.68990809011738</c:v>
                </c:pt>
                <c:pt idx="3">
                  <c:v>101.44498653996466</c:v>
                </c:pt>
                <c:pt idx="4">
                  <c:v>101.29439514402083</c:v>
                </c:pt>
                <c:pt idx="5">
                  <c:v>101.23693041518885</c:v>
                </c:pt>
                <c:pt idx="6">
                  <c:v>101.27236182230946</c:v>
                </c:pt>
                <c:pt idx="7">
                  <c:v>101.40090249878216</c:v>
                </c:pt>
                <c:pt idx="8">
                  <c:v>101.62324014925571</c:v>
                </c:pt>
                <c:pt idx="9">
                  <c:v>101.94091552321041</c:v>
                </c:pt>
                <c:pt idx="10">
                  <c:v>102.35570640123255</c:v>
                </c:pt>
                <c:pt idx="11">
                  <c:v>102.87009578838891</c:v>
                </c:pt>
                <c:pt idx="12">
                  <c:v>103.48735741735446</c:v>
                </c:pt>
                <c:pt idx="13">
                  <c:v>104.21024095387376</c:v>
                </c:pt>
                <c:pt idx="14">
                  <c:v>105.04295651432017</c:v>
                </c:pt>
                <c:pt idx="15">
                  <c:v>105.98907832995714</c:v>
                </c:pt>
                <c:pt idx="16">
                  <c:v>107.05256639423152</c:v>
                </c:pt>
                <c:pt idx="17">
                  <c:v>108.23698482621936</c:v>
                </c:pt>
                <c:pt idx="18">
                  <c:v>109.54602289381091</c:v>
                </c:pt>
                <c:pt idx="19">
                  <c:v>110.9819922589684</c:v>
                </c:pt>
                <c:pt idx="20">
                  <c:v>112.54680784817349</c:v>
                </c:pt>
                <c:pt idx="21">
                  <c:v>114.24037848768394</c:v>
                </c:pt>
                <c:pt idx="22">
                  <c:v>116.06149161588829</c:v>
                </c:pt>
                <c:pt idx="23">
                  <c:v>118.00590454185944</c:v>
                </c:pt>
                <c:pt idx="24">
                  <c:v>120.06773212475616</c:v>
                </c:pt>
                <c:pt idx="25">
                  <c:v>122.23740157979185</c:v>
                </c:pt>
                <c:pt idx="26">
                  <c:v>124.50310111185155</c:v>
                </c:pt>
                <c:pt idx="27">
                  <c:v>126.84869863007057</c:v>
                </c:pt>
                <c:pt idx="28">
                  <c:v>129.25596518246516</c:v>
                </c:pt>
                <c:pt idx="29">
                  <c:v>131.70261671128941</c:v>
                </c:pt>
                <c:pt idx="30">
                  <c:v>134.17025886442946</c:v>
                </c:pt>
                <c:pt idx="31">
                  <c:v>136.63191459151452</c:v>
                </c:pt>
                <c:pt idx="32">
                  <c:v>139.06560207252187</c:v>
                </c:pt>
                <c:pt idx="33">
                  <c:v>141.44676990623418</c:v>
                </c:pt>
                <c:pt idx="34">
                  <c:v>143.75606260573807</c:v>
                </c:pt>
                <c:pt idx="35">
                  <c:v>145.97326420946607</c:v>
                </c:pt>
                <c:pt idx="36">
                  <c:v>148.08258942657463</c:v>
                </c:pt>
                <c:pt idx="37">
                  <c:v>150.07188956102686</c:v>
                </c:pt>
                <c:pt idx="38">
                  <c:v>151.92902119726773</c:v>
                </c:pt>
                <c:pt idx="39">
                  <c:v>153.64804984081263</c:v>
                </c:pt>
                <c:pt idx="40">
                  <c:v>155.22330103082487</c:v>
                </c:pt>
                <c:pt idx="41">
                  <c:v>156.65206057666219</c:v>
                </c:pt>
                <c:pt idx="42">
                  <c:v>157.93299256021368</c:v>
                </c:pt>
                <c:pt idx="43">
                  <c:v>159.06658252873171</c:v>
                </c:pt>
                <c:pt idx="44">
                  <c:v>160.05352256017724</c:v>
                </c:pt>
                <c:pt idx="45">
                  <c:v>160.89555731000073</c:v>
                </c:pt>
                <c:pt idx="46">
                  <c:v>161.59429296793627</c:v>
                </c:pt>
                <c:pt idx="47">
                  <c:v>162.15162519778465</c:v>
                </c:pt>
                <c:pt idx="48">
                  <c:v>162.56892559271461</c:v>
                </c:pt>
                <c:pt idx="49">
                  <c:v>162.84739088842804</c:v>
                </c:pt>
                <c:pt idx="50">
                  <c:v>162.98749091843382</c:v>
                </c:pt>
                <c:pt idx="51">
                  <c:v>162.98908817563824</c:v>
                </c:pt>
                <c:pt idx="52">
                  <c:v>162.85127658845215</c:v>
                </c:pt>
                <c:pt idx="53">
                  <c:v>162.57238462370003</c:v>
                </c:pt>
                <c:pt idx="54">
                  <c:v>162.15017839099687</c:v>
                </c:pt>
                <c:pt idx="55">
                  <c:v>161.58040405946298</c:v>
                </c:pt>
                <c:pt idx="56">
                  <c:v>160.85933007531199</c:v>
                </c:pt>
                <c:pt idx="57">
                  <c:v>159.98116876413516</c:v>
                </c:pt>
                <c:pt idx="58">
                  <c:v>158.94034379319473</c:v>
                </c:pt>
                <c:pt idx="59">
                  <c:v>157.72895023449226</c:v>
                </c:pt>
                <c:pt idx="60">
                  <c:v>156.33968872440778</c:v>
                </c:pt>
                <c:pt idx="61">
                  <c:v>154.7637342386183</c:v>
                </c:pt>
                <c:pt idx="62">
                  <c:v>152.99081479551535</c:v>
                </c:pt>
                <c:pt idx="63">
                  <c:v>151.01287783544217</c:v>
                </c:pt>
                <c:pt idx="64">
                  <c:v>148.81842729564352</c:v>
                </c:pt>
                <c:pt idx="65">
                  <c:v>146.39835605383064</c:v>
                </c:pt>
                <c:pt idx="66">
                  <c:v>143.74310046259305</c:v>
                </c:pt>
                <c:pt idx="67">
                  <c:v>140.84465440510806</c:v>
                </c:pt>
                <c:pt idx="68">
                  <c:v>137.69526728969348</c:v>
                </c:pt>
                <c:pt idx="69">
                  <c:v>134.29105438474951</c:v>
                </c:pt>
                <c:pt idx="70">
                  <c:v>130.6295459543131</c:v>
                </c:pt>
                <c:pt idx="71">
                  <c:v>126.71338233346864</c:v>
                </c:pt>
                <c:pt idx="72">
                  <c:v>122.5480579439286</c:v>
                </c:pt>
                <c:pt idx="73">
                  <c:v>118.14606376805202</c:v>
                </c:pt>
                <c:pt idx="74">
                  <c:v>113.52337078185687</c:v>
                </c:pt>
                <c:pt idx="75">
                  <c:v>108.70364225416972</c:v>
                </c:pt>
                <c:pt idx="76">
                  <c:v>103.71450056013073</c:v>
                </c:pt>
                <c:pt idx="77">
                  <c:v>98.591629958432961</c:v>
                </c:pt>
                <c:pt idx="78">
                  <c:v>93.373397592821433</c:v>
                </c:pt>
                <c:pt idx="79">
                  <c:v>88.104747610108078</c:v>
                </c:pt>
                <c:pt idx="80">
                  <c:v>82.819921184280517</c:v>
                </c:pt>
                <c:pt idx="81">
                  <c:v>77.569247849590653</c:v>
                </c:pt>
                <c:pt idx="82">
                  <c:v>72.390183858642459</c:v>
                </c:pt>
                <c:pt idx="83">
                  <c:v>67.3238818415022</c:v>
                </c:pt>
                <c:pt idx="84">
                  <c:v>62.399135782135133</c:v>
                </c:pt>
                <c:pt idx="85">
                  <c:v>57.645809170519428</c:v>
                </c:pt>
                <c:pt idx="86">
                  <c:v>53.084075548915436</c:v>
                </c:pt>
                <c:pt idx="87">
                  <c:v>48.726441846099391</c:v>
                </c:pt>
                <c:pt idx="88">
                  <c:v>44.586034057735162</c:v>
                </c:pt>
                <c:pt idx="89">
                  <c:v>40.663107248129251</c:v>
                </c:pt>
                <c:pt idx="90">
                  <c:v>36.958208169951064</c:v>
                </c:pt>
                <c:pt idx="91">
                  <c:v>33.466061387372008</c:v>
                </c:pt>
                <c:pt idx="92">
                  <c:v>30.178998475629413</c:v>
                </c:pt>
                <c:pt idx="93">
                  <c:v>27.085472184765734</c:v>
                </c:pt>
                <c:pt idx="94">
                  <c:v>26.341292511881164</c:v>
                </c:pt>
                <c:pt idx="95">
                  <c:v>25.97112440011162</c:v>
                </c:pt>
                <c:pt idx="96">
                  <c:v>25.6079388158239</c:v>
                </c:pt>
                <c:pt idx="97">
                  <c:v>25.243337150349276</c:v>
                </c:pt>
                <c:pt idx="98">
                  <c:v>24.885599558765335</c:v>
                </c:pt>
                <c:pt idx="99">
                  <c:v>24.526363499363072</c:v>
                </c:pt>
                <c:pt idx="100">
                  <c:v>24.173876737360985</c:v>
                </c:pt>
                <c:pt idx="101">
                  <c:v>23.820082456007412</c:v>
                </c:pt>
                <c:pt idx="102">
                  <c:v>23.472916102919839</c:v>
                </c:pt>
                <c:pt idx="103">
                  <c:v>23.124111076413186</c:v>
                </c:pt>
                <c:pt idx="104">
                  <c:v>22.781825713860684</c:v>
                </c:pt>
                <c:pt idx="105">
                  <c:v>22.43809405407427</c:v>
                </c:pt>
                <c:pt idx="106">
                  <c:v>22.100767041666558</c:v>
                </c:pt>
                <c:pt idx="107">
                  <c:v>21.762167693068193</c:v>
                </c:pt>
                <c:pt idx="108">
                  <c:v>21.429852226367245</c:v>
                </c:pt>
                <c:pt idx="109">
                  <c:v>21.096196216225138</c:v>
                </c:pt>
                <c:pt idx="110">
                  <c:v>20.768706773041288</c:v>
                </c:pt>
                <c:pt idx="111">
                  <c:v>20.43960042463911</c:v>
                </c:pt>
                <c:pt idx="112">
                  <c:v>20.116554298229261</c:v>
                </c:pt>
                <c:pt idx="113">
                  <c:v>19.792063974246986</c:v>
                </c:pt>
                <c:pt idx="114">
                  <c:v>19.473521709977973</c:v>
                </c:pt>
                <c:pt idx="115">
                  <c:v>19.153489772364651</c:v>
                </c:pt>
                <c:pt idx="116">
                  <c:v>18.839296132881913</c:v>
                </c:pt>
                <c:pt idx="117">
                  <c:v>18.52357336910049</c:v>
                </c:pt>
                <c:pt idx="118">
                  <c:v>18.213581266323104</c:v>
                </c:pt>
                <c:pt idx="119">
                  <c:v>17.902212976182568</c:v>
                </c:pt>
                <c:pt idx="120">
                  <c:v>17.596462889393024</c:v>
                </c:pt>
                <c:pt idx="121">
                  <c:v>17.289293784385251</c:v>
                </c:pt>
                <c:pt idx="122">
                  <c:v>16.987632874042532</c:v>
                </c:pt>
                <c:pt idx="123">
                  <c:v>16.684340963753186</c:v>
                </c:pt>
                <c:pt idx="124">
                  <c:v>16.386455612535883</c:v>
                </c:pt>
                <c:pt idx="125">
                  <c:v>16.087085692898881</c:v>
                </c:pt>
                <c:pt idx="126">
                  <c:v>15.79301609775294</c:v>
                </c:pt>
                <c:pt idx="127">
                  <c:v>15.497431667469328</c:v>
                </c:pt>
                <c:pt idx="128">
                  <c:v>15.207043192633279</c:v>
                </c:pt>
                <c:pt idx="129">
                  <c:v>14.915112840598255</c:v>
                </c:pt>
                <c:pt idx="130">
                  <c:v>14.628275790942041</c:v>
                </c:pt>
                <c:pt idx="131">
                  <c:v>14.33987258581729</c:v>
                </c:pt>
                <c:pt idx="132">
                  <c:v>14.197553320911396</c:v>
                </c:pt>
                <c:pt idx="133">
                  <c:v>14.056461619576112</c:v>
                </c:pt>
                <c:pt idx="134">
                  <c:v>13.913266775215646</c:v>
                </c:pt>
                <c:pt idx="135">
                  <c:v>13.771316709472842</c:v>
                </c:pt>
                <c:pt idx="136">
                  <c:v>13.630590940096511</c:v>
                </c:pt>
                <c:pt idx="137">
                  <c:v>13.491069428823636</c:v>
                </c:pt>
                <c:pt idx="138">
                  <c:v>13.349605397037777</c:v>
                </c:pt>
                <c:pt idx="139">
                  <c:v>13.209359904748339</c:v>
                </c:pt>
                <c:pt idx="140">
                  <c:v>13.070312882689251</c:v>
                </c:pt>
                <c:pt idx="141">
                  <c:v>12.932444697385648</c:v>
                </c:pt>
                <c:pt idx="142">
                  <c:v>12.792508232653461</c:v>
                </c:pt>
                <c:pt idx="143">
                  <c:v>12.653766886164334</c:v>
                </c:pt>
                <c:pt idx="144">
                  <c:v>12.516200938634427</c:v>
                </c:pt>
                <c:pt idx="145">
                  <c:v>12.379791100092689</c:v>
                </c:pt>
                <c:pt idx="146">
                  <c:v>12.241398355867631</c:v>
                </c:pt>
                <c:pt idx="147">
                  <c:v>12.104176372793347</c:v>
                </c:pt>
                <c:pt idx="148">
                  <c:v>11.968105810732652</c:v>
                </c:pt>
                <c:pt idx="149">
                  <c:v>11.833167751446467</c:v>
                </c:pt>
                <c:pt idx="150">
                  <c:v>11.696262520371505</c:v>
                </c:pt>
                <c:pt idx="151">
                  <c:v>11.560504007225859</c:v>
                </c:pt>
                <c:pt idx="152">
                  <c:v>11.425873249396318</c:v>
                </c:pt>
                <c:pt idx="153">
                  <c:v>11.292351698706625</c:v>
                </c:pt>
                <c:pt idx="154">
                  <c:v>11.156816731077612</c:v>
                </c:pt>
                <c:pt idx="155">
                  <c:v>11.022405769191607</c:v>
                </c:pt>
                <c:pt idx="156">
                  <c:v>10.889100201045892</c:v>
                </c:pt>
                <c:pt idx="157">
                  <c:v>10.756881822305047</c:v>
                </c:pt>
                <c:pt idx="158">
                  <c:v>10.622668888685666</c:v>
                </c:pt>
                <c:pt idx="159">
                  <c:v>10.489557428301595</c:v>
                </c:pt>
                <c:pt idx="160">
                  <c:v>10.357529181126239</c:v>
                </c:pt>
                <c:pt idx="161">
                  <c:v>10.226566287905143</c:v>
                </c:pt>
                <c:pt idx="162">
                  <c:v>10.093685601074668</c:v>
                </c:pt>
                <c:pt idx="163">
                  <c:v>9.9618831011586622</c:v>
                </c:pt>
                <c:pt idx="164">
                  <c:v>9.8311409045792573</c:v>
                </c:pt>
                <c:pt idx="165">
                  <c:v>9.7014415208367382</c:v>
                </c:pt>
                <c:pt idx="166">
                  <c:v>9.5697272701174541</c:v>
                </c:pt>
                <c:pt idx="167">
                  <c:v>9.4390700234677638</c:v>
                </c:pt>
                <c:pt idx="168">
                  <c:v>9.3094522273470943</c:v>
                </c:pt>
                <c:pt idx="169">
                  <c:v>9.1808567148715383</c:v>
                </c:pt>
                <c:pt idx="170">
                  <c:v>9.0505396101805218</c:v>
                </c:pt>
                <c:pt idx="171">
                  <c:v>8.9212541161219292</c:v>
                </c:pt>
                <c:pt idx="172">
                  <c:v>8.7929831193060579</c:v>
                </c:pt>
                <c:pt idx="173">
                  <c:v>8.6657098832729957</c:v>
                </c:pt>
                <c:pt idx="174">
                  <c:v>8.5362467521258623</c:v>
                </c:pt>
                <c:pt idx="175">
                  <c:v>8.4077978690923487</c:v>
                </c:pt>
                <c:pt idx="176">
                  <c:v>8.2803463673487272</c:v>
                </c:pt>
                <c:pt idx="177">
                  <c:v>8.1538757528652468</c:v>
                </c:pt>
                <c:pt idx="178">
                  <c:v>8.0252957031804897</c:v>
                </c:pt>
                <c:pt idx="179">
                  <c:v>7.8977114743603352</c:v>
                </c:pt>
                <c:pt idx="180">
                  <c:v>7.7711064775596128</c:v>
                </c:pt>
                <c:pt idx="181">
                  <c:v>7.6454644916096015</c:v>
                </c:pt>
                <c:pt idx="182">
                  <c:v>7.5182853099588272</c:v>
                </c:pt>
                <c:pt idx="183">
                  <c:v>7.3920750798498318</c:v>
                </c:pt>
                <c:pt idx="184">
                  <c:v>7.2668177057410048</c:v>
                </c:pt>
                <c:pt idx="185">
                  <c:v>7.1424974482360994</c:v>
                </c:pt>
                <c:pt idx="186">
                  <c:v>7.0157243577636734</c:v>
                </c:pt>
                <c:pt idx="187">
                  <c:v>6.8899079662538441</c:v>
                </c:pt>
                <c:pt idx="188">
                  <c:v>6.7650323135432018</c:v>
                </c:pt>
                <c:pt idx="189">
                  <c:v>6.6410817945532585</c:v>
                </c:pt>
                <c:pt idx="190">
                  <c:v>6.5157017951231637</c:v>
                </c:pt>
                <c:pt idx="191">
                  <c:v>6.3912509388274827</c:v>
                </c:pt>
                <c:pt idx="192">
                  <c:v>6.2677137865842383</c:v>
                </c:pt>
                <c:pt idx="193">
                  <c:v>6.1450752418906518</c:v>
                </c:pt>
                <c:pt idx="194">
                  <c:v>6.0201402284757251</c:v>
                </c:pt>
                <c:pt idx="195">
                  <c:v>5.896120411806379</c:v>
                </c:pt>
                <c:pt idx="196">
                  <c:v>5.7730005409639489</c:v>
                </c:pt>
                <c:pt idx="197">
                  <c:v>5.6507657048611577</c:v>
                </c:pt>
                <c:pt idx="198">
                  <c:v>5.5267533398051683</c:v>
                </c:pt>
                <c:pt idx="199">
                  <c:v>5.4036347567121368</c:v>
                </c:pt>
                <c:pt idx="200">
                  <c:v>5.2813950834975856</c:v>
                </c:pt>
                <c:pt idx="201">
                  <c:v>5.160019779463056</c:v>
                </c:pt>
                <c:pt idx="202">
                  <c:v>5.0369211451821627</c:v>
                </c:pt>
                <c:pt idx="203">
                  <c:v>4.9146946735818915</c:v>
                </c:pt>
                <c:pt idx="204">
                  <c:v>4.7933258817282933</c:v>
                </c:pt>
                <c:pt idx="205">
                  <c:v>4.672800609252505</c:v>
                </c:pt>
                <c:pt idx="206">
                  <c:v>4.5501856835630292</c:v>
                </c:pt>
                <c:pt idx="207">
                  <c:v>4.4284269857881782</c:v>
                </c:pt>
                <c:pt idx="208">
                  <c:v>4.3075102862007384</c:v>
                </c:pt>
                <c:pt idx="209">
                  <c:v>4.187421672779152</c:v>
                </c:pt>
                <c:pt idx="210">
                  <c:v>4.0649022069763134</c:v>
                </c:pt>
                <c:pt idx="211">
                  <c:v>3.9432278919117607</c:v>
                </c:pt>
                <c:pt idx="212">
                  <c:v>3.8223846349872872</c:v>
                </c:pt>
                <c:pt idx="213">
                  <c:v>3.7023586598594136</c:v>
                </c:pt>
                <c:pt idx="214">
                  <c:v>3.5807680566653346</c:v>
                </c:pt>
                <c:pt idx="215">
                  <c:v>3.4599996624514233</c:v>
                </c:pt>
                <c:pt idx="216">
                  <c:v>3.3400398216712119</c:v>
                </c:pt>
                <c:pt idx="217">
                  <c:v>3.2208751846005441</c:v>
                </c:pt>
                <c:pt idx="218">
                  <c:v>3.0998024434298088</c:v>
                </c:pt>
                <c:pt idx="219">
                  <c:v>2.9795342767319255</c:v>
                </c:pt>
                <c:pt idx="220">
                  <c:v>2.8600573393291882</c:v>
                </c:pt>
                <c:pt idx="221">
                  <c:v>2.7413585851420521</c:v>
                </c:pt>
                <c:pt idx="222">
                  <c:v>2.6208047977445403</c:v>
                </c:pt>
                <c:pt idx="223">
                  <c:v>2.5010376251663047</c:v>
                </c:pt>
                <c:pt idx="224">
                  <c:v>2.3820440456645997</c:v>
                </c:pt>
                <c:pt idx="225">
                  <c:v>2.2638113294247546</c:v>
                </c:pt>
                <c:pt idx="226">
                  <c:v>2.1434085258999005</c:v>
                </c:pt>
                <c:pt idx="227">
                  <c:v>2.0237788109666042</c:v>
                </c:pt>
                <c:pt idx="228">
                  <c:v>1.9049093816327627</c:v>
                </c:pt>
                <c:pt idx="229">
                  <c:v>1.786787722733493</c:v>
                </c:pt>
                <c:pt idx="230">
                  <c:v>1.5470837336816885</c:v>
                </c:pt>
                <c:pt idx="231">
                  <c:v>1.4283575086283236</c:v>
                </c:pt>
                <c:pt idx="232">
                  <c:v>1.310365329400895</c:v>
                </c:pt>
                <c:pt idx="233">
                  <c:v>1.190320007668987</c:v>
                </c:pt>
                <c:pt idx="234">
                  <c:v>1.0710188268432432</c:v>
                </c:pt>
                <c:pt idx="235">
                  <c:v>0.95244948315863098</c:v>
                </c:pt>
                <c:pt idx="236">
                  <c:v>0.83459995049938129</c:v>
                </c:pt>
                <c:pt idx="237">
                  <c:v>0.71508893742068835</c:v>
                </c:pt>
                <c:pt idx="238">
                  <c:v>0.59630279937135811</c:v>
                </c:pt>
                <c:pt idx="239">
                  <c:v>0.47822960789758895</c:v>
                </c:pt>
                <c:pt idx="240">
                  <c:v>0.36085770326553757</c:v>
                </c:pt>
                <c:pt idx="241">
                  <c:v>0.24120128589933643</c:v>
                </c:pt>
                <c:pt idx="242">
                  <c:v>0.12225846954876829</c:v>
                </c:pt>
                <c:pt idx="243">
                  <c:v>4.0175094554228963E-3</c:v>
                </c:pt>
                <c:pt idx="244">
                  <c:v>-0.11353307365430965</c:v>
                </c:pt>
                <c:pt idx="245">
                  <c:v>-0.23298684166240946</c:v>
                </c:pt>
                <c:pt idx="246">
                  <c:v>-0.35174273122746058</c:v>
                </c:pt>
                <c:pt idx="247">
                  <c:v>-0.46981218907572497</c:v>
                </c:pt>
                <c:pt idx="248">
                  <c:v>-0.58720640315672767</c:v>
                </c:pt>
                <c:pt idx="249">
                  <c:v>-0.70677517246446087</c:v>
                </c:pt>
                <c:pt idx="250">
                  <c:v>-0.8256583231151069</c:v>
                </c:pt>
                <c:pt idx="251">
                  <c:v>-0.9438670835597236</c:v>
                </c:pt>
                <c:pt idx="252">
                  <c:v>-1.0614124278264683</c:v>
                </c:pt>
                <c:pt idx="253">
                  <c:v>-1.1807720250609464</c:v>
                </c:pt>
                <c:pt idx="254">
                  <c:v>-1.2994621761000928</c:v>
                </c:pt>
                <c:pt idx="255">
                  <c:v>-1.4174937904215881</c:v>
                </c:pt>
                <c:pt idx="256">
                  <c:v>-1.5348775305088509</c:v>
                </c:pt>
                <c:pt idx="257">
                  <c:v>-1.6546399548454644</c:v>
                </c:pt>
                <c:pt idx="258">
                  <c:v>-1.7737424681342588</c:v>
                </c:pt>
                <c:pt idx="259">
                  <c:v>-1.8921958173889379</c:v>
                </c:pt>
                <c:pt idx="260">
                  <c:v>-2.0100105053850825</c:v>
                </c:pt>
                <c:pt idx="261">
                  <c:v>-2.1298528982181608</c:v>
                </c:pt>
                <c:pt idx="262">
                  <c:v>-2.2490487378668718</c:v>
                </c:pt>
                <c:pt idx="263">
                  <c:v>-2.3676085106174583</c:v>
                </c:pt>
                <c:pt idx="264">
                  <c:v>-2.4855424642716173</c:v>
                </c:pt>
                <c:pt idx="265">
                  <c:v>-2.6054607658936391</c:v>
                </c:pt>
                <c:pt idx="266">
                  <c:v>-2.7247460457327008</c:v>
                </c:pt>
                <c:pt idx="267">
                  <c:v>-2.8434085199982064</c:v>
                </c:pt>
                <c:pt idx="268">
                  <c:v>-2.9614581724942468</c:v>
                </c:pt>
                <c:pt idx="269">
                  <c:v>-3.0817342559712415</c:v>
                </c:pt>
                <c:pt idx="270">
                  <c:v>-3.2013880327650099</c:v>
                </c:pt>
                <c:pt idx="271">
                  <c:v>-3.3204295115890829</c:v>
                </c:pt>
                <c:pt idx="272">
                  <c:v>-3.4388684729756278</c:v>
                </c:pt>
                <c:pt idx="273">
                  <c:v>-3.5594867816589328</c:v>
                </c:pt>
                <c:pt idx="274">
                  <c:v>-3.6794938484213446</c:v>
                </c:pt>
                <c:pt idx="275">
                  <c:v>-3.7988994605371715</c:v>
                </c:pt>
                <c:pt idx="276">
                  <c:v>-3.9177131817801296</c:v>
                </c:pt>
                <c:pt idx="277">
                  <c:v>-4.0383900573102096</c:v>
                </c:pt>
                <c:pt idx="278">
                  <c:v>-4.1584696896842672</c:v>
                </c:pt>
                <c:pt idx="279">
                  <c:v>-4.2779615694247468</c:v>
                </c:pt>
                <c:pt idx="280">
                  <c:v>-4.3968749705562971</c:v>
                </c:pt>
                <c:pt idx="281">
                  <c:v>-4.5184168254880319</c:v>
                </c:pt>
                <c:pt idx="282">
                  <c:v>-4.639367593602401</c:v>
                </c:pt>
                <c:pt idx="283">
                  <c:v>-4.7597366493793913</c:v>
                </c:pt>
                <c:pt idx="284">
                  <c:v>-4.8795331523513426</c:v>
                </c:pt>
                <c:pt idx="285">
                  <c:v>-5.0011188815141736</c:v>
                </c:pt>
                <c:pt idx="286">
                  <c:v>-5.1221277658437145</c:v>
                </c:pt>
                <c:pt idx="287">
                  <c:v>-5.2425688668593295</c:v>
                </c:pt>
                <c:pt idx="288">
                  <c:v>-5.3624510387029147</c:v>
                </c:pt>
                <c:pt idx="289">
                  <c:v>-5.4848618801625548</c:v>
                </c:pt>
                <c:pt idx="290">
                  <c:v>-5.6067027407077887</c:v>
                </c:pt>
                <c:pt idx="291">
                  <c:v>-5.7279825367074864</c:v>
                </c:pt>
                <c:pt idx="292">
                  <c:v>-5.8487099796510051</c:v>
                </c:pt>
                <c:pt idx="293">
                  <c:v>-5.9716645716646894</c:v>
                </c:pt>
                <c:pt idx="294">
                  <c:v>-6.0940588029367007</c:v>
                </c:pt>
                <c:pt idx="295">
                  <c:v>-6.2159013740896114</c:v>
                </c:pt>
                <c:pt idx="296">
                  <c:v>-6.3372007855443258</c:v>
                </c:pt>
                <c:pt idx="297">
                  <c:v>-6.4606869713727804</c:v>
                </c:pt>
                <c:pt idx="298">
                  <c:v>-6.5836225449910444</c:v>
                </c:pt>
                <c:pt idx="299">
                  <c:v>-6.7060159825258836</c:v>
                </c:pt>
                <c:pt idx="300">
                  <c:v>-6.8278755648817082</c:v>
                </c:pt>
                <c:pt idx="301">
                  <c:v>-6.9518835731044533</c:v>
                </c:pt>
                <c:pt idx="302">
                  <c:v>-7.0753507738218673</c:v>
                </c:pt>
                <c:pt idx="303">
                  <c:v>-7.1982854117574959</c:v>
                </c:pt>
                <c:pt idx="304">
                  <c:v>-7.3206955416386563</c:v>
                </c:pt>
                <c:pt idx="305">
                  <c:v>-7.4456955291977067</c:v>
                </c:pt>
                <c:pt idx="306">
                  <c:v>-7.5701604434495096</c:v>
                </c:pt>
                <c:pt idx="307">
                  <c:v>-7.6940983841695925</c:v>
                </c:pt>
                <c:pt idx="308">
                  <c:v>-7.8175172637465096</c:v>
                </c:pt>
                <c:pt idx="309">
                  <c:v>-7.9430093722257595</c:v>
                </c:pt>
                <c:pt idx="310">
                  <c:v>-8.0679764108172947</c:v>
                </c:pt>
                <c:pt idx="311">
                  <c:v>-8.192426231650046</c:v>
                </c:pt>
                <c:pt idx="312">
                  <c:v>-8.3163665052592819</c:v>
                </c:pt>
                <c:pt idx="313">
                  <c:v>-8.4428092041549405</c:v>
                </c:pt>
                <c:pt idx="314">
                  <c:v>-8.5687329294152335</c:v>
                </c:pt>
                <c:pt idx="315">
                  <c:v>-8.6941453668851807</c:v>
                </c:pt>
                <c:pt idx="316">
                  <c:v>-8.8190540241438384</c:v>
                </c:pt>
                <c:pt idx="317">
                  <c:v>-8.946422439517562</c:v>
                </c:pt>
                <c:pt idx="318">
                  <c:v>-9.0732781746549165</c:v>
                </c:pt>
                <c:pt idx="319">
                  <c:v>-9.1996287379187152</c:v>
                </c:pt>
                <c:pt idx="320">
                  <c:v>-9.3254814631071383</c:v>
                </c:pt>
                <c:pt idx="321">
                  <c:v>-9.4537531292226902</c:v>
                </c:pt>
                <c:pt idx="322">
                  <c:v>-9.5815185304498414</c:v>
                </c:pt>
                <c:pt idx="323">
                  <c:v>-9.7087849883453714</c:v>
                </c:pt>
                <c:pt idx="324">
                  <c:v>-9.8355596539238661</c:v>
                </c:pt>
                <c:pt idx="325">
                  <c:v>-9.9647141559479167</c:v>
                </c:pt>
                <c:pt idx="326">
                  <c:v>-10.093368861530223</c:v>
                </c:pt>
                <c:pt idx="327">
                  <c:v>-10.22153089785408</c:v>
                </c:pt>
                <c:pt idx="328">
                  <c:v>-10.349207225853007</c:v>
                </c:pt>
                <c:pt idx="329">
                  <c:v>-10.479442873266692</c:v>
                </c:pt>
                <c:pt idx="330">
                  <c:v>-10.60918354353575</c:v>
                </c:pt>
                <c:pt idx="331">
                  <c:v>-10.73843619793098</c:v>
                </c:pt>
                <c:pt idx="332">
                  <c:v>-10.867207634920675</c:v>
                </c:pt>
                <c:pt idx="333">
                  <c:v>-10.998283687913187</c:v>
                </c:pt>
                <c:pt idx="334">
                  <c:v>-11.128871256767383</c:v>
                </c:pt>
                <c:pt idx="335">
                  <c:v>-11.258977095241107</c:v>
                </c:pt>
                <c:pt idx="336">
                  <c:v>-11.388607799069689</c:v>
                </c:pt>
                <c:pt idx="337">
                  <c:v>-11.520929715094127</c:v>
                </c:pt>
                <c:pt idx="338">
                  <c:v>-11.652766446615658</c:v>
                </c:pt>
                <c:pt idx="339">
                  <c:v>-11.784124599271138</c:v>
                </c:pt>
                <c:pt idx="340">
                  <c:v>-11.91501062364631</c:v>
                </c:pt>
                <c:pt idx="341">
                  <c:v>-12.048545265805785</c:v>
                </c:pt>
                <c:pt idx="342">
                  <c:v>-12.181598128048904</c:v>
                </c:pt>
                <c:pt idx="343">
                  <c:v>-12.314175658218915</c:v>
                </c:pt>
                <c:pt idx="344">
                  <c:v>-12.446284152421185</c:v>
                </c:pt>
                <c:pt idx="345">
                  <c:v>-12.580795424067446</c:v>
                </c:pt>
                <c:pt idx="346">
                  <c:v>-12.714829804939541</c:v>
                </c:pt>
                <c:pt idx="347">
                  <c:v>-12.848393548821377</c:v>
                </c:pt>
                <c:pt idx="348">
                  <c:v>-12.981492762250269</c:v>
                </c:pt>
                <c:pt idx="349">
                  <c:v>-13.117362867150945</c:v>
                </c:pt>
                <c:pt idx="350">
                  <c:v>-13.252758022018583</c:v>
                </c:pt>
                <c:pt idx="351">
                  <c:v>-13.387684337692662</c:v>
                </c:pt>
                <c:pt idx="352">
                  <c:v>-13.522147780706689</c:v>
                </c:pt>
                <c:pt idx="353">
                  <c:v>-13.659339282400651</c:v>
                </c:pt>
                <c:pt idx="354">
                  <c:v>-13.796057818735079</c:v>
                </c:pt>
                <c:pt idx="355">
                  <c:v>-13.932309349166644</c:v>
                </c:pt>
                <c:pt idx="356">
                  <c:v>-14.068099692098855</c:v>
                </c:pt>
                <c:pt idx="357">
                  <c:v>-14.206380111199792</c:v>
                </c:pt>
                <c:pt idx="358">
                  <c:v>-14.344190862698525</c:v>
                </c:pt>
                <c:pt idx="359">
                  <c:v>-14.481537723457365</c:v>
                </c:pt>
                <c:pt idx="360">
                  <c:v>-14.618426333575087</c:v>
                </c:pt>
                <c:pt idx="361">
                  <c:v>-14.758155941619606</c:v>
                </c:pt>
                <c:pt idx="362">
                  <c:v>-14.897416420761488</c:v>
                </c:pt>
                <c:pt idx="363">
                  <c:v>-15.036213409507269</c:v>
                </c:pt>
                <c:pt idx="364">
                  <c:v>-15.174552412558199</c:v>
                </c:pt>
                <c:pt idx="365">
                  <c:v>-15.315497846376473</c:v>
                </c:pt>
                <c:pt idx="366">
                  <c:v>-15.455975934071006</c:v>
                </c:pt>
                <c:pt idx="367">
                  <c:v>-15.595992146730822</c:v>
                </c:pt>
                <c:pt idx="368">
                  <c:v>-15.735551825578085</c:v>
                </c:pt>
                <c:pt idx="369">
                  <c:v>-15.878056681849102</c:v>
                </c:pt>
                <c:pt idx="370">
                  <c:v>-16.020093347524181</c:v>
                </c:pt>
                <c:pt idx="371">
                  <c:v>-16.16166716561608</c:v>
                </c:pt>
                <c:pt idx="372">
                  <c:v>-16.302783352034623</c:v>
                </c:pt>
                <c:pt idx="373">
                  <c:v>-16.446613283108235</c:v>
                </c:pt>
                <c:pt idx="374">
                  <c:v>-16.589975353487461</c:v>
                </c:pt>
                <c:pt idx="375">
                  <c:v>-16.732874751293309</c:v>
                </c:pt>
                <c:pt idx="376">
                  <c:v>-16.875316541230632</c:v>
                </c:pt>
                <c:pt idx="377">
                  <c:v>-17.020799078106222</c:v>
                </c:pt>
                <c:pt idx="378">
                  <c:v>-17.165811559268576</c:v>
                </c:pt>
                <c:pt idx="379">
                  <c:v>-17.31035905319348</c:v>
                </c:pt>
                <c:pt idx="380">
                  <c:v>-17.454446507592849</c:v>
                </c:pt>
                <c:pt idx="381">
                  <c:v>-17.601164605349283</c:v>
                </c:pt>
                <c:pt idx="382">
                  <c:v>-17.747412718100406</c:v>
                </c:pt>
                <c:pt idx="383">
                  <c:v>-17.893195752138894</c:v>
                </c:pt>
                <c:pt idx="384">
                  <c:v>-18.038518497079508</c:v>
                </c:pt>
                <c:pt idx="385">
                  <c:v>-18.186970146474948</c:v>
                </c:pt>
                <c:pt idx="386">
                  <c:v>-18.334948232797586</c:v>
                </c:pt>
                <c:pt idx="387">
                  <c:v>-18.482457551443645</c:v>
                </c:pt>
                <c:pt idx="388">
                  <c:v>-18.629502783689645</c:v>
                </c:pt>
                <c:pt idx="389">
                  <c:v>-18.779450884996123</c:v>
                </c:pt>
                <c:pt idx="390">
                  <c:v>-18.928922889568213</c:v>
                </c:pt>
                <c:pt idx="391">
                  <c:v>-19.077923459744113</c:v>
                </c:pt>
                <c:pt idx="392">
                  <c:v>-19.226457147102082</c:v>
                </c:pt>
                <c:pt idx="393">
                  <c:v>-19.37784859726338</c:v>
                </c:pt>
                <c:pt idx="394">
                  <c:v>-19.528761241214937</c:v>
                </c:pt>
                <c:pt idx="395">
                  <c:v>-19.679199606054567</c:v>
                </c:pt>
                <c:pt idx="396">
                  <c:v>-19.829168111661062</c:v>
                </c:pt>
                <c:pt idx="397">
                  <c:v>-19.982294872848257</c:v>
                </c:pt>
                <c:pt idx="398">
                  <c:v>-20.134937739588906</c:v>
                </c:pt>
                <c:pt idx="399">
                  <c:v>-20.287101132333447</c:v>
                </c:pt>
                <c:pt idx="400">
                  <c:v>-20.438789367070797</c:v>
                </c:pt>
                <c:pt idx="401">
                  <c:v>-20.593414738189409</c:v>
                </c:pt>
                <c:pt idx="402">
                  <c:v>-20.747552064402328</c:v>
                </c:pt>
                <c:pt idx="403">
                  <c:v>-20.901205641868216</c:v>
                </c:pt>
                <c:pt idx="404">
                  <c:v>-21.054379665725548</c:v>
                </c:pt>
                <c:pt idx="405">
                  <c:v>-21.210611998127376</c:v>
                </c:pt>
                <c:pt idx="406">
                  <c:v>-21.366350863055573</c:v>
                </c:pt>
                <c:pt idx="407">
                  <c:v>-21.521600445391272</c:v>
                </c:pt>
                <c:pt idx="408">
                  <c:v>-21.676364832165632</c:v>
                </c:pt>
                <c:pt idx="409">
                  <c:v>-21.834303723166101</c:v>
                </c:pt>
                <c:pt idx="410">
                  <c:v>-21.99174248241917</c:v>
                </c:pt>
                <c:pt idx="411">
                  <c:v>-22.148685195365005</c:v>
                </c:pt>
                <c:pt idx="412">
                  <c:v>-22.305135852542918</c:v>
                </c:pt>
                <c:pt idx="413">
                  <c:v>-22.464708162686293</c:v>
                </c:pt>
                <c:pt idx="414">
                  <c:v>-22.623773499110541</c:v>
                </c:pt>
                <c:pt idx="415">
                  <c:v>-22.782335846540377</c:v>
                </c:pt>
                <c:pt idx="416">
                  <c:v>-22.940399097944152</c:v>
                </c:pt>
                <c:pt idx="417">
                  <c:v>-23.101693382788113</c:v>
                </c:pt>
                <c:pt idx="418">
                  <c:v>-23.262472620826401</c:v>
                </c:pt>
                <c:pt idx="419">
                  <c:v>-23.422740707699091</c:v>
                </c:pt>
                <c:pt idx="420">
                  <c:v>-23.58250145024482</c:v>
                </c:pt>
                <c:pt idx="421">
                  <c:v>-23.745277705956397</c:v>
                </c:pt>
                <c:pt idx="422">
                  <c:v>-23.907531681322183</c:v>
                </c:pt>
                <c:pt idx="423">
                  <c:v>-24.069267171629264</c:v>
                </c:pt>
                <c:pt idx="424">
                  <c:v>-24.230487886832066</c:v>
                </c:pt>
                <c:pt idx="425">
                  <c:v>-24.39514550880196</c:v>
                </c:pt>
                <c:pt idx="426">
                  <c:v>-24.559270332778766</c:v>
                </c:pt>
                <c:pt idx="427">
                  <c:v>-24.722866087894829</c:v>
                </c:pt>
                <c:pt idx="428">
                  <c:v>-24.885936420578076</c:v>
                </c:pt>
                <c:pt idx="429">
                  <c:v>-25.052226286058357</c:v>
                </c:pt>
                <c:pt idx="430">
                  <c:v>-25.217973690010524</c:v>
                </c:pt>
                <c:pt idx="431">
                  <c:v>-25.383182285000714</c:v>
                </c:pt>
                <c:pt idx="432">
                  <c:v>-25.547855644023372</c:v>
                </c:pt>
                <c:pt idx="433">
                  <c:v>-25.715690129371296</c:v>
                </c:pt>
                <c:pt idx="434">
                  <c:v>-25.882972295736494</c:v>
                </c:pt>
                <c:pt idx="435">
                  <c:v>-26.049705721344765</c:v>
                </c:pt>
                <c:pt idx="436">
                  <c:v>-26.215893908110019</c:v>
                </c:pt>
                <c:pt idx="437">
                  <c:v>-26.385488515839967</c:v>
                </c:pt>
                <c:pt idx="438">
                  <c:v>-26.554518733978739</c:v>
                </c:pt>
                <c:pt idx="439">
                  <c:v>-26.722988088481827</c:v>
                </c:pt>
                <c:pt idx="440">
                  <c:v>-26.890900031831762</c:v>
                </c:pt>
                <c:pt idx="441">
                  <c:v>-27.062153878430053</c:v>
                </c:pt>
                <c:pt idx="442">
                  <c:v>-27.232831104586211</c:v>
                </c:pt>
                <c:pt idx="443">
                  <c:v>-27.402935186397087</c:v>
                </c:pt>
                <c:pt idx="444">
                  <c:v>-27.572469529470254</c:v>
                </c:pt>
                <c:pt idx="445">
                  <c:v>-27.745281174101848</c:v>
                </c:pt>
                <c:pt idx="446">
                  <c:v>-27.917503809390297</c:v>
                </c:pt>
                <c:pt idx="447">
                  <c:v>-28.089140865137324</c:v>
                </c:pt>
                <c:pt idx="448">
                  <c:v>-28.260195703751776</c:v>
                </c:pt>
                <c:pt idx="449">
                  <c:v>-28.43475479114295</c:v>
                </c:pt>
                <c:pt idx="450">
                  <c:v>-28.608710316835641</c:v>
                </c:pt>
                <c:pt idx="451">
                  <c:v>-28.782065685850512</c:v>
                </c:pt>
                <c:pt idx="452">
                  <c:v>-28.954824238563305</c:v>
                </c:pt>
                <c:pt idx="453">
                  <c:v>-29.130872342137081</c:v>
                </c:pt>
                <c:pt idx="454">
                  <c:v>-29.306303222991318</c:v>
                </c:pt>
                <c:pt idx="455">
                  <c:v>-29.481120257262688</c:v>
                </c:pt>
                <c:pt idx="456">
                  <c:v>-29.655326759508512</c:v>
                </c:pt>
                <c:pt idx="457">
                  <c:v>-29.833038419500639</c:v>
                </c:pt>
                <c:pt idx="458">
                  <c:v>-30.010117066982644</c:v>
                </c:pt>
                <c:pt idx="459">
                  <c:v>-30.186566071003114</c:v>
                </c:pt>
                <c:pt idx="460">
                  <c:v>-30.362388741768399</c:v>
                </c:pt>
                <c:pt idx="461">
                  <c:v>-30.541642350390561</c:v>
                </c:pt>
                <c:pt idx="462">
                  <c:v>-30.720247081780826</c:v>
                </c:pt>
                <c:pt idx="463">
                  <c:v>-30.89820630338221</c:v>
                </c:pt>
                <c:pt idx="464">
                  <c:v>-31.075523326611972</c:v>
                </c:pt>
                <c:pt idx="465">
                  <c:v>-31.256334664301932</c:v>
                </c:pt>
                <c:pt idx="466">
                  <c:v>-31.436480194562563</c:v>
                </c:pt>
                <c:pt idx="467">
                  <c:v>-31.615963297292353</c:v>
                </c:pt>
                <c:pt idx="468">
                  <c:v>-31.794787299059493</c:v>
                </c:pt>
                <c:pt idx="469">
                  <c:v>-31.977028006339935</c:v>
                </c:pt>
                <c:pt idx="470">
                  <c:v>-32.15858595733863</c:v>
                </c:pt>
                <c:pt idx="471">
                  <c:v>-32.339464551151138</c:v>
                </c:pt>
                <c:pt idx="472">
                  <c:v>-32.519667136271636</c:v>
                </c:pt>
                <c:pt idx="473">
                  <c:v>-32.70347609575245</c:v>
                </c:pt>
                <c:pt idx="474">
                  <c:v>-32.886583323607084</c:v>
                </c:pt>
                <c:pt idx="475">
                  <c:v>-33.068992260520901</c:v>
                </c:pt>
                <c:pt idx="476">
                  <c:v>-33.250706299029673</c:v>
                </c:pt>
                <c:pt idx="477">
                  <c:v>-33.435942657833948</c:v>
                </c:pt>
                <c:pt idx="478">
                  <c:v>-33.62045836610244</c:v>
                </c:pt>
                <c:pt idx="479">
                  <c:v>-33.804256913620407</c:v>
                </c:pt>
                <c:pt idx="480">
                  <c:v>-33.987341744486315</c:v>
                </c:pt>
                <c:pt idx="481">
                  <c:v>-34.173864690012749</c:v>
                </c:pt>
                <c:pt idx="482">
                  <c:v>-34.359648162522319</c:v>
                </c:pt>
                <c:pt idx="483">
                  <c:v>-34.544695709035409</c:v>
                </c:pt>
                <c:pt idx="484">
                  <c:v>-34.729010833322832</c:v>
                </c:pt>
                <c:pt idx="485">
                  <c:v>-34.916807358320341</c:v>
                </c:pt>
                <c:pt idx="486">
                  <c:v>-35.103844696979507</c:v>
                </c:pt>
                <c:pt idx="487">
                  <c:v>-35.290126469505879</c:v>
                </c:pt>
                <c:pt idx="488">
                  <c:v>-35.475656255121862</c:v>
                </c:pt>
                <c:pt idx="489">
                  <c:v>-35.664831044422471</c:v>
                </c:pt>
                <c:pt idx="490">
                  <c:v>-35.853225054221923</c:v>
                </c:pt>
                <c:pt idx="491">
                  <c:v>-36.040842001452461</c:v>
                </c:pt>
                <c:pt idx="492">
                  <c:v>-36.227685564048898</c:v>
                </c:pt>
                <c:pt idx="493">
                  <c:v>-36.418080421722834</c:v>
                </c:pt>
                <c:pt idx="494">
                  <c:v>-36.607673153247617</c:v>
                </c:pt>
                <c:pt idx="495">
                  <c:v>-36.79646758125233</c:v>
                </c:pt>
                <c:pt idx="496">
                  <c:v>-36.984467491282231</c:v>
                </c:pt>
                <c:pt idx="497">
                  <c:v>-37.176046359254542</c:v>
                </c:pt>
                <c:pt idx="498">
                  <c:v>-37.366801012758884</c:v>
                </c:pt>
                <c:pt idx="499">
                  <c:v>-37.55673539677818</c:v>
                </c:pt>
                <c:pt idx="500">
                  <c:v>-37.745853420925641</c:v>
                </c:pt>
                <c:pt idx="501">
                  <c:v>-37.938572909892912</c:v>
                </c:pt>
                <c:pt idx="502">
                  <c:v>-38.130445411239378</c:v>
                </c:pt>
                <c:pt idx="503">
                  <c:v>-38.321475009147491</c:v>
                </c:pt>
                <c:pt idx="504">
                  <c:v>-38.511665753934068</c:v>
                </c:pt>
                <c:pt idx="505">
                  <c:v>-38.705358152396172</c:v>
                </c:pt>
                <c:pt idx="506">
                  <c:v>-38.898181217924048</c:v>
                </c:pt>
                <c:pt idx="507">
                  <c:v>-39.090139183224153</c:v>
                </c:pt>
                <c:pt idx="508">
                  <c:v>-39.281236248490671</c:v>
                </c:pt>
                <c:pt idx="509">
                  <c:v>-39.475850466005028</c:v>
                </c:pt>
                <c:pt idx="510">
                  <c:v>-39.669572442158255</c:v>
                </c:pt>
                <c:pt idx="511">
                  <c:v>-39.862406575099868</c:v>
                </c:pt>
                <c:pt idx="512">
                  <c:v>-40.054357231565177</c:v>
                </c:pt>
                <c:pt idx="513">
                  <c:v>-40.249948558436301</c:v>
                </c:pt>
                <c:pt idx="514">
                  <c:v>-40.44462318056577</c:v>
                </c:pt>
                <c:pt idx="515">
                  <c:v>-40.63838568636649</c:v>
                </c:pt>
                <c:pt idx="516">
                  <c:v>-40.831240633597162</c:v>
                </c:pt>
                <c:pt idx="517">
                  <c:v>-41.027627790471172</c:v>
                </c:pt>
                <c:pt idx="518">
                  <c:v>-41.223074419514091</c:v>
                </c:pt>
                <c:pt idx="519">
                  <c:v>-41.417585308328398</c:v>
                </c:pt>
                <c:pt idx="520">
                  <c:v>-41.61116521441167</c:v>
                </c:pt>
                <c:pt idx="521">
                  <c:v>-41.80827808351691</c:v>
                </c:pt>
                <c:pt idx="522">
                  <c:v>-42.004426249159252</c:v>
                </c:pt>
                <c:pt idx="523">
                  <c:v>-42.199614714741557</c:v>
                </c:pt>
                <c:pt idx="524">
                  <c:v>-42.393848453810222</c:v>
                </c:pt>
                <c:pt idx="525">
                  <c:v>-42.59161116559136</c:v>
                </c:pt>
                <c:pt idx="526">
                  <c:v>-42.788384721649805</c:v>
                </c:pt>
                <c:pt idx="527">
                  <c:v>-42.984174357524097</c:v>
                </c:pt>
                <c:pt idx="528">
                  <c:v>-43.178985278823859</c:v>
                </c:pt>
                <c:pt idx="529">
                  <c:v>-43.37731653555241</c:v>
                </c:pt>
                <c:pt idx="530">
                  <c:v>-43.574633986092721</c:v>
                </c:pt>
                <c:pt idx="531">
                  <c:v>-43.770943114079955</c:v>
                </c:pt>
                <c:pt idx="532">
                  <c:v>-43.966249372815014</c:v>
                </c:pt>
                <c:pt idx="533">
                  <c:v>-44.165165161229424</c:v>
                </c:pt>
                <c:pt idx="534">
                  <c:v>-44.363041305720486</c:v>
                </c:pt>
                <c:pt idx="535">
                  <c:v>-44.559883562386517</c:v>
                </c:pt>
                <c:pt idx="536">
                  <c:v>-44.755697656173595</c:v>
                </c:pt>
                <c:pt idx="537">
                  <c:v>-44.954899968922007</c:v>
                </c:pt>
                <c:pt idx="538">
                  <c:v>-45.153038916268542</c:v>
                </c:pt>
                <c:pt idx="539">
                  <c:v>-45.350120523847067</c:v>
                </c:pt>
                <c:pt idx="540">
                  <c:v>-45.546150785091129</c:v>
                </c:pt>
                <c:pt idx="541">
                  <c:v>-45.745746779930101</c:v>
                </c:pt>
                <c:pt idx="542">
                  <c:v>-45.94425358456823</c:v>
                </c:pt>
                <c:pt idx="543">
                  <c:v>-46.141677526658953</c:v>
                </c:pt>
                <c:pt idx="544">
                  <c:v>-46.338024900102084</c:v>
                </c:pt>
                <c:pt idx="545">
                  <c:v>-46.537812753118828</c:v>
                </c:pt>
                <c:pt idx="546">
                  <c:v>-46.736486807896625</c:v>
                </c:pt>
                <c:pt idx="547">
                  <c:v>-46.934053698353551</c:v>
                </c:pt>
                <c:pt idx="548">
                  <c:v>-47.13052002278522</c:v>
                </c:pt>
                <c:pt idx="549">
                  <c:v>-47.330396735539921</c:v>
                </c:pt>
                <c:pt idx="550">
                  <c:v>-47.529135261322438</c:v>
                </c:pt>
                <c:pt idx="551">
                  <c:v>-47.726742552816148</c:v>
                </c:pt>
                <c:pt idx="552">
                  <c:v>-47.92322552482571</c:v>
                </c:pt>
                <c:pt idx="553">
                  <c:v>-48.123176648216941</c:v>
                </c:pt>
                <c:pt idx="554">
                  <c:v>-48.321964433410358</c:v>
                </c:pt>
                <c:pt idx="555">
                  <c:v>-48.519596173372804</c:v>
                </c:pt>
                <c:pt idx="556">
                  <c:v>-48.716079120471875</c:v>
                </c:pt>
                <c:pt idx="557">
                  <c:v>-49.114711528621967</c:v>
                </c:pt>
                <c:pt idx="558">
                  <c:v>-49.508622140325485</c:v>
                </c:pt>
                <c:pt idx="559">
                  <c:v>-49.906739536797687</c:v>
                </c:pt>
                <c:pt idx="560">
                  <c:v>-50.300043775745394</c:v>
                </c:pt>
                <c:pt idx="561">
                  <c:v>-50.697759856037919</c:v>
                </c:pt>
                <c:pt idx="562">
                  <c:v>-51.090565299530454</c:v>
                </c:pt>
                <c:pt idx="563">
                  <c:v>-51.486799222396627</c:v>
                </c:pt>
                <c:pt idx="564">
                  <c:v>-51.878048606864439</c:v>
                </c:pt>
                <c:pt idx="565">
                  <c:v>-52.274059018244913</c:v>
                </c:pt>
                <c:pt idx="566">
                  <c:v>-52.66497628153823</c:v>
                </c:pt>
                <c:pt idx="567">
                  <c:v>-53.0602994315703</c:v>
                </c:pt>
                <c:pt idx="568">
                  <c:v>-53.45042873325724</c:v>
                </c:pt>
                <c:pt idx="569">
                  <c:v>-53.843088519376749</c:v>
                </c:pt>
                <c:pt idx="570">
                  <c:v>-54.230502798432596</c:v>
                </c:pt>
                <c:pt idx="571">
                  <c:v>-54.623170685188583</c:v>
                </c:pt>
                <c:pt idx="572">
                  <c:v>-55.010467249765014</c:v>
                </c:pt>
                <c:pt idx="573">
                  <c:v>-55.399714165837381</c:v>
                </c:pt>
                <c:pt idx="574">
                  <c:v>-55.783554154868796</c:v>
                </c:pt>
                <c:pt idx="575">
                  <c:v>-56.17192459136534</c:v>
                </c:pt>
                <c:pt idx="576">
                  <c:v>-56.554779821012843</c:v>
                </c:pt>
                <c:pt idx="577">
                  <c:v>-58.116538107180872</c:v>
                </c:pt>
                <c:pt idx="578">
                  <c:v>-59.587434421494578</c:v>
                </c:pt>
                <c:pt idx="579">
                  <c:v>-62.521720908942797</c:v>
                </c:pt>
                <c:pt idx="580">
                  <c:v>-65.33927721526436</c:v>
                </c:pt>
                <c:pt idx="581">
                  <c:v>-68.015050410462408</c:v>
                </c:pt>
                <c:pt idx="582">
                  <c:v>-70.532706674441528</c:v>
                </c:pt>
                <c:pt idx="583">
                  <c:v>-72.875680148022781</c:v>
                </c:pt>
                <c:pt idx="584">
                  <c:v>-75.034780770175345</c:v>
                </c:pt>
                <c:pt idx="585">
                  <c:v>-77.001871900583168</c:v>
                </c:pt>
                <c:pt idx="586">
                  <c:v>-78.774769050299284</c:v>
                </c:pt>
                <c:pt idx="587">
                  <c:v>-80.356053540194864</c:v>
                </c:pt>
                <c:pt idx="588">
                  <c:v>-81.750035797807939</c:v>
                </c:pt>
                <c:pt idx="589">
                  <c:v>-82.967288831277756</c:v>
                </c:pt>
                <c:pt idx="590">
                  <c:v>-84.019591399128686</c:v>
                </c:pt>
                <c:pt idx="591">
                  <c:v>-84.921435241226035</c:v>
                </c:pt>
                <c:pt idx="592">
                  <c:v>-85.688320618824719</c:v>
                </c:pt>
                <c:pt idx="593">
                  <c:v>-86.33645725926057</c:v>
                </c:pt>
                <c:pt idx="594">
                  <c:v>-86.881330993412348</c:v>
                </c:pt>
                <c:pt idx="595">
                  <c:v>-87.337850062636718</c:v>
                </c:pt>
                <c:pt idx="596">
                  <c:v>-87.719465867836135</c:v>
                </c:pt>
                <c:pt idx="597">
                  <c:v>-88.038337053760102</c:v>
                </c:pt>
                <c:pt idx="598">
                  <c:v>-88.30491891688979</c:v>
                </c:pt>
                <c:pt idx="599">
                  <c:v>-88.528299095510974</c:v>
                </c:pt>
                <c:pt idx="600">
                  <c:v>-88.716041678289841</c:v>
                </c:pt>
                <c:pt idx="604">
                  <c:v>-0.35174273122746058</c:v>
                </c:pt>
              </c:numCache>
            </c:numRef>
          </c:yVal>
          <c:smooth val="0"/>
          <c:extLst>
            <c:ext xmlns:c16="http://schemas.microsoft.com/office/drawing/2014/chart" uri="{C3380CC4-5D6E-409C-BE32-E72D297353CC}">
              <c16:uniqueId val="{00000005-4362-43AB-BDC1-536058DC7619}"/>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8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Error Amp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Calculations'!$AL$12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Calculations'!$AL$13:$AL$613</c:f>
              <c:numCache>
                <c:formatCode>0.0000</c:formatCode>
                <c:ptCount val="601"/>
                <c:pt idx="0">
                  <c:v>59.423586589806057</c:v>
                </c:pt>
                <c:pt idx="1">
                  <c:v>58.644609962246612</c:v>
                </c:pt>
                <c:pt idx="2">
                  <c:v>57.863484710198058</c:v>
                </c:pt>
                <c:pt idx="3">
                  <c:v>57.080794815132222</c:v>
                </c:pt>
                <c:pt idx="4">
                  <c:v>56.297593974638225</c:v>
                </c:pt>
                <c:pt idx="5">
                  <c:v>55.513092769157268</c:v>
                </c:pt>
                <c:pt idx="6">
                  <c:v>54.728907268535416</c:v>
                </c:pt>
                <c:pt idx="7">
                  <c:v>53.945026650063774</c:v>
                </c:pt>
                <c:pt idx="8">
                  <c:v>53.162546233763415</c:v>
                </c:pt>
                <c:pt idx="9">
                  <c:v>52.381431487461747</c:v>
                </c:pt>
                <c:pt idx="10">
                  <c:v>51.602739476980645</c:v>
                </c:pt>
                <c:pt idx="11">
                  <c:v>50.827032267708717</c:v>
                </c:pt>
                <c:pt idx="12">
                  <c:v>50.05465967935681</c:v>
                </c:pt>
                <c:pt idx="13">
                  <c:v>49.287224061085709</c:v>
                </c:pt>
                <c:pt idx="14">
                  <c:v>48.52509387206355</c:v>
                </c:pt>
                <c:pt idx="15">
                  <c:v>47.769687361624165</c:v>
                </c:pt>
                <c:pt idx="16">
                  <c:v>47.022225942759491</c:v>
                </c:pt>
                <c:pt idx="17">
                  <c:v>46.284274047991829</c:v>
                </c:pt>
                <c:pt idx="18">
                  <c:v>45.55726882185003</c:v>
                </c:pt>
                <c:pt idx="19">
                  <c:v>44.843257408745302</c:v>
                </c:pt>
                <c:pt idx="20">
                  <c:v>44.144149537694091</c:v>
                </c:pt>
                <c:pt idx="21">
                  <c:v>43.462330935671183</c:v>
                </c:pt>
                <c:pt idx="22">
                  <c:v>42.800067298553444</c:v>
                </c:pt>
                <c:pt idx="23">
                  <c:v>42.160059009736685</c:v>
                </c:pt>
                <c:pt idx="24">
                  <c:v>41.544746491016042</c:v>
                </c:pt>
                <c:pt idx="25">
                  <c:v>40.956818032890212</c:v>
                </c:pt>
                <c:pt idx="26">
                  <c:v>40.398622313630661</c:v>
                </c:pt>
                <c:pt idx="27">
                  <c:v>39.872596669916845</c:v>
                </c:pt>
                <c:pt idx="28">
                  <c:v>39.38062892494051</c:v>
                </c:pt>
                <c:pt idx="29">
                  <c:v>38.924454341465506</c:v>
                </c:pt>
                <c:pt idx="30">
                  <c:v>38.50425191640219</c:v>
                </c:pt>
                <c:pt idx="31">
                  <c:v>38.120979080061709</c:v>
                </c:pt>
                <c:pt idx="32">
                  <c:v>37.774087814840961</c:v>
                </c:pt>
                <c:pt idx="33">
                  <c:v>37.462935403504055</c:v>
                </c:pt>
                <c:pt idx="34">
                  <c:v>37.185851446708355</c:v>
                </c:pt>
                <c:pt idx="35">
                  <c:v>36.941116854445902</c:v>
                </c:pt>
                <c:pt idx="36">
                  <c:v>36.726450892915096</c:v>
                </c:pt>
                <c:pt idx="37">
                  <c:v>36.53929151530626</c:v>
                </c:pt>
                <c:pt idx="38">
                  <c:v>36.377231077972823</c:v>
                </c:pt>
                <c:pt idx="39">
                  <c:v>36.237524125305725</c:v>
                </c:pt>
                <c:pt idx="40">
                  <c:v>36.117682937152139</c:v>
                </c:pt>
                <c:pt idx="41">
                  <c:v>36.015268295938107</c:v>
                </c:pt>
                <c:pt idx="42">
                  <c:v>35.928029104021263</c:v>
                </c:pt>
                <c:pt idx="43">
                  <c:v>35.853867688684318</c:v>
                </c:pt>
                <c:pt idx="44">
                  <c:v>35.790932968463082</c:v>
                </c:pt>
                <c:pt idx="45">
                  <c:v>35.73754024526044</c:v>
                </c:pt>
                <c:pt idx="46">
                  <c:v>35.69222038911267</c:v>
                </c:pt>
                <c:pt idx="47">
                  <c:v>35.653661597800649</c:v>
                </c:pt>
                <c:pt idx="48">
                  <c:v>35.620731827102858</c:v>
                </c:pt>
                <c:pt idx="49">
                  <c:v>35.592422690527698</c:v>
                </c:pt>
                <c:pt idx="50">
                  <c:v>35.567861333723393</c:v>
                </c:pt>
                <c:pt idx="51">
                  <c:v>35.546267457511924</c:v>
                </c:pt>
                <c:pt idx="52">
                  <c:v>35.526956660813248</c:v>
                </c:pt>
                <c:pt idx="53">
                  <c:v>35.509301759664574</c:v>
                </c:pt>
                <c:pt idx="54">
                  <c:v>35.492735329048209</c:v>
                </c:pt>
                <c:pt idx="55">
                  <c:v>35.476684598103333</c:v>
                </c:pt>
                <c:pt idx="56">
                  <c:v>35.460643179462053</c:v>
                </c:pt>
                <c:pt idx="57">
                  <c:v>35.444070713276112</c:v>
                </c:pt>
                <c:pt idx="58">
                  <c:v>35.426434312444158</c:v>
                </c:pt>
                <c:pt idx="59">
                  <c:v>35.407143753147267</c:v>
                </c:pt>
                <c:pt idx="60">
                  <c:v>35.385584698028289</c:v>
                </c:pt>
                <c:pt idx="61">
                  <c:v>35.361064578630817</c:v>
                </c:pt>
                <c:pt idx="62">
                  <c:v>35.332794097151904</c:v>
                </c:pt>
                <c:pt idx="63">
                  <c:v>35.299924067629753</c:v>
                </c:pt>
                <c:pt idx="64">
                  <c:v>35.261430950617559</c:v>
                </c:pt>
                <c:pt idx="65">
                  <c:v>35.216187650568862</c:v>
                </c:pt>
                <c:pt idx="66">
                  <c:v>35.162890765007838</c:v>
                </c:pt>
                <c:pt idx="67">
                  <c:v>35.100071561038803</c:v>
                </c:pt>
                <c:pt idx="68">
                  <c:v>35.02604152804517</c:v>
                </c:pt>
                <c:pt idx="69">
                  <c:v>34.938949618622843</c:v>
                </c:pt>
                <c:pt idx="70">
                  <c:v>34.836707536645605</c:v>
                </c:pt>
                <c:pt idx="71">
                  <c:v>34.717075441379571</c:v>
                </c:pt>
                <c:pt idx="72">
                  <c:v>34.577601443141006</c:v>
                </c:pt>
                <c:pt idx="73">
                  <c:v>34.415772648885358</c:v>
                </c:pt>
                <c:pt idx="74">
                  <c:v>34.228939391466</c:v>
                </c:pt>
                <c:pt idx="75">
                  <c:v>34.014539583769505</c:v>
                </c:pt>
                <c:pt idx="76">
                  <c:v>33.770048122504306</c:v>
                </c:pt>
                <c:pt idx="77">
                  <c:v>33.493302916477603</c:v>
                </c:pt>
                <c:pt idx="78">
                  <c:v>33.182413769217106</c:v>
                </c:pt>
                <c:pt idx="79">
                  <c:v>32.83618107958111</c:v>
                </c:pt>
                <c:pt idx="80">
                  <c:v>32.453111824288221</c:v>
                </c:pt>
                <c:pt idx="81">
                  <c:v>32.033417054080992</c:v>
                </c:pt>
                <c:pt idx="82">
                  <c:v>31.577146156129515</c:v>
                </c:pt>
                <c:pt idx="83">
                  <c:v>31.08555678755636</c:v>
                </c:pt>
                <c:pt idx="84">
                  <c:v>30.559736683909726</c:v>
                </c:pt>
                <c:pt idx="85">
                  <c:v>30.00188479627559</c:v>
                </c:pt>
                <c:pt idx="86">
                  <c:v>29.414177186281492</c:v>
                </c:pt>
                <c:pt idx="87">
                  <c:v>28.798752079321119</c:v>
                </c:pt>
                <c:pt idx="88">
                  <c:v>28.158779830635368</c:v>
                </c:pt>
                <c:pt idx="89">
                  <c:v>27.496349136702207</c:v>
                </c:pt>
                <c:pt idx="90">
                  <c:v>26.814232568301929</c:v>
                </c:pt>
                <c:pt idx="91">
                  <c:v>26.114774666876194</c:v>
                </c:pt>
                <c:pt idx="92">
                  <c:v>25.400305001587896</c:v>
                </c:pt>
                <c:pt idx="93">
                  <c:v>24.672647800108308</c:v>
                </c:pt>
                <c:pt idx="94">
                  <c:v>24.488984998862602</c:v>
                </c:pt>
                <c:pt idx="95">
                  <c:v>24.396328312421542</c:v>
                </c:pt>
                <c:pt idx="96">
                  <c:v>24.304567709192412</c:v>
                </c:pt>
                <c:pt idx="97">
                  <c:v>24.21159144005944</c:v>
                </c:pt>
                <c:pt idx="98">
                  <c:v>24.119521130822172</c:v>
                </c:pt>
                <c:pt idx="99">
                  <c:v>24.026214564486111</c:v>
                </c:pt>
                <c:pt idx="100">
                  <c:v>23.933823947078668</c:v>
                </c:pt>
                <c:pt idx="101">
                  <c:v>23.840248357993858</c:v>
                </c:pt>
                <c:pt idx="102">
                  <c:v>23.747597411554004</c:v>
                </c:pt>
                <c:pt idx="103">
                  <c:v>23.653674725027827</c:v>
                </c:pt>
                <c:pt idx="104">
                  <c:v>23.560686819488605</c:v>
                </c:pt>
                <c:pt idx="105">
                  <c:v>23.466480241085534</c:v>
                </c:pt>
                <c:pt idx="106">
                  <c:v>23.373217246201143</c:v>
                </c:pt>
                <c:pt idx="107">
                  <c:v>23.278786738989581</c:v>
                </c:pt>
                <c:pt idx="108">
                  <c:v>23.185307325770115</c:v>
                </c:pt>
                <c:pt idx="109">
                  <c:v>23.090645557142253</c:v>
                </c:pt>
                <c:pt idx="110">
                  <c:v>22.996942440928731</c:v>
                </c:pt>
                <c:pt idx="111">
                  <c:v>22.901981328651345</c:v>
                </c:pt>
                <c:pt idx="112">
                  <c:v>22.80798771463833</c:v>
                </c:pt>
                <c:pt idx="113">
                  <c:v>22.712789302772357</c:v>
                </c:pt>
                <c:pt idx="114">
                  <c:v>22.618565897603922</c:v>
                </c:pt>
                <c:pt idx="115">
                  <c:v>22.523128616913873</c:v>
                </c:pt>
                <c:pt idx="116">
                  <c:v>22.428673800137769</c:v>
                </c:pt>
                <c:pt idx="117">
                  <c:v>22.332997776536715</c:v>
                </c:pt>
                <c:pt idx="118">
                  <c:v>22.238311592496139</c:v>
                </c:pt>
                <c:pt idx="119">
                  <c:v>22.142456354074245</c:v>
                </c:pt>
                <c:pt idx="120">
                  <c:v>22.047597024048958</c:v>
                </c:pt>
                <c:pt idx="121">
                  <c:v>21.951562138606</c:v>
                </c:pt>
                <c:pt idx="122">
                  <c:v>21.856529155663331</c:v>
                </c:pt>
                <c:pt idx="123">
                  <c:v>21.760260210367104</c:v>
                </c:pt>
                <c:pt idx="124">
                  <c:v>21.665000216910006</c:v>
                </c:pt>
                <c:pt idx="125">
                  <c:v>21.568557375989187</c:v>
                </c:pt>
                <c:pt idx="126">
                  <c:v>21.473129210619209</c:v>
                </c:pt>
                <c:pt idx="127">
                  <c:v>21.376516065577761</c:v>
                </c:pt>
                <c:pt idx="128">
                  <c:v>21.280923170844879</c:v>
                </c:pt>
                <c:pt idx="129">
                  <c:v>21.184144466365289</c:v>
                </c:pt>
                <c:pt idx="130">
                  <c:v>21.088391416271453</c:v>
                </c:pt>
                <c:pt idx="131">
                  <c:v>20.991452952119182</c:v>
                </c:pt>
                <c:pt idx="132">
                  <c:v>20.943371611390621</c:v>
                </c:pt>
                <c:pt idx="133">
                  <c:v>20.895545355633146</c:v>
                </c:pt>
                <c:pt idx="134">
                  <c:v>20.846843738626355</c:v>
                </c:pt>
                <c:pt idx="135">
                  <c:v>20.798404037036541</c:v>
                </c:pt>
                <c:pt idx="136">
                  <c:v>20.750223558224612</c:v>
                </c:pt>
                <c:pt idx="137">
                  <c:v>20.702299648938919</c:v>
                </c:pt>
                <c:pt idx="138">
                  <c:v>20.653550332697087</c:v>
                </c:pt>
                <c:pt idx="139">
                  <c:v>20.605063878274326</c:v>
                </c:pt>
                <c:pt idx="140">
                  <c:v>20.556837570758763</c:v>
                </c:pt>
                <c:pt idx="141">
                  <c:v>20.508868735248459</c:v>
                </c:pt>
                <c:pt idx="142">
                  <c:v>20.460026345804785</c:v>
                </c:pt>
                <c:pt idx="143">
                  <c:v>20.411448236509798</c:v>
                </c:pt>
                <c:pt idx="144">
                  <c:v>20.36313166313327</c:v>
                </c:pt>
                <c:pt idx="145">
                  <c:v>20.315073922209798</c:v>
                </c:pt>
                <c:pt idx="146">
                  <c:v>20.26616808356172</c:v>
                </c:pt>
                <c:pt idx="147">
                  <c:v>20.217527609035614</c:v>
                </c:pt>
                <c:pt idx="148">
                  <c:v>20.169149730496482</c:v>
                </c:pt>
                <c:pt idx="149">
                  <c:v>20.121031721218742</c:v>
                </c:pt>
                <c:pt idx="150">
                  <c:v>20.072067307183993</c:v>
                </c:pt>
                <c:pt idx="151">
                  <c:v>20.023369273246384</c:v>
                </c:pt>
                <c:pt idx="152">
                  <c:v>19.97493482866642</c:v>
                </c:pt>
                <c:pt idx="153">
                  <c:v>19.926761224727066</c:v>
                </c:pt>
                <c:pt idx="154">
                  <c:v>19.877720888350016</c:v>
                </c:pt>
                <c:pt idx="155">
                  <c:v>19.828948122116007</c:v>
                </c:pt>
                <c:pt idx="156">
                  <c:v>19.780440110170296</c:v>
                </c:pt>
                <c:pt idx="157">
                  <c:v>19.732194079339894</c:v>
                </c:pt>
                <c:pt idx="158">
                  <c:v>19.683084663809375</c:v>
                </c:pt>
                <c:pt idx="159">
                  <c:v>19.634243920879083</c:v>
                </c:pt>
                <c:pt idx="160">
                  <c:v>19.585669011156501</c:v>
                </c:pt>
                <c:pt idx="161">
                  <c:v>19.537357138554217</c:v>
                </c:pt>
                <c:pt idx="162">
                  <c:v>19.488207172119015</c:v>
                </c:pt>
                <c:pt idx="163">
                  <c:v>19.439326655921519</c:v>
                </c:pt>
                <c:pt idx="164">
                  <c:v>19.390712732381097</c:v>
                </c:pt>
                <c:pt idx="165">
                  <c:v>19.342362587732495</c:v>
                </c:pt>
                <c:pt idx="166">
                  <c:v>19.293135643601222</c:v>
                </c:pt>
                <c:pt idx="167">
                  <c:v>19.244179312897696</c:v>
                </c:pt>
                <c:pt idx="168">
                  <c:v>19.195490713934792</c:v>
                </c:pt>
                <c:pt idx="169">
                  <c:v>19.14706700946833</c:v>
                </c:pt>
                <c:pt idx="170">
                  <c:v>19.09787474720812</c:v>
                </c:pt>
                <c:pt idx="171">
                  <c:v>19.048953024164422</c:v>
                </c:pt>
                <c:pt idx="172">
                  <c:v>19.000298954480115</c:v>
                </c:pt>
                <c:pt idx="173">
                  <c:v>18.951909696953731</c:v>
                </c:pt>
                <c:pt idx="174">
                  <c:v>18.902572524165627</c:v>
                </c:pt>
                <c:pt idx="175">
                  <c:v>18.853507776064895</c:v>
                </c:pt>
                <c:pt idx="176">
                  <c:v>18.804712531511353</c:v>
                </c:pt>
                <c:pt idx="177">
                  <c:v>18.756183914870693</c:v>
                </c:pt>
                <c:pt idx="178">
                  <c:v>18.706735554646279</c:v>
                </c:pt>
                <c:pt idx="179">
                  <c:v>18.657561127123234</c:v>
                </c:pt>
                <c:pt idx="180">
                  <c:v>18.608657681996441</c:v>
                </c:pt>
                <c:pt idx="181">
                  <c:v>18.560022315188892</c:v>
                </c:pt>
                <c:pt idx="182">
                  <c:v>18.510687450810003</c:v>
                </c:pt>
                <c:pt idx="183">
                  <c:v>18.461625534794983</c:v>
                </c:pt>
                <c:pt idx="184">
                  <c:v>18.412833628008215</c:v>
                </c:pt>
                <c:pt idx="185">
                  <c:v>18.364308837420293</c:v>
                </c:pt>
                <c:pt idx="186">
                  <c:v>18.314727216487103</c:v>
                </c:pt>
                <c:pt idx="187">
                  <c:v>18.265421531876051</c:v>
                </c:pt>
                <c:pt idx="188">
                  <c:v>18.216388791668233</c:v>
                </c:pt>
                <c:pt idx="189">
                  <c:v>18.167626051262754</c:v>
                </c:pt>
                <c:pt idx="190">
                  <c:v>18.118207501693643</c:v>
                </c:pt>
                <c:pt idx="191">
                  <c:v>18.06906332696029</c:v>
                </c:pt>
                <c:pt idx="192">
                  <c:v>18.020190556164412</c:v>
                </c:pt>
                <c:pt idx="193">
                  <c:v>17.971586265384534</c:v>
                </c:pt>
                <c:pt idx="194">
                  <c:v>17.921983817388629</c:v>
                </c:pt>
                <c:pt idx="195">
                  <c:v>17.872658020072588</c:v>
                </c:pt>
                <c:pt idx="196">
                  <c:v>17.823605861487589</c:v>
                </c:pt>
                <c:pt idx="197">
                  <c:v>17.774824377623844</c:v>
                </c:pt>
                <c:pt idx="198">
                  <c:v>17.725251281168223</c:v>
                </c:pt>
                <c:pt idx="199">
                  <c:v>17.675954734238307</c:v>
                </c:pt>
                <c:pt idx="200">
                  <c:v>17.626931722615243</c:v>
                </c:pt>
                <c:pt idx="201">
                  <c:v>17.578179280158995</c:v>
                </c:pt>
                <c:pt idx="202">
                  <c:v>17.528658435839969</c:v>
                </c:pt>
                <c:pt idx="203">
                  <c:v>17.4794137743222</c:v>
                </c:pt>
                <c:pt idx="204">
                  <c:v>17.430442283646347</c:v>
                </c:pt>
                <c:pt idx="205">
                  <c:v>17.381740999971171</c:v>
                </c:pt>
                <c:pt idx="206">
                  <c:v>17.332124885898587</c:v>
                </c:pt>
                <c:pt idx="207">
                  <c:v>17.282786220604962</c:v>
                </c:pt>
                <c:pt idx="208">
                  <c:v>17.233721967891444</c:v>
                </c:pt>
                <c:pt idx="209">
                  <c:v>17.184929140276409</c:v>
                </c:pt>
                <c:pt idx="210">
                  <c:v>17.135083639141065</c:v>
                </c:pt>
                <c:pt idx="211">
                  <c:v>17.085518349118725</c:v>
                </c:pt>
                <c:pt idx="212">
                  <c:v>17.036230185227538</c:v>
                </c:pt>
                <c:pt idx="213">
                  <c:v>16.987216112327765</c:v>
                </c:pt>
                <c:pt idx="214">
                  <c:v>16.937504259151442</c:v>
                </c:pt>
                <c:pt idx="215">
                  <c:v>16.888071309331224</c:v>
                </c:pt>
                <c:pt idx="216">
                  <c:v>16.838914196128126</c:v>
                </c:pt>
                <c:pt idx="217">
                  <c:v>16.79002990232944</c:v>
                </c:pt>
                <c:pt idx="218">
                  <c:v>16.740310110125094</c:v>
                </c:pt>
                <c:pt idx="219">
                  <c:v>16.690869489865825</c:v>
                </c:pt>
                <c:pt idx="220">
                  <c:v>16.64170496728099</c:v>
                </c:pt>
                <c:pt idx="221">
                  <c:v>16.592813517860748</c:v>
                </c:pt>
                <c:pt idx="222">
                  <c:v>16.5431113054888</c:v>
                </c:pt>
                <c:pt idx="223">
                  <c:v>16.493688239673279</c:v>
                </c:pt>
                <c:pt idx="224">
                  <c:v>16.444541243597605</c:v>
                </c:pt>
                <c:pt idx="225">
                  <c:v>16.395667290330142</c:v>
                </c:pt>
                <c:pt idx="226">
                  <c:v>16.345855513705438</c:v>
                </c:pt>
                <c:pt idx="227">
                  <c:v>16.296324276635914</c:v>
                </c:pt>
                <c:pt idx="228">
                  <c:v>16.247070476463652</c:v>
                </c:pt>
                <c:pt idx="229">
                  <c:v>16.198091061039271</c:v>
                </c:pt>
                <c:pt idx="230">
                  <c:v>16.098594490190443</c:v>
                </c:pt>
                <c:pt idx="231">
                  <c:v>16.049265431538913</c:v>
                </c:pt>
                <c:pt idx="232">
                  <c:v>16.000211745219801</c:v>
                </c:pt>
                <c:pt idx="233">
                  <c:v>15.950275680785095</c:v>
                </c:pt>
                <c:pt idx="234">
                  <c:v>15.900621862708494</c:v>
                </c:pt>
                <c:pt idx="235">
                  <c:v>15.851247154697921</c:v>
                </c:pt>
                <c:pt idx="236">
                  <c:v>15.802148471824339</c:v>
                </c:pt>
                <c:pt idx="237">
                  <c:v>15.752334917964575</c:v>
                </c:pt>
                <c:pt idx="238">
                  <c:v>15.702802374610583</c:v>
                </c:pt>
                <c:pt idx="239">
                  <c:v>15.653547723516327</c:v>
                </c:pt>
                <c:pt idx="240">
                  <c:v>15.604567897463188</c:v>
                </c:pt>
                <c:pt idx="241">
                  <c:v>15.554618040976171</c:v>
                </c:pt>
                <c:pt idx="242">
                  <c:v>15.50495086809647</c:v>
                </c:pt>
                <c:pt idx="243">
                  <c:v>15.455563230389357</c:v>
                </c:pt>
                <c:pt idx="244">
                  <c:v>15.406452031160073</c:v>
                </c:pt>
                <c:pt idx="245">
                  <c:v>15.356535019514626</c:v>
                </c:pt>
                <c:pt idx="246">
                  <c:v>15.306900452231158</c:v>
                </c:pt>
                <c:pt idx="247">
                  <c:v>15.257545182594596</c:v>
                </c:pt>
                <c:pt idx="248">
                  <c:v>15.208466115644594</c:v>
                </c:pt>
                <c:pt idx="249">
                  <c:v>15.158473206147322</c:v>
                </c:pt>
                <c:pt idx="250">
                  <c:v>15.108763723873038</c:v>
                </c:pt>
                <c:pt idx="251">
                  <c:v>15.059334503542122</c:v>
                </c:pt>
                <c:pt idx="252">
                  <c:v>15.010182432087348</c:v>
                </c:pt>
                <c:pt idx="253">
                  <c:v>14.960272932580787</c:v>
                </c:pt>
                <c:pt idx="254">
                  <c:v>14.910646037710659</c:v>
                </c:pt>
                <c:pt idx="255">
                  <c:v>14.861298593868666</c:v>
                </c:pt>
                <c:pt idx="256">
                  <c:v>14.812227499449728</c:v>
                </c:pt>
                <c:pt idx="257">
                  <c:v>14.76216911694096</c:v>
                </c:pt>
                <c:pt idx="258">
                  <c:v>14.712395137743561</c:v>
                </c:pt>
                <c:pt idx="259">
                  <c:v>14.662902376195539</c:v>
                </c:pt>
                <c:pt idx="260">
                  <c:v>14.613687699388167</c:v>
                </c:pt>
                <c:pt idx="261">
                  <c:v>14.563638932932029</c:v>
                </c:pt>
                <c:pt idx="262">
                  <c:v>14.513874570725827</c:v>
                </c:pt>
                <c:pt idx="263">
                  <c:v>14.464391425198313</c:v>
                </c:pt>
                <c:pt idx="264">
                  <c:v>14.415186361616572</c:v>
                </c:pt>
                <c:pt idx="265">
                  <c:v>14.365172062298928</c:v>
                </c:pt>
                <c:pt idx="266">
                  <c:v>14.315441881473454</c:v>
                </c:pt>
                <c:pt idx="267">
                  <c:v>14.265992634556358</c:v>
                </c:pt>
                <c:pt idx="268">
                  <c:v>14.216821189778017</c:v>
                </c:pt>
                <c:pt idx="269">
                  <c:v>14.16674675942814</c:v>
                </c:pt>
                <c:pt idx="270">
                  <c:v>14.116957229403852</c:v>
                </c:pt>
                <c:pt idx="271">
                  <c:v>14.067449400279052</c:v>
                </c:pt>
                <c:pt idx="272">
                  <c:v>14.018220125809066</c:v>
                </c:pt>
                <c:pt idx="273">
                  <c:v>13.968115040770011</c:v>
                </c:pt>
                <c:pt idx="274">
                  <c:v>13.918295299854424</c:v>
                </c:pt>
                <c:pt idx="275">
                  <c:v>13.868757694528028</c:v>
                </c:pt>
                <c:pt idx="276">
                  <c:v>13.819499069677551</c:v>
                </c:pt>
                <c:pt idx="277">
                  <c:v>13.769503449141247</c:v>
                </c:pt>
                <c:pt idx="278">
                  <c:v>13.719792021950234</c:v>
                </c:pt>
                <c:pt idx="279">
                  <c:v>13.67036159734255</c:v>
                </c:pt>
                <c:pt idx="280">
                  <c:v>13.62120903761971</c:v>
                </c:pt>
                <c:pt idx="281">
                  <c:v>13.571011047680056</c:v>
                </c:pt>
                <c:pt idx="282">
                  <c:v>13.521099637472053</c:v>
                </c:pt>
                <c:pt idx="283">
                  <c:v>13.471471574563674</c:v>
                </c:pt>
                <c:pt idx="284">
                  <c:v>13.422123680544811</c:v>
                </c:pt>
                <c:pt idx="285">
                  <c:v>13.372084970855024</c:v>
                </c:pt>
                <c:pt idx="286">
                  <c:v>13.322331113596489</c:v>
                </c:pt>
                <c:pt idx="287">
                  <c:v>13.272858904006263</c:v>
                </c:pt>
                <c:pt idx="288">
                  <c:v>13.223665190762198</c:v>
                </c:pt>
                <c:pt idx="289">
                  <c:v>13.173485371805349</c:v>
                </c:pt>
                <c:pt idx="290">
                  <c:v>13.123592089380448</c:v>
                </c:pt>
                <c:pt idx="291">
                  <c:v>13.073982108968691</c:v>
                </c:pt>
                <c:pt idx="292">
                  <c:v>13.024652250183992</c:v>
                </c:pt>
                <c:pt idx="293">
                  <c:v>12.974469060883173</c:v>
                </c:pt>
                <c:pt idx="294">
                  <c:v>12.924572522913076</c:v>
                </c:pt>
                <c:pt idx="295">
                  <c:v>12.874959398502426</c:v>
                </c:pt>
                <c:pt idx="296">
                  <c:v>12.825626504115542</c:v>
                </c:pt>
                <c:pt idx="297">
                  <c:v>12.775465848899204</c:v>
                </c:pt>
                <c:pt idx="298">
                  <c:v>12.725591661256985</c:v>
                </c:pt>
                <c:pt idx="299">
                  <c:v>12.676000705270475</c:v>
                </c:pt>
                <c:pt idx="300">
                  <c:v>12.626689799243769</c:v>
                </c:pt>
                <c:pt idx="301">
                  <c:v>12.576575836938254</c:v>
                </c:pt>
                <c:pt idx="302">
                  <c:v>12.52674788006682</c:v>
                </c:pt>
                <c:pt idx="303">
                  <c:v>12.477202699325717</c:v>
                </c:pt>
                <c:pt idx="304">
                  <c:v>12.427937119514009</c:v>
                </c:pt>
                <c:pt idx="305">
                  <c:v>12.377700416802684</c:v>
                </c:pt>
                <c:pt idx="306">
                  <c:v>12.327751184810054</c:v>
                </c:pt>
                <c:pt idx="307">
                  <c:v>12.278086168309576</c:v>
                </c:pt>
                <c:pt idx="308">
                  <c:v>12.228702166781723</c:v>
                </c:pt>
                <c:pt idx="309">
                  <c:v>12.178564196521471</c:v>
                </c:pt>
                <c:pt idx="310">
                  <c:v>12.128712634771396</c:v>
                </c:pt>
                <c:pt idx="311">
                  <c:v>12.079144243192932</c:v>
                </c:pt>
                <c:pt idx="312">
                  <c:v>12.029855837801973</c:v>
                </c:pt>
                <c:pt idx="313">
                  <c:v>11.979652316679761</c:v>
                </c:pt>
                <c:pt idx="314">
                  <c:v>11.929736011965</c:v>
                </c:pt>
                <c:pt idx="315">
                  <c:v>11.88010367060599</c:v>
                </c:pt>
                <c:pt idx="316">
                  <c:v>11.830752094257697</c:v>
                </c:pt>
                <c:pt idx="317">
                  <c:v>11.780513068701499</c:v>
                </c:pt>
                <c:pt idx="318">
                  <c:v>11.73056172282986</c:v>
                </c:pt>
                <c:pt idx="319">
                  <c:v>11.680894794743111</c:v>
                </c:pt>
                <c:pt idx="320">
                  <c:v>11.63150907746946</c:v>
                </c:pt>
                <c:pt idx="321">
                  <c:v>11.5812626625808</c:v>
                </c:pt>
                <c:pt idx="322">
                  <c:v>11.531304067240885</c:v>
                </c:pt>
                <c:pt idx="323">
                  <c:v>11.481630026225996</c:v>
                </c:pt>
                <c:pt idx="324">
                  <c:v>11.432237329336335</c:v>
                </c:pt>
                <c:pt idx="325">
                  <c:v>11.382009789976786</c:v>
                </c:pt>
                <c:pt idx="326">
                  <c:v>11.332069907508446</c:v>
                </c:pt>
                <c:pt idx="327">
                  <c:v>11.282414418559885</c:v>
                </c:pt>
                <c:pt idx="328">
                  <c:v>11.233040114763106</c:v>
                </c:pt>
                <c:pt idx="329">
                  <c:v>11.182772268714938</c:v>
                </c:pt>
                <c:pt idx="330">
                  <c:v>11.132792590711809</c:v>
                </c:pt>
                <c:pt idx="331">
                  <c:v>11.08309780783695</c:v>
                </c:pt>
                <c:pt idx="332">
                  <c:v>11.033684702410707</c:v>
                </c:pt>
                <c:pt idx="333">
                  <c:v>10.983486815196745</c:v>
                </c:pt>
                <c:pt idx="334">
                  <c:v>10.933576344981615</c:v>
                </c:pt>
                <c:pt idx="335">
                  <c:v>10.883950030774294</c:v>
                </c:pt>
                <c:pt idx="336">
                  <c:v>10.834604666571758</c:v>
                </c:pt>
                <c:pt idx="337">
                  <c:v>10.784337925157841</c:v>
                </c:pt>
                <c:pt idx="338">
                  <c:v>10.734359433618337</c:v>
                </c:pt>
                <c:pt idx="339">
                  <c:v>10.684665916026979</c:v>
                </c:pt>
                <c:pt idx="340">
                  <c:v>10.635254151799234</c:v>
                </c:pt>
                <c:pt idx="341">
                  <c:v>10.584948925860409</c:v>
                </c:pt>
                <c:pt idx="342">
                  <c:v>10.534932434230409</c:v>
                </c:pt>
                <c:pt idx="343">
                  <c:v>10.48520139198761</c:v>
                </c:pt>
                <c:pt idx="344">
                  <c:v>10.435752569771255</c:v>
                </c:pt>
                <c:pt idx="345">
                  <c:v>10.385513639764731</c:v>
                </c:pt>
                <c:pt idx="346">
                  <c:v>10.335562727778921</c:v>
                </c:pt>
                <c:pt idx="347">
                  <c:v>10.2858965603538</c:v>
                </c:pt>
                <c:pt idx="348">
                  <c:v>10.236511919349081</c:v>
                </c:pt>
                <c:pt idx="349">
                  <c:v>10.186211377720687</c:v>
                </c:pt>
                <c:pt idx="350">
                  <c:v>10.136199599189645</c:v>
                </c:pt>
                <c:pt idx="351">
                  <c:v>10.086473296932381</c:v>
                </c:pt>
                <c:pt idx="352">
                  <c:v>10.037029239760951</c:v>
                </c:pt>
                <c:pt idx="353">
                  <c:v>9.9866970314593644</c:v>
                </c:pt>
                <c:pt idx="354">
                  <c:v>9.9366539874168307</c:v>
                </c:pt>
                <c:pt idx="355">
                  <c:v>9.8868968133173514</c:v>
                </c:pt>
                <c:pt idx="356">
                  <c:v>9.8374222706647494</c:v>
                </c:pt>
                <c:pt idx="357">
                  <c:v>9.787157697172578</c:v>
                </c:pt>
                <c:pt idx="358">
                  <c:v>9.7371815502241006</c:v>
                </c:pt>
                <c:pt idx="359">
                  <c:v>9.6874905474385571</c:v>
                </c:pt>
                <c:pt idx="360">
                  <c:v>9.6380814620005992</c:v>
                </c:pt>
                <c:pt idx="361">
                  <c:v>9.5877664733916799</c:v>
                </c:pt>
                <c:pt idx="362">
                  <c:v>9.537740523601542</c:v>
                </c:pt>
                <c:pt idx="363">
                  <c:v>9.4880003192215749</c:v>
                </c:pt>
                <c:pt idx="364">
                  <c:v>9.4385426226702318</c:v>
                </c:pt>
                <c:pt idx="365">
                  <c:v>9.3882745467553068</c:v>
                </c:pt>
                <c:pt idx="366">
                  <c:v>9.3382950059052039</c:v>
                </c:pt>
                <c:pt idx="367">
                  <c:v>9.2886007147210261</c:v>
                </c:pt>
                <c:pt idx="368">
                  <c:v>9.2391884434636289</c:v>
                </c:pt>
                <c:pt idx="369">
                  <c:v>9.1888568507636315</c:v>
                </c:pt>
                <c:pt idx="370">
                  <c:v>9.1388145526556084</c:v>
                </c:pt>
                <c:pt idx="371">
                  <c:v>9.0890582502486374</c:v>
                </c:pt>
                <c:pt idx="372">
                  <c:v>9.0395847006282217</c:v>
                </c:pt>
                <c:pt idx="373">
                  <c:v>8.9892847655819281</c:v>
                </c:pt>
                <c:pt idx="374">
                  <c:v>8.9392737929047037</c:v>
                </c:pt>
                <c:pt idx="375">
                  <c:v>8.8895484888481739</c:v>
                </c:pt>
                <c:pt idx="376">
                  <c:v>8.840105615536034</c:v>
                </c:pt>
                <c:pt idx="377">
                  <c:v>8.7897339335366826</c:v>
                </c:pt>
                <c:pt idx="378">
                  <c:v>8.7396520657068937</c:v>
                </c:pt>
                <c:pt idx="379">
                  <c:v>8.6898567032644003</c:v>
                </c:pt>
                <c:pt idx="380">
                  <c:v>8.6403445936496492</c:v>
                </c:pt>
                <c:pt idx="381">
                  <c:v>8.5900561700215476</c:v>
                </c:pt>
                <c:pt idx="382">
                  <c:v>8.5400566338928581</c:v>
                </c:pt>
                <c:pt idx="383">
                  <c:v>8.4903426918169895</c:v>
                </c:pt>
                <c:pt idx="384">
                  <c:v>8.4409111062346458</c:v>
                </c:pt>
                <c:pt idx="385">
                  <c:v>8.3905440609471338</c:v>
                </c:pt>
                <c:pt idx="386">
                  <c:v>8.3404668312213062</c:v>
                </c:pt>
                <c:pt idx="387">
                  <c:v>8.2906761073164308</c:v>
                </c:pt>
                <c:pt idx="388">
                  <c:v>8.2411686357573899</c:v>
                </c:pt>
                <c:pt idx="389">
                  <c:v>8.1908135034465808</c:v>
                </c:pt>
                <c:pt idx="390">
                  <c:v>8.1407480754797401</c:v>
                </c:pt>
                <c:pt idx="391">
                  <c:v>8.0909690435797046</c:v>
                </c:pt>
                <c:pt idx="392">
                  <c:v>8.0414731557122465</c:v>
                </c:pt>
                <c:pt idx="393">
                  <c:v>7.9911550820539308</c:v>
                </c:pt>
                <c:pt idx="394">
                  <c:v>7.9411263119820195</c:v>
                </c:pt>
                <c:pt idx="395">
                  <c:v>7.8913835436471818</c:v>
                </c:pt>
                <c:pt idx="396">
                  <c:v>7.8419235313068416</c:v>
                </c:pt>
                <c:pt idx="397">
                  <c:v>7.7915525574110447</c:v>
                </c:pt>
                <c:pt idx="398">
                  <c:v>7.7414715171929549</c:v>
                </c:pt>
                <c:pt idx="399">
                  <c:v>7.6916770976437796</c:v>
                </c:pt>
                <c:pt idx="400">
                  <c:v>7.6421660421231081</c:v>
                </c:pt>
                <c:pt idx="401">
                  <c:v>7.5918270511389627</c:v>
                </c:pt>
                <c:pt idx="402">
                  <c:v>7.5417776489830999</c:v>
                </c:pt>
                <c:pt idx="403">
                  <c:v>7.4920145281599719</c:v>
                </c:pt>
                <c:pt idx="404">
                  <c:v>7.4425344374261808</c:v>
                </c:pt>
                <c:pt idx="405">
                  <c:v>7.3921970702630233</c:v>
                </c:pt>
                <c:pt idx="406">
                  <c:v>7.3421492944500475</c:v>
                </c:pt>
                <c:pt idx="407">
                  <c:v>7.2923878020872106</c:v>
                </c:pt>
                <c:pt idx="408">
                  <c:v>7.2429093415437071</c:v>
                </c:pt>
                <c:pt idx="409">
                  <c:v>7.192546484809867</c:v>
                </c:pt>
                <c:pt idx="410">
                  <c:v>7.1424735321604738</c:v>
                </c:pt>
                <c:pt idx="411">
                  <c:v>7.0926871700051564</c:v>
                </c:pt>
                <c:pt idx="412">
                  <c:v>7.0431841411595002</c:v>
                </c:pt>
                <c:pt idx="413">
                  <c:v>6.9928234407687304</c:v>
                </c:pt>
                <c:pt idx="414">
                  <c:v>6.9427526390235252</c:v>
                </c:pt>
                <c:pt idx="415">
                  <c:v>6.892968422096061</c:v>
                </c:pt>
                <c:pt idx="416">
                  <c:v>6.8434675325776535</c:v>
                </c:pt>
                <c:pt idx="417">
                  <c:v>6.7930842502455926</c:v>
                </c:pt>
                <c:pt idx="418">
                  <c:v>6.7429911443141988</c:v>
                </c:pt>
                <c:pt idx="419">
                  <c:v>6.6931848958898623</c:v>
                </c:pt>
                <c:pt idx="420">
                  <c:v>6.6436622426199161</c:v>
                </c:pt>
                <c:pt idx="421">
                  <c:v>6.5933332557905509</c:v>
                </c:pt>
                <c:pt idx="422">
                  <c:v>6.5432938396703264</c:v>
                </c:pt>
                <c:pt idx="423">
                  <c:v>6.493540685421662</c:v>
                </c:pt>
                <c:pt idx="424">
                  <c:v>6.4440705405267495</c:v>
                </c:pt>
                <c:pt idx="425">
                  <c:v>6.3936733158882983</c:v>
                </c:pt>
                <c:pt idx="426">
                  <c:v>6.3435664622864882</c:v>
                </c:pt>
                <c:pt idx="427">
                  <c:v>6.2937466569079037</c:v>
                </c:pt>
                <c:pt idx="428">
                  <c:v>6.2442106335819991</c:v>
                </c:pt>
                <c:pt idx="429">
                  <c:v>6.1938228927278995</c:v>
                </c:pt>
                <c:pt idx="430">
                  <c:v>6.143725430039094</c:v>
                </c:pt>
                <c:pt idx="431">
                  <c:v>6.093914924016425</c:v>
                </c:pt>
                <c:pt idx="432">
                  <c:v>6.0443881097803152</c:v>
                </c:pt>
                <c:pt idx="433">
                  <c:v>5.9940352082680999</c:v>
                </c:pt>
                <c:pt idx="434">
                  <c:v>5.943972200139723</c:v>
                </c:pt>
                <c:pt idx="435">
                  <c:v>5.8941957702171797</c:v>
                </c:pt>
                <c:pt idx="436">
                  <c:v>5.844702659804776</c:v>
                </c:pt>
                <c:pt idx="437">
                  <c:v>5.794318097184588</c:v>
                </c:pt>
                <c:pt idx="438">
                  <c:v>5.7442238062332063</c:v>
                </c:pt>
                <c:pt idx="439">
                  <c:v>5.6944164650496196</c:v>
                </c:pt>
                <c:pt idx="440">
                  <c:v>5.6448928083729379</c:v>
                </c:pt>
                <c:pt idx="441">
                  <c:v>5.5945046756555321</c:v>
                </c:pt>
                <c:pt idx="442">
                  <c:v>5.5444068696333071</c:v>
                </c:pt>
                <c:pt idx="443">
                  <c:v>5.4945960672238749</c:v>
                </c:pt>
                <c:pt idx="444">
                  <c:v>5.4450690020171493</c:v>
                </c:pt>
                <c:pt idx="445">
                  <c:v>5.3947035247898718</c:v>
                </c:pt>
                <c:pt idx="446">
                  <c:v>5.344628127358078</c:v>
                </c:pt>
                <c:pt idx="447">
                  <c:v>5.294839490636793</c:v>
                </c:pt>
                <c:pt idx="448">
                  <c:v>5.2453343521283413</c:v>
                </c:pt>
                <c:pt idx="449">
                  <c:v>5.1949318627186134</c:v>
                </c:pt>
                <c:pt idx="450">
                  <c:v>5.1448198911540812</c:v>
                </c:pt>
                <c:pt idx="451">
                  <c:v>5.0949951106322029</c:v>
                </c:pt>
                <c:pt idx="452">
                  <c:v>5.0454542511170111</c:v>
                </c:pt>
                <c:pt idx="453">
                  <c:v>4.995084325245057</c:v>
                </c:pt>
                <c:pt idx="454">
                  <c:v>4.9450045552211623</c:v>
                </c:pt>
                <c:pt idx="455">
                  <c:v>4.8952116202328284</c:v>
                </c:pt>
                <c:pt idx="456">
                  <c:v>4.845702256102963</c:v>
                </c:pt>
                <c:pt idx="457">
                  <c:v>4.7953083513462396</c:v>
                </c:pt>
                <c:pt idx="458">
                  <c:v>4.7452048896179733</c:v>
                </c:pt>
                <c:pt idx="459">
                  <c:v>4.6953885449890267</c:v>
                </c:pt>
                <c:pt idx="460">
                  <c:v>4.645856048286837</c:v>
                </c:pt>
                <c:pt idx="461">
                  <c:v>4.5954657587712093</c:v>
                </c:pt>
                <c:pt idx="462">
                  <c:v>4.5453658818598868</c:v>
                </c:pt>
                <c:pt idx="463">
                  <c:v>4.4955530919547639</c:v>
                </c:pt>
                <c:pt idx="464">
                  <c:v>4.4460241202109794</c:v>
                </c:pt>
                <c:pt idx="465">
                  <c:v>4.3956248343999142</c:v>
                </c:pt>
                <c:pt idx="466">
                  <c:v>4.3455160752291908</c:v>
                </c:pt>
                <c:pt idx="467">
                  <c:v>4.29569451496595</c:v>
                </c:pt>
                <c:pt idx="468">
                  <c:v>4.2461568826826497</c:v>
                </c:pt>
                <c:pt idx="469">
                  <c:v>4.1957752047170285</c:v>
                </c:pt>
                <c:pt idx="470">
                  <c:v>4.1456838611546107</c:v>
                </c:pt>
                <c:pt idx="471">
                  <c:v>4.0958795273820199</c:v>
                </c:pt>
                <c:pt idx="472">
                  <c:v>4.0463589355247214</c:v>
                </c:pt>
                <c:pt idx="473">
                  <c:v>3.9959463945189406</c:v>
                </c:pt>
                <c:pt idx="474">
                  <c:v>3.9458245524068696</c:v>
                </c:pt>
                <c:pt idx="475">
                  <c:v>3.8959900781647421</c:v>
                </c:pt>
                <c:pt idx="476">
                  <c:v>3.8464396976567934</c:v>
                </c:pt>
                <c:pt idx="477">
                  <c:v>3.7960243757037206</c:v>
                </c:pt>
                <c:pt idx="478">
                  <c:v>3.7458997938914953</c:v>
                </c:pt>
                <c:pt idx="479">
                  <c:v>3.696062620330975</c:v>
                </c:pt>
                <c:pt idx="480">
                  <c:v>3.6465095800443299</c:v>
                </c:pt>
                <c:pt idx="481">
                  <c:v>3.5961176915354658</c:v>
                </c:pt>
                <c:pt idx="482">
                  <c:v>3.5460162825716894</c:v>
                </c:pt>
                <c:pt idx="483">
                  <c:v>3.496202025578778</c:v>
                </c:pt>
                <c:pt idx="484">
                  <c:v>3.4466716497990211</c:v>
                </c:pt>
                <c:pt idx="485">
                  <c:v>3.3962934308565695</c:v>
                </c:pt>
                <c:pt idx="486">
                  <c:v>3.346205542774257</c:v>
                </c:pt>
                <c:pt idx="487">
                  <c:v>3.2964046603809405</c:v>
                </c:pt>
                <c:pt idx="488">
                  <c:v>3.24688751527093</c:v>
                </c:pt>
                <c:pt idx="489">
                  <c:v>3.1964811913738438</c:v>
                </c:pt>
                <c:pt idx="490">
                  <c:v>3.1463655294954189</c:v>
                </c:pt>
                <c:pt idx="491">
                  <c:v>3.0965371986523444</c:v>
                </c:pt>
                <c:pt idx="492">
                  <c:v>3.0469929247618515</c:v>
                </c:pt>
                <c:pt idx="493">
                  <c:v>2.9965863845890479</c:v>
                </c:pt>
                <c:pt idx="494">
                  <c:v>2.9464705166248892</c:v>
                </c:pt>
                <c:pt idx="495">
                  <c:v>2.8966419895798974</c:v>
                </c:pt>
                <c:pt idx="496">
                  <c:v>2.8470975290749752</c:v>
                </c:pt>
                <c:pt idx="497">
                  <c:v>2.7966848870978622</c:v>
                </c:pt>
                <c:pt idx="498">
                  <c:v>2.7465629948617458</c:v>
                </c:pt>
                <c:pt idx="499">
                  <c:v>2.6967285196224653</c:v>
                </c:pt>
                <c:pt idx="500">
                  <c:v>2.6471781855818737</c:v>
                </c:pt>
                <c:pt idx="501">
                  <c:v>2.5967546838691149</c:v>
                </c:pt>
                <c:pt idx="502">
                  <c:v>2.5466220638455694</c:v>
                </c:pt>
                <c:pt idx="503">
                  <c:v>2.4967769903840971</c:v>
                </c:pt>
                <c:pt idx="504">
                  <c:v>2.447216185361047</c:v>
                </c:pt>
                <c:pt idx="505">
                  <c:v>2.396808589525206</c:v>
                </c:pt>
                <c:pt idx="506">
                  <c:v>2.3466916991314801</c:v>
                </c:pt>
                <c:pt idx="507">
                  <c:v>2.2968621819604698</c:v>
                </c:pt>
                <c:pt idx="508">
                  <c:v>2.2473167627322854</c:v>
                </c:pt>
                <c:pt idx="509">
                  <c:v>2.1969202421039387</c:v>
                </c:pt>
                <c:pt idx="510">
                  <c:v>2.146814305959615</c:v>
                </c:pt>
                <c:pt idx="511">
                  <c:v>2.096995624044022</c:v>
                </c:pt>
                <c:pt idx="512">
                  <c:v>2.0474609229994121</c:v>
                </c:pt>
                <c:pt idx="513">
                  <c:v>1.9970425197641728</c:v>
                </c:pt>
                <c:pt idx="514">
                  <c:v>1.9469149588091861</c:v>
                </c:pt>
                <c:pt idx="515">
                  <c:v>1.8970749053545009</c:v>
                </c:pt>
                <c:pt idx="516">
                  <c:v>1.8475190816230935</c:v>
                </c:pt>
                <c:pt idx="517">
                  <c:v>1.7971062885876521</c:v>
                </c:pt>
                <c:pt idx="518">
                  <c:v>1.7469842791419097</c:v>
                </c:pt>
                <c:pt idx="519">
                  <c:v>1.6971497194124918</c:v>
                </c:pt>
                <c:pt idx="520">
                  <c:v>1.6475993325107241</c:v>
                </c:pt>
                <c:pt idx="521">
                  <c:v>1.5971899998553205</c:v>
                </c:pt>
                <c:pt idx="522">
                  <c:v>1.5470714165672099</c:v>
                </c:pt>
                <c:pt idx="523">
                  <c:v>1.4972402492646206</c:v>
                </c:pt>
                <c:pt idx="524">
                  <c:v>1.4476932215412659</c:v>
                </c:pt>
                <c:pt idx="525">
                  <c:v>1.3972859698053666</c:v>
                </c:pt>
                <c:pt idx="526">
                  <c:v>1.347169448830301</c:v>
                </c:pt>
                <c:pt idx="527">
                  <c:v>1.2973403254624745</c:v>
                </c:pt>
                <c:pt idx="528">
                  <c:v>1.2477953235205645</c:v>
                </c:pt>
                <c:pt idx="529">
                  <c:v>1.1973894799274123</c:v>
                </c:pt>
                <c:pt idx="530">
                  <c:v>1.1472743559870135</c:v>
                </c:pt>
                <c:pt idx="531">
                  <c:v>1.097446618649395</c:v>
                </c:pt>
                <c:pt idx="532">
                  <c:v>1.0479029918362543</c:v>
                </c:pt>
                <c:pt idx="533">
                  <c:v>0.99747258357961066</c:v>
                </c:pt>
                <c:pt idx="534">
                  <c:v>0.94733318244914555</c:v>
                </c:pt>
                <c:pt idx="535">
                  <c:v>0.89748145038087324</c:v>
                </c:pt>
                <c:pt idx="536">
                  <c:v>0.84791410639866882</c:v>
                </c:pt>
                <c:pt idx="537">
                  <c:v>0.79751218009584313</c:v>
                </c:pt>
                <c:pt idx="538">
                  <c:v>0.7474009378909553</c:v>
                </c:pt>
                <c:pt idx="539">
                  <c:v>0.6975770471815429</c:v>
                </c:pt>
                <c:pt idx="540">
                  <c:v>0.64803723233038957</c:v>
                </c:pt>
                <c:pt idx="541">
                  <c:v>0.59761355792112769</c:v>
                </c:pt>
                <c:pt idx="542">
                  <c:v>0.54748082223190508</c:v>
                </c:pt>
                <c:pt idx="543">
                  <c:v>0.49763568821711024</c:v>
                </c:pt>
                <c:pt idx="544">
                  <c:v>0.44807487589961553</c:v>
                </c:pt>
                <c:pt idx="545">
                  <c:v>0.39765694550329911</c:v>
                </c:pt>
                <c:pt idx="546">
                  <c:v>0.34752989197238454</c:v>
                </c:pt>
                <c:pt idx="547">
                  <c:v>0.29769037925022829</c:v>
                </c:pt>
                <c:pt idx="548">
                  <c:v>0.24813512832723217</c:v>
                </c:pt>
                <c:pt idx="549">
                  <c:v>0.19772492654265772</c:v>
                </c:pt>
                <c:pt idx="550">
                  <c:v>0.14760551675253036</c:v>
                </c:pt>
                <c:pt idx="551">
                  <c:v>9.7773564286731118E-2</c:v>
                </c:pt>
                <c:pt idx="552">
                  <c:v>4.822579149267027E-2</c:v>
                </c:pt>
                <c:pt idx="553">
                  <c:v>-2.1974295634760877E-3</c:v>
                </c:pt>
                <c:pt idx="554">
                  <c:v>-5.232970497263293E-2</c:v>
                </c:pt>
                <c:pt idx="555">
                  <c:v>-0.10217437210654857</c:v>
                </c:pt>
                <c:pt idx="556">
                  <c:v>-0.15173471125658466</c:v>
                </c:pt>
                <c:pt idx="557">
                  <c:v>-0.25230752470128076</c:v>
                </c:pt>
                <c:pt idx="558">
                  <c:v>-0.35172943958815073</c:v>
                </c:pt>
                <c:pt idx="559">
                  <c:v>-0.45226660626312776</c:v>
                </c:pt>
                <c:pt idx="560">
                  <c:v>-0.5516536717329934</c:v>
                </c:pt>
                <c:pt idx="561">
                  <c:v>-0.65223457287181419</c:v>
                </c:pt>
                <c:pt idx="562">
                  <c:v>-0.75166436461376152</c:v>
                </c:pt>
                <c:pt idx="563">
                  <c:v>-0.85206649130074708</c:v>
                </c:pt>
                <c:pt idx="564">
                  <c:v>-0.95132156122977884</c:v>
                </c:pt>
                <c:pt idx="565">
                  <c:v>-1.0519151784081526</c:v>
                </c:pt>
                <c:pt idx="566">
                  <c:v>-1.1513573723527128</c:v>
                </c:pt>
                <c:pt idx="567">
                  <c:v>-1.2520778644560289</c:v>
                </c:pt>
                <c:pt idx="568">
                  <c:v>-1.3516440321946694</c:v>
                </c:pt>
                <c:pt idx="569">
                  <c:v>-1.4520394569692276</c:v>
                </c:pt>
                <c:pt idx="570">
                  <c:v>-1.5512879431481488</c:v>
                </c:pt>
                <c:pt idx="571">
                  <c:v>-1.6520935218964343</c:v>
                </c:pt>
                <c:pt idx="572">
                  <c:v>-1.7517428149546841</c:v>
                </c:pt>
                <c:pt idx="573">
                  <c:v>-1.8521313594222795</c:v>
                </c:pt>
                <c:pt idx="574">
                  <c:v>-1.951373101347134</c:v>
                </c:pt>
                <c:pt idx="575">
                  <c:v>-2.0520515488710682</c:v>
                </c:pt>
                <c:pt idx="576">
                  <c:v>-2.1515765892758365</c:v>
                </c:pt>
                <c:pt idx="577">
                  <c:v>-2.5607309504950315</c:v>
                </c:pt>
                <c:pt idx="578">
                  <c:v>-2.9514785458568662</c:v>
                </c:pt>
                <c:pt idx="579">
                  <c:v>-3.7508496547452519</c:v>
                </c:pt>
                <c:pt idx="580">
                  <c:v>-4.5510386468468491</c:v>
                </c:pt>
                <c:pt idx="581">
                  <c:v>-5.3509246060374522</c:v>
                </c:pt>
                <c:pt idx="582">
                  <c:v>-6.1510474154431609</c:v>
                </c:pt>
                <c:pt idx="583">
                  <c:v>-6.9508342254555444</c:v>
                </c:pt>
                <c:pt idx="584">
                  <c:v>-7.7508990044619601</c:v>
                </c:pt>
                <c:pt idx="585">
                  <c:v>-8.550788534871824</c:v>
                </c:pt>
                <c:pt idx="586">
                  <c:v>-9.3506221982632365</c:v>
                </c:pt>
                <c:pt idx="587">
                  <c:v>-10.150827531801864</c:v>
                </c:pt>
                <c:pt idx="588">
                  <c:v>-10.950639264011198</c:v>
                </c:pt>
                <c:pt idx="589">
                  <c:v>-11.750698583952996</c:v>
                </c:pt>
                <c:pt idx="590">
                  <c:v>-12.550699947340242</c:v>
                </c:pt>
                <c:pt idx="591">
                  <c:v>-13.350709638964052</c:v>
                </c:pt>
                <c:pt idx="592">
                  <c:v>-14.15061546346141</c:v>
                </c:pt>
                <c:pt idx="593">
                  <c:v>-14.950651212351055</c:v>
                </c:pt>
                <c:pt idx="594">
                  <c:v>-15.750603502994929</c:v>
                </c:pt>
                <c:pt idx="595">
                  <c:v>-16.550633605961156</c:v>
                </c:pt>
                <c:pt idx="596">
                  <c:v>-17.350580279274741</c:v>
                </c:pt>
                <c:pt idx="597">
                  <c:v>-18.150616425214089</c:v>
                </c:pt>
                <c:pt idx="598">
                  <c:v>-18.950546109182444</c:v>
                </c:pt>
                <c:pt idx="599">
                  <c:v>-19.750574859871197</c:v>
                </c:pt>
                <c:pt idx="600">
                  <c:v>-20.550580661271805</c:v>
                </c:pt>
              </c:numCache>
            </c:numRef>
          </c:yVal>
          <c:smooth val="1"/>
          <c:extLst>
            <c:ext xmlns:c16="http://schemas.microsoft.com/office/drawing/2014/chart" uri="{C3380CC4-5D6E-409C-BE32-E72D297353CC}">
              <c16:uniqueId val="{00000000-BA9E-4048-AA32-0E8605E404B1}"/>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'Stability Calculations'!$AM$12</c:f>
              <c:strCache>
                <c:ptCount val="1"/>
                <c:pt idx="0">
                  <c:v>Phase(Deg)</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Calculations'!$AM$13:$AM$613</c:f>
              <c:numCache>
                <c:formatCode>0.0000</c:formatCode>
                <c:ptCount val="601"/>
                <c:pt idx="0">
                  <c:v>-77.486006778223569</c:v>
                </c:pt>
                <c:pt idx="1">
                  <c:v>-77.920549096544306</c:v>
                </c:pt>
                <c:pt idx="2">
                  <c:v>-78.256630173692756</c:v>
                </c:pt>
                <c:pt idx="3">
                  <c:v>-78.496393645625446</c:v>
                </c:pt>
                <c:pt idx="4">
                  <c:v>-78.641333389668546</c:v>
                </c:pt>
                <c:pt idx="5">
                  <c:v>-78.692595087306458</c:v>
                </c:pt>
                <c:pt idx="6">
                  <c:v>-78.650364804086507</c:v>
                </c:pt>
                <c:pt idx="7">
                  <c:v>-78.514367154722024</c:v>
                </c:pt>
                <c:pt idx="8">
                  <c:v>-78.283856629546122</c:v>
                </c:pt>
                <c:pt idx="9">
                  <c:v>-77.957216887941087</c:v>
                </c:pt>
                <c:pt idx="10">
                  <c:v>-77.532599005238723</c:v>
                </c:pt>
                <c:pt idx="11">
                  <c:v>-77.007435493039651</c:v>
                </c:pt>
                <c:pt idx="12">
                  <c:v>-76.378354796294985</c:v>
                </c:pt>
                <c:pt idx="13">
                  <c:v>-75.642518321098706</c:v>
                </c:pt>
                <c:pt idx="14">
                  <c:v>-74.795595898052028</c:v>
                </c:pt>
                <c:pt idx="15">
                  <c:v>-73.83389769123383</c:v>
                </c:pt>
                <c:pt idx="16">
                  <c:v>-72.75333031849479</c:v>
                </c:pt>
                <c:pt idx="17">
                  <c:v>-71.550187381946031</c:v>
                </c:pt>
                <c:pt idx="18">
                  <c:v>-70.220615106059753</c:v>
                </c:pt>
                <c:pt idx="19">
                  <c:v>-68.76213287999191</c:v>
                </c:pt>
                <c:pt idx="20">
                  <c:v>-67.172630156074121</c:v>
                </c:pt>
                <c:pt idx="21">
                  <c:v>-65.451993603023624</c:v>
                </c:pt>
                <c:pt idx="22">
                  <c:v>-63.601200163976067</c:v>
                </c:pt>
                <c:pt idx="23">
                  <c:v>-61.624248034424888</c:v>
                </c:pt>
                <c:pt idx="24">
                  <c:v>-59.52673786268992</c:v>
                </c:pt>
                <c:pt idx="25">
                  <c:v>-57.31794462966176</c:v>
                </c:pt>
                <c:pt idx="26">
                  <c:v>-55.00933789939441</c:v>
                </c:pt>
                <c:pt idx="27">
                  <c:v>-52.616698687437299</c:v>
                </c:pt>
                <c:pt idx="28">
                  <c:v>-50.157856024649945</c:v>
                </c:pt>
                <c:pt idx="29">
                  <c:v>-47.65469413053885</c:v>
                </c:pt>
                <c:pt idx="30">
                  <c:v>-45.125029785280432</c:v>
                </c:pt>
                <c:pt idx="31">
                  <c:v>-42.595395997076245</c:v>
                </c:pt>
                <c:pt idx="32">
                  <c:v>-40.087152896196748</c:v>
                </c:pt>
                <c:pt idx="33">
                  <c:v>-37.624274906033705</c:v>
                </c:pt>
                <c:pt idx="34">
                  <c:v>-35.225363044075671</c:v>
                </c:pt>
                <c:pt idx="35">
                  <c:v>-32.909923700262425</c:v>
                </c:pt>
                <c:pt idx="36">
                  <c:v>-30.6928998134604</c:v>
                </c:pt>
                <c:pt idx="37">
                  <c:v>-28.585465155690059</c:v>
                </c:pt>
                <c:pt idx="38">
                  <c:v>-26.598878115069297</c:v>
                </c:pt>
                <c:pt idx="39">
                  <c:v>-24.737878390015869</c:v>
                </c:pt>
                <c:pt idx="40">
                  <c:v>-23.006991850529499</c:v>
                </c:pt>
                <c:pt idx="41">
                  <c:v>-21.407608671177979</c:v>
                </c:pt>
                <c:pt idx="42">
                  <c:v>-19.939654943396448</c:v>
                </c:pt>
                <c:pt idx="43">
                  <c:v>-18.601017232180808</c:v>
                </c:pt>
                <c:pt idx="44">
                  <c:v>-17.38933644963943</c:v>
                </c:pt>
                <c:pt idx="45">
                  <c:v>-16.300941512966279</c:v>
                </c:pt>
                <c:pt idx="46">
                  <c:v>-15.33222019413166</c:v>
                </c:pt>
                <c:pt idx="47">
                  <c:v>-14.478972301969412</c:v>
                </c:pt>
                <c:pt idx="48">
                  <c:v>-13.73744885568137</c:v>
                </c:pt>
                <c:pt idx="49">
                  <c:v>-13.103697712409911</c:v>
                </c:pt>
                <c:pt idx="50">
                  <c:v>-12.574388186625349</c:v>
                </c:pt>
                <c:pt idx="51">
                  <c:v>-12.146390474030637</c:v>
                </c:pt>
                <c:pt idx="52">
                  <c:v>-11.817302045034797</c:v>
                </c:pt>
                <c:pt idx="53">
                  <c:v>-11.585061602939954</c:v>
                </c:pt>
                <c:pt idx="54">
                  <c:v>-11.448249764154616</c:v>
                </c:pt>
                <c:pt idx="55">
                  <c:v>-11.405814146613718</c:v>
                </c:pt>
                <c:pt idx="56">
                  <c:v>-11.457636982901768</c:v>
                </c:pt>
                <c:pt idx="57">
                  <c:v>-11.604081849773838</c:v>
                </c:pt>
                <c:pt idx="58">
                  <c:v>-11.845970878594281</c:v>
                </c:pt>
                <c:pt idx="59">
                  <c:v>-12.185016281613992</c:v>
                </c:pt>
                <c:pt idx="60">
                  <c:v>-12.623150470592169</c:v>
                </c:pt>
                <c:pt idx="61">
                  <c:v>-13.163035716437118</c:v>
                </c:pt>
                <c:pt idx="62">
                  <c:v>-13.808147933904554</c:v>
                </c:pt>
                <c:pt idx="63">
                  <c:v>-14.561407653815088</c:v>
                </c:pt>
                <c:pt idx="64">
                  <c:v>-15.427256310498613</c:v>
                </c:pt>
                <c:pt idx="65">
                  <c:v>-16.409473345199654</c:v>
                </c:pt>
                <c:pt idx="66">
                  <c:v>-17.512246488127701</c:v>
                </c:pt>
                <c:pt idx="67">
                  <c:v>-18.739365470626954</c:v>
                </c:pt>
                <c:pt idx="68">
                  <c:v>-20.094769141472089</c:v>
                </c:pt>
                <c:pt idx="69">
                  <c:v>-21.580997796415687</c:v>
                </c:pt>
                <c:pt idx="70">
                  <c:v>-23.200220024419512</c:v>
                </c:pt>
                <c:pt idx="71">
                  <c:v>-24.952580186865291</c:v>
                </c:pt>
                <c:pt idx="72">
                  <c:v>-26.837130021091635</c:v>
                </c:pt>
                <c:pt idx="73">
                  <c:v>-28.849872201984805</c:v>
                </c:pt>
                <c:pt idx="74">
                  <c:v>-30.98521780318903</c:v>
                </c:pt>
                <c:pt idx="75">
                  <c:v>-33.233892158786858</c:v>
                </c:pt>
                <c:pt idx="76">
                  <c:v>-35.584458714117069</c:v>
                </c:pt>
                <c:pt idx="77">
                  <c:v>-38.021181612073043</c:v>
                </c:pt>
                <c:pt idx="78">
                  <c:v>-40.526346404772475</c:v>
                </c:pt>
                <c:pt idx="79">
                  <c:v>-43.078226533287364</c:v>
                </c:pt>
                <c:pt idx="80">
                  <c:v>-45.659372190249243</c:v>
                </c:pt>
                <c:pt idx="81">
                  <c:v>-48.243572351398313</c:v>
                </c:pt>
                <c:pt idx="82">
                  <c:v>-50.810010509992324</c:v>
                </c:pt>
                <c:pt idx="83">
                  <c:v>-53.335292444728317</c:v>
                </c:pt>
                <c:pt idx="84">
                  <c:v>-55.801596965740437</c:v>
                </c:pt>
                <c:pt idx="85">
                  <c:v>-58.190211594512803</c:v>
                </c:pt>
                <c:pt idx="86">
                  <c:v>-60.487119053477869</c:v>
                </c:pt>
                <c:pt idx="87">
                  <c:v>-62.682184495143133</c:v>
                </c:pt>
                <c:pt idx="88">
                  <c:v>-64.765122117466234</c:v>
                </c:pt>
                <c:pt idx="89">
                  <c:v>-66.732383885551187</c:v>
                </c:pt>
                <c:pt idx="90">
                  <c:v>-68.580582771338058</c:v>
                </c:pt>
                <c:pt idx="91">
                  <c:v>-70.309576191963984</c:v>
                </c:pt>
                <c:pt idx="92">
                  <c:v>-71.920726808951784</c:v>
                </c:pt>
                <c:pt idx="93">
                  <c:v>-73.417581254149781</c:v>
                </c:pt>
                <c:pt idx="94">
                  <c:v>-73.774222921121918</c:v>
                </c:pt>
                <c:pt idx="95">
                  <c:v>-73.951064108245859</c:v>
                </c:pt>
                <c:pt idx="96">
                  <c:v>-74.124193635033336</c:v>
                </c:pt>
                <c:pt idx="97">
                  <c:v>-74.297612115800789</c:v>
                </c:pt>
                <c:pt idx="98">
                  <c:v>-74.467378322704008</c:v>
                </c:pt>
                <c:pt idx="99">
                  <c:v>-74.63745774328396</c:v>
                </c:pt>
                <c:pt idx="100">
                  <c:v>-74.803942600125936</c:v>
                </c:pt>
                <c:pt idx="101">
                  <c:v>-74.97063569338826</c:v>
                </c:pt>
                <c:pt idx="102">
                  <c:v>-75.133795714120325</c:v>
                </c:pt>
                <c:pt idx="103">
                  <c:v>-75.297304734134585</c:v>
                </c:pt>
                <c:pt idx="104">
                  <c:v>-75.457335441968482</c:v>
                </c:pt>
                <c:pt idx="105">
                  <c:v>-75.617609636101619</c:v>
                </c:pt>
                <c:pt idx="106">
                  <c:v>-75.774464121288048</c:v>
                </c:pt>
                <c:pt idx="107">
                  <c:v>-75.931466518843095</c:v>
                </c:pt>
                <c:pt idx="108">
                  <c:v>-76.085111117182564</c:v>
                </c:pt>
                <c:pt idx="109">
                  <c:v>-76.238920905908785</c:v>
                </c:pt>
                <c:pt idx="110">
                  <c:v>-76.389433189275763</c:v>
                </c:pt>
                <c:pt idx="111">
                  <c:v>-76.540222608993403</c:v>
                </c:pt>
                <c:pt idx="112">
                  <c:v>-76.687769162616405</c:v>
                </c:pt>
                <c:pt idx="113">
                  <c:v>-76.835498270409943</c:v>
                </c:pt>
                <c:pt idx="114">
                  <c:v>-76.98004246468858</c:v>
                </c:pt>
                <c:pt idx="115">
                  <c:v>-77.124774649324735</c:v>
                </c:pt>
                <c:pt idx="116">
                  <c:v>-77.266378781346418</c:v>
                </c:pt>
                <c:pt idx="117">
                  <c:v>-77.408173212579257</c:v>
                </c:pt>
                <c:pt idx="118">
                  <c:v>-77.546895498017932</c:v>
                </c:pt>
                <c:pt idx="119">
                  <c:v>-77.685724388694368</c:v>
                </c:pt>
                <c:pt idx="120">
                  <c:v>-77.82153980243794</c:v>
                </c:pt>
                <c:pt idx="121">
                  <c:v>-77.957466141051597</c:v>
                </c:pt>
                <c:pt idx="122">
                  <c:v>-78.090436529596957</c:v>
                </c:pt>
                <c:pt idx="123">
                  <c:v>-78.223595896225945</c:v>
                </c:pt>
                <c:pt idx="124">
                  <c:v>-78.353852507632951</c:v>
                </c:pt>
                <c:pt idx="125">
                  <c:v>-78.48421818408741</c:v>
                </c:pt>
                <c:pt idx="126">
                  <c:v>-78.611736923511131</c:v>
                </c:pt>
                <c:pt idx="127">
                  <c:v>-78.739362594691244</c:v>
                </c:pt>
                <c:pt idx="128">
                  <c:v>-78.864196294355139</c:v>
                </c:pt>
                <c:pt idx="129">
                  <c:v>-78.989133155564645</c:v>
                </c:pt>
                <c:pt idx="130">
                  <c:v>-79.111332231794179</c:v>
                </c:pt>
                <c:pt idx="131">
                  <c:v>-79.233629309050258</c:v>
                </c:pt>
                <c:pt idx="132">
                  <c:v>-79.293765743718922</c:v>
                </c:pt>
                <c:pt idx="133">
                  <c:v>-79.353242070802025</c:v>
                </c:pt>
                <c:pt idx="134">
                  <c:v>-79.413459574024543</c:v>
                </c:pt>
                <c:pt idx="135">
                  <c:v>-79.473007618341697</c:v>
                </c:pt>
                <c:pt idx="136">
                  <c:v>-79.531897175278189</c:v>
                </c:pt>
                <c:pt idx="137">
                  <c:v>-79.590138980797391</c:v>
                </c:pt>
                <c:pt idx="138">
                  <c:v>-79.649044067723906</c:v>
                </c:pt>
                <c:pt idx="139">
                  <c:v>-79.707293641758184</c:v>
                </c:pt>
                <c:pt idx="140">
                  <c:v>-79.764898462164709</c:v>
                </c:pt>
                <c:pt idx="141">
                  <c:v>-79.821869056722889</c:v>
                </c:pt>
                <c:pt idx="142">
                  <c:v>-79.8795444100531</c:v>
                </c:pt>
                <c:pt idx="143">
                  <c:v>-79.936576712166612</c:v>
                </c:pt>
                <c:pt idx="144">
                  <c:v>-79.992976543216088</c:v>
                </c:pt>
                <c:pt idx="145">
                  <c:v>-80.048754255053268</c:v>
                </c:pt>
                <c:pt idx="146">
                  <c:v>-80.10519067005707</c:v>
                </c:pt>
                <c:pt idx="147">
                  <c:v>-80.160997029376091</c:v>
                </c:pt>
                <c:pt idx="148">
                  <c:v>-80.216183717829651</c:v>
                </c:pt>
                <c:pt idx="149">
                  <c:v>-80.270760895637849</c:v>
                </c:pt>
                <c:pt idx="150">
                  <c:v>-80.325979527902149</c:v>
                </c:pt>
                <c:pt idx="151">
                  <c:v>-80.380580960721829</c:v>
                </c:pt>
                <c:pt idx="152">
                  <c:v>-80.434575383900807</c:v>
                </c:pt>
                <c:pt idx="153">
                  <c:v>-80.487972766388665</c:v>
                </c:pt>
                <c:pt idx="154">
                  <c:v>-80.542019040421053</c:v>
                </c:pt>
                <c:pt idx="155">
                  <c:v>-80.595460283606769</c:v>
                </c:pt>
                <c:pt idx="156">
                  <c:v>-80.648306504688676</c:v>
                </c:pt>
                <c:pt idx="157">
                  <c:v>-80.700567494949354</c:v>
                </c:pt>
                <c:pt idx="158">
                  <c:v>-80.753458489365173</c:v>
                </c:pt>
                <c:pt idx="159">
                  <c:v>-80.805756552868701</c:v>
                </c:pt>
                <c:pt idx="160">
                  <c:v>-80.857471511942236</c:v>
                </c:pt>
                <c:pt idx="161">
                  <c:v>-80.908612979085177</c:v>
                </c:pt>
                <c:pt idx="162">
                  <c:v>-80.960343120401575</c:v>
                </c:pt>
                <c:pt idx="163">
                  <c:v>-81.01149286405807</c:v>
                </c:pt>
                <c:pt idx="164">
                  <c:v>-81.062071840659669</c:v>
                </c:pt>
                <c:pt idx="165">
                  <c:v>-81.112089470747961</c:v>
                </c:pt>
                <c:pt idx="166">
                  <c:v>-81.162721949705286</c:v>
                </c:pt>
                <c:pt idx="167">
                  <c:v>-81.212785459005119</c:v>
                </c:pt>
                <c:pt idx="168">
                  <c:v>-81.262289457957593</c:v>
                </c:pt>
                <c:pt idx="169">
                  <c:v>-81.311243199064066</c:v>
                </c:pt>
                <c:pt idx="170">
                  <c:v>-81.360688763376459</c:v>
                </c:pt>
                <c:pt idx="171">
                  <c:v>-81.409579079055973</c:v>
                </c:pt>
                <c:pt idx="172">
                  <c:v>-81.457923374371305</c:v>
                </c:pt>
                <c:pt idx="173">
                  <c:v>-81.505730675819436</c:v>
                </c:pt>
                <c:pt idx="174">
                  <c:v>-81.554194975005046</c:v>
                </c:pt>
                <c:pt idx="175">
                  <c:v>-81.602113450423374</c:v>
                </c:pt>
                <c:pt idx="176">
                  <c:v>-81.649495203338162</c:v>
                </c:pt>
                <c:pt idx="177">
                  <c:v>-81.696349135299172</c:v>
                </c:pt>
                <c:pt idx="178">
                  <c:v>-81.743816867634052</c:v>
                </c:pt>
                <c:pt idx="179">
                  <c:v>-81.790748801057603</c:v>
                </c:pt>
                <c:pt idx="180">
                  <c:v>-81.837153892619739</c:v>
                </c:pt>
                <c:pt idx="181">
                  <c:v>-81.883040902249562</c:v>
                </c:pt>
                <c:pt idx="182">
                  <c:v>-81.929320808859643</c:v>
                </c:pt>
                <c:pt idx="183">
                  <c:v>-81.975079509360043</c:v>
                </c:pt>
                <c:pt idx="184">
                  <c:v>-82.02032569998903</c:v>
                </c:pt>
                <c:pt idx="185">
                  <c:v>-82.065067885908903</c:v>
                </c:pt>
                <c:pt idx="186">
                  <c:v>-82.11052208389296</c:v>
                </c:pt>
                <c:pt idx="187">
                  <c:v>-82.155461832483724</c:v>
                </c:pt>
                <c:pt idx="188">
                  <c:v>-82.199895760227847</c:v>
                </c:pt>
                <c:pt idx="189">
                  <c:v>-82.243832305033706</c:v>
                </c:pt>
                <c:pt idx="190">
                  <c:v>-82.28810416526882</c:v>
                </c:pt>
                <c:pt idx="191">
                  <c:v>-82.33187658850575</c:v>
                </c:pt>
                <c:pt idx="192">
                  <c:v>-82.37515792683368</c:v>
                </c:pt>
                <c:pt idx="193">
                  <c:v>-82.417956348296244</c:v>
                </c:pt>
                <c:pt idx="194">
                  <c:v>-82.461383129120136</c:v>
                </c:pt>
                <c:pt idx="195">
                  <c:v>-82.504318195577042</c:v>
                </c:pt>
                <c:pt idx="196">
                  <c:v>-82.546769803143633</c:v>
                </c:pt>
                <c:pt idx="197">
                  <c:v>-82.588746024611822</c:v>
                </c:pt>
                <c:pt idx="198">
                  <c:v>-82.631158533332751</c:v>
                </c:pt>
                <c:pt idx="199">
                  <c:v>-82.673091090937632</c:v>
                </c:pt>
                <c:pt idx="200">
                  <c:v>-82.714551752906871</c:v>
                </c:pt>
                <c:pt idx="201">
                  <c:v>-82.755548396467859</c:v>
                </c:pt>
                <c:pt idx="202">
                  <c:v>-82.796952508820254</c:v>
                </c:pt>
                <c:pt idx="203">
                  <c:v>-82.837888568284782</c:v>
                </c:pt>
                <c:pt idx="204">
                  <c:v>-82.878364424521536</c:v>
                </c:pt>
                <c:pt idx="205">
                  <c:v>-82.918387753581285</c:v>
                </c:pt>
                <c:pt idx="206">
                  <c:v>-82.958929245639737</c:v>
                </c:pt>
                <c:pt idx="207">
                  <c:v>-82.999011559500985</c:v>
                </c:pt>
                <c:pt idx="208">
                  <c:v>-83.038642412514108</c:v>
                </c:pt>
                <c:pt idx="209">
                  <c:v>-83.07782935093887</c:v>
                </c:pt>
                <c:pt idx="210">
                  <c:v>-83.117631732675122</c:v>
                </c:pt>
                <c:pt idx="211">
                  <c:v>-83.156981238582929</c:v>
                </c:pt>
                <c:pt idx="212">
                  <c:v>-83.195885516601876</c:v>
                </c:pt>
                <c:pt idx="213">
                  <c:v>-83.234352044271915</c:v>
                </c:pt>
                <c:pt idx="214">
                  <c:v>-83.273142001503956</c:v>
                </c:pt>
                <c:pt idx="215">
                  <c:v>-83.311491773500194</c:v>
                </c:pt>
                <c:pt idx="216">
                  <c:v>-83.34940877591977</c:v>
                </c:pt>
                <c:pt idx="217">
                  <c:v>-83.386900259557123</c:v>
                </c:pt>
                <c:pt idx="218">
                  <c:v>-83.424813804532107</c:v>
                </c:pt>
                <c:pt idx="219">
                  <c:v>-83.462297039517338</c:v>
                </c:pt>
                <c:pt idx="220">
                  <c:v>-83.499357216517495</c:v>
                </c:pt>
                <c:pt idx="221">
                  <c:v>-83.536001426216174</c:v>
                </c:pt>
                <c:pt idx="222">
                  <c:v>-83.573039784408536</c:v>
                </c:pt>
                <c:pt idx="223">
                  <c:v>-83.609657911218989</c:v>
                </c:pt>
                <c:pt idx="224">
                  <c:v>-83.645862887790287</c:v>
                </c:pt>
                <c:pt idx="225">
                  <c:v>-83.681661637734962</c:v>
                </c:pt>
                <c:pt idx="226">
                  <c:v>-83.717938112548879</c:v>
                </c:pt>
                <c:pt idx="227">
                  <c:v>-83.753802098780511</c:v>
                </c:pt>
                <c:pt idx="228">
                  <c:v>-83.789260563582204</c:v>
                </c:pt>
                <c:pt idx="229">
                  <c:v>-83.824320318715948</c:v>
                </c:pt>
                <c:pt idx="230">
                  <c:v>-83.894927694594401</c:v>
                </c:pt>
                <c:pt idx="231">
                  <c:v>-83.92963170043916</c:v>
                </c:pt>
                <c:pt idx="232">
                  <c:v>-83.963944887223164</c:v>
                </c:pt>
                <c:pt idx="233">
                  <c:v>-83.998674612094561</c:v>
                </c:pt>
                <c:pt idx="234">
                  <c:v>-84.033008455818063</c:v>
                </c:pt>
                <c:pt idx="235">
                  <c:v>-84.066953123956964</c:v>
                </c:pt>
                <c:pt idx="236">
                  <c:v>-84.10051517204343</c:v>
                </c:pt>
                <c:pt idx="237">
                  <c:v>-84.134370495434055</c:v>
                </c:pt>
                <c:pt idx="238">
                  <c:v>-84.16784084216799</c:v>
                </c:pt>
                <c:pt idx="239">
                  <c:v>-84.200932718448882</c:v>
                </c:pt>
                <c:pt idx="240">
                  <c:v>-84.233652485210229</c:v>
                </c:pt>
                <c:pt idx="241">
                  <c:v>-84.26682884890856</c:v>
                </c:pt>
                <c:pt idx="242">
                  <c:v>-84.299626931717924</c:v>
                </c:pt>
                <c:pt idx="243">
                  <c:v>-84.332053144978516</c:v>
                </c:pt>
                <c:pt idx="244">
                  <c:v>-84.364113756447566</c:v>
                </c:pt>
                <c:pt idx="245">
                  <c:v>-84.396513387214185</c:v>
                </c:pt>
                <c:pt idx="246">
                  <c:v>-84.428543833062491</c:v>
                </c:pt>
                <c:pt idx="247">
                  <c:v>-84.460211348090652</c:v>
                </c:pt>
                <c:pt idx="248">
                  <c:v>-84.491522046382684</c:v>
                </c:pt>
                <c:pt idx="249">
                  <c:v>-84.523232691085667</c:v>
                </c:pt>
                <c:pt idx="250">
                  <c:v>-84.554581455771967</c:v>
                </c:pt>
                <c:pt idx="251">
                  <c:v>-84.585574480899936</c:v>
                </c:pt>
                <c:pt idx="252">
                  <c:v>-84.616217769211431</c:v>
                </c:pt>
                <c:pt idx="253">
                  <c:v>-84.647154773313929</c:v>
                </c:pt>
                <c:pt idx="254">
                  <c:v>-84.677739309052967</c:v>
                </c:pt>
                <c:pt idx="255">
                  <c:v>-84.707977348201638</c:v>
                </c:pt>
                <c:pt idx="256">
                  <c:v>-84.737874728781449</c:v>
                </c:pt>
                <c:pt idx="257">
                  <c:v>-84.768198624056964</c:v>
                </c:pt>
                <c:pt idx="258">
                  <c:v>-84.798176013354734</c:v>
                </c:pt>
                <c:pt idx="259">
                  <c:v>-84.827812785495667</c:v>
                </c:pt>
                <c:pt idx="260">
                  <c:v>-84.857114696985775</c:v>
                </c:pt>
                <c:pt idx="261">
                  <c:v>-84.886742062716365</c:v>
                </c:pt>
                <c:pt idx="262">
                  <c:v>-84.9160309451008</c:v>
                </c:pt>
                <c:pt idx="263">
                  <c:v>-84.944987096275923</c:v>
                </c:pt>
                <c:pt idx="264">
                  <c:v>-84.973616139125539</c:v>
                </c:pt>
                <c:pt idx="265">
                  <c:v>-85.002549013430482</c:v>
                </c:pt>
                <c:pt idx="266">
                  <c:v>-85.031151563527075</c:v>
                </c:pt>
                <c:pt idx="267">
                  <c:v>-85.05942939978226</c:v>
                </c:pt>
                <c:pt idx="268">
                  <c:v>-85.087388006550057</c:v>
                </c:pt>
                <c:pt idx="269">
                  <c:v>-85.115696654760654</c:v>
                </c:pt>
                <c:pt idx="270">
                  <c:v>-85.143681719408931</c:v>
                </c:pt>
                <c:pt idx="271">
                  <c:v>-85.171348703542336</c:v>
                </c:pt>
                <c:pt idx="272">
                  <c:v>-85.198702986430902</c:v>
                </c:pt>
                <c:pt idx="273">
                  <c:v>-85.226384055291604</c:v>
                </c:pt>
                <c:pt idx="274">
                  <c:v>-85.253748521340952</c:v>
                </c:pt>
                <c:pt idx="275">
                  <c:v>-85.280801772767347</c:v>
                </c:pt>
                <c:pt idx="276">
                  <c:v>-85.307549076465591</c:v>
                </c:pt>
                <c:pt idx="277">
                  <c:v>-85.334540863777079</c:v>
                </c:pt>
                <c:pt idx="278">
                  <c:v>-85.361224599913342</c:v>
                </c:pt>
                <c:pt idx="279">
                  <c:v>-85.387605516797919</c:v>
                </c:pt>
                <c:pt idx="280">
                  <c:v>-85.413688728805866</c:v>
                </c:pt>
                <c:pt idx="281">
                  <c:v>-85.440173824647516</c:v>
                </c:pt>
                <c:pt idx="282">
                  <c:v>-85.466355438376752</c:v>
                </c:pt>
                <c:pt idx="283">
                  <c:v>-85.492238745417808</c:v>
                </c:pt>
                <c:pt idx="284">
                  <c:v>-85.51782880443011</c:v>
                </c:pt>
                <c:pt idx="285">
                  <c:v>-85.543628160136848</c:v>
                </c:pt>
                <c:pt idx="286">
                  <c:v>-85.569132820720043</c:v>
                </c:pt>
                <c:pt idx="287">
                  <c:v>-85.594347796528453</c:v>
                </c:pt>
                <c:pt idx="288">
                  <c:v>-85.619277985200185</c:v>
                </c:pt>
                <c:pt idx="289">
                  <c:v>-85.644562007561717</c:v>
                </c:pt>
                <c:pt idx="290">
                  <c:v>-85.66955641318448</c:v>
                </c:pt>
                <c:pt idx="291">
                  <c:v>-85.694266140228549</c:v>
                </c:pt>
                <c:pt idx="292">
                  <c:v>-85.718696015439434</c:v>
                </c:pt>
                <c:pt idx="293">
                  <c:v>-85.743405739532733</c:v>
                </c:pt>
                <c:pt idx="294">
                  <c:v>-85.767832405803276</c:v>
                </c:pt>
                <c:pt idx="295">
                  <c:v>-85.791980841330826</c:v>
                </c:pt>
                <c:pt idx="296">
                  <c:v>-85.815855764260377</c:v>
                </c:pt>
                <c:pt idx="297">
                  <c:v>-85.839991912280382</c:v>
                </c:pt>
                <c:pt idx="298">
                  <c:v>-85.863851695545151</c:v>
                </c:pt>
                <c:pt idx="299">
                  <c:v>-85.887439825313365</c:v>
                </c:pt>
                <c:pt idx="300">
                  <c:v>-85.910760906551474</c:v>
                </c:pt>
                <c:pt idx="301">
                  <c:v>-85.93432583597415</c:v>
                </c:pt>
                <c:pt idx="302">
                  <c:v>-85.957621189768489</c:v>
                </c:pt>
                <c:pt idx="303">
                  <c:v>-85.980651559616192</c:v>
                </c:pt>
                <c:pt idx="304">
                  <c:v>-86.003421433682135</c:v>
                </c:pt>
                <c:pt idx="305">
                  <c:v>-86.02650689135308</c:v>
                </c:pt>
                <c:pt idx="306">
                  <c:v>-86.049327616694782</c:v>
                </c:pt>
                <c:pt idx="307">
                  <c:v>-86.071888130133331</c:v>
                </c:pt>
                <c:pt idx="308">
                  <c:v>-86.09419284992434</c:v>
                </c:pt>
                <c:pt idx="309">
                  <c:v>-86.116708143873055</c:v>
                </c:pt>
                <c:pt idx="310">
                  <c:v>-86.138965746509442</c:v>
                </c:pt>
                <c:pt idx="311">
                  <c:v>-86.160970049833836</c:v>
                </c:pt>
                <c:pt idx="312">
                  <c:v>-86.182725346755632</c:v>
                </c:pt>
                <c:pt idx="313">
                  <c:v>-86.204757456369194</c:v>
                </c:pt>
                <c:pt idx="314">
                  <c:v>-86.22653707755677</c:v>
                </c:pt>
                <c:pt idx="315">
                  <c:v>-86.248068519495902</c:v>
                </c:pt>
                <c:pt idx="316">
                  <c:v>-86.26935599400349</c:v>
                </c:pt>
                <c:pt idx="317">
                  <c:v>-86.290901862109209</c:v>
                </c:pt>
                <c:pt idx="318">
                  <c:v>-86.312200640638892</c:v>
                </c:pt>
                <c:pt idx="319">
                  <c:v>-86.33325654985623</c:v>
                </c:pt>
                <c:pt idx="320">
                  <c:v>-86.354073714594094</c:v>
                </c:pt>
                <c:pt idx="321">
                  <c:v>-86.375132067736772</c:v>
                </c:pt>
                <c:pt idx="322">
                  <c:v>-86.39594888660281</c:v>
                </c:pt>
                <c:pt idx="323">
                  <c:v>-86.416528297438603</c:v>
                </c:pt>
                <c:pt idx="324">
                  <c:v>-86.436874333160276</c:v>
                </c:pt>
                <c:pt idx="325">
                  <c:v>-86.457445495412117</c:v>
                </c:pt>
                <c:pt idx="326">
                  <c:v>-86.477780798905087</c:v>
                </c:pt>
                <c:pt idx="327">
                  <c:v>-86.497884271686047</c:v>
                </c:pt>
                <c:pt idx="328">
                  <c:v>-86.517759850715208</c:v>
                </c:pt>
                <c:pt idx="329">
                  <c:v>-86.537878963764896</c:v>
                </c:pt>
                <c:pt idx="330">
                  <c:v>-86.55776721720909</c:v>
                </c:pt>
                <c:pt idx="331">
                  <c:v>-86.577428557070817</c:v>
                </c:pt>
                <c:pt idx="332">
                  <c:v>-86.596866840060699</c:v>
                </c:pt>
                <c:pt idx="333">
                  <c:v>-86.616500539314487</c:v>
                </c:pt>
                <c:pt idx="334">
                  <c:v>-86.635909259482091</c:v>
                </c:pt>
                <c:pt idx="335">
                  <c:v>-86.655096841013957</c:v>
                </c:pt>
                <c:pt idx="336">
                  <c:v>-86.674067037546635</c:v>
                </c:pt>
                <c:pt idx="337">
                  <c:v>-86.69328058330737</c:v>
                </c:pt>
                <c:pt idx="338">
                  <c:v>-86.712273664794893</c:v>
                </c:pt>
                <c:pt idx="339">
                  <c:v>-86.731050050683024</c:v>
                </c:pt>
                <c:pt idx="340">
                  <c:v>-86.749613424330221</c:v>
                </c:pt>
                <c:pt idx="341">
                  <c:v>-86.768403940565832</c:v>
                </c:pt>
                <c:pt idx="342">
                  <c:v>-86.786978682652489</c:v>
                </c:pt>
                <c:pt idx="343">
                  <c:v>-86.805341342064168</c:v>
                </c:pt>
                <c:pt idx="344">
                  <c:v>-86.82349552663598</c:v>
                </c:pt>
                <c:pt idx="345">
                  <c:v>-86.841833921943831</c:v>
                </c:pt>
                <c:pt idx="346">
                  <c:v>-86.859962009780702</c:v>
                </c:pt>
                <c:pt idx="347">
                  <c:v>-86.877883383599425</c:v>
                </c:pt>
                <c:pt idx="348">
                  <c:v>-86.89560155553211</c:v>
                </c:pt>
                <c:pt idx="349">
                  <c:v>-86.913544769624963</c:v>
                </c:pt>
                <c:pt idx="350">
                  <c:v>-86.931281957848881</c:v>
                </c:pt>
                <c:pt idx="351">
                  <c:v>-86.948816644919887</c:v>
                </c:pt>
                <c:pt idx="352">
                  <c:v>-86.966152275685715</c:v>
                </c:pt>
                <c:pt idx="353">
                  <c:v>-86.983697953337881</c:v>
                </c:pt>
                <c:pt idx="354">
                  <c:v>-87.001042043742117</c:v>
                </c:pt>
                <c:pt idx="355">
                  <c:v>-87.018187997973442</c:v>
                </c:pt>
                <c:pt idx="356">
                  <c:v>-87.035139188852085</c:v>
                </c:pt>
                <c:pt idx="357">
                  <c:v>-87.052262205725</c:v>
                </c:pt>
                <c:pt idx="358">
                  <c:v>-87.069188753322621</c:v>
                </c:pt>
                <c:pt idx="359">
                  <c:v>-87.085922190791777</c:v>
                </c:pt>
                <c:pt idx="360">
                  <c:v>-87.102465801202754</c:v>
                </c:pt>
                <c:pt idx="361">
                  <c:v>-87.119216055126074</c:v>
                </c:pt>
                <c:pt idx="362">
                  <c:v>-87.135773925572636</c:v>
                </c:pt>
                <c:pt idx="363">
                  <c:v>-87.152142705219049</c:v>
                </c:pt>
                <c:pt idx="364">
                  <c:v>-87.168325612091593</c:v>
                </c:pt>
                <c:pt idx="365">
                  <c:v>-87.184679299464989</c:v>
                </c:pt>
                <c:pt idx="366">
                  <c:v>-87.200845331551236</c:v>
                </c:pt>
                <c:pt idx="367">
                  <c:v>-87.216826917276833</c:v>
                </c:pt>
                <c:pt idx="368">
                  <c:v>-87.232627192877644</c:v>
                </c:pt>
                <c:pt idx="369">
                  <c:v>-87.248629077033584</c:v>
                </c:pt>
                <c:pt idx="370">
                  <c:v>-87.264447112610682</c:v>
                </c:pt>
                <c:pt idx="371">
                  <c:v>-87.280084447473726</c:v>
                </c:pt>
                <c:pt idx="372">
                  <c:v>-87.295544158086457</c:v>
                </c:pt>
                <c:pt idx="373">
                  <c:v>-87.31117188573829</c:v>
                </c:pt>
                <c:pt idx="374">
                  <c:v>-87.326620175386111</c:v>
                </c:pt>
                <c:pt idx="375">
                  <c:v>-87.341892097581436</c:v>
                </c:pt>
                <c:pt idx="376">
                  <c:v>-87.356990653266266</c:v>
                </c:pt>
                <c:pt idx="377">
                  <c:v>-87.372284527033358</c:v>
                </c:pt>
                <c:pt idx="378">
                  <c:v>-87.387402547666525</c:v>
                </c:pt>
                <c:pt idx="379">
                  <c:v>-87.402347728706573</c:v>
                </c:pt>
                <c:pt idx="380">
                  <c:v>-87.41712301527717</c:v>
                </c:pt>
                <c:pt idx="381">
                  <c:v>-87.43204382648787</c:v>
                </c:pt>
                <c:pt idx="382">
                  <c:v>-87.446793355151641</c:v>
                </c:pt>
                <c:pt idx="383">
                  <c:v>-87.461374531797446</c:v>
                </c:pt>
                <c:pt idx="384">
                  <c:v>-87.475790220525511</c:v>
                </c:pt>
                <c:pt idx="385">
                  <c:v>-87.490394412744962</c:v>
                </c:pt>
                <c:pt idx="386">
                  <c:v>-87.504830697069735</c:v>
                </c:pt>
                <c:pt idx="387">
                  <c:v>-87.51910195080751</c:v>
                </c:pt>
                <c:pt idx="388">
                  <c:v>-87.533210985939519</c:v>
                </c:pt>
                <c:pt idx="389">
                  <c:v>-87.547479184177007</c:v>
                </c:pt>
                <c:pt idx="390">
                  <c:v>-87.561583375883501</c:v>
                </c:pt>
                <c:pt idx="391">
                  <c:v>-87.575526370940267</c:v>
                </c:pt>
                <c:pt idx="392">
                  <c:v>-87.589310915444045</c:v>
                </c:pt>
                <c:pt idx="393">
                  <c:v>-87.603244009161315</c:v>
                </c:pt>
                <c:pt idx="394">
                  <c:v>-87.617017064975073</c:v>
                </c:pt>
                <c:pt idx="395">
                  <c:v>-87.630632822861642</c:v>
                </c:pt>
                <c:pt idx="396">
                  <c:v>-87.644093960641214</c:v>
                </c:pt>
                <c:pt idx="397">
                  <c:v>-87.657724339349642</c:v>
                </c:pt>
                <c:pt idx="398">
                  <c:v>-87.671197993923627</c:v>
                </c:pt>
                <c:pt idx="399">
                  <c:v>-87.684517610458585</c:v>
                </c:pt>
                <c:pt idx="400">
                  <c:v>-87.697685814049876</c:v>
                </c:pt>
                <c:pt idx="401">
                  <c:v>-87.710997362889998</c:v>
                </c:pt>
                <c:pt idx="402">
                  <c:v>-87.724155949809884</c:v>
                </c:pt>
                <c:pt idx="403">
                  <c:v>-87.737164194851232</c:v>
                </c:pt>
                <c:pt idx="404">
                  <c:v>-87.750024658589808</c:v>
                </c:pt>
                <c:pt idx="405">
                  <c:v>-87.763032863604337</c:v>
                </c:pt>
                <c:pt idx="406">
                  <c:v>-87.775891597098095</c:v>
                </c:pt>
                <c:pt idx="407">
                  <c:v>-87.788603419308529</c:v>
                </c:pt>
                <c:pt idx="408">
                  <c:v>-87.801170832363454</c:v>
                </c:pt>
                <c:pt idx="409">
                  <c:v>-87.813889463680766</c:v>
                </c:pt>
                <c:pt idx="410">
                  <c:v>-87.826461877400291</c:v>
                </c:pt>
                <c:pt idx="411">
                  <c:v>-87.838890579333466</c:v>
                </c:pt>
                <c:pt idx="412">
                  <c:v>-87.851178018386619</c:v>
                </c:pt>
                <c:pt idx="413">
                  <c:v>-87.863606591769056</c:v>
                </c:pt>
                <c:pt idx="414">
                  <c:v>-87.875892288151135</c:v>
                </c:pt>
                <c:pt idx="415">
                  <c:v>-87.888037556046456</c:v>
                </c:pt>
                <c:pt idx="416">
                  <c:v>-87.900044788364539</c:v>
                </c:pt>
                <c:pt idx="417">
                  <c:v>-87.912195897717822</c:v>
                </c:pt>
                <c:pt idx="418">
                  <c:v>-87.924207257594347</c:v>
                </c:pt>
                <c:pt idx="419">
                  <c:v>-87.9360812640207</c:v>
                </c:pt>
                <c:pt idx="420">
                  <c:v>-87.94782025858521</c:v>
                </c:pt>
                <c:pt idx="421">
                  <c:v>-87.959681925096888</c:v>
                </c:pt>
                <c:pt idx="422">
                  <c:v>-87.971407316689678</c:v>
                </c:pt>
                <c:pt idx="423">
                  <c:v>-87.982998767384274</c:v>
                </c:pt>
                <c:pt idx="424">
                  <c:v>-87.994458558225858</c:v>
                </c:pt>
                <c:pt idx="425">
                  <c:v>-88.006066104080276</c:v>
                </c:pt>
                <c:pt idx="426">
                  <c:v>-88.017540115223127</c:v>
                </c:pt>
                <c:pt idx="427">
                  <c:v>-88.028882881844368</c:v>
                </c:pt>
                <c:pt idx="428">
                  <c:v>-88.040096642081977</c:v>
                </c:pt>
                <c:pt idx="429">
                  <c:v>-88.051437711718208</c:v>
                </c:pt>
                <c:pt idx="430">
                  <c:v>-88.062648336506911</c:v>
                </c:pt>
                <c:pt idx="431">
                  <c:v>-88.073730753272216</c:v>
                </c:pt>
                <c:pt idx="432">
                  <c:v>-88.084687148006623</c:v>
                </c:pt>
                <c:pt idx="433">
                  <c:v>-88.095762359155927</c:v>
                </c:pt>
                <c:pt idx="434">
                  <c:v>-88.106710270628696</c:v>
                </c:pt>
                <c:pt idx="435">
                  <c:v>-88.11753306386791</c:v>
                </c:pt>
                <c:pt idx="436">
                  <c:v>-88.128232870775491</c:v>
                </c:pt>
                <c:pt idx="437">
                  <c:v>-88.139062886814088</c:v>
                </c:pt>
                <c:pt idx="438">
                  <c:v>-88.149768343832761</c:v>
                </c:pt>
                <c:pt idx="439">
                  <c:v>-88.160351377669315</c:v>
                </c:pt>
                <c:pt idx="440">
                  <c:v>-88.170814075624548</c:v>
                </c:pt>
                <c:pt idx="441">
                  <c:v>-88.181398297334567</c:v>
                </c:pt>
                <c:pt idx="442">
                  <c:v>-88.191860778379436</c:v>
                </c:pt>
                <c:pt idx="443">
                  <c:v>-88.202203606449899</c:v>
                </c:pt>
                <c:pt idx="444">
                  <c:v>-88.212428821789047</c:v>
                </c:pt>
                <c:pt idx="445">
                  <c:v>-88.222767454287037</c:v>
                </c:pt>
                <c:pt idx="446">
                  <c:v>-88.232987223874701</c:v>
                </c:pt>
                <c:pt idx="447">
                  <c:v>-88.243090168021425</c:v>
                </c:pt>
                <c:pt idx="448">
                  <c:v>-88.253078277909424</c:v>
                </c:pt>
                <c:pt idx="449">
                  <c:v>-88.263189066459162</c:v>
                </c:pt>
                <c:pt idx="450">
                  <c:v>-88.273183526888772</c:v>
                </c:pt>
                <c:pt idx="451">
                  <c:v>-88.283063654692015</c:v>
                </c:pt>
                <c:pt idx="452">
                  <c:v>-88.292831399995109</c:v>
                </c:pt>
                <c:pt idx="453">
                  <c:v>-88.302705604876721</c:v>
                </c:pt>
                <c:pt idx="454">
                  <c:v>-88.312466276344708</c:v>
                </c:pt>
                <c:pt idx="455">
                  <c:v>-88.322115360739758</c:v>
                </c:pt>
                <c:pt idx="456">
                  <c:v>-88.331654760179276</c:v>
                </c:pt>
                <c:pt idx="457">
                  <c:v>-88.341308865193596</c:v>
                </c:pt>
                <c:pt idx="458">
                  <c:v>-88.350851915078337</c:v>
                </c:pt>
                <c:pt idx="459">
                  <c:v>-88.360285814607366</c:v>
                </c:pt>
                <c:pt idx="460">
                  <c:v>-88.36961242525436</c:v>
                </c:pt>
                <c:pt idx="461">
                  <c:v>-88.379046089379429</c:v>
                </c:pt>
                <c:pt idx="462">
                  <c:v>-88.388371241884457</c:v>
                </c:pt>
                <c:pt idx="463">
                  <c:v>-88.39758974381057</c:v>
                </c:pt>
                <c:pt idx="464">
                  <c:v>-88.406703413894718</c:v>
                </c:pt>
                <c:pt idx="465">
                  <c:v>-88.415923994236891</c:v>
                </c:pt>
                <c:pt idx="466">
                  <c:v>-88.425038495175443</c:v>
                </c:pt>
                <c:pt idx="467">
                  <c:v>-88.434048736380092</c:v>
                </c:pt>
                <c:pt idx="468">
                  <c:v>-88.442956496148653</c:v>
                </c:pt>
                <c:pt idx="469">
                  <c:v>-88.451964033500673</c:v>
                </c:pt>
                <c:pt idx="470">
                  <c:v>-88.460867978296221</c:v>
                </c:pt>
                <c:pt idx="471">
                  <c:v>-88.469670106955093</c:v>
                </c:pt>
                <c:pt idx="472">
                  <c:v>-88.47837215552137</c:v>
                </c:pt>
                <c:pt idx="473">
                  <c:v>-88.487180092443765</c:v>
                </c:pt>
                <c:pt idx="474">
                  <c:v>-88.495886670802989</c:v>
                </c:pt>
                <c:pt idx="475">
                  <c:v>-88.504493629779091</c:v>
                </c:pt>
                <c:pt idx="476">
                  <c:v>-88.513002668998254</c:v>
                </c:pt>
                <c:pt idx="477">
                  <c:v>-88.521610530519993</c:v>
                </c:pt>
                <c:pt idx="478">
                  <c:v>-88.530119330433905</c:v>
                </c:pt>
                <c:pt idx="479">
                  <c:v>-88.538530768618173</c:v>
                </c:pt>
                <c:pt idx="480">
                  <c:v>-88.546846506287849</c:v>
                </c:pt>
                <c:pt idx="481">
                  <c:v>-88.555254471373956</c:v>
                </c:pt>
                <c:pt idx="482">
                  <c:v>-88.563565719880415</c:v>
                </c:pt>
                <c:pt idx="483">
                  <c:v>-88.571781910701816</c:v>
                </c:pt>
                <c:pt idx="484">
                  <c:v>-88.579904665018276</c:v>
                </c:pt>
                <c:pt idx="485">
                  <c:v>-88.588119054212413</c:v>
                </c:pt>
                <c:pt idx="486">
                  <c:v>-88.596238978915451</c:v>
                </c:pt>
                <c:pt idx="487">
                  <c:v>-88.604266058976506</c:v>
                </c:pt>
                <c:pt idx="488">
                  <c:v>-88.612201877427054</c:v>
                </c:pt>
                <c:pt idx="489">
                  <c:v>-88.620233838986891</c:v>
                </c:pt>
                <c:pt idx="490">
                  <c:v>-88.628173382848345</c:v>
                </c:pt>
                <c:pt idx="491">
                  <c:v>-88.636022094649064</c:v>
                </c:pt>
                <c:pt idx="492">
                  <c:v>-88.643781523966268</c:v>
                </c:pt>
                <c:pt idx="493">
                  <c:v>-88.651630681641819</c:v>
                </c:pt>
                <c:pt idx="494">
                  <c:v>-88.659389524603199</c:v>
                </c:pt>
                <c:pt idx="495">
                  <c:v>-88.667059602426988</c:v>
                </c:pt>
                <c:pt idx="496">
                  <c:v>-88.674642429448653</c:v>
                </c:pt>
                <c:pt idx="497">
                  <c:v>-88.682313840609254</c:v>
                </c:pt>
                <c:pt idx="498">
                  <c:v>-88.689896971650072</c:v>
                </c:pt>
                <c:pt idx="499">
                  <c:v>-88.6973933374328</c:v>
                </c:pt>
                <c:pt idx="500">
                  <c:v>-88.704804418362826</c:v>
                </c:pt>
                <c:pt idx="501">
                  <c:v>-88.712302797056182</c:v>
                </c:pt>
                <c:pt idx="502">
                  <c:v>-88.719714868388664</c:v>
                </c:pt>
                <c:pt idx="503">
                  <c:v>-88.727042113696598</c:v>
                </c:pt>
                <c:pt idx="504">
                  <c:v>-88.734285980614857</c:v>
                </c:pt>
                <c:pt idx="505">
                  <c:v>-88.741611318920974</c:v>
                </c:pt>
                <c:pt idx="506">
                  <c:v>-88.748852367937857</c:v>
                </c:pt>
                <c:pt idx="507">
                  <c:v>-88.756010573926062</c:v>
                </c:pt>
                <c:pt idx="508">
                  <c:v>-88.763087350252476</c:v>
                </c:pt>
                <c:pt idx="509">
                  <c:v>-88.77024438001736</c:v>
                </c:pt>
                <c:pt idx="510">
                  <c:v>-88.777319075066288</c:v>
                </c:pt>
                <c:pt idx="511">
                  <c:v>-88.784312847827266</c:v>
                </c:pt>
                <c:pt idx="512">
                  <c:v>-88.79122707861049</c:v>
                </c:pt>
                <c:pt idx="513">
                  <c:v>-88.798224265830115</c:v>
                </c:pt>
                <c:pt idx="514">
                  <c:v>-88.805140922505359</c:v>
                </c:pt>
                <c:pt idx="515">
                  <c:v>-88.811978430715314</c:v>
                </c:pt>
                <c:pt idx="516">
                  <c:v>-88.818738141097583</c:v>
                </c:pt>
                <c:pt idx="517">
                  <c:v>-88.825575271959366</c:v>
                </c:pt>
                <c:pt idx="518">
                  <c:v>-88.832333723032264</c:v>
                </c:pt>
                <c:pt idx="519">
                  <c:v>-88.839014844493406</c:v>
                </c:pt>
                <c:pt idx="520">
                  <c:v>-88.84561995580718</c:v>
                </c:pt>
                <c:pt idx="521">
                  <c:v>-88.852300995512792</c:v>
                </c:pt>
                <c:pt idx="522">
                  <c:v>-88.858905156903887</c:v>
                </c:pt>
                <c:pt idx="523">
                  <c:v>-88.865433759162897</c:v>
                </c:pt>
                <c:pt idx="524">
                  <c:v>-88.871888091466104</c:v>
                </c:pt>
                <c:pt idx="525">
                  <c:v>-88.878416794728906</c:v>
                </c:pt>
                <c:pt idx="526">
                  <c:v>-88.884870375667688</c:v>
                </c:pt>
                <c:pt idx="527">
                  <c:v>-88.891250123288756</c:v>
                </c:pt>
                <c:pt idx="528">
                  <c:v>-88.897557297279477</c:v>
                </c:pt>
                <c:pt idx="529">
                  <c:v>-88.903937231106184</c:v>
                </c:pt>
                <c:pt idx="530">
                  <c:v>-88.910243756443492</c:v>
                </c:pt>
                <c:pt idx="531">
                  <c:v>-88.916478132863219</c:v>
                </c:pt>
                <c:pt idx="532">
                  <c:v>-88.922641591288141</c:v>
                </c:pt>
                <c:pt idx="533">
                  <c:v>-88.928879355382975</c:v>
                </c:pt>
                <c:pt idx="534">
                  <c:v>-88.935045312130853</c:v>
                </c:pt>
                <c:pt idx="535">
                  <c:v>-88.941140694229389</c:v>
                </c:pt>
                <c:pt idx="536">
                  <c:v>-88.947166706324694</c:v>
                </c:pt>
                <c:pt idx="537">
                  <c:v>-88.953259008423061</c:v>
                </c:pt>
                <c:pt idx="538">
                  <c:v>-88.959281216950458</c:v>
                </c:pt>
                <c:pt idx="539">
                  <c:v>-88.965234534521201</c:v>
                </c:pt>
                <c:pt idx="540">
                  <c:v>-88.971120136397545</c:v>
                </c:pt>
                <c:pt idx="541">
                  <c:v>-88.977076361747805</c:v>
                </c:pt>
                <c:pt idx="542">
                  <c:v>-88.982964029805046</c:v>
                </c:pt>
                <c:pt idx="543">
                  <c:v>-88.988784317331522</c:v>
                </c:pt>
                <c:pt idx="544">
                  <c:v>-88.994538374313947</c:v>
                </c:pt>
                <c:pt idx="545">
                  <c:v>-89.000358341545208</c:v>
                </c:pt>
                <c:pt idx="546">
                  <c:v>-89.006111327398457</c:v>
                </c:pt>
                <c:pt idx="547">
                  <c:v>-89.011798481462534</c:v>
                </c:pt>
                <c:pt idx="548">
                  <c:v>-89.017420927171599</c:v>
                </c:pt>
                <c:pt idx="549">
                  <c:v>-89.023107546756265</c:v>
                </c:pt>
                <c:pt idx="550">
                  <c:v>-89.028728729585822</c:v>
                </c:pt>
                <c:pt idx="551">
                  <c:v>-89.034285598574542</c:v>
                </c:pt>
                <c:pt idx="552">
                  <c:v>-89.039779251092654</c:v>
                </c:pt>
                <c:pt idx="553">
                  <c:v>-89.045337879958922</c:v>
                </c:pt>
                <c:pt idx="554">
                  <c:v>-89.050832528494567</c:v>
                </c:pt>
                <c:pt idx="555">
                  <c:v>-89.056264294905617</c:v>
                </c:pt>
                <c:pt idx="556">
                  <c:v>-89.061634252409519</c:v>
                </c:pt>
                <c:pt idx="557">
                  <c:v>-89.072437757607787</c:v>
                </c:pt>
                <c:pt idx="558">
                  <c:v>-89.082995352070853</c:v>
                </c:pt>
                <c:pt idx="559">
                  <c:v>-89.093549162545372</c:v>
                </c:pt>
                <c:pt idx="560">
                  <c:v>-89.103862829545193</c:v>
                </c:pt>
                <c:pt idx="561">
                  <c:v>-89.114180897777388</c:v>
                </c:pt>
                <c:pt idx="562">
                  <c:v>-89.124264086263153</c:v>
                </c:pt>
                <c:pt idx="563">
                  <c:v>-89.134329400775584</c:v>
                </c:pt>
                <c:pt idx="564">
                  <c:v>-89.144165989501531</c:v>
                </c:pt>
                <c:pt idx="565">
                  <c:v>-89.154021178824991</c:v>
                </c:pt>
                <c:pt idx="566">
                  <c:v>-89.163651997444433</c:v>
                </c:pt>
                <c:pt idx="567">
                  <c:v>-89.173294844397688</c:v>
                </c:pt>
                <c:pt idx="568">
                  <c:v>-89.182717882831142</c:v>
                </c:pt>
                <c:pt idx="569">
                  <c:v>-89.192110639590268</c:v>
                </c:pt>
                <c:pt idx="570">
                  <c:v>-89.201289967846918</c:v>
                </c:pt>
                <c:pt idx="571">
                  <c:v>-89.210506537902461</c:v>
                </c:pt>
                <c:pt idx="572">
                  <c:v>-89.219512841954412</c:v>
                </c:pt>
                <c:pt idx="573">
                  <c:v>-89.228482062478491</c:v>
                </c:pt>
                <c:pt idx="574">
                  <c:v>-89.237247492086553</c:v>
                </c:pt>
                <c:pt idx="575">
                  <c:v>-89.246038051565719</c:v>
                </c:pt>
                <c:pt idx="576">
                  <c:v>-89.254628312586348</c:v>
                </c:pt>
                <c:pt idx="577">
                  <c:v>-89.288927188330931</c:v>
                </c:pt>
                <c:pt idx="578">
                  <c:v>-89.320208492178139</c:v>
                </c:pt>
                <c:pt idx="579">
                  <c:v>-89.379980330177986</c:v>
                </c:pt>
                <c:pt idx="580">
                  <c:v>-89.434549500025966</c:v>
                </c:pt>
                <c:pt idx="581">
                  <c:v>-89.484297651402443</c:v>
                </c:pt>
                <c:pt idx="582">
                  <c:v>-89.529681585942711</c:v>
                </c:pt>
                <c:pt idx="583">
                  <c:v>-89.571054790077426</c:v>
                </c:pt>
                <c:pt idx="584">
                  <c:v>-89.608800851089569</c:v>
                </c:pt>
                <c:pt idx="585">
                  <c:v>-89.643218064239306</c:v>
                </c:pt>
                <c:pt idx="586">
                  <c:v>-89.674605129478039</c:v>
                </c:pt>
                <c:pt idx="587">
                  <c:v>-89.70324363466959</c:v>
                </c:pt>
                <c:pt idx="588">
                  <c:v>-89.729349315252847</c:v>
                </c:pt>
                <c:pt idx="589">
                  <c:v>-89.753165481937117</c:v>
                </c:pt>
                <c:pt idx="590">
                  <c:v>-89.774884396413299</c:v>
                </c:pt>
                <c:pt idx="591">
                  <c:v>-89.794692447314532</c:v>
                </c:pt>
                <c:pt idx="592">
                  <c:v>-89.812755323750594</c:v>
                </c:pt>
                <c:pt idx="593">
                  <c:v>-89.829231579598954</c:v>
                </c:pt>
                <c:pt idx="594">
                  <c:v>-89.844256532884586</c:v>
                </c:pt>
                <c:pt idx="595">
                  <c:v>-89.85796079151298</c:v>
                </c:pt>
                <c:pt idx="596">
                  <c:v>-89.870457929237901</c:v>
                </c:pt>
                <c:pt idx="597">
                  <c:v>-89.881856735885407</c:v>
                </c:pt>
                <c:pt idx="598">
                  <c:v>-89.892251203097601</c:v>
                </c:pt>
                <c:pt idx="599">
                  <c:v>-89.901732264307512</c:v>
                </c:pt>
                <c:pt idx="600">
                  <c:v>-89.910378827135872</c:v>
                </c:pt>
              </c:numCache>
            </c:numRef>
          </c:yVal>
          <c:smooth val="0"/>
          <c:extLst>
            <c:ext xmlns:c16="http://schemas.microsoft.com/office/drawing/2014/chart" uri="{C3380CC4-5D6E-409C-BE32-E72D297353CC}">
              <c16:uniqueId val="{00000001-BA9E-4048-AA32-0E8605E404B1}"/>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Plant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'Stability Calculations'!$AO$12</c:f>
              <c:strCache>
                <c:ptCount val="1"/>
                <c:pt idx="0">
                  <c:v>Gain(dB)</c:v>
                </c:pt>
              </c:strCache>
            </c:strRef>
          </c:tx>
          <c:spPr>
            <a:ln w="2540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Calculations'!$AO$13:$AO$613</c:f>
              <c:numCache>
                <c:formatCode>0.0000</c:formatCode>
                <c:ptCount val="601"/>
                <c:pt idx="0">
                  <c:v>59.969745627609086</c:v>
                </c:pt>
                <c:pt idx="1">
                  <c:v>59.969745114041181</c:v>
                </c:pt>
                <c:pt idx="2">
                  <c:v>59.96974449664706</c:v>
                </c:pt>
                <c:pt idx="3">
                  <c:v>59.969743754418786</c:v>
                </c:pt>
                <c:pt idx="4">
                  <c:v>59.969742862732772</c:v>
                </c:pt>
                <c:pt idx="5">
                  <c:v>59.969741789645042</c:v>
                </c:pt>
                <c:pt idx="6">
                  <c:v>59.969740499989037</c:v>
                </c:pt>
                <c:pt idx="7">
                  <c:v>59.969738949019991</c:v>
                </c:pt>
                <c:pt idx="8">
                  <c:v>59.969737085150456</c:v>
                </c:pt>
                <c:pt idx="9">
                  <c:v>59.969734843544714</c:v>
                </c:pt>
                <c:pt idx="10">
                  <c:v>59.9697321491496</c:v>
                </c:pt>
                <c:pt idx="11">
                  <c:v>59.969728910106483</c:v>
                </c:pt>
                <c:pt idx="12">
                  <c:v>59.969725014091146</c:v>
                </c:pt>
                <c:pt idx="13">
                  <c:v>59.96972033235636</c:v>
                </c:pt>
                <c:pt idx="14">
                  <c:v>59.969714702016084</c:v>
                </c:pt>
                <c:pt idx="15">
                  <c:v>59.969707933312371</c:v>
                </c:pt>
                <c:pt idx="16">
                  <c:v>59.969699795459235</c:v>
                </c:pt>
                <c:pt idx="17">
                  <c:v>59.969690012997042</c:v>
                </c:pt>
                <c:pt idx="18">
                  <c:v>59.969678250083248</c:v>
                </c:pt>
                <c:pt idx="19">
                  <c:v>59.969664109491433</c:v>
                </c:pt>
                <c:pt idx="20">
                  <c:v>59.969647107197829</c:v>
                </c:pt>
                <c:pt idx="21">
                  <c:v>59.969626668225345</c:v>
                </c:pt>
                <c:pt idx="22">
                  <c:v>59.969602092595352</c:v>
                </c:pt>
                <c:pt idx="23">
                  <c:v>59.969572550432567</c:v>
                </c:pt>
                <c:pt idx="24">
                  <c:v>59.969537028965838</c:v>
                </c:pt>
                <c:pt idx="25">
                  <c:v>59.969494324212803</c:v>
                </c:pt>
                <c:pt idx="26">
                  <c:v>59.969442970692839</c:v>
                </c:pt>
                <c:pt idx="27">
                  <c:v>59.969381236007223</c:v>
                </c:pt>
                <c:pt idx="28">
                  <c:v>59.969307020012764</c:v>
                </c:pt>
                <c:pt idx="29">
                  <c:v>59.9692178612828</c:v>
                </c:pt>
                <c:pt idx="30">
                  <c:v>59.969110566787947</c:v>
                </c:pt>
                <c:pt idx="31">
                  <c:v>59.96898162181494</c:v>
                </c:pt>
                <c:pt idx="32">
                  <c:v>59.968826554738044</c:v>
                </c:pt>
                <c:pt idx="33">
                  <c:v>59.96864021087751</c:v>
                </c:pt>
                <c:pt idx="34">
                  <c:v>59.968416112611962</c:v>
                </c:pt>
                <c:pt idx="35">
                  <c:v>59.968146763132907</c:v>
                </c:pt>
                <c:pt idx="36">
                  <c:v>59.967822988935012</c:v>
                </c:pt>
                <c:pt idx="37">
                  <c:v>59.967433575550743</c:v>
                </c:pt>
                <c:pt idx="38">
                  <c:v>59.966965673871186</c:v>
                </c:pt>
                <c:pt idx="39">
                  <c:v>59.966403032777428</c:v>
                </c:pt>
                <c:pt idx="40">
                  <c:v>59.965726730250147</c:v>
                </c:pt>
                <c:pt idx="41">
                  <c:v>59.964913765595995</c:v>
                </c:pt>
                <c:pt idx="42">
                  <c:v>59.963936705163469</c:v>
                </c:pt>
                <c:pt idx="43">
                  <c:v>59.962762127601252</c:v>
                </c:pt>
                <c:pt idx="44">
                  <c:v>59.961350544627344</c:v>
                </c:pt>
                <c:pt idx="45">
                  <c:v>59.959653893524404</c:v>
                </c:pt>
                <c:pt idx="46">
                  <c:v>59.95761516561199</c:v>
                </c:pt>
                <c:pt idx="47">
                  <c:v>59.955165071489127</c:v>
                </c:pt>
                <c:pt idx="48">
                  <c:v>59.952221642705553</c:v>
                </c:pt>
                <c:pt idx="49">
                  <c:v>59.948685078741889</c:v>
                </c:pt>
                <c:pt idx="50">
                  <c:v>59.944437106412522</c:v>
                </c:pt>
                <c:pt idx="51">
                  <c:v>59.939334253791515</c:v>
                </c:pt>
                <c:pt idx="52">
                  <c:v>59.933207697180237</c:v>
                </c:pt>
                <c:pt idx="53">
                  <c:v>59.92585379659036</c:v>
                </c:pt>
                <c:pt idx="54">
                  <c:v>59.917035514560126</c:v>
                </c:pt>
                <c:pt idx="55">
                  <c:v>59.906446942552009</c:v>
                </c:pt>
                <c:pt idx="56">
                  <c:v>59.893755452600729</c:v>
                </c:pt>
                <c:pt idx="57">
                  <c:v>59.878541319157925</c:v>
                </c:pt>
                <c:pt idx="58">
                  <c:v>59.860328004037335</c:v>
                </c:pt>
                <c:pt idx="59">
                  <c:v>59.838524175138524</c:v>
                </c:pt>
                <c:pt idx="60">
                  <c:v>59.812460089800354</c:v>
                </c:pt>
                <c:pt idx="61">
                  <c:v>59.781332922464202</c:v>
                </c:pt>
                <c:pt idx="62">
                  <c:v>59.744185284376144</c:v>
                </c:pt>
                <c:pt idx="63">
                  <c:v>59.699962056401546</c:v>
                </c:pt>
                <c:pt idx="64">
                  <c:v>59.64736768863807</c:v>
                </c:pt>
                <c:pt idx="65">
                  <c:v>59.584970846282452</c:v>
                </c:pt>
                <c:pt idx="66">
                  <c:v>59.511119766503853</c:v>
                </c:pt>
                <c:pt idx="67">
                  <c:v>59.423973692846161</c:v>
                </c:pt>
                <c:pt idx="68">
                  <c:v>59.321447781420609</c:v>
                </c:pt>
                <c:pt idx="69">
                  <c:v>59.201316455063989</c:v>
                </c:pt>
                <c:pt idx="70">
                  <c:v>59.061137254334035</c:v>
                </c:pt>
                <c:pt idx="71">
                  <c:v>58.898398057922741</c:v>
                </c:pt>
                <c:pt idx="72">
                  <c:v>58.710463331371507</c:v>
                </c:pt>
                <c:pt idx="73">
                  <c:v>58.494804132635451</c:v>
                </c:pt>
                <c:pt idx="74">
                  <c:v>58.248913354147255</c:v>
                </c:pt>
                <c:pt idx="75">
                  <c:v>57.970608137280955</c:v>
                </c:pt>
                <c:pt idx="76">
                  <c:v>57.657948697979094</c:v>
                </c:pt>
                <c:pt idx="77">
                  <c:v>57.309621519861274</c:v>
                </c:pt>
                <c:pt idx="78">
                  <c:v>56.924759525451016</c:v>
                </c:pt>
                <c:pt idx="79">
                  <c:v>56.503380779011351</c:v>
                </c:pt>
                <c:pt idx="80">
                  <c:v>56.045109657525686</c:v>
                </c:pt>
                <c:pt idx="81">
                  <c:v>55.55150049251872</c:v>
                </c:pt>
                <c:pt idx="82">
                  <c:v>55.023703673725734</c:v>
                </c:pt>
                <c:pt idx="83">
                  <c:v>54.464021121163086</c:v>
                </c:pt>
                <c:pt idx="84">
                  <c:v>53.874275288956504</c:v>
                </c:pt>
                <c:pt idx="85">
                  <c:v>53.257256925099945</c:v>
                </c:pt>
                <c:pt idx="86">
                  <c:v>52.615451053290684</c:v>
                </c:pt>
                <c:pt idx="87">
                  <c:v>51.951072041894903</c:v>
                </c:pt>
                <c:pt idx="88">
                  <c:v>51.267251451886054</c:v>
                </c:pt>
                <c:pt idx="89">
                  <c:v>50.565806041927949</c:v>
                </c:pt>
                <c:pt idx="90">
                  <c:v>49.849178453139046</c:v>
                </c:pt>
                <c:pt idx="91">
                  <c:v>49.119288055073355</c:v>
                </c:pt>
                <c:pt idx="92">
                  <c:v>48.378001126230643</c:v>
                </c:pt>
                <c:pt idx="93">
                  <c:v>47.626645774322427</c:v>
                </c:pt>
                <c:pt idx="94">
                  <c:v>47.43749084767871</c:v>
                </c:pt>
                <c:pt idx="95">
                  <c:v>47.342130770513549</c:v>
                </c:pt>
                <c:pt idx="96">
                  <c:v>47.2477357168532</c:v>
                </c:pt>
                <c:pt idx="97">
                  <c:v>47.152132247109748</c:v>
                </c:pt>
                <c:pt idx="98">
                  <c:v>47.057500896725941</c:v>
                </c:pt>
                <c:pt idx="99">
                  <c:v>46.96163882448058</c:v>
                </c:pt>
                <c:pt idx="100">
                  <c:v>46.866756166094071</c:v>
                </c:pt>
                <c:pt idx="101">
                  <c:v>46.770694277079855</c:v>
                </c:pt>
                <c:pt idx="102">
                  <c:v>46.675617790556529</c:v>
                </c:pt>
                <c:pt idx="103">
                  <c:v>46.579271831820023</c:v>
                </c:pt>
                <c:pt idx="104">
                  <c:v>46.483918878105079</c:v>
                </c:pt>
                <c:pt idx="105">
                  <c:v>46.387349691696016</c:v>
                </c:pt>
                <c:pt idx="106">
                  <c:v>46.291779763537448</c:v>
                </c:pt>
                <c:pt idx="107">
                  <c:v>46.195044750882282</c:v>
                </c:pt>
                <c:pt idx="108">
                  <c:v>46.099313957666041</c:v>
                </c:pt>
                <c:pt idx="109">
                  <c:v>46.002401545933566</c:v>
                </c:pt>
                <c:pt idx="110">
                  <c:v>45.906498442040743</c:v>
                </c:pt>
                <c:pt idx="111">
                  <c:v>45.809334992974051</c:v>
                </c:pt>
                <c:pt idx="112">
                  <c:v>45.713187362808682</c:v>
                </c:pt>
                <c:pt idx="113">
                  <c:v>45.615832497235054</c:v>
                </c:pt>
                <c:pt idx="114">
                  <c:v>45.519498620692275</c:v>
                </c:pt>
                <c:pt idx="115">
                  <c:v>45.42194685889779</c:v>
                </c:pt>
                <c:pt idx="116">
                  <c:v>45.32542126675029</c:v>
                </c:pt>
                <c:pt idx="117">
                  <c:v>45.227668907131822</c:v>
                </c:pt>
                <c:pt idx="118">
                  <c:v>45.130947873086676</c:v>
                </c:pt>
                <c:pt idx="119">
                  <c:v>45.033051911157784</c:v>
                </c:pt>
                <c:pt idx="120">
                  <c:v>44.936191130028256</c:v>
                </c:pt>
                <c:pt idx="121">
                  <c:v>44.838147296200901</c:v>
                </c:pt>
                <c:pt idx="122">
                  <c:v>44.741142481719052</c:v>
                </c:pt>
                <c:pt idx="123">
                  <c:v>44.642891455981591</c:v>
                </c:pt>
                <c:pt idx="124">
                  <c:v>44.545684436485772</c:v>
                </c:pt>
                <c:pt idx="125">
                  <c:v>44.447283883866632</c:v>
                </c:pt>
                <c:pt idx="126">
                  <c:v>44.349931003584956</c:v>
                </c:pt>
                <c:pt idx="127">
                  <c:v>44.2513808376873</c:v>
                </c:pt>
                <c:pt idx="128">
                  <c:v>44.153881907546563</c:v>
                </c:pt>
                <c:pt idx="129">
                  <c:v>44.055183231666113</c:v>
                </c:pt>
                <c:pt idx="130">
                  <c:v>43.957539227172397</c:v>
                </c:pt>
                <c:pt idx="131">
                  <c:v>43.858694227479461</c:v>
                </c:pt>
                <c:pt idx="132">
                  <c:v>43.809669875021825</c:v>
                </c:pt>
                <c:pt idx="133">
                  <c:v>43.760907183790337</c:v>
                </c:pt>
                <c:pt idx="134">
                  <c:v>43.711253485526214</c:v>
                </c:pt>
                <c:pt idx="135">
                  <c:v>43.661868199210431</c:v>
                </c:pt>
                <c:pt idx="136">
                  <c:v>43.612748439841482</c:v>
                </c:pt>
                <c:pt idx="137">
                  <c:v>43.56389136697026</c:v>
                </c:pt>
                <c:pt idx="138">
                  <c:v>43.514193837787758</c:v>
                </c:pt>
                <c:pt idx="139">
                  <c:v>43.464765188113262</c:v>
                </c:pt>
                <c:pt idx="140">
                  <c:v>43.415602518516032</c:v>
                </c:pt>
                <c:pt idx="141">
                  <c:v>43.366702974542491</c:v>
                </c:pt>
                <c:pt idx="142">
                  <c:v>43.316913480254712</c:v>
                </c:pt>
                <c:pt idx="143">
                  <c:v>43.267393825525474</c:v>
                </c:pt>
                <c:pt idx="144">
                  <c:v>43.218141088663515</c:v>
                </c:pt>
                <c:pt idx="145">
                  <c:v>43.169152393537217</c:v>
                </c:pt>
                <c:pt idx="146">
                  <c:v>43.119299252411253</c:v>
                </c:pt>
                <c:pt idx="147">
                  <c:v>43.069716577838648</c:v>
                </c:pt>
                <c:pt idx="148">
                  <c:v>43.020401431349704</c:v>
                </c:pt>
                <c:pt idx="149">
                  <c:v>42.971350920500129</c:v>
                </c:pt>
                <c:pt idx="150">
                  <c:v>42.92143720897861</c:v>
                </c:pt>
                <c:pt idx="151">
                  <c:v>42.871794530107849</c:v>
                </c:pt>
                <c:pt idx="152">
                  <c:v>42.822419929728895</c:v>
                </c:pt>
                <c:pt idx="153">
                  <c:v>42.773310500147218</c:v>
                </c:pt>
                <c:pt idx="154">
                  <c:v>42.723316631178044</c:v>
                </c:pt>
                <c:pt idx="155">
                  <c:v>42.673594545403105</c:v>
                </c:pt>
                <c:pt idx="156">
                  <c:v>42.624141270044703</c:v>
                </c:pt>
                <c:pt idx="157">
                  <c:v>42.574953879286511</c:v>
                </c:pt>
                <c:pt idx="158">
                  <c:v>42.524884907380248</c:v>
                </c:pt>
                <c:pt idx="159">
                  <c:v>42.475088386468471</c:v>
                </c:pt>
                <c:pt idx="160">
                  <c:v>42.425561326566488</c:v>
                </c:pt>
                <c:pt idx="161">
                  <c:v>42.376300785115447</c:v>
                </c:pt>
                <c:pt idx="162">
                  <c:v>42.326183858480263</c:v>
                </c:pt>
                <c:pt idx="163">
                  <c:v>42.27633972743358</c:v>
                </c:pt>
                <c:pt idx="164">
                  <c:v>42.226765390156508</c:v>
                </c:pt>
                <c:pt idx="165">
                  <c:v>42.177457892603762</c:v>
                </c:pt>
                <c:pt idx="166">
                  <c:v>42.127253909758295</c:v>
                </c:pt>
                <c:pt idx="167">
                  <c:v>42.077323462782779</c:v>
                </c:pt>
                <c:pt idx="168">
                  <c:v>42.027663531561274</c:v>
                </c:pt>
                <c:pt idx="169">
                  <c:v>41.978271144233119</c:v>
                </c:pt>
                <c:pt idx="170">
                  <c:v>41.928092011095501</c:v>
                </c:pt>
                <c:pt idx="171">
                  <c:v>41.878185909215517</c:v>
                </c:pt>
                <c:pt idx="172">
                  <c:v>41.82854982080606</c:v>
                </c:pt>
                <c:pt idx="173">
                  <c:v>41.779180776375455</c:v>
                </c:pt>
                <c:pt idx="174">
                  <c:v>41.728841302508073</c:v>
                </c:pt>
                <c:pt idx="175">
                  <c:v>41.678776337247683</c:v>
                </c:pt>
                <c:pt idx="176">
                  <c:v>41.628982832372003</c:v>
                </c:pt>
                <c:pt idx="177">
                  <c:v>41.579457788689112</c:v>
                </c:pt>
                <c:pt idx="178">
                  <c:v>41.528990274958574</c:v>
                </c:pt>
                <c:pt idx="179">
                  <c:v>41.478798366728249</c:v>
                </c:pt>
                <c:pt idx="180">
                  <c:v>41.428878991574443</c:v>
                </c:pt>
                <c:pt idx="181">
                  <c:v>41.379229126705667</c:v>
                </c:pt>
                <c:pt idx="182">
                  <c:v>41.328860829832266</c:v>
                </c:pt>
                <c:pt idx="183">
                  <c:v>41.278766731995276</c:v>
                </c:pt>
                <c:pt idx="184">
                  <c:v>41.228943778324677</c:v>
                </c:pt>
                <c:pt idx="185">
                  <c:v>41.179388963284836</c:v>
                </c:pt>
                <c:pt idx="186">
                  <c:v>41.128749992687538</c:v>
                </c:pt>
                <c:pt idx="187">
                  <c:v>41.078387806974526</c:v>
                </c:pt>
                <c:pt idx="188">
                  <c:v>41.028299302166857</c:v>
                </c:pt>
                <c:pt idx="189">
                  <c:v>40.978481424754598</c:v>
                </c:pt>
                <c:pt idx="190">
                  <c:v>40.927988138060812</c:v>
                </c:pt>
                <c:pt idx="191">
                  <c:v>40.877769659161999</c:v>
                </c:pt>
                <c:pt idx="192">
                  <c:v>40.827822911349969</c:v>
                </c:pt>
                <c:pt idx="193">
                  <c:v>40.778144867869955</c:v>
                </c:pt>
                <c:pt idx="194">
                  <c:v>40.727440644761231</c:v>
                </c:pt>
                <c:pt idx="195">
                  <c:v>40.677013098341426</c:v>
                </c:pt>
                <c:pt idx="196">
                  <c:v>40.626859114677664</c:v>
                </c:pt>
                <c:pt idx="197">
                  <c:v>40.576975630667114</c:v>
                </c:pt>
                <c:pt idx="198">
                  <c:v>40.526276121620704</c:v>
                </c:pt>
                <c:pt idx="199">
                  <c:v>40.475852778887138</c:v>
                </c:pt>
                <c:pt idx="200">
                  <c:v>40.425702491256708</c:v>
                </c:pt>
                <c:pt idx="201">
                  <c:v>40.375822198359053</c:v>
                </c:pt>
                <c:pt idx="202">
                  <c:v>40.325148647159857</c:v>
                </c:pt>
                <c:pt idx="203">
                  <c:v>40.274750489136643</c:v>
                </c:pt>
                <c:pt idx="204">
                  <c:v>40.224624620257586</c:v>
                </c:pt>
                <c:pt idx="205">
                  <c:v>40.174767987239605</c:v>
                </c:pt>
                <c:pt idx="206">
                  <c:v>40.123967148125658</c:v>
                </c:pt>
                <c:pt idx="207">
                  <c:v>40.073442556582123</c:v>
                </c:pt>
                <c:pt idx="208">
                  <c:v>40.023191088276484</c:v>
                </c:pt>
                <c:pt idx="209">
                  <c:v>39.973209670130316</c:v>
                </c:pt>
                <c:pt idx="210">
                  <c:v>39.922141606367127</c:v>
                </c:pt>
                <c:pt idx="211">
                  <c:v>39.871352127404933</c:v>
                </c:pt>
                <c:pt idx="212">
                  <c:v>39.820838063285933</c:v>
                </c:pt>
                <c:pt idx="213">
                  <c:v>39.77059629636711</c:v>
                </c:pt>
                <c:pt idx="214">
                  <c:v>39.719630346023905</c:v>
                </c:pt>
                <c:pt idx="215">
                  <c:v>39.668941267169792</c:v>
                </c:pt>
                <c:pt idx="216">
                  <c:v>39.61852591296622</c:v>
                </c:pt>
                <c:pt idx="217">
                  <c:v>39.568381188442217</c:v>
                </c:pt>
                <c:pt idx="218">
                  <c:v>39.517369882186919</c:v>
                </c:pt>
                <c:pt idx="219">
                  <c:v>39.466635299783526</c:v>
                </c:pt>
                <c:pt idx="220">
                  <c:v>39.416174290873585</c:v>
                </c:pt>
                <c:pt idx="221">
                  <c:v>39.365983757102391</c:v>
                </c:pt>
                <c:pt idx="222">
                  <c:v>39.314950739723088</c:v>
                </c:pt>
                <c:pt idx="223">
                  <c:v>39.26419400453733</c:v>
                </c:pt>
                <c:pt idx="224">
                  <c:v>39.213710402634121</c:v>
                </c:pt>
                <c:pt idx="225">
                  <c:v>39.163496837130552</c:v>
                </c:pt>
                <c:pt idx="226">
                  <c:v>39.112308871555861</c:v>
                </c:pt>
                <c:pt idx="227">
                  <c:v>39.061398145220338</c:v>
                </c:pt>
                <c:pt idx="228">
                  <c:v>39.010761486712966</c:v>
                </c:pt>
                <c:pt idx="229">
                  <c:v>38.960395777201207</c:v>
                </c:pt>
                <c:pt idx="230">
                  <c:v>38.858048200135819</c:v>
                </c:pt>
                <c:pt idx="231">
                  <c:v>38.807287962826258</c:v>
                </c:pt>
                <c:pt idx="232">
                  <c:v>38.756799229015648</c:v>
                </c:pt>
                <c:pt idx="233">
                  <c:v>38.705389978875495</c:v>
                </c:pt>
                <c:pt idx="234">
                  <c:v>38.654258792154771</c:v>
                </c:pt>
                <c:pt idx="235">
                  <c:v>38.603402470667305</c:v>
                </c:pt>
                <c:pt idx="236">
                  <c:v>38.552817869506484</c:v>
                </c:pt>
                <c:pt idx="237">
                  <c:v>38.501483751280439</c:v>
                </c:pt>
                <c:pt idx="238">
                  <c:v>38.450426041980258</c:v>
                </c:pt>
                <c:pt idx="239">
                  <c:v>38.399641565429661</c:v>
                </c:pt>
                <c:pt idx="240">
                  <c:v>38.349127198297531</c:v>
                </c:pt>
                <c:pt idx="241">
                  <c:v>38.297598610361774</c:v>
                </c:pt>
                <c:pt idx="242">
                  <c:v>38.246347632255159</c:v>
                </c:pt>
                <c:pt idx="243">
                  <c:v>38.195371060590915</c:v>
                </c:pt>
                <c:pt idx="244">
                  <c:v>38.144665745483252</c:v>
                </c:pt>
                <c:pt idx="245">
                  <c:v>38.093113882249256</c:v>
                </c:pt>
                <c:pt idx="246">
                  <c:v>38.041838942242642</c:v>
                </c:pt>
                <c:pt idx="247">
                  <c:v>37.990837727278091</c:v>
                </c:pt>
                <c:pt idx="248">
                  <c:v>37.940107092607647</c:v>
                </c:pt>
                <c:pt idx="249">
                  <c:v>37.888416453156147</c:v>
                </c:pt>
                <c:pt idx="250">
                  <c:v>37.837003240338397</c:v>
                </c:pt>
                <c:pt idx="251">
                  <c:v>37.785864240494121</c:v>
                </c:pt>
                <c:pt idx="252">
                  <c:v>37.734996293797273</c:v>
                </c:pt>
                <c:pt idx="253">
                  <c:v>37.683328266664795</c:v>
                </c:pt>
                <c:pt idx="254">
                  <c:v>37.631936394086189</c:v>
                </c:pt>
                <c:pt idx="255">
                  <c:v>37.580817477563869</c:v>
                </c:pt>
                <c:pt idx="256">
                  <c:v>37.529968372147835</c:v>
                </c:pt>
                <c:pt idx="257">
                  <c:v>37.478079077734407</c:v>
                </c:pt>
                <c:pt idx="258">
                  <c:v>37.426467217508382</c:v>
                </c:pt>
                <c:pt idx="259">
                  <c:v>37.375129563751102</c:v>
                </c:pt>
                <c:pt idx="260">
                  <c:v>37.324062942996051</c:v>
                </c:pt>
                <c:pt idx="261">
                  <c:v>37.272112808248494</c:v>
                </c:pt>
                <c:pt idx="262">
                  <c:v>37.220439620619878</c:v>
                </c:pt>
                <c:pt idx="263">
                  <c:v>37.169040153706973</c:v>
                </c:pt>
                <c:pt idx="264">
                  <c:v>37.11791123538233</c:v>
                </c:pt>
                <c:pt idx="265">
                  <c:v>37.065922505182648</c:v>
                </c:pt>
                <c:pt idx="266">
                  <c:v>37.014209946957862</c:v>
                </c:pt>
                <c:pt idx="267">
                  <c:v>36.962770340539393</c:v>
                </c:pt>
                <c:pt idx="268">
                  <c:v>36.911600519947804</c:v>
                </c:pt>
                <c:pt idx="269">
                  <c:v>36.859471100395297</c:v>
                </c:pt>
                <c:pt idx="270">
                  <c:v>36.807618104517601</c:v>
                </c:pt>
                <c:pt idx="271">
                  <c:v>36.75603830034003</c:v>
                </c:pt>
                <c:pt idx="272">
                  <c:v>36.704728510395888</c:v>
                </c:pt>
                <c:pt idx="273">
                  <c:v>36.652484964945344</c:v>
                </c:pt>
                <c:pt idx="274">
                  <c:v>36.600517753475465</c:v>
                </c:pt>
                <c:pt idx="275">
                  <c:v>36.548823638013225</c:v>
                </c:pt>
                <c:pt idx="276">
                  <c:v>36.497399435283455</c:v>
                </c:pt>
                <c:pt idx="277">
                  <c:v>36.445183948862471</c:v>
                </c:pt>
                <c:pt idx="278">
                  <c:v>36.393243152663487</c:v>
                </c:pt>
                <c:pt idx="279">
                  <c:v>36.341573829832292</c:v>
                </c:pt>
                <c:pt idx="280">
                  <c:v>36.29017281779484</c:v>
                </c:pt>
                <c:pt idx="281">
                  <c:v>36.237655498701237</c:v>
                </c:pt>
                <c:pt idx="282">
                  <c:v>36.185414631218329</c:v>
                </c:pt>
                <c:pt idx="283">
                  <c:v>36.133446959719564</c:v>
                </c:pt>
                <c:pt idx="284">
                  <c:v>36.081749283789129</c:v>
                </c:pt>
                <c:pt idx="285">
                  <c:v>36.029303814214842</c:v>
                </c:pt>
                <c:pt idx="286">
                  <c:v>35.977132574702566</c:v>
                </c:pt>
                <c:pt idx="287">
                  <c:v>35.925232340733558</c:v>
                </c:pt>
                <c:pt idx="288">
                  <c:v>35.873599942359327</c:v>
                </c:pt>
                <c:pt idx="289">
                  <c:v>35.82090727258128</c:v>
                </c:pt>
                <c:pt idx="290">
                  <c:v>35.768489883820521</c:v>
                </c:pt>
                <c:pt idx="291">
                  <c:v>35.7163445249248</c:v>
                </c:pt>
                <c:pt idx="292">
                  <c:v>35.664467999975081</c:v>
                </c:pt>
                <c:pt idx="293">
                  <c:v>35.611667595928516</c:v>
                </c:pt>
                <c:pt idx="294">
                  <c:v>35.559141998287359</c:v>
                </c:pt>
                <c:pt idx="295">
                  <c:v>35.506887955998877</c:v>
                </c:pt>
                <c:pt idx="296">
                  <c:v>35.454902273305592</c:v>
                </c:pt>
                <c:pt idx="297">
                  <c:v>35.402016623244236</c:v>
                </c:pt>
                <c:pt idx="298">
                  <c:v>35.349405005433908</c:v>
                </c:pt>
                <c:pt idx="299">
                  <c:v>35.297064174114546</c:v>
                </c:pt>
                <c:pt idx="300">
                  <c:v>35.244990938768865</c:v>
                </c:pt>
                <c:pt idx="301">
                  <c:v>35.192040754033542</c:v>
                </c:pt>
                <c:pt idx="302">
                  <c:v>35.139363548985479</c:v>
                </c:pt>
                <c:pt idx="303">
                  <c:v>35.086956088003667</c:v>
                </c:pt>
                <c:pt idx="304">
                  <c:v>35.034815190551186</c:v>
                </c:pt>
                <c:pt idx="305">
                  <c:v>34.981616188088019</c:v>
                </c:pt>
                <c:pt idx="306">
                  <c:v>34.928690936149174</c:v>
                </c:pt>
                <c:pt idx="307">
                  <c:v>34.876036176771649</c:v>
                </c:pt>
                <c:pt idx="308">
                  <c:v>34.823648707655593</c:v>
                </c:pt>
                <c:pt idx="309">
                  <c:v>34.770429815877236</c:v>
                </c:pt>
                <c:pt idx="310">
                  <c:v>34.717483022539099</c:v>
                </c:pt>
                <c:pt idx="311">
                  <c:v>34.664805090307425</c:v>
                </c:pt>
                <c:pt idx="312">
                  <c:v>34.612392837120169</c:v>
                </c:pt>
                <c:pt idx="313">
                  <c:v>34.558974444905346</c:v>
                </c:pt>
                <c:pt idx="314">
                  <c:v>34.505828262448176</c:v>
                </c:pt>
                <c:pt idx="315">
                  <c:v>34.452951041576853</c:v>
                </c:pt>
                <c:pt idx="316">
                  <c:v>34.400339589718584</c:v>
                </c:pt>
                <c:pt idx="317">
                  <c:v>34.346747543684671</c:v>
                </c:pt>
                <c:pt idx="318">
                  <c:v>34.29342747373417</c:v>
                </c:pt>
                <c:pt idx="319">
                  <c:v>34.240376126893096</c:v>
                </c:pt>
                <c:pt idx="320">
                  <c:v>34.18759030598126</c:v>
                </c:pt>
                <c:pt idx="321">
                  <c:v>34.13384849009995</c:v>
                </c:pt>
                <c:pt idx="322">
                  <c:v>34.080378094278714</c:v>
                </c:pt>
                <c:pt idx="323">
                  <c:v>34.027175866432486</c:v>
                </c:pt>
                <c:pt idx="324">
                  <c:v>33.974238610339093</c:v>
                </c:pt>
                <c:pt idx="325">
                  <c:v>33.920369034283112</c:v>
                </c:pt>
                <c:pt idx="326">
                  <c:v>33.866770022242996</c:v>
                </c:pt>
                <c:pt idx="327">
                  <c:v>33.813438328362885</c:v>
                </c:pt>
                <c:pt idx="328">
                  <c:v>33.76037076260274</c:v>
                </c:pt>
                <c:pt idx="329">
                  <c:v>33.706303614585536</c:v>
                </c:pt>
                <c:pt idx="330">
                  <c:v>33.652506792805397</c:v>
                </c:pt>
                <c:pt idx="331">
                  <c:v>33.598977046513184</c:v>
                </c:pt>
                <c:pt idx="332">
                  <c:v>33.545711180987709</c:v>
                </c:pt>
                <c:pt idx="333">
                  <c:v>33.491558562299993</c:v>
                </c:pt>
                <c:pt idx="334">
                  <c:v>33.43767483394592</c:v>
                </c:pt>
                <c:pt idx="335">
                  <c:v>33.384056761827765</c:v>
                </c:pt>
                <c:pt idx="336">
                  <c:v>33.330701167599521</c:v>
                </c:pt>
                <c:pt idx="337">
                  <c:v>33.276306779118514</c:v>
                </c:pt>
                <c:pt idx="338">
                  <c:v>33.222181312933884</c:v>
                </c:pt>
                <c:pt idx="339">
                  <c:v>33.16832152520724</c:v>
                </c:pt>
                <c:pt idx="340">
                  <c:v>33.114724228187306</c:v>
                </c:pt>
                <c:pt idx="341">
                  <c:v>33.060113412732107</c:v>
                </c:pt>
                <c:pt idx="342">
                  <c:v>33.005771208215535</c:v>
                </c:pt>
                <c:pt idx="343">
                  <c:v>32.951694367249871</c:v>
                </c:pt>
                <c:pt idx="344">
                  <c:v>32.897879698734378</c:v>
                </c:pt>
                <c:pt idx="345">
                  <c:v>32.843159049497643</c:v>
                </c:pt>
                <c:pt idx="346">
                  <c:v>32.788705569815008</c:v>
                </c:pt>
                <c:pt idx="347">
                  <c:v>32.734516029256397</c:v>
                </c:pt>
                <c:pt idx="348">
                  <c:v>32.680587253413485</c:v>
                </c:pt>
                <c:pt idx="349">
                  <c:v>32.625610263364422</c:v>
                </c:pt>
                <c:pt idx="350">
                  <c:v>32.570900344660238</c:v>
                </c:pt>
                <c:pt idx="351">
                  <c:v>32.516454259643993</c:v>
                </c:pt>
                <c:pt idx="352">
                  <c:v>32.462268826978885</c:v>
                </c:pt>
                <c:pt idx="353">
                  <c:v>32.407060036019786</c:v>
                </c:pt>
                <c:pt idx="354">
                  <c:v>32.352117883980618</c:v>
                </c:pt>
                <c:pt idx="355">
                  <c:v>32.297439132141619</c:v>
                </c:pt>
                <c:pt idx="356">
                  <c:v>32.243020598268792</c:v>
                </c:pt>
                <c:pt idx="357">
                  <c:v>32.187681150456868</c:v>
                </c:pt>
                <c:pt idx="358">
                  <c:v>32.132606848528063</c:v>
                </c:pt>
                <c:pt idx="359">
                  <c:v>32.077794472151282</c:v>
                </c:pt>
                <c:pt idx="360">
                  <c:v>32.023240857202552</c:v>
                </c:pt>
                <c:pt idx="361">
                  <c:v>31.96763299720951</c:v>
                </c:pt>
                <c:pt idx="362">
                  <c:v>31.912290021748969</c:v>
                </c:pt>
                <c:pt idx="363">
                  <c:v>31.857208706730678</c:v>
                </c:pt>
                <c:pt idx="364">
                  <c:v>31.802385884515445</c:v>
                </c:pt>
                <c:pt idx="365">
                  <c:v>31.746608709924701</c:v>
                </c:pt>
                <c:pt idx="366">
                  <c:v>31.691095125885482</c:v>
                </c:pt>
                <c:pt idx="367">
                  <c:v>31.635841923605277</c:v>
                </c:pt>
                <c:pt idx="368">
                  <c:v>31.580845950551179</c:v>
                </c:pt>
                <c:pt idx="369">
                  <c:v>31.524768471899126</c:v>
                </c:pt>
                <c:pt idx="370">
                  <c:v>31.468954435609295</c:v>
                </c:pt>
                <c:pt idx="371">
                  <c:v>31.413400627637031</c:v>
                </c:pt>
                <c:pt idx="372">
                  <c:v>31.358103890493958</c:v>
                </c:pt>
                <c:pt idx="373">
                  <c:v>31.301823008448146</c:v>
                </c:pt>
                <c:pt idx="374">
                  <c:v>31.245804418119256</c:v>
                </c:pt>
                <c:pt idx="375">
                  <c:v>31.190044918854582</c:v>
                </c:pt>
                <c:pt idx="376">
                  <c:v>31.134541366428007</c:v>
                </c:pt>
                <c:pt idx="377">
                  <c:v>31.077932277633668</c:v>
                </c:pt>
                <c:pt idx="378">
                  <c:v>31.021585398488718</c:v>
                </c:pt>
                <c:pt idx="379">
                  <c:v>30.965497522646366</c:v>
                </c:pt>
                <c:pt idx="380">
                  <c:v>30.90966550051391</c:v>
                </c:pt>
                <c:pt idx="381">
                  <c:v>30.852892983999478</c:v>
                </c:pt>
                <c:pt idx="382">
                  <c:v>30.796380982795238</c:v>
                </c:pt>
                <c:pt idx="383">
                  <c:v>30.740126314809395</c:v>
                </c:pt>
                <c:pt idx="384">
                  <c:v>30.684125854336514</c:v>
                </c:pt>
                <c:pt idx="385">
                  <c:v>30.626998050218361</c:v>
                </c:pt>
                <c:pt idx="386">
                  <c:v>30.570130739523496</c:v>
                </c:pt>
                <c:pt idx="387">
                  <c:v>30.513520734399702</c:v>
                </c:pt>
                <c:pt idx="388">
                  <c:v>30.457164903731169</c:v>
                </c:pt>
                <c:pt idx="389">
                  <c:v>30.399774114358618</c:v>
                </c:pt>
                <c:pt idx="390">
                  <c:v>30.342642860446144</c:v>
                </c:pt>
                <c:pt idx="391">
                  <c:v>30.285767966111599</c:v>
                </c:pt>
                <c:pt idx="392">
                  <c:v>30.229146312150661</c:v>
                </c:pt>
                <c:pt idx="393">
                  <c:v>30.171511657671953</c:v>
                </c:pt>
                <c:pt idx="394">
                  <c:v>30.1141353270034</c:v>
                </c:pt>
                <c:pt idx="395">
                  <c:v>30.057014161566098</c:v>
                </c:pt>
                <c:pt idx="396">
                  <c:v>30.000145059282417</c:v>
                </c:pt>
                <c:pt idx="397">
                  <c:v>29.942153452520238</c:v>
                </c:pt>
                <c:pt idx="398">
                  <c:v>29.88441988451298</c:v>
                </c:pt>
                <c:pt idx="399">
                  <c:v>29.82694119779968</c:v>
                </c:pt>
                <c:pt idx="400">
                  <c:v>29.769714291639779</c:v>
                </c:pt>
                <c:pt idx="401">
                  <c:v>29.711452779156055</c:v>
                </c:pt>
                <c:pt idx="402">
                  <c:v>29.653448160800082</c:v>
                </c:pt>
                <c:pt idx="403">
                  <c:v>29.595697296790149</c:v>
                </c:pt>
                <c:pt idx="404">
                  <c:v>29.538197103898362</c:v>
                </c:pt>
                <c:pt idx="405">
                  <c:v>29.479620420983593</c:v>
                </c:pt>
                <c:pt idx="406">
                  <c:v>29.421299809726072</c:v>
                </c:pt>
                <c:pt idx="407">
                  <c:v>29.363232143049608</c:v>
                </c:pt>
                <c:pt idx="408">
                  <c:v>29.305414350393054</c:v>
                </c:pt>
                <c:pt idx="409">
                  <c:v>29.24648009036914</c:v>
                </c:pt>
                <c:pt idx="410">
                  <c:v>29.187801368859525</c:v>
                </c:pt>
                <c:pt idx="411">
                  <c:v>29.129375067212713</c:v>
                </c:pt>
                <c:pt idx="412">
                  <c:v>29.071198123366081</c:v>
                </c:pt>
                <c:pt idx="413">
                  <c:v>29.011927464304875</c:v>
                </c:pt>
                <c:pt idx="414">
                  <c:v>28.952911548640206</c:v>
                </c:pt>
                <c:pt idx="415">
                  <c:v>28.894147272014166</c:v>
                </c:pt>
                <c:pt idx="416">
                  <c:v>28.835631586599483</c:v>
                </c:pt>
                <c:pt idx="417">
                  <c:v>28.7759842143786</c:v>
                </c:pt>
                <c:pt idx="418">
                  <c:v>28.716591062009435</c:v>
                </c:pt>
                <c:pt idx="419">
                  <c:v>28.657449035654704</c:v>
                </c:pt>
                <c:pt idx="420">
                  <c:v>28.598555098049346</c:v>
                </c:pt>
                <c:pt idx="421">
                  <c:v>28.538610954608576</c:v>
                </c:pt>
                <c:pt idx="422">
                  <c:v>28.478919761901679</c:v>
                </c:pt>
                <c:pt idx="423">
                  <c:v>28.419478451418613</c:v>
                </c:pt>
                <c:pt idx="424">
                  <c:v>28.360284010910032</c:v>
                </c:pt>
                <c:pt idx="425">
                  <c:v>28.29988597869416</c:v>
                </c:pt>
                <c:pt idx="426">
                  <c:v>28.239740888139696</c:v>
                </c:pt>
                <c:pt idx="427">
                  <c:v>28.179845674541049</c:v>
                </c:pt>
                <c:pt idx="428">
                  <c:v>28.120197329674479</c:v>
                </c:pt>
                <c:pt idx="429">
                  <c:v>28.059426199305651</c:v>
                </c:pt>
                <c:pt idx="430">
                  <c:v>27.998907257671462</c:v>
                </c:pt>
                <c:pt idx="431">
                  <c:v>27.938637458802994</c:v>
                </c:pt>
                <c:pt idx="432">
                  <c:v>27.878613813075638</c:v>
                </c:pt>
                <c:pt idx="433">
                  <c:v>27.817489001122677</c:v>
                </c:pt>
                <c:pt idx="434">
                  <c:v>27.756615414068882</c:v>
                </c:pt>
                <c:pt idx="435">
                  <c:v>27.695990029978926</c:v>
                </c:pt>
                <c:pt idx="436">
                  <c:v>27.635609882998295</c:v>
                </c:pt>
                <c:pt idx="437">
                  <c:v>27.574039202854873</c:v>
                </c:pt>
                <c:pt idx="438">
                  <c:v>27.512719491748527</c:v>
                </c:pt>
                <c:pt idx="439">
                  <c:v>27.451647740635337</c:v>
                </c:pt>
                <c:pt idx="440">
                  <c:v>27.390820996567268</c:v>
                </c:pt>
                <c:pt idx="441">
                  <c:v>27.328826491124261</c:v>
                </c:pt>
                <c:pt idx="442">
                  <c:v>27.267082469962659</c:v>
                </c:pt>
                <c:pt idx="443">
                  <c:v>27.205585942744182</c:v>
                </c:pt>
                <c:pt idx="444">
                  <c:v>27.144333975100402</c:v>
                </c:pt>
                <c:pt idx="445">
                  <c:v>27.081936238156334</c:v>
                </c:pt>
                <c:pt idx="446">
                  <c:v>27.019788297803778</c:v>
                </c:pt>
                <c:pt idx="447">
                  <c:v>26.957887187776528</c:v>
                </c:pt>
                <c:pt idx="448">
                  <c:v>26.896229997519082</c:v>
                </c:pt>
                <c:pt idx="449">
                  <c:v>26.83334324285002</c:v>
                </c:pt>
                <c:pt idx="450">
                  <c:v>26.770706249572779</c:v>
                </c:pt>
                <c:pt idx="451">
                  <c:v>26.708316065751173</c:v>
                </c:pt>
                <c:pt idx="452">
                  <c:v>26.646169795143493</c:v>
                </c:pt>
                <c:pt idx="453">
                  <c:v>26.582868664128231</c:v>
                </c:pt>
                <c:pt idx="454">
                  <c:v>26.519816639901705</c:v>
                </c:pt>
                <c:pt idx="455">
                  <c:v>26.457010797713167</c:v>
                </c:pt>
                <c:pt idx="456">
                  <c:v>26.394448268164822</c:v>
                </c:pt>
                <c:pt idx="457">
                  <c:v>26.33065013381373</c:v>
                </c:pt>
                <c:pt idx="458">
                  <c:v>26.26710108388481</c:v>
                </c:pt>
                <c:pt idx="459">
                  <c:v>26.203798211662242</c:v>
                </c:pt>
                <c:pt idx="460">
                  <c:v>26.140738665667698</c:v>
                </c:pt>
                <c:pt idx="461">
                  <c:v>26.076466242613293</c:v>
                </c:pt>
                <c:pt idx="462">
                  <c:v>26.012442689709459</c:v>
                </c:pt>
                <c:pt idx="463">
                  <c:v>25.948665123674278</c:v>
                </c:pt>
                <c:pt idx="464">
                  <c:v>25.885130716203935</c:v>
                </c:pt>
                <c:pt idx="465">
                  <c:v>25.820356099887331</c:v>
                </c:pt>
                <c:pt idx="466">
                  <c:v>25.755830350239638</c:v>
                </c:pt>
                <c:pt idx="467">
                  <c:v>25.691550605836618</c:v>
                </c:pt>
                <c:pt idx="468">
                  <c:v>25.627514060004316</c:v>
                </c:pt>
                <c:pt idx="469">
                  <c:v>25.562259774917564</c:v>
                </c:pt>
                <c:pt idx="470">
                  <c:v>25.497254183948282</c:v>
                </c:pt>
                <c:pt idx="471">
                  <c:v>25.432494452530442</c:v>
                </c:pt>
                <c:pt idx="472">
                  <c:v>25.367977800481011</c:v>
                </c:pt>
                <c:pt idx="473">
                  <c:v>25.302169460524091</c:v>
                </c:pt>
                <c:pt idx="474">
                  <c:v>25.236610218695134</c:v>
                </c:pt>
                <c:pt idx="475">
                  <c:v>25.171297259608536</c:v>
                </c:pt>
                <c:pt idx="476">
                  <c:v>25.106227822075837</c:v>
                </c:pt>
                <c:pt idx="477">
                  <c:v>25.039890012245877</c:v>
                </c:pt>
                <c:pt idx="478">
                  <c:v>24.973801533831978</c:v>
                </c:pt>
                <c:pt idx="479">
                  <c:v>24.90795959572656</c:v>
                </c:pt>
                <c:pt idx="480">
                  <c:v>24.842361460685844</c:v>
                </c:pt>
                <c:pt idx="481">
                  <c:v>24.775517615029436</c:v>
                </c:pt>
                <c:pt idx="482">
                  <c:v>24.708923187366373</c:v>
                </c:pt>
                <c:pt idx="483">
                  <c:v>24.642575415439065</c:v>
                </c:pt>
                <c:pt idx="484">
                  <c:v>24.576471590383054</c:v>
                </c:pt>
                <c:pt idx="485">
                  <c:v>24.509098316790414</c:v>
                </c:pt>
                <c:pt idx="486">
                  <c:v>24.441974761696017</c:v>
                </c:pt>
                <c:pt idx="487">
                  <c:v>24.375098190212775</c:v>
                </c:pt>
                <c:pt idx="488">
                  <c:v>24.308465920390873</c:v>
                </c:pt>
                <c:pt idx="489">
                  <c:v>24.240496443589734</c:v>
                </c:pt>
                <c:pt idx="490">
                  <c:v>24.172777523383079</c:v>
                </c:pt>
                <c:pt idx="491">
                  <c:v>24.105306445590912</c:v>
                </c:pt>
                <c:pt idx="492">
                  <c:v>24.038080548660311</c:v>
                </c:pt>
                <c:pt idx="493">
                  <c:v>23.969541302341945</c:v>
                </c:pt>
                <c:pt idx="494">
                  <c:v>23.901253305600328</c:v>
                </c:pt>
                <c:pt idx="495">
                  <c:v>23.833213869460668</c:v>
                </c:pt>
                <c:pt idx="496">
                  <c:v>23.765420357120362</c:v>
                </c:pt>
                <c:pt idx="497">
                  <c:v>23.696292953670209</c:v>
                </c:pt>
                <c:pt idx="498">
                  <c:v>23.627417687780969</c:v>
                </c:pt>
                <c:pt idx="499">
                  <c:v>23.558791894608156</c:v>
                </c:pt>
                <c:pt idx="500">
                  <c:v>23.490412961020709</c:v>
                </c:pt>
                <c:pt idx="501">
                  <c:v>23.420680617546381</c:v>
                </c:pt>
                <c:pt idx="502">
                  <c:v>23.351201489758683</c:v>
                </c:pt>
                <c:pt idx="503">
                  <c:v>23.281972935946005</c:v>
                </c:pt>
                <c:pt idx="504">
                  <c:v>23.212992365642307</c:v>
                </c:pt>
                <c:pt idx="505">
                  <c:v>23.142682432665175</c:v>
                </c:pt>
                <c:pt idx="506">
                  <c:v>23.072626672645193</c:v>
                </c:pt>
                <c:pt idx="507">
                  <c:v>23.00282247076877</c:v>
                </c:pt>
                <c:pt idx="508">
                  <c:v>22.933267262865602</c:v>
                </c:pt>
                <c:pt idx="509">
                  <c:v>22.862364250829359</c:v>
                </c:pt>
                <c:pt idx="510">
                  <c:v>22.791716568297105</c:v>
                </c:pt>
                <c:pt idx="511">
                  <c:v>22.721321626010287</c:v>
                </c:pt>
                <c:pt idx="512">
                  <c:v>22.651176884745926</c:v>
                </c:pt>
                <c:pt idx="513">
                  <c:v>22.579625530717131</c:v>
                </c:pt>
                <c:pt idx="514">
                  <c:v>22.508331153228337</c:v>
                </c:pt>
                <c:pt idx="515">
                  <c:v>22.437291182844792</c:v>
                </c:pt>
                <c:pt idx="516">
                  <c:v>22.366503099664143</c:v>
                </c:pt>
                <c:pt idx="517">
                  <c:v>22.29433358290121</c:v>
                </c:pt>
                <c:pt idx="518">
                  <c:v>22.222422572947224</c:v>
                </c:pt>
                <c:pt idx="519">
                  <c:v>22.150767523551949</c:v>
                </c:pt>
                <c:pt idx="520">
                  <c:v>22.079365937363356</c:v>
                </c:pt>
                <c:pt idx="521">
                  <c:v>22.006567406284777</c:v>
                </c:pt>
                <c:pt idx="522">
                  <c:v>21.934029098703256</c:v>
                </c:pt>
                <c:pt idx="523">
                  <c:v>21.861748490217352</c:v>
                </c:pt>
                <c:pt idx="524">
                  <c:v>21.789723104677581</c:v>
                </c:pt>
                <c:pt idx="525">
                  <c:v>21.716286214505661</c:v>
                </c:pt>
                <c:pt idx="526">
                  <c:v>21.64311144678824</c:v>
                </c:pt>
                <c:pt idx="527">
                  <c:v>21.570196297605374</c:v>
                </c:pt>
                <c:pt idx="528">
                  <c:v>21.497538310629935</c:v>
                </c:pt>
                <c:pt idx="529">
                  <c:v>21.423455200285968</c:v>
                </c:pt>
                <c:pt idx="530">
                  <c:v>21.349636289485588</c:v>
                </c:pt>
                <c:pt idx="531">
                  <c:v>21.276079093376644</c:v>
                </c:pt>
                <c:pt idx="532">
                  <c:v>21.202781174027002</c:v>
                </c:pt>
                <c:pt idx="533">
                  <c:v>21.128006929520158</c:v>
                </c:pt>
                <c:pt idx="534">
                  <c:v>21.053499409462798</c:v>
                </c:pt>
                <c:pt idx="535">
                  <c:v>20.97925614281051</c:v>
                </c:pt>
                <c:pt idx="536">
                  <c:v>20.905274704847209</c:v>
                </c:pt>
                <c:pt idx="537">
                  <c:v>20.829881939065878</c:v>
                </c:pt>
                <c:pt idx="538">
                  <c:v>20.754758039363004</c:v>
                </c:pt>
                <c:pt idx="539">
                  <c:v>20.679900554627327</c:v>
                </c:pt>
                <c:pt idx="540">
                  <c:v>20.60530707928136</c:v>
                </c:pt>
                <c:pt idx="541">
                  <c:v>20.529215746970131</c:v>
                </c:pt>
                <c:pt idx="542">
                  <c:v>20.453396132866235</c:v>
                </c:pt>
                <c:pt idx="543">
                  <c:v>20.377845796716905</c:v>
                </c:pt>
                <c:pt idx="544">
                  <c:v>20.302562343182629</c:v>
                </c:pt>
                <c:pt idx="545">
                  <c:v>20.225808789553664</c:v>
                </c:pt>
                <c:pt idx="546">
                  <c:v>20.14932969155678</c:v>
                </c:pt>
                <c:pt idx="547">
                  <c:v>20.073122621857546</c:v>
                </c:pt>
                <c:pt idx="548">
                  <c:v>19.997185197313488</c:v>
                </c:pt>
                <c:pt idx="549">
                  <c:v>19.919768622931137</c:v>
                </c:pt>
                <c:pt idx="550">
                  <c:v>19.842629396710674</c:v>
                </c:pt>
                <c:pt idx="551">
                  <c:v>19.765765102443883</c:v>
                </c:pt>
                <c:pt idx="552">
                  <c:v>19.689173367388225</c:v>
                </c:pt>
                <c:pt idx="553">
                  <c:v>19.61105845233282</c:v>
                </c:pt>
                <c:pt idx="554">
                  <c:v>19.533224184369463</c:v>
                </c:pt>
                <c:pt idx="555">
                  <c:v>19.455668153249039</c:v>
                </c:pt>
                <c:pt idx="556">
                  <c:v>19.378387991537277</c:v>
                </c:pt>
                <c:pt idx="557">
                  <c:v>19.221052359060977</c:v>
                </c:pt>
                <c:pt idx="558">
                  <c:v>19.064843461525168</c:v>
                </c:pt>
                <c:pt idx="559">
                  <c:v>18.90620027310576</c:v>
                </c:pt>
                <c:pt idx="560">
                  <c:v>18.748697072724678</c:v>
                </c:pt>
                <c:pt idx="561">
                  <c:v>18.588618323729893</c:v>
                </c:pt>
                <c:pt idx="562">
                  <c:v>18.429695295551195</c:v>
                </c:pt>
                <c:pt idx="563">
                  <c:v>18.268535606881354</c:v>
                </c:pt>
                <c:pt idx="564">
                  <c:v>18.108542915302088</c:v>
                </c:pt>
                <c:pt idx="565">
                  <c:v>17.945708754941563</c:v>
                </c:pt>
                <c:pt idx="566">
                  <c:v>17.7840621023065</c:v>
                </c:pt>
                <c:pt idx="567">
                  <c:v>17.619652524847989</c:v>
                </c:pt>
                <c:pt idx="568">
                  <c:v>17.456450233819542</c:v>
                </c:pt>
                <c:pt idx="569">
                  <c:v>17.291207984571169</c:v>
                </c:pt>
                <c:pt idx="570">
                  <c:v>17.127182591876572</c:v>
                </c:pt>
                <c:pt idx="571">
                  <c:v>16.959902133220094</c:v>
                </c:pt>
                <c:pt idx="572">
                  <c:v>16.793866510916384</c:v>
                </c:pt>
                <c:pt idx="573">
                  <c:v>16.625923076658498</c:v>
                </c:pt>
                <c:pt idx="574">
                  <c:v>16.459232778633289</c:v>
                </c:pt>
                <c:pt idx="575">
                  <c:v>16.289455125587409</c:v>
                </c:pt>
                <c:pt idx="576">
                  <c:v>16.120957007922541</c:v>
                </c:pt>
                <c:pt idx="577">
                  <c:v>15.421345249725437</c:v>
                </c:pt>
                <c:pt idx="578">
                  <c:v>14.742961671387516</c:v>
                </c:pt>
                <c:pt idx="579">
                  <c:v>13.324807919202954</c:v>
                </c:pt>
                <c:pt idx="580">
                  <c:v>11.866134741374449</c:v>
                </c:pt>
                <c:pt idx="581">
                  <c:v>10.371559276384257</c:v>
                </c:pt>
                <c:pt idx="582">
                  <c:v>8.8431788570597689</c:v>
                </c:pt>
                <c:pt idx="583">
                  <c:v>7.2855999453819322</c:v>
                </c:pt>
                <c:pt idx="584">
                  <c:v>5.701447858100134</c:v>
                </c:pt>
                <c:pt idx="585">
                  <c:v>4.0956298554478909</c:v>
                </c:pt>
                <c:pt idx="586">
                  <c:v>2.4720005215224856</c:v>
                </c:pt>
                <c:pt idx="587">
                  <c:v>0.83370215092468336</c:v>
                </c:pt>
                <c:pt idx="588">
                  <c:v>-0.81388370623101935</c:v>
                </c:pt>
                <c:pt idx="589">
                  <c:v>-2.4685893673232422</c:v>
                </c:pt>
                <c:pt idx="590">
                  <c:v>-4.1267292567141984</c:v>
                </c:pt>
                <c:pt idx="591">
                  <c:v>-5.7858791721116525</c:v>
                </c:pt>
                <c:pt idx="592">
                  <c:v>-7.4437669013710757</c:v>
                </c:pt>
                <c:pt idx="593">
                  <c:v>-9.0993479064224623</c:v>
                </c:pt>
                <c:pt idx="594">
                  <c:v>-10.751121004570773</c:v>
                </c:pt>
                <c:pt idx="595">
                  <c:v>-12.398767125692823</c:v>
                </c:pt>
                <c:pt idx="596">
                  <c:v>-14.041636613992788</c:v>
                </c:pt>
                <c:pt idx="597">
                  <c:v>-15.680026359775381</c:v>
                </c:pt>
                <c:pt idx="598">
                  <c:v>-17.313666530508584</c:v>
                </c:pt>
                <c:pt idx="599">
                  <c:v>-18.943236639908328</c:v>
                </c:pt>
                <c:pt idx="600">
                  <c:v>-20.568825657019644</c:v>
                </c:pt>
              </c:numCache>
            </c:numRef>
          </c:yVal>
          <c:smooth val="1"/>
          <c:extLst>
            <c:ext xmlns:c16="http://schemas.microsoft.com/office/drawing/2014/chart" uri="{C3380CC4-5D6E-409C-BE32-E72D297353CC}">
              <c16:uniqueId val="{00000000-AA0F-4BCB-B5A3-5E4CFFD440F7}"/>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'Stability Calculations'!$AP$12</c:f>
              <c:strCache>
                <c:ptCount val="1"/>
                <c:pt idx="0">
                  <c:v>Phase(Deg)</c:v>
                </c:pt>
              </c:strCache>
            </c:strRef>
          </c:tx>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Calculations'!$AP$13:$AP$613</c:f>
              <c:numCache>
                <c:formatCode>0.0000</c:formatCode>
                <c:ptCount val="601"/>
                <c:pt idx="0">
                  <c:v>-4.4466223704692887E-2</c:v>
                </c:pt>
                <c:pt idx="1">
                  <c:v>-4.8757212399470853E-2</c:v>
                </c:pt>
                <c:pt idx="2">
                  <c:v>-5.3461736189882092E-2</c:v>
                </c:pt>
                <c:pt idx="3">
                  <c:v>-5.8619814409915531E-2</c:v>
                </c:pt>
                <c:pt idx="4">
                  <c:v>-6.4271466310638944E-2</c:v>
                </c:pt>
                <c:pt idx="5">
                  <c:v>-7.0474497504728909E-2</c:v>
                </c:pt>
                <c:pt idx="6">
                  <c:v>-7.7273373604034357E-2</c:v>
                </c:pt>
                <c:pt idx="7">
                  <c:v>-8.4730346495812903E-2</c:v>
                </c:pt>
                <c:pt idx="8">
                  <c:v>-9.290322119818839E-2</c:v>
                </c:pt>
                <c:pt idx="9">
                  <c:v>-0.10186758884849806</c:v>
                </c:pt>
                <c:pt idx="10">
                  <c:v>-0.11169459352875001</c:v>
                </c:pt>
                <c:pt idx="11">
                  <c:v>-0.12246871857140032</c:v>
                </c:pt>
                <c:pt idx="12">
                  <c:v>-0.13428778635052632</c:v>
                </c:pt>
                <c:pt idx="13">
                  <c:v>-0.14724072502750513</c:v>
                </c:pt>
                <c:pt idx="14">
                  <c:v>-0.16144758762775591</c:v>
                </c:pt>
                <c:pt idx="15">
                  <c:v>-0.17702397880904755</c:v>
                </c:pt>
                <c:pt idx="16">
                  <c:v>-0.19410328727363715</c:v>
                </c:pt>
                <c:pt idx="17">
                  <c:v>-0.21282779183465295</c:v>
                </c:pt>
                <c:pt idx="18">
                  <c:v>-0.23336200012932737</c:v>
                </c:pt>
                <c:pt idx="19">
                  <c:v>-0.25587486103973073</c:v>
                </c:pt>
                <c:pt idx="20">
                  <c:v>-0.28056199575237234</c:v>
                </c:pt>
                <c:pt idx="21">
                  <c:v>-0.30762790929248124</c:v>
                </c:pt>
                <c:pt idx="22">
                  <c:v>-0.33730822013558209</c:v>
                </c:pt>
                <c:pt idx="23">
                  <c:v>-0.36984742371566831</c:v>
                </c:pt>
                <c:pt idx="24">
                  <c:v>-0.40553001255399745</c:v>
                </c:pt>
                <c:pt idx="25">
                  <c:v>-0.44465379054638215</c:v>
                </c:pt>
                <c:pt idx="26">
                  <c:v>-0.48756098875396342</c:v>
                </c:pt>
                <c:pt idx="27">
                  <c:v>-0.53460268249209564</c:v>
                </c:pt>
                <c:pt idx="28">
                  <c:v>-0.58617879288486707</c:v>
                </c:pt>
                <c:pt idx="29">
                  <c:v>-0.64268915817174077</c:v>
                </c:pt>
                <c:pt idx="30">
                  <c:v>-0.70471135028991549</c:v>
                </c:pt>
                <c:pt idx="31">
                  <c:v>-0.77268941140931635</c:v>
                </c:pt>
                <c:pt idx="32">
                  <c:v>-0.8472450312813038</c:v>
                </c:pt>
                <c:pt idx="33">
                  <c:v>-0.92895518773207075</c:v>
                </c:pt>
                <c:pt idx="34">
                  <c:v>-1.018574350186187</c:v>
                </c:pt>
                <c:pt idx="35">
                  <c:v>-1.1168120902715599</c:v>
                </c:pt>
                <c:pt idx="36">
                  <c:v>-1.224510759965038</c:v>
                </c:pt>
                <c:pt idx="37">
                  <c:v>-1.3426452832830202</c:v>
                </c:pt>
                <c:pt idx="38">
                  <c:v>-1.4721006876630334</c:v>
                </c:pt>
                <c:pt idx="39">
                  <c:v>-1.6140717691714392</c:v>
                </c:pt>
                <c:pt idx="40">
                  <c:v>-1.7697071186455577</c:v>
                </c:pt>
                <c:pt idx="41">
                  <c:v>-1.9403307521598221</c:v>
                </c:pt>
                <c:pt idx="42">
                  <c:v>-2.1273524963898396</c:v>
                </c:pt>
                <c:pt idx="43">
                  <c:v>-2.3324002390875078</c:v>
                </c:pt>
                <c:pt idx="44">
                  <c:v>-2.5571409901832407</c:v>
                </c:pt>
                <c:pt idx="45">
                  <c:v>-2.803501177032993</c:v>
                </c:pt>
                <c:pt idx="46">
                  <c:v>-3.073486837932101</c:v>
                </c:pt>
                <c:pt idx="47">
                  <c:v>-3.369402500245918</c:v>
                </c:pt>
                <c:pt idx="48">
                  <c:v>-3.6936255516040917</c:v>
                </c:pt>
                <c:pt idx="49">
                  <c:v>-4.0489113991620655</c:v>
                </c:pt>
                <c:pt idx="50">
                  <c:v>-4.4381208949408162</c:v>
                </c:pt>
                <c:pt idx="51">
                  <c:v>-4.8645213503311089</c:v>
                </c:pt>
                <c:pt idx="52">
                  <c:v>-5.3314213665130863</c:v>
                </c:pt>
                <c:pt idx="53">
                  <c:v>-5.842553773359966</c:v>
                </c:pt>
                <c:pt idx="54">
                  <c:v>-6.4015718448484904</c:v>
                </c:pt>
                <c:pt idx="55">
                  <c:v>-7.0137817939233598</c:v>
                </c:pt>
                <c:pt idx="56">
                  <c:v>-7.6830329417862071</c:v>
                </c:pt>
                <c:pt idx="57">
                  <c:v>-8.414749386091076</c:v>
                </c:pt>
                <c:pt idx="58">
                  <c:v>-9.2136853282109872</c:v>
                </c:pt>
                <c:pt idx="59">
                  <c:v>-10.086033483893816</c:v>
                </c:pt>
                <c:pt idx="60">
                  <c:v>-11.037160805000047</c:v>
                </c:pt>
                <c:pt idx="61">
                  <c:v>-12.073230044944561</c:v>
                </c:pt>
                <c:pt idx="62">
                  <c:v>-13.201037270580182</c:v>
                </c:pt>
                <c:pt idx="63">
                  <c:v>-14.425714510742655</c:v>
                </c:pt>
                <c:pt idx="64">
                  <c:v>-15.754316393857767</c:v>
                </c:pt>
                <c:pt idx="65">
                  <c:v>-17.192170600969671</c:v>
                </c:pt>
                <c:pt idx="66">
                  <c:v>-18.744653049279279</c:v>
                </c:pt>
                <c:pt idx="67">
                  <c:v>-20.415980124264987</c:v>
                </c:pt>
                <c:pt idx="68">
                  <c:v>-22.209963568834418</c:v>
                </c:pt>
                <c:pt idx="69">
                  <c:v>-24.127947818834805</c:v>
                </c:pt>
                <c:pt idx="70">
                  <c:v>-26.170234021267355</c:v>
                </c:pt>
                <c:pt idx="71">
                  <c:v>-28.334037479666087</c:v>
                </c:pt>
                <c:pt idx="72">
                  <c:v>-30.614812034979753</c:v>
                </c:pt>
                <c:pt idx="73">
                  <c:v>-33.004064029963175</c:v>
                </c:pt>
                <c:pt idx="74">
                  <c:v>-35.491411414954094</c:v>
                </c:pt>
                <c:pt idx="75">
                  <c:v>-38.062465587043434</c:v>
                </c:pt>
                <c:pt idx="76">
                  <c:v>-40.701040725752236</c:v>
                </c:pt>
                <c:pt idx="77">
                  <c:v>-43.387188429493968</c:v>
                </c:pt>
                <c:pt idx="78">
                  <c:v>-46.100256002406134</c:v>
                </c:pt>
                <c:pt idx="79">
                  <c:v>-48.81702585660458</c:v>
                </c:pt>
                <c:pt idx="80">
                  <c:v>-51.520706625470233</c:v>
                </c:pt>
                <c:pt idx="81">
                  <c:v>-54.187179799011027</c:v>
                </c:pt>
                <c:pt idx="82">
                  <c:v>-56.799805631365167</c:v>
                </c:pt>
                <c:pt idx="83">
                  <c:v>-59.340825713769398</c:v>
                </c:pt>
                <c:pt idx="84">
                  <c:v>-61.799267252124451</c:v>
                </c:pt>
                <c:pt idx="85">
                  <c:v>-64.163979234967783</c:v>
                </c:pt>
                <c:pt idx="86">
                  <c:v>-66.428805397606794</c:v>
                </c:pt>
                <c:pt idx="87">
                  <c:v>-68.591373658757448</c:v>
                </c:pt>
                <c:pt idx="88">
                  <c:v>-70.648843824798547</c:v>
                </c:pt>
                <c:pt idx="89">
                  <c:v>-72.604508866319762</c:v>
                </c:pt>
                <c:pt idx="90">
                  <c:v>-74.461209058710992</c:v>
                </c:pt>
                <c:pt idx="91">
                  <c:v>-76.224362420663908</c:v>
                </c:pt>
                <c:pt idx="92">
                  <c:v>-77.900274715418789</c:v>
                </c:pt>
                <c:pt idx="93">
                  <c:v>-79.496946561084457</c:v>
                </c:pt>
                <c:pt idx="94">
                  <c:v>-79.884484566996932</c:v>
                </c:pt>
                <c:pt idx="95">
                  <c:v>-80.077811491642507</c:v>
                </c:pt>
                <c:pt idx="96">
                  <c:v>-80.267867549142778</c:v>
                </c:pt>
                <c:pt idx="97">
                  <c:v>-80.459050733849949</c:v>
                </c:pt>
                <c:pt idx="98">
                  <c:v>-80.647022118530671</c:v>
                </c:pt>
                <c:pt idx="99">
                  <c:v>-80.83617875735294</c:v>
                </c:pt>
                <c:pt idx="100">
                  <c:v>-81.022180662513065</c:v>
                </c:pt>
                <c:pt idx="101">
                  <c:v>-81.209281850604299</c:v>
                </c:pt>
                <c:pt idx="102">
                  <c:v>-81.393288182959864</c:v>
                </c:pt>
                <c:pt idx="103">
                  <c:v>-81.578584189452201</c:v>
                </c:pt>
                <c:pt idx="104">
                  <c:v>-81.760838844170848</c:v>
                </c:pt>
                <c:pt idx="105">
                  <c:v>-81.944296309824111</c:v>
                </c:pt>
                <c:pt idx="106">
                  <c:v>-82.12476883704538</c:v>
                </c:pt>
                <c:pt idx="107">
                  <c:v>-82.306365788088755</c:v>
                </c:pt>
                <c:pt idx="108">
                  <c:v>-82.485036656450191</c:v>
                </c:pt>
                <c:pt idx="109">
                  <c:v>-82.664882877866077</c:v>
                </c:pt>
                <c:pt idx="110">
                  <c:v>-82.841860037682949</c:v>
                </c:pt>
                <c:pt idx="111">
                  <c:v>-83.020176966367501</c:v>
                </c:pt>
                <c:pt idx="112">
                  <c:v>-83.19567653915432</c:v>
                </c:pt>
                <c:pt idx="113">
                  <c:v>-83.372437755343086</c:v>
                </c:pt>
                <c:pt idx="114">
                  <c:v>-83.546435825333447</c:v>
                </c:pt>
                <c:pt idx="115">
                  <c:v>-83.721735578310657</c:v>
                </c:pt>
                <c:pt idx="116">
                  <c:v>-83.894325085771698</c:v>
                </c:pt>
                <c:pt idx="117">
                  <c:v>-84.068253418320268</c:v>
                </c:pt>
                <c:pt idx="118">
                  <c:v>-84.239523235658993</c:v>
                </c:pt>
                <c:pt idx="119">
                  <c:v>-84.41206263512305</c:v>
                </c:pt>
                <c:pt idx="120">
                  <c:v>-84.581997308169065</c:v>
                </c:pt>
                <c:pt idx="121">
                  <c:v>-84.753240074563081</c:v>
                </c:pt>
                <c:pt idx="122">
                  <c:v>-84.92193059636044</c:v>
                </c:pt>
                <c:pt idx="123">
                  <c:v>-85.092063140020883</c:v>
                </c:pt>
                <c:pt idx="124">
                  <c:v>-85.259691879831138</c:v>
                </c:pt>
                <c:pt idx="125">
                  <c:v>-85.428696123013637</c:v>
                </c:pt>
                <c:pt idx="126">
                  <c:v>-85.595246978735915</c:v>
                </c:pt>
                <c:pt idx="127">
                  <c:v>-85.763205737839442</c:v>
                </c:pt>
                <c:pt idx="128">
                  <c:v>-85.928760513011554</c:v>
                </c:pt>
                <c:pt idx="129">
                  <c:v>-86.095754003837101</c:v>
                </c:pt>
                <c:pt idx="130">
                  <c:v>-86.260391977263779</c:v>
                </c:pt>
                <c:pt idx="131">
                  <c:v>-86.426498105132453</c:v>
                </c:pt>
                <c:pt idx="132">
                  <c:v>-86.508680935369711</c:v>
                </c:pt>
                <c:pt idx="133">
                  <c:v>-86.590296309621834</c:v>
                </c:pt>
                <c:pt idx="134">
                  <c:v>-86.673273650759825</c:v>
                </c:pt>
                <c:pt idx="135">
                  <c:v>-86.755675672185447</c:v>
                </c:pt>
                <c:pt idx="136">
                  <c:v>-86.8375118846253</c:v>
                </c:pt>
                <c:pt idx="137">
                  <c:v>-86.918791590378973</c:v>
                </c:pt>
                <c:pt idx="138">
                  <c:v>-87.001350535238316</c:v>
                </c:pt>
                <c:pt idx="139">
                  <c:v>-87.08334645349349</c:v>
                </c:pt>
                <c:pt idx="140">
                  <c:v>-87.16478865514604</c:v>
                </c:pt>
                <c:pt idx="141">
                  <c:v>-87.245686245891477</c:v>
                </c:pt>
                <c:pt idx="142">
                  <c:v>-87.327947357293468</c:v>
                </c:pt>
                <c:pt idx="143">
                  <c:v>-87.409656401669025</c:v>
                </c:pt>
                <c:pt idx="144">
                  <c:v>-87.490822518149486</c:v>
                </c:pt>
                <c:pt idx="145">
                  <c:v>-87.571454644854057</c:v>
                </c:pt>
                <c:pt idx="146">
                  <c:v>-87.6534109740753</c:v>
                </c:pt>
                <c:pt idx="147">
                  <c:v>-87.73482659783059</c:v>
                </c:pt>
                <c:pt idx="148">
                  <c:v>-87.815710471437697</c:v>
                </c:pt>
                <c:pt idx="149">
                  <c:v>-87.896071352915698</c:v>
                </c:pt>
                <c:pt idx="150">
                  <c:v>-87.977757951726375</c:v>
                </c:pt>
                <c:pt idx="151">
                  <c:v>-88.05891503205234</c:v>
                </c:pt>
                <c:pt idx="152">
                  <c:v>-88.139551366702918</c:v>
                </c:pt>
                <c:pt idx="153">
                  <c:v>-88.219675534904709</c:v>
                </c:pt>
                <c:pt idx="154">
                  <c:v>-88.301164228501321</c:v>
                </c:pt>
                <c:pt idx="155">
                  <c:v>-88.382133947201666</c:v>
                </c:pt>
                <c:pt idx="156">
                  <c:v>-88.46259329426546</c:v>
                </c:pt>
                <c:pt idx="157">
                  <c:v>-88.542550682745613</c:v>
                </c:pt>
                <c:pt idx="158">
                  <c:v>-88.623872621949147</c:v>
                </c:pt>
                <c:pt idx="159">
                  <c:v>-88.70468601882969</c:v>
                </c:pt>
                <c:pt idx="160">
                  <c:v>-88.784999306931553</c:v>
                </c:pt>
                <c:pt idx="161">
                  <c:v>-88.864820733009708</c:v>
                </c:pt>
                <c:pt idx="162">
                  <c:v>-88.945971278523757</c:v>
                </c:pt>
                <c:pt idx="163">
                  <c:v>-89.026624034783268</c:v>
                </c:pt>
                <c:pt idx="164">
                  <c:v>-89.106787254761059</c:v>
                </c:pt>
                <c:pt idx="165">
                  <c:v>-89.186469008415315</c:v>
                </c:pt>
                <c:pt idx="166">
                  <c:v>-89.267550780177288</c:v>
                </c:pt>
                <c:pt idx="167">
                  <c:v>-89.348144517527132</c:v>
                </c:pt>
                <c:pt idx="168">
                  <c:v>-89.428258314695299</c:v>
                </c:pt>
                <c:pt idx="169">
                  <c:v>-89.50790008606441</c:v>
                </c:pt>
                <c:pt idx="170">
                  <c:v>-89.588771626443034</c:v>
                </c:pt>
                <c:pt idx="171">
                  <c:v>-89.669166804822083</c:v>
                </c:pt>
                <c:pt idx="172">
                  <c:v>-89.749093506322637</c:v>
                </c:pt>
                <c:pt idx="173">
                  <c:v>-89.828559440907554</c:v>
                </c:pt>
                <c:pt idx="174">
                  <c:v>-89.909558272869063</c:v>
                </c:pt>
                <c:pt idx="175">
                  <c:v>-89.990088680484291</c:v>
                </c:pt>
                <c:pt idx="176">
                  <c:v>-90.070158429313111</c:v>
                </c:pt>
                <c:pt idx="177">
                  <c:v>-90.149775111835595</c:v>
                </c:pt>
                <c:pt idx="178">
                  <c:v>-90.230887429185444</c:v>
                </c:pt>
                <c:pt idx="179">
                  <c:v>-90.311539724582076</c:v>
                </c:pt>
                <c:pt idx="180">
                  <c:v>-90.39173962982062</c:v>
                </c:pt>
                <c:pt idx="181">
                  <c:v>-90.471494606140837</c:v>
                </c:pt>
                <c:pt idx="182">
                  <c:v>-90.552393881181544</c:v>
                </c:pt>
                <c:pt idx="183">
                  <c:v>-90.632845410790125</c:v>
                </c:pt>
                <c:pt idx="184">
                  <c:v>-90.712856594269951</c:v>
                </c:pt>
                <c:pt idx="185">
                  <c:v>-90.792434665854998</c:v>
                </c:pt>
                <c:pt idx="186">
                  <c:v>-90.873753558343367</c:v>
                </c:pt>
                <c:pt idx="187">
                  <c:v>-90.954630201262432</c:v>
                </c:pt>
                <c:pt idx="188">
                  <c:v>-91.035071926228966</c:v>
                </c:pt>
                <c:pt idx="189">
                  <c:v>-91.115085900413021</c:v>
                </c:pt>
                <c:pt idx="190">
                  <c:v>-91.196194039608002</c:v>
                </c:pt>
                <c:pt idx="191">
                  <c:v>-91.276872472666767</c:v>
                </c:pt>
                <c:pt idx="192">
                  <c:v>-91.357128286582068</c:v>
                </c:pt>
                <c:pt idx="193">
                  <c:v>-91.436968409813133</c:v>
                </c:pt>
                <c:pt idx="194">
                  <c:v>-91.518476642404153</c:v>
                </c:pt>
                <c:pt idx="195">
                  <c:v>-91.599561392616579</c:v>
                </c:pt>
                <c:pt idx="196">
                  <c:v>-91.680229655892447</c:v>
                </c:pt>
                <c:pt idx="197">
                  <c:v>-91.760488270527034</c:v>
                </c:pt>
                <c:pt idx="198">
                  <c:v>-91.842088126862109</c:v>
                </c:pt>
                <c:pt idx="199">
                  <c:v>-91.923274152350231</c:v>
                </c:pt>
                <c:pt idx="200">
                  <c:v>-92.004053163595501</c:v>
                </c:pt>
                <c:pt idx="201">
                  <c:v>-92.084431824069114</c:v>
                </c:pt>
                <c:pt idx="202">
                  <c:v>-92.166126345997583</c:v>
                </c:pt>
                <c:pt idx="203">
                  <c:v>-92.247416758133312</c:v>
                </c:pt>
                <c:pt idx="204">
                  <c:v>-92.328309693750143</c:v>
                </c:pt>
                <c:pt idx="205">
                  <c:v>-92.40881163716621</c:v>
                </c:pt>
                <c:pt idx="206">
                  <c:v>-92.490885070797262</c:v>
                </c:pt>
                <c:pt idx="207">
                  <c:v>-92.572561454710836</c:v>
                </c:pt>
                <c:pt idx="208">
                  <c:v>-92.653847301285168</c:v>
                </c:pt>
                <c:pt idx="209">
                  <c:v>-92.734748976281963</c:v>
                </c:pt>
                <c:pt idx="210">
                  <c:v>-92.817466060348551</c:v>
                </c:pt>
                <c:pt idx="211">
                  <c:v>-92.899790869505324</c:v>
                </c:pt>
                <c:pt idx="212">
                  <c:v>-92.981729848410822</c:v>
                </c:pt>
                <c:pt idx="213">
                  <c:v>-93.063289295868685</c:v>
                </c:pt>
                <c:pt idx="214">
                  <c:v>-93.146089941830681</c:v>
                </c:pt>
                <c:pt idx="215">
                  <c:v>-93.228508564048397</c:v>
                </c:pt>
                <c:pt idx="216">
                  <c:v>-93.310551402409004</c:v>
                </c:pt>
                <c:pt idx="217">
                  <c:v>-93.392224555842333</c:v>
                </c:pt>
                <c:pt idx="218">
                  <c:v>-93.475383752038084</c:v>
                </c:pt>
                <c:pt idx="219">
                  <c:v>-93.558168683750722</c:v>
                </c:pt>
                <c:pt idx="220">
                  <c:v>-93.640585444153345</c:v>
                </c:pt>
                <c:pt idx="221">
                  <c:v>-93.722639988641788</c:v>
                </c:pt>
                <c:pt idx="222">
                  <c:v>-93.806155417846909</c:v>
                </c:pt>
                <c:pt idx="223">
                  <c:v>-93.889304463614693</c:v>
                </c:pt>
                <c:pt idx="224">
                  <c:v>-93.972093066545099</c:v>
                </c:pt>
                <c:pt idx="225">
                  <c:v>-94.054527032840284</c:v>
                </c:pt>
                <c:pt idx="226">
                  <c:v>-94.138653361551221</c:v>
                </c:pt>
                <c:pt idx="227">
                  <c:v>-94.222419090252885</c:v>
                </c:pt>
                <c:pt idx="228">
                  <c:v>-94.305830054785034</c:v>
                </c:pt>
                <c:pt idx="229">
                  <c:v>-94.388891958550545</c:v>
                </c:pt>
                <c:pt idx="230">
                  <c:v>-94.557988571723882</c:v>
                </c:pt>
                <c:pt idx="231">
                  <c:v>-94.642010790932503</c:v>
                </c:pt>
                <c:pt idx="232">
                  <c:v>-94.725689783375927</c:v>
                </c:pt>
                <c:pt idx="233">
                  <c:v>-94.811005380236466</c:v>
                </c:pt>
                <c:pt idx="234">
                  <c:v>-94.895972717338708</c:v>
                </c:pt>
                <c:pt idx="235">
                  <c:v>-94.980597392884405</c:v>
                </c:pt>
                <c:pt idx="236">
                  <c:v>-95.064884877457189</c:v>
                </c:pt>
                <c:pt idx="237">
                  <c:v>-95.150540567145256</c:v>
                </c:pt>
                <c:pt idx="238">
                  <c:v>-95.235856358460651</c:v>
                </c:pt>
                <c:pt idx="239">
                  <c:v>-95.320837673653557</c:v>
                </c:pt>
                <c:pt idx="240">
                  <c:v>-95.405489811524248</c:v>
                </c:pt>
                <c:pt idx="241">
                  <c:v>-95.491969865192132</c:v>
                </c:pt>
                <c:pt idx="242">
                  <c:v>-95.578114598733293</c:v>
                </c:pt>
                <c:pt idx="243">
                  <c:v>-95.663929345566061</c:v>
                </c:pt>
                <c:pt idx="244">
                  <c:v>-95.74941931720673</c:v>
                </c:pt>
                <c:pt idx="245">
                  <c:v>-95.836473454448239</c:v>
                </c:pt>
                <c:pt idx="246">
                  <c:v>-95.923198898164969</c:v>
                </c:pt>
                <c:pt idx="247">
                  <c:v>-96.009600840985073</c:v>
                </c:pt>
                <c:pt idx="248">
                  <c:v>-96.095684356774029</c:v>
                </c:pt>
                <c:pt idx="249">
                  <c:v>-96.183542481378794</c:v>
                </c:pt>
                <c:pt idx="250">
                  <c:v>-96.271076867343155</c:v>
                </c:pt>
                <c:pt idx="251">
                  <c:v>-96.358292602659802</c:v>
                </c:pt>
                <c:pt idx="252">
                  <c:v>-96.445194658615009</c:v>
                </c:pt>
                <c:pt idx="253">
                  <c:v>-96.533617251747017</c:v>
                </c:pt>
                <c:pt idx="254">
                  <c:v>-96.621722867047112</c:v>
                </c:pt>
                <c:pt idx="255">
                  <c:v>-96.709516442219936</c:v>
                </c:pt>
                <c:pt idx="256">
                  <c:v>-96.797002801727388</c:v>
                </c:pt>
                <c:pt idx="257">
                  <c:v>-96.886441330788486</c:v>
                </c:pt>
                <c:pt idx="258">
                  <c:v>-96.975566454779511</c:v>
                </c:pt>
                <c:pt idx="259">
                  <c:v>-97.064383031893257</c:v>
                </c:pt>
                <c:pt idx="260">
                  <c:v>-97.152895808399322</c:v>
                </c:pt>
                <c:pt idx="261">
                  <c:v>-97.243110835501795</c:v>
                </c:pt>
                <c:pt idx="262">
                  <c:v>-97.333017792766071</c:v>
                </c:pt>
                <c:pt idx="263">
                  <c:v>-97.422621414341549</c:v>
                </c:pt>
                <c:pt idx="264">
                  <c:v>-97.511926325146078</c:v>
                </c:pt>
                <c:pt idx="265">
                  <c:v>-97.602911752463129</c:v>
                </c:pt>
                <c:pt idx="266">
                  <c:v>-97.693594482205611</c:v>
                </c:pt>
                <c:pt idx="267">
                  <c:v>-97.78397912021596</c:v>
                </c:pt>
                <c:pt idx="268">
                  <c:v>-97.874070165944161</c:v>
                </c:pt>
                <c:pt idx="269">
                  <c:v>-97.966037601210573</c:v>
                </c:pt>
                <c:pt idx="270">
                  <c:v>-98.05770631335605</c:v>
                </c:pt>
                <c:pt idx="271">
                  <c:v>-98.149080808046733</c:v>
                </c:pt>
                <c:pt idx="272">
                  <c:v>-98.240165486544697</c:v>
                </c:pt>
                <c:pt idx="273">
                  <c:v>-98.333102726367315</c:v>
                </c:pt>
                <c:pt idx="274">
                  <c:v>-98.425745327080406</c:v>
                </c:pt>
                <c:pt idx="275">
                  <c:v>-98.51809768776981</c:v>
                </c:pt>
                <c:pt idx="276">
                  <c:v>-98.610164105314539</c:v>
                </c:pt>
                <c:pt idx="277">
                  <c:v>-98.703849193533117</c:v>
                </c:pt>
                <c:pt idx="278">
                  <c:v>-98.797245089770897</c:v>
                </c:pt>
                <c:pt idx="279">
                  <c:v>-98.890356052626771</c:v>
                </c:pt>
                <c:pt idx="280">
                  <c:v>-98.983186241750417</c:v>
                </c:pt>
                <c:pt idx="281">
                  <c:v>-99.078243000840544</c:v>
                </c:pt>
                <c:pt idx="282">
                  <c:v>-99.173012155225607</c:v>
                </c:pt>
                <c:pt idx="283">
                  <c:v>-99.267497903961555</c:v>
                </c:pt>
                <c:pt idx="284">
                  <c:v>-99.361704347921261</c:v>
                </c:pt>
                <c:pt idx="285">
                  <c:v>-99.457490721377326</c:v>
                </c:pt>
                <c:pt idx="286">
                  <c:v>-99.5529949451237</c:v>
                </c:pt>
                <c:pt idx="287">
                  <c:v>-99.648221070330877</c:v>
                </c:pt>
                <c:pt idx="288">
                  <c:v>-99.743173053502773</c:v>
                </c:pt>
                <c:pt idx="289">
                  <c:v>-99.840299872600866</c:v>
                </c:pt>
                <c:pt idx="290">
                  <c:v>-99.937146327523337</c:v>
                </c:pt>
                <c:pt idx="291">
                  <c:v>-100.03371639647891</c:v>
                </c:pt>
                <c:pt idx="292">
                  <c:v>-100.13001396421157</c:v>
                </c:pt>
                <c:pt idx="293">
                  <c:v>-100.22825883213196</c:v>
                </c:pt>
                <c:pt idx="294">
                  <c:v>-100.3262263971334</c:v>
                </c:pt>
                <c:pt idx="295">
                  <c:v>-100.42392053275881</c:v>
                </c:pt>
                <c:pt idx="296">
                  <c:v>-100.52134502128391</c:v>
                </c:pt>
                <c:pt idx="297">
                  <c:v>-100.62069505909245</c:v>
                </c:pt>
                <c:pt idx="298">
                  <c:v>-100.71977084944594</c:v>
                </c:pt>
                <c:pt idx="299">
                  <c:v>-100.8185761572125</c:v>
                </c:pt>
                <c:pt idx="300">
                  <c:v>-100.91711465833023</c:v>
                </c:pt>
                <c:pt idx="301">
                  <c:v>-101.01755773713028</c:v>
                </c:pt>
                <c:pt idx="302">
                  <c:v>-101.11772958405338</c:v>
                </c:pt>
                <c:pt idx="303">
                  <c:v>-101.21763385214126</c:v>
                </c:pt>
                <c:pt idx="304">
                  <c:v>-101.31727410795651</c:v>
                </c:pt>
                <c:pt idx="305">
                  <c:v>-101.41918863784463</c:v>
                </c:pt>
                <c:pt idx="306">
                  <c:v>-101.52083282675471</c:v>
                </c:pt>
                <c:pt idx="307">
                  <c:v>-101.62221025403629</c:v>
                </c:pt>
                <c:pt idx="308">
                  <c:v>-101.72332441382216</c:v>
                </c:pt>
                <c:pt idx="309">
                  <c:v>-101.82630122835272</c:v>
                </c:pt>
                <c:pt idx="310">
                  <c:v>-101.92901066430785</c:v>
                </c:pt>
                <c:pt idx="311">
                  <c:v>-102.03145618181615</c:v>
                </c:pt>
                <c:pt idx="312">
                  <c:v>-102.13364115850359</c:v>
                </c:pt>
                <c:pt idx="313">
                  <c:v>-102.23805174778573</c:v>
                </c:pt>
                <c:pt idx="314">
                  <c:v>-102.34219585185851</c:v>
                </c:pt>
                <c:pt idx="315">
                  <c:v>-102.44607684738932</c:v>
                </c:pt>
                <c:pt idx="316">
                  <c:v>-102.54969803014029</c:v>
                </c:pt>
                <c:pt idx="317">
                  <c:v>-102.6555205774084</c:v>
                </c:pt>
                <c:pt idx="318">
                  <c:v>-102.76107753401602</c:v>
                </c:pt>
                <c:pt idx="319">
                  <c:v>-102.86637218806247</c:v>
                </c:pt>
                <c:pt idx="320">
                  <c:v>-102.97140774851302</c:v>
                </c:pt>
                <c:pt idx="321">
                  <c:v>-103.07862106148595</c:v>
                </c:pt>
                <c:pt idx="322">
                  <c:v>-103.18556964384697</c:v>
                </c:pt>
                <c:pt idx="323">
                  <c:v>-103.29225669090673</c:v>
                </c:pt>
                <c:pt idx="324">
                  <c:v>-103.39868532076356</c:v>
                </c:pt>
                <c:pt idx="325">
                  <c:v>-103.50726866053574</c:v>
                </c:pt>
                <c:pt idx="326">
                  <c:v>-103.61558806262512</c:v>
                </c:pt>
                <c:pt idx="327">
                  <c:v>-103.72364662616796</c:v>
                </c:pt>
                <c:pt idx="328">
                  <c:v>-103.83144737513781</c:v>
                </c:pt>
                <c:pt idx="329">
                  <c:v>-103.94156390950184</c:v>
                </c:pt>
                <c:pt idx="330">
                  <c:v>-104.05141632632666</c:v>
                </c:pt>
                <c:pt idx="331">
                  <c:v>-104.16100764086019</c:v>
                </c:pt>
                <c:pt idx="332">
                  <c:v>-104.27034079485998</c:v>
                </c:pt>
                <c:pt idx="333">
                  <c:v>-104.38178314859866</c:v>
                </c:pt>
                <c:pt idx="334">
                  <c:v>-104.49296199728525</c:v>
                </c:pt>
                <c:pt idx="335">
                  <c:v>-104.60388025422709</c:v>
                </c:pt>
                <c:pt idx="336">
                  <c:v>-104.71454076152303</c:v>
                </c:pt>
                <c:pt idx="337">
                  <c:v>-104.82764913178673</c:v>
                </c:pt>
                <c:pt idx="338">
                  <c:v>-104.94049278182074</c:v>
                </c:pt>
                <c:pt idx="339">
                  <c:v>-105.05307454858819</c:v>
                </c:pt>
                <c:pt idx="340">
                  <c:v>-105.16539719931615</c:v>
                </c:pt>
                <c:pt idx="341">
                  <c:v>-105.2801413252399</c:v>
                </c:pt>
                <c:pt idx="342">
                  <c:v>-105.39461944539647</c:v>
                </c:pt>
                <c:pt idx="343">
                  <c:v>-105.50883431615475</c:v>
                </c:pt>
                <c:pt idx="344">
                  <c:v>-105.62278862578522</c:v>
                </c:pt>
                <c:pt idx="345">
                  <c:v>-105.73896150212366</c:v>
                </c:pt>
                <c:pt idx="346">
                  <c:v>-105.85486779515884</c:v>
                </c:pt>
                <c:pt idx="347">
                  <c:v>-105.97051016522197</c:v>
                </c:pt>
                <c:pt idx="348">
                  <c:v>-106.08589120671816</c:v>
                </c:pt>
                <c:pt idx="349">
                  <c:v>-106.20381809752602</c:v>
                </c:pt>
                <c:pt idx="350">
                  <c:v>-106.32147606416977</c:v>
                </c:pt>
                <c:pt idx="351">
                  <c:v>-106.43886769277276</c:v>
                </c:pt>
                <c:pt idx="352">
                  <c:v>-106.55599550502097</c:v>
                </c:pt>
                <c:pt idx="353">
                  <c:v>-106.67564132906273</c:v>
                </c:pt>
                <c:pt idx="354">
                  <c:v>-106.79501577499308</c:v>
                </c:pt>
                <c:pt idx="355">
                  <c:v>-106.91412135119324</c:v>
                </c:pt>
                <c:pt idx="356">
                  <c:v>-107.03296050324673</c:v>
                </c:pt>
                <c:pt idx="357">
                  <c:v>-107.15411790547481</c:v>
                </c:pt>
                <c:pt idx="358">
                  <c:v>-107.2750021093759</c:v>
                </c:pt>
                <c:pt idx="359">
                  <c:v>-107.39561553266553</c:v>
                </c:pt>
                <c:pt idx="360">
                  <c:v>-107.5159605323723</c:v>
                </c:pt>
                <c:pt idx="361">
                  <c:v>-107.6389398864935</c:v>
                </c:pt>
                <c:pt idx="362">
                  <c:v>-107.76164249518887</c:v>
                </c:pt>
                <c:pt idx="363">
                  <c:v>-107.88407070428818</c:v>
                </c:pt>
                <c:pt idx="364">
                  <c:v>-108.00622680046668</c:v>
                </c:pt>
                <c:pt idx="365">
                  <c:v>-108.13081854691148</c:v>
                </c:pt>
                <c:pt idx="366">
                  <c:v>-108.25513060251983</c:v>
                </c:pt>
                <c:pt idx="367">
                  <c:v>-108.37916522945402</c:v>
                </c:pt>
                <c:pt idx="368">
                  <c:v>-108.50292463270041</c:v>
                </c:pt>
                <c:pt idx="369">
                  <c:v>-108.62942760481558</c:v>
                </c:pt>
                <c:pt idx="370">
                  <c:v>-108.75564623491351</c:v>
                </c:pt>
                <c:pt idx="371">
                  <c:v>-108.88158271814231</c:v>
                </c:pt>
                <c:pt idx="372">
                  <c:v>-109.00723919394819</c:v>
                </c:pt>
                <c:pt idx="373">
                  <c:v>-109.13544139736996</c:v>
                </c:pt>
                <c:pt idx="374">
                  <c:v>-109.26335517810141</c:v>
                </c:pt>
                <c:pt idx="375">
                  <c:v>-109.39098265371193</c:v>
                </c:pt>
                <c:pt idx="376">
                  <c:v>-109.51832588796428</c:v>
                </c:pt>
                <c:pt idx="377">
                  <c:v>-109.64851455107285</c:v>
                </c:pt>
                <c:pt idx="378">
                  <c:v>-109.77840901160212</c:v>
                </c:pt>
                <c:pt idx="379">
                  <c:v>-109.90801132448684</c:v>
                </c:pt>
                <c:pt idx="380">
                  <c:v>-110.03732349231564</c:v>
                </c:pt>
                <c:pt idx="381">
                  <c:v>-110.1691207788614</c:v>
                </c:pt>
                <c:pt idx="382">
                  <c:v>-110.30061936294877</c:v>
                </c:pt>
                <c:pt idx="383">
                  <c:v>-110.43182122034145</c:v>
                </c:pt>
                <c:pt idx="384">
                  <c:v>-110.56272827655408</c:v>
                </c:pt>
                <c:pt idx="385">
                  <c:v>-110.69657573372992</c:v>
                </c:pt>
                <c:pt idx="386">
                  <c:v>-110.83011753572789</c:v>
                </c:pt>
                <c:pt idx="387">
                  <c:v>-110.96335560063609</c:v>
                </c:pt>
                <c:pt idx="388">
                  <c:v>-111.09629179775018</c:v>
                </c:pt>
                <c:pt idx="389">
                  <c:v>-111.23197170081903</c:v>
                </c:pt>
                <c:pt idx="390">
                  <c:v>-111.3673395136847</c:v>
                </c:pt>
                <c:pt idx="391">
                  <c:v>-111.50239708880378</c:v>
                </c:pt>
                <c:pt idx="392">
                  <c:v>-111.63714623165814</c:v>
                </c:pt>
                <c:pt idx="393">
                  <c:v>-111.77460458810206</c:v>
                </c:pt>
                <c:pt idx="394">
                  <c:v>-111.91174417623995</c:v>
                </c:pt>
                <c:pt idx="395">
                  <c:v>-112.04856678319288</c:v>
                </c:pt>
                <c:pt idx="396">
                  <c:v>-112.18507415101996</c:v>
                </c:pt>
                <c:pt idx="397">
                  <c:v>-112.3245705334986</c:v>
                </c:pt>
                <c:pt idx="398">
                  <c:v>-112.46373974566541</c:v>
                </c:pt>
                <c:pt idx="399">
                  <c:v>-112.60258352187478</c:v>
                </c:pt>
                <c:pt idx="400">
                  <c:v>-112.74110355302089</c:v>
                </c:pt>
                <c:pt idx="401">
                  <c:v>-112.88241737529937</c:v>
                </c:pt>
                <c:pt idx="402">
                  <c:v>-113.02339611459252</c:v>
                </c:pt>
                <c:pt idx="403">
                  <c:v>-113.16404144701697</c:v>
                </c:pt>
                <c:pt idx="404">
                  <c:v>-113.30435500713574</c:v>
                </c:pt>
                <c:pt idx="405">
                  <c:v>-113.44757913452317</c:v>
                </c:pt>
                <c:pt idx="406">
                  <c:v>-113.59045926595752</c:v>
                </c:pt>
                <c:pt idx="407">
                  <c:v>-113.73299702608278</c:v>
                </c:pt>
                <c:pt idx="408">
                  <c:v>-113.87519399980221</c:v>
                </c:pt>
                <c:pt idx="409">
                  <c:v>-114.02041425948541</c:v>
                </c:pt>
                <c:pt idx="410">
                  <c:v>-114.16528060501875</c:v>
                </c:pt>
                <c:pt idx="411">
                  <c:v>-114.30979461603151</c:v>
                </c:pt>
                <c:pt idx="412">
                  <c:v>-114.45395783415628</c:v>
                </c:pt>
                <c:pt idx="413">
                  <c:v>-114.60110157091725</c:v>
                </c:pt>
                <c:pt idx="414">
                  <c:v>-114.74788121095935</c:v>
                </c:pt>
                <c:pt idx="415">
                  <c:v>-114.89429829049372</c:v>
                </c:pt>
                <c:pt idx="416">
                  <c:v>-115.04035430957977</c:v>
                </c:pt>
                <c:pt idx="417">
                  <c:v>-115.18949748507039</c:v>
                </c:pt>
                <c:pt idx="418">
                  <c:v>-115.33826536323205</c:v>
                </c:pt>
                <c:pt idx="419">
                  <c:v>-115.48665944367833</c:v>
                </c:pt>
                <c:pt idx="420">
                  <c:v>-115.63468119165974</c:v>
                </c:pt>
                <c:pt idx="421">
                  <c:v>-115.78559578085957</c:v>
                </c:pt>
                <c:pt idx="422">
                  <c:v>-115.93612436463238</c:v>
                </c:pt>
                <c:pt idx="423">
                  <c:v>-116.08626840424489</c:v>
                </c:pt>
                <c:pt idx="424">
                  <c:v>-116.23602932860615</c:v>
                </c:pt>
                <c:pt idx="425">
                  <c:v>-116.38907940472154</c:v>
                </c:pt>
                <c:pt idx="426">
                  <c:v>-116.54173021755558</c:v>
                </c:pt>
                <c:pt idx="427">
                  <c:v>-116.69398320605048</c:v>
                </c:pt>
                <c:pt idx="428">
                  <c:v>-116.84583977849599</c:v>
                </c:pt>
                <c:pt idx="429">
                  <c:v>-117.00078857434009</c:v>
                </c:pt>
                <c:pt idx="430">
                  <c:v>-117.1553253535036</c:v>
                </c:pt>
                <c:pt idx="431">
                  <c:v>-117.30945153172836</c:v>
                </c:pt>
                <c:pt idx="432">
                  <c:v>-117.46316849601675</c:v>
                </c:pt>
                <c:pt idx="433">
                  <c:v>-117.61992777021528</c:v>
                </c:pt>
                <c:pt idx="434">
                  <c:v>-117.77626202510784</c:v>
                </c:pt>
                <c:pt idx="435">
                  <c:v>-117.93217265747687</c:v>
                </c:pt>
                <c:pt idx="436">
                  <c:v>-118.08766103733457</c:v>
                </c:pt>
                <c:pt idx="437">
                  <c:v>-118.24642562902589</c:v>
                </c:pt>
                <c:pt idx="438">
                  <c:v>-118.40475039014584</c:v>
                </c:pt>
                <c:pt idx="439">
                  <c:v>-118.5626367108125</c:v>
                </c:pt>
                <c:pt idx="440">
                  <c:v>-118.7200859562072</c:v>
                </c:pt>
                <c:pt idx="441">
                  <c:v>-118.88075558109537</c:v>
                </c:pt>
                <c:pt idx="442">
                  <c:v>-119.04097032620669</c:v>
                </c:pt>
                <c:pt idx="443">
                  <c:v>-119.20073157994726</c:v>
                </c:pt>
                <c:pt idx="444">
                  <c:v>-119.36004070768108</c:v>
                </c:pt>
                <c:pt idx="445">
                  <c:v>-119.52251371981473</c:v>
                </c:pt>
                <c:pt idx="446">
                  <c:v>-119.68451658551557</c:v>
                </c:pt>
                <c:pt idx="447">
                  <c:v>-119.84605069711579</c:v>
                </c:pt>
                <c:pt idx="448">
                  <c:v>-120.00711742584227</c:v>
                </c:pt>
                <c:pt idx="449">
                  <c:v>-120.17156572468384</c:v>
                </c:pt>
                <c:pt idx="450">
                  <c:v>-120.3355267899469</c:v>
                </c:pt>
                <c:pt idx="451">
                  <c:v>-120.49900203115845</c:v>
                </c:pt>
                <c:pt idx="452">
                  <c:v>-120.6619928385683</c:v>
                </c:pt>
                <c:pt idx="453">
                  <c:v>-120.82816673726046</c:v>
                </c:pt>
                <c:pt idx="454">
                  <c:v>-120.99383694664667</c:v>
                </c:pt>
                <c:pt idx="455">
                  <c:v>-121.15900489652282</c:v>
                </c:pt>
                <c:pt idx="456">
                  <c:v>-121.32367199932918</c:v>
                </c:pt>
                <c:pt idx="457">
                  <c:v>-121.49172955430708</c:v>
                </c:pt>
                <c:pt idx="458">
                  <c:v>-121.65926515190424</c:v>
                </c:pt>
                <c:pt idx="459">
                  <c:v>-121.82628025639569</c:v>
                </c:pt>
                <c:pt idx="460">
                  <c:v>-121.99277631651415</c:v>
                </c:pt>
                <c:pt idx="461">
                  <c:v>-122.16259626101115</c:v>
                </c:pt>
                <c:pt idx="462">
                  <c:v>-122.33187583989638</c:v>
                </c:pt>
                <c:pt idx="463">
                  <c:v>-122.50061655957168</c:v>
                </c:pt>
                <c:pt idx="464">
                  <c:v>-122.66881991271741</c:v>
                </c:pt>
                <c:pt idx="465">
                  <c:v>-122.8404106700651</c:v>
                </c:pt>
                <c:pt idx="466">
                  <c:v>-123.01144169938719</c:v>
                </c:pt>
                <c:pt idx="467">
                  <c:v>-123.1819145609122</c:v>
                </c:pt>
                <c:pt idx="468">
                  <c:v>-123.35183080291073</c:v>
                </c:pt>
                <c:pt idx="469">
                  <c:v>-123.52506397283923</c:v>
                </c:pt>
                <c:pt idx="470">
                  <c:v>-123.69771797904244</c:v>
                </c:pt>
                <c:pt idx="471">
                  <c:v>-123.86979444419619</c:v>
                </c:pt>
                <c:pt idx="472">
                  <c:v>-124.04129498075032</c:v>
                </c:pt>
                <c:pt idx="473">
                  <c:v>-124.21629600330884</c:v>
                </c:pt>
                <c:pt idx="474">
                  <c:v>-124.39069665280425</c:v>
                </c:pt>
                <c:pt idx="475">
                  <c:v>-124.56449863074177</c:v>
                </c:pt>
                <c:pt idx="476">
                  <c:v>-124.73770363003135</c:v>
                </c:pt>
                <c:pt idx="477">
                  <c:v>-124.9143321273142</c:v>
                </c:pt>
                <c:pt idx="478">
                  <c:v>-125.09033903566846</c:v>
                </c:pt>
                <c:pt idx="479">
                  <c:v>-125.26572614500222</c:v>
                </c:pt>
                <c:pt idx="480">
                  <c:v>-125.44049523819837</c:v>
                </c:pt>
                <c:pt idx="481">
                  <c:v>-125.61861021863868</c:v>
                </c:pt>
                <c:pt idx="482">
                  <c:v>-125.79608244264186</c:v>
                </c:pt>
                <c:pt idx="483">
                  <c:v>-125.97291379833352</c:v>
                </c:pt>
                <c:pt idx="484">
                  <c:v>-126.14910616830448</c:v>
                </c:pt>
                <c:pt idx="485">
                  <c:v>-126.32868830410796</c:v>
                </c:pt>
                <c:pt idx="486">
                  <c:v>-126.50760571806417</c:v>
                </c:pt>
                <c:pt idx="487">
                  <c:v>-126.68586041052943</c:v>
                </c:pt>
                <c:pt idx="488">
                  <c:v>-126.86345437769475</c:v>
                </c:pt>
                <c:pt idx="489">
                  <c:v>-127.04459720543564</c:v>
                </c:pt>
                <c:pt idx="490">
                  <c:v>-127.22505167137369</c:v>
                </c:pt>
                <c:pt idx="491">
                  <c:v>-127.40481990680333</c:v>
                </c:pt>
                <c:pt idx="492">
                  <c:v>-127.58390404008254</c:v>
                </c:pt>
                <c:pt idx="493">
                  <c:v>-127.766449740081</c:v>
                </c:pt>
                <c:pt idx="494">
                  <c:v>-127.94828362864446</c:v>
                </c:pt>
                <c:pt idx="495">
                  <c:v>-128.12940797882527</c:v>
                </c:pt>
                <c:pt idx="496">
                  <c:v>-128.30982506183366</c:v>
                </c:pt>
                <c:pt idx="497">
                  <c:v>-128.4937325186452</c:v>
                </c:pt>
                <c:pt idx="498">
                  <c:v>-128.67690404110888</c:v>
                </c:pt>
                <c:pt idx="499">
                  <c:v>-128.85934205934529</c:v>
                </c:pt>
                <c:pt idx="500">
                  <c:v>-129.04104900256272</c:v>
                </c:pt>
                <c:pt idx="501">
                  <c:v>-129.22627011283672</c:v>
                </c:pt>
                <c:pt idx="502">
                  <c:v>-129.4107305428507</c:v>
                </c:pt>
                <c:pt idx="503">
                  <c:v>-129.59443289545104</c:v>
                </c:pt>
                <c:pt idx="504">
                  <c:v>-129.77737977331924</c:v>
                </c:pt>
                <c:pt idx="505">
                  <c:v>-129.96374683347508</c:v>
                </c:pt>
                <c:pt idx="506">
                  <c:v>-130.1493288499862</c:v>
                </c:pt>
                <c:pt idx="507">
                  <c:v>-130.33412860929806</c:v>
                </c:pt>
                <c:pt idx="508">
                  <c:v>-130.51814889823828</c:v>
                </c:pt>
                <c:pt idx="509">
                  <c:v>-130.70560608598771</c:v>
                </c:pt>
                <c:pt idx="510">
                  <c:v>-130.89225336709188</c:v>
                </c:pt>
                <c:pt idx="511">
                  <c:v>-131.07809372727257</c:v>
                </c:pt>
                <c:pt idx="512">
                  <c:v>-131.26313015295466</c:v>
                </c:pt>
                <c:pt idx="513">
                  <c:v>-131.4517242926062</c:v>
                </c:pt>
                <c:pt idx="514">
                  <c:v>-131.63948225806044</c:v>
                </c:pt>
                <c:pt idx="515">
                  <c:v>-131.82640725565122</c:v>
                </c:pt>
                <c:pt idx="516">
                  <c:v>-132.01250249249952</c:v>
                </c:pt>
                <c:pt idx="517">
                  <c:v>-132.20205251851178</c:v>
                </c:pt>
                <c:pt idx="518">
                  <c:v>-132.39074069648186</c:v>
                </c:pt>
                <c:pt idx="519">
                  <c:v>-132.57857046383495</c:v>
                </c:pt>
                <c:pt idx="520">
                  <c:v>-132.7655452586045</c:v>
                </c:pt>
                <c:pt idx="521">
                  <c:v>-132.95597708800412</c:v>
                </c:pt>
                <c:pt idx="522">
                  <c:v>-133.14552109225542</c:v>
                </c:pt>
                <c:pt idx="523">
                  <c:v>-133.33418095557866</c:v>
                </c:pt>
                <c:pt idx="524">
                  <c:v>-133.52196036234412</c:v>
                </c:pt>
                <c:pt idx="525">
                  <c:v>-133.71319437086254</c:v>
                </c:pt>
                <c:pt idx="526">
                  <c:v>-133.90351434598207</c:v>
                </c:pt>
                <c:pt idx="527">
                  <c:v>-134.09292423423531</c:v>
                </c:pt>
                <c:pt idx="528">
                  <c:v>-134.28142798154437</c:v>
                </c:pt>
                <c:pt idx="529">
                  <c:v>-134.47337930444627</c:v>
                </c:pt>
                <c:pt idx="530">
                  <c:v>-134.66439022964917</c:v>
                </c:pt>
                <c:pt idx="531">
                  <c:v>-134.85446498121664</c:v>
                </c:pt>
                <c:pt idx="532">
                  <c:v>-135.04360778152687</c:v>
                </c:pt>
                <c:pt idx="533">
                  <c:v>-135.23628580584648</c:v>
                </c:pt>
                <c:pt idx="534">
                  <c:v>-135.4279959935896</c:v>
                </c:pt>
                <c:pt idx="535">
                  <c:v>-135.61874286815711</c:v>
                </c:pt>
                <c:pt idx="536">
                  <c:v>-135.808530949849</c:v>
                </c:pt>
                <c:pt idx="537">
                  <c:v>-136.00164096049909</c:v>
                </c:pt>
                <c:pt idx="538">
                  <c:v>-136.19375769931801</c:v>
                </c:pt>
                <c:pt idx="539">
                  <c:v>-136.38488598932582</c:v>
                </c:pt>
                <c:pt idx="540">
                  <c:v>-136.57503064869366</c:v>
                </c:pt>
                <c:pt idx="541">
                  <c:v>-136.76867041818221</c:v>
                </c:pt>
                <c:pt idx="542">
                  <c:v>-136.9612895547632</c:v>
                </c:pt>
                <c:pt idx="543">
                  <c:v>-137.15289320932735</c:v>
                </c:pt>
                <c:pt idx="544">
                  <c:v>-137.34348652578817</c:v>
                </c:pt>
                <c:pt idx="545">
                  <c:v>-137.53745441157369</c:v>
                </c:pt>
                <c:pt idx="546">
                  <c:v>-137.73037548049825</c:v>
                </c:pt>
                <c:pt idx="547">
                  <c:v>-137.92225521689093</c:v>
                </c:pt>
                <c:pt idx="548">
                  <c:v>-138.11309909561351</c:v>
                </c:pt>
                <c:pt idx="549">
                  <c:v>-138.30728918878356</c:v>
                </c:pt>
                <c:pt idx="550">
                  <c:v>-138.50040653173664</c:v>
                </c:pt>
                <c:pt idx="551">
                  <c:v>-138.69245695424175</c:v>
                </c:pt>
                <c:pt idx="552">
                  <c:v>-138.88344627373297</c:v>
                </c:pt>
                <c:pt idx="553">
                  <c:v>-139.07783876825781</c:v>
                </c:pt>
                <c:pt idx="554">
                  <c:v>-139.27113190491582</c:v>
                </c:pt>
                <c:pt idx="555">
                  <c:v>-139.46333187846727</c:v>
                </c:pt>
                <c:pt idx="556">
                  <c:v>-139.65444486806231</c:v>
                </c:pt>
                <c:pt idx="557">
                  <c:v>-140.04227377101438</c:v>
                </c:pt>
                <c:pt idx="558">
                  <c:v>-140.42562678825465</c:v>
                </c:pt>
                <c:pt idx="559">
                  <c:v>-140.81319037425226</c:v>
                </c:pt>
                <c:pt idx="560">
                  <c:v>-141.19618094620029</c:v>
                </c:pt>
                <c:pt idx="561">
                  <c:v>-141.5835789582606</c:v>
                </c:pt>
                <c:pt idx="562">
                  <c:v>-141.96630121326737</c:v>
                </c:pt>
                <c:pt idx="563">
                  <c:v>-142.35246982162101</c:v>
                </c:pt>
                <c:pt idx="564">
                  <c:v>-142.73388261736292</c:v>
                </c:pt>
                <c:pt idx="565">
                  <c:v>-143.12003783941995</c:v>
                </c:pt>
                <c:pt idx="566">
                  <c:v>-143.50132428409393</c:v>
                </c:pt>
                <c:pt idx="567">
                  <c:v>-143.88700458717275</c:v>
                </c:pt>
                <c:pt idx="568">
                  <c:v>-144.267710850426</c:v>
                </c:pt>
                <c:pt idx="569">
                  <c:v>-144.65097787978664</c:v>
                </c:pt>
                <c:pt idx="570">
                  <c:v>-145.02921283058566</c:v>
                </c:pt>
                <c:pt idx="571">
                  <c:v>-145.41266414728616</c:v>
                </c:pt>
                <c:pt idx="572">
                  <c:v>-145.79095440781057</c:v>
                </c:pt>
                <c:pt idx="573">
                  <c:v>-146.1712321033589</c:v>
                </c:pt>
                <c:pt idx="574">
                  <c:v>-146.54630666278226</c:v>
                </c:pt>
                <c:pt idx="575">
                  <c:v>-146.92588653979965</c:v>
                </c:pt>
                <c:pt idx="576">
                  <c:v>-147.30015150842652</c:v>
                </c:pt>
                <c:pt idx="577">
                  <c:v>-148.82761091884993</c:v>
                </c:pt>
                <c:pt idx="578">
                  <c:v>-150.26722592931642</c:v>
                </c:pt>
                <c:pt idx="579">
                  <c:v>-153.14174057876482</c:v>
                </c:pt>
                <c:pt idx="580">
                  <c:v>-155.90472771523835</c:v>
                </c:pt>
                <c:pt idx="581">
                  <c:v>-158.53075275905988</c:v>
                </c:pt>
                <c:pt idx="582">
                  <c:v>-161.00302508849882</c:v>
                </c:pt>
                <c:pt idx="583">
                  <c:v>-163.30462535794533</c:v>
                </c:pt>
                <c:pt idx="584">
                  <c:v>-165.42597991908588</c:v>
                </c:pt>
                <c:pt idx="585">
                  <c:v>-167.35865383634396</c:v>
                </c:pt>
                <c:pt idx="586">
                  <c:v>-169.10016392082125</c:v>
                </c:pt>
                <c:pt idx="587">
                  <c:v>-170.65280990552529</c:v>
                </c:pt>
                <c:pt idx="588">
                  <c:v>-172.02068648255508</c:v>
                </c:pt>
                <c:pt idx="589">
                  <c:v>-173.21412334934064</c:v>
                </c:pt>
                <c:pt idx="590">
                  <c:v>-174.24470700271536</c:v>
                </c:pt>
                <c:pt idx="591">
                  <c:v>-175.12674279391149</c:v>
                </c:pt>
                <c:pt idx="592">
                  <c:v>-175.87556529507413</c:v>
                </c:pt>
                <c:pt idx="593">
                  <c:v>-176.50722567966164</c:v>
                </c:pt>
                <c:pt idx="594">
                  <c:v>-177.03707446052775</c:v>
                </c:pt>
                <c:pt idx="595">
                  <c:v>-177.47988927112374</c:v>
                </c:pt>
                <c:pt idx="596">
                  <c:v>-177.84900793859825</c:v>
                </c:pt>
                <c:pt idx="597">
                  <c:v>-178.15648031787467</c:v>
                </c:pt>
                <c:pt idx="598">
                  <c:v>-178.41266771379219</c:v>
                </c:pt>
                <c:pt idx="599">
                  <c:v>-178.62656683120346</c:v>
                </c:pt>
                <c:pt idx="600">
                  <c:v>-178.80566285115395</c:v>
                </c:pt>
              </c:numCache>
            </c:numRef>
          </c:yVal>
          <c:smooth val="0"/>
          <c:extLst>
            <c:ext xmlns:c16="http://schemas.microsoft.com/office/drawing/2014/chart" uri="{C3380CC4-5D6E-409C-BE32-E72D297353CC}">
              <c16:uniqueId val="{00000001-AA0F-4BCB-B5A3-5E4CFFD440F7}"/>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0"/>
          <c:min val="-27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LM5177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106.45210602491106</c:v>
                </c:pt>
                <c:pt idx="1">
                  <c:v>111.68736469873132</c:v>
                </c:pt>
                <c:pt idx="2">
                  <c:v>110.89860044820165</c:v>
                </c:pt>
                <c:pt idx="3">
                  <c:v>110.10674473479224</c:v>
                </c:pt>
                <c:pt idx="4">
                  <c:v>109.31255793017331</c:v>
                </c:pt>
                <c:pt idx="5">
                  <c:v>108.51487254737398</c:v>
                </c:pt>
                <c:pt idx="6">
                  <c:v>107.71489483473263</c:v>
                </c:pt>
                <c:pt idx="7">
                  <c:v>106.91209788714158</c:v>
                </c:pt>
                <c:pt idx="8">
                  <c:v>106.10699331944926</c:v>
                </c:pt>
                <c:pt idx="9">
                  <c:v>105.29882453077533</c:v>
                </c:pt>
                <c:pt idx="10">
                  <c:v>104.48783518535771</c:v>
                </c:pt>
                <c:pt idx="11">
                  <c:v>103.67361725053144</c:v>
                </c:pt>
                <c:pt idx="12">
                  <c:v>102.85537069794066</c:v>
                </c:pt>
                <c:pt idx="13">
                  <c:v>102.03344294051251</c:v>
                </c:pt>
                <c:pt idx="14">
                  <c:v>101.20667226924763</c:v>
                </c:pt>
                <c:pt idx="15">
                  <c:v>100.37480831379419</c:v>
                </c:pt>
                <c:pt idx="16">
                  <c:v>99.537170836896649</c:v>
                </c:pt>
                <c:pt idx="17">
                  <c:v>98.693239887412091</c:v>
                </c:pt>
                <c:pt idx="18">
                  <c:v>97.842132273224038</c:v>
                </c:pt>
                <c:pt idx="19">
                  <c:v>96.983479645797829</c:v>
                </c:pt>
                <c:pt idx="20">
                  <c:v>96.116604707866003</c:v>
                </c:pt>
                <c:pt idx="21">
                  <c:v>95.241326406146385</c:v>
                </c:pt>
                <c:pt idx="22">
                  <c:v>94.35731091540444</c:v>
                </c:pt>
                <c:pt idx="23">
                  <c:v>93.464903979464324</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86.143091634056816</c:v>
                </c:pt>
                <c:pt idx="32">
                  <c:v>85.230200982617745</c:v>
                </c:pt>
                <c:pt idx="33">
                  <c:v>84.324003827169435</c:v>
                </c:pt>
                <c:pt idx="34">
                  <c:v>83.42488482140304</c:v>
                </c:pt>
                <c:pt idx="35">
                  <c:v>82.534064625587646</c:v>
                </c:pt>
                <c:pt idx="36">
                  <c:v>81.651758868741183</c:v>
                </c:pt>
                <c:pt idx="37">
                  <c:v>80.777534454385886</c:v>
                </c:pt>
                <c:pt idx="38">
                  <c:v>79.911997381478216</c:v>
                </c:pt>
                <c:pt idx="39">
                  <c:v>79.054020591703207</c:v>
                </c:pt>
                <c:pt idx="40">
                  <c:v>78.20336357308507</c:v>
                </c:pt>
                <c:pt idx="41">
                  <c:v>77.359298702384848</c:v>
                </c:pt>
                <c:pt idx="42">
                  <c:v>76.521246513133264</c:v>
                </c:pt>
                <c:pt idx="43">
                  <c:v>75.68825984090256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67.513969397867697</c:v>
                </c:pt>
                <c:pt idx="54">
                  <c:v>66.702168790471958</c:v>
                </c:pt>
                <c:pt idx="55">
                  <c:v>65.888835690303964</c:v>
                </c:pt>
                <c:pt idx="56">
                  <c:v>65.074676544614022</c:v>
                </c:pt>
                <c:pt idx="57">
                  <c:v>64.258672345638118</c:v>
                </c:pt>
                <c:pt idx="58">
                  <c:v>63.440887302408875</c:v>
                </c:pt>
                <c:pt idx="59">
                  <c:v>62.620107249402686</c:v>
                </c:pt>
                <c:pt idx="60">
                  <c:v>61.796127507183471</c:v>
                </c:pt>
                <c:pt idx="61">
                  <c:v>60.968056794520734</c:v>
                </c:pt>
                <c:pt idx="62">
                  <c:v>60.134558957044419</c:v>
                </c:pt>
                <c:pt idx="63">
                  <c:v>59.295398575145924</c:v>
                </c:pt>
                <c:pt idx="64">
                  <c:v>58.448706445004859</c:v>
                </c:pt>
                <c:pt idx="65">
                  <c:v>57.593416444676777</c:v>
                </c:pt>
                <c:pt idx="66">
                  <c:v>56.727859045969964</c:v>
                </c:pt>
                <c:pt idx="67">
                  <c:v>55.850323713431209</c:v>
                </c:pt>
                <c:pt idx="68">
                  <c:v>54.958465682097355</c:v>
                </c:pt>
                <c:pt idx="69">
                  <c:v>54.05016783743622</c:v>
                </c:pt>
                <c:pt idx="70">
                  <c:v>53.122623685078878</c:v>
                </c:pt>
                <c:pt idx="71">
                  <c:v>52.173138304156907</c:v>
                </c:pt>
                <c:pt idx="72">
                  <c:v>51.198393625045611</c:v>
                </c:pt>
                <c:pt idx="73">
                  <c:v>50.195338815899298</c:v>
                </c:pt>
                <c:pt idx="74">
                  <c:v>49.160325858264258</c:v>
                </c:pt>
                <c:pt idx="75">
                  <c:v>48.090125081395684</c:v>
                </c:pt>
                <c:pt idx="76">
                  <c:v>46.981235086776827</c:v>
                </c:pt>
                <c:pt idx="77">
                  <c:v>45.831065101433062</c:v>
                </c:pt>
                <c:pt idx="78">
                  <c:v>44.637123441083574</c:v>
                </c:pt>
                <c:pt idx="79">
                  <c:v>43.398402634779401</c:v>
                </c:pt>
                <c:pt idx="80">
                  <c:v>42.111803485158276</c:v>
                </c:pt>
                <c:pt idx="81">
                  <c:v>40.779043272203879</c:v>
                </c:pt>
                <c:pt idx="82">
                  <c:v>39.400207615082216</c:v>
                </c:pt>
                <c:pt idx="83">
                  <c:v>37.97829766369847</c:v>
                </c:pt>
                <c:pt idx="84">
                  <c:v>36.515194197754276</c:v>
                </c:pt>
                <c:pt idx="85">
                  <c:v>35.015508320780043</c:v>
                </c:pt>
                <c:pt idx="86">
                  <c:v>33.483445900104051</c:v>
                </c:pt>
                <c:pt idx="87">
                  <c:v>31.922969948635817</c:v>
                </c:pt>
                <c:pt idx="88">
                  <c:v>30.340499861704664</c:v>
                </c:pt>
                <c:pt idx="89">
                  <c:v>28.739581683242399</c:v>
                </c:pt>
                <c:pt idx="90">
                  <c:v>27.125297957547776</c:v>
                </c:pt>
                <c:pt idx="91">
                  <c:v>25.501503675503375</c:v>
                </c:pt>
                <c:pt idx="92">
                  <c:v>23.871825521424434</c:v>
                </c:pt>
                <c:pt idx="93">
                  <c:v>22.238556252371041</c:v>
                </c:pt>
                <c:pt idx="94">
                  <c:v>21.830151519989958</c:v>
                </c:pt>
                <c:pt idx="95">
                  <c:v>21.624667073258806</c:v>
                </c:pt>
                <c:pt idx="96">
                  <c:v>21.421527589914042</c:v>
                </c:pt>
                <c:pt idx="97">
                  <c:v>21.21605407463171</c:v>
                </c:pt>
                <c:pt idx="98">
                  <c:v>21.012931274716532</c:v>
                </c:pt>
                <c:pt idx="99">
                  <c:v>20.807429204830829</c:v>
                </c:pt>
                <c:pt idx="100">
                  <c:v>20.604284130734388</c:v>
                </c:pt>
                <c:pt idx="101">
                  <c:v>20.398872456395836</c:v>
                </c:pt>
                <c:pt idx="102">
                  <c:v>20.195820981274615</c:v>
                </c:pt>
                <c:pt idx="103">
                  <c:v>19.990312479263508</c:v>
                </c:pt>
                <c:pt idx="104">
                  <c:v>19.78717130945703</c:v>
                </c:pt>
                <c:pt idx="105">
                  <c:v>19.581689071839794</c:v>
                </c:pt>
                <c:pt idx="106">
                  <c:v>19.378578146571652</c:v>
                </c:pt>
                <c:pt idx="107">
                  <c:v>19.173236720364869</c:v>
                </c:pt>
                <c:pt idx="108">
                  <c:v>18.970267624610432</c:v>
                </c:pt>
                <c:pt idx="109">
                  <c:v>18.765034469990841</c:v>
                </c:pt>
                <c:pt idx="110">
                  <c:v>18.562175088027782</c:v>
                </c:pt>
                <c:pt idx="111">
                  <c:v>18.35688691696642</c:v>
                </c:pt>
                <c:pt idx="112">
                  <c:v>18.153977414565155</c:v>
                </c:pt>
                <c:pt idx="113">
                  <c:v>17.948753187505375</c:v>
                </c:pt>
                <c:pt idx="114">
                  <c:v>17.745909497191683</c:v>
                </c:pt>
                <c:pt idx="115">
                  <c:v>17.54073027414821</c:v>
                </c:pt>
                <c:pt idx="116">
                  <c:v>17.337933614621068</c:v>
                </c:pt>
                <c:pt idx="117">
                  <c:v>17.132784400424306</c:v>
                </c:pt>
                <c:pt idx="118">
                  <c:v>16.930019858934124</c:v>
                </c:pt>
                <c:pt idx="119">
                  <c:v>16.725012892487968</c:v>
                </c:pt>
                <c:pt idx="120">
                  <c:v>16.522389861067712</c:v>
                </c:pt>
                <c:pt idx="121">
                  <c:v>16.317508561845241</c:v>
                </c:pt>
                <c:pt idx="122">
                  <c:v>16.115010602187599</c:v>
                </c:pt>
                <c:pt idx="123">
                  <c:v>15.910123914026837</c:v>
                </c:pt>
                <c:pt idx="124">
                  <c:v>15.707622776463687</c:v>
                </c:pt>
                <c:pt idx="125">
                  <c:v>15.502844181859656</c:v>
                </c:pt>
                <c:pt idx="126">
                  <c:v>15.300450509706645</c:v>
                </c:pt>
                <c:pt idx="127">
                  <c:v>15.095772840133293</c:v>
                </c:pt>
                <c:pt idx="128">
                  <c:v>14.893479429566707</c:v>
                </c:pt>
                <c:pt idx="129">
                  <c:v>14.688898217483676</c:v>
                </c:pt>
                <c:pt idx="130">
                  <c:v>14.486700515611073</c:v>
                </c:pt>
                <c:pt idx="131">
                  <c:v>14.282213765173797</c:v>
                </c:pt>
                <c:pt idx="132">
                  <c:v>14.180867313769461</c:v>
                </c:pt>
                <c:pt idx="133">
                  <c:v>14.080109645527951</c:v>
                </c:pt>
                <c:pt idx="134">
                  <c:v>13.977559703942614</c:v>
                </c:pt>
                <c:pt idx="135">
                  <c:v>13.87561271614979</c:v>
                </c:pt>
                <c:pt idx="136">
                  <c:v>13.774261701735018</c:v>
                </c:pt>
                <c:pt idx="137">
                  <c:v>13.673499798026389</c:v>
                </c:pt>
                <c:pt idx="138">
                  <c:v>13.571052508336743</c:v>
                </c:pt>
                <c:pt idx="139">
                  <c:v>13.469207230588081</c:v>
                </c:pt>
                <c:pt idx="140">
                  <c:v>13.367956989716285</c:v>
                </c:pt>
                <c:pt idx="141">
                  <c:v>13.267294928624871</c:v>
                </c:pt>
                <c:pt idx="142">
                  <c:v>13.164848054617362</c:v>
                </c:pt>
                <c:pt idx="143">
                  <c:v>13.063003411669751</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11.744221611069905</c:v>
                </c:pt>
                <c:pt idx="157">
                  <c:v>11.643690123623692</c:v>
                </c:pt>
                <c:pt idx="158">
                  <c:v>11.541401312242957</c:v>
                </c:pt>
                <c:pt idx="159">
                  <c:v>11.439713452608657</c:v>
                </c:pt>
                <c:pt idx="160">
                  <c:v>11.338619545281706</c:v>
                </c:pt>
                <c:pt idx="161">
                  <c:v>11.238112710752631</c:v>
                </c:pt>
                <c:pt idx="162">
                  <c:v>11.135902486537292</c:v>
                </c:pt>
                <c:pt idx="163">
                  <c:v>11.034292367345301</c:v>
                </c:pt>
                <c:pt idx="164">
                  <c:v>10.933275362015246</c:v>
                </c:pt>
                <c:pt idx="165">
                  <c:v>10.832844599351628</c:v>
                </c:pt>
                <c:pt idx="166">
                  <c:v>10.730631253531062</c:v>
                </c:pt>
                <c:pt idx="167">
                  <c:v>10.629018099204472</c:v>
                </c:pt>
                <c:pt idx="168">
                  <c:v>10.527998137826337</c:v>
                </c:pt>
                <c:pt idx="169">
                  <c:v>10.427564491193781</c:v>
                </c:pt>
                <c:pt idx="170">
                  <c:v>10.325573909620495</c:v>
                </c:pt>
                <c:pt idx="171">
                  <c:v>10.224180941811172</c:v>
                </c:pt>
                <c:pt idx="172">
                  <c:v>10.12337862883774</c:v>
                </c:pt>
                <c:pt idx="173">
                  <c:v>10.023160131400338</c:v>
                </c:pt>
                <c:pt idx="174">
                  <c:v>9.9210141587529055</c:v>
                </c:pt>
                <c:pt idx="175">
                  <c:v>9.8194676247345285</c:v>
                </c:pt>
                <c:pt idx="176">
                  <c:v>9.7185135338113184</c:v>
                </c:pt>
                <c:pt idx="177">
                  <c:v>9.6181450110914959</c:v>
                </c:pt>
                <c:pt idx="178">
                  <c:v>9.5159086890717983</c:v>
                </c:pt>
                <c:pt idx="179">
                  <c:v>9.414272852607585</c:v>
                </c:pt>
                <c:pt idx="180">
                  <c:v>9.3132304835415187</c:v>
                </c:pt>
                <c:pt idx="181">
                  <c:v>9.2127746850398253</c:v>
                </c:pt>
                <c:pt idx="182">
                  <c:v>9.110907026658662</c:v>
                </c:pt>
                <c:pt idx="183">
                  <c:v>9.0096355156802925</c:v>
                </c:pt>
                <c:pt idx="184">
                  <c:v>8.9089532057861724</c:v>
                </c:pt>
                <c:pt idx="185">
                  <c:v>8.8088532704806841</c:v>
                </c:pt>
                <c:pt idx="186">
                  <c:v>8.7066050166679982</c:v>
                </c:pt>
                <c:pt idx="187">
                  <c:v>8.6049573161868249</c:v>
                </c:pt>
                <c:pt idx="188">
                  <c:v>8.5039031423075677</c:v>
                </c:pt>
                <c:pt idx="189">
                  <c:v>8.4034355901079802</c:v>
                </c:pt>
                <c:pt idx="190">
                  <c:v>8.3016472141129753</c:v>
                </c:pt>
                <c:pt idx="191">
                  <c:v>8.2004539590498098</c:v>
                </c:pt>
                <c:pt idx="192">
                  <c:v>8.0998488899672445</c:v>
                </c:pt>
                <c:pt idx="193">
                  <c:v>7.9998251917319134</c:v>
                </c:pt>
                <c:pt idx="194">
                  <c:v>7.8977765590888938</c:v>
                </c:pt>
                <c:pt idx="195">
                  <c:v>7.7963260139603276</c:v>
                </c:pt>
                <c:pt idx="196">
                  <c:v>7.695466566880417</c:v>
                </c:pt>
                <c:pt idx="197">
                  <c:v>7.5951913495674077</c:v>
                </c:pt>
                <c:pt idx="198">
                  <c:v>7.4933168610217198</c:v>
                </c:pt>
                <c:pt idx="199">
                  <c:v>7.3920383426066074</c:v>
                </c:pt>
                <c:pt idx="200">
                  <c:v>7.2913488394093058</c:v>
                </c:pt>
                <c:pt idx="201">
                  <c:v>7.1912415170061292</c:v>
                </c:pt>
                <c:pt idx="202">
                  <c:v>7.0895830821063548</c:v>
                </c:pt>
                <c:pt idx="203">
                  <c:v>6.9885180048807447</c:v>
                </c:pt>
                <c:pt idx="204">
                  <c:v>6.8880393738444248</c:v>
                </c:pt>
                <c:pt idx="205">
                  <c:v>6.7881403970923957</c:v>
                </c:pt>
                <c:pt idx="206">
                  <c:v>6.686390471559303</c:v>
                </c:pt>
                <c:pt idx="207">
                  <c:v>6.5852348639421745</c:v>
                </c:pt>
                <c:pt idx="208">
                  <c:v>6.4846666441550624</c:v>
                </c:pt>
                <c:pt idx="209">
                  <c:v>6.38467900220156</c:v>
                </c:pt>
                <c:pt idx="210">
                  <c:v>6.2825588625703617</c:v>
                </c:pt>
                <c:pt idx="211">
                  <c:v>6.1810372449931803</c:v>
                </c:pt>
                <c:pt idx="212">
                  <c:v>6.0801071442843231</c:v>
                </c:pt>
                <c:pt idx="213">
                  <c:v>5.9797616771545368</c:v>
                </c:pt>
                <c:pt idx="214">
                  <c:v>5.8780111851459305</c:v>
                </c:pt>
                <c:pt idx="215">
                  <c:v>5.7768547784095503</c:v>
                </c:pt>
                <c:pt idx="216">
                  <c:v>5.6762855278580515</c:v>
                </c:pt>
                <c:pt idx="217">
                  <c:v>5.5762966246077861</c:v>
                </c:pt>
                <c:pt idx="218">
                  <c:v>5.4746212173047351</c:v>
                </c:pt>
                <c:pt idx="219">
                  <c:v>5.3735388892971727</c:v>
                </c:pt>
                <c:pt idx="220">
                  <c:v>5.2730427278105179</c:v>
                </c:pt>
                <c:pt idx="221">
                  <c:v>5.1731259399543532</c:v>
                </c:pt>
                <c:pt idx="222">
                  <c:v>5.0715736480884104</c:v>
                </c:pt>
                <c:pt idx="223">
                  <c:v>4.970612864866311</c:v>
                </c:pt>
                <c:pt idx="224">
                  <c:v>4.8702367038198568</c:v>
                </c:pt>
                <c:pt idx="225">
                  <c:v>4.770438397810385</c:v>
                </c:pt>
                <c:pt idx="226">
                  <c:v>4.6687455853471187</c:v>
                </c:pt>
                <c:pt idx="227">
                  <c:v>4.5676457678213795</c:v>
                </c:pt>
                <c:pt idx="228">
                  <c:v>4.4671320319584531</c:v>
                </c:pt>
                <c:pt idx="229">
                  <c:v>4.3671975844749031</c:v>
                </c:pt>
                <c:pt idx="230">
                  <c:v>4.1642496276169174</c:v>
                </c:pt>
                <c:pt idx="231">
                  <c:v>4.0636593446095519</c:v>
                </c:pt>
                <c:pt idx="232">
                  <c:v>3.9636490759697933</c:v>
                </c:pt>
                <c:pt idx="233">
                  <c:v>3.8618585239970207</c:v>
                </c:pt>
                <c:pt idx="234">
                  <c:v>3.7606617885541764</c:v>
                </c:pt>
                <c:pt idx="235">
                  <c:v>3.660051940585066</c:v>
                </c:pt>
                <c:pt idx="236">
                  <c:v>3.5600221714624478</c:v>
                </c:pt>
                <c:pt idx="237">
                  <c:v>3.4585537236296542</c:v>
                </c:pt>
                <c:pt idx="238">
                  <c:v>3.3576751848100743</c:v>
                </c:pt>
                <c:pt idx="239">
                  <c:v>3.2573796934675099</c:v>
                </c:pt>
                <c:pt idx="240">
                  <c:v>3.1576605069642016</c:v>
                </c:pt>
                <c:pt idx="241">
                  <c:v>3.0559833373164285</c:v>
                </c:pt>
                <c:pt idx="242">
                  <c:v>2.954898326391719</c:v>
                </c:pt>
                <c:pt idx="243">
                  <c:v>2.8543985729972414</c:v>
                </c:pt>
                <c:pt idx="244">
                  <c:v>2.7544772957762835</c:v>
                </c:pt>
                <c:pt idx="245">
                  <c:v>2.6529326063140735</c:v>
                </c:pt>
                <c:pt idx="246">
                  <c:v>2.5519783597649406</c:v>
                </c:pt>
                <c:pt idx="247">
                  <c:v>2.4516076844101002</c:v>
                </c:pt>
                <c:pt idx="248">
                  <c:v>2.3518138277066249</c:v>
                </c:pt>
                <c:pt idx="249">
                  <c:v>2.250177131767396</c:v>
                </c:pt>
                <c:pt idx="250">
                  <c:v>2.1491317620047163</c:v>
                </c:pt>
                <c:pt idx="251">
                  <c:v>2.0486708309624473</c:v>
                </c:pt>
                <c:pt idx="252">
                  <c:v>1.9487875707402864</c:v>
                </c:pt>
                <c:pt idx="253">
                  <c:v>1.8473796065162285</c:v>
                </c:pt>
                <c:pt idx="254">
                  <c:v>1.7465601287708106</c:v>
                </c:pt>
                <c:pt idx="255">
                  <c:v>1.6463222991481845</c:v>
                </c:pt>
                <c:pt idx="256">
                  <c:v>1.5466593977282186</c:v>
                </c:pt>
                <c:pt idx="257">
                  <c:v>1.4450050972115014</c:v>
                </c:pt>
                <c:pt idx="258">
                  <c:v>1.3439419422435626</c:v>
                </c:pt>
                <c:pt idx="259">
                  <c:v>1.2434630479231621</c:v>
                </c:pt>
                <c:pt idx="260">
                  <c:v>1.1435616488685869</c:v>
                </c:pt>
                <c:pt idx="261">
                  <c:v>1.0419801668164346</c:v>
                </c:pt>
                <c:pt idx="262">
                  <c:v>0.94098878541421527</c:v>
                </c:pt>
                <c:pt idx="263">
                  <c:v>0.84058063769748848</c:v>
                </c:pt>
                <c:pt idx="264">
                  <c:v>0.7407489758131881</c:v>
                </c:pt>
                <c:pt idx="265">
                  <c:v>0.6392877726466506</c:v>
                </c:pt>
                <c:pt idx="266">
                  <c:v>0.5384150718574463</c:v>
                </c:pt>
                <c:pt idx="267">
                  <c:v>0.4381240340362757</c:v>
                </c:pt>
                <c:pt idx="268">
                  <c:v>0.33840793825412119</c:v>
                </c:pt>
                <c:pt idx="269">
                  <c:v>0.23687228130082341</c:v>
                </c:pt>
                <c:pt idx="270">
                  <c:v>0.13592577667302017</c:v>
                </c:pt>
                <c:pt idx="271">
                  <c:v>3.5561573419262284E-2</c:v>
                </c:pt>
                <c:pt idx="272">
                  <c:v>-6.4227060663066105E-2</c:v>
                </c:pt>
                <c:pt idx="273">
                  <c:v>-0.16578001415141683</c:v>
                </c:pt>
                <c:pt idx="274">
                  <c:v>-0.26674383274748525</c:v>
                </c:pt>
                <c:pt idx="275">
                  <c:v>-0.36712536734741852</c:v>
                </c:pt>
                <c:pt idx="276">
                  <c:v>-0.46693135009992454</c:v>
                </c:pt>
                <c:pt idx="277">
                  <c:v>-0.56822033336623601</c:v>
                </c:pt>
                <c:pt idx="278">
                  <c:v>-0.66892345396451147</c:v>
                </c:pt>
                <c:pt idx="279">
                  <c:v>-0.76904750621722018</c:v>
                </c:pt>
                <c:pt idx="280">
                  <c:v>-0.86859916700296924</c:v>
                </c:pt>
                <c:pt idx="281">
                  <c:v>-0.97025851991030354</c:v>
                </c:pt>
                <c:pt idx="282">
                  <c:v>-1.0713279602022954</c:v>
                </c:pt>
                <c:pt idx="283">
                  <c:v>-1.1718143528535379</c:v>
                </c:pt>
                <c:pt idx="284">
                  <c:v>-1.2717244437718014</c:v>
                </c:pt>
                <c:pt idx="285">
                  <c:v>-1.3730241367201625</c:v>
                </c:pt>
                <c:pt idx="286">
                  <c:v>-1.47373830685671</c:v>
                </c:pt>
                <c:pt idx="287">
                  <c:v>-1.5738737432033132</c:v>
                </c:pt>
                <c:pt idx="288">
                  <c:v>-1.6734371174679354</c:v>
                </c:pt>
                <c:pt idx="289">
                  <c:v>-1.7749878327492135</c:v>
                </c:pt>
                <c:pt idx="290">
                  <c:v>-1.875950370656537</c:v>
                </c:pt>
                <c:pt idx="291">
                  <c:v>-1.9763315666484014</c:v>
                </c:pt>
                <c:pt idx="292">
                  <c:v>-2.0761381378078276</c:v>
                </c:pt>
                <c:pt idx="293">
                  <c:v>-2.1776633503203802</c:v>
                </c:pt>
                <c:pt idx="294">
                  <c:v>-2.2786009297846408</c:v>
                </c:pt>
                <c:pt idx="295">
                  <c:v>-2.3789577025941293</c:v>
                </c:pt>
                <c:pt idx="296">
                  <c:v>-2.4787403769825791</c:v>
                </c:pt>
                <c:pt idx="297">
                  <c:v>-2.580190042139312</c:v>
                </c:pt>
                <c:pt idx="298">
                  <c:v>-2.681053202607691</c:v>
                </c:pt>
                <c:pt idx="299">
                  <c:v>-2.7813366656283711</c:v>
                </c:pt>
                <c:pt idx="300">
                  <c:v>-2.8810471207308508</c:v>
                </c:pt>
                <c:pt idx="301">
                  <c:v>-2.9823747260266318</c:v>
                </c:pt>
                <c:pt idx="302">
                  <c:v>-3.0831174965417221</c:v>
                </c:pt>
                <c:pt idx="303">
                  <c:v>-3.1832822110453254</c:v>
                </c:pt>
                <c:pt idx="304">
                  <c:v>-3.2828755312583575</c:v>
                </c:pt>
                <c:pt idx="305">
                  <c:v>-3.3844258787242021</c:v>
                </c:pt>
                <c:pt idx="306">
                  <c:v>-3.4853890974926665</c:v>
                </c:pt>
                <c:pt idx="307">
                  <c:v>-3.5857720067005836</c:v>
                </c:pt>
                <c:pt idx="308">
                  <c:v>-3.6855813075181736</c:v>
                </c:pt>
                <c:pt idx="309">
                  <c:v>-3.7869088450796493</c:v>
                </c:pt>
                <c:pt idx="310">
                  <c:v>-3.8876521004195514</c:v>
                </c:pt>
                <c:pt idx="311">
                  <c:v>-3.9878178439128691</c:v>
                </c:pt>
                <c:pt idx="312">
                  <c:v>-4.0874127290998743</c:v>
                </c:pt>
                <c:pt idx="313">
                  <c:v>-4.188851679646957</c:v>
                </c:pt>
                <c:pt idx="314">
                  <c:v>-4.2897053556120426</c:v>
                </c:pt>
                <c:pt idx="315">
                  <c:v>-4.3899805452766332</c:v>
                </c:pt>
                <c:pt idx="316">
                  <c:v>-4.4896839196864571</c:v>
                </c:pt>
                <c:pt idx="317">
                  <c:v>-4.5911756303820823</c:v>
                </c:pt>
                <c:pt idx="318">
                  <c:v>-4.6920817588579746</c:v>
                </c:pt>
                <c:pt idx="319">
                  <c:v>-4.792409099514046</c:v>
                </c:pt>
                <c:pt idx="320">
                  <c:v>-4.8921643293853103</c:v>
                </c:pt>
                <c:pt idx="321">
                  <c:v>-4.9936540705097157</c:v>
                </c:pt>
                <c:pt idx="322">
                  <c:v>-5.0945585618096381</c:v>
                </c:pt>
                <c:pt idx="323">
                  <c:v>-5.1948845927834508</c:v>
                </c:pt>
                <c:pt idx="324">
                  <c:v>-5.2946388356890663</c:v>
                </c:pt>
                <c:pt idx="325">
                  <c:v>-5.3960756256399476</c:v>
                </c:pt>
                <c:pt idx="326">
                  <c:v>-5.4969280945112509</c:v>
                </c:pt>
                <c:pt idx="327">
                  <c:v>-5.5972030166473763</c:v>
                </c:pt>
                <c:pt idx="328">
                  <c:v>-5.696907049512153</c:v>
                </c:pt>
                <c:pt idx="329">
                  <c:v>-5.7984124489883886</c:v>
                </c:pt>
                <c:pt idx="330">
                  <c:v>-5.8993330704892841</c:v>
                </c:pt>
                <c:pt idx="331">
                  <c:v>-5.9996756973352721</c:v>
                </c:pt>
                <c:pt idx="332">
                  <c:v>-6.0994469957728095</c:v>
                </c:pt>
                <c:pt idx="333">
                  <c:v>-6.200800367418867</c:v>
                </c:pt>
                <c:pt idx="334">
                  <c:v>-6.3015710488334342</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-7.2067673237552112</c:v>
                </c:pt>
                <c:pt idx="344">
                  <c:v>-7.3065892660563589</c:v>
                </c:pt>
                <c:pt idx="345">
                  <c:v>-7.4080051808627543</c:v>
                </c:pt>
                <c:pt idx="346">
                  <c:v>-7.5088387944635642</c:v>
                </c:pt>
                <c:pt idx="347">
                  <c:v>-7.6090968525130709</c:v>
                </c:pt>
                <c:pt idx="348">
                  <c:v>-7.7087859845078874</c:v>
                </c:pt>
                <c:pt idx="349">
                  <c:v>-7.8103234596428361</c:v>
                </c:pt>
                <c:pt idx="350">
                  <c:v>-7.9112776388692581</c:v>
                </c:pt>
                <c:pt idx="351">
                  <c:v>-8.0116552867025419</c:v>
                </c:pt>
                <c:pt idx="352">
                  <c:v>-8.1114630510820049</c:v>
                </c:pt>
                <c:pt idx="353">
                  <c:v>-8.213063615106881</c:v>
                </c:pt>
                <c:pt idx="354">
                  <c:v>-8.3140805748129978</c:v>
                </c:pt>
                <c:pt idx="355">
                  <c:v>-8.4145207018216688</c:v>
                </c:pt>
                <c:pt idx="356">
                  <c:v>-8.514390651028565</c:v>
                </c:pt>
                <c:pt idx="357">
                  <c:v>-8.6158558420352378</c:v>
                </c:pt>
                <c:pt idx="358">
                  <c:v>-8.7167394084175491</c:v>
                </c:pt>
                <c:pt idx="359">
                  <c:v>-8.8170480893566747</c:v>
                </c:pt>
                <c:pt idx="360">
                  <c:v>-8.916788508064494</c:v>
                </c:pt>
                <c:pt idx="361">
                  <c:v>-9.0183586178345685</c:v>
                </c:pt>
                <c:pt idx="362">
                  <c:v>-9.1193463509100461</c:v>
                </c:pt>
                <c:pt idx="363">
                  <c:v>-9.2197584615462134</c:v>
                </c:pt>
                <c:pt idx="364">
                  <c:v>-9.3196015876990277</c:v>
                </c:pt>
                <c:pt idx="365">
                  <c:v>-9.4210821515743106</c:v>
                </c:pt>
                <c:pt idx="366">
                  <c:v>-9.5219818279478758</c:v>
                </c:pt>
                <c:pt idx="367">
                  <c:v>-9.6223073474445933</c:v>
                </c:pt>
                <c:pt idx="368">
                  <c:v>-9.722065324944726</c:v>
                </c:pt>
                <c:pt idx="369">
                  <c:v>-9.8236813002014962</c:v>
                </c:pt>
                <c:pt idx="370">
                  <c:v>-9.9247153273116346</c:v>
                </c:pt>
                <c:pt idx="371">
                  <c:v>-10.025174157643246</c:v>
                </c:pt>
                <c:pt idx="372">
                  <c:v>-10.125064426359645</c:v>
                </c:pt>
                <c:pt idx="373">
                  <c:v>-10.226625722126343</c:v>
                </c:pt>
                <c:pt idx="374">
                  <c:v>-10.327606200560105</c:v>
                </c:pt>
                <c:pt idx="375">
                  <c:v>-10.428012595937393</c:v>
                </c:pt>
                <c:pt idx="376">
                  <c:v>-10.527851526735041</c:v>
                </c:pt>
                <c:pt idx="377">
                  <c:v>-10.629569009562207</c:v>
                </c:pt>
                <c:pt idx="378">
                  <c:v>-10.730704421992833</c:v>
                </c:pt>
                <c:pt idx="379">
                  <c:v>-10.831264522755205</c:v>
                </c:pt>
                <c:pt idx="380">
                  <c:v>-10.931255954233487</c:v>
                </c:pt>
                <c:pt idx="381">
                  <c:v>-11.032818732004587</c:v>
                </c:pt>
                <c:pt idx="382">
                  <c:v>-11.133801754700388</c:v>
                </c:pt>
                <c:pt idx="383">
                  <c:v>-11.23421174376448</c:v>
                </c:pt>
                <c:pt idx="384">
                  <c:v>-11.334055305164142</c:v>
                </c:pt>
                <c:pt idx="385">
                  <c:v>-11.43579243729336</c:v>
                </c:pt>
                <c:pt idx="386">
                  <c:v>-11.536948404425722</c:v>
                </c:pt>
                <c:pt idx="387">
                  <c:v>-11.637529955563277</c:v>
                </c:pt>
                <c:pt idx="388">
                  <c:v>-11.737543723617021</c:v>
                </c:pt>
                <c:pt idx="389">
                  <c:v>-11.839274565726289</c:v>
                </c:pt>
                <c:pt idx="390">
                  <c:v>-11.940424917104417</c:v>
                </c:pt>
                <c:pt idx="391">
                  <c:v>-12.041001518351703</c:v>
                </c:pt>
                <c:pt idx="392">
                  <c:v>-12.141010994184253</c:v>
                </c:pt>
                <c:pt idx="393">
                  <c:v>-12.242686954214676</c:v>
                </c:pt>
                <c:pt idx="394">
                  <c:v>-12.343783676392084</c:v>
                </c:pt>
                <c:pt idx="395">
                  <c:v>-12.444307883085767</c:v>
                </c:pt>
                <c:pt idx="396">
                  <c:v>-12.544266181213519</c:v>
                </c:pt>
                <c:pt idx="397">
                  <c:v>-12.646071315306205</c:v>
                </c:pt>
                <c:pt idx="398">
                  <c:v>-12.747296401185572</c:v>
                </c:pt>
                <c:pt idx="399">
                  <c:v>-12.847948179051853</c:v>
                </c:pt>
                <c:pt idx="400">
                  <c:v>-12.948033273263267</c:v>
                </c:pt>
                <c:pt idx="401">
                  <c:v>-13.049798392010638</c:v>
                </c:pt>
                <c:pt idx="402">
                  <c:v>-13.150984604956541</c:v>
                </c:pt>
                <c:pt idx="403">
                  <c:v>-13.251598636456238</c:v>
                </c:pt>
                <c:pt idx="404">
                  <c:v>-13.351647095401278</c:v>
                </c:pt>
                <c:pt idx="405">
                  <c:v>-13.453435944873625</c:v>
                </c:pt>
                <c:pt idx="406">
                  <c:v>-13.554646338448562</c:v>
                </c:pt>
                <c:pt idx="407">
                  <c:v>-13.655284996922488</c:v>
                </c:pt>
                <c:pt idx="408">
                  <c:v>-13.755358525727726</c:v>
                </c:pt>
                <c:pt idx="409">
                  <c:v>-13.857228418061371</c:v>
                </c:pt>
                <c:pt idx="410">
                  <c:v>-13.958519689084765</c:v>
                </c:pt>
                <c:pt idx="411">
                  <c:v>-14.059239067006557</c:v>
                </c:pt>
                <c:pt idx="412">
                  <c:v>-14.159393164519321</c:v>
                </c:pt>
                <c:pt idx="413">
                  <c:v>-14.261290753924756</c:v>
                </c:pt>
                <c:pt idx="414">
                  <c:v>-14.362610197245662</c:v>
                </c:pt>
                <c:pt idx="415">
                  <c:v>-14.463358219255188</c:v>
                </c:pt>
                <c:pt idx="416">
                  <c:v>-14.563541429307762</c:v>
                </c:pt>
                <c:pt idx="417">
                  <c:v>-14.66551941438347</c:v>
                </c:pt>
                <c:pt idx="418">
                  <c:v>-14.766919170427691</c:v>
                </c:pt>
                <c:pt idx="419">
                  <c:v>-14.867747428798774</c:v>
                </c:pt>
                <c:pt idx="420">
                  <c:v>-14.968010805304834</c:v>
                </c:pt>
                <c:pt idx="421">
                  <c:v>-15.069916286221348</c:v>
                </c:pt>
                <c:pt idx="422">
                  <c:v>-15.17124522241393</c:v>
                </c:pt>
                <c:pt idx="423">
                  <c:v>-15.272004321384312</c:v>
                </c:pt>
                <c:pt idx="424">
                  <c:v>-15.37220017564926</c:v>
                </c:pt>
                <c:pt idx="425">
                  <c:v>-15.474284050522373</c:v>
                </c:pt>
                <c:pt idx="426">
                  <c:v>-15.575790274250657</c:v>
                </c:pt>
                <c:pt idx="427">
                  <c:v>-15.676725579410499</c:v>
                </c:pt>
                <c:pt idx="428">
                  <c:v>-15.777096583043523</c:v>
                </c:pt>
                <c:pt idx="429">
                  <c:v>-15.87920443118686</c:v>
                </c:pt>
                <c:pt idx="430">
                  <c:v>-15.980735310210164</c:v>
                </c:pt>
                <c:pt idx="431">
                  <c:v>-16.081695946985381</c:v>
                </c:pt>
                <c:pt idx="432">
                  <c:v>-16.182092953001487</c:v>
                </c:pt>
                <c:pt idx="433">
                  <c:v>-16.284176370466799</c:v>
                </c:pt>
                <c:pt idx="434">
                  <c:v>-16.385684091309216</c:v>
                </c:pt>
                <c:pt idx="435">
                  <c:v>-16.486622826776014</c:v>
                </c:pt>
                <c:pt idx="436">
                  <c:v>-16.586999173110257</c:v>
                </c:pt>
                <c:pt idx="437">
                  <c:v>-16.689196096844313</c:v>
                </c:pt>
                <c:pt idx="438">
                  <c:v>-16.790817093528759</c:v>
                </c:pt>
                <c:pt idx="439">
                  <c:v>-16.891868885402403</c:v>
                </c:pt>
                <c:pt idx="440">
                  <c:v>-16.992358079474531</c:v>
                </c:pt>
                <c:pt idx="441">
                  <c:v>-17.09461486517792</c:v>
                </c:pt>
                <c:pt idx="442">
                  <c:v>-17.196296149905937</c:v>
                </c:pt>
                <c:pt idx="443">
                  <c:v>-17.297408655875287</c:v>
                </c:pt>
                <c:pt idx="444">
                  <c:v>-17.397958990100161</c:v>
                </c:pt>
                <c:pt idx="445">
                  <c:v>-17.500225803142641</c:v>
                </c:pt>
                <c:pt idx="446">
                  <c:v>-17.601918154990429</c:v>
                </c:pt>
                <c:pt idx="447">
                  <c:v>-17.703042757570657</c:v>
                </c:pt>
                <c:pt idx="448">
                  <c:v>-17.803606207869514</c:v>
                </c:pt>
                <c:pt idx="449">
                  <c:v>-17.906007755044289</c:v>
                </c:pt>
                <c:pt idx="450">
                  <c:v>-18.007834541842659</c:v>
                </c:pt>
                <c:pt idx="451">
                  <c:v>-18.109093293797539</c:v>
                </c:pt>
                <c:pt idx="452">
                  <c:v>-18.209790621220531</c:v>
                </c:pt>
                <c:pt idx="453">
                  <c:v>-18.312189292737692</c:v>
                </c:pt>
                <c:pt idx="454">
                  <c:v>-18.414014506717621</c:v>
                </c:pt>
                <c:pt idx="455">
                  <c:v>-18.515272974791706</c:v>
                </c:pt>
                <c:pt idx="456">
                  <c:v>-18.615971293717973</c:v>
                </c:pt>
                <c:pt idx="457">
                  <c:v>-18.718485866500561</c:v>
                </c:pt>
                <c:pt idx="458">
                  <c:v>-18.820427021794771</c:v>
                </c:pt>
                <c:pt idx="459">
                  <c:v>-18.921801479986357</c:v>
                </c:pt>
                <c:pt idx="460">
                  <c:v>-19.022615846420315</c:v>
                </c:pt>
                <c:pt idx="461">
                  <c:v>-19.12519429038025</c:v>
                </c:pt>
                <c:pt idx="462">
                  <c:v>-19.227200007102798</c:v>
                </c:pt>
                <c:pt idx="463">
                  <c:v>-19.328639714926513</c:v>
                </c:pt>
                <c:pt idx="464">
                  <c:v>-19.429520017232079</c:v>
                </c:pt>
                <c:pt idx="465">
                  <c:v>-19.532192248715777</c:v>
                </c:pt>
                <c:pt idx="466">
                  <c:v>-19.63429218284703</c:v>
                </c:pt>
                <c:pt idx="467">
                  <c:v>-19.735826541110775</c:v>
                </c:pt>
                <c:pt idx="468">
                  <c:v>-19.836801930000117</c:v>
                </c:pt>
                <c:pt idx="469">
                  <c:v>-19.939518184721177</c:v>
                </c:pt>
                <c:pt idx="470">
                  <c:v>-20.041663201498523</c:v>
                </c:pt>
                <c:pt idx="471">
                  <c:v>-20.143243694564998</c:v>
                </c:pt>
                <c:pt idx="472">
                  <c:v>-20.244266263366526</c:v>
                </c:pt>
                <c:pt idx="473">
                  <c:v>-20.347130017041795</c:v>
                </c:pt>
                <c:pt idx="474">
                  <c:v>-20.449422525658257</c:v>
                </c:pt>
                <c:pt idx="475">
                  <c:v>-20.551150515661234</c:v>
                </c:pt>
                <c:pt idx="476">
                  <c:v>-20.652320598474205</c:v>
                </c:pt>
                <c:pt idx="477">
                  <c:v>-20.755279535602504</c:v>
                </c:pt>
                <c:pt idx="478">
                  <c:v>-20.857667887864729</c:v>
                </c:pt>
                <c:pt idx="479">
                  <c:v>-20.959492382943367</c:v>
                </c:pt>
                <c:pt idx="480">
                  <c:v>-21.060759633516174</c:v>
                </c:pt>
                <c:pt idx="481">
                  <c:v>-21.163765303877046</c:v>
                </c:pt>
                <c:pt idx="482">
                  <c:v>-21.266201674461986</c:v>
                </c:pt>
                <c:pt idx="483">
                  <c:v>-21.368075463960142</c:v>
                </c:pt>
                <c:pt idx="484">
                  <c:v>-21.469393276309404</c:v>
                </c:pt>
                <c:pt idx="485">
                  <c:v>-21.572470901964596</c:v>
                </c:pt>
                <c:pt idx="486">
                  <c:v>-21.674980327802356</c:v>
                </c:pt>
                <c:pt idx="487">
                  <c:v>-21.776928267614124</c:v>
                </c:pt>
                <c:pt idx="488">
                  <c:v>-21.878321320602598</c:v>
                </c:pt>
                <c:pt idx="489">
                  <c:v>-21.981562035680358</c:v>
                </c:pt>
                <c:pt idx="490">
                  <c:v>-22.084234750558306</c:v>
                </c:pt>
                <c:pt idx="491">
                  <c:v>-22.186346190959124</c:v>
                </c:pt>
                <c:pt idx="492">
                  <c:v>-22.287902967801962</c:v>
                </c:pt>
                <c:pt idx="493">
                  <c:v>-22.391255704000681</c:v>
                </c:pt>
                <c:pt idx="494">
                  <c:v>-22.494041309311182</c:v>
                </c:pt>
                <c:pt idx="495">
                  <c:v>-22.596266510520465</c:v>
                </c:pt>
                <c:pt idx="496">
                  <c:v>-22.69793791964694</c:v>
                </c:pt>
                <c:pt idx="497">
                  <c:v>-22.801421013959725</c:v>
                </c:pt>
                <c:pt idx="498">
                  <c:v>-22.904337759723319</c:v>
                </c:pt>
                <c:pt idx="499">
                  <c:v>-23.006694887366997</c:v>
                </c:pt>
                <c:pt idx="500">
                  <c:v>-23.108499012531766</c:v>
                </c:pt>
                <c:pt idx="501">
                  <c:v>-23.212128871328904</c:v>
                </c:pt>
                <c:pt idx="502">
                  <c:v>-23.315193106032311</c:v>
                </c:pt>
                <c:pt idx="503">
                  <c:v>-23.417698452855561</c:v>
                </c:pt>
                <c:pt idx="504">
                  <c:v>-23.519651533159273</c:v>
                </c:pt>
                <c:pt idx="505">
                  <c:v>-23.623380087263527</c:v>
                </c:pt>
                <c:pt idx="506">
                  <c:v>-23.72654439157315</c:v>
                </c:pt>
                <c:pt idx="507">
                  <c:v>-23.829151177677019</c:v>
                </c:pt>
                <c:pt idx="508">
                  <c:v>-23.931207062487548</c:v>
                </c:pt>
                <c:pt idx="509">
                  <c:v>-24.035051442807202</c:v>
                </c:pt>
                <c:pt idx="510">
                  <c:v>-24.138332893080797</c:v>
                </c:pt>
                <c:pt idx="511">
                  <c:v>-24.241058142462151</c:v>
                </c:pt>
                <c:pt idx="512">
                  <c:v>-24.343233805559137</c:v>
                </c:pt>
                <c:pt idx="513">
                  <c:v>-24.447269629039642</c:v>
                </c:pt>
                <c:pt idx="514">
                  <c:v>-24.550743166833428</c:v>
                </c:pt>
                <c:pt idx="515">
                  <c:v>-24.653661159068903</c:v>
                </c:pt>
                <c:pt idx="516">
                  <c:v>-24.756030231159446</c:v>
                </c:pt>
                <c:pt idx="517">
                  <c:v>-24.860208984397694</c:v>
                </c:pt>
                <c:pt idx="518">
                  <c:v>-24.963826771158793</c:v>
                </c:pt>
                <c:pt idx="519">
                  <c:v>-25.066890331877634</c:v>
                </c:pt>
                <c:pt idx="520">
                  <c:v>-25.169406292351411</c:v>
                </c:pt>
                <c:pt idx="521">
                  <c:v>-25.273740934966575</c:v>
                </c:pt>
                <c:pt idx="522">
                  <c:v>-25.377515948656509</c:v>
                </c:pt>
                <c:pt idx="523">
                  <c:v>-25.480738075317984</c:v>
                </c:pt>
                <c:pt idx="524">
                  <c:v>-25.583413942265562</c:v>
                </c:pt>
                <c:pt idx="525">
                  <c:v>-25.687916332770342</c:v>
                </c:pt>
                <c:pt idx="526">
                  <c:v>-25.79186047200232</c:v>
                </c:pt>
                <c:pt idx="527">
                  <c:v>-25.895253104179197</c:v>
                </c:pt>
                <c:pt idx="528">
                  <c:v>-25.9981008589778</c:v>
                </c:pt>
                <c:pt idx="529">
                  <c:v>-26.102781905863587</c:v>
                </c:pt>
                <c:pt idx="530">
                  <c:v>-26.20690613967875</c:v>
                </c:pt>
                <c:pt idx="531">
                  <c:v>-26.310480307550769</c:v>
                </c:pt>
                <c:pt idx="532">
                  <c:v>-26.413511042097969</c:v>
                </c:pt>
                <c:pt idx="533">
                  <c:v>-26.518434845177225</c:v>
                </c:pt>
                <c:pt idx="534">
                  <c:v>-26.622802783170453</c:v>
                </c:pt>
                <c:pt idx="535">
                  <c:v>-26.726621616825707</c:v>
                </c:pt>
                <c:pt idx="536">
                  <c:v>-26.829897992175376</c:v>
                </c:pt>
                <c:pt idx="537">
                  <c:v>-26.934964872284397</c:v>
                </c:pt>
                <c:pt idx="538">
                  <c:v>-27.039478086889122</c:v>
                </c:pt>
                <c:pt idx="539">
                  <c:v>-27.143444389494441</c:v>
                </c:pt>
                <c:pt idx="540">
                  <c:v>-27.246870419157901</c:v>
                </c:pt>
                <c:pt idx="541">
                  <c:v>-27.352196205337421</c:v>
                </c:pt>
                <c:pt idx="542">
                  <c:v>-27.456969515314942</c:v>
                </c:pt>
                <c:pt idx="543">
                  <c:v>-27.561197115780374</c:v>
                </c:pt>
                <c:pt idx="544">
                  <c:v>-27.664885658786382</c:v>
                </c:pt>
                <c:pt idx="545">
                  <c:v>-27.770424944016906</c:v>
                </c:pt>
                <c:pt idx="546">
                  <c:v>-27.875413641511596</c:v>
                </c:pt>
                <c:pt idx="547">
                  <c:v>-27.979858520497466</c:v>
                </c:pt>
                <c:pt idx="548">
                  <c:v>-28.083766235618135</c:v>
                </c:pt>
                <c:pt idx="549">
                  <c:v>-28.189527326697498</c:v>
                </c:pt>
                <c:pt idx="550">
                  <c:v>-28.29473986356172</c:v>
                </c:pt>
                <c:pt idx="551">
                  <c:v>-28.399410617525128</c:v>
                </c:pt>
                <c:pt idx="552">
                  <c:v>-28.503546245382829</c:v>
                </c:pt>
                <c:pt idx="553">
                  <c:v>-28.609585937134334</c:v>
                </c:pt>
                <c:pt idx="554">
                  <c:v>-28.715078767542529</c:v>
                </c:pt>
                <c:pt idx="555">
                  <c:v>-28.820031518669445</c:v>
                </c:pt>
                <c:pt idx="556">
                  <c:v>-28.924450857927923</c:v>
                </c:pt>
                <c:pt idx="557">
                  <c:v>-29.136552761876629</c:v>
                </c:pt>
                <c:pt idx="558">
                  <c:v>-29.346501888091233</c:v>
                </c:pt>
                <c:pt idx="559">
                  <c:v>-29.559091184475975</c:v>
                </c:pt>
                <c:pt idx="560">
                  <c:v>-29.76953809977616</c:v>
                </c:pt>
                <c:pt idx="561">
                  <c:v>-29.982814101179166</c:v>
                </c:pt>
                <c:pt idx="562">
                  <c:v>-30.193955276475663</c:v>
                </c:pt>
                <c:pt idx="563">
                  <c:v>-30.407478529195711</c:v>
                </c:pt>
                <c:pt idx="564">
                  <c:v>-30.618884411546109</c:v>
                </c:pt>
                <c:pt idx="565">
                  <c:v>-30.833477063926825</c:v>
                </c:pt>
                <c:pt idx="566">
                  <c:v>-31.045954842304567</c:v>
                </c:pt>
                <c:pt idx="567">
                  <c:v>-31.261519594007595</c:v>
                </c:pt>
                <c:pt idx="568">
                  <c:v>-31.474975354381165</c:v>
                </c:pt>
                <c:pt idx="569">
                  <c:v>-31.690582986552634</c:v>
                </c:pt>
                <c:pt idx="570">
                  <c:v>-31.904106887906472</c:v>
                </c:pt>
                <c:pt idx="571">
                  <c:v>-32.121377621169515</c:v>
                </c:pt>
                <c:pt idx="572">
                  <c:v>-32.336560183953658</c:v>
                </c:pt>
                <c:pt idx="573">
                  <c:v>-32.5537565619329</c:v>
                </c:pt>
                <c:pt idx="574">
                  <c:v>-32.768895033062108</c:v>
                </c:pt>
                <c:pt idx="575">
                  <c:v>-32.987589985389945</c:v>
                </c:pt>
                <c:pt idx="576">
                  <c:v>-33.204229117395577</c:v>
                </c:pt>
                <c:pt idx="577">
                  <c:v>-34.099814216120471</c:v>
                </c:pt>
                <c:pt idx="578">
                  <c:v>-34.963207826083419</c:v>
                </c:pt>
                <c:pt idx="579">
                  <c:v>-36.75801304377844</c:v>
                </c:pt>
                <c:pt idx="580">
                  <c:v>-38.600540705485962</c:v>
                </c:pt>
                <c:pt idx="581">
                  <c:v>-40.49884297337077</c:v>
                </c:pt>
                <c:pt idx="582">
                  <c:v>-42.466487494024321</c:v>
                </c:pt>
                <c:pt idx="583">
                  <c:v>-44.515675409405034</c:v>
                </c:pt>
                <c:pt idx="584">
                  <c:v>-46.662122861227211</c:v>
                </c:pt>
                <c:pt idx="585">
                  <c:v>-48.917973327795458</c:v>
                </c:pt>
                <c:pt idx="586">
                  <c:v>-51.294304943710323</c:v>
                </c:pt>
                <c:pt idx="587">
                  <c:v>-53.798897906449994</c:v>
                </c:pt>
                <c:pt idx="588">
                  <c:v>-56.430085988284624</c:v>
                </c:pt>
                <c:pt idx="589">
                  <c:v>-59.184571535468692</c:v>
                </c:pt>
                <c:pt idx="590">
                  <c:v>-62.050578173245668</c:v>
                </c:pt>
                <c:pt idx="591">
                  <c:v>-65.013749797110748</c:v>
                </c:pt>
                <c:pt idx="592">
                  <c:v>-68.057199494886746</c:v>
                </c:pt>
                <c:pt idx="593">
                  <c:v>-71.165274599029246</c:v>
                </c:pt>
                <c:pt idx="594">
                  <c:v>-74.321836997462626</c:v>
                </c:pt>
                <c:pt idx="595">
                  <c:v>-77.514208876344384</c:v>
                </c:pt>
                <c:pt idx="596">
                  <c:v>-80.730744452591225</c:v>
                </c:pt>
                <c:pt idx="597">
                  <c:v>-83.963425231726418</c:v>
                </c:pt>
                <c:pt idx="598">
                  <c:v>-87.2048226550599</c:v>
                </c:pt>
                <c:pt idx="599">
                  <c:v>-90.45090463176453</c:v>
                </c:pt>
                <c:pt idx="600">
                  <c:v>-93.697757544002798</c:v>
                </c:pt>
              </c:numCache>
            </c:numRef>
          </c:yVal>
          <c:smooth val="1"/>
          <c:extLst>
            <c:ext xmlns:c16="http://schemas.microsoft.com/office/drawing/2014/chart" uri="{C3380CC4-5D6E-409C-BE32-E72D297353CC}">
              <c16:uniqueId val="{00000000-417B-42DD-99BF-4436D67A6013}"/>
            </c:ext>
          </c:extLst>
        </c:ser>
        <c:ser>
          <c:idx val="6"/>
          <c:order val="1"/>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106.45210602491106</c:v>
                </c:pt>
                <c:pt idx="1">
                  <c:v>111.68736469873132</c:v>
                </c:pt>
                <c:pt idx="2">
                  <c:v>110.89860044820165</c:v>
                </c:pt>
                <c:pt idx="3">
                  <c:v>110.10674473479224</c:v>
                </c:pt>
                <c:pt idx="4">
                  <c:v>109.31255793017331</c:v>
                </c:pt>
                <c:pt idx="5">
                  <c:v>108.51487254737398</c:v>
                </c:pt>
                <c:pt idx="6">
                  <c:v>107.71489483473263</c:v>
                </c:pt>
                <c:pt idx="7">
                  <c:v>106.91209788714158</c:v>
                </c:pt>
                <c:pt idx="8">
                  <c:v>106.10699331944926</c:v>
                </c:pt>
                <c:pt idx="9">
                  <c:v>105.29882453077533</c:v>
                </c:pt>
                <c:pt idx="10">
                  <c:v>104.48783518535771</c:v>
                </c:pt>
                <c:pt idx="11">
                  <c:v>103.67361725053144</c:v>
                </c:pt>
                <c:pt idx="12">
                  <c:v>102.85537069794066</c:v>
                </c:pt>
                <c:pt idx="13">
                  <c:v>102.03344294051251</c:v>
                </c:pt>
                <c:pt idx="14">
                  <c:v>101.20667226924763</c:v>
                </c:pt>
                <c:pt idx="15">
                  <c:v>100.37480831379419</c:v>
                </c:pt>
                <c:pt idx="16">
                  <c:v>99.537170836896649</c:v>
                </c:pt>
                <c:pt idx="17">
                  <c:v>98.693239887412091</c:v>
                </c:pt>
                <c:pt idx="18">
                  <c:v>97.842132273224038</c:v>
                </c:pt>
                <c:pt idx="19">
                  <c:v>96.983479645797829</c:v>
                </c:pt>
                <c:pt idx="20">
                  <c:v>96.116604707866003</c:v>
                </c:pt>
                <c:pt idx="21">
                  <c:v>95.241326406146385</c:v>
                </c:pt>
                <c:pt idx="22">
                  <c:v>94.35731091540444</c:v>
                </c:pt>
                <c:pt idx="23">
                  <c:v>93.464903979464324</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86.143091634056816</c:v>
                </c:pt>
                <c:pt idx="32">
                  <c:v>85.230200982617745</c:v>
                </c:pt>
                <c:pt idx="33">
                  <c:v>84.324003827169435</c:v>
                </c:pt>
                <c:pt idx="34">
                  <c:v>83.42488482140304</c:v>
                </c:pt>
                <c:pt idx="35">
                  <c:v>82.534064625587646</c:v>
                </c:pt>
                <c:pt idx="36">
                  <c:v>81.651758868741183</c:v>
                </c:pt>
                <c:pt idx="37">
                  <c:v>80.777534454385886</c:v>
                </c:pt>
                <c:pt idx="38">
                  <c:v>79.911997381478216</c:v>
                </c:pt>
                <c:pt idx="39">
                  <c:v>79.054020591703207</c:v>
                </c:pt>
                <c:pt idx="40">
                  <c:v>78.20336357308507</c:v>
                </c:pt>
                <c:pt idx="41">
                  <c:v>77.359298702384848</c:v>
                </c:pt>
                <c:pt idx="42">
                  <c:v>76.521246513133264</c:v>
                </c:pt>
                <c:pt idx="43">
                  <c:v>75.68825984090256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67.513969397867697</c:v>
                </c:pt>
                <c:pt idx="54">
                  <c:v>66.702168790471958</c:v>
                </c:pt>
                <c:pt idx="55">
                  <c:v>65.888835690303964</c:v>
                </c:pt>
                <c:pt idx="56">
                  <c:v>65.074676544614022</c:v>
                </c:pt>
                <c:pt idx="57">
                  <c:v>64.258672345638118</c:v>
                </c:pt>
                <c:pt idx="58">
                  <c:v>63.440887302408875</c:v>
                </c:pt>
                <c:pt idx="59">
                  <c:v>62.620107249402686</c:v>
                </c:pt>
                <c:pt idx="60">
                  <c:v>61.796127507183471</c:v>
                </c:pt>
                <c:pt idx="61">
                  <c:v>60.968056794520734</c:v>
                </c:pt>
                <c:pt idx="62">
                  <c:v>60.134558957044419</c:v>
                </c:pt>
                <c:pt idx="63">
                  <c:v>59.295398575145924</c:v>
                </c:pt>
                <c:pt idx="64">
                  <c:v>58.448706445004859</c:v>
                </c:pt>
                <c:pt idx="65">
                  <c:v>57.593416444676777</c:v>
                </c:pt>
                <c:pt idx="66">
                  <c:v>56.727859045969964</c:v>
                </c:pt>
                <c:pt idx="67">
                  <c:v>55.850323713431209</c:v>
                </c:pt>
                <c:pt idx="68">
                  <c:v>54.958465682097355</c:v>
                </c:pt>
                <c:pt idx="69">
                  <c:v>54.05016783743622</c:v>
                </c:pt>
                <c:pt idx="70">
                  <c:v>53.122623685078878</c:v>
                </c:pt>
                <c:pt idx="71">
                  <c:v>52.173138304156907</c:v>
                </c:pt>
                <c:pt idx="72">
                  <c:v>51.198393625045611</c:v>
                </c:pt>
                <c:pt idx="73">
                  <c:v>50.195338815899298</c:v>
                </c:pt>
                <c:pt idx="74">
                  <c:v>49.160325858264258</c:v>
                </c:pt>
                <c:pt idx="75">
                  <c:v>48.090125081395684</c:v>
                </c:pt>
                <c:pt idx="76">
                  <c:v>46.981235086776827</c:v>
                </c:pt>
                <c:pt idx="77">
                  <c:v>45.831065101433062</c:v>
                </c:pt>
                <c:pt idx="78">
                  <c:v>44.637123441083574</c:v>
                </c:pt>
                <c:pt idx="79">
                  <c:v>43.398402634779401</c:v>
                </c:pt>
                <c:pt idx="80">
                  <c:v>42.111803485158276</c:v>
                </c:pt>
                <c:pt idx="81">
                  <c:v>40.779043272203879</c:v>
                </c:pt>
                <c:pt idx="82">
                  <c:v>39.400207615082216</c:v>
                </c:pt>
                <c:pt idx="83">
                  <c:v>37.97829766369847</c:v>
                </c:pt>
                <c:pt idx="84">
                  <c:v>36.515194197754276</c:v>
                </c:pt>
                <c:pt idx="85">
                  <c:v>35.015508320780043</c:v>
                </c:pt>
                <c:pt idx="86">
                  <c:v>33.483445900104051</c:v>
                </c:pt>
                <c:pt idx="87">
                  <c:v>31.922969948635817</c:v>
                </c:pt>
                <c:pt idx="88">
                  <c:v>30.340499861704664</c:v>
                </c:pt>
                <c:pt idx="89">
                  <c:v>28.739581683242399</c:v>
                </c:pt>
                <c:pt idx="90">
                  <c:v>27.125297957547776</c:v>
                </c:pt>
                <c:pt idx="91">
                  <c:v>25.501503675503375</c:v>
                </c:pt>
                <c:pt idx="92">
                  <c:v>23.871825521424434</c:v>
                </c:pt>
                <c:pt idx="93">
                  <c:v>22.238556252371041</c:v>
                </c:pt>
                <c:pt idx="94">
                  <c:v>21.830151519989958</c:v>
                </c:pt>
                <c:pt idx="95">
                  <c:v>21.624667073258806</c:v>
                </c:pt>
                <c:pt idx="96">
                  <c:v>21.421527589914042</c:v>
                </c:pt>
                <c:pt idx="97">
                  <c:v>21.21605407463171</c:v>
                </c:pt>
                <c:pt idx="98">
                  <c:v>21.012931274716532</c:v>
                </c:pt>
                <c:pt idx="99">
                  <c:v>20.807429204830829</c:v>
                </c:pt>
                <c:pt idx="100">
                  <c:v>20.604284130734388</c:v>
                </c:pt>
                <c:pt idx="101">
                  <c:v>20.398872456395836</c:v>
                </c:pt>
                <c:pt idx="102">
                  <c:v>20.195820981274615</c:v>
                </c:pt>
                <c:pt idx="103">
                  <c:v>19.990312479263508</c:v>
                </c:pt>
                <c:pt idx="104">
                  <c:v>19.78717130945703</c:v>
                </c:pt>
                <c:pt idx="105">
                  <c:v>19.581689071839794</c:v>
                </c:pt>
                <c:pt idx="106">
                  <c:v>19.378578146571652</c:v>
                </c:pt>
                <c:pt idx="107">
                  <c:v>19.173236720364869</c:v>
                </c:pt>
                <c:pt idx="108">
                  <c:v>18.970267624610432</c:v>
                </c:pt>
                <c:pt idx="109">
                  <c:v>18.765034469990841</c:v>
                </c:pt>
                <c:pt idx="110">
                  <c:v>18.562175088027782</c:v>
                </c:pt>
                <c:pt idx="111">
                  <c:v>18.35688691696642</c:v>
                </c:pt>
                <c:pt idx="112">
                  <c:v>18.153977414565155</c:v>
                </c:pt>
                <c:pt idx="113">
                  <c:v>17.948753187505375</c:v>
                </c:pt>
                <c:pt idx="114">
                  <c:v>17.745909497191683</c:v>
                </c:pt>
                <c:pt idx="115">
                  <c:v>17.54073027414821</c:v>
                </c:pt>
                <c:pt idx="116">
                  <c:v>17.337933614621068</c:v>
                </c:pt>
                <c:pt idx="117">
                  <c:v>17.132784400424306</c:v>
                </c:pt>
                <c:pt idx="118">
                  <c:v>16.930019858934124</c:v>
                </c:pt>
                <c:pt idx="119">
                  <c:v>16.725012892487968</c:v>
                </c:pt>
                <c:pt idx="120">
                  <c:v>16.522389861067712</c:v>
                </c:pt>
                <c:pt idx="121">
                  <c:v>16.317508561845241</c:v>
                </c:pt>
                <c:pt idx="122">
                  <c:v>16.115010602187599</c:v>
                </c:pt>
                <c:pt idx="123">
                  <c:v>15.910123914026837</c:v>
                </c:pt>
                <c:pt idx="124">
                  <c:v>15.707622776463687</c:v>
                </c:pt>
                <c:pt idx="125">
                  <c:v>15.502844181859656</c:v>
                </c:pt>
                <c:pt idx="126">
                  <c:v>15.300450509706645</c:v>
                </c:pt>
                <c:pt idx="127">
                  <c:v>15.095772840133293</c:v>
                </c:pt>
                <c:pt idx="128">
                  <c:v>14.893479429566707</c:v>
                </c:pt>
                <c:pt idx="129">
                  <c:v>14.688898217483676</c:v>
                </c:pt>
                <c:pt idx="130">
                  <c:v>14.486700515611073</c:v>
                </c:pt>
                <c:pt idx="131">
                  <c:v>14.282213765173797</c:v>
                </c:pt>
                <c:pt idx="132">
                  <c:v>14.180867313769461</c:v>
                </c:pt>
                <c:pt idx="133">
                  <c:v>14.080109645527951</c:v>
                </c:pt>
                <c:pt idx="134">
                  <c:v>13.977559703942614</c:v>
                </c:pt>
                <c:pt idx="135">
                  <c:v>13.87561271614979</c:v>
                </c:pt>
                <c:pt idx="136">
                  <c:v>13.774261701735018</c:v>
                </c:pt>
                <c:pt idx="137">
                  <c:v>13.673499798026389</c:v>
                </c:pt>
                <c:pt idx="138">
                  <c:v>13.571052508336743</c:v>
                </c:pt>
                <c:pt idx="139">
                  <c:v>13.469207230588081</c:v>
                </c:pt>
                <c:pt idx="140">
                  <c:v>13.367956989716285</c:v>
                </c:pt>
                <c:pt idx="141">
                  <c:v>13.267294928624871</c:v>
                </c:pt>
                <c:pt idx="142">
                  <c:v>13.164848054617362</c:v>
                </c:pt>
                <c:pt idx="143">
                  <c:v>13.063003411669751</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11.744221611069905</c:v>
                </c:pt>
                <c:pt idx="157">
                  <c:v>11.643690123623692</c:v>
                </c:pt>
                <c:pt idx="158">
                  <c:v>11.541401312242957</c:v>
                </c:pt>
                <c:pt idx="159">
                  <c:v>11.439713452608657</c:v>
                </c:pt>
                <c:pt idx="160">
                  <c:v>11.338619545281706</c:v>
                </c:pt>
                <c:pt idx="161">
                  <c:v>11.238112710752631</c:v>
                </c:pt>
                <c:pt idx="162">
                  <c:v>11.135902486537292</c:v>
                </c:pt>
                <c:pt idx="163">
                  <c:v>11.034292367345301</c:v>
                </c:pt>
                <c:pt idx="164">
                  <c:v>10.933275362015246</c:v>
                </c:pt>
                <c:pt idx="165">
                  <c:v>10.832844599351628</c:v>
                </c:pt>
                <c:pt idx="166">
                  <c:v>10.730631253531062</c:v>
                </c:pt>
                <c:pt idx="167">
                  <c:v>10.629018099204472</c:v>
                </c:pt>
                <c:pt idx="168">
                  <c:v>10.527998137826337</c:v>
                </c:pt>
                <c:pt idx="169">
                  <c:v>10.427564491193781</c:v>
                </c:pt>
                <c:pt idx="170">
                  <c:v>10.325573909620495</c:v>
                </c:pt>
                <c:pt idx="171">
                  <c:v>10.224180941811172</c:v>
                </c:pt>
                <c:pt idx="172">
                  <c:v>10.12337862883774</c:v>
                </c:pt>
                <c:pt idx="173">
                  <c:v>10.023160131400338</c:v>
                </c:pt>
                <c:pt idx="174">
                  <c:v>9.9210141587529055</c:v>
                </c:pt>
                <c:pt idx="175">
                  <c:v>9.8194676247345285</c:v>
                </c:pt>
                <c:pt idx="176">
                  <c:v>9.7185135338113184</c:v>
                </c:pt>
                <c:pt idx="177">
                  <c:v>9.6181450110914959</c:v>
                </c:pt>
                <c:pt idx="178">
                  <c:v>9.5159086890717983</c:v>
                </c:pt>
                <c:pt idx="179">
                  <c:v>9.414272852607585</c:v>
                </c:pt>
                <c:pt idx="180">
                  <c:v>9.3132304835415187</c:v>
                </c:pt>
                <c:pt idx="181">
                  <c:v>9.2127746850398253</c:v>
                </c:pt>
                <c:pt idx="182">
                  <c:v>9.110907026658662</c:v>
                </c:pt>
                <c:pt idx="183">
                  <c:v>9.0096355156802925</c:v>
                </c:pt>
                <c:pt idx="184">
                  <c:v>8.9089532057861724</c:v>
                </c:pt>
                <c:pt idx="185">
                  <c:v>8.8088532704806841</c:v>
                </c:pt>
                <c:pt idx="186">
                  <c:v>8.7066050166679982</c:v>
                </c:pt>
                <c:pt idx="187">
                  <c:v>8.6049573161868249</c:v>
                </c:pt>
                <c:pt idx="188">
                  <c:v>8.5039031423075677</c:v>
                </c:pt>
                <c:pt idx="189">
                  <c:v>8.4034355901079802</c:v>
                </c:pt>
                <c:pt idx="190">
                  <c:v>8.3016472141129753</c:v>
                </c:pt>
                <c:pt idx="191">
                  <c:v>8.2004539590498098</c:v>
                </c:pt>
                <c:pt idx="192">
                  <c:v>8.0998488899672445</c:v>
                </c:pt>
                <c:pt idx="193">
                  <c:v>7.9998251917319134</c:v>
                </c:pt>
                <c:pt idx="194">
                  <c:v>7.8977765590888938</c:v>
                </c:pt>
                <c:pt idx="195">
                  <c:v>7.7963260139603276</c:v>
                </c:pt>
                <c:pt idx="196">
                  <c:v>7.695466566880417</c:v>
                </c:pt>
                <c:pt idx="197">
                  <c:v>7.5951913495674077</c:v>
                </c:pt>
                <c:pt idx="198">
                  <c:v>7.4933168610217198</c:v>
                </c:pt>
                <c:pt idx="199">
                  <c:v>7.3920383426066074</c:v>
                </c:pt>
                <c:pt idx="200">
                  <c:v>7.2913488394093058</c:v>
                </c:pt>
                <c:pt idx="201">
                  <c:v>7.1912415170061292</c:v>
                </c:pt>
                <c:pt idx="202">
                  <c:v>7.0895830821063548</c:v>
                </c:pt>
                <c:pt idx="203">
                  <c:v>6.9885180048807447</c:v>
                </c:pt>
                <c:pt idx="204">
                  <c:v>6.8880393738444248</c:v>
                </c:pt>
                <c:pt idx="205">
                  <c:v>6.7881403970923957</c:v>
                </c:pt>
                <c:pt idx="206">
                  <c:v>6.686390471559303</c:v>
                </c:pt>
                <c:pt idx="207">
                  <c:v>6.5852348639421745</c:v>
                </c:pt>
                <c:pt idx="208">
                  <c:v>6.4846666441550624</c:v>
                </c:pt>
                <c:pt idx="209">
                  <c:v>6.38467900220156</c:v>
                </c:pt>
                <c:pt idx="210">
                  <c:v>6.2825588625703617</c:v>
                </c:pt>
                <c:pt idx="211">
                  <c:v>6.1810372449931803</c:v>
                </c:pt>
                <c:pt idx="212">
                  <c:v>6.0801071442843231</c:v>
                </c:pt>
                <c:pt idx="213">
                  <c:v>5.9797616771545368</c:v>
                </c:pt>
                <c:pt idx="214">
                  <c:v>5.8780111851459305</c:v>
                </c:pt>
                <c:pt idx="215">
                  <c:v>5.7768547784095503</c:v>
                </c:pt>
                <c:pt idx="216">
                  <c:v>5.6762855278580515</c:v>
                </c:pt>
                <c:pt idx="217">
                  <c:v>5.5762966246077861</c:v>
                </c:pt>
                <c:pt idx="218">
                  <c:v>5.4746212173047351</c:v>
                </c:pt>
                <c:pt idx="219">
                  <c:v>5.3735388892971727</c:v>
                </c:pt>
                <c:pt idx="220">
                  <c:v>5.2730427278105179</c:v>
                </c:pt>
                <c:pt idx="221">
                  <c:v>5.1731259399543532</c:v>
                </c:pt>
                <c:pt idx="222">
                  <c:v>5.0715736480884104</c:v>
                </c:pt>
                <c:pt idx="223">
                  <c:v>4.970612864866311</c:v>
                </c:pt>
                <c:pt idx="224">
                  <c:v>4.8702367038198568</c:v>
                </c:pt>
                <c:pt idx="225">
                  <c:v>4.770438397810385</c:v>
                </c:pt>
                <c:pt idx="226">
                  <c:v>4.6687455853471187</c:v>
                </c:pt>
                <c:pt idx="227">
                  <c:v>4.5676457678213795</c:v>
                </c:pt>
                <c:pt idx="228">
                  <c:v>4.4671320319584531</c:v>
                </c:pt>
                <c:pt idx="229">
                  <c:v>4.3671975844749031</c:v>
                </c:pt>
                <c:pt idx="230">
                  <c:v>4.1642496276169174</c:v>
                </c:pt>
                <c:pt idx="231">
                  <c:v>4.0636593446095519</c:v>
                </c:pt>
                <c:pt idx="232">
                  <c:v>3.9636490759697933</c:v>
                </c:pt>
                <c:pt idx="233">
                  <c:v>3.8618585239970207</c:v>
                </c:pt>
                <c:pt idx="234">
                  <c:v>3.7606617885541764</c:v>
                </c:pt>
                <c:pt idx="235">
                  <c:v>3.660051940585066</c:v>
                </c:pt>
                <c:pt idx="236">
                  <c:v>3.5600221714624478</c:v>
                </c:pt>
                <c:pt idx="237">
                  <c:v>3.4585537236296542</c:v>
                </c:pt>
                <c:pt idx="238">
                  <c:v>3.3576751848100743</c:v>
                </c:pt>
                <c:pt idx="239">
                  <c:v>3.2573796934675099</c:v>
                </c:pt>
                <c:pt idx="240">
                  <c:v>3.1576605069642016</c:v>
                </c:pt>
                <c:pt idx="241">
                  <c:v>3.0559833373164285</c:v>
                </c:pt>
                <c:pt idx="242">
                  <c:v>2.954898326391719</c:v>
                </c:pt>
                <c:pt idx="243">
                  <c:v>2.8543985729972414</c:v>
                </c:pt>
                <c:pt idx="244">
                  <c:v>2.7544772957762835</c:v>
                </c:pt>
                <c:pt idx="245">
                  <c:v>2.6529326063140735</c:v>
                </c:pt>
                <c:pt idx="246">
                  <c:v>2.5519783597649406</c:v>
                </c:pt>
                <c:pt idx="247">
                  <c:v>2.4516076844101002</c:v>
                </c:pt>
                <c:pt idx="248">
                  <c:v>2.3518138277066249</c:v>
                </c:pt>
                <c:pt idx="249">
                  <c:v>2.250177131767396</c:v>
                </c:pt>
                <c:pt idx="250">
                  <c:v>2.1491317620047163</c:v>
                </c:pt>
                <c:pt idx="251">
                  <c:v>2.0486708309624473</c:v>
                </c:pt>
                <c:pt idx="252">
                  <c:v>1.9487875707402864</c:v>
                </c:pt>
                <c:pt idx="253">
                  <c:v>1.8473796065162285</c:v>
                </c:pt>
                <c:pt idx="254">
                  <c:v>1.7465601287708106</c:v>
                </c:pt>
                <c:pt idx="255">
                  <c:v>1.6463222991481845</c:v>
                </c:pt>
                <c:pt idx="256">
                  <c:v>1.5466593977282186</c:v>
                </c:pt>
                <c:pt idx="257">
                  <c:v>1.4450050972115014</c:v>
                </c:pt>
                <c:pt idx="258">
                  <c:v>1.3439419422435626</c:v>
                </c:pt>
                <c:pt idx="259">
                  <c:v>1.2434630479231621</c:v>
                </c:pt>
                <c:pt idx="260">
                  <c:v>1.1435616488685869</c:v>
                </c:pt>
                <c:pt idx="261">
                  <c:v>1.0419801668164346</c:v>
                </c:pt>
                <c:pt idx="262">
                  <c:v>0.94098878541421527</c:v>
                </c:pt>
                <c:pt idx="263">
                  <c:v>0.84058063769748848</c:v>
                </c:pt>
                <c:pt idx="264">
                  <c:v>0.7407489758131881</c:v>
                </c:pt>
                <c:pt idx="265">
                  <c:v>0.6392877726466506</c:v>
                </c:pt>
                <c:pt idx="266">
                  <c:v>0.5384150718574463</c:v>
                </c:pt>
                <c:pt idx="267">
                  <c:v>0.4381240340362757</c:v>
                </c:pt>
                <c:pt idx="268">
                  <c:v>0.33840793825412119</c:v>
                </c:pt>
                <c:pt idx="269">
                  <c:v>0.23687228130082341</c:v>
                </c:pt>
                <c:pt idx="270">
                  <c:v>0.13592577667302017</c:v>
                </c:pt>
                <c:pt idx="271">
                  <c:v>3.5561573419262284E-2</c:v>
                </c:pt>
                <c:pt idx="272">
                  <c:v>-6.4227060663066105E-2</c:v>
                </c:pt>
                <c:pt idx="273">
                  <c:v>-0.16578001415141683</c:v>
                </c:pt>
                <c:pt idx="274">
                  <c:v>-0.26674383274748525</c:v>
                </c:pt>
                <c:pt idx="275">
                  <c:v>-0.36712536734741852</c:v>
                </c:pt>
                <c:pt idx="276">
                  <c:v>-0.46693135009992454</c:v>
                </c:pt>
                <c:pt idx="277">
                  <c:v>-0.56822033336623601</c:v>
                </c:pt>
                <c:pt idx="278">
                  <c:v>-0.66892345396451147</c:v>
                </c:pt>
                <c:pt idx="279">
                  <c:v>-0.76904750621722018</c:v>
                </c:pt>
                <c:pt idx="280">
                  <c:v>-0.86859916700296924</c:v>
                </c:pt>
                <c:pt idx="281">
                  <c:v>-0.97025851991030354</c:v>
                </c:pt>
                <c:pt idx="282">
                  <c:v>-1.0713279602022954</c:v>
                </c:pt>
                <c:pt idx="283">
                  <c:v>-1.1718143528535379</c:v>
                </c:pt>
                <c:pt idx="284">
                  <c:v>-1.2717244437718014</c:v>
                </c:pt>
                <c:pt idx="285">
                  <c:v>-1.3730241367201625</c:v>
                </c:pt>
                <c:pt idx="286">
                  <c:v>-1.47373830685671</c:v>
                </c:pt>
                <c:pt idx="287">
                  <c:v>-1.5738737432033132</c:v>
                </c:pt>
                <c:pt idx="288">
                  <c:v>-1.6734371174679354</c:v>
                </c:pt>
                <c:pt idx="289">
                  <c:v>-1.7749878327492135</c:v>
                </c:pt>
                <c:pt idx="290">
                  <c:v>-1.875950370656537</c:v>
                </c:pt>
                <c:pt idx="291">
                  <c:v>-1.9763315666484014</c:v>
                </c:pt>
                <c:pt idx="292">
                  <c:v>-2.0761381378078276</c:v>
                </c:pt>
                <c:pt idx="293">
                  <c:v>-2.1776633503203802</c:v>
                </c:pt>
                <c:pt idx="294">
                  <c:v>-2.2786009297846408</c:v>
                </c:pt>
                <c:pt idx="295">
                  <c:v>-2.3789577025941293</c:v>
                </c:pt>
                <c:pt idx="296">
                  <c:v>-2.4787403769825791</c:v>
                </c:pt>
                <c:pt idx="297">
                  <c:v>-2.580190042139312</c:v>
                </c:pt>
                <c:pt idx="298">
                  <c:v>-2.681053202607691</c:v>
                </c:pt>
                <c:pt idx="299">
                  <c:v>-2.7813366656283711</c:v>
                </c:pt>
                <c:pt idx="300">
                  <c:v>-2.8810471207308508</c:v>
                </c:pt>
                <c:pt idx="301">
                  <c:v>-2.9823747260266318</c:v>
                </c:pt>
                <c:pt idx="302">
                  <c:v>-3.0831174965417221</c:v>
                </c:pt>
                <c:pt idx="303">
                  <c:v>-3.1832822110453254</c:v>
                </c:pt>
                <c:pt idx="304">
                  <c:v>-3.2828755312583575</c:v>
                </c:pt>
                <c:pt idx="305">
                  <c:v>-3.3844258787242021</c:v>
                </c:pt>
                <c:pt idx="306">
                  <c:v>-3.4853890974926665</c:v>
                </c:pt>
                <c:pt idx="307">
                  <c:v>-3.5857720067005836</c:v>
                </c:pt>
                <c:pt idx="308">
                  <c:v>-3.6855813075181736</c:v>
                </c:pt>
                <c:pt idx="309">
                  <c:v>-3.7869088450796493</c:v>
                </c:pt>
                <c:pt idx="310">
                  <c:v>-3.8876521004195514</c:v>
                </c:pt>
                <c:pt idx="311">
                  <c:v>-3.9878178439128691</c:v>
                </c:pt>
                <c:pt idx="312">
                  <c:v>-4.0874127290998743</c:v>
                </c:pt>
                <c:pt idx="313">
                  <c:v>-4.188851679646957</c:v>
                </c:pt>
                <c:pt idx="314">
                  <c:v>-4.2897053556120426</c:v>
                </c:pt>
                <c:pt idx="315">
                  <c:v>-4.3899805452766332</c:v>
                </c:pt>
                <c:pt idx="316">
                  <c:v>-4.4896839196864571</c:v>
                </c:pt>
                <c:pt idx="317">
                  <c:v>-4.5911756303820823</c:v>
                </c:pt>
                <c:pt idx="318">
                  <c:v>-4.6920817588579746</c:v>
                </c:pt>
                <c:pt idx="319">
                  <c:v>-4.792409099514046</c:v>
                </c:pt>
                <c:pt idx="320">
                  <c:v>-4.8921643293853103</c:v>
                </c:pt>
                <c:pt idx="321">
                  <c:v>-4.9936540705097157</c:v>
                </c:pt>
                <c:pt idx="322">
                  <c:v>-5.0945585618096381</c:v>
                </c:pt>
                <c:pt idx="323">
                  <c:v>-5.1948845927834508</c:v>
                </c:pt>
                <c:pt idx="324">
                  <c:v>-5.2946388356890663</c:v>
                </c:pt>
                <c:pt idx="325">
                  <c:v>-5.3960756256399476</c:v>
                </c:pt>
                <c:pt idx="326">
                  <c:v>-5.4969280945112509</c:v>
                </c:pt>
                <c:pt idx="327">
                  <c:v>-5.5972030166473763</c:v>
                </c:pt>
                <c:pt idx="328">
                  <c:v>-5.696907049512153</c:v>
                </c:pt>
                <c:pt idx="329">
                  <c:v>-5.7984124489883886</c:v>
                </c:pt>
                <c:pt idx="330">
                  <c:v>-5.8993330704892841</c:v>
                </c:pt>
                <c:pt idx="331">
                  <c:v>-5.9996756973352721</c:v>
                </c:pt>
                <c:pt idx="332">
                  <c:v>-6.0994469957728095</c:v>
                </c:pt>
                <c:pt idx="333">
                  <c:v>-6.200800367418867</c:v>
                </c:pt>
                <c:pt idx="334">
                  <c:v>-6.3015710488334342</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-7.2067673237552112</c:v>
                </c:pt>
                <c:pt idx="344">
                  <c:v>-7.3065892660563589</c:v>
                </c:pt>
                <c:pt idx="345">
                  <c:v>-7.4080051808627543</c:v>
                </c:pt>
                <c:pt idx="346">
                  <c:v>-7.5088387944635642</c:v>
                </c:pt>
                <c:pt idx="347">
                  <c:v>-7.6090968525130709</c:v>
                </c:pt>
                <c:pt idx="348">
                  <c:v>-7.7087859845078874</c:v>
                </c:pt>
                <c:pt idx="349">
                  <c:v>-7.8103234596428361</c:v>
                </c:pt>
                <c:pt idx="350">
                  <c:v>-7.9112776388692581</c:v>
                </c:pt>
                <c:pt idx="351">
                  <c:v>-8.0116552867025419</c:v>
                </c:pt>
                <c:pt idx="352">
                  <c:v>-8.1114630510820049</c:v>
                </c:pt>
                <c:pt idx="353">
                  <c:v>-8.213063615106881</c:v>
                </c:pt>
                <c:pt idx="354">
                  <c:v>-8.3140805748129978</c:v>
                </c:pt>
                <c:pt idx="355">
                  <c:v>-8.4145207018216688</c:v>
                </c:pt>
                <c:pt idx="356">
                  <c:v>-8.514390651028565</c:v>
                </c:pt>
                <c:pt idx="357">
                  <c:v>-8.6158558420352378</c:v>
                </c:pt>
                <c:pt idx="358">
                  <c:v>-8.7167394084175491</c:v>
                </c:pt>
                <c:pt idx="359">
                  <c:v>-8.8170480893566747</c:v>
                </c:pt>
                <c:pt idx="360">
                  <c:v>-8.916788508064494</c:v>
                </c:pt>
                <c:pt idx="361">
                  <c:v>-9.0183586178345685</c:v>
                </c:pt>
                <c:pt idx="362">
                  <c:v>-9.1193463509100461</c:v>
                </c:pt>
                <c:pt idx="363">
                  <c:v>-9.2197584615462134</c:v>
                </c:pt>
                <c:pt idx="364">
                  <c:v>-9.3196015876990277</c:v>
                </c:pt>
                <c:pt idx="365">
                  <c:v>-9.4210821515743106</c:v>
                </c:pt>
                <c:pt idx="366">
                  <c:v>-9.5219818279478758</c:v>
                </c:pt>
                <c:pt idx="367">
                  <c:v>-9.6223073474445933</c:v>
                </c:pt>
                <c:pt idx="368">
                  <c:v>-9.722065324944726</c:v>
                </c:pt>
                <c:pt idx="369">
                  <c:v>-9.8236813002014962</c:v>
                </c:pt>
                <c:pt idx="370">
                  <c:v>-9.9247153273116346</c:v>
                </c:pt>
                <c:pt idx="371">
                  <c:v>-10.025174157643246</c:v>
                </c:pt>
                <c:pt idx="372">
                  <c:v>-10.125064426359645</c:v>
                </c:pt>
                <c:pt idx="373">
                  <c:v>-10.226625722126343</c:v>
                </c:pt>
                <c:pt idx="374">
                  <c:v>-10.327606200560105</c:v>
                </c:pt>
                <c:pt idx="375">
                  <c:v>-10.428012595937393</c:v>
                </c:pt>
                <c:pt idx="376">
                  <c:v>-10.527851526735041</c:v>
                </c:pt>
                <c:pt idx="377">
                  <c:v>-10.629569009562207</c:v>
                </c:pt>
                <c:pt idx="378">
                  <c:v>-10.730704421992833</c:v>
                </c:pt>
                <c:pt idx="379">
                  <c:v>-10.831264522755205</c:v>
                </c:pt>
                <c:pt idx="380">
                  <c:v>-10.931255954233487</c:v>
                </c:pt>
                <c:pt idx="381">
                  <c:v>-11.032818732004587</c:v>
                </c:pt>
                <c:pt idx="382">
                  <c:v>-11.133801754700388</c:v>
                </c:pt>
                <c:pt idx="383">
                  <c:v>-11.23421174376448</c:v>
                </c:pt>
                <c:pt idx="384">
                  <c:v>-11.334055305164142</c:v>
                </c:pt>
                <c:pt idx="385">
                  <c:v>-11.43579243729336</c:v>
                </c:pt>
                <c:pt idx="386">
                  <c:v>-11.536948404425722</c:v>
                </c:pt>
                <c:pt idx="387">
                  <c:v>-11.637529955563277</c:v>
                </c:pt>
                <c:pt idx="388">
                  <c:v>-11.737543723617021</c:v>
                </c:pt>
                <c:pt idx="389">
                  <c:v>-11.839274565726289</c:v>
                </c:pt>
                <c:pt idx="390">
                  <c:v>-11.940424917104417</c:v>
                </c:pt>
                <c:pt idx="391">
                  <c:v>-12.041001518351703</c:v>
                </c:pt>
                <c:pt idx="392">
                  <c:v>-12.141010994184253</c:v>
                </c:pt>
                <c:pt idx="393">
                  <c:v>-12.242686954214676</c:v>
                </c:pt>
                <c:pt idx="394">
                  <c:v>-12.343783676392084</c:v>
                </c:pt>
                <c:pt idx="395">
                  <c:v>-12.444307883085767</c:v>
                </c:pt>
                <c:pt idx="396">
                  <c:v>-12.544266181213519</c:v>
                </c:pt>
                <c:pt idx="397">
                  <c:v>-12.646071315306205</c:v>
                </c:pt>
                <c:pt idx="398">
                  <c:v>-12.747296401185572</c:v>
                </c:pt>
                <c:pt idx="399">
                  <c:v>-12.847948179051853</c:v>
                </c:pt>
                <c:pt idx="400">
                  <c:v>-12.948033273263267</c:v>
                </c:pt>
                <c:pt idx="401">
                  <c:v>-13.049798392010638</c:v>
                </c:pt>
                <c:pt idx="402">
                  <c:v>-13.150984604956541</c:v>
                </c:pt>
                <c:pt idx="403">
                  <c:v>-13.251598636456238</c:v>
                </c:pt>
                <c:pt idx="404">
                  <c:v>-13.351647095401278</c:v>
                </c:pt>
                <c:pt idx="405">
                  <c:v>-13.453435944873625</c:v>
                </c:pt>
                <c:pt idx="406">
                  <c:v>-13.554646338448562</c:v>
                </c:pt>
                <c:pt idx="407">
                  <c:v>-13.655284996922488</c:v>
                </c:pt>
                <c:pt idx="408">
                  <c:v>-13.755358525727726</c:v>
                </c:pt>
                <c:pt idx="409">
                  <c:v>-13.857228418061371</c:v>
                </c:pt>
                <c:pt idx="410">
                  <c:v>-13.958519689084765</c:v>
                </c:pt>
                <c:pt idx="411">
                  <c:v>-14.059239067006557</c:v>
                </c:pt>
                <c:pt idx="412">
                  <c:v>-14.159393164519321</c:v>
                </c:pt>
                <c:pt idx="413">
                  <c:v>-14.261290753924756</c:v>
                </c:pt>
                <c:pt idx="414">
                  <c:v>-14.362610197245662</c:v>
                </c:pt>
                <c:pt idx="415">
                  <c:v>-14.463358219255188</c:v>
                </c:pt>
                <c:pt idx="416">
                  <c:v>-14.563541429307762</c:v>
                </c:pt>
                <c:pt idx="417">
                  <c:v>-14.66551941438347</c:v>
                </c:pt>
                <c:pt idx="418">
                  <c:v>-14.766919170427691</c:v>
                </c:pt>
                <c:pt idx="419">
                  <c:v>-14.867747428798774</c:v>
                </c:pt>
                <c:pt idx="420">
                  <c:v>-14.968010805304834</c:v>
                </c:pt>
                <c:pt idx="421">
                  <c:v>-15.069916286221348</c:v>
                </c:pt>
                <c:pt idx="422">
                  <c:v>-15.17124522241393</c:v>
                </c:pt>
                <c:pt idx="423">
                  <c:v>-15.272004321384312</c:v>
                </c:pt>
                <c:pt idx="424">
                  <c:v>-15.37220017564926</c:v>
                </c:pt>
                <c:pt idx="425">
                  <c:v>-15.474284050522373</c:v>
                </c:pt>
                <c:pt idx="426">
                  <c:v>-15.575790274250657</c:v>
                </c:pt>
                <c:pt idx="427">
                  <c:v>-15.676725579410499</c:v>
                </c:pt>
                <c:pt idx="428">
                  <c:v>-15.777096583043523</c:v>
                </c:pt>
                <c:pt idx="429">
                  <c:v>-15.87920443118686</c:v>
                </c:pt>
                <c:pt idx="430">
                  <c:v>-15.980735310210164</c:v>
                </c:pt>
                <c:pt idx="431">
                  <c:v>-16.081695946985381</c:v>
                </c:pt>
                <c:pt idx="432">
                  <c:v>-16.182092953001487</c:v>
                </c:pt>
                <c:pt idx="433">
                  <c:v>-16.284176370466799</c:v>
                </c:pt>
                <c:pt idx="434">
                  <c:v>-16.385684091309216</c:v>
                </c:pt>
                <c:pt idx="435">
                  <c:v>-16.486622826776014</c:v>
                </c:pt>
                <c:pt idx="436">
                  <c:v>-16.586999173110257</c:v>
                </c:pt>
                <c:pt idx="437">
                  <c:v>-16.689196096844313</c:v>
                </c:pt>
                <c:pt idx="438">
                  <c:v>-16.790817093528759</c:v>
                </c:pt>
                <c:pt idx="439">
                  <c:v>-16.891868885402403</c:v>
                </c:pt>
                <c:pt idx="440">
                  <c:v>-16.992358079474531</c:v>
                </c:pt>
                <c:pt idx="441">
                  <c:v>-17.09461486517792</c:v>
                </c:pt>
                <c:pt idx="442">
                  <c:v>-17.196296149905937</c:v>
                </c:pt>
                <c:pt idx="443">
                  <c:v>-17.297408655875287</c:v>
                </c:pt>
                <c:pt idx="444">
                  <c:v>-17.397958990100161</c:v>
                </c:pt>
                <c:pt idx="445">
                  <c:v>-17.500225803142641</c:v>
                </c:pt>
                <c:pt idx="446">
                  <c:v>-17.601918154990429</c:v>
                </c:pt>
                <c:pt idx="447">
                  <c:v>-17.703042757570657</c:v>
                </c:pt>
                <c:pt idx="448">
                  <c:v>-17.803606207869514</c:v>
                </c:pt>
                <c:pt idx="449">
                  <c:v>-17.906007755044289</c:v>
                </c:pt>
                <c:pt idx="450">
                  <c:v>-18.007834541842659</c:v>
                </c:pt>
                <c:pt idx="451">
                  <c:v>-18.109093293797539</c:v>
                </c:pt>
                <c:pt idx="452">
                  <c:v>-18.209790621220531</c:v>
                </c:pt>
                <c:pt idx="453">
                  <c:v>-18.312189292737692</c:v>
                </c:pt>
                <c:pt idx="454">
                  <c:v>-18.414014506717621</c:v>
                </c:pt>
                <c:pt idx="455">
                  <c:v>-18.515272974791706</c:v>
                </c:pt>
                <c:pt idx="456">
                  <c:v>-18.615971293717973</c:v>
                </c:pt>
                <c:pt idx="457">
                  <c:v>-18.718485866500561</c:v>
                </c:pt>
                <c:pt idx="458">
                  <c:v>-18.820427021794771</c:v>
                </c:pt>
                <c:pt idx="459">
                  <c:v>-18.921801479986357</c:v>
                </c:pt>
                <c:pt idx="460">
                  <c:v>-19.022615846420315</c:v>
                </c:pt>
                <c:pt idx="461">
                  <c:v>-19.12519429038025</c:v>
                </c:pt>
                <c:pt idx="462">
                  <c:v>-19.227200007102798</c:v>
                </c:pt>
                <c:pt idx="463">
                  <c:v>-19.328639714926513</c:v>
                </c:pt>
                <c:pt idx="464">
                  <c:v>-19.429520017232079</c:v>
                </c:pt>
                <c:pt idx="465">
                  <c:v>-19.532192248715777</c:v>
                </c:pt>
                <c:pt idx="466">
                  <c:v>-19.63429218284703</c:v>
                </c:pt>
                <c:pt idx="467">
                  <c:v>-19.735826541110775</c:v>
                </c:pt>
                <c:pt idx="468">
                  <c:v>-19.836801930000117</c:v>
                </c:pt>
                <c:pt idx="469">
                  <c:v>-19.939518184721177</c:v>
                </c:pt>
                <c:pt idx="470">
                  <c:v>-20.041663201498523</c:v>
                </c:pt>
                <c:pt idx="471">
                  <c:v>-20.143243694564998</c:v>
                </c:pt>
                <c:pt idx="472">
                  <c:v>-20.244266263366526</c:v>
                </c:pt>
                <c:pt idx="473">
                  <c:v>-20.347130017041795</c:v>
                </c:pt>
                <c:pt idx="474">
                  <c:v>-20.449422525658257</c:v>
                </c:pt>
                <c:pt idx="475">
                  <c:v>-20.551150515661234</c:v>
                </c:pt>
                <c:pt idx="476">
                  <c:v>-20.652320598474205</c:v>
                </c:pt>
                <c:pt idx="477">
                  <c:v>-20.755279535602504</c:v>
                </c:pt>
                <c:pt idx="478">
                  <c:v>-20.857667887864729</c:v>
                </c:pt>
                <c:pt idx="479">
                  <c:v>-20.959492382943367</c:v>
                </c:pt>
                <c:pt idx="480">
                  <c:v>-21.060759633516174</c:v>
                </c:pt>
                <c:pt idx="481">
                  <c:v>-21.163765303877046</c:v>
                </c:pt>
                <c:pt idx="482">
                  <c:v>-21.266201674461986</c:v>
                </c:pt>
                <c:pt idx="483">
                  <c:v>-21.368075463960142</c:v>
                </c:pt>
                <c:pt idx="484">
                  <c:v>-21.469393276309404</c:v>
                </c:pt>
                <c:pt idx="485">
                  <c:v>-21.572470901964596</c:v>
                </c:pt>
                <c:pt idx="486">
                  <c:v>-21.674980327802356</c:v>
                </c:pt>
                <c:pt idx="487">
                  <c:v>-21.776928267614124</c:v>
                </c:pt>
                <c:pt idx="488">
                  <c:v>-21.878321320602598</c:v>
                </c:pt>
                <c:pt idx="489">
                  <c:v>-21.981562035680358</c:v>
                </c:pt>
                <c:pt idx="490">
                  <c:v>-22.084234750558306</c:v>
                </c:pt>
                <c:pt idx="491">
                  <c:v>-22.186346190959124</c:v>
                </c:pt>
                <c:pt idx="492">
                  <c:v>-22.287902967801962</c:v>
                </c:pt>
                <c:pt idx="493">
                  <c:v>-22.391255704000681</c:v>
                </c:pt>
                <c:pt idx="494">
                  <c:v>-22.494041309311182</c:v>
                </c:pt>
                <c:pt idx="495">
                  <c:v>-22.596266510520465</c:v>
                </c:pt>
                <c:pt idx="496">
                  <c:v>-22.69793791964694</c:v>
                </c:pt>
                <c:pt idx="497">
                  <c:v>-22.801421013959725</c:v>
                </c:pt>
                <c:pt idx="498">
                  <c:v>-22.904337759723319</c:v>
                </c:pt>
                <c:pt idx="499">
                  <c:v>-23.006694887366997</c:v>
                </c:pt>
                <c:pt idx="500">
                  <c:v>-23.108499012531766</c:v>
                </c:pt>
                <c:pt idx="501">
                  <c:v>-23.212128871328904</c:v>
                </c:pt>
                <c:pt idx="502">
                  <c:v>-23.315193106032311</c:v>
                </c:pt>
                <c:pt idx="503">
                  <c:v>-23.417698452855561</c:v>
                </c:pt>
                <c:pt idx="504">
                  <c:v>-23.519651533159273</c:v>
                </c:pt>
                <c:pt idx="505">
                  <c:v>-23.623380087263527</c:v>
                </c:pt>
                <c:pt idx="506">
                  <c:v>-23.72654439157315</c:v>
                </c:pt>
                <c:pt idx="507">
                  <c:v>-23.829151177677019</c:v>
                </c:pt>
                <c:pt idx="508">
                  <c:v>-23.931207062487548</c:v>
                </c:pt>
                <c:pt idx="509">
                  <c:v>-24.035051442807202</c:v>
                </c:pt>
                <c:pt idx="510">
                  <c:v>-24.138332893080797</c:v>
                </c:pt>
                <c:pt idx="511">
                  <c:v>-24.241058142462151</c:v>
                </c:pt>
                <c:pt idx="512">
                  <c:v>-24.343233805559137</c:v>
                </c:pt>
                <c:pt idx="513">
                  <c:v>-24.447269629039642</c:v>
                </c:pt>
                <c:pt idx="514">
                  <c:v>-24.550743166833428</c:v>
                </c:pt>
                <c:pt idx="515">
                  <c:v>-24.653661159068903</c:v>
                </c:pt>
                <c:pt idx="516">
                  <c:v>-24.756030231159446</c:v>
                </c:pt>
                <c:pt idx="517">
                  <c:v>-24.860208984397694</c:v>
                </c:pt>
                <c:pt idx="518">
                  <c:v>-24.963826771158793</c:v>
                </c:pt>
                <c:pt idx="519">
                  <c:v>-25.066890331877634</c:v>
                </c:pt>
                <c:pt idx="520">
                  <c:v>-25.169406292351411</c:v>
                </c:pt>
                <c:pt idx="521">
                  <c:v>-25.273740934966575</c:v>
                </c:pt>
                <c:pt idx="522">
                  <c:v>-25.377515948656509</c:v>
                </c:pt>
                <c:pt idx="523">
                  <c:v>-25.480738075317984</c:v>
                </c:pt>
                <c:pt idx="524">
                  <c:v>-25.583413942265562</c:v>
                </c:pt>
                <c:pt idx="525">
                  <c:v>-25.687916332770342</c:v>
                </c:pt>
                <c:pt idx="526">
                  <c:v>-25.79186047200232</c:v>
                </c:pt>
                <c:pt idx="527">
                  <c:v>-25.895253104179197</c:v>
                </c:pt>
                <c:pt idx="528">
                  <c:v>-25.9981008589778</c:v>
                </c:pt>
                <c:pt idx="529">
                  <c:v>-26.102781905863587</c:v>
                </c:pt>
                <c:pt idx="530">
                  <c:v>-26.20690613967875</c:v>
                </c:pt>
                <c:pt idx="531">
                  <c:v>-26.310480307550769</c:v>
                </c:pt>
                <c:pt idx="532">
                  <c:v>-26.413511042097969</c:v>
                </c:pt>
                <c:pt idx="533">
                  <c:v>-26.518434845177225</c:v>
                </c:pt>
                <c:pt idx="534">
                  <c:v>-26.622802783170453</c:v>
                </c:pt>
                <c:pt idx="535">
                  <c:v>-26.726621616825707</c:v>
                </c:pt>
                <c:pt idx="536">
                  <c:v>-26.829897992175376</c:v>
                </c:pt>
                <c:pt idx="537">
                  <c:v>-26.934964872284397</c:v>
                </c:pt>
                <c:pt idx="538">
                  <c:v>-27.039478086889122</c:v>
                </c:pt>
                <c:pt idx="539">
                  <c:v>-27.143444389494441</c:v>
                </c:pt>
                <c:pt idx="540">
                  <c:v>-27.246870419157901</c:v>
                </c:pt>
                <c:pt idx="541">
                  <c:v>-27.352196205337421</c:v>
                </c:pt>
                <c:pt idx="542">
                  <c:v>-27.456969515314942</c:v>
                </c:pt>
                <c:pt idx="543">
                  <c:v>-27.561197115780374</c:v>
                </c:pt>
                <c:pt idx="544">
                  <c:v>-27.664885658786382</c:v>
                </c:pt>
                <c:pt idx="545">
                  <c:v>-27.770424944016906</c:v>
                </c:pt>
                <c:pt idx="546">
                  <c:v>-27.875413641511596</c:v>
                </c:pt>
                <c:pt idx="547">
                  <c:v>-27.979858520497466</c:v>
                </c:pt>
                <c:pt idx="548">
                  <c:v>-28.083766235618135</c:v>
                </c:pt>
                <c:pt idx="549">
                  <c:v>-28.189527326697498</c:v>
                </c:pt>
                <c:pt idx="550">
                  <c:v>-28.29473986356172</c:v>
                </c:pt>
                <c:pt idx="551">
                  <c:v>-28.399410617525128</c:v>
                </c:pt>
                <c:pt idx="552">
                  <c:v>-28.503546245382829</c:v>
                </c:pt>
                <c:pt idx="553">
                  <c:v>-28.609585937134334</c:v>
                </c:pt>
                <c:pt idx="554">
                  <c:v>-28.715078767542529</c:v>
                </c:pt>
                <c:pt idx="555">
                  <c:v>-28.820031518669445</c:v>
                </c:pt>
                <c:pt idx="556">
                  <c:v>-28.924450857927923</c:v>
                </c:pt>
                <c:pt idx="557">
                  <c:v>-29.136552761876629</c:v>
                </c:pt>
                <c:pt idx="558">
                  <c:v>-29.346501888091233</c:v>
                </c:pt>
                <c:pt idx="559">
                  <c:v>-29.559091184475975</c:v>
                </c:pt>
                <c:pt idx="560">
                  <c:v>-29.76953809977616</c:v>
                </c:pt>
                <c:pt idx="561">
                  <c:v>-29.982814101179166</c:v>
                </c:pt>
                <c:pt idx="562">
                  <c:v>-30.193955276475663</c:v>
                </c:pt>
                <c:pt idx="563">
                  <c:v>-30.407478529195711</c:v>
                </c:pt>
                <c:pt idx="564">
                  <c:v>-30.618884411546109</c:v>
                </c:pt>
                <c:pt idx="565">
                  <c:v>-30.833477063926825</c:v>
                </c:pt>
                <c:pt idx="566">
                  <c:v>-31.045954842304567</c:v>
                </c:pt>
                <c:pt idx="567">
                  <c:v>-31.261519594007595</c:v>
                </c:pt>
                <c:pt idx="568">
                  <c:v>-31.474975354381165</c:v>
                </c:pt>
                <c:pt idx="569">
                  <c:v>-31.690582986552634</c:v>
                </c:pt>
                <c:pt idx="570">
                  <c:v>-31.904106887906472</c:v>
                </c:pt>
                <c:pt idx="571">
                  <c:v>-32.121377621169515</c:v>
                </c:pt>
                <c:pt idx="572">
                  <c:v>-32.336560183953658</c:v>
                </c:pt>
                <c:pt idx="573">
                  <c:v>-32.5537565619329</c:v>
                </c:pt>
                <c:pt idx="574">
                  <c:v>-32.768895033062108</c:v>
                </c:pt>
                <c:pt idx="575">
                  <c:v>-32.987589985389945</c:v>
                </c:pt>
                <c:pt idx="576">
                  <c:v>-33.204229117395577</c:v>
                </c:pt>
                <c:pt idx="577">
                  <c:v>-34.099814216120471</c:v>
                </c:pt>
                <c:pt idx="578">
                  <c:v>-34.963207826083419</c:v>
                </c:pt>
                <c:pt idx="579">
                  <c:v>-36.75801304377844</c:v>
                </c:pt>
                <c:pt idx="580">
                  <c:v>-38.600540705485962</c:v>
                </c:pt>
                <c:pt idx="581">
                  <c:v>-40.49884297337077</c:v>
                </c:pt>
                <c:pt idx="582">
                  <c:v>-42.466487494024321</c:v>
                </c:pt>
                <c:pt idx="583">
                  <c:v>-44.515675409405034</c:v>
                </c:pt>
                <c:pt idx="584">
                  <c:v>-46.662122861227211</c:v>
                </c:pt>
                <c:pt idx="585">
                  <c:v>-48.917973327795458</c:v>
                </c:pt>
                <c:pt idx="586">
                  <c:v>-51.294304943710323</c:v>
                </c:pt>
                <c:pt idx="587">
                  <c:v>-53.798897906449994</c:v>
                </c:pt>
                <c:pt idx="588">
                  <c:v>-56.430085988284624</c:v>
                </c:pt>
                <c:pt idx="589">
                  <c:v>-59.184571535468692</c:v>
                </c:pt>
                <c:pt idx="590">
                  <c:v>-62.050578173245668</c:v>
                </c:pt>
                <c:pt idx="591">
                  <c:v>-65.013749797110748</c:v>
                </c:pt>
                <c:pt idx="592">
                  <c:v>-68.057199494886746</c:v>
                </c:pt>
                <c:pt idx="593">
                  <c:v>-71.165274599029246</c:v>
                </c:pt>
                <c:pt idx="594">
                  <c:v>-74.321836997462626</c:v>
                </c:pt>
                <c:pt idx="595">
                  <c:v>-77.514208876344384</c:v>
                </c:pt>
                <c:pt idx="596">
                  <c:v>-80.730744452591225</c:v>
                </c:pt>
                <c:pt idx="597">
                  <c:v>-83.963425231726418</c:v>
                </c:pt>
                <c:pt idx="598">
                  <c:v>-87.2048226550599</c:v>
                </c:pt>
                <c:pt idx="599">
                  <c:v>-90.45090463176453</c:v>
                </c:pt>
                <c:pt idx="600">
                  <c:v>-93.697757544002798</c:v>
                </c:pt>
              </c:numCache>
            </c:numRef>
          </c:yVal>
          <c:smooth val="1"/>
          <c:extLst>
            <c:ext xmlns:c16="http://schemas.microsoft.com/office/drawing/2014/chart" uri="{C3380CC4-5D6E-409C-BE32-E72D297353CC}">
              <c16:uniqueId val="{00000001-417B-42DD-99BF-4436D67A6013}"/>
            </c:ext>
          </c:extLst>
        </c:ser>
        <c:ser>
          <c:idx val="2"/>
          <c:order val="2"/>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106.45210602491106</c:v>
                </c:pt>
                <c:pt idx="1">
                  <c:v>111.68736469873132</c:v>
                </c:pt>
                <c:pt idx="2">
                  <c:v>110.89860044820165</c:v>
                </c:pt>
                <c:pt idx="3">
                  <c:v>110.10674473479224</c:v>
                </c:pt>
                <c:pt idx="4">
                  <c:v>109.31255793017331</c:v>
                </c:pt>
                <c:pt idx="5">
                  <c:v>108.51487254737398</c:v>
                </c:pt>
                <c:pt idx="6">
                  <c:v>107.71489483473263</c:v>
                </c:pt>
                <c:pt idx="7">
                  <c:v>106.91209788714158</c:v>
                </c:pt>
                <c:pt idx="8">
                  <c:v>106.10699331944926</c:v>
                </c:pt>
                <c:pt idx="9">
                  <c:v>105.29882453077533</c:v>
                </c:pt>
                <c:pt idx="10">
                  <c:v>104.48783518535771</c:v>
                </c:pt>
                <c:pt idx="11">
                  <c:v>103.67361725053144</c:v>
                </c:pt>
                <c:pt idx="12">
                  <c:v>102.85537069794066</c:v>
                </c:pt>
                <c:pt idx="13">
                  <c:v>102.03344294051251</c:v>
                </c:pt>
                <c:pt idx="14">
                  <c:v>101.20667226924763</c:v>
                </c:pt>
                <c:pt idx="15">
                  <c:v>100.37480831379419</c:v>
                </c:pt>
                <c:pt idx="16">
                  <c:v>99.537170836896649</c:v>
                </c:pt>
                <c:pt idx="17">
                  <c:v>98.693239887412091</c:v>
                </c:pt>
                <c:pt idx="18">
                  <c:v>97.842132273224038</c:v>
                </c:pt>
                <c:pt idx="19">
                  <c:v>96.983479645797829</c:v>
                </c:pt>
                <c:pt idx="20">
                  <c:v>96.116604707866003</c:v>
                </c:pt>
                <c:pt idx="21">
                  <c:v>95.241326406146385</c:v>
                </c:pt>
                <c:pt idx="22">
                  <c:v>94.35731091540444</c:v>
                </c:pt>
                <c:pt idx="23">
                  <c:v>93.464903979464324</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86.143091634056816</c:v>
                </c:pt>
                <c:pt idx="32">
                  <c:v>85.230200982617745</c:v>
                </c:pt>
                <c:pt idx="33">
                  <c:v>84.324003827169435</c:v>
                </c:pt>
                <c:pt idx="34">
                  <c:v>83.42488482140304</c:v>
                </c:pt>
                <c:pt idx="35">
                  <c:v>82.534064625587646</c:v>
                </c:pt>
                <c:pt idx="36">
                  <c:v>81.651758868741183</c:v>
                </c:pt>
                <c:pt idx="37">
                  <c:v>80.777534454385886</c:v>
                </c:pt>
                <c:pt idx="38">
                  <c:v>79.911997381478216</c:v>
                </c:pt>
                <c:pt idx="39">
                  <c:v>79.054020591703207</c:v>
                </c:pt>
                <c:pt idx="40">
                  <c:v>78.20336357308507</c:v>
                </c:pt>
                <c:pt idx="41">
                  <c:v>77.359298702384848</c:v>
                </c:pt>
                <c:pt idx="42">
                  <c:v>76.521246513133264</c:v>
                </c:pt>
                <c:pt idx="43">
                  <c:v>75.68825984090256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67.513969397867697</c:v>
                </c:pt>
                <c:pt idx="54">
                  <c:v>66.702168790471958</c:v>
                </c:pt>
                <c:pt idx="55">
                  <c:v>65.888835690303964</c:v>
                </c:pt>
                <c:pt idx="56">
                  <c:v>65.074676544614022</c:v>
                </c:pt>
                <c:pt idx="57">
                  <c:v>64.258672345638118</c:v>
                </c:pt>
                <c:pt idx="58">
                  <c:v>63.440887302408875</c:v>
                </c:pt>
                <c:pt idx="59">
                  <c:v>62.620107249402686</c:v>
                </c:pt>
                <c:pt idx="60">
                  <c:v>61.796127507183471</c:v>
                </c:pt>
                <c:pt idx="61">
                  <c:v>60.968056794520734</c:v>
                </c:pt>
                <c:pt idx="62">
                  <c:v>60.134558957044419</c:v>
                </c:pt>
                <c:pt idx="63">
                  <c:v>59.295398575145924</c:v>
                </c:pt>
                <c:pt idx="64">
                  <c:v>58.448706445004859</c:v>
                </c:pt>
                <c:pt idx="65">
                  <c:v>57.593416444676777</c:v>
                </c:pt>
                <c:pt idx="66">
                  <c:v>56.727859045969964</c:v>
                </c:pt>
                <c:pt idx="67">
                  <c:v>55.850323713431209</c:v>
                </c:pt>
                <c:pt idx="68">
                  <c:v>54.958465682097355</c:v>
                </c:pt>
                <c:pt idx="69">
                  <c:v>54.05016783743622</c:v>
                </c:pt>
                <c:pt idx="70">
                  <c:v>53.122623685078878</c:v>
                </c:pt>
                <c:pt idx="71">
                  <c:v>52.173138304156907</c:v>
                </c:pt>
                <c:pt idx="72">
                  <c:v>51.198393625045611</c:v>
                </c:pt>
                <c:pt idx="73">
                  <c:v>50.195338815899298</c:v>
                </c:pt>
                <c:pt idx="74">
                  <c:v>49.160325858264258</c:v>
                </c:pt>
                <c:pt idx="75">
                  <c:v>48.090125081395684</c:v>
                </c:pt>
                <c:pt idx="76">
                  <c:v>46.981235086776827</c:v>
                </c:pt>
                <c:pt idx="77">
                  <c:v>45.831065101433062</c:v>
                </c:pt>
                <c:pt idx="78">
                  <c:v>44.637123441083574</c:v>
                </c:pt>
                <c:pt idx="79">
                  <c:v>43.398402634779401</c:v>
                </c:pt>
                <c:pt idx="80">
                  <c:v>42.111803485158276</c:v>
                </c:pt>
                <c:pt idx="81">
                  <c:v>40.779043272203879</c:v>
                </c:pt>
                <c:pt idx="82">
                  <c:v>39.400207615082216</c:v>
                </c:pt>
                <c:pt idx="83">
                  <c:v>37.97829766369847</c:v>
                </c:pt>
                <c:pt idx="84">
                  <c:v>36.515194197754276</c:v>
                </c:pt>
                <c:pt idx="85">
                  <c:v>35.015508320780043</c:v>
                </c:pt>
                <c:pt idx="86">
                  <c:v>33.483445900104051</c:v>
                </c:pt>
                <c:pt idx="87">
                  <c:v>31.922969948635817</c:v>
                </c:pt>
                <c:pt idx="88">
                  <c:v>30.340499861704664</c:v>
                </c:pt>
                <c:pt idx="89">
                  <c:v>28.739581683242399</c:v>
                </c:pt>
                <c:pt idx="90">
                  <c:v>27.125297957547776</c:v>
                </c:pt>
                <c:pt idx="91">
                  <c:v>25.501503675503375</c:v>
                </c:pt>
                <c:pt idx="92">
                  <c:v>23.871825521424434</c:v>
                </c:pt>
                <c:pt idx="93">
                  <c:v>22.238556252371041</c:v>
                </c:pt>
                <c:pt idx="94">
                  <c:v>21.830151519989958</c:v>
                </c:pt>
                <c:pt idx="95">
                  <c:v>21.624667073258806</c:v>
                </c:pt>
                <c:pt idx="96">
                  <c:v>21.421527589914042</c:v>
                </c:pt>
                <c:pt idx="97">
                  <c:v>21.21605407463171</c:v>
                </c:pt>
                <c:pt idx="98">
                  <c:v>21.012931274716532</c:v>
                </c:pt>
                <c:pt idx="99">
                  <c:v>20.807429204830829</c:v>
                </c:pt>
                <c:pt idx="100">
                  <c:v>20.604284130734388</c:v>
                </c:pt>
                <c:pt idx="101">
                  <c:v>20.398872456395836</c:v>
                </c:pt>
                <c:pt idx="102">
                  <c:v>20.195820981274615</c:v>
                </c:pt>
                <c:pt idx="103">
                  <c:v>19.990312479263508</c:v>
                </c:pt>
                <c:pt idx="104">
                  <c:v>19.78717130945703</c:v>
                </c:pt>
                <c:pt idx="105">
                  <c:v>19.581689071839794</c:v>
                </c:pt>
                <c:pt idx="106">
                  <c:v>19.378578146571652</c:v>
                </c:pt>
                <c:pt idx="107">
                  <c:v>19.173236720364869</c:v>
                </c:pt>
                <c:pt idx="108">
                  <c:v>18.970267624610432</c:v>
                </c:pt>
                <c:pt idx="109">
                  <c:v>18.765034469990841</c:v>
                </c:pt>
                <c:pt idx="110">
                  <c:v>18.562175088027782</c:v>
                </c:pt>
                <c:pt idx="111">
                  <c:v>18.35688691696642</c:v>
                </c:pt>
                <c:pt idx="112">
                  <c:v>18.153977414565155</c:v>
                </c:pt>
                <c:pt idx="113">
                  <c:v>17.948753187505375</c:v>
                </c:pt>
                <c:pt idx="114">
                  <c:v>17.745909497191683</c:v>
                </c:pt>
                <c:pt idx="115">
                  <c:v>17.54073027414821</c:v>
                </c:pt>
                <c:pt idx="116">
                  <c:v>17.337933614621068</c:v>
                </c:pt>
                <c:pt idx="117">
                  <c:v>17.132784400424306</c:v>
                </c:pt>
                <c:pt idx="118">
                  <c:v>16.930019858934124</c:v>
                </c:pt>
                <c:pt idx="119">
                  <c:v>16.725012892487968</c:v>
                </c:pt>
                <c:pt idx="120">
                  <c:v>16.522389861067712</c:v>
                </c:pt>
                <c:pt idx="121">
                  <c:v>16.317508561845241</c:v>
                </c:pt>
                <c:pt idx="122">
                  <c:v>16.115010602187599</c:v>
                </c:pt>
                <c:pt idx="123">
                  <c:v>15.910123914026837</c:v>
                </c:pt>
                <c:pt idx="124">
                  <c:v>15.707622776463687</c:v>
                </c:pt>
                <c:pt idx="125">
                  <c:v>15.502844181859656</c:v>
                </c:pt>
                <c:pt idx="126">
                  <c:v>15.300450509706645</c:v>
                </c:pt>
                <c:pt idx="127">
                  <c:v>15.095772840133293</c:v>
                </c:pt>
                <c:pt idx="128">
                  <c:v>14.893479429566707</c:v>
                </c:pt>
                <c:pt idx="129">
                  <c:v>14.688898217483676</c:v>
                </c:pt>
                <c:pt idx="130">
                  <c:v>14.486700515611073</c:v>
                </c:pt>
                <c:pt idx="131">
                  <c:v>14.282213765173797</c:v>
                </c:pt>
                <c:pt idx="132">
                  <c:v>14.180867313769461</c:v>
                </c:pt>
                <c:pt idx="133">
                  <c:v>14.080109645527951</c:v>
                </c:pt>
                <c:pt idx="134">
                  <c:v>13.977559703942614</c:v>
                </c:pt>
                <c:pt idx="135">
                  <c:v>13.87561271614979</c:v>
                </c:pt>
                <c:pt idx="136">
                  <c:v>13.774261701735018</c:v>
                </c:pt>
                <c:pt idx="137">
                  <c:v>13.673499798026389</c:v>
                </c:pt>
                <c:pt idx="138">
                  <c:v>13.571052508336743</c:v>
                </c:pt>
                <c:pt idx="139">
                  <c:v>13.469207230588081</c:v>
                </c:pt>
                <c:pt idx="140">
                  <c:v>13.367956989716285</c:v>
                </c:pt>
                <c:pt idx="141">
                  <c:v>13.267294928624871</c:v>
                </c:pt>
                <c:pt idx="142">
                  <c:v>13.164848054617362</c:v>
                </c:pt>
                <c:pt idx="143">
                  <c:v>13.063003411669751</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11.744221611069905</c:v>
                </c:pt>
                <c:pt idx="157">
                  <c:v>11.643690123623692</c:v>
                </c:pt>
                <c:pt idx="158">
                  <c:v>11.541401312242957</c:v>
                </c:pt>
                <c:pt idx="159">
                  <c:v>11.439713452608657</c:v>
                </c:pt>
                <c:pt idx="160">
                  <c:v>11.338619545281706</c:v>
                </c:pt>
                <c:pt idx="161">
                  <c:v>11.238112710752631</c:v>
                </c:pt>
                <c:pt idx="162">
                  <c:v>11.135902486537292</c:v>
                </c:pt>
                <c:pt idx="163">
                  <c:v>11.034292367345301</c:v>
                </c:pt>
                <c:pt idx="164">
                  <c:v>10.933275362015246</c:v>
                </c:pt>
                <c:pt idx="165">
                  <c:v>10.832844599351628</c:v>
                </c:pt>
                <c:pt idx="166">
                  <c:v>10.730631253531062</c:v>
                </c:pt>
                <c:pt idx="167">
                  <c:v>10.629018099204472</c:v>
                </c:pt>
                <c:pt idx="168">
                  <c:v>10.527998137826337</c:v>
                </c:pt>
                <c:pt idx="169">
                  <c:v>10.427564491193781</c:v>
                </c:pt>
                <c:pt idx="170">
                  <c:v>10.325573909620495</c:v>
                </c:pt>
                <c:pt idx="171">
                  <c:v>10.224180941811172</c:v>
                </c:pt>
                <c:pt idx="172">
                  <c:v>10.12337862883774</c:v>
                </c:pt>
                <c:pt idx="173">
                  <c:v>10.023160131400338</c:v>
                </c:pt>
                <c:pt idx="174">
                  <c:v>9.9210141587529055</c:v>
                </c:pt>
                <c:pt idx="175">
                  <c:v>9.8194676247345285</c:v>
                </c:pt>
                <c:pt idx="176">
                  <c:v>9.7185135338113184</c:v>
                </c:pt>
                <c:pt idx="177">
                  <c:v>9.6181450110914959</c:v>
                </c:pt>
                <c:pt idx="178">
                  <c:v>9.5159086890717983</c:v>
                </c:pt>
                <c:pt idx="179">
                  <c:v>9.414272852607585</c:v>
                </c:pt>
                <c:pt idx="180">
                  <c:v>9.3132304835415187</c:v>
                </c:pt>
                <c:pt idx="181">
                  <c:v>9.2127746850398253</c:v>
                </c:pt>
                <c:pt idx="182">
                  <c:v>9.110907026658662</c:v>
                </c:pt>
                <c:pt idx="183">
                  <c:v>9.0096355156802925</c:v>
                </c:pt>
                <c:pt idx="184">
                  <c:v>8.9089532057861724</c:v>
                </c:pt>
                <c:pt idx="185">
                  <c:v>8.8088532704806841</c:v>
                </c:pt>
                <c:pt idx="186">
                  <c:v>8.7066050166679982</c:v>
                </c:pt>
                <c:pt idx="187">
                  <c:v>8.6049573161868249</c:v>
                </c:pt>
                <c:pt idx="188">
                  <c:v>8.5039031423075677</c:v>
                </c:pt>
                <c:pt idx="189">
                  <c:v>8.4034355901079802</c:v>
                </c:pt>
                <c:pt idx="190">
                  <c:v>8.3016472141129753</c:v>
                </c:pt>
                <c:pt idx="191">
                  <c:v>8.2004539590498098</c:v>
                </c:pt>
                <c:pt idx="192">
                  <c:v>8.0998488899672445</c:v>
                </c:pt>
                <c:pt idx="193">
                  <c:v>7.9998251917319134</c:v>
                </c:pt>
                <c:pt idx="194">
                  <c:v>7.8977765590888938</c:v>
                </c:pt>
                <c:pt idx="195">
                  <c:v>7.7963260139603276</c:v>
                </c:pt>
                <c:pt idx="196">
                  <c:v>7.695466566880417</c:v>
                </c:pt>
                <c:pt idx="197">
                  <c:v>7.5951913495674077</c:v>
                </c:pt>
                <c:pt idx="198">
                  <c:v>7.4933168610217198</c:v>
                </c:pt>
                <c:pt idx="199">
                  <c:v>7.3920383426066074</c:v>
                </c:pt>
                <c:pt idx="200">
                  <c:v>7.2913488394093058</c:v>
                </c:pt>
                <c:pt idx="201">
                  <c:v>7.1912415170061292</c:v>
                </c:pt>
                <c:pt idx="202">
                  <c:v>7.0895830821063548</c:v>
                </c:pt>
                <c:pt idx="203">
                  <c:v>6.9885180048807447</c:v>
                </c:pt>
                <c:pt idx="204">
                  <c:v>6.8880393738444248</c:v>
                </c:pt>
                <c:pt idx="205">
                  <c:v>6.7881403970923957</c:v>
                </c:pt>
                <c:pt idx="206">
                  <c:v>6.686390471559303</c:v>
                </c:pt>
                <c:pt idx="207">
                  <c:v>6.5852348639421745</c:v>
                </c:pt>
                <c:pt idx="208">
                  <c:v>6.4846666441550624</c:v>
                </c:pt>
                <c:pt idx="209">
                  <c:v>6.38467900220156</c:v>
                </c:pt>
                <c:pt idx="210">
                  <c:v>6.2825588625703617</c:v>
                </c:pt>
                <c:pt idx="211">
                  <c:v>6.1810372449931803</c:v>
                </c:pt>
                <c:pt idx="212">
                  <c:v>6.0801071442843231</c:v>
                </c:pt>
                <c:pt idx="213">
                  <c:v>5.9797616771545368</c:v>
                </c:pt>
                <c:pt idx="214">
                  <c:v>5.8780111851459305</c:v>
                </c:pt>
                <c:pt idx="215">
                  <c:v>5.7768547784095503</c:v>
                </c:pt>
                <c:pt idx="216">
                  <c:v>5.6762855278580515</c:v>
                </c:pt>
                <c:pt idx="217">
                  <c:v>5.5762966246077861</c:v>
                </c:pt>
                <c:pt idx="218">
                  <c:v>5.4746212173047351</c:v>
                </c:pt>
                <c:pt idx="219">
                  <c:v>5.3735388892971727</c:v>
                </c:pt>
                <c:pt idx="220">
                  <c:v>5.2730427278105179</c:v>
                </c:pt>
                <c:pt idx="221">
                  <c:v>5.1731259399543532</c:v>
                </c:pt>
                <c:pt idx="222">
                  <c:v>5.0715736480884104</c:v>
                </c:pt>
                <c:pt idx="223">
                  <c:v>4.970612864866311</c:v>
                </c:pt>
                <c:pt idx="224">
                  <c:v>4.8702367038198568</c:v>
                </c:pt>
                <c:pt idx="225">
                  <c:v>4.770438397810385</c:v>
                </c:pt>
                <c:pt idx="226">
                  <c:v>4.6687455853471187</c:v>
                </c:pt>
                <c:pt idx="227">
                  <c:v>4.5676457678213795</c:v>
                </c:pt>
                <c:pt idx="228">
                  <c:v>4.4671320319584531</c:v>
                </c:pt>
                <c:pt idx="229">
                  <c:v>4.3671975844749031</c:v>
                </c:pt>
                <c:pt idx="230">
                  <c:v>4.1642496276169174</c:v>
                </c:pt>
                <c:pt idx="231">
                  <c:v>4.0636593446095519</c:v>
                </c:pt>
                <c:pt idx="232">
                  <c:v>3.9636490759697933</c:v>
                </c:pt>
                <c:pt idx="233">
                  <c:v>3.8618585239970207</c:v>
                </c:pt>
                <c:pt idx="234">
                  <c:v>3.7606617885541764</c:v>
                </c:pt>
                <c:pt idx="235">
                  <c:v>3.660051940585066</c:v>
                </c:pt>
                <c:pt idx="236">
                  <c:v>3.5600221714624478</c:v>
                </c:pt>
                <c:pt idx="237">
                  <c:v>3.4585537236296542</c:v>
                </c:pt>
                <c:pt idx="238">
                  <c:v>3.3576751848100743</c:v>
                </c:pt>
                <c:pt idx="239">
                  <c:v>3.2573796934675099</c:v>
                </c:pt>
                <c:pt idx="240">
                  <c:v>3.1576605069642016</c:v>
                </c:pt>
                <c:pt idx="241">
                  <c:v>3.0559833373164285</c:v>
                </c:pt>
                <c:pt idx="242">
                  <c:v>2.954898326391719</c:v>
                </c:pt>
                <c:pt idx="243">
                  <c:v>2.8543985729972414</c:v>
                </c:pt>
                <c:pt idx="244">
                  <c:v>2.7544772957762835</c:v>
                </c:pt>
                <c:pt idx="245">
                  <c:v>2.6529326063140735</c:v>
                </c:pt>
                <c:pt idx="246">
                  <c:v>2.5519783597649406</c:v>
                </c:pt>
                <c:pt idx="247">
                  <c:v>2.4516076844101002</c:v>
                </c:pt>
                <c:pt idx="248">
                  <c:v>2.3518138277066249</c:v>
                </c:pt>
                <c:pt idx="249">
                  <c:v>2.250177131767396</c:v>
                </c:pt>
                <c:pt idx="250">
                  <c:v>2.1491317620047163</c:v>
                </c:pt>
                <c:pt idx="251">
                  <c:v>2.0486708309624473</c:v>
                </c:pt>
                <c:pt idx="252">
                  <c:v>1.9487875707402864</c:v>
                </c:pt>
                <c:pt idx="253">
                  <c:v>1.8473796065162285</c:v>
                </c:pt>
                <c:pt idx="254">
                  <c:v>1.7465601287708106</c:v>
                </c:pt>
                <c:pt idx="255">
                  <c:v>1.6463222991481845</c:v>
                </c:pt>
                <c:pt idx="256">
                  <c:v>1.5466593977282186</c:v>
                </c:pt>
                <c:pt idx="257">
                  <c:v>1.4450050972115014</c:v>
                </c:pt>
                <c:pt idx="258">
                  <c:v>1.3439419422435626</c:v>
                </c:pt>
                <c:pt idx="259">
                  <c:v>1.2434630479231621</c:v>
                </c:pt>
                <c:pt idx="260">
                  <c:v>1.1435616488685869</c:v>
                </c:pt>
                <c:pt idx="261">
                  <c:v>1.0419801668164346</c:v>
                </c:pt>
                <c:pt idx="262">
                  <c:v>0.94098878541421527</c:v>
                </c:pt>
                <c:pt idx="263">
                  <c:v>0.84058063769748848</c:v>
                </c:pt>
                <c:pt idx="264">
                  <c:v>0.7407489758131881</c:v>
                </c:pt>
                <c:pt idx="265">
                  <c:v>0.6392877726466506</c:v>
                </c:pt>
                <c:pt idx="266">
                  <c:v>0.5384150718574463</c:v>
                </c:pt>
                <c:pt idx="267">
                  <c:v>0.4381240340362757</c:v>
                </c:pt>
                <c:pt idx="268">
                  <c:v>0.33840793825412119</c:v>
                </c:pt>
                <c:pt idx="269">
                  <c:v>0.23687228130082341</c:v>
                </c:pt>
                <c:pt idx="270">
                  <c:v>0.13592577667302017</c:v>
                </c:pt>
                <c:pt idx="271">
                  <c:v>3.5561573419262284E-2</c:v>
                </c:pt>
                <c:pt idx="272">
                  <c:v>-6.4227060663066105E-2</c:v>
                </c:pt>
                <c:pt idx="273">
                  <c:v>-0.16578001415141683</c:v>
                </c:pt>
                <c:pt idx="274">
                  <c:v>-0.26674383274748525</c:v>
                </c:pt>
                <c:pt idx="275">
                  <c:v>-0.36712536734741852</c:v>
                </c:pt>
                <c:pt idx="276">
                  <c:v>-0.46693135009992454</c:v>
                </c:pt>
                <c:pt idx="277">
                  <c:v>-0.56822033336623601</c:v>
                </c:pt>
                <c:pt idx="278">
                  <c:v>-0.66892345396451147</c:v>
                </c:pt>
                <c:pt idx="279">
                  <c:v>-0.76904750621722018</c:v>
                </c:pt>
                <c:pt idx="280">
                  <c:v>-0.86859916700296924</c:v>
                </c:pt>
                <c:pt idx="281">
                  <c:v>-0.97025851991030354</c:v>
                </c:pt>
                <c:pt idx="282">
                  <c:v>-1.0713279602022954</c:v>
                </c:pt>
                <c:pt idx="283">
                  <c:v>-1.1718143528535379</c:v>
                </c:pt>
                <c:pt idx="284">
                  <c:v>-1.2717244437718014</c:v>
                </c:pt>
                <c:pt idx="285">
                  <c:v>-1.3730241367201625</c:v>
                </c:pt>
                <c:pt idx="286">
                  <c:v>-1.47373830685671</c:v>
                </c:pt>
                <c:pt idx="287">
                  <c:v>-1.5738737432033132</c:v>
                </c:pt>
                <c:pt idx="288">
                  <c:v>-1.6734371174679354</c:v>
                </c:pt>
                <c:pt idx="289">
                  <c:v>-1.7749878327492135</c:v>
                </c:pt>
                <c:pt idx="290">
                  <c:v>-1.875950370656537</c:v>
                </c:pt>
                <c:pt idx="291">
                  <c:v>-1.9763315666484014</c:v>
                </c:pt>
                <c:pt idx="292">
                  <c:v>-2.0761381378078276</c:v>
                </c:pt>
                <c:pt idx="293">
                  <c:v>-2.1776633503203802</c:v>
                </c:pt>
                <c:pt idx="294">
                  <c:v>-2.2786009297846408</c:v>
                </c:pt>
                <c:pt idx="295">
                  <c:v>-2.3789577025941293</c:v>
                </c:pt>
                <c:pt idx="296">
                  <c:v>-2.4787403769825791</c:v>
                </c:pt>
                <c:pt idx="297">
                  <c:v>-2.580190042139312</c:v>
                </c:pt>
                <c:pt idx="298">
                  <c:v>-2.681053202607691</c:v>
                </c:pt>
                <c:pt idx="299">
                  <c:v>-2.7813366656283711</c:v>
                </c:pt>
                <c:pt idx="300">
                  <c:v>-2.8810471207308508</c:v>
                </c:pt>
                <c:pt idx="301">
                  <c:v>-2.9823747260266318</c:v>
                </c:pt>
                <c:pt idx="302">
                  <c:v>-3.0831174965417221</c:v>
                </c:pt>
                <c:pt idx="303">
                  <c:v>-3.1832822110453254</c:v>
                </c:pt>
                <c:pt idx="304">
                  <c:v>-3.2828755312583575</c:v>
                </c:pt>
                <c:pt idx="305">
                  <c:v>-3.3844258787242021</c:v>
                </c:pt>
                <c:pt idx="306">
                  <c:v>-3.4853890974926665</c:v>
                </c:pt>
                <c:pt idx="307">
                  <c:v>-3.5857720067005836</c:v>
                </c:pt>
                <c:pt idx="308">
                  <c:v>-3.6855813075181736</c:v>
                </c:pt>
                <c:pt idx="309">
                  <c:v>-3.7869088450796493</c:v>
                </c:pt>
                <c:pt idx="310">
                  <c:v>-3.8876521004195514</c:v>
                </c:pt>
                <c:pt idx="311">
                  <c:v>-3.9878178439128691</c:v>
                </c:pt>
                <c:pt idx="312">
                  <c:v>-4.0874127290998743</c:v>
                </c:pt>
                <c:pt idx="313">
                  <c:v>-4.188851679646957</c:v>
                </c:pt>
                <c:pt idx="314">
                  <c:v>-4.2897053556120426</c:v>
                </c:pt>
                <c:pt idx="315">
                  <c:v>-4.3899805452766332</c:v>
                </c:pt>
                <c:pt idx="316">
                  <c:v>-4.4896839196864571</c:v>
                </c:pt>
                <c:pt idx="317">
                  <c:v>-4.5911756303820823</c:v>
                </c:pt>
                <c:pt idx="318">
                  <c:v>-4.6920817588579746</c:v>
                </c:pt>
                <c:pt idx="319">
                  <c:v>-4.792409099514046</c:v>
                </c:pt>
                <c:pt idx="320">
                  <c:v>-4.8921643293853103</c:v>
                </c:pt>
                <c:pt idx="321">
                  <c:v>-4.9936540705097157</c:v>
                </c:pt>
                <c:pt idx="322">
                  <c:v>-5.0945585618096381</c:v>
                </c:pt>
                <c:pt idx="323">
                  <c:v>-5.1948845927834508</c:v>
                </c:pt>
                <c:pt idx="324">
                  <c:v>-5.2946388356890663</c:v>
                </c:pt>
                <c:pt idx="325">
                  <c:v>-5.3960756256399476</c:v>
                </c:pt>
                <c:pt idx="326">
                  <c:v>-5.4969280945112509</c:v>
                </c:pt>
                <c:pt idx="327">
                  <c:v>-5.5972030166473763</c:v>
                </c:pt>
                <c:pt idx="328">
                  <c:v>-5.696907049512153</c:v>
                </c:pt>
                <c:pt idx="329">
                  <c:v>-5.7984124489883886</c:v>
                </c:pt>
                <c:pt idx="330">
                  <c:v>-5.8993330704892841</c:v>
                </c:pt>
                <c:pt idx="331">
                  <c:v>-5.9996756973352721</c:v>
                </c:pt>
                <c:pt idx="332">
                  <c:v>-6.0994469957728095</c:v>
                </c:pt>
                <c:pt idx="333">
                  <c:v>-6.200800367418867</c:v>
                </c:pt>
                <c:pt idx="334">
                  <c:v>-6.3015710488334342</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-7.2067673237552112</c:v>
                </c:pt>
                <c:pt idx="344">
                  <c:v>-7.3065892660563589</c:v>
                </c:pt>
                <c:pt idx="345">
                  <c:v>-7.4080051808627543</c:v>
                </c:pt>
                <c:pt idx="346">
                  <c:v>-7.5088387944635642</c:v>
                </c:pt>
                <c:pt idx="347">
                  <c:v>-7.6090968525130709</c:v>
                </c:pt>
                <c:pt idx="348">
                  <c:v>-7.7087859845078874</c:v>
                </c:pt>
                <c:pt idx="349">
                  <c:v>-7.8103234596428361</c:v>
                </c:pt>
                <c:pt idx="350">
                  <c:v>-7.9112776388692581</c:v>
                </c:pt>
                <c:pt idx="351">
                  <c:v>-8.0116552867025419</c:v>
                </c:pt>
                <c:pt idx="352">
                  <c:v>-8.1114630510820049</c:v>
                </c:pt>
                <c:pt idx="353">
                  <c:v>-8.213063615106881</c:v>
                </c:pt>
                <c:pt idx="354">
                  <c:v>-8.3140805748129978</c:v>
                </c:pt>
                <c:pt idx="355">
                  <c:v>-8.4145207018216688</c:v>
                </c:pt>
                <c:pt idx="356">
                  <c:v>-8.514390651028565</c:v>
                </c:pt>
                <c:pt idx="357">
                  <c:v>-8.6158558420352378</c:v>
                </c:pt>
                <c:pt idx="358">
                  <c:v>-8.7167394084175491</c:v>
                </c:pt>
                <c:pt idx="359">
                  <c:v>-8.8170480893566747</c:v>
                </c:pt>
                <c:pt idx="360">
                  <c:v>-8.916788508064494</c:v>
                </c:pt>
                <c:pt idx="361">
                  <c:v>-9.0183586178345685</c:v>
                </c:pt>
                <c:pt idx="362">
                  <c:v>-9.1193463509100461</c:v>
                </c:pt>
                <c:pt idx="363">
                  <c:v>-9.2197584615462134</c:v>
                </c:pt>
                <c:pt idx="364">
                  <c:v>-9.3196015876990277</c:v>
                </c:pt>
                <c:pt idx="365">
                  <c:v>-9.4210821515743106</c:v>
                </c:pt>
                <c:pt idx="366">
                  <c:v>-9.5219818279478758</c:v>
                </c:pt>
                <c:pt idx="367">
                  <c:v>-9.6223073474445933</c:v>
                </c:pt>
                <c:pt idx="368">
                  <c:v>-9.722065324944726</c:v>
                </c:pt>
                <c:pt idx="369">
                  <c:v>-9.8236813002014962</c:v>
                </c:pt>
                <c:pt idx="370">
                  <c:v>-9.9247153273116346</c:v>
                </c:pt>
                <c:pt idx="371">
                  <c:v>-10.025174157643246</c:v>
                </c:pt>
                <c:pt idx="372">
                  <c:v>-10.125064426359645</c:v>
                </c:pt>
                <c:pt idx="373">
                  <c:v>-10.226625722126343</c:v>
                </c:pt>
                <c:pt idx="374">
                  <c:v>-10.327606200560105</c:v>
                </c:pt>
                <c:pt idx="375">
                  <c:v>-10.428012595937393</c:v>
                </c:pt>
                <c:pt idx="376">
                  <c:v>-10.527851526735041</c:v>
                </c:pt>
                <c:pt idx="377">
                  <c:v>-10.629569009562207</c:v>
                </c:pt>
                <c:pt idx="378">
                  <c:v>-10.730704421992833</c:v>
                </c:pt>
                <c:pt idx="379">
                  <c:v>-10.831264522755205</c:v>
                </c:pt>
                <c:pt idx="380">
                  <c:v>-10.931255954233487</c:v>
                </c:pt>
                <c:pt idx="381">
                  <c:v>-11.032818732004587</c:v>
                </c:pt>
                <c:pt idx="382">
                  <c:v>-11.133801754700388</c:v>
                </c:pt>
                <c:pt idx="383">
                  <c:v>-11.23421174376448</c:v>
                </c:pt>
                <c:pt idx="384">
                  <c:v>-11.334055305164142</c:v>
                </c:pt>
                <c:pt idx="385">
                  <c:v>-11.43579243729336</c:v>
                </c:pt>
                <c:pt idx="386">
                  <c:v>-11.536948404425722</c:v>
                </c:pt>
                <c:pt idx="387">
                  <c:v>-11.637529955563277</c:v>
                </c:pt>
                <c:pt idx="388">
                  <c:v>-11.737543723617021</c:v>
                </c:pt>
                <c:pt idx="389">
                  <c:v>-11.839274565726289</c:v>
                </c:pt>
                <c:pt idx="390">
                  <c:v>-11.940424917104417</c:v>
                </c:pt>
                <c:pt idx="391">
                  <c:v>-12.041001518351703</c:v>
                </c:pt>
                <c:pt idx="392">
                  <c:v>-12.141010994184253</c:v>
                </c:pt>
                <c:pt idx="393">
                  <c:v>-12.242686954214676</c:v>
                </c:pt>
                <c:pt idx="394">
                  <c:v>-12.343783676392084</c:v>
                </c:pt>
                <c:pt idx="395">
                  <c:v>-12.444307883085767</c:v>
                </c:pt>
                <c:pt idx="396">
                  <c:v>-12.544266181213519</c:v>
                </c:pt>
                <c:pt idx="397">
                  <c:v>-12.646071315306205</c:v>
                </c:pt>
                <c:pt idx="398">
                  <c:v>-12.747296401185572</c:v>
                </c:pt>
                <c:pt idx="399">
                  <c:v>-12.847948179051853</c:v>
                </c:pt>
                <c:pt idx="400">
                  <c:v>-12.948033273263267</c:v>
                </c:pt>
                <c:pt idx="401">
                  <c:v>-13.049798392010638</c:v>
                </c:pt>
                <c:pt idx="402">
                  <c:v>-13.150984604956541</c:v>
                </c:pt>
                <c:pt idx="403">
                  <c:v>-13.251598636456238</c:v>
                </c:pt>
                <c:pt idx="404">
                  <c:v>-13.351647095401278</c:v>
                </c:pt>
                <c:pt idx="405">
                  <c:v>-13.453435944873625</c:v>
                </c:pt>
                <c:pt idx="406">
                  <c:v>-13.554646338448562</c:v>
                </c:pt>
                <c:pt idx="407">
                  <c:v>-13.655284996922488</c:v>
                </c:pt>
                <c:pt idx="408">
                  <c:v>-13.755358525727726</c:v>
                </c:pt>
                <c:pt idx="409">
                  <c:v>-13.857228418061371</c:v>
                </c:pt>
                <c:pt idx="410">
                  <c:v>-13.958519689084765</c:v>
                </c:pt>
                <c:pt idx="411">
                  <c:v>-14.059239067006557</c:v>
                </c:pt>
                <c:pt idx="412">
                  <c:v>-14.159393164519321</c:v>
                </c:pt>
                <c:pt idx="413">
                  <c:v>-14.261290753924756</c:v>
                </c:pt>
                <c:pt idx="414">
                  <c:v>-14.362610197245662</c:v>
                </c:pt>
                <c:pt idx="415">
                  <c:v>-14.463358219255188</c:v>
                </c:pt>
                <c:pt idx="416">
                  <c:v>-14.563541429307762</c:v>
                </c:pt>
                <c:pt idx="417">
                  <c:v>-14.66551941438347</c:v>
                </c:pt>
                <c:pt idx="418">
                  <c:v>-14.766919170427691</c:v>
                </c:pt>
                <c:pt idx="419">
                  <c:v>-14.867747428798774</c:v>
                </c:pt>
                <c:pt idx="420">
                  <c:v>-14.968010805304834</c:v>
                </c:pt>
                <c:pt idx="421">
                  <c:v>-15.069916286221348</c:v>
                </c:pt>
                <c:pt idx="422">
                  <c:v>-15.17124522241393</c:v>
                </c:pt>
                <c:pt idx="423">
                  <c:v>-15.272004321384312</c:v>
                </c:pt>
                <c:pt idx="424">
                  <c:v>-15.37220017564926</c:v>
                </c:pt>
                <c:pt idx="425">
                  <c:v>-15.474284050522373</c:v>
                </c:pt>
                <c:pt idx="426">
                  <c:v>-15.575790274250657</c:v>
                </c:pt>
                <c:pt idx="427">
                  <c:v>-15.676725579410499</c:v>
                </c:pt>
                <c:pt idx="428">
                  <c:v>-15.777096583043523</c:v>
                </c:pt>
                <c:pt idx="429">
                  <c:v>-15.87920443118686</c:v>
                </c:pt>
                <c:pt idx="430">
                  <c:v>-15.980735310210164</c:v>
                </c:pt>
                <c:pt idx="431">
                  <c:v>-16.081695946985381</c:v>
                </c:pt>
                <c:pt idx="432">
                  <c:v>-16.182092953001487</c:v>
                </c:pt>
                <c:pt idx="433">
                  <c:v>-16.284176370466799</c:v>
                </c:pt>
                <c:pt idx="434">
                  <c:v>-16.385684091309216</c:v>
                </c:pt>
                <c:pt idx="435">
                  <c:v>-16.486622826776014</c:v>
                </c:pt>
                <c:pt idx="436">
                  <c:v>-16.586999173110257</c:v>
                </c:pt>
                <c:pt idx="437">
                  <c:v>-16.689196096844313</c:v>
                </c:pt>
                <c:pt idx="438">
                  <c:v>-16.790817093528759</c:v>
                </c:pt>
                <c:pt idx="439">
                  <c:v>-16.891868885402403</c:v>
                </c:pt>
                <c:pt idx="440">
                  <c:v>-16.992358079474531</c:v>
                </c:pt>
                <c:pt idx="441">
                  <c:v>-17.09461486517792</c:v>
                </c:pt>
                <c:pt idx="442">
                  <c:v>-17.196296149905937</c:v>
                </c:pt>
                <c:pt idx="443">
                  <c:v>-17.297408655875287</c:v>
                </c:pt>
                <c:pt idx="444">
                  <c:v>-17.397958990100161</c:v>
                </c:pt>
                <c:pt idx="445">
                  <c:v>-17.500225803142641</c:v>
                </c:pt>
                <c:pt idx="446">
                  <c:v>-17.601918154990429</c:v>
                </c:pt>
                <c:pt idx="447">
                  <c:v>-17.703042757570657</c:v>
                </c:pt>
                <c:pt idx="448">
                  <c:v>-17.803606207869514</c:v>
                </c:pt>
                <c:pt idx="449">
                  <c:v>-17.906007755044289</c:v>
                </c:pt>
                <c:pt idx="450">
                  <c:v>-18.007834541842659</c:v>
                </c:pt>
                <c:pt idx="451">
                  <c:v>-18.109093293797539</c:v>
                </c:pt>
                <c:pt idx="452">
                  <c:v>-18.209790621220531</c:v>
                </c:pt>
                <c:pt idx="453">
                  <c:v>-18.312189292737692</c:v>
                </c:pt>
                <c:pt idx="454">
                  <c:v>-18.414014506717621</c:v>
                </c:pt>
                <c:pt idx="455">
                  <c:v>-18.515272974791706</c:v>
                </c:pt>
                <c:pt idx="456">
                  <c:v>-18.615971293717973</c:v>
                </c:pt>
                <c:pt idx="457">
                  <c:v>-18.718485866500561</c:v>
                </c:pt>
                <c:pt idx="458">
                  <c:v>-18.820427021794771</c:v>
                </c:pt>
                <c:pt idx="459">
                  <c:v>-18.921801479986357</c:v>
                </c:pt>
                <c:pt idx="460">
                  <c:v>-19.022615846420315</c:v>
                </c:pt>
                <c:pt idx="461">
                  <c:v>-19.12519429038025</c:v>
                </c:pt>
                <c:pt idx="462">
                  <c:v>-19.227200007102798</c:v>
                </c:pt>
                <c:pt idx="463">
                  <c:v>-19.328639714926513</c:v>
                </c:pt>
                <c:pt idx="464">
                  <c:v>-19.429520017232079</c:v>
                </c:pt>
                <c:pt idx="465">
                  <c:v>-19.532192248715777</c:v>
                </c:pt>
                <c:pt idx="466">
                  <c:v>-19.63429218284703</c:v>
                </c:pt>
                <c:pt idx="467">
                  <c:v>-19.735826541110775</c:v>
                </c:pt>
                <c:pt idx="468">
                  <c:v>-19.836801930000117</c:v>
                </c:pt>
                <c:pt idx="469">
                  <c:v>-19.939518184721177</c:v>
                </c:pt>
                <c:pt idx="470">
                  <c:v>-20.041663201498523</c:v>
                </c:pt>
                <c:pt idx="471">
                  <c:v>-20.143243694564998</c:v>
                </c:pt>
                <c:pt idx="472">
                  <c:v>-20.244266263366526</c:v>
                </c:pt>
                <c:pt idx="473">
                  <c:v>-20.347130017041795</c:v>
                </c:pt>
                <c:pt idx="474">
                  <c:v>-20.449422525658257</c:v>
                </c:pt>
                <c:pt idx="475">
                  <c:v>-20.551150515661234</c:v>
                </c:pt>
                <c:pt idx="476">
                  <c:v>-20.652320598474205</c:v>
                </c:pt>
                <c:pt idx="477">
                  <c:v>-20.755279535602504</c:v>
                </c:pt>
                <c:pt idx="478">
                  <c:v>-20.857667887864729</c:v>
                </c:pt>
                <c:pt idx="479">
                  <c:v>-20.959492382943367</c:v>
                </c:pt>
                <c:pt idx="480">
                  <c:v>-21.060759633516174</c:v>
                </c:pt>
                <c:pt idx="481">
                  <c:v>-21.163765303877046</c:v>
                </c:pt>
                <c:pt idx="482">
                  <c:v>-21.266201674461986</c:v>
                </c:pt>
                <c:pt idx="483">
                  <c:v>-21.368075463960142</c:v>
                </c:pt>
                <c:pt idx="484">
                  <c:v>-21.469393276309404</c:v>
                </c:pt>
                <c:pt idx="485">
                  <c:v>-21.572470901964596</c:v>
                </c:pt>
                <c:pt idx="486">
                  <c:v>-21.674980327802356</c:v>
                </c:pt>
                <c:pt idx="487">
                  <c:v>-21.776928267614124</c:v>
                </c:pt>
                <c:pt idx="488">
                  <c:v>-21.878321320602598</c:v>
                </c:pt>
                <c:pt idx="489">
                  <c:v>-21.981562035680358</c:v>
                </c:pt>
                <c:pt idx="490">
                  <c:v>-22.084234750558306</c:v>
                </c:pt>
                <c:pt idx="491">
                  <c:v>-22.186346190959124</c:v>
                </c:pt>
                <c:pt idx="492">
                  <c:v>-22.287902967801962</c:v>
                </c:pt>
                <c:pt idx="493">
                  <c:v>-22.391255704000681</c:v>
                </c:pt>
                <c:pt idx="494">
                  <c:v>-22.494041309311182</c:v>
                </c:pt>
                <c:pt idx="495">
                  <c:v>-22.596266510520465</c:v>
                </c:pt>
                <c:pt idx="496">
                  <c:v>-22.69793791964694</c:v>
                </c:pt>
                <c:pt idx="497">
                  <c:v>-22.801421013959725</c:v>
                </c:pt>
                <c:pt idx="498">
                  <c:v>-22.904337759723319</c:v>
                </c:pt>
                <c:pt idx="499">
                  <c:v>-23.006694887366997</c:v>
                </c:pt>
                <c:pt idx="500">
                  <c:v>-23.108499012531766</c:v>
                </c:pt>
                <c:pt idx="501">
                  <c:v>-23.212128871328904</c:v>
                </c:pt>
                <c:pt idx="502">
                  <c:v>-23.315193106032311</c:v>
                </c:pt>
                <c:pt idx="503">
                  <c:v>-23.417698452855561</c:v>
                </c:pt>
                <c:pt idx="504">
                  <c:v>-23.519651533159273</c:v>
                </c:pt>
                <c:pt idx="505">
                  <c:v>-23.623380087263527</c:v>
                </c:pt>
                <c:pt idx="506">
                  <c:v>-23.72654439157315</c:v>
                </c:pt>
                <c:pt idx="507">
                  <c:v>-23.829151177677019</c:v>
                </c:pt>
                <c:pt idx="508">
                  <c:v>-23.931207062487548</c:v>
                </c:pt>
                <c:pt idx="509">
                  <c:v>-24.035051442807202</c:v>
                </c:pt>
                <c:pt idx="510">
                  <c:v>-24.138332893080797</c:v>
                </c:pt>
                <c:pt idx="511">
                  <c:v>-24.241058142462151</c:v>
                </c:pt>
                <c:pt idx="512">
                  <c:v>-24.343233805559137</c:v>
                </c:pt>
                <c:pt idx="513">
                  <c:v>-24.447269629039642</c:v>
                </c:pt>
                <c:pt idx="514">
                  <c:v>-24.550743166833428</c:v>
                </c:pt>
                <c:pt idx="515">
                  <c:v>-24.653661159068903</c:v>
                </c:pt>
                <c:pt idx="516">
                  <c:v>-24.756030231159446</c:v>
                </c:pt>
                <c:pt idx="517">
                  <c:v>-24.860208984397694</c:v>
                </c:pt>
                <c:pt idx="518">
                  <c:v>-24.963826771158793</c:v>
                </c:pt>
                <c:pt idx="519">
                  <c:v>-25.066890331877634</c:v>
                </c:pt>
                <c:pt idx="520">
                  <c:v>-25.169406292351411</c:v>
                </c:pt>
                <c:pt idx="521">
                  <c:v>-25.273740934966575</c:v>
                </c:pt>
                <c:pt idx="522">
                  <c:v>-25.377515948656509</c:v>
                </c:pt>
                <c:pt idx="523">
                  <c:v>-25.480738075317984</c:v>
                </c:pt>
                <c:pt idx="524">
                  <c:v>-25.583413942265562</c:v>
                </c:pt>
                <c:pt idx="525">
                  <c:v>-25.687916332770342</c:v>
                </c:pt>
                <c:pt idx="526">
                  <c:v>-25.79186047200232</c:v>
                </c:pt>
                <c:pt idx="527">
                  <c:v>-25.895253104179197</c:v>
                </c:pt>
                <c:pt idx="528">
                  <c:v>-25.9981008589778</c:v>
                </c:pt>
                <c:pt idx="529">
                  <c:v>-26.102781905863587</c:v>
                </c:pt>
                <c:pt idx="530">
                  <c:v>-26.20690613967875</c:v>
                </c:pt>
                <c:pt idx="531">
                  <c:v>-26.310480307550769</c:v>
                </c:pt>
                <c:pt idx="532">
                  <c:v>-26.413511042097969</c:v>
                </c:pt>
                <c:pt idx="533">
                  <c:v>-26.518434845177225</c:v>
                </c:pt>
                <c:pt idx="534">
                  <c:v>-26.622802783170453</c:v>
                </c:pt>
                <c:pt idx="535">
                  <c:v>-26.726621616825707</c:v>
                </c:pt>
                <c:pt idx="536">
                  <c:v>-26.829897992175376</c:v>
                </c:pt>
                <c:pt idx="537">
                  <c:v>-26.934964872284397</c:v>
                </c:pt>
                <c:pt idx="538">
                  <c:v>-27.039478086889122</c:v>
                </c:pt>
                <c:pt idx="539">
                  <c:v>-27.143444389494441</c:v>
                </c:pt>
                <c:pt idx="540">
                  <c:v>-27.246870419157901</c:v>
                </c:pt>
                <c:pt idx="541">
                  <c:v>-27.352196205337421</c:v>
                </c:pt>
                <c:pt idx="542">
                  <c:v>-27.456969515314942</c:v>
                </c:pt>
                <c:pt idx="543">
                  <c:v>-27.561197115780374</c:v>
                </c:pt>
                <c:pt idx="544">
                  <c:v>-27.664885658786382</c:v>
                </c:pt>
                <c:pt idx="545">
                  <c:v>-27.770424944016906</c:v>
                </c:pt>
                <c:pt idx="546">
                  <c:v>-27.875413641511596</c:v>
                </c:pt>
                <c:pt idx="547">
                  <c:v>-27.979858520497466</c:v>
                </c:pt>
                <c:pt idx="548">
                  <c:v>-28.083766235618135</c:v>
                </c:pt>
                <c:pt idx="549">
                  <c:v>-28.189527326697498</c:v>
                </c:pt>
                <c:pt idx="550">
                  <c:v>-28.29473986356172</c:v>
                </c:pt>
                <c:pt idx="551">
                  <c:v>-28.399410617525128</c:v>
                </c:pt>
                <c:pt idx="552">
                  <c:v>-28.503546245382829</c:v>
                </c:pt>
                <c:pt idx="553">
                  <c:v>-28.609585937134334</c:v>
                </c:pt>
                <c:pt idx="554">
                  <c:v>-28.715078767542529</c:v>
                </c:pt>
                <c:pt idx="555">
                  <c:v>-28.820031518669445</c:v>
                </c:pt>
                <c:pt idx="556">
                  <c:v>-28.924450857927923</c:v>
                </c:pt>
                <c:pt idx="557">
                  <c:v>-29.136552761876629</c:v>
                </c:pt>
                <c:pt idx="558">
                  <c:v>-29.346501888091233</c:v>
                </c:pt>
                <c:pt idx="559">
                  <c:v>-29.559091184475975</c:v>
                </c:pt>
                <c:pt idx="560">
                  <c:v>-29.76953809977616</c:v>
                </c:pt>
                <c:pt idx="561">
                  <c:v>-29.982814101179166</c:v>
                </c:pt>
                <c:pt idx="562">
                  <c:v>-30.193955276475663</c:v>
                </c:pt>
                <c:pt idx="563">
                  <c:v>-30.407478529195711</c:v>
                </c:pt>
                <c:pt idx="564">
                  <c:v>-30.618884411546109</c:v>
                </c:pt>
                <c:pt idx="565">
                  <c:v>-30.833477063926825</c:v>
                </c:pt>
                <c:pt idx="566">
                  <c:v>-31.045954842304567</c:v>
                </c:pt>
                <c:pt idx="567">
                  <c:v>-31.261519594007595</c:v>
                </c:pt>
                <c:pt idx="568">
                  <c:v>-31.474975354381165</c:v>
                </c:pt>
                <c:pt idx="569">
                  <c:v>-31.690582986552634</c:v>
                </c:pt>
                <c:pt idx="570">
                  <c:v>-31.904106887906472</c:v>
                </c:pt>
                <c:pt idx="571">
                  <c:v>-32.121377621169515</c:v>
                </c:pt>
                <c:pt idx="572">
                  <c:v>-32.336560183953658</c:v>
                </c:pt>
                <c:pt idx="573">
                  <c:v>-32.5537565619329</c:v>
                </c:pt>
                <c:pt idx="574">
                  <c:v>-32.768895033062108</c:v>
                </c:pt>
                <c:pt idx="575">
                  <c:v>-32.987589985389945</c:v>
                </c:pt>
                <c:pt idx="576">
                  <c:v>-33.204229117395577</c:v>
                </c:pt>
                <c:pt idx="577">
                  <c:v>-34.099814216120471</c:v>
                </c:pt>
                <c:pt idx="578">
                  <c:v>-34.963207826083419</c:v>
                </c:pt>
                <c:pt idx="579">
                  <c:v>-36.75801304377844</c:v>
                </c:pt>
                <c:pt idx="580">
                  <c:v>-38.600540705485962</c:v>
                </c:pt>
                <c:pt idx="581">
                  <c:v>-40.49884297337077</c:v>
                </c:pt>
                <c:pt idx="582">
                  <c:v>-42.466487494024321</c:v>
                </c:pt>
                <c:pt idx="583">
                  <c:v>-44.515675409405034</c:v>
                </c:pt>
                <c:pt idx="584">
                  <c:v>-46.662122861227211</c:v>
                </c:pt>
                <c:pt idx="585">
                  <c:v>-48.917973327795458</c:v>
                </c:pt>
                <c:pt idx="586">
                  <c:v>-51.294304943710323</c:v>
                </c:pt>
                <c:pt idx="587">
                  <c:v>-53.798897906449994</c:v>
                </c:pt>
                <c:pt idx="588">
                  <c:v>-56.430085988284624</c:v>
                </c:pt>
                <c:pt idx="589">
                  <c:v>-59.184571535468692</c:v>
                </c:pt>
                <c:pt idx="590">
                  <c:v>-62.050578173245668</c:v>
                </c:pt>
                <c:pt idx="591">
                  <c:v>-65.013749797110748</c:v>
                </c:pt>
                <c:pt idx="592">
                  <c:v>-68.057199494886746</c:v>
                </c:pt>
                <c:pt idx="593">
                  <c:v>-71.165274599029246</c:v>
                </c:pt>
                <c:pt idx="594">
                  <c:v>-74.321836997462626</c:v>
                </c:pt>
                <c:pt idx="595">
                  <c:v>-77.514208876344384</c:v>
                </c:pt>
                <c:pt idx="596">
                  <c:v>-80.730744452591225</c:v>
                </c:pt>
                <c:pt idx="597">
                  <c:v>-83.963425231726418</c:v>
                </c:pt>
                <c:pt idx="598">
                  <c:v>-87.2048226550599</c:v>
                </c:pt>
                <c:pt idx="599">
                  <c:v>-90.45090463176453</c:v>
                </c:pt>
                <c:pt idx="600">
                  <c:v>-93.697757544002798</c:v>
                </c:pt>
              </c:numCache>
            </c:numRef>
          </c:yVal>
          <c:smooth val="1"/>
          <c:extLst>
            <c:ext xmlns:c16="http://schemas.microsoft.com/office/drawing/2014/chart" uri="{C3380CC4-5D6E-409C-BE32-E72D297353CC}">
              <c16:uniqueId val="{00000002-417B-42DD-99BF-4436D67A6013}"/>
            </c:ext>
          </c:extLst>
        </c:ser>
        <c:ser>
          <c:idx val="0"/>
          <c:order val="3"/>
          <c:tx>
            <c:strRef>
              <c:f>'IL Stability Calculations'!$AW$12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106.45210602491106</c:v>
                </c:pt>
                <c:pt idx="1">
                  <c:v>111.68736469873132</c:v>
                </c:pt>
                <c:pt idx="2">
                  <c:v>110.89860044820165</c:v>
                </c:pt>
                <c:pt idx="3">
                  <c:v>110.10674473479224</c:v>
                </c:pt>
                <c:pt idx="4">
                  <c:v>109.31255793017331</c:v>
                </c:pt>
                <c:pt idx="5">
                  <c:v>108.51487254737398</c:v>
                </c:pt>
                <c:pt idx="6">
                  <c:v>107.71489483473263</c:v>
                </c:pt>
                <c:pt idx="7">
                  <c:v>106.91209788714158</c:v>
                </c:pt>
                <c:pt idx="8">
                  <c:v>106.10699331944926</c:v>
                </c:pt>
                <c:pt idx="9">
                  <c:v>105.29882453077533</c:v>
                </c:pt>
                <c:pt idx="10">
                  <c:v>104.48783518535771</c:v>
                </c:pt>
                <c:pt idx="11">
                  <c:v>103.67361725053144</c:v>
                </c:pt>
                <c:pt idx="12">
                  <c:v>102.85537069794066</c:v>
                </c:pt>
                <c:pt idx="13">
                  <c:v>102.03344294051251</c:v>
                </c:pt>
                <c:pt idx="14">
                  <c:v>101.20667226924763</c:v>
                </c:pt>
                <c:pt idx="15">
                  <c:v>100.37480831379419</c:v>
                </c:pt>
                <c:pt idx="16">
                  <c:v>99.537170836896649</c:v>
                </c:pt>
                <c:pt idx="17">
                  <c:v>98.693239887412091</c:v>
                </c:pt>
                <c:pt idx="18">
                  <c:v>97.842132273224038</c:v>
                </c:pt>
                <c:pt idx="19">
                  <c:v>96.983479645797829</c:v>
                </c:pt>
                <c:pt idx="20">
                  <c:v>96.116604707866003</c:v>
                </c:pt>
                <c:pt idx="21">
                  <c:v>95.241326406146385</c:v>
                </c:pt>
                <c:pt idx="22">
                  <c:v>94.35731091540444</c:v>
                </c:pt>
                <c:pt idx="23">
                  <c:v>93.464903979464324</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86.143091634056816</c:v>
                </c:pt>
                <c:pt idx="32">
                  <c:v>85.230200982617745</c:v>
                </c:pt>
                <c:pt idx="33">
                  <c:v>84.324003827169435</c:v>
                </c:pt>
                <c:pt idx="34">
                  <c:v>83.42488482140304</c:v>
                </c:pt>
                <c:pt idx="35">
                  <c:v>82.534064625587646</c:v>
                </c:pt>
                <c:pt idx="36">
                  <c:v>81.651758868741183</c:v>
                </c:pt>
                <c:pt idx="37">
                  <c:v>80.777534454385886</c:v>
                </c:pt>
                <c:pt idx="38">
                  <c:v>79.911997381478216</c:v>
                </c:pt>
                <c:pt idx="39">
                  <c:v>79.054020591703207</c:v>
                </c:pt>
                <c:pt idx="40">
                  <c:v>78.20336357308507</c:v>
                </c:pt>
                <c:pt idx="41">
                  <c:v>77.359298702384848</c:v>
                </c:pt>
                <c:pt idx="42">
                  <c:v>76.521246513133264</c:v>
                </c:pt>
                <c:pt idx="43">
                  <c:v>75.68825984090256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67.513969397867697</c:v>
                </c:pt>
                <c:pt idx="54">
                  <c:v>66.702168790471958</c:v>
                </c:pt>
                <c:pt idx="55">
                  <c:v>65.888835690303964</c:v>
                </c:pt>
                <c:pt idx="56">
                  <c:v>65.074676544614022</c:v>
                </c:pt>
                <c:pt idx="57">
                  <c:v>64.258672345638118</c:v>
                </c:pt>
                <c:pt idx="58">
                  <c:v>63.440887302408875</c:v>
                </c:pt>
                <c:pt idx="59">
                  <c:v>62.620107249402686</c:v>
                </c:pt>
                <c:pt idx="60">
                  <c:v>61.796127507183471</c:v>
                </c:pt>
                <c:pt idx="61">
                  <c:v>60.968056794520734</c:v>
                </c:pt>
                <c:pt idx="62">
                  <c:v>60.134558957044419</c:v>
                </c:pt>
                <c:pt idx="63">
                  <c:v>59.295398575145924</c:v>
                </c:pt>
                <c:pt idx="64">
                  <c:v>58.448706445004859</c:v>
                </c:pt>
                <c:pt idx="65">
                  <c:v>57.593416444676777</c:v>
                </c:pt>
                <c:pt idx="66">
                  <c:v>56.727859045969964</c:v>
                </c:pt>
                <c:pt idx="67">
                  <c:v>55.850323713431209</c:v>
                </c:pt>
                <c:pt idx="68">
                  <c:v>54.958465682097355</c:v>
                </c:pt>
                <c:pt idx="69">
                  <c:v>54.05016783743622</c:v>
                </c:pt>
                <c:pt idx="70">
                  <c:v>53.122623685078878</c:v>
                </c:pt>
                <c:pt idx="71">
                  <c:v>52.173138304156907</c:v>
                </c:pt>
                <c:pt idx="72">
                  <c:v>51.198393625045611</c:v>
                </c:pt>
                <c:pt idx="73">
                  <c:v>50.195338815899298</c:v>
                </c:pt>
                <c:pt idx="74">
                  <c:v>49.160325858264258</c:v>
                </c:pt>
                <c:pt idx="75">
                  <c:v>48.090125081395684</c:v>
                </c:pt>
                <c:pt idx="76">
                  <c:v>46.981235086776827</c:v>
                </c:pt>
                <c:pt idx="77">
                  <c:v>45.831065101433062</c:v>
                </c:pt>
                <c:pt idx="78">
                  <c:v>44.637123441083574</c:v>
                </c:pt>
                <c:pt idx="79">
                  <c:v>43.398402634779401</c:v>
                </c:pt>
                <c:pt idx="80">
                  <c:v>42.111803485158276</c:v>
                </c:pt>
                <c:pt idx="81">
                  <c:v>40.779043272203879</c:v>
                </c:pt>
                <c:pt idx="82">
                  <c:v>39.400207615082216</c:v>
                </c:pt>
                <c:pt idx="83">
                  <c:v>37.97829766369847</c:v>
                </c:pt>
                <c:pt idx="84">
                  <c:v>36.515194197754276</c:v>
                </c:pt>
                <c:pt idx="85">
                  <c:v>35.015508320780043</c:v>
                </c:pt>
                <c:pt idx="86">
                  <c:v>33.483445900104051</c:v>
                </c:pt>
                <c:pt idx="87">
                  <c:v>31.922969948635817</c:v>
                </c:pt>
                <c:pt idx="88">
                  <c:v>30.340499861704664</c:v>
                </c:pt>
                <c:pt idx="89">
                  <c:v>28.739581683242399</c:v>
                </c:pt>
                <c:pt idx="90">
                  <c:v>27.125297957547776</c:v>
                </c:pt>
                <c:pt idx="91">
                  <c:v>25.501503675503375</c:v>
                </c:pt>
                <c:pt idx="92">
                  <c:v>23.871825521424434</c:v>
                </c:pt>
                <c:pt idx="93">
                  <c:v>22.238556252371041</c:v>
                </c:pt>
                <c:pt idx="94">
                  <c:v>21.830151519989958</c:v>
                </c:pt>
                <c:pt idx="95">
                  <c:v>21.624667073258806</c:v>
                </c:pt>
                <c:pt idx="96">
                  <c:v>21.421527589914042</c:v>
                </c:pt>
                <c:pt idx="97">
                  <c:v>21.21605407463171</c:v>
                </c:pt>
                <c:pt idx="98">
                  <c:v>21.012931274716532</c:v>
                </c:pt>
                <c:pt idx="99">
                  <c:v>20.807429204830829</c:v>
                </c:pt>
                <c:pt idx="100">
                  <c:v>20.604284130734388</c:v>
                </c:pt>
                <c:pt idx="101">
                  <c:v>20.398872456395836</c:v>
                </c:pt>
                <c:pt idx="102">
                  <c:v>20.195820981274615</c:v>
                </c:pt>
                <c:pt idx="103">
                  <c:v>19.990312479263508</c:v>
                </c:pt>
                <c:pt idx="104">
                  <c:v>19.78717130945703</c:v>
                </c:pt>
                <c:pt idx="105">
                  <c:v>19.581689071839794</c:v>
                </c:pt>
                <c:pt idx="106">
                  <c:v>19.378578146571652</c:v>
                </c:pt>
                <c:pt idx="107">
                  <c:v>19.173236720364869</c:v>
                </c:pt>
                <c:pt idx="108">
                  <c:v>18.970267624610432</c:v>
                </c:pt>
                <c:pt idx="109">
                  <c:v>18.765034469990841</c:v>
                </c:pt>
                <c:pt idx="110">
                  <c:v>18.562175088027782</c:v>
                </c:pt>
                <c:pt idx="111">
                  <c:v>18.35688691696642</c:v>
                </c:pt>
                <c:pt idx="112">
                  <c:v>18.153977414565155</c:v>
                </c:pt>
                <c:pt idx="113">
                  <c:v>17.948753187505375</c:v>
                </c:pt>
                <c:pt idx="114">
                  <c:v>17.745909497191683</c:v>
                </c:pt>
                <c:pt idx="115">
                  <c:v>17.54073027414821</c:v>
                </c:pt>
                <c:pt idx="116">
                  <c:v>17.337933614621068</c:v>
                </c:pt>
                <c:pt idx="117">
                  <c:v>17.132784400424306</c:v>
                </c:pt>
                <c:pt idx="118">
                  <c:v>16.930019858934124</c:v>
                </c:pt>
                <c:pt idx="119">
                  <c:v>16.725012892487968</c:v>
                </c:pt>
                <c:pt idx="120">
                  <c:v>16.522389861067712</c:v>
                </c:pt>
                <c:pt idx="121">
                  <c:v>16.317508561845241</c:v>
                </c:pt>
                <c:pt idx="122">
                  <c:v>16.115010602187599</c:v>
                </c:pt>
                <c:pt idx="123">
                  <c:v>15.910123914026837</c:v>
                </c:pt>
                <c:pt idx="124">
                  <c:v>15.707622776463687</c:v>
                </c:pt>
                <c:pt idx="125">
                  <c:v>15.502844181859656</c:v>
                </c:pt>
                <c:pt idx="126">
                  <c:v>15.300450509706645</c:v>
                </c:pt>
                <c:pt idx="127">
                  <c:v>15.095772840133293</c:v>
                </c:pt>
                <c:pt idx="128">
                  <c:v>14.893479429566707</c:v>
                </c:pt>
                <c:pt idx="129">
                  <c:v>14.688898217483676</c:v>
                </c:pt>
                <c:pt idx="130">
                  <c:v>14.486700515611073</c:v>
                </c:pt>
                <c:pt idx="131">
                  <c:v>14.282213765173797</c:v>
                </c:pt>
                <c:pt idx="132">
                  <c:v>14.180867313769461</c:v>
                </c:pt>
                <c:pt idx="133">
                  <c:v>14.080109645527951</c:v>
                </c:pt>
                <c:pt idx="134">
                  <c:v>13.977559703942614</c:v>
                </c:pt>
                <c:pt idx="135">
                  <c:v>13.87561271614979</c:v>
                </c:pt>
                <c:pt idx="136">
                  <c:v>13.774261701735018</c:v>
                </c:pt>
                <c:pt idx="137">
                  <c:v>13.673499798026389</c:v>
                </c:pt>
                <c:pt idx="138">
                  <c:v>13.571052508336743</c:v>
                </c:pt>
                <c:pt idx="139">
                  <c:v>13.469207230588081</c:v>
                </c:pt>
                <c:pt idx="140">
                  <c:v>13.367956989716285</c:v>
                </c:pt>
                <c:pt idx="141">
                  <c:v>13.267294928624871</c:v>
                </c:pt>
                <c:pt idx="142">
                  <c:v>13.164848054617362</c:v>
                </c:pt>
                <c:pt idx="143">
                  <c:v>13.063003411669751</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11.744221611069905</c:v>
                </c:pt>
                <c:pt idx="157">
                  <c:v>11.643690123623692</c:v>
                </c:pt>
                <c:pt idx="158">
                  <c:v>11.541401312242957</c:v>
                </c:pt>
                <c:pt idx="159">
                  <c:v>11.439713452608657</c:v>
                </c:pt>
                <c:pt idx="160">
                  <c:v>11.338619545281706</c:v>
                </c:pt>
                <c:pt idx="161">
                  <c:v>11.238112710752631</c:v>
                </c:pt>
                <c:pt idx="162">
                  <c:v>11.135902486537292</c:v>
                </c:pt>
                <c:pt idx="163">
                  <c:v>11.034292367345301</c:v>
                </c:pt>
                <c:pt idx="164">
                  <c:v>10.933275362015246</c:v>
                </c:pt>
                <c:pt idx="165">
                  <c:v>10.832844599351628</c:v>
                </c:pt>
                <c:pt idx="166">
                  <c:v>10.730631253531062</c:v>
                </c:pt>
                <c:pt idx="167">
                  <c:v>10.629018099204472</c:v>
                </c:pt>
                <c:pt idx="168">
                  <c:v>10.527998137826337</c:v>
                </c:pt>
                <c:pt idx="169">
                  <c:v>10.427564491193781</c:v>
                </c:pt>
                <c:pt idx="170">
                  <c:v>10.325573909620495</c:v>
                </c:pt>
                <c:pt idx="171">
                  <c:v>10.224180941811172</c:v>
                </c:pt>
                <c:pt idx="172">
                  <c:v>10.12337862883774</c:v>
                </c:pt>
                <c:pt idx="173">
                  <c:v>10.023160131400338</c:v>
                </c:pt>
                <c:pt idx="174">
                  <c:v>9.9210141587529055</c:v>
                </c:pt>
                <c:pt idx="175">
                  <c:v>9.8194676247345285</c:v>
                </c:pt>
                <c:pt idx="176">
                  <c:v>9.7185135338113184</c:v>
                </c:pt>
                <c:pt idx="177">
                  <c:v>9.6181450110914959</c:v>
                </c:pt>
                <c:pt idx="178">
                  <c:v>9.5159086890717983</c:v>
                </c:pt>
                <c:pt idx="179">
                  <c:v>9.414272852607585</c:v>
                </c:pt>
                <c:pt idx="180">
                  <c:v>9.3132304835415187</c:v>
                </c:pt>
                <c:pt idx="181">
                  <c:v>9.2127746850398253</c:v>
                </c:pt>
                <c:pt idx="182">
                  <c:v>9.110907026658662</c:v>
                </c:pt>
                <c:pt idx="183">
                  <c:v>9.0096355156802925</c:v>
                </c:pt>
                <c:pt idx="184">
                  <c:v>8.9089532057861724</c:v>
                </c:pt>
                <c:pt idx="185">
                  <c:v>8.8088532704806841</c:v>
                </c:pt>
                <c:pt idx="186">
                  <c:v>8.7066050166679982</c:v>
                </c:pt>
                <c:pt idx="187">
                  <c:v>8.6049573161868249</c:v>
                </c:pt>
                <c:pt idx="188">
                  <c:v>8.5039031423075677</c:v>
                </c:pt>
                <c:pt idx="189">
                  <c:v>8.4034355901079802</c:v>
                </c:pt>
                <c:pt idx="190">
                  <c:v>8.3016472141129753</c:v>
                </c:pt>
                <c:pt idx="191">
                  <c:v>8.2004539590498098</c:v>
                </c:pt>
                <c:pt idx="192">
                  <c:v>8.0998488899672445</c:v>
                </c:pt>
                <c:pt idx="193">
                  <c:v>7.9998251917319134</c:v>
                </c:pt>
                <c:pt idx="194">
                  <c:v>7.8977765590888938</c:v>
                </c:pt>
                <c:pt idx="195">
                  <c:v>7.7963260139603276</c:v>
                </c:pt>
                <c:pt idx="196">
                  <c:v>7.695466566880417</c:v>
                </c:pt>
                <c:pt idx="197">
                  <c:v>7.5951913495674077</c:v>
                </c:pt>
                <c:pt idx="198">
                  <c:v>7.4933168610217198</c:v>
                </c:pt>
                <c:pt idx="199">
                  <c:v>7.3920383426066074</c:v>
                </c:pt>
                <c:pt idx="200">
                  <c:v>7.2913488394093058</c:v>
                </c:pt>
                <c:pt idx="201">
                  <c:v>7.1912415170061292</c:v>
                </c:pt>
                <c:pt idx="202">
                  <c:v>7.0895830821063548</c:v>
                </c:pt>
                <c:pt idx="203">
                  <c:v>6.9885180048807447</c:v>
                </c:pt>
                <c:pt idx="204">
                  <c:v>6.8880393738444248</c:v>
                </c:pt>
                <c:pt idx="205">
                  <c:v>6.7881403970923957</c:v>
                </c:pt>
                <c:pt idx="206">
                  <c:v>6.686390471559303</c:v>
                </c:pt>
                <c:pt idx="207">
                  <c:v>6.5852348639421745</c:v>
                </c:pt>
                <c:pt idx="208">
                  <c:v>6.4846666441550624</c:v>
                </c:pt>
                <c:pt idx="209">
                  <c:v>6.38467900220156</c:v>
                </c:pt>
                <c:pt idx="210">
                  <c:v>6.2825588625703617</c:v>
                </c:pt>
                <c:pt idx="211">
                  <c:v>6.1810372449931803</c:v>
                </c:pt>
                <c:pt idx="212">
                  <c:v>6.0801071442843231</c:v>
                </c:pt>
                <c:pt idx="213">
                  <c:v>5.9797616771545368</c:v>
                </c:pt>
                <c:pt idx="214">
                  <c:v>5.8780111851459305</c:v>
                </c:pt>
                <c:pt idx="215">
                  <c:v>5.7768547784095503</c:v>
                </c:pt>
                <c:pt idx="216">
                  <c:v>5.6762855278580515</c:v>
                </c:pt>
                <c:pt idx="217">
                  <c:v>5.5762966246077861</c:v>
                </c:pt>
                <c:pt idx="218">
                  <c:v>5.4746212173047351</c:v>
                </c:pt>
                <c:pt idx="219">
                  <c:v>5.3735388892971727</c:v>
                </c:pt>
                <c:pt idx="220">
                  <c:v>5.2730427278105179</c:v>
                </c:pt>
                <c:pt idx="221">
                  <c:v>5.1731259399543532</c:v>
                </c:pt>
                <c:pt idx="222">
                  <c:v>5.0715736480884104</c:v>
                </c:pt>
                <c:pt idx="223">
                  <c:v>4.970612864866311</c:v>
                </c:pt>
                <c:pt idx="224">
                  <c:v>4.8702367038198568</c:v>
                </c:pt>
                <c:pt idx="225">
                  <c:v>4.770438397810385</c:v>
                </c:pt>
                <c:pt idx="226">
                  <c:v>4.6687455853471187</c:v>
                </c:pt>
                <c:pt idx="227">
                  <c:v>4.5676457678213795</c:v>
                </c:pt>
                <c:pt idx="228">
                  <c:v>4.4671320319584531</c:v>
                </c:pt>
                <c:pt idx="229">
                  <c:v>4.3671975844749031</c:v>
                </c:pt>
                <c:pt idx="230">
                  <c:v>4.1642496276169174</c:v>
                </c:pt>
                <c:pt idx="231">
                  <c:v>4.0636593446095519</c:v>
                </c:pt>
                <c:pt idx="232">
                  <c:v>3.9636490759697933</c:v>
                </c:pt>
                <c:pt idx="233">
                  <c:v>3.8618585239970207</c:v>
                </c:pt>
                <c:pt idx="234">
                  <c:v>3.7606617885541764</c:v>
                </c:pt>
                <c:pt idx="235">
                  <c:v>3.660051940585066</c:v>
                </c:pt>
                <c:pt idx="236">
                  <c:v>3.5600221714624478</c:v>
                </c:pt>
                <c:pt idx="237">
                  <c:v>3.4585537236296542</c:v>
                </c:pt>
                <c:pt idx="238">
                  <c:v>3.3576751848100743</c:v>
                </c:pt>
                <c:pt idx="239">
                  <c:v>3.2573796934675099</c:v>
                </c:pt>
                <c:pt idx="240">
                  <c:v>3.1576605069642016</c:v>
                </c:pt>
                <c:pt idx="241">
                  <c:v>3.0559833373164285</c:v>
                </c:pt>
                <c:pt idx="242">
                  <c:v>2.954898326391719</c:v>
                </c:pt>
                <c:pt idx="243">
                  <c:v>2.8543985729972414</c:v>
                </c:pt>
                <c:pt idx="244">
                  <c:v>2.7544772957762835</c:v>
                </c:pt>
                <c:pt idx="245">
                  <c:v>2.6529326063140735</c:v>
                </c:pt>
                <c:pt idx="246">
                  <c:v>2.5519783597649406</c:v>
                </c:pt>
                <c:pt idx="247">
                  <c:v>2.4516076844101002</c:v>
                </c:pt>
                <c:pt idx="248">
                  <c:v>2.3518138277066249</c:v>
                </c:pt>
                <c:pt idx="249">
                  <c:v>2.250177131767396</c:v>
                </c:pt>
                <c:pt idx="250">
                  <c:v>2.1491317620047163</c:v>
                </c:pt>
                <c:pt idx="251">
                  <c:v>2.0486708309624473</c:v>
                </c:pt>
                <c:pt idx="252">
                  <c:v>1.9487875707402864</c:v>
                </c:pt>
                <c:pt idx="253">
                  <c:v>1.8473796065162285</c:v>
                </c:pt>
                <c:pt idx="254">
                  <c:v>1.7465601287708106</c:v>
                </c:pt>
                <c:pt idx="255">
                  <c:v>1.6463222991481845</c:v>
                </c:pt>
                <c:pt idx="256">
                  <c:v>1.5466593977282186</c:v>
                </c:pt>
                <c:pt idx="257">
                  <c:v>1.4450050972115014</c:v>
                </c:pt>
                <c:pt idx="258">
                  <c:v>1.3439419422435626</c:v>
                </c:pt>
                <c:pt idx="259">
                  <c:v>1.2434630479231621</c:v>
                </c:pt>
                <c:pt idx="260">
                  <c:v>1.1435616488685869</c:v>
                </c:pt>
                <c:pt idx="261">
                  <c:v>1.0419801668164346</c:v>
                </c:pt>
                <c:pt idx="262">
                  <c:v>0.94098878541421527</c:v>
                </c:pt>
                <c:pt idx="263">
                  <c:v>0.84058063769748848</c:v>
                </c:pt>
                <c:pt idx="264">
                  <c:v>0.7407489758131881</c:v>
                </c:pt>
                <c:pt idx="265">
                  <c:v>0.6392877726466506</c:v>
                </c:pt>
                <c:pt idx="266">
                  <c:v>0.5384150718574463</c:v>
                </c:pt>
                <c:pt idx="267">
                  <c:v>0.4381240340362757</c:v>
                </c:pt>
                <c:pt idx="268">
                  <c:v>0.33840793825412119</c:v>
                </c:pt>
                <c:pt idx="269">
                  <c:v>0.23687228130082341</c:v>
                </c:pt>
                <c:pt idx="270">
                  <c:v>0.13592577667302017</c:v>
                </c:pt>
                <c:pt idx="271">
                  <c:v>3.5561573419262284E-2</c:v>
                </c:pt>
                <c:pt idx="272">
                  <c:v>-6.4227060663066105E-2</c:v>
                </c:pt>
                <c:pt idx="273">
                  <c:v>-0.16578001415141683</c:v>
                </c:pt>
                <c:pt idx="274">
                  <c:v>-0.26674383274748525</c:v>
                </c:pt>
                <c:pt idx="275">
                  <c:v>-0.36712536734741852</c:v>
                </c:pt>
                <c:pt idx="276">
                  <c:v>-0.46693135009992454</c:v>
                </c:pt>
                <c:pt idx="277">
                  <c:v>-0.56822033336623601</c:v>
                </c:pt>
                <c:pt idx="278">
                  <c:v>-0.66892345396451147</c:v>
                </c:pt>
                <c:pt idx="279">
                  <c:v>-0.76904750621722018</c:v>
                </c:pt>
                <c:pt idx="280">
                  <c:v>-0.86859916700296924</c:v>
                </c:pt>
                <c:pt idx="281">
                  <c:v>-0.97025851991030354</c:v>
                </c:pt>
                <c:pt idx="282">
                  <c:v>-1.0713279602022954</c:v>
                </c:pt>
                <c:pt idx="283">
                  <c:v>-1.1718143528535379</c:v>
                </c:pt>
                <c:pt idx="284">
                  <c:v>-1.2717244437718014</c:v>
                </c:pt>
                <c:pt idx="285">
                  <c:v>-1.3730241367201625</c:v>
                </c:pt>
                <c:pt idx="286">
                  <c:v>-1.47373830685671</c:v>
                </c:pt>
                <c:pt idx="287">
                  <c:v>-1.5738737432033132</c:v>
                </c:pt>
                <c:pt idx="288">
                  <c:v>-1.6734371174679354</c:v>
                </c:pt>
                <c:pt idx="289">
                  <c:v>-1.7749878327492135</c:v>
                </c:pt>
                <c:pt idx="290">
                  <c:v>-1.875950370656537</c:v>
                </c:pt>
                <c:pt idx="291">
                  <c:v>-1.9763315666484014</c:v>
                </c:pt>
                <c:pt idx="292">
                  <c:v>-2.0761381378078276</c:v>
                </c:pt>
                <c:pt idx="293">
                  <c:v>-2.1776633503203802</c:v>
                </c:pt>
                <c:pt idx="294">
                  <c:v>-2.2786009297846408</c:v>
                </c:pt>
                <c:pt idx="295">
                  <c:v>-2.3789577025941293</c:v>
                </c:pt>
                <c:pt idx="296">
                  <c:v>-2.4787403769825791</c:v>
                </c:pt>
                <c:pt idx="297">
                  <c:v>-2.580190042139312</c:v>
                </c:pt>
                <c:pt idx="298">
                  <c:v>-2.681053202607691</c:v>
                </c:pt>
                <c:pt idx="299">
                  <c:v>-2.7813366656283711</c:v>
                </c:pt>
                <c:pt idx="300">
                  <c:v>-2.8810471207308508</c:v>
                </c:pt>
                <c:pt idx="301">
                  <c:v>-2.9823747260266318</c:v>
                </c:pt>
                <c:pt idx="302">
                  <c:v>-3.0831174965417221</c:v>
                </c:pt>
                <c:pt idx="303">
                  <c:v>-3.1832822110453254</c:v>
                </c:pt>
                <c:pt idx="304">
                  <c:v>-3.2828755312583575</c:v>
                </c:pt>
                <c:pt idx="305">
                  <c:v>-3.3844258787242021</c:v>
                </c:pt>
                <c:pt idx="306">
                  <c:v>-3.4853890974926665</c:v>
                </c:pt>
                <c:pt idx="307">
                  <c:v>-3.5857720067005836</c:v>
                </c:pt>
                <c:pt idx="308">
                  <c:v>-3.6855813075181736</c:v>
                </c:pt>
                <c:pt idx="309">
                  <c:v>-3.7869088450796493</c:v>
                </c:pt>
                <c:pt idx="310">
                  <c:v>-3.8876521004195514</c:v>
                </c:pt>
                <c:pt idx="311">
                  <c:v>-3.9878178439128691</c:v>
                </c:pt>
                <c:pt idx="312">
                  <c:v>-4.0874127290998743</c:v>
                </c:pt>
                <c:pt idx="313">
                  <c:v>-4.188851679646957</c:v>
                </c:pt>
                <c:pt idx="314">
                  <c:v>-4.2897053556120426</c:v>
                </c:pt>
                <c:pt idx="315">
                  <c:v>-4.3899805452766332</c:v>
                </c:pt>
                <c:pt idx="316">
                  <c:v>-4.4896839196864571</c:v>
                </c:pt>
                <c:pt idx="317">
                  <c:v>-4.5911756303820823</c:v>
                </c:pt>
                <c:pt idx="318">
                  <c:v>-4.6920817588579746</c:v>
                </c:pt>
                <c:pt idx="319">
                  <c:v>-4.792409099514046</c:v>
                </c:pt>
                <c:pt idx="320">
                  <c:v>-4.8921643293853103</c:v>
                </c:pt>
                <c:pt idx="321">
                  <c:v>-4.9936540705097157</c:v>
                </c:pt>
                <c:pt idx="322">
                  <c:v>-5.0945585618096381</c:v>
                </c:pt>
                <c:pt idx="323">
                  <c:v>-5.1948845927834508</c:v>
                </c:pt>
                <c:pt idx="324">
                  <c:v>-5.2946388356890663</c:v>
                </c:pt>
                <c:pt idx="325">
                  <c:v>-5.3960756256399476</c:v>
                </c:pt>
                <c:pt idx="326">
                  <c:v>-5.4969280945112509</c:v>
                </c:pt>
                <c:pt idx="327">
                  <c:v>-5.5972030166473763</c:v>
                </c:pt>
                <c:pt idx="328">
                  <c:v>-5.696907049512153</c:v>
                </c:pt>
                <c:pt idx="329">
                  <c:v>-5.7984124489883886</c:v>
                </c:pt>
                <c:pt idx="330">
                  <c:v>-5.8993330704892841</c:v>
                </c:pt>
                <c:pt idx="331">
                  <c:v>-5.9996756973352721</c:v>
                </c:pt>
                <c:pt idx="332">
                  <c:v>-6.0994469957728095</c:v>
                </c:pt>
                <c:pt idx="333">
                  <c:v>-6.200800367418867</c:v>
                </c:pt>
                <c:pt idx="334">
                  <c:v>-6.3015710488334342</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-7.2067673237552112</c:v>
                </c:pt>
                <c:pt idx="344">
                  <c:v>-7.3065892660563589</c:v>
                </c:pt>
                <c:pt idx="345">
                  <c:v>-7.4080051808627543</c:v>
                </c:pt>
                <c:pt idx="346">
                  <c:v>-7.5088387944635642</c:v>
                </c:pt>
                <c:pt idx="347">
                  <c:v>-7.6090968525130709</c:v>
                </c:pt>
                <c:pt idx="348">
                  <c:v>-7.7087859845078874</c:v>
                </c:pt>
                <c:pt idx="349">
                  <c:v>-7.8103234596428361</c:v>
                </c:pt>
                <c:pt idx="350">
                  <c:v>-7.9112776388692581</c:v>
                </c:pt>
                <c:pt idx="351">
                  <c:v>-8.0116552867025419</c:v>
                </c:pt>
                <c:pt idx="352">
                  <c:v>-8.1114630510820049</c:v>
                </c:pt>
                <c:pt idx="353">
                  <c:v>-8.213063615106881</c:v>
                </c:pt>
                <c:pt idx="354">
                  <c:v>-8.3140805748129978</c:v>
                </c:pt>
                <c:pt idx="355">
                  <c:v>-8.4145207018216688</c:v>
                </c:pt>
                <c:pt idx="356">
                  <c:v>-8.514390651028565</c:v>
                </c:pt>
                <c:pt idx="357">
                  <c:v>-8.6158558420352378</c:v>
                </c:pt>
                <c:pt idx="358">
                  <c:v>-8.7167394084175491</c:v>
                </c:pt>
                <c:pt idx="359">
                  <c:v>-8.8170480893566747</c:v>
                </c:pt>
                <c:pt idx="360">
                  <c:v>-8.916788508064494</c:v>
                </c:pt>
                <c:pt idx="361">
                  <c:v>-9.0183586178345685</c:v>
                </c:pt>
                <c:pt idx="362">
                  <c:v>-9.1193463509100461</c:v>
                </c:pt>
                <c:pt idx="363">
                  <c:v>-9.2197584615462134</c:v>
                </c:pt>
                <c:pt idx="364">
                  <c:v>-9.3196015876990277</c:v>
                </c:pt>
                <c:pt idx="365">
                  <c:v>-9.4210821515743106</c:v>
                </c:pt>
                <c:pt idx="366">
                  <c:v>-9.5219818279478758</c:v>
                </c:pt>
                <c:pt idx="367">
                  <c:v>-9.6223073474445933</c:v>
                </c:pt>
                <c:pt idx="368">
                  <c:v>-9.722065324944726</c:v>
                </c:pt>
                <c:pt idx="369">
                  <c:v>-9.8236813002014962</c:v>
                </c:pt>
                <c:pt idx="370">
                  <c:v>-9.9247153273116346</c:v>
                </c:pt>
                <c:pt idx="371">
                  <c:v>-10.025174157643246</c:v>
                </c:pt>
                <c:pt idx="372">
                  <c:v>-10.125064426359645</c:v>
                </c:pt>
                <c:pt idx="373">
                  <c:v>-10.226625722126343</c:v>
                </c:pt>
                <c:pt idx="374">
                  <c:v>-10.327606200560105</c:v>
                </c:pt>
                <c:pt idx="375">
                  <c:v>-10.428012595937393</c:v>
                </c:pt>
                <c:pt idx="376">
                  <c:v>-10.527851526735041</c:v>
                </c:pt>
                <c:pt idx="377">
                  <c:v>-10.629569009562207</c:v>
                </c:pt>
                <c:pt idx="378">
                  <c:v>-10.730704421992833</c:v>
                </c:pt>
                <c:pt idx="379">
                  <c:v>-10.831264522755205</c:v>
                </c:pt>
                <c:pt idx="380">
                  <c:v>-10.931255954233487</c:v>
                </c:pt>
                <c:pt idx="381">
                  <c:v>-11.032818732004587</c:v>
                </c:pt>
                <c:pt idx="382">
                  <c:v>-11.133801754700388</c:v>
                </c:pt>
                <c:pt idx="383">
                  <c:v>-11.23421174376448</c:v>
                </c:pt>
                <c:pt idx="384">
                  <c:v>-11.334055305164142</c:v>
                </c:pt>
                <c:pt idx="385">
                  <c:v>-11.43579243729336</c:v>
                </c:pt>
                <c:pt idx="386">
                  <c:v>-11.536948404425722</c:v>
                </c:pt>
                <c:pt idx="387">
                  <c:v>-11.637529955563277</c:v>
                </c:pt>
                <c:pt idx="388">
                  <c:v>-11.737543723617021</c:v>
                </c:pt>
                <c:pt idx="389">
                  <c:v>-11.839274565726289</c:v>
                </c:pt>
                <c:pt idx="390">
                  <c:v>-11.940424917104417</c:v>
                </c:pt>
                <c:pt idx="391">
                  <c:v>-12.041001518351703</c:v>
                </c:pt>
                <c:pt idx="392">
                  <c:v>-12.141010994184253</c:v>
                </c:pt>
                <c:pt idx="393">
                  <c:v>-12.242686954214676</c:v>
                </c:pt>
                <c:pt idx="394">
                  <c:v>-12.343783676392084</c:v>
                </c:pt>
                <c:pt idx="395">
                  <c:v>-12.444307883085767</c:v>
                </c:pt>
                <c:pt idx="396">
                  <c:v>-12.544266181213519</c:v>
                </c:pt>
                <c:pt idx="397">
                  <c:v>-12.646071315306205</c:v>
                </c:pt>
                <c:pt idx="398">
                  <c:v>-12.747296401185572</c:v>
                </c:pt>
                <c:pt idx="399">
                  <c:v>-12.847948179051853</c:v>
                </c:pt>
                <c:pt idx="400">
                  <c:v>-12.948033273263267</c:v>
                </c:pt>
                <c:pt idx="401">
                  <c:v>-13.049798392010638</c:v>
                </c:pt>
                <c:pt idx="402">
                  <c:v>-13.150984604956541</c:v>
                </c:pt>
                <c:pt idx="403">
                  <c:v>-13.251598636456238</c:v>
                </c:pt>
                <c:pt idx="404">
                  <c:v>-13.351647095401278</c:v>
                </c:pt>
                <c:pt idx="405">
                  <c:v>-13.453435944873625</c:v>
                </c:pt>
                <c:pt idx="406">
                  <c:v>-13.554646338448562</c:v>
                </c:pt>
                <c:pt idx="407">
                  <c:v>-13.655284996922488</c:v>
                </c:pt>
                <c:pt idx="408">
                  <c:v>-13.755358525727726</c:v>
                </c:pt>
                <c:pt idx="409">
                  <c:v>-13.857228418061371</c:v>
                </c:pt>
                <c:pt idx="410">
                  <c:v>-13.958519689084765</c:v>
                </c:pt>
                <c:pt idx="411">
                  <c:v>-14.059239067006557</c:v>
                </c:pt>
                <c:pt idx="412">
                  <c:v>-14.159393164519321</c:v>
                </c:pt>
                <c:pt idx="413">
                  <c:v>-14.261290753924756</c:v>
                </c:pt>
                <c:pt idx="414">
                  <c:v>-14.362610197245662</c:v>
                </c:pt>
                <c:pt idx="415">
                  <c:v>-14.463358219255188</c:v>
                </c:pt>
                <c:pt idx="416">
                  <c:v>-14.563541429307762</c:v>
                </c:pt>
                <c:pt idx="417">
                  <c:v>-14.66551941438347</c:v>
                </c:pt>
                <c:pt idx="418">
                  <c:v>-14.766919170427691</c:v>
                </c:pt>
                <c:pt idx="419">
                  <c:v>-14.867747428798774</c:v>
                </c:pt>
                <c:pt idx="420">
                  <c:v>-14.968010805304834</c:v>
                </c:pt>
                <c:pt idx="421">
                  <c:v>-15.069916286221348</c:v>
                </c:pt>
                <c:pt idx="422">
                  <c:v>-15.17124522241393</c:v>
                </c:pt>
                <c:pt idx="423">
                  <c:v>-15.272004321384312</c:v>
                </c:pt>
                <c:pt idx="424">
                  <c:v>-15.37220017564926</c:v>
                </c:pt>
                <c:pt idx="425">
                  <c:v>-15.474284050522373</c:v>
                </c:pt>
                <c:pt idx="426">
                  <c:v>-15.575790274250657</c:v>
                </c:pt>
                <c:pt idx="427">
                  <c:v>-15.676725579410499</c:v>
                </c:pt>
                <c:pt idx="428">
                  <c:v>-15.777096583043523</c:v>
                </c:pt>
                <c:pt idx="429">
                  <c:v>-15.87920443118686</c:v>
                </c:pt>
                <c:pt idx="430">
                  <c:v>-15.980735310210164</c:v>
                </c:pt>
                <c:pt idx="431">
                  <c:v>-16.081695946985381</c:v>
                </c:pt>
                <c:pt idx="432">
                  <c:v>-16.182092953001487</c:v>
                </c:pt>
                <c:pt idx="433">
                  <c:v>-16.284176370466799</c:v>
                </c:pt>
                <c:pt idx="434">
                  <c:v>-16.385684091309216</c:v>
                </c:pt>
                <c:pt idx="435">
                  <c:v>-16.486622826776014</c:v>
                </c:pt>
                <c:pt idx="436">
                  <c:v>-16.586999173110257</c:v>
                </c:pt>
                <c:pt idx="437">
                  <c:v>-16.689196096844313</c:v>
                </c:pt>
                <c:pt idx="438">
                  <c:v>-16.790817093528759</c:v>
                </c:pt>
                <c:pt idx="439">
                  <c:v>-16.891868885402403</c:v>
                </c:pt>
                <c:pt idx="440">
                  <c:v>-16.992358079474531</c:v>
                </c:pt>
                <c:pt idx="441">
                  <c:v>-17.09461486517792</c:v>
                </c:pt>
                <c:pt idx="442">
                  <c:v>-17.196296149905937</c:v>
                </c:pt>
                <c:pt idx="443">
                  <c:v>-17.297408655875287</c:v>
                </c:pt>
                <c:pt idx="444">
                  <c:v>-17.397958990100161</c:v>
                </c:pt>
                <c:pt idx="445">
                  <c:v>-17.500225803142641</c:v>
                </c:pt>
                <c:pt idx="446">
                  <c:v>-17.601918154990429</c:v>
                </c:pt>
                <c:pt idx="447">
                  <c:v>-17.703042757570657</c:v>
                </c:pt>
                <c:pt idx="448">
                  <c:v>-17.803606207869514</c:v>
                </c:pt>
                <c:pt idx="449">
                  <c:v>-17.906007755044289</c:v>
                </c:pt>
                <c:pt idx="450">
                  <c:v>-18.007834541842659</c:v>
                </c:pt>
                <c:pt idx="451">
                  <c:v>-18.109093293797539</c:v>
                </c:pt>
                <c:pt idx="452">
                  <c:v>-18.209790621220531</c:v>
                </c:pt>
                <c:pt idx="453">
                  <c:v>-18.312189292737692</c:v>
                </c:pt>
                <c:pt idx="454">
                  <c:v>-18.414014506717621</c:v>
                </c:pt>
                <c:pt idx="455">
                  <c:v>-18.515272974791706</c:v>
                </c:pt>
                <c:pt idx="456">
                  <c:v>-18.615971293717973</c:v>
                </c:pt>
                <c:pt idx="457">
                  <c:v>-18.718485866500561</c:v>
                </c:pt>
                <c:pt idx="458">
                  <c:v>-18.820427021794771</c:v>
                </c:pt>
                <c:pt idx="459">
                  <c:v>-18.921801479986357</c:v>
                </c:pt>
                <c:pt idx="460">
                  <c:v>-19.022615846420315</c:v>
                </c:pt>
                <c:pt idx="461">
                  <c:v>-19.12519429038025</c:v>
                </c:pt>
                <c:pt idx="462">
                  <c:v>-19.227200007102798</c:v>
                </c:pt>
                <c:pt idx="463">
                  <c:v>-19.328639714926513</c:v>
                </c:pt>
                <c:pt idx="464">
                  <c:v>-19.429520017232079</c:v>
                </c:pt>
                <c:pt idx="465">
                  <c:v>-19.532192248715777</c:v>
                </c:pt>
                <c:pt idx="466">
                  <c:v>-19.63429218284703</c:v>
                </c:pt>
                <c:pt idx="467">
                  <c:v>-19.735826541110775</c:v>
                </c:pt>
                <c:pt idx="468">
                  <c:v>-19.836801930000117</c:v>
                </c:pt>
                <c:pt idx="469">
                  <c:v>-19.939518184721177</c:v>
                </c:pt>
                <c:pt idx="470">
                  <c:v>-20.041663201498523</c:v>
                </c:pt>
                <c:pt idx="471">
                  <c:v>-20.143243694564998</c:v>
                </c:pt>
                <c:pt idx="472">
                  <c:v>-20.244266263366526</c:v>
                </c:pt>
                <c:pt idx="473">
                  <c:v>-20.347130017041795</c:v>
                </c:pt>
                <c:pt idx="474">
                  <c:v>-20.449422525658257</c:v>
                </c:pt>
                <c:pt idx="475">
                  <c:v>-20.551150515661234</c:v>
                </c:pt>
                <c:pt idx="476">
                  <c:v>-20.652320598474205</c:v>
                </c:pt>
                <c:pt idx="477">
                  <c:v>-20.755279535602504</c:v>
                </c:pt>
                <c:pt idx="478">
                  <c:v>-20.857667887864729</c:v>
                </c:pt>
                <c:pt idx="479">
                  <c:v>-20.959492382943367</c:v>
                </c:pt>
                <c:pt idx="480">
                  <c:v>-21.060759633516174</c:v>
                </c:pt>
                <c:pt idx="481">
                  <c:v>-21.163765303877046</c:v>
                </c:pt>
                <c:pt idx="482">
                  <c:v>-21.266201674461986</c:v>
                </c:pt>
                <c:pt idx="483">
                  <c:v>-21.368075463960142</c:v>
                </c:pt>
                <c:pt idx="484">
                  <c:v>-21.469393276309404</c:v>
                </c:pt>
                <c:pt idx="485">
                  <c:v>-21.572470901964596</c:v>
                </c:pt>
                <c:pt idx="486">
                  <c:v>-21.674980327802356</c:v>
                </c:pt>
                <c:pt idx="487">
                  <c:v>-21.776928267614124</c:v>
                </c:pt>
                <c:pt idx="488">
                  <c:v>-21.878321320602598</c:v>
                </c:pt>
                <c:pt idx="489">
                  <c:v>-21.981562035680358</c:v>
                </c:pt>
                <c:pt idx="490">
                  <c:v>-22.084234750558306</c:v>
                </c:pt>
                <c:pt idx="491">
                  <c:v>-22.186346190959124</c:v>
                </c:pt>
                <c:pt idx="492">
                  <c:v>-22.287902967801962</c:v>
                </c:pt>
                <c:pt idx="493">
                  <c:v>-22.391255704000681</c:v>
                </c:pt>
                <c:pt idx="494">
                  <c:v>-22.494041309311182</c:v>
                </c:pt>
                <c:pt idx="495">
                  <c:v>-22.596266510520465</c:v>
                </c:pt>
                <c:pt idx="496">
                  <c:v>-22.69793791964694</c:v>
                </c:pt>
                <c:pt idx="497">
                  <c:v>-22.801421013959725</c:v>
                </c:pt>
                <c:pt idx="498">
                  <c:v>-22.904337759723319</c:v>
                </c:pt>
                <c:pt idx="499">
                  <c:v>-23.006694887366997</c:v>
                </c:pt>
                <c:pt idx="500">
                  <c:v>-23.108499012531766</c:v>
                </c:pt>
                <c:pt idx="501">
                  <c:v>-23.212128871328904</c:v>
                </c:pt>
                <c:pt idx="502">
                  <c:v>-23.315193106032311</c:v>
                </c:pt>
                <c:pt idx="503">
                  <c:v>-23.417698452855561</c:v>
                </c:pt>
                <c:pt idx="504">
                  <c:v>-23.519651533159273</c:v>
                </c:pt>
                <c:pt idx="505">
                  <c:v>-23.623380087263527</c:v>
                </c:pt>
                <c:pt idx="506">
                  <c:v>-23.72654439157315</c:v>
                </c:pt>
                <c:pt idx="507">
                  <c:v>-23.829151177677019</c:v>
                </c:pt>
                <c:pt idx="508">
                  <c:v>-23.931207062487548</c:v>
                </c:pt>
                <c:pt idx="509">
                  <c:v>-24.035051442807202</c:v>
                </c:pt>
                <c:pt idx="510">
                  <c:v>-24.138332893080797</c:v>
                </c:pt>
                <c:pt idx="511">
                  <c:v>-24.241058142462151</c:v>
                </c:pt>
                <c:pt idx="512">
                  <c:v>-24.343233805559137</c:v>
                </c:pt>
                <c:pt idx="513">
                  <c:v>-24.447269629039642</c:v>
                </c:pt>
                <c:pt idx="514">
                  <c:v>-24.550743166833428</c:v>
                </c:pt>
                <c:pt idx="515">
                  <c:v>-24.653661159068903</c:v>
                </c:pt>
                <c:pt idx="516">
                  <c:v>-24.756030231159446</c:v>
                </c:pt>
                <c:pt idx="517">
                  <c:v>-24.860208984397694</c:v>
                </c:pt>
                <c:pt idx="518">
                  <c:v>-24.963826771158793</c:v>
                </c:pt>
                <c:pt idx="519">
                  <c:v>-25.066890331877634</c:v>
                </c:pt>
                <c:pt idx="520">
                  <c:v>-25.169406292351411</c:v>
                </c:pt>
                <c:pt idx="521">
                  <c:v>-25.273740934966575</c:v>
                </c:pt>
                <c:pt idx="522">
                  <c:v>-25.377515948656509</c:v>
                </c:pt>
                <c:pt idx="523">
                  <c:v>-25.480738075317984</c:v>
                </c:pt>
                <c:pt idx="524">
                  <c:v>-25.583413942265562</c:v>
                </c:pt>
                <c:pt idx="525">
                  <c:v>-25.687916332770342</c:v>
                </c:pt>
                <c:pt idx="526">
                  <c:v>-25.79186047200232</c:v>
                </c:pt>
                <c:pt idx="527">
                  <c:v>-25.895253104179197</c:v>
                </c:pt>
                <c:pt idx="528">
                  <c:v>-25.9981008589778</c:v>
                </c:pt>
                <c:pt idx="529">
                  <c:v>-26.102781905863587</c:v>
                </c:pt>
                <c:pt idx="530">
                  <c:v>-26.20690613967875</c:v>
                </c:pt>
                <c:pt idx="531">
                  <c:v>-26.310480307550769</c:v>
                </c:pt>
                <c:pt idx="532">
                  <c:v>-26.413511042097969</c:v>
                </c:pt>
                <c:pt idx="533">
                  <c:v>-26.518434845177225</c:v>
                </c:pt>
                <c:pt idx="534">
                  <c:v>-26.622802783170453</c:v>
                </c:pt>
                <c:pt idx="535">
                  <c:v>-26.726621616825707</c:v>
                </c:pt>
                <c:pt idx="536">
                  <c:v>-26.829897992175376</c:v>
                </c:pt>
                <c:pt idx="537">
                  <c:v>-26.934964872284397</c:v>
                </c:pt>
                <c:pt idx="538">
                  <c:v>-27.039478086889122</c:v>
                </c:pt>
                <c:pt idx="539">
                  <c:v>-27.143444389494441</c:v>
                </c:pt>
                <c:pt idx="540">
                  <c:v>-27.246870419157901</c:v>
                </c:pt>
                <c:pt idx="541">
                  <c:v>-27.352196205337421</c:v>
                </c:pt>
                <c:pt idx="542">
                  <c:v>-27.456969515314942</c:v>
                </c:pt>
                <c:pt idx="543">
                  <c:v>-27.561197115780374</c:v>
                </c:pt>
                <c:pt idx="544">
                  <c:v>-27.664885658786382</c:v>
                </c:pt>
                <c:pt idx="545">
                  <c:v>-27.770424944016906</c:v>
                </c:pt>
                <c:pt idx="546">
                  <c:v>-27.875413641511596</c:v>
                </c:pt>
                <c:pt idx="547">
                  <c:v>-27.979858520497466</c:v>
                </c:pt>
                <c:pt idx="548">
                  <c:v>-28.083766235618135</c:v>
                </c:pt>
                <c:pt idx="549">
                  <c:v>-28.189527326697498</c:v>
                </c:pt>
                <c:pt idx="550">
                  <c:v>-28.29473986356172</c:v>
                </c:pt>
                <c:pt idx="551">
                  <c:v>-28.399410617525128</c:v>
                </c:pt>
                <c:pt idx="552">
                  <c:v>-28.503546245382829</c:v>
                </c:pt>
                <c:pt idx="553">
                  <c:v>-28.609585937134334</c:v>
                </c:pt>
                <c:pt idx="554">
                  <c:v>-28.715078767542529</c:v>
                </c:pt>
                <c:pt idx="555">
                  <c:v>-28.820031518669445</c:v>
                </c:pt>
                <c:pt idx="556">
                  <c:v>-28.924450857927923</c:v>
                </c:pt>
                <c:pt idx="557">
                  <c:v>-29.136552761876629</c:v>
                </c:pt>
                <c:pt idx="558">
                  <c:v>-29.346501888091233</c:v>
                </c:pt>
                <c:pt idx="559">
                  <c:v>-29.559091184475975</c:v>
                </c:pt>
                <c:pt idx="560">
                  <c:v>-29.76953809977616</c:v>
                </c:pt>
                <c:pt idx="561">
                  <c:v>-29.982814101179166</c:v>
                </c:pt>
                <c:pt idx="562">
                  <c:v>-30.193955276475663</c:v>
                </c:pt>
                <c:pt idx="563">
                  <c:v>-30.407478529195711</c:v>
                </c:pt>
                <c:pt idx="564">
                  <c:v>-30.618884411546109</c:v>
                </c:pt>
                <c:pt idx="565">
                  <c:v>-30.833477063926825</c:v>
                </c:pt>
                <c:pt idx="566">
                  <c:v>-31.045954842304567</c:v>
                </c:pt>
                <c:pt idx="567">
                  <c:v>-31.261519594007595</c:v>
                </c:pt>
                <c:pt idx="568">
                  <c:v>-31.474975354381165</c:v>
                </c:pt>
                <c:pt idx="569">
                  <c:v>-31.690582986552634</c:v>
                </c:pt>
                <c:pt idx="570">
                  <c:v>-31.904106887906472</c:v>
                </c:pt>
                <c:pt idx="571">
                  <c:v>-32.121377621169515</c:v>
                </c:pt>
                <c:pt idx="572">
                  <c:v>-32.336560183953658</c:v>
                </c:pt>
                <c:pt idx="573">
                  <c:v>-32.5537565619329</c:v>
                </c:pt>
                <c:pt idx="574">
                  <c:v>-32.768895033062108</c:v>
                </c:pt>
                <c:pt idx="575">
                  <c:v>-32.987589985389945</c:v>
                </c:pt>
                <c:pt idx="576">
                  <c:v>-33.204229117395577</c:v>
                </c:pt>
                <c:pt idx="577">
                  <c:v>-34.099814216120471</c:v>
                </c:pt>
                <c:pt idx="578">
                  <c:v>-34.963207826083419</c:v>
                </c:pt>
                <c:pt idx="579">
                  <c:v>-36.75801304377844</c:v>
                </c:pt>
                <c:pt idx="580">
                  <c:v>-38.600540705485962</c:v>
                </c:pt>
                <c:pt idx="581">
                  <c:v>-40.49884297337077</c:v>
                </c:pt>
                <c:pt idx="582">
                  <c:v>-42.466487494024321</c:v>
                </c:pt>
                <c:pt idx="583">
                  <c:v>-44.515675409405034</c:v>
                </c:pt>
                <c:pt idx="584">
                  <c:v>-46.662122861227211</c:v>
                </c:pt>
                <c:pt idx="585">
                  <c:v>-48.917973327795458</c:v>
                </c:pt>
                <c:pt idx="586">
                  <c:v>-51.294304943710323</c:v>
                </c:pt>
                <c:pt idx="587">
                  <c:v>-53.798897906449994</c:v>
                </c:pt>
                <c:pt idx="588">
                  <c:v>-56.430085988284624</c:v>
                </c:pt>
                <c:pt idx="589">
                  <c:v>-59.184571535468692</c:v>
                </c:pt>
                <c:pt idx="590">
                  <c:v>-62.050578173245668</c:v>
                </c:pt>
                <c:pt idx="591">
                  <c:v>-65.013749797110748</c:v>
                </c:pt>
                <c:pt idx="592">
                  <c:v>-68.057199494886746</c:v>
                </c:pt>
                <c:pt idx="593">
                  <c:v>-71.165274599029246</c:v>
                </c:pt>
                <c:pt idx="594">
                  <c:v>-74.321836997462626</c:v>
                </c:pt>
                <c:pt idx="595">
                  <c:v>-77.514208876344384</c:v>
                </c:pt>
                <c:pt idx="596">
                  <c:v>-80.730744452591225</c:v>
                </c:pt>
                <c:pt idx="597">
                  <c:v>-83.963425231726418</c:v>
                </c:pt>
                <c:pt idx="598">
                  <c:v>-87.2048226550599</c:v>
                </c:pt>
                <c:pt idx="599">
                  <c:v>-90.45090463176453</c:v>
                </c:pt>
                <c:pt idx="600">
                  <c:v>-93.697757544002798</c:v>
                </c:pt>
              </c:numCache>
            </c:numRef>
          </c:yVal>
          <c:smooth val="0"/>
          <c:extLst>
            <c:ext xmlns:c16="http://schemas.microsoft.com/office/drawing/2014/chart" uri="{C3380CC4-5D6E-409C-BE32-E72D297353CC}">
              <c16:uniqueId val="{00000003-417B-42DD-99BF-4436D67A6013}"/>
            </c:ext>
          </c:extLst>
        </c:ser>
        <c:dLbls>
          <c:showLegendKey val="0"/>
          <c:showVal val="0"/>
          <c:showCatName val="0"/>
          <c:showSerName val="0"/>
          <c:showPercent val="0"/>
          <c:showBubbleSize val="0"/>
        </c:dLbls>
        <c:axId val="196940928"/>
        <c:axId val="196942848"/>
      </c:scatterChart>
      <c:scatterChart>
        <c:scatterStyle val="lineMarker"/>
        <c:varyColors val="0"/>
        <c:ser>
          <c:idx val="1"/>
          <c:order val="4"/>
          <c:tx>
            <c:strRef>
              <c:f>'IL Stability Calculations'!$AX$12</c:f>
              <c:strCache>
                <c:ptCount val="1"/>
                <c:pt idx="0">
                  <c:v>:Loop Phase Margin (°)</c:v>
                </c:pt>
              </c:strCache>
            </c:strRef>
          </c:tx>
          <c:spPr>
            <a:ln w="25400">
              <a:solidFill>
                <a:srgbClr val="0000FF"/>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Calculations'!$AX$13:$AX$613</c:f>
              <c:numCache>
                <c:formatCode>0.0000</c:formatCode>
                <c:ptCount val="601"/>
                <c:pt idx="0">
                  <c:v>-82.37809782456641</c:v>
                </c:pt>
                <c:pt idx="1">
                  <c:v>-83.282108660865916</c:v>
                </c:pt>
                <c:pt idx="2">
                  <c:v>-84.1320757090256</c:v>
                </c:pt>
                <c:pt idx="3">
                  <c:v>-84.934182287033678</c:v>
                </c:pt>
                <c:pt idx="4">
                  <c:v>-85.693851976354551</c:v>
                </c:pt>
                <c:pt idx="5">
                  <c:v>-86.417948043020274</c:v>
                </c:pt>
                <c:pt idx="6">
                  <c:v>-87.110734041889359</c:v>
                </c:pt>
                <c:pt idx="7">
                  <c:v>-87.777693419945038</c:v>
                </c:pt>
                <c:pt idx="8">
                  <c:v>-88.423041288086111</c:v>
                </c:pt>
                <c:pt idx="9">
                  <c:v>-89.051619304048614</c:v>
                </c:pt>
                <c:pt idx="10">
                  <c:v>-89.667030103956009</c:v>
                </c:pt>
                <c:pt idx="11">
                  <c:v>-90.27290263853132</c:v>
                </c:pt>
                <c:pt idx="12">
                  <c:v>-90.872593406645663</c:v>
                </c:pt>
                <c:pt idx="13">
                  <c:v>-91.467986112704693</c:v>
                </c:pt>
                <c:pt idx="14">
                  <c:v>-92.06133307135913</c:v>
                </c:pt>
                <c:pt idx="15">
                  <c:v>-92.653374373419894</c:v>
                </c:pt>
                <c:pt idx="16">
                  <c:v>-93.244183267499835</c:v>
                </c:pt>
                <c:pt idx="17">
                  <c:v>-93.832614589922699</c:v>
                </c:pt>
                <c:pt idx="18">
                  <c:v>-94.416554811224145</c:v>
                </c:pt>
                <c:pt idx="19">
                  <c:v>-94.992231913643167</c:v>
                </c:pt>
                <c:pt idx="20">
                  <c:v>-95.55476072988516</c:v>
                </c:pt>
                <c:pt idx="21">
                  <c:v>-96.097674046375204</c:v>
                </c:pt>
                <c:pt idx="22">
                  <c:v>-96.613529055568762</c:v>
                </c:pt>
                <c:pt idx="23">
                  <c:v>-97.093728818917228</c:v>
                </c:pt>
                <c:pt idx="24">
                  <c:v>-97.529458080130127</c:v>
                </c:pt>
                <c:pt idx="25">
                  <c:v>-97.911828108885459</c:v>
                </c:pt>
                <c:pt idx="26">
                  <c:v>-98.232909700531224</c:v>
                </c:pt>
                <c:pt idx="27">
                  <c:v>-98.486123284641636</c:v>
                </c:pt>
                <c:pt idx="28">
                  <c:v>-98.667221943910477</c:v>
                </c:pt>
                <c:pt idx="29">
                  <c:v>-98.774590961375196</c:v>
                </c:pt>
                <c:pt idx="30">
                  <c:v>-98.809735342173056</c:v>
                </c:pt>
                <c:pt idx="31">
                  <c:v>-98.776814387601647</c:v>
                </c:pt>
                <c:pt idx="32">
                  <c:v>-98.682707267073738</c:v>
                </c:pt>
                <c:pt idx="33">
                  <c:v>-98.536464272590507</c:v>
                </c:pt>
                <c:pt idx="34">
                  <c:v>-98.348372695265624</c:v>
                </c:pt>
                <c:pt idx="35">
                  <c:v>-98.129637545798104</c:v>
                </c:pt>
                <c:pt idx="36">
                  <c:v>-97.891406336631476</c:v>
                </c:pt>
                <c:pt idx="37">
                  <c:v>-97.644239842588178</c:v>
                </c:pt>
                <c:pt idx="38">
                  <c:v>-97.398205625126053</c:v>
                </c:pt>
                <c:pt idx="39">
                  <c:v>-97.161843204997794</c:v>
                </c:pt>
                <c:pt idx="40">
                  <c:v>-96.94279166261353</c:v>
                </c:pt>
                <c:pt idx="41">
                  <c:v>-96.747402087689494</c:v>
                </c:pt>
                <c:pt idx="42">
                  <c:v>-96.580987286912048</c:v>
                </c:pt>
                <c:pt idx="43">
                  <c:v>-96.447854610872099</c:v>
                </c:pt>
                <c:pt idx="44">
                  <c:v>-96.351627954399646</c:v>
                </c:pt>
                <c:pt idx="45">
                  <c:v>-96.295277278104521</c:v>
                </c:pt>
                <c:pt idx="46">
                  <c:v>-96.281372018088831</c:v>
                </c:pt>
                <c:pt idx="47">
                  <c:v>-96.312188740209237</c:v>
                </c:pt>
                <c:pt idx="48">
                  <c:v>-96.389850856811307</c:v>
                </c:pt>
                <c:pt idx="49">
                  <c:v>-96.516479279053883</c:v>
                </c:pt>
                <c:pt idx="50">
                  <c:v>-96.694230053263595</c:v>
                </c:pt>
                <c:pt idx="51">
                  <c:v>-96.925476914810105</c:v>
                </c:pt>
                <c:pt idx="52">
                  <c:v>-97.212690483855127</c:v>
                </c:pt>
                <c:pt idx="53">
                  <c:v>-97.558678020616441</c:v>
                </c:pt>
                <c:pt idx="54">
                  <c:v>-97.966286829987808</c:v>
                </c:pt>
                <c:pt idx="55">
                  <c:v>-98.439728862854352</c:v>
                </c:pt>
                <c:pt idx="56">
                  <c:v>-98.982286393278585</c:v>
                </c:pt>
                <c:pt idx="57">
                  <c:v>-99.598616015458788</c:v>
                </c:pt>
                <c:pt idx="58">
                  <c:v>-100.29298717953098</c:v>
                </c:pt>
                <c:pt idx="59">
                  <c:v>-101.07108299099781</c:v>
                </c:pt>
                <c:pt idx="60">
                  <c:v>-101.93806019372177</c:v>
                </c:pt>
                <c:pt idx="61">
                  <c:v>-102.89999064558729</c:v>
                </c:pt>
                <c:pt idx="62">
                  <c:v>-103.9637885163434</c:v>
                </c:pt>
                <c:pt idx="63">
                  <c:v>-105.13506349163377</c:v>
                </c:pt>
                <c:pt idx="64">
                  <c:v>-106.42155127378898</c:v>
                </c:pt>
                <c:pt idx="65">
                  <c:v>-107.82968438223588</c:v>
                </c:pt>
                <c:pt idx="66">
                  <c:v>-109.36632649210534</c:v>
                </c:pt>
                <c:pt idx="67">
                  <c:v>-111.03763448847505</c:v>
                </c:pt>
                <c:pt idx="68">
                  <c:v>-112.84984100993933</c:v>
                </c:pt>
                <c:pt idx="69">
                  <c:v>-114.80718834150748</c:v>
                </c:pt>
                <c:pt idx="70">
                  <c:v>-116.91332703869611</c:v>
                </c:pt>
                <c:pt idx="71">
                  <c:v>-119.16913623091298</c:v>
                </c:pt>
                <c:pt idx="72">
                  <c:v>-121.57391496625071</c:v>
                </c:pt>
                <c:pt idx="73">
                  <c:v>-124.12282033456755</c:v>
                </c:pt>
                <c:pt idx="74">
                  <c:v>-126.80865218645705</c:v>
                </c:pt>
                <c:pt idx="75">
                  <c:v>-129.61909736897493</c:v>
                </c:pt>
                <c:pt idx="76">
                  <c:v>-132.53852836501147</c:v>
                </c:pt>
                <c:pt idx="77">
                  <c:v>-135.54521918795305</c:v>
                </c:pt>
                <c:pt idx="78">
                  <c:v>-138.61414200847102</c:v>
                </c:pt>
                <c:pt idx="79">
                  <c:v>-141.71444993362053</c:v>
                </c:pt>
                <c:pt idx="80">
                  <c:v>-144.81959192504925</c:v>
                </c:pt>
                <c:pt idx="81">
                  <c:v>-147.89174187174478</c:v>
                </c:pt>
                <c:pt idx="82">
                  <c:v>-150.89928652005693</c:v>
                </c:pt>
                <c:pt idx="83">
                  <c:v>-153.80785940295982</c:v>
                </c:pt>
                <c:pt idx="84">
                  <c:v>-156.59054889035829</c:v>
                </c:pt>
                <c:pt idx="85">
                  <c:v>-159.22116262229781</c:v>
                </c:pt>
                <c:pt idx="86">
                  <c:v>-161.68128125740398</c:v>
                </c:pt>
                <c:pt idx="87">
                  <c:v>-163.95965700603026</c:v>
                </c:pt>
                <c:pt idx="88">
                  <c:v>-166.0482992709035</c:v>
                </c:pt>
                <c:pt idx="89">
                  <c:v>-167.94946183274956</c:v>
                </c:pt>
                <c:pt idx="90">
                  <c:v>-169.66850835425547</c:v>
                </c:pt>
                <c:pt idx="91">
                  <c:v>-171.21635545088427</c:v>
                </c:pt>
                <c:pt idx="92">
                  <c:v>-172.60698118866381</c:v>
                </c:pt>
                <c:pt idx="93">
                  <c:v>-173.85715751904257</c:v>
                </c:pt>
                <c:pt idx="94">
                  <c:v>-174.14963939639827</c:v>
                </c:pt>
                <c:pt idx="95">
                  <c:v>-174.29396392556148</c:v>
                </c:pt>
                <c:pt idx="96">
                  <c:v>-174.43482569963797</c:v>
                </c:pt>
                <c:pt idx="97">
                  <c:v>-174.57550672505459</c:v>
                </c:pt>
                <c:pt idx="98">
                  <c:v>-174.71283623522859</c:v>
                </c:pt>
                <c:pt idx="99">
                  <c:v>-174.85004857939069</c:v>
                </c:pt>
                <c:pt idx="100">
                  <c:v>-174.98401709462388</c:v>
                </c:pt>
                <c:pt idx="101">
                  <c:v>-175.1178282704002</c:v>
                </c:pt>
                <c:pt idx="102">
                  <c:v>-175.2485045920545</c:v>
                </c:pt>
                <c:pt idx="103">
                  <c:v>-175.37918077463544</c:v>
                </c:pt>
                <c:pt idx="104">
                  <c:v>-175.50682297786912</c:v>
                </c:pt>
                <c:pt idx="105">
                  <c:v>-175.63442506795496</c:v>
                </c:pt>
                <c:pt idx="106">
                  <c:v>-175.75909527944674</c:v>
                </c:pt>
                <c:pt idx="107">
                  <c:v>-175.88369415247109</c:v>
                </c:pt>
                <c:pt idx="108">
                  <c:v>-176.00546377972231</c:v>
                </c:pt>
                <c:pt idx="109">
                  <c:v>-176.12722055087318</c:v>
                </c:pt>
                <c:pt idx="110">
                  <c:v>-176.24624697986056</c:v>
                </c:pt>
                <c:pt idx="111">
                  <c:v>-176.36539345699234</c:v>
                </c:pt>
                <c:pt idx="112">
                  <c:v>-176.48190155158943</c:v>
                </c:pt>
                <c:pt idx="113">
                  <c:v>-176.59849913353011</c:v>
                </c:pt>
                <c:pt idx="114">
                  <c:v>-176.71255074746367</c:v>
                </c:pt>
                <c:pt idx="115">
                  <c:v>-176.82674015768802</c:v>
                </c:pt>
                <c:pt idx="116">
                  <c:v>-176.93847284744223</c:v>
                </c:pt>
                <c:pt idx="117">
                  <c:v>-177.05038892678408</c:v>
                </c:pt>
                <c:pt idx="118">
                  <c:v>-177.15993451842698</c:v>
                </c:pt>
                <c:pt idx="119">
                  <c:v>-177.26964086708887</c:v>
                </c:pt>
                <c:pt idx="120">
                  <c:v>-177.37706279528498</c:v>
                </c:pt>
                <c:pt idx="121">
                  <c:v>-177.48469188565238</c:v>
                </c:pt>
                <c:pt idx="122">
                  <c:v>-177.59011943981292</c:v>
                </c:pt>
                <c:pt idx="123">
                  <c:v>-177.69585878366456</c:v>
                </c:pt>
                <c:pt idx="124">
                  <c:v>-177.79947403457768</c:v>
                </c:pt>
                <c:pt idx="125">
                  <c:v>-177.90338002863737</c:v>
                </c:pt>
                <c:pt idx="126">
                  <c:v>-178.00523912148606</c:v>
                </c:pt>
                <c:pt idx="127">
                  <c:v>-178.10742914068456</c:v>
                </c:pt>
                <c:pt idx="128">
                  <c:v>-178.20764665818561</c:v>
                </c:pt>
                <c:pt idx="129">
                  <c:v>-178.30823357991599</c:v>
                </c:pt>
                <c:pt idx="130">
                  <c:v>-178.40691972069737</c:v>
                </c:pt>
                <c:pt idx="131">
                  <c:v>-178.50601221742667</c:v>
                </c:pt>
                <c:pt idx="132">
                  <c:v>-178.5548668819097</c:v>
                </c:pt>
                <c:pt idx="133">
                  <c:v>-178.60327307913371</c:v>
                </c:pt>
                <c:pt idx="134">
                  <c:v>-178.65237493011034</c:v>
                </c:pt>
                <c:pt idx="135">
                  <c:v>-178.7010258585068</c:v>
                </c:pt>
                <c:pt idx="136">
                  <c:v>-178.74923515937027</c:v>
                </c:pt>
                <c:pt idx="137">
                  <c:v>-178.7970118844809</c:v>
                </c:pt>
                <c:pt idx="138">
                  <c:v>-178.84543509099274</c:v>
                </c:pt>
                <c:pt idx="139">
                  <c:v>-178.89342425983395</c:v>
                </c:pt>
                <c:pt idx="140">
                  <c:v>-178.94098833227847</c:v>
                </c:pt>
                <c:pt idx="141">
                  <c:v>-178.98813601518381</c:v>
                </c:pt>
                <c:pt idx="142">
                  <c:v>-179.03597926511466</c:v>
                </c:pt>
                <c:pt idx="143">
                  <c:v>-179.08340388772356</c:v>
                </c:pt>
                <c:pt idx="144">
                  <c:v>-179.13041850761326</c:v>
                </c:pt>
                <c:pt idx="145">
                  <c:v>-179.17703152272495</c:v>
                </c:pt>
                <c:pt idx="146">
                  <c:v>-179.22431714937647</c:v>
                </c:pt>
                <c:pt idx="147">
                  <c:v>-179.2711994404936</c:v>
                </c:pt>
                <c:pt idx="148">
                  <c:v>-179.31768669994929</c:v>
                </c:pt>
                <c:pt idx="149">
                  <c:v>-179.36378701303462</c:v>
                </c:pt>
                <c:pt idx="150">
                  <c:v>-179.41056096972443</c:v>
                </c:pt>
                <c:pt idx="151">
                  <c:v>-179.45694633111327</c:v>
                </c:pt>
                <c:pt idx="152">
                  <c:v>-179.50295108999461</c:v>
                </c:pt>
                <c:pt idx="153">
                  <c:v>-179.54858302849902</c:v>
                </c:pt>
                <c:pt idx="154">
                  <c:v>-179.59491098510225</c:v>
                </c:pt>
                <c:pt idx="155">
                  <c:v>-179.64086421193178</c:v>
                </c:pt>
                <c:pt idx="156">
                  <c:v>-179.68645041070778</c:v>
                </c:pt>
                <c:pt idx="157">
                  <c:v>-179.73167707987321</c:v>
                </c:pt>
                <c:pt idx="158">
                  <c:v>-179.77760006286579</c:v>
                </c:pt>
                <c:pt idx="159">
                  <c:v>-179.82316171825602</c:v>
                </c:pt>
                <c:pt idx="160">
                  <c:v>-179.86836946449259</c:v>
                </c:pt>
                <c:pt idx="161">
                  <c:v>-179.91323052401583</c:v>
                </c:pt>
                <c:pt idx="162">
                  <c:v>-179.95876849272082</c:v>
                </c:pt>
                <c:pt idx="163">
                  <c:v>179.99604161397434</c:v>
                </c:pt>
                <c:pt idx="164">
                  <c:v>179.95119266232692</c:v>
                </c:pt>
                <c:pt idx="165">
                  <c:v>179.90667770713515</c:v>
                </c:pt>
                <c:pt idx="166">
                  <c:v>179.86144551491316</c:v>
                </c:pt>
                <c:pt idx="167">
                  <c:v>179.81654920553626</c:v>
                </c:pt>
                <c:pt idx="168">
                  <c:v>179.77198190321161</c:v>
                </c:pt>
                <c:pt idx="169">
                  <c:v>179.72773691402003</c:v>
                </c:pt>
                <c:pt idx="170">
                  <c:v>179.68286844744773</c:v>
                </c:pt>
                <c:pt idx="171">
                  <c:v>179.63832271274595</c:v>
                </c:pt>
                <c:pt idx="172">
                  <c:v>179.59409312660586</c:v>
                </c:pt>
                <c:pt idx="173">
                  <c:v>179.5501732795806</c:v>
                </c:pt>
                <c:pt idx="174">
                  <c:v>179.50546122740059</c:v>
                </c:pt>
                <c:pt idx="175">
                  <c:v>179.46106162185441</c:v>
                </c:pt>
                <c:pt idx="176">
                  <c:v>179.4169680897773</c:v>
                </c:pt>
                <c:pt idx="177">
                  <c:v>179.37317442662089</c:v>
                </c:pt>
                <c:pt idx="178">
                  <c:v>179.32860857410407</c:v>
                </c:pt>
                <c:pt idx="179">
                  <c:v>179.28434485202717</c:v>
                </c:pt>
                <c:pt idx="180">
                  <c:v>179.24037710284466</c:v>
                </c:pt>
                <c:pt idx="181">
                  <c:v>179.19669933208098</c:v>
                </c:pt>
                <c:pt idx="182">
                  <c:v>179.1524406894772</c:v>
                </c:pt>
                <c:pt idx="183">
                  <c:v>179.10847163835535</c:v>
                </c:pt>
                <c:pt idx="184">
                  <c:v>179.06478630859775</c:v>
                </c:pt>
                <c:pt idx="185">
                  <c:v>179.02137898497944</c:v>
                </c:pt>
                <c:pt idx="186">
                  <c:v>178.97706379743465</c:v>
                </c:pt>
                <c:pt idx="187">
                  <c:v>178.93303033751232</c:v>
                </c:pt>
                <c:pt idx="188">
                  <c:v>178.88927288494702</c:v>
                </c:pt>
                <c:pt idx="189">
                  <c:v>178.84578587091491</c:v>
                </c:pt>
                <c:pt idx="190">
                  <c:v>178.80174156813661</c:v>
                </c:pt>
                <c:pt idx="191">
                  <c:v>178.7579669066497</c:v>
                </c:pt>
                <c:pt idx="192">
                  <c:v>178.71445644741385</c:v>
                </c:pt>
                <c:pt idx="193">
                  <c:v>178.67120489467899</c:v>
                </c:pt>
                <c:pt idx="194">
                  <c:v>178.62708317574146</c:v>
                </c:pt>
                <c:pt idx="195">
                  <c:v>178.58322326006532</c:v>
                </c:pt>
                <c:pt idx="196">
                  <c:v>178.53961986528699</c:v>
                </c:pt>
                <c:pt idx="197">
                  <c:v>178.49626784845617</c:v>
                </c:pt>
                <c:pt idx="198">
                  <c:v>178.45222100181138</c:v>
                </c:pt>
                <c:pt idx="199">
                  <c:v>178.40842623024528</c:v>
                </c:pt>
                <c:pt idx="200">
                  <c:v>178.36487846815254</c:v>
                </c:pt>
                <c:pt idx="201">
                  <c:v>178.32157278328089</c:v>
                </c:pt>
                <c:pt idx="202">
                  <c:v>178.27758403990839</c:v>
                </c:pt>
                <c:pt idx="203">
                  <c:v>178.2338378647913</c:v>
                </c:pt>
                <c:pt idx="204">
                  <c:v>178.19032940542849</c:v>
                </c:pt>
                <c:pt idx="205">
                  <c:v>178.1470539366658</c:v>
                </c:pt>
                <c:pt idx="206">
                  <c:v>178.1029560819581</c:v>
                </c:pt>
                <c:pt idx="207">
                  <c:v>178.05909311485482</c:v>
                </c:pt>
                <c:pt idx="208">
                  <c:v>178.01546034423228</c:v>
                </c:pt>
                <c:pt idx="209">
                  <c:v>177.97205320203994</c:v>
                </c:pt>
                <c:pt idx="210">
                  <c:v>177.92769116106356</c:v>
                </c:pt>
                <c:pt idx="211">
                  <c:v>177.88355784638776</c:v>
                </c:pt>
                <c:pt idx="212">
                  <c:v>177.83964868555321</c:v>
                </c:pt>
                <c:pt idx="213">
                  <c:v>177.79595922632552</c:v>
                </c:pt>
                <c:pt idx="214">
                  <c:v>177.75162069979424</c:v>
                </c:pt>
                <c:pt idx="215">
                  <c:v>177.70750173123534</c:v>
                </c:pt>
                <c:pt idx="216">
                  <c:v>177.66359795883861</c:v>
                </c:pt>
                <c:pt idx="217">
                  <c:v>177.61990513490522</c:v>
                </c:pt>
                <c:pt idx="218">
                  <c:v>177.5754299640883</c:v>
                </c:pt>
                <c:pt idx="219">
                  <c:v>177.5311668324741</c:v>
                </c:pt>
                <c:pt idx="220">
                  <c:v>177.48711154218995</c:v>
                </c:pt>
                <c:pt idx="221">
                  <c:v>177.44326000492973</c:v>
                </c:pt>
                <c:pt idx="222">
                  <c:v>177.39863735628293</c:v>
                </c:pt>
                <c:pt idx="223">
                  <c:v>177.35421934138014</c:v>
                </c:pt>
                <c:pt idx="224">
                  <c:v>177.31000192504047</c:v>
                </c:pt>
                <c:pt idx="225">
                  <c:v>177.26598117709594</c:v>
                </c:pt>
                <c:pt idx="226">
                  <c:v>177.22106341523588</c:v>
                </c:pt>
                <c:pt idx="227">
                  <c:v>177.17634421070588</c:v>
                </c:pt>
                <c:pt idx="228">
                  <c:v>177.13181965387176</c:v>
                </c:pt>
                <c:pt idx="229">
                  <c:v>177.08748593679601</c:v>
                </c:pt>
                <c:pt idx="230">
                  <c:v>176.99724287526055</c:v>
                </c:pt>
                <c:pt idx="231">
                  <c:v>176.95240625106487</c:v>
                </c:pt>
                <c:pt idx="232">
                  <c:v>176.90775462071849</c:v>
                </c:pt>
                <c:pt idx="233">
                  <c:v>176.86223089845194</c:v>
                </c:pt>
                <c:pt idx="234">
                  <c:v>176.81689354717022</c:v>
                </c:pt>
                <c:pt idx="235">
                  <c:v>176.77173891476005</c:v>
                </c:pt>
                <c:pt idx="236">
                  <c:v>176.72676344381475</c:v>
                </c:pt>
                <c:pt idx="237">
                  <c:v>176.68105648255613</c:v>
                </c:pt>
                <c:pt idx="238">
                  <c:v>176.63552883356337</c:v>
                </c:pt>
                <c:pt idx="239">
                  <c:v>176.59017700412414</c:v>
                </c:pt>
                <c:pt idx="240">
                  <c:v>176.54499759162701</c:v>
                </c:pt>
                <c:pt idx="241">
                  <c:v>176.4988386371802</c:v>
                </c:pt>
                <c:pt idx="242">
                  <c:v>176.45285405845968</c:v>
                </c:pt>
                <c:pt idx="243">
                  <c:v>176.40704046188839</c:v>
                </c:pt>
                <c:pt idx="244">
                  <c:v>176.36139454141556</c:v>
                </c:pt>
                <c:pt idx="245">
                  <c:v>176.31490701468761</c:v>
                </c:pt>
                <c:pt idx="246">
                  <c:v>176.26858796098804</c:v>
                </c:pt>
                <c:pt idx="247">
                  <c:v>176.22243411531028</c:v>
                </c:pt>
                <c:pt idx="248">
                  <c:v>176.17644229655738</c:v>
                </c:pt>
                <c:pt idx="249">
                  <c:v>176.12949348924761</c:v>
                </c:pt>
                <c:pt idx="250">
                  <c:v>176.08270820975051</c:v>
                </c:pt>
                <c:pt idx="251">
                  <c:v>176.03608329523263</c:v>
                </c:pt>
                <c:pt idx="252">
                  <c:v>175.9896156640269</c:v>
                </c:pt>
                <c:pt idx="253">
                  <c:v>175.94232378201681</c:v>
                </c:pt>
                <c:pt idx="254">
                  <c:v>175.89518966405595</c:v>
                </c:pt>
                <c:pt idx="255">
                  <c:v>175.84821027429612</c:v>
                </c:pt>
                <c:pt idx="256">
                  <c:v>175.80138265443827</c:v>
                </c:pt>
                <c:pt idx="257">
                  <c:v>175.75349658084133</c:v>
                </c:pt>
                <c:pt idx="258">
                  <c:v>175.70576417490742</c:v>
                </c:pt>
                <c:pt idx="259">
                  <c:v>175.65818248098697</c:v>
                </c:pt>
                <c:pt idx="260">
                  <c:v>175.61074861892399</c:v>
                </c:pt>
                <c:pt idx="261">
                  <c:v>175.56238669925258</c:v>
                </c:pt>
                <c:pt idx="262">
                  <c:v>175.51417354535752</c:v>
                </c:pt>
                <c:pt idx="263">
                  <c:v>175.46610630596206</c:v>
                </c:pt>
                <c:pt idx="264">
                  <c:v>175.41818220238491</c:v>
                </c:pt>
                <c:pt idx="265">
                  <c:v>175.36933824141423</c:v>
                </c:pt>
                <c:pt idx="266">
                  <c:v>175.32063819924676</c:v>
                </c:pt>
                <c:pt idx="267">
                  <c:v>175.27207932839326</c:v>
                </c:pt>
                <c:pt idx="268">
                  <c:v>175.22365895105821</c:v>
                </c:pt>
                <c:pt idx="269">
                  <c:v>175.17420982418957</c:v>
                </c:pt>
                <c:pt idx="270">
                  <c:v>175.12490049151316</c:v>
                </c:pt>
                <c:pt idx="271">
                  <c:v>175.0757282896744</c:v>
                </c:pt>
                <c:pt idx="272">
                  <c:v>175.02669062275396</c:v>
                </c:pt>
                <c:pt idx="273">
                  <c:v>174.97663309786242</c:v>
                </c:pt>
                <c:pt idx="274">
                  <c:v>174.92671123230406</c:v>
                </c:pt>
                <c:pt idx="275">
                  <c:v>174.87692244803401</c:v>
                </c:pt>
                <c:pt idx="276">
                  <c:v>174.8272642321248</c:v>
                </c:pt>
                <c:pt idx="277">
                  <c:v>174.77670835171637</c:v>
                </c:pt>
                <c:pt idx="278">
                  <c:v>174.72628341898604</c:v>
                </c:pt>
                <c:pt idx="279">
                  <c:v>174.67598695834801</c:v>
                </c:pt>
                <c:pt idx="280">
                  <c:v>174.62581655642396</c:v>
                </c:pt>
                <c:pt idx="281">
                  <c:v>174.57441589253517</c:v>
                </c:pt>
                <c:pt idx="282">
                  <c:v>174.52314324170419</c:v>
                </c:pt>
                <c:pt idx="283">
                  <c:v>174.47199618137202</c:v>
                </c:pt>
                <c:pt idx="284">
                  <c:v>174.42097234991206</c:v>
                </c:pt>
                <c:pt idx="285">
                  <c:v>174.36906377835953</c:v>
                </c:pt>
                <c:pt idx="286">
                  <c:v>174.31727858375032</c:v>
                </c:pt>
                <c:pt idx="287">
                  <c:v>174.26561444524751</c:v>
                </c:pt>
                <c:pt idx="288">
                  <c:v>174.21406910003222</c:v>
                </c:pt>
                <c:pt idx="289">
                  <c:v>174.16131181457706</c:v>
                </c:pt>
                <c:pt idx="290">
                  <c:v>174.10867490164418</c:v>
                </c:pt>
                <c:pt idx="291">
                  <c:v>174.05615609692674</c:v>
                </c:pt>
                <c:pt idx="292">
                  <c:v>174.00375319271018</c:v>
                </c:pt>
                <c:pt idx="293">
                  <c:v>173.95025700108965</c:v>
                </c:pt>
                <c:pt idx="294">
                  <c:v>173.89687762721255</c:v>
                </c:pt>
                <c:pt idx="295">
                  <c:v>173.8436128793852</c:v>
                </c:pt>
                <c:pt idx="296">
                  <c:v>173.790460620533</c:v>
                </c:pt>
                <c:pt idx="297">
                  <c:v>173.73622195499036</c:v>
                </c:pt>
                <c:pt idx="298">
                  <c:v>173.6820965651379</c:v>
                </c:pt>
                <c:pt idx="299">
                  <c:v>173.62808233214511</c:v>
                </c:pt>
                <c:pt idx="300">
                  <c:v>173.5741771898081</c:v>
                </c:pt>
                <c:pt idx="301">
                  <c:v>173.51919200583754</c:v>
                </c:pt>
                <c:pt idx="302">
                  <c:v>173.46431658160679</c:v>
                </c:pt>
                <c:pt idx="303">
                  <c:v>173.40954887098573</c:v>
                </c:pt>
                <c:pt idx="304">
                  <c:v>173.35488687847149</c:v>
                </c:pt>
                <c:pt idx="305">
                  <c:v>173.29893656779035</c:v>
                </c:pt>
                <c:pt idx="306">
                  <c:v>173.24309334990718</c:v>
                </c:pt>
                <c:pt idx="307">
                  <c:v>173.18735522829255</c:v>
                </c:pt>
                <c:pt idx="308">
                  <c:v>173.1317202557934</c:v>
                </c:pt>
                <c:pt idx="309">
                  <c:v>173.07501735802555</c:v>
                </c:pt>
                <c:pt idx="310">
                  <c:v>173.0184180503984</c:v>
                </c:pt>
                <c:pt idx="311">
                  <c:v>172.96192040972073</c:v>
                </c:pt>
                <c:pt idx="312">
                  <c:v>172.90552256013726</c:v>
                </c:pt>
                <c:pt idx="313">
                  <c:v>172.84785071230704</c:v>
                </c:pt>
                <c:pt idx="314">
                  <c:v>172.79027974386719</c:v>
                </c:pt>
                <c:pt idx="315">
                  <c:v>172.73280778348567</c:v>
                </c:pt>
                <c:pt idx="316">
                  <c:v>172.67543300582039</c:v>
                </c:pt>
                <c:pt idx="317">
                  <c:v>172.61679098385451</c:v>
                </c:pt>
                <c:pt idx="318">
                  <c:v>172.55824709695332</c:v>
                </c:pt>
                <c:pt idx="319">
                  <c:v>172.49979952702401</c:v>
                </c:pt>
                <c:pt idx="320">
                  <c:v>172.44144650056225</c:v>
                </c:pt>
                <c:pt idx="321">
                  <c:v>172.38183248929718</c:v>
                </c:pt>
                <c:pt idx="322">
                  <c:v>172.32231385005289</c:v>
                </c:pt>
                <c:pt idx="323">
                  <c:v>172.26288881892242</c:v>
                </c:pt>
                <c:pt idx="324">
                  <c:v>172.20355567514753</c:v>
                </c:pt>
                <c:pt idx="325">
                  <c:v>172.14296734492882</c:v>
                </c:pt>
                <c:pt idx="326">
                  <c:v>172.08247161811721</c:v>
                </c:pt>
                <c:pt idx="327">
                  <c:v>172.02206678555424</c:v>
                </c:pt>
                <c:pt idx="328">
                  <c:v>171.96175117976387</c:v>
                </c:pt>
                <c:pt idx="329">
                  <c:v>171.90008287977221</c:v>
                </c:pt>
                <c:pt idx="330">
                  <c:v>171.83850471848532</c:v>
                </c:pt>
                <c:pt idx="331">
                  <c:v>171.77701503350445</c:v>
                </c:pt>
                <c:pt idx="332">
                  <c:v>171.71561220289689</c:v>
                </c:pt>
                <c:pt idx="333">
                  <c:v>171.65296481270371</c:v>
                </c:pt>
                <c:pt idx="334">
                  <c:v>171.59040478877537</c:v>
                </c:pt>
                <c:pt idx="335">
                  <c:v>171.52793052430374</c:v>
                </c:pt>
                <c:pt idx="336">
                  <c:v>171.46554045143833</c:v>
                </c:pt>
                <c:pt idx="337">
                  <c:v>171.40170692278136</c:v>
                </c:pt>
                <c:pt idx="338">
                  <c:v>171.33795855201652</c:v>
                </c:pt>
                <c:pt idx="339">
                  <c:v>171.2742937727763</c:v>
                </c:pt>
                <c:pt idx="340">
                  <c:v>171.21071105662509</c:v>
                </c:pt>
                <c:pt idx="341">
                  <c:v>171.14569069657341</c:v>
                </c:pt>
                <c:pt idx="342">
                  <c:v>171.08075324676386</c:v>
                </c:pt>
                <c:pt idx="343">
                  <c:v>171.01589718265785</c:v>
                </c:pt>
                <c:pt idx="344">
                  <c:v>170.95112101657071</c:v>
                </c:pt>
                <c:pt idx="345">
                  <c:v>170.88501330612851</c:v>
                </c:pt>
                <c:pt idx="346">
                  <c:v>170.81898598887446</c:v>
                </c:pt>
                <c:pt idx="347">
                  <c:v>170.75303758979788</c:v>
                </c:pt>
                <c:pt idx="348">
                  <c:v>170.68716666941066</c:v>
                </c:pt>
                <c:pt idx="349">
                  <c:v>170.61976800904333</c:v>
                </c:pt>
                <c:pt idx="350">
                  <c:v>170.55244770461948</c:v>
                </c:pt>
                <c:pt idx="351">
                  <c:v>170.48520431779878</c:v>
                </c:pt>
                <c:pt idx="352">
                  <c:v>170.41803644483954</c:v>
                </c:pt>
                <c:pt idx="353">
                  <c:v>170.34934613842802</c:v>
                </c:pt>
                <c:pt idx="354">
                  <c:v>170.28073211344437</c:v>
                </c:pt>
                <c:pt idx="355">
                  <c:v>170.21219296949693</c:v>
                </c:pt>
                <c:pt idx="356">
                  <c:v>170.14372733982103</c:v>
                </c:pt>
                <c:pt idx="357">
                  <c:v>170.07384354818038</c:v>
                </c:pt>
                <c:pt idx="358">
                  <c:v>170.00403372926812</c:v>
                </c:pt>
                <c:pt idx="359">
                  <c:v>169.93429652731558</c:v>
                </c:pt>
                <c:pt idx="360">
                  <c:v>169.86463061899218</c:v>
                </c:pt>
                <c:pt idx="361">
                  <c:v>169.79335259513556</c:v>
                </c:pt>
                <c:pt idx="362">
                  <c:v>169.72214664499759</c:v>
                </c:pt>
                <c:pt idx="363">
                  <c:v>169.65101144646394</c:v>
                </c:pt>
                <c:pt idx="364">
                  <c:v>169.57994570901275</c:v>
                </c:pt>
                <c:pt idx="365">
                  <c:v>169.50737121490025</c:v>
                </c:pt>
                <c:pt idx="366">
                  <c:v>169.4348666733143</c:v>
                </c:pt>
                <c:pt idx="367">
                  <c:v>169.3624308021007</c:v>
                </c:pt>
                <c:pt idx="368">
                  <c:v>169.29006234964731</c:v>
                </c:pt>
                <c:pt idx="369">
                  <c:v>169.21599265140873</c:v>
                </c:pt>
                <c:pt idx="370">
                  <c:v>169.1419911449876</c:v>
                </c:pt>
                <c:pt idx="371">
                  <c:v>169.06805657853209</c:v>
                </c:pt>
                <c:pt idx="372">
                  <c:v>168.99418772998453</c:v>
                </c:pt>
                <c:pt idx="373">
                  <c:v>168.91872011767194</c:v>
                </c:pt>
                <c:pt idx="374">
                  <c:v>168.84331872726054</c:v>
                </c:pt>
                <c:pt idx="375">
                  <c:v>168.76798234312216</c:v>
                </c:pt>
                <c:pt idx="376">
                  <c:v>168.69270977848285</c:v>
                </c:pt>
                <c:pt idx="377">
                  <c:v>168.61564723422177</c:v>
                </c:pt>
                <c:pt idx="378">
                  <c:v>168.53864926019301</c:v>
                </c:pt>
                <c:pt idx="379">
                  <c:v>168.46171466844689</c:v>
                </c:pt>
                <c:pt idx="380">
                  <c:v>168.38484229921312</c:v>
                </c:pt>
                <c:pt idx="381">
                  <c:v>168.30637878232608</c:v>
                </c:pt>
                <c:pt idx="382">
                  <c:v>168.22797783456991</c:v>
                </c:pt>
                <c:pt idx="383">
                  <c:v>168.14963830543684</c:v>
                </c:pt>
                <c:pt idx="384">
                  <c:v>168.07135907161322</c:v>
                </c:pt>
                <c:pt idx="385">
                  <c:v>167.99120124001007</c:v>
                </c:pt>
                <c:pt idx="386">
                  <c:v>167.91110442489034</c:v>
                </c:pt>
                <c:pt idx="387">
                  <c:v>167.83106750103721</c:v>
                </c:pt>
                <c:pt idx="388">
                  <c:v>167.75108936982207</c:v>
                </c:pt>
                <c:pt idx="389">
                  <c:v>167.66933348830139</c:v>
                </c:pt>
                <c:pt idx="390">
                  <c:v>167.5876368879658</c:v>
                </c:pt>
                <c:pt idx="391">
                  <c:v>167.50599847404757</c:v>
                </c:pt>
                <c:pt idx="392">
                  <c:v>167.42441717759561</c:v>
                </c:pt>
                <c:pt idx="393">
                  <c:v>167.34106164586424</c:v>
                </c:pt>
                <c:pt idx="394">
                  <c:v>167.25776364521116</c:v>
                </c:pt>
                <c:pt idx="395">
                  <c:v>167.17452211188308</c:v>
                </c:pt>
                <c:pt idx="396">
                  <c:v>167.09133600715128</c:v>
                </c:pt>
                <c:pt idx="397">
                  <c:v>167.00618675875589</c:v>
                </c:pt>
                <c:pt idx="398">
                  <c:v>166.92109353426858</c:v>
                </c:pt>
                <c:pt idx="399">
                  <c:v>166.8360552943746</c:v>
                </c:pt>
                <c:pt idx="400">
                  <c:v>166.75107102419571</c:v>
                </c:pt>
                <c:pt idx="401">
                  <c:v>166.66422315153358</c:v>
                </c:pt>
                <c:pt idx="402">
                  <c:v>166.5774296414055</c:v>
                </c:pt>
                <c:pt idx="403">
                  <c:v>166.49068948332345</c:v>
                </c:pt>
                <c:pt idx="404">
                  <c:v>166.40400169050957</c:v>
                </c:pt>
                <c:pt idx="405">
                  <c:v>166.3153577728736</c:v>
                </c:pt>
                <c:pt idx="406">
                  <c:v>166.22676665915819</c:v>
                </c:pt>
                <c:pt idx="407">
                  <c:v>166.1382273649854</c:v>
                </c:pt>
                <c:pt idx="408">
                  <c:v>166.04973892904297</c:v>
                </c:pt>
                <c:pt idx="409">
                  <c:v>165.95920214679046</c:v>
                </c:pt>
                <c:pt idx="410">
                  <c:v>165.86871669769579</c:v>
                </c:pt>
                <c:pt idx="411">
                  <c:v>165.77828162115696</c:v>
                </c:pt>
                <c:pt idx="412">
                  <c:v>165.68789597906513</c:v>
                </c:pt>
                <c:pt idx="413">
                  <c:v>165.59546520131556</c:v>
                </c:pt>
                <c:pt idx="414">
                  <c:v>165.50308425890989</c:v>
                </c:pt>
                <c:pt idx="415">
                  <c:v>165.41075221588434</c:v>
                </c:pt>
                <c:pt idx="416">
                  <c:v>165.31846815816846</c:v>
                </c:pt>
                <c:pt idx="417">
                  <c:v>165.22404694704252</c:v>
                </c:pt>
                <c:pt idx="418">
                  <c:v>165.12967415049602</c:v>
                </c:pt>
                <c:pt idx="419">
                  <c:v>165.03534885515262</c:v>
                </c:pt>
                <c:pt idx="420">
                  <c:v>164.94107016899315</c:v>
                </c:pt>
                <c:pt idx="421">
                  <c:v>164.8447520928712</c:v>
                </c:pt>
                <c:pt idx="422">
                  <c:v>164.74848089306067</c:v>
                </c:pt>
                <c:pt idx="423">
                  <c:v>164.6522556822089</c:v>
                </c:pt>
                <c:pt idx="424">
                  <c:v>164.55607559367846</c:v>
                </c:pt>
                <c:pt idx="425">
                  <c:v>164.45757478543399</c:v>
                </c:pt>
                <c:pt idx="426">
                  <c:v>164.35911956951105</c:v>
                </c:pt>
                <c:pt idx="427">
                  <c:v>164.26070907751406</c:v>
                </c:pt>
                <c:pt idx="428">
                  <c:v>164.16234246134016</c:v>
                </c:pt>
                <c:pt idx="429">
                  <c:v>164.06175256799244</c:v>
                </c:pt>
                <c:pt idx="430">
                  <c:v>163.96120686362684</c:v>
                </c:pt>
                <c:pt idx="431">
                  <c:v>163.86070450230022</c:v>
                </c:pt>
                <c:pt idx="432">
                  <c:v>163.76024465783391</c:v>
                </c:pt>
                <c:pt idx="433">
                  <c:v>163.65756405376976</c:v>
                </c:pt>
                <c:pt idx="434">
                  <c:v>163.55492621809461</c:v>
                </c:pt>
                <c:pt idx="435">
                  <c:v>163.45233032797387</c:v>
                </c:pt>
                <c:pt idx="436">
                  <c:v>163.34977557979218</c:v>
                </c:pt>
                <c:pt idx="437">
                  <c:v>163.24481413265195</c:v>
                </c:pt>
                <c:pt idx="438">
                  <c:v>163.13989416980635</c:v>
                </c:pt>
                <c:pt idx="439">
                  <c:v>163.03501488777414</c:v>
                </c:pt>
                <c:pt idx="440">
                  <c:v>162.93017550186758</c:v>
                </c:pt>
                <c:pt idx="441">
                  <c:v>162.82293193366434</c:v>
                </c:pt>
                <c:pt idx="442">
                  <c:v>162.71572853930022</c:v>
                </c:pt>
                <c:pt idx="443">
                  <c:v>162.60856453557517</c:v>
                </c:pt>
                <c:pt idx="444">
                  <c:v>162.50143915763439</c:v>
                </c:pt>
                <c:pt idx="445">
                  <c:v>162.39191188814121</c:v>
                </c:pt>
                <c:pt idx="446">
                  <c:v>162.28242346287928</c:v>
                </c:pt>
                <c:pt idx="447">
                  <c:v>162.17297311970827</c:v>
                </c:pt>
                <c:pt idx="448">
                  <c:v>162.06356011436341</c:v>
                </c:pt>
                <c:pt idx="449">
                  <c:v>161.95155988010444</c:v>
                </c:pt>
                <c:pt idx="450">
                  <c:v>161.83959727259773</c:v>
                </c:pt>
                <c:pt idx="451">
                  <c:v>161.72767154771981</c:v>
                </c:pt>
                <c:pt idx="452">
                  <c:v>161.61578197885814</c:v>
                </c:pt>
                <c:pt idx="453">
                  <c:v>161.50140101251989</c:v>
                </c:pt>
                <c:pt idx="454">
                  <c:v>161.38705637161107</c:v>
                </c:pt>
                <c:pt idx="455">
                  <c:v>161.2727473327854</c:v>
                </c:pt>
                <c:pt idx="456">
                  <c:v>161.15847318976378</c:v>
                </c:pt>
                <c:pt idx="457">
                  <c:v>161.04152256775319</c:v>
                </c:pt>
                <c:pt idx="458">
                  <c:v>160.92460707224899</c:v>
                </c:pt>
                <c:pt idx="459">
                  <c:v>160.80772599798692</c:v>
                </c:pt>
                <c:pt idx="460">
                  <c:v>160.69087865642356</c:v>
                </c:pt>
                <c:pt idx="461">
                  <c:v>160.57135683708046</c:v>
                </c:pt>
                <c:pt idx="462">
                  <c:v>160.45186892572622</c:v>
                </c:pt>
                <c:pt idx="463">
                  <c:v>160.33241423616343</c:v>
                </c:pt>
                <c:pt idx="464">
                  <c:v>160.21299209854757</c:v>
                </c:pt>
                <c:pt idx="465">
                  <c:v>160.090804027562</c:v>
                </c:pt>
                <c:pt idx="466">
                  <c:v>159.96864868312792</c:v>
                </c:pt>
                <c:pt idx="467">
                  <c:v>159.84652539747427</c:v>
                </c:pt>
                <c:pt idx="468">
                  <c:v>159.72443351885227</c:v>
                </c:pt>
                <c:pt idx="469">
                  <c:v>159.59957747402103</c:v>
                </c:pt>
                <c:pt idx="470">
                  <c:v>159.47475296111273</c:v>
                </c:pt>
                <c:pt idx="471">
                  <c:v>159.34995933176114</c:v>
                </c:pt>
                <c:pt idx="472">
                  <c:v>159.22519595327725</c:v>
                </c:pt>
                <c:pt idx="473">
                  <c:v>159.09748384919973</c:v>
                </c:pt>
                <c:pt idx="474">
                  <c:v>158.96980216419584</c:v>
                </c:pt>
                <c:pt idx="475">
                  <c:v>158.84215026747071</c:v>
                </c:pt>
                <c:pt idx="476">
                  <c:v>158.7145275436414</c:v>
                </c:pt>
                <c:pt idx="477">
                  <c:v>158.58395777166515</c:v>
                </c:pt>
                <c:pt idx="478">
                  <c:v>158.45341729303505</c:v>
                </c:pt>
                <c:pt idx="479">
                  <c:v>158.32290549571627</c:v>
                </c:pt>
                <c:pt idx="480">
                  <c:v>158.1924217828049</c:v>
                </c:pt>
                <c:pt idx="481">
                  <c:v>158.05899252725712</c:v>
                </c:pt>
                <c:pt idx="482">
                  <c:v>157.92559143452681</c:v>
                </c:pt>
                <c:pt idx="483">
                  <c:v>157.79221791245376</c:v>
                </c:pt>
                <c:pt idx="484">
                  <c:v>157.65887138371318</c:v>
                </c:pt>
                <c:pt idx="485">
                  <c:v>157.52248782901188</c:v>
                </c:pt>
                <c:pt idx="486">
                  <c:v>157.38613134617182</c:v>
                </c:pt>
                <c:pt idx="487">
                  <c:v>157.24980136280234</c:v>
                </c:pt>
                <c:pt idx="488">
                  <c:v>157.11349732108965</c:v>
                </c:pt>
                <c:pt idx="489">
                  <c:v>156.97397204438892</c:v>
                </c:pt>
                <c:pt idx="490">
                  <c:v>156.83447282205344</c:v>
                </c:pt>
                <c:pt idx="491">
                  <c:v>156.69499910046233</c:v>
                </c:pt>
                <c:pt idx="492">
                  <c:v>156.55555034038701</c:v>
                </c:pt>
                <c:pt idx="493">
                  <c:v>156.41288172142674</c:v>
                </c:pt>
                <c:pt idx="494">
                  <c:v>156.2702381414401</c:v>
                </c:pt>
                <c:pt idx="495">
                  <c:v>156.12761906705703</c:v>
                </c:pt>
                <c:pt idx="496">
                  <c:v>155.9850239791011</c:v>
                </c:pt>
                <c:pt idx="497">
                  <c:v>155.83911764093975</c:v>
                </c:pt>
                <c:pt idx="498">
                  <c:v>155.69323536825971</c:v>
                </c:pt>
                <c:pt idx="499">
                  <c:v>155.54737664842526</c:v>
                </c:pt>
                <c:pt idx="500">
                  <c:v>155.40154098283122</c:v>
                </c:pt>
                <c:pt idx="501">
                  <c:v>155.25230270351014</c:v>
                </c:pt>
                <c:pt idx="502">
                  <c:v>155.10308756095074</c:v>
                </c:pt>
                <c:pt idx="503">
                  <c:v>154.95389506395037</c:v>
                </c:pt>
                <c:pt idx="504">
                  <c:v>154.80472473520192</c:v>
                </c:pt>
                <c:pt idx="505">
                  <c:v>154.65215297562901</c:v>
                </c:pt>
                <c:pt idx="506">
                  <c:v>154.49960344627678</c:v>
                </c:pt>
                <c:pt idx="507">
                  <c:v>154.3470756791321</c:v>
                </c:pt>
                <c:pt idx="508">
                  <c:v>154.19456921994262</c:v>
                </c:pt>
                <c:pt idx="509">
                  <c:v>154.03856995139077</c:v>
                </c:pt>
                <c:pt idx="510">
                  <c:v>153.88259206501078</c:v>
                </c:pt>
                <c:pt idx="511">
                  <c:v>153.72663511697647</c:v>
                </c:pt>
                <c:pt idx="512">
                  <c:v>153.57069867712286</c:v>
                </c:pt>
                <c:pt idx="513">
                  <c:v>153.41108567882202</c:v>
                </c:pt>
                <c:pt idx="514">
                  <c:v>153.25149330292101</c:v>
                </c:pt>
                <c:pt idx="515">
                  <c:v>153.09192113031517</c:v>
                </c:pt>
                <c:pt idx="516">
                  <c:v>152.93236875552842</c:v>
                </c:pt>
                <c:pt idx="517">
                  <c:v>152.76914098214468</c:v>
                </c:pt>
                <c:pt idx="518">
                  <c:v>152.6059331178393</c:v>
                </c:pt>
                <c:pt idx="519">
                  <c:v>152.44274477056194</c:v>
                </c:pt>
                <c:pt idx="520">
                  <c:v>152.2795755618609</c:v>
                </c:pt>
                <c:pt idx="521">
                  <c:v>152.11263973942835</c:v>
                </c:pt>
                <c:pt idx="522">
                  <c:v>151.94572319467622</c:v>
                </c:pt>
                <c:pt idx="523">
                  <c:v>151.77882556442202</c:v>
                </c:pt>
                <c:pt idx="524">
                  <c:v>151.61194649909208</c:v>
                </c:pt>
                <c:pt idx="525">
                  <c:v>151.44120968444471</c:v>
                </c:pt>
                <c:pt idx="526">
                  <c:v>151.27049160910613</c:v>
                </c:pt>
                <c:pt idx="527">
                  <c:v>151.09979194089024</c:v>
                </c:pt>
                <c:pt idx="528">
                  <c:v>150.92911036126762</c:v>
                </c:pt>
                <c:pt idx="529">
                  <c:v>150.75447999405714</c:v>
                </c:pt>
                <c:pt idx="530">
                  <c:v>150.57986793386644</c:v>
                </c:pt>
                <c:pt idx="531">
                  <c:v>150.40527388197637</c:v>
                </c:pt>
                <c:pt idx="532">
                  <c:v>150.23069755341652</c:v>
                </c:pt>
                <c:pt idx="533">
                  <c:v>150.05198930979725</c:v>
                </c:pt>
                <c:pt idx="534">
                  <c:v>149.87329908063757</c:v>
                </c:pt>
                <c:pt idx="535">
                  <c:v>149.69462660313053</c:v>
                </c:pt>
                <c:pt idx="536">
                  <c:v>149.51597162838323</c:v>
                </c:pt>
                <c:pt idx="537">
                  <c:v>149.33327836179126</c:v>
                </c:pt>
                <c:pt idx="538">
                  <c:v>149.1506029185613</c:v>
                </c:pt>
                <c:pt idx="539">
                  <c:v>148.9679450758629</c:v>
                </c:pt>
                <c:pt idx="540">
                  <c:v>148.78530462493566</c:v>
                </c:pt>
                <c:pt idx="541">
                  <c:v>148.59835095597549</c:v>
                </c:pt>
                <c:pt idx="542">
                  <c:v>148.41141511469857</c:v>
                </c:pt>
                <c:pt idx="543">
                  <c:v>148.22449692125403</c:v>
                </c:pt>
                <c:pt idx="544">
                  <c:v>148.03759621012739</c:v>
                </c:pt>
                <c:pt idx="545">
                  <c:v>147.84638404503463</c:v>
                </c:pt>
                <c:pt idx="546">
                  <c:v>147.65518987585128</c:v>
                </c:pt>
                <c:pt idx="547">
                  <c:v>147.46401357022873</c:v>
                </c:pt>
                <c:pt idx="548">
                  <c:v>147.2728550104386</c:v>
                </c:pt>
                <c:pt idx="549">
                  <c:v>147.07729485788661</c:v>
                </c:pt>
                <c:pt idx="550">
                  <c:v>146.8817530777504</c:v>
                </c:pt>
                <c:pt idx="551">
                  <c:v>146.68622958986282</c:v>
                </c:pt>
                <c:pt idx="552">
                  <c:v>146.49072432902506</c:v>
                </c:pt>
                <c:pt idx="553">
                  <c:v>146.29063560173824</c:v>
                </c:pt>
                <c:pt idx="554">
                  <c:v>146.09056587852314</c:v>
                </c:pt>
                <c:pt idx="555">
                  <c:v>145.89051513662008</c:v>
                </c:pt>
                <c:pt idx="556">
                  <c:v>145.69048336867306</c:v>
                </c:pt>
                <c:pt idx="557">
                  <c:v>145.28109393522399</c:v>
                </c:pt>
                <c:pt idx="558">
                  <c:v>144.87178431020362</c:v>
                </c:pt>
                <c:pt idx="559">
                  <c:v>144.45317586853014</c:v>
                </c:pt>
                <c:pt idx="560">
                  <c:v>144.0346522945961</c:v>
                </c:pt>
                <c:pt idx="561">
                  <c:v>143.60628794253884</c:v>
                </c:pt>
                <c:pt idx="562">
                  <c:v>143.17801510636409</c:v>
                </c:pt>
                <c:pt idx="563">
                  <c:v>142.74064813039865</c:v>
                </c:pt>
                <c:pt idx="564">
                  <c:v>142.30338053927539</c:v>
                </c:pt>
                <c:pt idx="565">
                  <c:v>141.85519507896015</c:v>
                </c:pt>
                <c:pt idx="566">
                  <c:v>141.40711947778306</c:v>
                </c:pt>
                <c:pt idx="567">
                  <c:v>140.94814289551655</c:v>
                </c:pt>
                <c:pt idx="568">
                  <c:v>140.48928871793299</c:v>
                </c:pt>
                <c:pt idx="569">
                  <c:v>140.02138776030506</c:v>
                </c:pt>
                <c:pt idx="570">
                  <c:v>139.55362299471037</c:v>
                </c:pt>
                <c:pt idx="571">
                  <c:v>139.07316468606939</c:v>
                </c:pt>
                <c:pt idx="572">
                  <c:v>138.59286109882643</c:v>
                </c:pt>
                <c:pt idx="573">
                  <c:v>138.10355687495866</c:v>
                </c:pt>
                <c:pt idx="574">
                  <c:v>137.61442642151206</c:v>
                </c:pt>
                <c:pt idx="575">
                  <c:v>137.11266048182196</c:v>
                </c:pt>
                <c:pt idx="576">
                  <c:v>136.61109317501433</c:v>
                </c:pt>
                <c:pt idx="577">
                  <c:v>134.49007240087823</c:v>
                </c:pt>
                <c:pt idx="578">
                  <c:v>132.37348971141859</c:v>
                </c:pt>
                <c:pt idx="579">
                  <c:v>127.75496231153217</c:v>
                </c:pt>
                <c:pt idx="580">
                  <c:v>122.72745650048279</c:v>
                </c:pt>
                <c:pt idx="581">
                  <c:v>117.28582350578415</c:v>
                </c:pt>
                <c:pt idx="582">
                  <c:v>111.42782776718239</c:v>
                </c:pt>
                <c:pt idx="583">
                  <c:v>105.17813845725045</c:v>
                </c:pt>
                <c:pt idx="584">
                  <c:v>98.577207735390132</c:v>
                </c:pt>
                <c:pt idx="585">
                  <c:v>91.702717692970751</c:v>
                </c:pt>
                <c:pt idx="586">
                  <c:v>84.65662772879277</c:v>
                </c:pt>
                <c:pt idx="587">
                  <c:v>77.561232715169467</c:v>
                </c:pt>
                <c:pt idx="588">
                  <c:v>70.561117104780692</c:v>
                </c:pt>
                <c:pt idx="589">
                  <c:v>63.785125710106605</c:v>
                </c:pt>
                <c:pt idx="590">
                  <c:v>57.352425103317508</c:v>
                </c:pt>
                <c:pt idx="591">
                  <c:v>51.350621580358023</c:v>
                </c:pt>
                <c:pt idx="592">
                  <c:v>45.836093898613505</c:v>
                </c:pt>
                <c:pt idx="593">
                  <c:v>40.831805984692735</c:v>
                </c:pt>
                <c:pt idx="594">
                  <c:v>36.337807318884614</c:v>
                </c:pt>
                <c:pt idx="595">
                  <c:v>32.332690402976887</c:v>
                </c:pt>
                <c:pt idx="596">
                  <c:v>28.784196266283377</c:v>
                </c:pt>
                <c:pt idx="597">
                  <c:v>25.651509127820884</c:v>
                </c:pt>
                <c:pt idx="598">
                  <c:v>22.892615427982403</c:v>
                </c:pt>
                <c:pt idx="599">
                  <c:v>20.464305717061333</c:v>
                </c:pt>
                <c:pt idx="600">
                  <c:v>18.326717250125593</c:v>
                </c:pt>
              </c:numCache>
            </c:numRef>
          </c:yVal>
          <c:smooth val="0"/>
          <c:extLst>
            <c:ext xmlns:c16="http://schemas.microsoft.com/office/drawing/2014/chart" uri="{C3380CC4-5D6E-409C-BE32-E72D297353CC}">
              <c16:uniqueId val="{00000004-417B-42DD-99BF-4436D67A6013}"/>
            </c:ext>
          </c:extLst>
        </c:ser>
        <c:ser>
          <c:idx val="8"/>
          <c:order val="5"/>
          <c:tx>
            <c:strRef>
              <c:f>'IL Stability Calculations'!$AY$12</c:f>
              <c:strCache>
                <c:ptCount val="1"/>
                <c:pt idx="0">
                  <c:v>Phase (°)</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Calculations'!$AY$13:$AY$613</c:f>
              <c:numCache>
                <c:formatCode>0.00</c:formatCode>
                <c:ptCount val="601"/>
                <c:pt idx="0">
                  <c:v>97.62190217543359</c:v>
                </c:pt>
                <c:pt idx="1">
                  <c:v>96.717891339134084</c:v>
                </c:pt>
                <c:pt idx="2">
                  <c:v>95.8679242909744</c:v>
                </c:pt>
                <c:pt idx="3">
                  <c:v>95.065817712966322</c:v>
                </c:pt>
                <c:pt idx="4">
                  <c:v>94.306148023645449</c:v>
                </c:pt>
                <c:pt idx="5">
                  <c:v>93.582051956979726</c:v>
                </c:pt>
                <c:pt idx="6">
                  <c:v>92.889265958110641</c:v>
                </c:pt>
                <c:pt idx="7">
                  <c:v>92.222306580054962</c:v>
                </c:pt>
                <c:pt idx="8">
                  <c:v>91.576958711913889</c:v>
                </c:pt>
                <c:pt idx="9">
                  <c:v>90.948380695951386</c:v>
                </c:pt>
                <c:pt idx="10">
                  <c:v>90.332969896043991</c:v>
                </c:pt>
                <c:pt idx="11">
                  <c:v>89.72709736146868</c:v>
                </c:pt>
                <c:pt idx="12">
                  <c:v>89.127406593354337</c:v>
                </c:pt>
                <c:pt idx="13">
                  <c:v>88.532013887295307</c:v>
                </c:pt>
                <c:pt idx="14">
                  <c:v>87.93866692864087</c:v>
                </c:pt>
                <c:pt idx="15">
                  <c:v>87.346625626580106</c:v>
                </c:pt>
                <c:pt idx="16">
                  <c:v>86.755816732500165</c:v>
                </c:pt>
                <c:pt idx="17">
                  <c:v>86.167385410077301</c:v>
                </c:pt>
                <c:pt idx="18">
                  <c:v>85.583445188775855</c:v>
                </c:pt>
                <c:pt idx="19">
                  <c:v>85.007768086356833</c:v>
                </c:pt>
                <c:pt idx="20">
                  <c:v>84.44523927011484</c:v>
                </c:pt>
                <c:pt idx="21">
                  <c:v>83.902325953624796</c:v>
                </c:pt>
                <c:pt idx="22">
                  <c:v>83.386470944431238</c:v>
                </c:pt>
                <c:pt idx="23">
                  <c:v>82.906271181082772</c:v>
                </c:pt>
                <c:pt idx="24">
                  <c:v>82.470541919869873</c:v>
                </c:pt>
                <c:pt idx="25">
                  <c:v>82.088171891114541</c:v>
                </c:pt>
                <c:pt idx="26">
                  <c:v>81.767090299468776</c:v>
                </c:pt>
                <c:pt idx="27">
                  <c:v>81.513876715358364</c:v>
                </c:pt>
                <c:pt idx="28">
                  <c:v>81.332778056089523</c:v>
                </c:pt>
                <c:pt idx="29">
                  <c:v>81.225409038624804</c:v>
                </c:pt>
                <c:pt idx="30">
                  <c:v>81.190264657826944</c:v>
                </c:pt>
                <c:pt idx="31">
                  <c:v>81.223185612398353</c:v>
                </c:pt>
                <c:pt idx="32">
                  <c:v>81.317292732926262</c:v>
                </c:pt>
                <c:pt idx="33">
                  <c:v>81.463535727409493</c:v>
                </c:pt>
                <c:pt idx="34">
                  <c:v>81.651627304734376</c:v>
                </c:pt>
                <c:pt idx="35">
                  <c:v>81.870362454201896</c:v>
                </c:pt>
                <c:pt idx="36">
                  <c:v>82.108593663368524</c:v>
                </c:pt>
                <c:pt idx="37">
                  <c:v>82.355760157411822</c:v>
                </c:pt>
                <c:pt idx="38">
                  <c:v>82.601794374873947</c:v>
                </c:pt>
                <c:pt idx="39">
                  <c:v>82.838156795002206</c:v>
                </c:pt>
                <c:pt idx="40">
                  <c:v>83.05720833738647</c:v>
                </c:pt>
                <c:pt idx="41">
                  <c:v>83.252597912310506</c:v>
                </c:pt>
                <c:pt idx="42">
                  <c:v>83.419012713087952</c:v>
                </c:pt>
                <c:pt idx="43">
                  <c:v>83.552145389127901</c:v>
                </c:pt>
                <c:pt idx="44">
                  <c:v>83.648372045600354</c:v>
                </c:pt>
                <c:pt idx="45">
                  <c:v>83.704722721895479</c:v>
                </c:pt>
                <c:pt idx="46">
                  <c:v>83.718627981911169</c:v>
                </c:pt>
                <c:pt idx="47">
                  <c:v>83.687811259790763</c:v>
                </c:pt>
                <c:pt idx="48">
                  <c:v>83.610149143188693</c:v>
                </c:pt>
                <c:pt idx="49">
                  <c:v>83.483520720946117</c:v>
                </c:pt>
                <c:pt idx="50">
                  <c:v>83.305769946736405</c:v>
                </c:pt>
                <c:pt idx="51">
                  <c:v>83.074523085189895</c:v>
                </c:pt>
                <c:pt idx="52">
                  <c:v>82.787309516144873</c:v>
                </c:pt>
                <c:pt idx="53">
                  <c:v>82.441321979383559</c:v>
                </c:pt>
                <c:pt idx="54">
                  <c:v>82.033713170012192</c:v>
                </c:pt>
                <c:pt idx="55">
                  <c:v>81.560271137145648</c:v>
                </c:pt>
                <c:pt idx="56">
                  <c:v>81.017713606721415</c:v>
                </c:pt>
                <c:pt idx="57">
                  <c:v>80.401383984541212</c:v>
                </c:pt>
                <c:pt idx="58">
                  <c:v>79.707012820469018</c:v>
                </c:pt>
                <c:pt idx="59">
                  <c:v>78.928917009002191</c:v>
                </c:pt>
                <c:pt idx="60">
                  <c:v>78.061939806278232</c:v>
                </c:pt>
                <c:pt idx="61">
                  <c:v>77.100009354412705</c:v>
                </c:pt>
                <c:pt idx="62">
                  <c:v>76.036211483656601</c:v>
                </c:pt>
                <c:pt idx="63">
                  <c:v>74.864936508366227</c:v>
                </c:pt>
                <c:pt idx="64">
                  <c:v>73.578448726211022</c:v>
                </c:pt>
                <c:pt idx="65">
                  <c:v>72.170315617764118</c:v>
                </c:pt>
                <c:pt idx="66">
                  <c:v>70.633673507894656</c:v>
                </c:pt>
                <c:pt idx="67">
                  <c:v>68.962365511524951</c:v>
                </c:pt>
                <c:pt idx="68">
                  <c:v>67.150158990060675</c:v>
                </c:pt>
                <c:pt idx="69">
                  <c:v>65.192811658492516</c:v>
                </c:pt>
                <c:pt idx="70">
                  <c:v>63.08667296130389</c:v>
                </c:pt>
                <c:pt idx="71">
                  <c:v>60.830863769087017</c:v>
                </c:pt>
                <c:pt idx="72">
                  <c:v>58.426085033749288</c:v>
                </c:pt>
                <c:pt idx="73">
                  <c:v>55.87717966543245</c:v>
                </c:pt>
                <c:pt idx="74">
                  <c:v>53.191347813542947</c:v>
                </c:pt>
                <c:pt idx="75">
                  <c:v>50.380902631025066</c:v>
                </c:pt>
                <c:pt idx="76">
                  <c:v>47.461471634988527</c:v>
                </c:pt>
                <c:pt idx="77">
                  <c:v>44.454780812046948</c:v>
                </c:pt>
                <c:pt idx="78">
                  <c:v>41.385857991528979</c:v>
                </c:pt>
                <c:pt idx="79">
                  <c:v>38.285550066379471</c:v>
                </c:pt>
                <c:pt idx="80">
                  <c:v>35.180408074950748</c:v>
                </c:pt>
                <c:pt idx="81">
                  <c:v>32.108258128255216</c:v>
                </c:pt>
                <c:pt idx="82">
                  <c:v>29.100713479943067</c:v>
                </c:pt>
                <c:pt idx="83">
                  <c:v>26.192140597040179</c:v>
                </c:pt>
                <c:pt idx="84">
                  <c:v>23.409451109641708</c:v>
                </c:pt>
                <c:pt idx="85">
                  <c:v>20.778837377702189</c:v>
                </c:pt>
                <c:pt idx="86">
                  <c:v>18.318718742596019</c:v>
                </c:pt>
                <c:pt idx="87">
                  <c:v>16.040342993969745</c:v>
                </c:pt>
                <c:pt idx="88">
                  <c:v>13.951700729096501</c:v>
                </c:pt>
                <c:pt idx="89">
                  <c:v>12.050538167250437</c:v>
                </c:pt>
                <c:pt idx="90">
                  <c:v>10.331491645744535</c:v>
                </c:pt>
                <c:pt idx="91">
                  <c:v>8.7836445491157349</c:v>
                </c:pt>
                <c:pt idx="92">
                  <c:v>7.3930188113361908</c:v>
                </c:pt>
                <c:pt idx="93">
                  <c:v>6.1428424809574267</c:v>
                </c:pt>
                <c:pt idx="94">
                  <c:v>5.8503606036017288</c:v>
                </c:pt>
                <c:pt idx="95">
                  <c:v>5.706036074438515</c:v>
                </c:pt>
                <c:pt idx="96">
                  <c:v>5.5651743003620311</c:v>
                </c:pt>
                <c:pt idx="97">
                  <c:v>5.4244932749454051</c:v>
                </c:pt>
                <c:pt idx="98">
                  <c:v>5.2871637647714067</c:v>
                </c:pt>
                <c:pt idx="99">
                  <c:v>5.1499514206093124</c:v>
                </c:pt>
                <c:pt idx="100">
                  <c:v>5.01598290537612</c:v>
                </c:pt>
                <c:pt idx="101">
                  <c:v>4.8821717295998042</c:v>
                </c:pt>
                <c:pt idx="102">
                  <c:v>4.7514954079454981</c:v>
                </c:pt>
                <c:pt idx="103">
                  <c:v>4.6208192253645564</c:v>
                </c:pt>
                <c:pt idx="104">
                  <c:v>4.4931770221308795</c:v>
                </c:pt>
                <c:pt idx="105">
                  <c:v>4.3655749320450354</c:v>
                </c:pt>
                <c:pt idx="106">
                  <c:v>4.2409047205532602</c:v>
                </c:pt>
                <c:pt idx="107">
                  <c:v>4.1163058475289063</c:v>
                </c:pt>
                <c:pt idx="108">
                  <c:v>3.9945362202776948</c:v>
                </c:pt>
                <c:pt idx="109">
                  <c:v>3.8727794491268241</c:v>
                </c:pt>
                <c:pt idx="110">
                  <c:v>3.7537530201394418</c:v>
                </c:pt>
                <c:pt idx="111">
                  <c:v>3.6346065430076635</c:v>
                </c:pt>
                <c:pt idx="112">
                  <c:v>3.5180984484105693</c:v>
                </c:pt>
                <c:pt idx="113">
                  <c:v>3.4015008664698883</c:v>
                </c:pt>
                <c:pt idx="114">
                  <c:v>3.2874492525363337</c:v>
                </c:pt>
                <c:pt idx="115">
                  <c:v>3.1732598423119782</c:v>
                </c:pt>
                <c:pt idx="116">
                  <c:v>3.0615271525577725</c:v>
                </c:pt>
                <c:pt idx="117">
                  <c:v>2.9496110732159195</c:v>
                </c:pt>
                <c:pt idx="118">
                  <c:v>2.8400654815730206</c:v>
                </c:pt>
                <c:pt idx="119">
                  <c:v>2.7303591329111327</c:v>
                </c:pt>
                <c:pt idx="120">
                  <c:v>2.622937204715015</c:v>
                </c:pt>
                <c:pt idx="121">
                  <c:v>2.5153081143476186</c:v>
                </c:pt>
                <c:pt idx="122">
                  <c:v>2.4098805601870765</c:v>
                </c:pt>
                <c:pt idx="123">
                  <c:v>2.304141216335438</c:v>
                </c:pt>
                <c:pt idx="124">
                  <c:v>2.2005259654223153</c:v>
                </c:pt>
                <c:pt idx="125">
                  <c:v>2.0966199713626281</c:v>
                </c:pt>
                <c:pt idx="126">
                  <c:v>1.9947608785139437</c:v>
                </c:pt>
                <c:pt idx="127">
                  <c:v>1.8925708593154411</c:v>
                </c:pt>
                <c:pt idx="128">
                  <c:v>1.7923533418143904</c:v>
                </c:pt>
                <c:pt idx="129">
                  <c:v>1.6917664200840079</c:v>
                </c:pt>
                <c:pt idx="130">
                  <c:v>1.593080279302626</c:v>
                </c:pt>
                <c:pt idx="131">
                  <c:v>1.4939877825733276</c:v>
                </c:pt>
                <c:pt idx="132">
                  <c:v>1.4451331180902969</c:v>
                </c:pt>
                <c:pt idx="133">
                  <c:v>1.3967269208662856</c:v>
                </c:pt>
                <c:pt idx="134">
                  <c:v>1.3476250698896592</c:v>
                </c:pt>
                <c:pt idx="135">
                  <c:v>1.2989741414932041</c:v>
                </c:pt>
                <c:pt idx="136">
                  <c:v>1.2507648406297278</c:v>
                </c:pt>
                <c:pt idx="137">
                  <c:v>1.2029881155191049</c:v>
                </c:pt>
                <c:pt idx="138">
                  <c:v>1.1545649090072629</c:v>
                </c:pt>
                <c:pt idx="139">
                  <c:v>1.1065757401660505</c:v>
                </c:pt>
                <c:pt idx="140">
                  <c:v>1.0590116677215349</c:v>
                </c:pt>
                <c:pt idx="141">
                  <c:v>1.0118639848161877</c:v>
                </c:pt>
                <c:pt idx="142">
                  <c:v>0.96402073488533802</c:v>
                </c:pt>
                <c:pt idx="143">
                  <c:v>0.91659611227643722</c:v>
                </c:pt>
                <c:pt idx="144">
                  <c:v>0.86958149238674309</c:v>
                </c:pt>
                <c:pt idx="145">
                  <c:v>0.82296847727505451</c:v>
                </c:pt>
                <c:pt idx="146">
                  <c:v>0.77568285062352516</c:v>
                </c:pt>
                <c:pt idx="147">
                  <c:v>0.72880055950639644</c:v>
                </c:pt>
                <c:pt idx="148">
                  <c:v>0.68231330005070845</c:v>
                </c:pt>
                <c:pt idx="149">
                  <c:v>0.63621298696537565</c:v>
                </c:pt>
                <c:pt idx="150">
                  <c:v>0.58943903027557099</c:v>
                </c:pt>
                <c:pt idx="151">
                  <c:v>0.54305366888672779</c:v>
                </c:pt>
                <c:pt idx="152">
                  <c:v>0.49704891000538964</c:v>
                </c:pt>
                <c:pt idx="153">
                  <c:v>0.45141697150097571</c:v>
                </c:pt>
                <c:pt idx="154">
                  <c:v>0.4050890148977544</c:v>
                </c:pt>
                <c:pt idx="155">
                  <c:v>0.35913578806821533</c:v>
                </c:pt>
                <c:pt idx="156">
                  <c:v>0.31354958929222221</c:v>
                </c:pt>
                <c:pt idx="157">
                  <c:v>0.26832292012679204</c:v>
                </c:pt>
                <c:pt idx="158">
                  <c:v>0.22239993713421313</c:v>
                </c:pt>
                <c:pt idx="159">
                  <c:v>0.17683828174398286</c:v>
                </c:pt>
                <c:pt idx="160">
                  <c:v>0.13163053550741211</c:v>
                </c:pt>
                <c:pt idx="161">
                  <c:v>8.6769475984169731E-2</c:v>
                </c:pt>
                <c:pt idx="162">
                  <c:v>4.1231507279178459E-2</c:v>
                </c:pt>
                <c:pt idx="163">
                  <c:v>-3.9583860256584558E-3</c:v>
                </c:pt>
                <c:pt idx="164">
                  <c:v>-4.8807337673082429E-2</c:v>
                </c:pt>
                <c:pt idx="165">
                  <c:v>-9.3322292864854717E-2</c:v>
                </c:pt>
                <c:pt idx="166">
                  <c:v>-0.13855448508684276</c:v>
                </c:pt>
                <c:pt idx="167">
                  <c:v>-0.18345079446373802</c:v>
                </c:pt>
                <c:pt idx="168">
                  <c:v>-0.22801809678838936</c:v>
                </c:pt>
                <c:pt idx="169">
                  <c:v>-0.27226308597997217</c:v>
                </c:pt>
                <c:pt idx="170">
                  <c:v>-0.31713155255226866</c:v>
                </c:pt>
                <c:pt idx="171">
                  <c:v>-0.36167728725405368</c:v>
                </c:pt>
                <c:pt idx="172">
                  <c:v>-0.40590687339414444</c:v>
                </c:pt>
                <c:pt idx="173">
                  <c:v>-0.44982672041939509</c:v>
                </c:pt>
                <c:pt idx="174">
                  <c:v>-0.49453877259941237</c:v>
                </c:pt>
                <c:pt idx="175">
                  <c:v>-0.53893837814558765</c:v>
                </c:pt>
                <c:pt idx="176">
                  <c:v>-0.58303191022270084</c:v>
                </c:pt>
                <c:pt idx="177">
                  <c:v>-0.62682557337910794</c:v>
                </c:pt>
                <c:pt idx="178">
                  <c:v>-0.67139142589593348</c:v>
                </c:pt>
                <c:pt idx="179">
                  <c:v>-0.71565514797282503</c:v>
                </c:pt>
                <c:pt idx="180">
                  <c:v>-0.75962289715533871</c:v>
                </c:pt>
                <c:pt idx="181">
                  <c:v>-0.803300667919018</c:v>
                </c:pt>
                <c:pt idx="182">
                  <c:v>-0.8475593105227972</c:v>
                </c:pt>
                <c:pt idx="183">
                  <c:v>-0.89152836164464588</c:v>
                </c:pt>
                <c:pt idx="184">
                  <c:v>-0.93521369140225374</c:v>
                </c:pt>
                <c:pt idx="185">
                  <c:v>-0.97862101502056476</c:v>
                </c:pt>
                <c:pt idx="186">
                  <c:v>-1.0229362025653472</c:v>
                </c:pt>
                <c:pt idx="187">
                  <c:v>-1.0669696624876792</c:v>
                </c:pt>
                <c:pt idx="188">
                  <c:v>-1.1107271150529812</c:v>
                </c:pt>
                <c:pt idx="189">
                  <c:v>-1.1542141290850907</c:v>
                </c:pt>
                <c:pt idx="190">
                  <c:v>-1.198258431863394</c:v>
                </c:pt>
                <c:pt idx="191">
                  <c:v>-1.242033093350301</c:v>
                </c:pt>
                <c:pt idx="192">
                  <c:v>-1.2855435525861481</c:v>
                </c:pt>
                <c:pt idx="193">
                  <c:v>-1.3287951053210065</c:v>
                </c:pt>
                <c:pt idx="194">
                  <c:v>-1.3729168242585388</c:v>
                </c:pt>
                <c:pt idx="195">
                  <c:v>-1.4167767399346758</c:v>
                </c:pt>
                <c:pt idx="196">
                  <c:v>-1.4603801347130059</c:v>
                </c:pt>
                <c:pt idx="197">
                  <c:v>-1.5037321515438293</c:v>
                </c:pt>
                <c:pt idx="198">
                  <c:v>-1.547778998188619</c:v>
                </c:pt>
                <c:pt idx="199">
                  <c:v>-1.5915737697547172</c:v>
                </c:pt>
                <c:pt idx="200">
                  <c:v>-1.6351215318474601</c:v>
                </c:pt>
                <c:pt idx="201">
                  <c:v>-1.6784272167191148</c:v>
                </c:pt>
                <c:pt idx="202">
                  <c:v>-1.7224159600916096</c:v>
                </c:pt>
                <c:pt idx="203">
                  <c:v>-1.7661621352087025</c:v>
                </c:pt>
                <c:pt idx="204">
                  <c:v>-1.8096705945715144</c:v>
                </c:pt>
                <c:pt idx="205">
                  <c:v>-1.8529460633342012</c:v>
                </c:pt>
                <c:pt idx="206">
                  <c:v>-1.8970439180419021</c:v>
                </c:pt>
                <c:pt idx="207">
                  <c:v>-1.9409068851451821</c:v>
                </c:pt>
                <c:pt idx="208">
                  <c:v>-1.9845396557677191</c:v>
                </c:pt>
                <c:pt idx="209">
                  <c:v>-2.0279467979600554</c:v>
                </c:pt>
                <c:pt idx="210">
                  <c:v>-2.0723088389364364</c:v>
                </c:pt>
                <c:pt idx="211">
                  <c:v>-2.1164421536122404</c:v>
                </c:pt>
                <c:pt idx="212">
                  <c:v>-2.1603513144467854</c:v>
                </c:pt>
                <c:pt idx="213">
                  <c:v>-2.2040407736744783</c:v>
                </c:pt>
                <c:pt idx="214">
                  <c:v>-2.2483793002057553</c:v>
                </c:pt>
                <c:pt idx="215">
                  <c:v>-2.2924982687646605</c:v>
                </c:pt>
                <c:pt idx="216">
                  <c:v>-2.3364020411613922</c:v>
                </c:pt>
                <c:pt idx="217">
                  <c:v>-2.380094865094776</c:v>
                </c:pt>
                <c:pt idx="218">
                  <c:v>-2.4245700359116995</c:v>
                </c:pt>
                <c:pt idx="219">
                  <c:v>-2.4688331675259008</c:v>
                </c:pt>
                <c:pt idx="220">
                  <c:v>-2.5128884578100497</c:v>
                </c:pt>
                <c:pt idx="221">
                  <c:v>-2.5567399950702736</c:v>
                </c:pt>
                <c:pt idx="222">
                  <c:v>-2.6013626437170672</c:v>
                </c:pt>
                <c:pt idx="223">
                  <c:v>-2.6457806586198558</c:v>
                </c:pt>
                <c:pt idx="224">
                  <c:v>-2.6899980749595329</c:v>
                </c:pt>
                <c:pt idx="225">
                  <c:v>-2.7340188229040621</c:v>
                </c:pt>
                <c:pt idx="226">
                  <c:v>-2.778936584764125</c:v>
                </c:pt>
                <c:pt idx="227">
                  <c:v>-2.8236557892941221</c:v>
                </c:pt>
                <c:pt idx="228">
                  <c:v>-2.8681803461282414</c:v>
                </c:pt>
                <c:pt idx="229">
                  <c:v>-2.9125140632039859</c:v>
                </c:pt>
                <c:pt idx="230">
                  <c:v>-3.0027571247394462</c:v>
                </c:pt>
                <c:pt idx="231">
                  <c:v>-3.0475937489351281</c:v>
                </c:pt>
                <c:pt idx="232">
                  <c:v>-3.0922453792815077</c:v>
                </c:pt>
                <c:pt idx="233">
                  <c:v>-3.1377691015480593</c:v>
                </c:pt>
                <c:pt idx="234">
                  <c:v>-3.1831064528297759</c:v>
                </c:pt>
                <c:pt idx="235">
                  <c:v>-3.22826108523995</c:v>
                </c:pt>
                <c:pt idx="236">
                  <c:v>-3.2732365561852532</c:v>
                </c:pt>
                <c:pt idx="237">
                  <c:v>-3.31894351744387</c:v>
                </c:pt>
                <c:pt idx="238">
                  <c:v>-3.3644711664366298</c:v>
                </c:pt>
                <c:pt idx="239">
                  <c:v>-3.4098229958758566</c:v>
                </c:pt>
                <c:pt idx="240">
                  <c:v>-3.4550024083729909</c:v>
                </c:pt>
                <c:pt idx="241">
                  <c:v>-3.5011613628198006</c:v>
                </c:pt>
                <c:pt idx="242">
                  <c:v>-3.5471459415403217</c:v>
                </c:pt>
                <c:pt idx="243">
                  <c:v>-3.5929595381116144</c:v>
                </c:pt>
                <c:pt idx="244">
                  <c:v>-3.6386054585844363</c:v>
                </c:pt>
                <c:pt idx="245">
                  <c:v>-3.6850929853123944</c:v>
                </c:pt>
                <c:pt idx="246">
                  <c:v>-3.7314120390119569</c:v>
                </c:pt>
                <c:pt idx="247">
                  <c:v>-3.7775658846897215</c:v>
                </c:pt>
                <c:pt idx="248">
                  <c:v>-3.8235577034426171</c:v>
                </c:pt>
                <c:pt idx="249">
                  <c:v>-3.8705065107523922</c:v>
                </c:pt>
                <c:pt idx="250">
                  <c:v>-3.917291790249493</c:v>
                </c:pt>
                <c:pt idx="251">
                  <c:v>-3.9639167047673709</c:v>
                </c:pt>
                <c:pt idx="252">
                  <c:v>-4.0103843359731002</c:v>
                </c:pt>
                <c:pt idx="253">
                  <c:v>-4.057676217983186</c:v>
                </c:pt>
                <c:pt idx="254">
                  <c:v>-4.1048103359440518</c:v>
                </c:pt>
                <c:pt idx="255">
                  <c:v>-4.1517897257038783</c:v>
                </c:pt>
                <c:pt idx="256">
                  <c:v>-4.1986173455617291</c:v>
                </c:pt>
                <c:pt idx="257">
                  <c:v>-4.246503419158671</c:v>
                </c:pt>
                <c:pt idx="258">
                  <c:v>-4.2942358250925849</c:v>
                </c:pt>
                <c:pt idx="259">
                  <c:v>-4.3418175190130341</c:v>
                </c:pt>
                <c:pt idx="260">
                  <c:v>-4.3892513810760079</c:v>
                </c:pt>
                <c:pt idx="261">
                  <c:v>-4.4376133007474152</c:v>
                </c:pt>
                <c:pt idx="262">
                  <c:v>-4.4858264546424778</c:v>
                </c:pt>
                <c:pt idx="263">
                  <c:v>-4.5338936940379426</c:v>
                </c:pt>
                <c:pt idx="264">
                  <c:v>-4.5818177976150878</c:v>
                </c:pt>
                <c:pt idx="265">
                  <c:v>-4.6306617585857737</c:v>
                </c:pt>
                <c:pt idx="266">
                  <c:v>-4.6793618007532416</c:v>
                </c:pt>
                <c:pt idx="267">
                  <c:v>-4.7279206716067392</c:v>
                </c:pt>
                <c:pt idx="268">
                  <c:v>-4.7763410489417879</c:v>
                </c:pt>
                <c:pt idx="269">
                  <c:v>-4.8257901758104254</c:v>
                </c:pt>
                <c:pt idx="270">
                  <c:v>-4.8750995084868407</c:v>
                </c:pt>
                <c:pt idx="271">
                  <c:v>-4.9242717103255984</c:v>
                </c:pt>
                <c:pt idx="272">
                  <c:v>-4.9733093772460393</c:v>
                </c:pt>
                <c:pt idx="273">
                  <c:v>-5.0233669021375817</c:v>
                </c:pt>
                <c:pt idx="274">
                  <c:v>-5.0732887676959422</c:v>
                </c:pt>
                <c:pt idx="275">
                  <c:v>-5.1230775519659915</c:v>
                </c:pt>
                <c:pt idx="276">
                  <c:v>-5.1727357678751957</c:v>
                </c:pt>
                <c:pt idx="277">
                  <c:v>-5.2232916482836345</c:v>
                </c:pt>
                <c:pt idx="278">
                  <c:v>-5.2737165810139572</c:v>
                </c:pt>
                <c:pt idx="279">
                  <c:v>-5.3240130416519946</c:v>
                </c:pt>
                <c:pt idx="280">
                  <c:v>-5.3741834435760438</c:v>
                </c:pt>
                <c:pt idx="281">
                  <c:v>-5.4255841074648288</c:v>
                </c:pt>
                <c:pt idx="282">
                  <c:v>-5.4768567582958099</c:v>
                </c:pt>
                <c:pt idx="283">
                  <c:v>-5.5280038186279796</c:v>
                </c:pt>
                <c:pt idx="284">
                  <c:v>-5.5790276500879372</c:v>
                </c:pt>
                <c:pt idx="285">
                  <c:v>-5.6309362216404679</c:v>
                </c:pt>
                <c:pt idx="286">
                  <c:v>-5.6827214162496773</c:v>
                </c:pt>
                <c:pt idx="287">
                  <c:v>-5.7343855547524925</c:v>
                </c:pt>
                <c:pt idx="288">
                  <c:v>-5.7859308999677808</c:v>
                </c:pt>
                <c:pt idx="289">
                  <c:v>-5.8386881854229387</c:v>
                </c:pt>
                <c:pt idx="290">
                  <c:v>-5.8913250983558214</c:v>
                </c:pt>
                <c:pt idx="291">
                  <c:v>-5.9438439030732582</c:v>
                </c:pt>
                <c:pt idx="292">
                  <c:v>-5.9962468072898218</c:v>
                </c:pt>
                <c:pt idx="293">
                  <c:v>-6.0497429989103466</c:v>
                </c:pt>
                <c:pt idx="294">
                  <c:v>-6.1031223727874533</c:v>
                </c:pt>
                <c:pt idx="295">
                  <c:v>-6.1563871206147951</c:v>
                </c:pt>
                <c:pt idx="296">
                  <c:v>-6.2095393794670031</c:v>
                </c:pt>
                <c:pt idx="297">
                  <c:v>-6.2637780450096443</c:v>
                </c:pt>
                <c:pt idx="298">
                  <c:v>-6.317903434862103</c:v>
                </c:pt>
                <c:pt idx="299">
                  <c:v>-6.3719176678548877</c:v>
                </c:pt>
                <c:pt idx="300">
                  <c:v>-6.425822810191903</c:v>
                </c:pt>
                <c:pt idx="301">
                  <c:v>-6.4808079941624612</c:v>
                </c:pt>
                <c:pt idx="302">
                  <c:v>-6.5356834183932051</c:v>
                </c:pt>
                <c:pt idx="303">
                  <c:v>-6.5904511290142693</c:v>
                </c:pt>
                <c:pt idx="304">
                  <c:v>-6.6451131215285102</c:v>
                </c:pt>
                <c:pt idx="305">
                  <c:v>-6.7010634322096507</c:v>
                </c:pt>
                <c:pt idx="306">
                  <c:v>-6.7569066500928159</c:v>
                </c:pt>
                <c:pt idx="307">
                  <c:v>-6.8126447717074541</c:v>
                </c:pt>
                <c:pt idx="308">
                  <c:v>-6.8682797442066033</c:v>
                </c:pt>
                <c:pt idx="309">
                  <c:v>-6.9249826419744522</c:v>
                </c:pt>
                <c:pt idx="310">
                  <c:v>-6.9815819496016047</c:v>
                </c:pt>
                <c:pt idx="311">
                  <c:v>-7.038079590279267</c:v>
                </c:pt>
                <c:pt idx="312">
                  <c:v>-7.094477439862743</c:v>
                </c:pt>
                <c:pt idx="313">
                  <c:v>-7.1521492876929642</c:v>
                </c:pt>
                <c:pt idx="314">
                  <c:v>-7.2097202561328118</c:v>
                </c:pt>
                <c:pt idx="315">
                  <c:v>-7.2671922165143314</c:v>
                </c:pt>
                <c:pt idx="316">
                  <c:v>-7.3245669941796052</c:v>
                </c:pt>
                <c:pt idx="317">
                  <c:v>-7.3832090161454857</c:v>
                </c:pt>
                <c:pt idx="318">
                  <c:v>-7.4417529030466767</c:v>
                </c:pt>
                <c:pt idx="319">
                  <c:v>-7.5002004729759904</c:v>
                </c:pt>
                <c:pt idx="320">
                  <c:v>-7.5585534994377497</c:v>
                </c:pt>
                <c:pt idx="321">
                  <c:v>-7.6181675107028184</c:v>
                </c:pt>
                <c:pt idx="322">
                  <c:v>-7.6776861499471067</c:v>
                </c:pt>
                <c:pt idx="323">
                  <c:v>-7.7371111810775801</c:v>
                </c:pt>
                <c:pt idx="324">
                  <c:v>-7.7964443248524731</c:v>
                </c:pt>
                <c:pt idx="325">
                  <c:v>-7.8570326550711798</c:v>
                </c:pt>
                <c:pt idx="326">
                  <c:v>-7.9175283818827893</c:v>
                </c:pt>
                <c:pt idx="327">
                  <c:v>-7.9779332144457555</c:v>
                </c:pt>
                <c:pt idx="328">
                  <c:v>-8.0382488202361344</c:v>
                </c:pt>
                <c:pt idx="329">
                  <c:v>-8.0999171202277864</c:v>
                </c:pt>
                <c:pt idx="330">
                  <c:v>-8.1614952815146751</c:v>
                </c:pt>
                <c:pt idx="331">
                  <c:v>-8.2229849664955452</c:v>
                </c:pt>
                <c:pt idx="332">
                  <c:v>-8.2843877971031077</c:v>
                </c:pt>
                <c:pt idx="333">
                  <c:v>-8.3470351872962851</c:v>
                </c:pt>
                <c:pt idx="334">
                  <c:v>-8.4095952112246266</c:v>
                </c:pt>
                <c:pt idx="335">
                  <c:v>-8.4720694756962587</c:v>
                </c:pt>
                <c:pt idx="336">
                  <c:v>-8.5344595485616708</c:v>
                </c:pt>
                <c:pt idx="337">
                  <c:v>-8.5982930772186421</c:v>
                </c:pt>
                <c:pt idx="338">
                  <c:v>-8.6620414479834835</c:v>
                </c:pt>
                <c:pt idx="339">
                  <c:v>-8.7257062272236965</c:v>
                </c:pt>
                <c:pt idx="340">
                  <c:v>-8.7892889433749133</c:v>
                </c:pt>
                <c:pt idx="341">
                  <c:v>-8.8543093034265894</c:v>
                </c:pt>
                <c:pt idx="342">
                  <c:v>-8.9192467532361377</c:v>
                </c:pt>
                <c:pt idx="343">
                  <c:v>-8.9841028173421478</c:v>
                </c:pt>
                <c:pt idx="344">
                  <c:v>-9.0488789834292902</c:v>
                </c:pt>
                <c:pt idx="345">
                  <c:v>-9.1149866938714865</c:v>
                </c:pt>
                <c:pt idx="346">
                  <c:v>-9.1810140111255407</c:v>
                </c:pt>
                <c:pt idx="347">
                  <c:v>-9.2469624102021157</c:v>
                </c:pt>
                <c:pt idx="348">
                  <c:v>-9.312833330589342</c:v>
                </c:pt>
                <c:pt idx="349">
                  <c:v>-9.3802319909566734</c:v>
                </c:pt>
                <c:pt idx="350">
                  <c:v>-9.4475522953805182</c:v>
                </c:pt>
                <c:pt idx="351">
                  <c:v>-9.5147956822012247</c:v>
                </c:pt>
                <c:pt idx="352">
                  <c:v>-9.5819635551604563</c:v>
                </c:pt>
                <c:pt idx="353">
                  <c:v>-9.6506538615719819</c:v>
                </c:pt>
                <c:pt idx="354">
                  <c:v>-9.7192678865556275</c:v>
                </c:pt>
                <c:pt idx="355">
                  <c:v>-9.7878070305030747</c:v>
                </c:pt>
                <c:pt idx="356">
                  <c:v>-9.8562726601789734</c:v>
                </c:pt>
                <c:pt idx="357">
                  <c:v>-9.9261564518196224</c:v>
                </c:pt>
                <c:pt idx="358">
                  <c:v>-9.9959662707318842</c:v>
                </c:pt>
                <c:pt idx="359">
                  <c:v>-10.065703472684419</c:v>
                </c:pt>
                <c:pt idx="360">
                  <c:v>-10.13536938100782</c:v>
                </c:pt>
                <c:pt idx="361">
                  <c:v>-10.206647404864441</c:v>
                </c:pt>
                <c:pt idx="362">
                  <c:v>-10.277853355002406</c:v>
                </c:pt>
                <c:pt idx="363">
                  <c:v>-10.34898855353606</c:v>
                </c:pt>
                <c:pt idx="364">
                  <c:v>-10.420054290987252</c:v>
                </c:pt>
                <c:pt idx="365">
                  <c:v>-10.492628785099754</c:v>
                </c:pt>
                <c:pt idx="366">
                  <c:v>-10.565133326685697</c:v>
                </c:pt>
                <c:pt idx="367">
                  <c:v>-10.637569197899296</c:v>
                </c:pt>
                <c:pt idx="368">
                  <c:v>-10.709937650352686</c:v>
                </c:pt>
                <c:pt idx="369">
                  <c:v>-10.784007348591274</c:v>
                </c:pt>
                <c:pt idx="370">
                  <c:v>-10.8580088550124</c:v>
                </c:pt>
                <c:pt idx="371">
                  <c:v>-10.931943421467906</c:v>
                </c:pt>
                <c:pt idx="372">
                  <c:v>-11.005812270015468</c:v>
                </c:pt>
                <c:pt idx="373">
                  <c:v>-11.081279882328062</c:v>
                </c:pt>
                <c:pt idx="374">
                  <c:v>-11.156681272739462</c:v>
                </c:pt>
                <c:pt idx="375">
                  <c:v>-11.232017656877844</c:v>
                </c:pt>
                <c:pt idx="376">
                  <c:v>-11.30729022151715</c:v>
                </c:pt>
                <c:pt idx="377">
                  <c:v>-11.384352765778232</c:v>
                </c:pt>
                <c:pt idx="378">
                  <c:v>-11.461350739806988</c:v>
                </c:pt>
                <c:pt idx="379">
                  <c:v>-11.538285331553112</c:v>
                </c:pt>
                <c:pt idx="380">
                  <c:v>-11.615157700786881</c:v>
                </c:pt>
                <c:pt idx="381">
                  <c:v>-11.693621217673922</c:v>
                </c:pt>
                <c:pt idx="382">
                  <c:v>-11.772022165430087</c:v>
                </c:pt>
                <c:pt idx="383">
                  <c:v>-11.850361694563162</c:v>
                </c:pt>
                <c:pt idx="384">
                  <c:v>-11.928640928386784</c:v>
                </c:pt>
                <c:pt idx="385">
                  <c:v>-12.008798759989929</c:v>
                </c:pt>
                <c:pt idx="386">
                  <c:v>-12.08889557510966</c:v>
                </c:pt>
                <c:pt idx="387">
                  <c:v>-12.168932498962789</c:v>
                </c:pt>
                <c:pt idx="388">
                  <c:v>-12.248910630177932</c:v>
                </c:pt>
                <c:pt idx="389">
                  <c:v>-12.33066651169861</c:v>
                </c:pt>
                <c:pt idx="390">
                  <c:v>-12.4123631120342</c:v>
                </c:pt>
                <c:pt idx="391">
                  <c:v>-12.494001525952427</c:v>
                </c:pt>
                <c:pt idx="392">
                  <c:v>-12.575582822404385</c:v>
                </c:pt>
                <c:pt idx="393">
                  <c:v>-12.658938354135756</c:v>
                </c:pt>
                <c:pt idx="394">
                  <c:v>-12.742236354788844</c:v>
                </c:pt>
                <c:pt idx="395">
                  <c:v>-12.825477888116922</c:v>
                </c:pt>
                <c:pt idx="396">
                  <c:v>-12.908663992848716</c:v>
                </c:pt>
                <c:pt idx="397">
                  <c:v>-12.993813241244112</c:v>
                </c:pt>
                <c:pt idx="398">
                  <c:v>-13.078906465731421</c:v>
                </c:pt>
                <c:pt idx="399">
                  <c:v>-13.163944705625397</c:v>
                </c:pt>
                <c:pt idx="400">
                  <c:v>-13.24892897580429</c:v>
                </c:pt>
                <c:pt idx="401">
                  <c:v>-13.335776848466423</c:v>
                </c:pt>
                <c:pt idx="402">
                  <c:v>-13.422570358594498</c:v>
                </c:pt>
                <c:pt idx="403">
                  <c:v>-13.50931051667655</c:v>
                </c:pt>
                <c:pt idx="404">
                  <c:v>-13.595998309490426</c:v>
                </c:pt>
                <c:pt idx="405">
                  <c:v>-13.684642227126403</c:v>
                </c:pt>
                <c:pt idx="406">
                  <c:v>-13.773233340841813</c:v>
                </c:pt>
                <c:pt idx="407">
                  <c:v>-13.861772635014603</c:v>
                </c:pt>
                <c:pt idx="408">
                  <c:v>-13.950261070957026</c:v>
                </c:pt>
                <c:pt idx="409">
                  <c:v>-14.04079785320954</c:v>
                </c:pt>
                <c:pt idx="410">
                  <c:v>-14.131283302304212</c:v>
                </c:pt>
                <c:pt idx="411">
                  <c:v>-14.221718378843036</c:v>
                </c:pt>
                <c:pt idx="412">
                  <c:v>-14.312104020934868</c:v>
                </c:pt>
                <c:pt idx="413">
                  <c:v>-14.404534798684438</c:v>
                </c:pt>
                <c:pt idx="414">
                  <c:v>-14.496915741090106</c:v>
                </c:pt>
                <c:pt idx="415">
                  <c:v>-14.589247784115656</c:v>
                </c:pt>
                <c:pt idx="416">
                  <c:v>-14.681531841831543</c:v>
                </c:pt>
                <c:pt idx="417">
                  <c:v>-14.775953052957476</c:v>
                </c:pt>
                <c:pt idx="418">
                  <c:v>-14.870325849503985</c:v>
                </c:pt>
                <c:pt idx="419">
                  <c:v>-14.96465114484738</c:v>
                </c:pt>
                <c:pt idx="420">
                  <c:v>-15.05892983100685</c:v>
                </c:pt>
                <c:pt idx="421">
                  <c:v>-15.155247907128796</c:v>
                </c:pt>
                <c:pt idx="422">
                  <c:v>-15.251519106939327</c:v>
                </c:pt>
                <c:pt idx="423">
                  <c:v>-15.347744317791097</c:v>
                </c:pt>
                <c:pt idx="424">
                  <c:v>-15.443924406321543</c:v>
                </c:pt>
                <c:pt idx="425">
                  <c:v>-15.542425214566009</c:v>
                </c:pt>
                <c:pt idx="426">
                  <c:v>-15.640880430488949</c:v>
                </c:pt>
                <c:pt idx="427">
                  <c:v>-15.739290922485935</c:v>
                </c:pt>
                <c:pt idx="428">
                  <c:v>-15.83765753865984</c:v>
                </c:pt>
                <c:pt idx="429">
                  <c:v>-15.938247432007557</c:v>
                </c:pt>
                <c:pt idx="430">
                  <c:v>-16.038793136373158</c:v>
                </c:pt>
                <c:pt idx="431">
                  <c:v>-16.139295497699777</c:v>
                </c:pt>
                <c:pt idx="432">
                  <c:v>-16.239755342166092</c:v>
                </c:pt>
                <c:pt idx="433">
                  <c:v>-16.342435946230239</c:v>
                </c:pt>
                <c:pt idx="434">
                  <c:v>-16.445073781905393</c:v>
                </c:pt>
                <c:pt idx="435">
                  <c:v>-16.547669672026132</c:v>
                </c:pt>
                <c:pt idx="436">
                  <c:v>-16.65022442020782</c:v>
                </c:pt>
                <c:pt idx="437">
                  <c:v>-16.755185867348047</c:v>
                </c:pt>
                <c:pt idx="438">
                  <c:v>-16.860105830193646</c:v>
                </c:pt>
                <c:pt idx="439">
                  <c:v>-16.964985112225861</c:v>
                </c:pt>
                <c:pt idx="440">
                  <c:v>-17.069824498132419</c:v>
                </c:pt>
                <c:pt idx="441">
                  <c:v>-17.177068066335664</c:v>
                </c:pt>
                <c:pt idx="442">
                  <c:v>-17.284271460699784</c:v>
                </c:pt>
                <c:pt idx="443">
                  <c:v>-17.391435464424831</c:v>
                </c:pt>
                <c:pt idx="444">
                  <c:v>-17.498560842365606</c:v>
                </c:pt>
                <c:pt idx="445">
                  <c:v>-17.608088111858791</c:v>
                </c:pt>
                <c:pt idx="446">
                  <c:v>-17.717576537120721</c:v>
                </c:pt>
                <c:pt idx="447">
                  <c:v>-17.827026880291726</c:v>
                </c:pt>
                <c:pt idx="448">
                  <c:v>-17.936439885636588</c:v>
                </c:pt>
                <c:pt idx="449">
                  <c:v>-18.04844011989556</c:v>
                </c:pt>
                <c:pt idx="450">
                  <c:v>-18.160402727402271</c:v>
                </c:pt>
                <c:pt idx="451">
                  <c:v>-18.272328452280192</c:v>
                </c:pt>
                <c:pt idx="452">
                  <c:v>-18.384218021141862</c:v>
                </c:pt>
                <c:pt idx="453">
                  <c:v>-18.498598987480108</c:v>
                </c:pt>
                <c:pt idx="454">
                  <c:v>-18.612943628388933</c:v>
                </c:pt>
                <c:pt idx="455">
                  <c:v>-18.7272526672146</c:v>
                </c:pt>
                <c:pt idx="456">
                  <c:v>-18.841526810236218</c:v>
                </c:pt>
                <c:pt idx="457">
                  <c:v>-18.958477432246809</c:v>
                </c:pt>
                <c:pt idx="458">
                  <c:v>-19.075392927751011</c:v>
                </c:pt>
                <c:pt idx="459">
                  <c:v>-19.192274002013079</c:v>
                </c:pt>
                <c:pt idx="460">
                  <c:v>-19.309121343576436</c:v>
                </c:pt>
                <c:pt idx="461">
                  <c:v>-19.428643162919542</c:v>
                </c:pt>
                <c:pt idx="462">
                  <c:v>-19.548131074273783</c:v>
                </c:pt>
                <c:pt idx="463">
                  <c:v>-19.66758576383657</c:v>
                </c:pt>
                <c:pt idx="464">
                  <c:v>-19.787007901452426</c:v>
                </c:pt>
                <c:pt idx="465">
                  <c:v>-19.909195972437999</c:v>
                </c:pt>
                <c:pt idx="466">
                  <c:v>-20.031351316872076</c:v>
                </c:pt>
                <c:pt idx="467">
                  <c:v>-20.153474602525733</c:v>
                </c:pt>
                <c:pt idx="468">
                  <c:v>-20.275566481147735</c:v>
                </c:pt>
                <c:pt idx="469">
                  <c:v>-20.400422525978968</c:v>
                </c:pt>
                <c:pt idx="470">
                  <c:v>-20.525247038887272</c:v>
                </c:pt>
                <c:pt idx="471">
                  <c:v>-20.650040668238859</c:v>
                </c:pt>
                <c:pt idx="472">
                  <c:v>-20.77480404672275</c:v>
                </c:pt>
                <c:pt idx="473">
                  <c:v>-20.902516150800267</c:v>
                </c:pt>
                <c:pt idx="474">
                  <c:v>-21.030197835804159</c:v>
                </c:pt>
                <c:pt idx="475">
                  <c:v>-21.157849732529286</c:v>
                </c:pt>
                <c:pt idx="476">
                  <c:v>-21.285472456358605</c:v>
                </c:pt>
                <c:pt idx="477">
                  <c:v>-21.416042228334845</c:v>
                </c:pt>
                <c:pt idx="478">
                  <c:v>-21.546582706964955</c:v>
                </c:pt>
                <c:pt idx="479">
                  <c:v>-21.67709450428373</c:v>
                </c:pt>
                <c:pt idx="480">
                  <c:v>-21.8075782171951</c:v>
                </c:pt>
                <c:pt idx="481">
                  <c:v>-21.941007472742882</c:v>
                </c:pt>
                <c:pt idx="482">
                  <c:v>-22.074408565473192</c:v>
                </c:pt>
                <c:pt idx="483">
                  <c:v>-22.207782087546235</c:v>
                </c:pt>
                <c:pt idx="484">
                  <c:v>-22.341128616286824</c:v>
                </c:pt>
                <c:pt idx="485">
                  <c:v>-22.47751217098812</c:v>
                </c:pt>
                <c:pt idx="486">
                  <c:v>-22.613868653828177</c:v>
                </c:pt>
                <c:pt idx="487">
                  <c:v>-22.750198637197656</c:v>
                </c:pt>
                <c:pt idx="488">
                  <c:v>-22.886502678910347</c:v>
                </c:pt>
                <c:pt idx="489">
                  <c:v>-23.026027955611085</c:v>
                </c:pt>
                <c:pt idx="490">
                  <c:v>-23.165527177946558</c:v>
                </c:pt>
                <c:pt idx="491">
                  <c:v>-23.305000899537674</c:v>
                </c:pt>
                <c:pt idx="492">
                  <c:v>-23.444449659612985</c:v>
                </c:pt>
                <c:pt idx="493">
                  <c:v>-23.587118278573257</c:v>
                </c:pt>
                <c:pt idx="494">
                  <c:v>-23.729761858559897</c:v>
                </c:pt>
                <c:pt idx="495">
                  <c:v>-23.872380932942974</c:v>
                </c:pt>
                <c:pt idx="496">
                  <c:v>-24.014976020898899</c:v>
                </c:pt>
                <c:pt idx="497">
                  <c:v>-24.160882359060253</c:v>
                </c:pt>
                <c:pt idx="498">
                  <c:v>-24.306764631740293</c:v>
                </c:pt>
                <c:pt idx="499">
                  <c:v>-24.452623351574744</c:v>
                </c:pt>
                <c:pt idx="500">
                  <c:v>-24.598459017168778</c:v>
                </c:pt>
                <c:pt idx="501">
                  <c:v>-24.747697296489861</c:v>
                </c:pt>
                <c:pt idx="502">
                  <c:v>-24.89691243904926</c:v>
                </c:pt>
                <c:pt idx="503">
                  <c:v>-25.04610493604963</c:v>
                </c:pt>
                <c:pt idx="504">
                  <c:v>-25.195275264798084</c:v>
                </c:pt>
                <c:pt idx="505">
                  <c:v>-25.347847024370992</c:v>
                </c:pt>
                <c:pt idx="506">
                  <c:v>-25.50039655372322</c:v>
                </c:pt>
                <c:pt idx="507">
                  <c:v>-25.652924320867896</c:v>
                </c:pt>
                <c:pt idx="508">
                  <c:v>-25.805430780057378</c:v>
                </c:pt>
                <c:pt idx="509">
                  <c:v>-25.96143004860923</c:v>
                </c:pt>
                <c:pt idx="510">
                  <c:v>-26.117407934989217</c:v>
                </c:pt>
                <c:pt idx="511">
                  <c:v>-26.273364883023532</c:v>
                </c:pt>
                <c:pt idx="512">
                  <c:v>-26.429301322877137</c:v>
                </c:pt>
                <c:pt idx="513">
                  <c:v>-26.588914321177981</c:v>
                </c:pt>
                <c:pt idx="514">
                  <c:v>-26.748506697078994</c:v>
                </c:pt>
                <c:pt idx="515">
                  <c:v>-26.908078869684829</c:v>
                </c:pt>
                <c:pt idx="516">
                  <c:v>-27.067631244471585</c:v>
                </c:pt>
                <c:pt idx="517">
                  <c:v>-27.230859017855323</c:v>
                </c:pt>
                <c:pt idx="518">
                  <c:v>-27.394066882160701</c:v>
                </c:pt>
                <c:pt idx="519">
                  <c:v>-27.557255229438056</c:v>
                </c:pt>
                <c:pt idx="520">
                  <c:v>-27.720424438139105</c:v>
                </c:pt>
                <c:pt idx="521">
                  <c:v>-27.887360260571654</c:v>
                </c:pt>
                <c:pt idx="522">
                  <c:v>-28.054276805323781</c:v>
                </c:pt>
                <c:pt idx="523">
                  <c:v>-28.221174435577979</c:v>
                </c:pt>
                <c:pt idx="524">
                  <c:v>-28.388053500907915</c:v>
                </c:pt>
                <c:pt idx="525">
                  <c:v>-28.558790315555285</c:v>
                </c:pt>
                <c:pt idx="526">
                  <c:v>-28.729508390893869</c:v>
                </c:pt>
                <c:pt idx="527">
                  <c:v>-28.900208059109758</c:v>
                </c:pt>
                <c:pt idx="528">
                  <c:v>-29.070889638732382</c:v>
                </c:pt>
                <c:pt idx="529">
                  <c:v>-29.245520005942865</c:v>
                </c:pt>
                <c:pt idx="530">
                  <c:v>-29.420132066133561</c:v>
                </c:pt>
                <c:pt idx="531">
                  <c:v>-29.59472611802363</c:v>
                </c:pt>
                <c:pt idx="532">
                  <c:v>-29.769302446583481</c:v>
                </c:pt>
                <c:pt idx="533">
                  <c:v>-29.94801069020275</c:v>
                </c:pt>
                <c:pt idx="534">
                  <c:v>-30.126700919362435</c:v>
                </c:pt>
                <c:pt idx="535">
                  <c:v>-30.30537339686947</c:v>
                </c:pt>
                <c:pt idx="536">
                  <c:v>-30.484028371616773</c:v>
                </c:pt>
                <c:pt idx="537">
                  <c:v>-30.666721638208742</c:v>
                </c:pt>
                <c:pt idx="538">
                  <c:v>-30.849397081438696</c:v>
                </c:pt>
                <c:pt idx="539">
                  <c:v>-31.0320549241371</c:v>
                </c:pt>
                <c:pt idx="540">
                  <c:v>-31.214695375064338</c:v>
                </c:pt>
                <c:pt idx="541">
                  <c:v>-31.401649044024509</c:v>
                </c:pt>
                <c:pt idx="542">
                  <c:v>-31.588584885301429</c:v>
                </c:pt>
                <c:pt idx="543">
                  <c:v>-31.77550307874597</c:v>
                </c:pt>
                <c:pt idx="544">
                  <c:v>-31.96240378987261</c:v>
                </c:pt>
                <c:pt idx="545">
                  <c:v>-32.153615954965375</c:v>
                </c:pt>
                <c:pt idx="546">
                  <c:v>-32.344810124148722</c:v>
                </c:pt>
                <c:pt idx="547">
                  <c:v>-32.53598642977127</c:v>
                </c:pt>
                <c:pt idx="548">
                  <c:v>-32.727144989561396</c:v>
                </c:pt>
                <c:pt idx="549">
                  <c:v>-32.922705142113387</c:v>
                </c:pt>
                <c:pt idx="550">
                  <c:v>-33.118246922249597</c:v>
                </c:pt>
                <c:pt idx="551">
                  <c:v>-33.313770410137181</c:v>
                </c:pt>
                <c:pt idx="552">
                  <c:v>-33.509275670974944</c:v>
                </c:pt>
                <c:pt idx="553">
                  <c:v>-33.709364398261755</c:v>
                </c:pt>
                <c:pt idx="554">
                  <c:v>-33.909434121476863</c:v>
                </c:pt>
                <c:pt idx="555">
                  <c:v>-34.109484863379919</c:v>
                </c:pt>
                <c:pt idx="556">
                  <c:v>-34.309516631326943</c:v>
                </c:pt>
                <c:pt idx="557">
                  <c:v>-34.718906064776007</c:v>
                </c:pt>
                <c:pt idx="558">
                  <c:v>-35.128215689796377</c:v>
                </c:pt>
                <c:pt idx="559">
                  <c:v>-35.546824131469862</c:v>
                </c:pt>
                <c:pt idx="560">
                  <c:v>-35.9653477054039</c:v>
                </c:pt>
                <c:pt idx="561">
                  <c:v>-36.393712057461158</c:v>
                </c:pt>
                <c:pt idx="562">
                  <c:v>-36.821984893635914</c:v>
                </c:pt>
                <c:pt idx="563">
                  <c:v>-37.259351869601346</c:v>
                </c:pt>
                <c:pt idx="564">
                  <c:v>-37.696619460724605</c:v>
                </c:pt>
                <c:pt idx="565">
                  <c:v>-38.144804921039849</c:v>
                </c:pt>
                <c:pt idx="566">
                  <c:v>-38.592880522216944</c:v>
                </c:pt>
                <c:pt idx="567">
                  <c:v>-39.051857104483446</c:v>
                </c:pt>
                <c:pt idx="568">
                  <c:v>-39.510711282067007</c:v>
                </c:pt>
                <c:pt idx="569">
                  <c:v>-39.978612239694939</c:v>
                </c:pt>
                <c:pt idx="570">
                  <c:v>-40.446377005289634</c:v>
                </c:pt>
                <c:pt idx="571">
                  <c:v>-40.92683531393061</c:v>
                </c:pt>
                <c:pt idx="572">
                  <c:v>-41.407138901173568</c:v>
                </c:pt>
                <c:pt idx="573">
                  <c:v>-41.896443125041344</c:v>
                </c:pt>
                <c:pt idx="574">
                  <c:v>-42.385573578487936</c:v>
                </c:pt>
                <c:pt idx="575">
                  <c:v>-42.887339518178038</c:v>
                </c:pt>
                <c:pt idx="576">
                  <c:v>-43.388906824985668</c:v>
                </c:pt>
                <c:pt idx="577">
                  <c:v>-45.509927599121767</c:v>
                </c:pt>
                <c:pt idx="578">
                  <c:v>-47.626510288581414</c:v>
                </c:pt>
                <c:pt idx="579">
                  <c:v>-52.245037688467832</c:v>
                </c:pt>
                <c:pt idx="580">
                  <c:v>-57.272543499517212</c:v>
                </c:pt>
                <c:pt idx="581">
                  <c:v>-62.714176494215849</c:v>
                </c:pt>
                <c:pt idx="582">
                  <c:v>-68.572172232817607</c:v>
                </c:pt>
                <c:pt idx="583">
                  <c:v>-74.821861542749545</c:v>
                </c:pt>
                <c:pt idx="584">
                  <c:v>-81.422792264609868</c:v>
                </c:pt>
                <c:pt idx="585">
                  <c:v>-88.297282307029249</c:v>
                </c:pt>
                <c:pt idx="586">
                  <c:v>-95.34337227120723</c:v>
                </c:pt>
                <c:pt idx="587">
                  <c:v>-102.43876728483053</c:v>
                </c:pt>
                <c:pt idx="588">
                  <c:v>-109.43888289521931</c:v>
                </c:pt>
                <c:pt idx="589">
                  <c:v>-116.2148742898934</c:v>
                </c:pt>
                <c:pt idx="590">
                  <c:v>-122.6475748966825</c:v>
                </c:pt>
                <c:pt idx="591">
                  <c:v>-128.64937841964198</c:v>
                </c:pt>
                <c:pt idx="592">
                  <c:v>-134.16390610138649</c:v>
                </c:pt>
                <c:pt idx="593">
                  <c:v>-139.16819401530728</c:v>
                </c:pt>
                <c:pt idx="594">
                  <c:v>-143.66219268111539</c:v>
                </c:pt>
                <c:pt idx="595">
                  <c:v>-147.66730959702312</c:v>
                </c:pt>
                <c:pt idx="596">
                  <c:v>-151.21580373371663</c:v>
                </c:pt>
                <c:pt idx="597">
                  <c:v>-154.34849087217913</c:v>
                </c:pt>
                <c:pt idx="598">
                  <c:v>-157.10738457201759</c:v>
                </c:pt>
                <c:pt idx="599">
                  <c:v>-159.53569428293866</c:v>
                </c:pt>
                <c:pt idx="600">
                  <c:v>-161.6732827498744</c:v>
                </c:pt>
              </c:numCache>
            </c:numRef>
          </c:yVal>
          <c:smooth val="0"/>
          <c:extLst>
            <c:ext xmlns:c16="http://schemas.microsoft.com/office/drawing/2014/chart" uri="{C3380CC4-5D6E-409C-BE32-E72D297353CC}">
              <c16:uniqueId val="{00000005-417B-42DD-99BF-4436D67A6013}"/>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140"/>
          <c:min val="-1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I Limit Amp Bode Plot</a:t>
            </a:r>
          </a:p>
        </c:rich>
      </c:tx>
      <c:layout>
        <c:manualLayout>
          <c:xMode val="edge"/>
          <c:yMode val="edge"/>
          <c:x val="0.24573738419465352"/>
          <c:y val="1.8427405125765264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Calculations'!$BB$12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Calculations'!$BB$13:$BB$613</c:f>
              <c:numCache>
                <c:formatCode>0.0000</c:formatCode>
                <c:ptCount val="601"/>
                <c:pt idx="0">
                  <c:v>39.968403347465255</c:v>
                </c:pt>
                <c:pt idx="1">
                  <c:v>45.98263873402086</c:v>
                </c:pt>
                <c:pt idx="2">
                  <c:v>45.974999837935499</c:v>
                </c:pt>
                <c:pt idx="3">
                  <c:v>45.965834142691648</c:v>
                </c:pt>
                <c:pt idx="4">
                  <c:v>45.954848326454261</c:v>
                </c:pt>
                <c:pt idx="5">
                  <c:v>45.941664327109152</c:v>
                </c:pt>
                <c:pt idx="6">
                  <c:v>45.9258723289812</c:v>
                </c:pt>
                <c:pt idx="7">
                  <c:v>45.906956257092546</c:v>
                </c:pt>
                <c:pt idx="8">
                  <c:v>45.884332414826474</c:v>
                </c:pt>
                <c:pt idx="9">
                  <c:v>45.85727874422826</c:v>
                </c:pt>
                <c:pt idx="10">
                  <c:v>45.82498185616199</c:v>
                </c:pt>
                <c:pt idx="11">
                  <c:v>45.786471667808812</c:v>
                </c:pt>
                <c:pt idx="12">
                  <c:v>45.74059834973135</c:v>
                </c:pt>
                <c:pt idx="13">
                  <c:v>45.686106987049335</c:v>
                </c:pt>
                <c:pt idx="14">
                  <c:v>45.621467438610217</c:v>
                </c:pt>
                <c:pt idx="15">
                  <c:v>45.545011116200513</c:v>
                </c:pt>
                <c:pt idx="16">
                  <c:v>45.454836407849697</c:v>
                </c:pt>
                <c:pt idx="17">
                  <c:v>45.348858975578999</c:v>
                </c:pt>
                <c:pt idx="18">
                  <c:v>45.224758538444306</c:v>
                </c:pt>
                <c:pt idx="19">
                  <c:v>45.080119669382611</c:v>
                </c:pt>
                <c:pt idx="20">
                  <c:v>44.912355422388721</c:v>
                </c:pt>
                <c:pt idx="21">
                  <c:v>44.718899112571215</c:v>
                </c:pt>
                <c:pt idx="22">
                  <c:v>44.497151334917355</c:v>
                </c:pt>
                <c:pt idx="23">
                  <c:v>44.244757587500459</c:v>
                </c:pt>
                <c:pt idx="24">
                  <c:v>43.959503989487956</c:v>
                </c:pt>
                <c:pt idx="25">
                  <c:v>43.639654878950765</c:v>
                </c:pt>
                <c:pt idx="26">
                  <c:v>43.283829589585274</c:v>
                </c:pt>
                <c:pt idx="27">
                  <c:v>42.891399375527371</c:v>
                </c:pt>
                <c:pt idx="28">
                  <c:v>42.462230147532402</c:v>
                </c:pt>
                <c:pt idx="29">
                  <c:v>41.997117473087606</c:v>
                </c:pt>
                <c:pt idx="30">
                  <c:v>41.496329954533252</c:v>
                </c:pt>
                <c:pt idx="31">
                  <c:v>40.962123183745469</c:v>
                </c:pt>
                <c:pt idx="32">
                  <c:v>40.396149518263059</c:v>
                </c:pt>
                <c:pt idx="33">
                  <c:v>39.801135683359568</c:v>
                </c:pt>
                <c:pt idx="34">
                  <c:v>39.179137806917247</c:v>
                </c:pt>
                <c:pt idx="35">
                  <c:v>38.533096883321399</c:v>
                </c:pt>
                <c:pt idx="36">
                  <c:v>37.865510797921964</c:v>
                </c:pt>
                <c:pt idx="37">
                  <c:v>37.178510362571949</c:v>
                </c:pt>
                <c:pt idx="38">
                  <c:v>36.475111353179436</c:v>
                </c:pt>
                <c:pt idx="39">
                  <c:v>35.756934865619904</c:v>
                </c:pt>
                <c:pt idx="40">
                  <c:v>35.02623125106193</c:v>
                </c:pt>
                <c:pt idx="41">
                  <c:v>34.284715925414083</c:v>
                </c:pt>
                <c:pt idx="42">
                  <c:v>33.534065079671031</c:v>
                </c:pt>
                <c:pt idx="43">
                  <c:v>32.775434779471915</c:v>
                </c:pt>
                <c:pt idx="44">
                  <c:v>32.010221734165412</c:v>
                </c:pt>
                <c:pt idx="45">
                  <c:v>31.239302587787634</c:v>
                </c:pt>
                <c:pt idx="46">
                  <c:v>30.463716405273566</c:v>
                </c:pt>
                <c:pt idx="47">
                  <c:v>29.684049378755489</c:v>
                </c:pt>
                <c:pt idx="48">
                  <c:v>28.901132864659438</c:v>
                </c:pt>
                <c:pt idx="49">
                  <c:v>28.115307836473175</c:v>
                </c:pt>
                <c:pt idx="50">
                  <c:v>27.327151279688508</c:v>
                </c:pt>
                <c:pt idx="51">
                  <c:v>26.536862689873082</c:v>
                </c:pt>
                <c:pt idx="52">
                  <c:v>25.74501574269074</c:v>
                </c:pt>
                <c:pt idx="53">
                  <c:v>24.951850460106154</c:v>
                </c:pt>
                <c:pt idx="54">
                  <c:v>24.158087376992981</c:v>
                </c:pt>
                <c:pt idx="55">
                  <c:v>23.362573491740584</c:v>
                </c:pt>
                <c:pt idx="56">
                  <c:v>22.566578442113627</c:v>
                </c:pt>
                <c:pt idx="57">
                  <c:v>21.769695566875946</c:v>
                </c:pt>
                <c:pt idx="58">
                  <c:v>20.972604351324723</c:v>
                </c:pt>
                <c:pt idx="59">
                  <c:v>20.174783765860404</c:v>
                </c:pt>
                <c:pt idx="60">
                  <c:v>19.376761357688974</c:v>
                </c:pt>
                <c:pt idx="61">
                  <c:v>18.578481251352862</c:v>
                </c:pt>
                <c:pt idx="62">
                  <c:v>17.779569130422384</c:v>
                </c:pt>
                <c:pt idx="63">
                  <c:v>16.980832806139333</c:v>
                </c:pt>
                <c:pt idx="64">
                  <c:v>16.181668465513518</c:v>
                </c:pt>
                <c:pt idx="65">
                  <c:v>15.382411594729961</c:v>
                </c:pt>
                <c:pt idx="66">
                  <c:v>14.583021247998943</c:v>
                </c:pt>
                <c:pt idx="67">
                  <c:v>13.783630577365333</c:v>
                </c:pt>
                <c:pt idx="68">
                  <c:v>12.984023434039615</c:v>
                </c:pt>
                <c:pt idx="69">
                  <c:v>12.18442763739375</c:v>
                </c:pt>
                <c:pt idx="70">
                  <c:v>11.384694105042444</c:v>
                </c:pt>
                <c:pt idx="71">
                  <c:v>10.584994098711174</c:v>
                </c:pt>
                <c:pt idx="72">
                  <c:v>9.7851631555248435</c:v>
                </c:pt>
                <c:pt idx="73">
                  <c:v>8.9854041370518178</c:v>
                </c:pt>
                <c:pt idx="74">
                  <c:v>8.1855173631584535</c:v>
                </c:pt>
                <c:pt idx="75">
                  <c:v>7.3856296525815495</c:v>
                </c:pt>
                <c:pt idx="76">
                  <c:v>6.5855570007661965</c:v>
                </c:pt>
                <c:pt idx="77">
                  <c:v>5.7855560022571506</c:v>
                </c:pt>
                <c:pt idx="78">
                  <c:v>4.9855971204960321</c:v>
                </c:pt>
                <c:pt idx="79">
                  <c:v>4.1861786914233665</c:v>
                </c:pt>
                <c:pt idx="80">
                  <c:v>3.3859502981198619</c:v>
                </c:pt>
                <c:pt idx="81">
                  <c:v>2.5860315794376678</c:v>
                </c:pt>
                <c:pt idx="82">
                  <c:v>1.7858815139980639</c:v>
                </c:pt>
                <c:pt idx="83">
                  <c:v>0.98607204284556282</c:v>
                </c:pt>
                <c:pt idx="84">
                  <c:v>0.18598840832228358</c:v>
                </c:pt>
                <c:pt idx="85">
                  <c:v>-0.61391680199867715</c:v>
                </c:pt>
                <c:pt idx="86">
                  <c:v>-1.4137635068310039</c:v>
                </c:pt>
                <c:pt idx="87">
                  <c:v>-2.2139796927440707</c:v>
                </c:pt>
                <c:pt idx="88">
                  <c:v>-3.0138004470744901</c:v>
                </c:pt>
                <c:pt idx="89">
                  <c:v>-3.8138672737163875</c:v>
                </c:pt>
                <c:pt idx="90">
                  <c:v>-4.6138748803977876</c:v>
                </c:pt>
                <c:pt idx="91">
                  <c:v>-5.413889765008248</c:v>
                </c:pt>
                <c:pt idx="92">
                  <c:v>-6.213799908318693</c:v>
                </c:pt>
                <c:pt idx="93">
                  <c:v>-7.0138392500466251</c:v>
                </c:pt>
                <c:pt idx="94">
                  <c:v>-7.2137671898030575</c:v>
                </c:pt>
                <c:pt idx="95">
                  <c:v>-7.3143500601480271</c:v>
                </c:pt>
                <c:pt idx="96">
                  <c:v>-7.4137815039259278</c:v>
                </c:pt>
                <c:pt idx="97">
                  <c:v>-7.5143533198902741</c:v>
                </c:pt>
                <c:pt idx="98">
                  <c:v>-7.6137739606812849</c:v>
                </c:pt>
                <c:pt idx="99">
                  <c:v>-7.7143599942476087</c:v>
                </c:pt>
                <c:pt idx="100">
                  <c:v>-7.8137945287724389</c:v>
                </c:pt>
                <c:pt idx="101">
                  <c:v>-7.9143420028447746</c:v>
                </c:pt>
                <c:pt idx="102">
                  <c:v>-8.0137388553003888</c:v>
                </c:pt>
                <c:pt idx="103">
                  <c:v>-8.1143443839086267</c:v>
                </c:pt>
                <c:pt idx="104">
                  <c:v>-8.213797969204462</c:v>
                </c:pt>
                <c:pt idx="105">
                  <c:v>-8.3144058191742154</c:v>
                </c:pt>
                <c:pt idx="106">
                  <c:v>-8.4138616727771964</c:v>
                </c:pt>
                <c:pt idx="107">
                  <c:v>-8.5144198277105723</c:v>
                </c:pt>
                <c:pt idx="108">
                  <c:v>-8.613827117362856</c:v>
                </c:pt>
                <c:pt idx="109">
                  <c:v>-8.7143551467301492</c:v>
                </c:pt>
                <c:pt idx="110">
                  <c:v>-8.8137329961574711</c:v>
                </c:pt>
                <c:pt idx="111">
                  <c:v>-8.9143141511240334</c:v>
                </c:pt>
                <c:pt idx="112">
                  <c:v>-9.0137439169448754</c:v>
                </c:pt>
                <c:pt idx="113">
                  <c:v>-9.1143228313309361</c:v>
                </c:pt>
                <c:pt idx="114">
                  <c:v>-9.2137504074106502</c:v>
                </c:pt>
                <c:pt idx="115">
                  <c:v>-9.3143389110427108</c:v>
                </c:pt>
                <c:pt idx="116">
                  <c:v>-9.4137758579168587</c:v>
                </c:pt>
                <c:pt idx="117">
                  <c:v>-9.5143835307000462</c:v>
                </c:pt>
                <c:pt idx="118">
                  <c:v>-9.6138392101376162</c:v>
                </c:pt>
                <c:pt idx="119">
                  <c:v>-9.7144129112205668</c:v>
                </c:pt>
                <c:pt idx="120">
                  <c:v>-9.8138353922165606</c:v>
                </c:pt>
                <c:pt idx="121">
                  <c:v>-9.9143848386818387</c:v>
                </c:pt>
                <c:pt idx="122">
                  <c:v>-10.013783616948647</c:v>
                </c:pt>
                <c:pt idx="123">
                  <c:v>-10.114374475695424</c:v>
                </c:pt>
                <c:pt idx="124">
                  <c:v>-10.213813723507352</c:v>
                </c:pt>
                <c:pt idx="125">
                  <c:v>-10.314391394965538</c:v>
                </c:pt>
                <c:pt idx="126">
                  <c:v>-10.413817755568086</c:v>
                </c:pt>
                <c:pt idx="127">
                  <c:v>-10.514386608266097</c:v>
                </c:pt>
                <c:pt idx="128">
                  <c:v>-10.613804350723665</c:v>
                </c:pt>
                <c:pt idx="129">
                  <c:v>-10.714367216268121</c:v>
                </c:pt>
                <c:pt idx="130">
                  <c:v>-10.813779107729392</c:v>
                </c:pt>
                <c:pt idx="131">
                  <c:v>-10.914337407823931</c:v>
                </c:pt>
                <c:pt idx="132">
                  <c:v>-10.964183332735391</c:v>
                </c:pt>
                <c:pt idx="133">
                  <c:v>-11.013744837633507</c:v>
                </c:pt>
                <c:pt idx="134">
                  <c:v>-11.064193235646352</c:v>
                </c:pt>
                <c:pt idx="135">
                  <c:v>-11.114350316751251</c:v>
                </c:pt>
                <c:pt idx="136">
                  <c:v>-11.164219426083806</c:v>
                </c:pt>
                <c:pt idx="137">
                  <c:v>-11.213803851491026</c:v>
                </c:pt>
                <c:pt idx="138">
                  <c:v>-11.264222947999283</c:v>
                </c:pt>
                <c:pt idx="139">
                  <c:v>-11.314351064907024</c:v>
                </c:pt>
                <c:pt idx="140">
                  <c:v>-11.364191541558659</c:v>
                </c:pt>
                <c:pt idx="141">
                  <c:v>-11.413747660141979</c:v>
                </c:pt>
                <c:pt idx="142">
                  <c:v>-11.464187739218223</c:v>
                </c:pt>
                <c:pt idx="143">
                  <c:v>-11.514336597127986</c:v>
                </c:pt>
                <c:pt idx="144">
                  <c:v>-11.564197577363529</c:v>
                </c:pt>
                <c:pt idx="145">
                  <c:v>-11.613773966165873</c:v>
                </c:pt>
                <c:pt idx="146">
                  <c:v>-11.664207561029681</c:v>
                </c:pt>
                <c:pt idx="147">
                  <c:v>-11.714350009357716</c:v>
                </c:pt>
                <c:pt idx="148">
                  <c:v>-11.764204653361066</c:v>
                </c:pt>
                <c:pt idx="149">
                  <c:v>-11.813774778028815</c:v>
                </c:pt>
                <c:pt idx="150">
                  <c:v>-11.864199936982287</c:v>
                </c:pt>
                <c:pt idx="151">
                  <c:v>-11.914334046487694</c:v>
                </c:pt>
                <c:pt idx="152">
                  <c:v>-11.964180447089579</c:v>
                </c:pt>
                <c:pt idx="153">
                  <c:v>-12.013742422148612</c:v>
                </c:pt>
                <c:pt idx="154">
                  <c:v>-12.064179930965492</c:v>
                </c:pt>
                <c:pt idx="155">
                  <c:v>-12.114326248142351</c:v>
                </c:pt>
                <c:pt idx="156">
                  <c:v>-12.164184716665281</c:v>
                </c:pt>
                <c:pt idx="157">
                  <c:v>-12.213758622281103</c:v>
                </c:pt>
                <c:pt idx="158">
                  <c:v>-12.26420420079088</c:v>
                </c:pt>
                <c:pt idx="159">
                  <c:v>-12.314358494723889</c:v>
                </c:pt>
                <c:pt idx="160">
                  <c:v>-12.364224848662673</c:v>
                </c:pt>
                <c:pt idx="161">
                  <c:v>-12.413806549913854</c:v>
                </c:pt>
                <c:pt idx="162">
                  <c:v>-12.464233584705832</c:v>
                </c:pt>
                <c:pt idx="163">
                  <c:v>-12.514369548396576</c:v>
                </c:pt>
                <c:pt idx="164">
                  <c:v>-12.564217781903494</c:v>
                </c:pt>
                <c:pt idx="165">
                  <c:v>-12.613781568951508</c:v>
                </c:pt>
                <c:pt idx="166">
                  <c:v>-12.664230018326755</c:v>
                </c:pt>
                <c:pt idx="167">
                  <c:v>-12.714387150028019</c:v>
                </c:pt>
                <c:pt idx="168">
                  <c:v>-12.764256309206836</c:v>
                </c:pt>
                <c:pt idx="169">
                  <c:v>-12.813840783726064</c:v>
                </c:pt>
                <c:pt idx="170">
                  <c:v>-12.864198749095266</c:v>
                </c:pt>
                <c:pt idx="171">
                  <c:v>-12.914266437843033</c:v>
                </c:pt>
                <c:pt idx="172">
                  <c:v>-12.964047177257285</c:v>
                </c:pt>
                <c:pt idx="173">
                  <c:v>-13.013544237743337</c:v>
                </c:pt>
                <c:pt idx="174">
                  <c:v>-13.06399799194268</c:v>
                </c:pt>
                <c:pt idx="175">
                  <c:v>-13.114160367341025</c:v>
                </c:pt>
                <c:pt idx="176">
                  <c:v>-13.164034710140465</c:v>
                </c:pt>
                <c:pt idx="177">
                  <c:v>-13.213624309230308</c:v>
                </c:pt>
                <c:pt idx="178">
                  <c:v>-13.26414137228274</c:v>
                </c:pt>
                <c:pt idx="179">
                  <c:v>-13.314366326935778</c:v>
                </c:pt>
                <c:pt idx="180">
                  <c:v>-13.364302531931491</c:v>
                </c:pt>
                <c:pt idx="181">
                  <c:v>-13.413953288413536</c:v>
                </c:pt>
                <c:pt idx="182">
                  <c:v>-13.464306355814703</c:v>
                </c:pt>
                <c:pt idx="183">
                  <c:v>-13.514369202847332</c:v>
                </c:pt>
                <c:pt idx="184">
                  <c:v>-13.56414515583581</c:v>
                </c:pt>
                <c:pt idx="185">
                  <c:v>-13.613637484243759</c:v>
                </c:pt>
                <c:pt idx="186">
                  <c:v>-13.664196393161152</c:v>
                </c:pt>
                <c:pt idx="187">
                  <c:v>-13.714462710911965</c:v>
                </c:pt>
                <c:pt idx="188">
                  <c:v>-13.764439804544788</c:v>
                </c:pt>
                <c:pt idx="189">
                  <c:v>-13.814130983320199</c:v>
                </c:pt>
                <c:pt idx="190">
                  <c:v>-13.864479683034492</c:v>
                </c:pt>
                <c:pt idx="191">
                  <c:v>-13.914538212552731</c:v>
                </c:pt>
                <c:pt idx="192">
                  <c:v>-13.96430989733963</c:v>
                </c:pt>
                <c:pt idx="193">
                  <c:v>-14.013798006018842</c:v>
                </c:pt>
                <c:pt idx="194">
                  <c:v>-14.064292099665231</c:v>
                </c:pt>
                <c:pt idx="195">
                  <c:v>-14.114494349663007</c:v>
                </c:pt>
                <c:pt idx="196">
                  <c:v>-14.164408110203015</c:v>
                </c:pt>
                <c:pt idx="197">
                  <c:v>-14.214036677981509</c:v>
                </c:pt>
                <c:pt idx="198">
                  <c:v>-14.264460745781333</c:v>
                </c:pt>
                <c:pt idx="199">
                  <c:v>-14.314593776492748</c:v>
                </c:pt>
                <c:pt idx="200">
                  <c:v>-14.364439110451602</c:v>
                </c:pt>
                <c:pt idx="201">
                  <c:v>-14.414000030814339</c:v>
                </c:pt>
                <c:pt idx="202">
                  <c:v>-14.464332705380789</c:v>
                </c:pt>
                <c:pt idx="203">
                  <c:v>-14.514375393864825</c:v>
                </c:pt>
                <c:pt idx="204">
                  <c:v>-14.564131418576277</c:v>
                </c:pt>
                <c:pt idx="205">
                  <c:v>-14.613604045055766</c:v>
                </c:pt>
                <c:pt idx="206">
                  <c:v>-14.663997008098363</c:v>
                </c:pt>
                <c:pt idx="207">
                  <c:v>-14.714099291944311</c:v>
                </c:pt>
                <c:pt idx="208">
                  <c:v>-14.76391423078789</c:v>
                </c:pt>
                <c:pt idx="209">
                  <c:v>-14.813445101783795</c:v>
                </c:pt>
                <c:pt idx="210">
                  <c:v>-14.864035928281137</c:v>
                </c:pt>
                <c:pt idx="211">
                  <c:v>-14.914333795066369</c:v>
                </c:pt>
                <c:pt idx="212">
                  <c:v>-14.96434207553466</c:v>
                </c:pt>
                <c:pt idx="213">
                  <c:v>-15.014064085148418</c:v>
                </c:pt>
                <c:pt idx="214">
                  <c:v>-15.064485722798352</c:v>
                </c:pt>
                <c:pt idx="215">
                  <c:v>-15.114616351285326</c:v>
                </c:pt>
                <c:pt idx="216">
                  <c:v>-15.164459310466619</c:v>
                </c:pt>
                <c:pt idx="217">
                  <c:v>-15.214017883030957</c:v>
                </c:pt>
                <c:pt idx="218">
                  <c:v>-15.264415631564574</c:v>
                </c:pt>
                <c:pt idx="219">
                  <c:v>-15.314522645818352</c:v>
                </c:pt>
                <c:pt idx="220">
                  <c:v>-15.364342260931981</c:v>
                </c:pt>
                <c:pt idx="221">
                  <c:v>-15.413877754984565</c:v>
                </c:pt>
                <c:pt idx="222">
                  <c:v>-15.464227206264029</c:v>
                </c:pt>
                <c:pt idx="223">
                  <c:v>-15.514286478618162</c:v>
                </c:pt>
                <c:pt idx="224">
                  <c:v>-15.564058897662855</c:v>
                </c:pt>
                <c:pt idx="225">
                  <c:v>-15.613547732169517</c:v>
                </c:pt>
                <c:pt idx="226">
                  <c:v>-15.663979021047236</c:v>
                </c:pt>
                <c:pt idx="227">
                  <c:v>-15.714119189639188</c:v>
                </c:pt>
                <c:pt idx="228">
                  <c:v>-15.763971579710752</c:v>
                </c:pt>
                <c:pt idx="229">
                  <c:v>-15.813539475815661</c:v>
                </c:pt>
                <c:pt idx="230">
                  <c:v>-15.914211003649845</c:v>
                </c:pt>
                <c:pt idx="231">
                  <c:v>-15.964112569410347</c:v>
                </c:pt>
                <c:pt idx="232">
                  <c:v>-16.013729081257466</c:v>
                </c:pt>
                <c:pt idx="233">
                  <c:v>-16.064231529197595</c:v>
                </c:pt>
                <c:pt idx="234">
                  <c:v>-16.114442037083194</c:v>
                </c:pt>
                <c:pt idx="235">
                  <c:v>-16.164363960764536</c:v>
                </c:pt>
                <c:pt idx="236">
                  <c:v>-16.214000598559139</c:v>
                </c:pt>
                <c:pt idx="237">
                  <c:v>-16.264353693057892</c:v>
                </c:pt>
                <c:pt idx="238">
                  <c:v>-16.314416566722276</c:v>
                </c:pt>
                <c:pt idx="239">
                  <c:v>-16.364192545887263</c:v>
                </c:pt>
                <c:pt idx="240">
                  <c:v>-16.413684900026858</c:v>
                </c:pt>
                <c:pt idx="241">
                  <c:v>-16.464151454576516</c:v>
                </c:pt>
                <c:pt idx="242">
                  <c:v>-16.514326482690652</c:v>
                </c:pt>
                <c:pt idx="243">
                  <c:v>-16.564213333110636</c:v>
                </c:pt>
                <c:pt idx="244">
                  <c:v>-16.613815297207548</c:v>
                </c:pt>
                <c:pt idx="245">
                  <c:v>-16.664225415647497</c:v>
                </c:pt>
                <c:pt idx="246">
                  <c:v>-16.714344657423258</c:v>
                </c:pt>
                <c:pt idx="247">
                  <c:v>-16.764176360119091</c:v>
                </c:pt>
                <c:pt idx="248">
                  <c:v>-16.813723804202485</c:v>
                </c:pt>
                <c:pt idx="249">
                  <c:v>-16.86418835007861</c:v>
                </c:pt>
                <c:pt idx="250">
                  <c:v>-16.914361392643961</c:v>
                </c:pt>
                <c:pt idx="251">
                  <c:v>-16.964246280243167</c:v>
                </c:pt>
                <c:pt idx="252">
                  <c:v>-17.013846303859051</c:v>
                </c:pt>
                <c:pt idx="253">
                  <c:v>-17.064205453935344</c:v>
                </c:pt>
                <c:pt idx="254">
                  <c:v>-17.114274313540289</c:v>
                </c:pt>
                <c:pt idx="255">
                  <c:v>-17.164056210202968</c:v>
                </c:pt>
                <c:pt idx="256">
                  <c:v>-17.213554414564641</c:v>
                </c:pt>
                <c:pt idx="257">
                  <c:v>-17.264043513552121</c:v>
                </c:pt>
                <c:pt idx="258">
                  <c:v>-17.314240826308872</c:v>
                </c:pt>
                <c:pt idx="259">
                  <c:v>-17.364149706041481</c:v>
                </c:pt>
                <c:pt idx="260">
                  <c:v>-17.413773448484037</c:v>
                </c:pt>
                <c:pt idx="261">
                  <c:v>-17.464233447637394</c:v>
                </c:pt>
                <c:pt idx="262">
                  <c:v>-17.51440199583422</c:v>
                </c:pt>
                <c:pt idx="263">
                  <c:v>-17.564282440519957</c:v>
                </c:pt>
                <c:pt idx="264">
                  <c:v>-17.613878071798879</c:v>
                </c:pt>
                <c:pt idx="265">
                  <c:v>-17.664284817814298</c:v>
                </c:pt>
                <c:pt idx="266">
                  <c:v>-17.714400725939214</c:v>
                </c:pt>
                <c:pt idx="267">
                  <c:v>-17.764229133092908</c:v>
                </c:pt>
                <c:pt idx="268">
                  <c:v>-17.813773319093258</c:v>
                </c:pt>
                <c:pt idx="269">
                  <c:v>-17.864222990952136</c:v>
                </c:pt>
                <c:pt idx="270">
                  <c:v>-17.91438133078519</c:v>
                </c:pt>
                <c:pt idx="271">
                  <c:v>-17.964251683995265</c:v>
                </c:pt>
                <c:pt idx="272">
                  <c:v>-18.013837338690493</c:v>
                </c:pt>
                <c:pt idx="273">
                  <c:v>-18.064300990130334</c:v>
                </c:pt>
                <c:pt idx="274">
                  <c:v>-18.114473148526784</c:v>
                </c:pt>
                <c:pt idx="275">
                  <c:v>-18.164357162048596</c:v>
                </c:pt>
                <c:pt idx="276">
                  <c:v>-18.213956321506849</c:v>
                </c:pt>
                <c:pt idx="277">
                  <c:v>-18.264293617818822</c:v>
                </c:pt>
                <c:pt idx="278">
                  <c:v>-18.314340874793476</c:v>
                </c:pt>
                <c:pt idx="279">
                  <c:v>-18.364101415655934</c:v>
                </c:pt>
                <c:pt idx="280">
                  <c:v>-18.413578506840938</c:v>
                </c:pt>
                <c:pt idx="281">
                  <c:v>-18.464104136816243</c:v>
                </c:pt>
                <c:pt idx="282">
                  <c:v>-18.514337559356623</c:v>
                </c:pt>
                <c:pt idx="283">
                  <c:v>-18.564282134911629</c:v>
                </c:pt>
                <c:pt idx="284">
                  <c:v>-18.613941166293358</c:v>
                </c:pt>
                <c:pt idx="285">
                  <c:v>-18.664291757211849</c:v>
                </c:pt>
                <c:pt idx="286">
                  <c:v>-18.714352155999695</c:v>
                </c:pt>
                <c:pt idx="287">
                  <c:v>-18.764125688500826</c:v>
                </c:pt>
                <c:pt idx="288">
                  <c:v>-18.813615623709687</c:v>
                </c:pt>
                <c:pt idx="289">
                  <c:v>-18.864094144866087</c:v>
                </c:pt>
                <c:pt idx="290">
                  <c:v>-18.914281001646714</c:v>
                </c:pt>
                <c:pt idx="291">
                  <c:v>-18.964179545164725</c:v>
                </c:pt>
                <c:pt idx="292">
                  <c:v>-19.013793069108445</c:v>
                </c:pt>
                <c:pt idx="293">
                  <c:v>-19.064261524645211</c:v>
                </c:pt>
                <c:pt idx="294">
                  <c:v>-19.114438431773053</c:v>
                </c:pt>
                <c:pt idx="295">
                  <c:v>-19.164327139612233</c:v>
                </c:pt>
                <c:pt idx="296">
                  <c:v>-19.21393093990396</c:v>
                </c:pt>
                <c:pt idx="297">
                  <c:v>-19.264363892412536</c:v>
                </c:pt>
                <c:pt idx="298">
                  <c:v>-19.314505705372707</c:v>
                </c:pt>
                <c:pt idx="299">
                  <c:v>-19.364359720882661</c:v>
                </c:pt>
                <c:pt idx="300">
                  <c:v>-19.413929223820837</c:v>
                </c:pt>
                <c:pt idx="301">
                  <c:v>-19.464302987840295</c:v>
                </c:pt>
                <c:pt idx="302">
                  <c:v>-19.514386293307744</c:v>
                </c:pt>
                <c:pt idx="303">
                  <c:v>-19.564182470635416</c:v>
                </c:pt>
                <c:pt idx="304">
                  <c:v>-19.613694793282285</c:v>
                </c:pt>
                <c:pt idx="305">
                  <c:v>-19.664180222625504</c:v>
                </c:pt>
                <c:pt idx="306">
                  <c:v>-19.714373907971343</c:v>
                </c:pt>
                <c:pt idx="307">
                  <c:v>-19.764279201801465</c:v>
                </c:pt>
                <c:pt idx="308">
                  <c:v>-19.813899399141707</c:v>
                </c:pt>
                <c:pt idx="309">
                  <c:v>-19.864274426509112</c:v>
                </c:pt>
                <c:pt idx="310">
                  <c:v>-19.91435898078997</c:v>
                </c:pt>
                <c:pt idx="311">
                  <c:v>-19.964156392646082</c:v>
                </c:pt>
                <c:pt idx="312">
                  <c:v>-20.013669935779852</c:v>
                </c:pt>
                <c:pt idx="313">
                  <c:v>-20.064100151213538</c:v>
                </c:pt>
                <c:pt idx="314">
                  <c:v>-20.114239258593656</c:v>
                </c:pt>
                <c:pt idx="315">
                  <c:v>-20.164090599477888</c:v>
                </c:pt>
                <c:pt idx="316">
                  <c:v>-20.21365745821641</c:v>
                </c:pt>
                <c:pt idx="317">
                  <c:v>-20.264113128262512</c:v>
                </c:pt>
                <c:pt idx="318">
                  <c:v>-20.31427739715269</c:v>
                </c:pt>
                <c:pt idx="319">
                  <c:v>-20.364153611478098</c:v>
                </c:pt>
                <c:pt idx="320">
                  <c:v>-20.413745060507999</c:v>
                </c:pt>
                <c:pt idx="321">
                  <c:v>-20.464198395599258</c:v>
                </c:pt>
                <c:pt idx="322">
                  <c:v>-20.514360356423648</c:v>
                </c:pt>
                <c:pt idx="323">
                  <c:v>-20.564234289110516</c:v>
                </c:pt>
                <c:pt idx="324">
                  <c:v>-20.613823482477795</c:v>
                </c:pt>
                <c:pt idx="325">
                  <c:v>-20.664248551946201</c:v>
                </c:pt>
                <c:pt idx="326">
                  <c:v>-20.714382572587642</c:v>
                </c:pt>
                <c:pt idx="327">
                  <c:v>-20.764228884943037</c:v>
                </c:pt>
                <c:pt idx="328">
                  <c:v>-20.813790772369284</c:v>
                </c:pt>
                <c:pt idx="329">
                  <c:v>-20.864247410331323</c:v>
                </c:pt>
                <c:pt idx="330">
                  <c:v>-20.914412635980682</c:v>
                </c:pt>
                <c:pt idx="331">
                  <c:v>-20.964289796100239</c:v>
                </c:pt>
                <c:pt idx="332">
                  <c:v>-21.013882180146688</c:v>
                </c:pt>
                <c:pt idx="333">
                  <c:v>-21.064260109163975</c:v>
                </c:pt>
                <c:pt idx="334">
                  <c:v>-21.114347531709061</c:v>
                </c:pt>
                <c:pt idx="335">
                  <c:v>-21.164147779016655</c:v>
                </c:pt>
                <c:pt idx="336">
                  <c:v>-21.213664125349112</c:v>
                </c:pt>
                <c:pt idx="337">
                  <c:v>-21.264103048634965</c:v>
                </c:pt>
                <c:pt idx="338">
                  <c:v>-21.314250763599251</c:v>
                </c:pt>
                <c:pt idx="339">
                  <c:v>-21.364110613521522</c:v>
                </c:pt>
                <c:pt idx="340">
                  <c:v>-21.413685884434845</c:v>
                </c:pt>
                <c:pt idx="341">
                  <c:v>-21.464155667272689</c:v>
                </c:pt>
                <c:pt idx="342">
                  <c:v>-21.514333886372171</c:v>
                </c:pt>
                <c:pt idx="343">
                  <c:v>-21.564223891117862</c:v>
                </c:pt>
                <c:pt idx="344">
                  <c:v>-21.613828973508753</c:v>
                </c:pt>
                <c:pt idx="345">
                  <c:v>-21.664224843196124</c:v>
                </c:pt>
                <c:pt idx="346">
                  <c:v>-21.714330000052399</c:v>
                </c:pt>
                <c:pt idx="347">
                  <c:v>-21.764147778852223</c:v>
                </c:pt>
                <c:pt idx="348">
                  <c:v>-21.813681457317429</c:v>
                </c:pt>
                <c:pt idx="349">
                  <c:v>-21.8641320631395</c:v>
                </c:pt>
                <c:pt idx="350">
                  <c:v>-21.914291326108753</c:v>
                </c:pt>
                <c:pt idx="351">
                  <c:v>-21.964162591815221</c:v>
                </c:pt>
                <c:pt idx="352">
                  <c:v>-22.013749148549898</c:v>
                </c:pt>
                <c:pt idx="353">
                  <c:v>-22.064224754621744</c:v>
                </c:pt>
                <c:pt idx="354">
                  <c:v>-22.114408729857335</c:v>
                </c:pt>
                <c:pt idx="355">
                  <c:v>-22.164304424794111</c:v>
                </c:pt>
                <c:pt idx="356">
                  <c:v>-22.213915132558032</c:v>
                </c:pt>
                <c:pt idx="357">
                  <c:v>-22.264316461781096</c:v>
                </c:pt>
                <c:pt idx="358">
                  <c:v>-22.314427015357158</c:v>
                </c:pt>
                <c:pt idx="359">
                  <c:v>-22.364250129138878</c:v>
                </c:pt>
                <c:pt idx="360">
                  <c:v>-22.413789081901534</c:v>
                </c:pt>
                <c:pt idx="361">
                  <c:v>-22.464234805342464</c:v>
                </c:pt>
                <c:pt idx="362">
                  <c:v>-22.51438924214888</c:v>
                </c:pt>
                <c:pt idx="363">
                  <c:v>-22.564255736945277</c:v>
                </c:pt>
                <c:pt idx="364">
                  <c:v>-22.613837577079281</c:v>
                </c:pt>
                <c:pt idx="365">
                  <c:v>-22.664230386749821</c:v>
                </c:pt>
                <c:pt idx="366">
                  <c:v>-22.714332518780122</c:v>
                </c:pt>
                <c:pt idx="367">
                  <c:v>-22.764147307341396</c:v>
                </c:pt>
                <c:pt idx="368">
                  <c:v>-22.813678029565722</c:v>
                </c:pt>
                <c:pt idx="369">
                  <c:v>-22.864128896181594</c:v>
                </c:pt>
                <c:pt idx="370">
                  <c:v>-22.914288416931573</c:v>
                </c:pt>
                <c:pt idx="371">
                  <c:v>-22.964159937457605</c:v>
                </c:pt>
                <c:pt idx="372">
                  <c:v>-23.013746746101464</c:v>
                </c:pt>
                <c:pt idx="373">
                  <c:v>-23.064160513895228</c:v>
                </c:pt>
                <c:pt idx="374">
                  <c:v>-23.114283362909546</c:v>
                </c:pt>
                <c:pt idx="375">
                  <c:v>-23.164118631453469</c:v>
                </c:pt>
                <c:pt idx="376">
                  <c:v>-23.213669600702829</c:v>
                </c:pt>
                <c:pt idx="377">
                  <c:v>-23.264150148294167</c:v>
                </c:pt>
                <c:pt idx="378">
                  <c:v>-23.31433900809958</c:v>
                </c:pt>
                <c:pt idx="379">
                  <c:v>-23.364239531635395</c:v>
                </c:pt>
                <c:pt idx="380">
                  <c:v>-23.413855012984083</c:v>
                </c:pt>
                <c:pt idx="381">
                  <c:v>-23.464247227226775</c:v>
                </c:pt>
                <c:pt idx="382">
                  <c:v>-23.514348770672019</c:v>
                </c:pt>
                <c:pt idx="383">
                  <c:v>-23.56416297737368</c:v>
                </c:pt>
                <c:pt idx="384">
                  <c:v>-23.613693124349137</c:v>
                </c:pt>
                <c:pt idx="385">
                  <c:v>-23.664159446725883</c:v>
                </c:pt>
                <c:pt idx="386">
                  <c:v>-23.71433424520912</c:v>
                </c:pt>
                <c:pt idx="387">
                  <c:v>-23.764220868499176</c:v>
                </c:pt>
                <c:pt idx="388">
                  <c:v>-23.813822607926308</c:v>
                </c:pt>
                <c:pt idx="389">
                  <c:v>-23.864272524051305</c:v>
                </c:pt>
                <c:pt idx="390">
                  <c:v>-23.91443110524877</c:v>
                </c:pt>
                <c:pt idx="391">
                  <c:v>-23.964301696973024</c:v>
                </c:pt>
                <c:pt idx="392">
                  <c:v>-24.013887587382197</c:v>
                </c:pt>
                <c:pt idx="393">
                  <c:v>-24.064296111342554</c:v>
                </c:pt>
                <c:pt idx="394">
                  <c:v>-24.114413776858893</c:v>
                </c:pt>
                <c:pt idx="395">
                  <c:v>-24.164243921204935</c:v>
                </c:pt>
                <c:pt idx="396">
                  <c:v>-24.213789824544627</c:v>
                </c:pt>
                <c:pt idx="397">
                  <c:v>-24.264247270082357</c:v>
                </c:pt>
                <c:pt idx="398">
                  <c:v>-24.314413293973665</c:v>
                </c:pt>
                <c:pt idx="399">
                  <c:v>-24.364291243162356</c:v>
                </c:pt>
                <c:pt idx="400">
                  <c:v>-24.413884407262366</c:v>
                </c:pt>
                <c:pt idx="401">
                  <c:v>-24.464305924134322</c:v>
                </c:pt>
                <c:pt idx="402">
                  <c:v>-24.514436433033922</c:v>
                </c:pt>
                <c:pt idx="403">
                  <c:v>-24.564279273801453</c:v>
                </c:pt>
                <c:pt idx="404">
                  <c:v>-24.613837729108994</c:v>
                </c:pt>
                <c:pt idx="405">
                  <c:v>-24.66425390623759</c:v>
                </c:pt>
                <c:pt idx="406">
                  <c:v>-24.714379136848525</c:v>
                </c:pt>
                <c:pt idx="407">
                  <c:v>-24.76421675972707</c:v>
                </c:pt>
                <c:pt idx="408">
                  <c:v>-24.813770056514596</c:v>
                </c:pt>
                <c:pt idx="409">
                  <c:v>-24.864208215276676</c:v>
                </c:pt>
                <c:pt idx="410">
                  <c:v>-24.914355174489163</c:v>
                </c:pt>
                <c:pt idx="411">
                  <c:v>-24.964214277281499</c:v>
                </c:pt>
                <c:pt idx="412">
                  <c:v>-25.013788809539953</c:v>
                </c:pt>
                <c:pt idx="413">
                  <c:v>-25.064221419466712</c:v>
                </c:pt>
                <c:pt idx="414">
                  <c:v>-25.114362893725861</c:v>
                </c:pt>
                <c:pt idx="415">
                  <c:v>-25.164216574349851</c:v>
                </c:pt>
                <c:pt idx="416">
                  <c:v>-25.213785746153192</c:v>
                </c:pt>
                <c:pt idx="417">
                  <c:v>-25.264237732248777</c:v>
                </c:pt>
                <c:pt idx="418">
                  <c:v>-25.314398359570099</c:v>
                </c:pt>
                <c:pt idx="419">
                  <c:v>-25.364270973981068</c:v>
                </c:pt>
                <c:pt idx="420">
                  <c:v>-25.413858864040343</c:v>
                </c:pt>
                <c:pt idx="421">
                  <c:v>-25.464253391078348</c:v>
                </c:pt>
                <c:pt idx="422">
                  <c:v>-25.514357220701974</c:v>
                </c:pt>
                <c:pt idx="423">
                  <c:v>-25.564173687421963</c:v>
                </c:pt>
                <c:pt idx="424">
                  <c:v>-25.613706068702232</c:v>
                </c:pt>
                <c:pt idx="425">
                  <c:v>-25.664165970351334</c:v>
                </c:pt>
                <c:pt idx="426">
                  <c:v>-25.714334422056851</c:v>
                </c:pt>
                <c:pt idx="427">
                  <c:v>-25.764214771248607</c:v>
                </c:pt>
                <c:pt idx="428">
                  <c:v>-25.813810308015764</c:v>
                </c:pt>
                <c:pt idx="429">
                  <c:v>-25.864257892335672</c:v>
                </c:pt>
                <c:pt idx="430">
                  <c:v>-25.91441416856998</c:v>
                </c:pt>
                <c:pt idx="431">
                  <c:v>-25.964282481711969</c:v>
                </c:pt>
                <c:pt idx="432">
                  <c:v>-26.013866119469654</c:v>
                </c:pt>
                <c:pt idx="433">
                  <c:v>-26.064276131046299</c:v>
                </c:pt>
                <c:pt idx="434">
                  <c:v>-26.11439526705054</c:v>
                </c:pt>
                <c:pt idx="435">
                  <c:v>-26.164226865050182</c:v>
                </c:pt>
                <c:pt idx="436">
                  <c:v>-26.213774205496662</c:v>
                </c:pt>
                <c:pt idx="437">
                  <c:v>-26.264213343071674</c:v>
                </c:pt>
                <c:pt idx="438">
                  <c:v>-26.314361269820921</c:v>
                </c:pt>
                <c:pt idx="439">
                  <c:v>-26.364221329067551</c:v>
                </c:pt>
                <c:pt idx="440">
                  <c:v>-26.413796806887166</c:v>
                </c:pt>
                <c:pt idx="441">
                  <c:v>-26.464237061697364</c:v>
                </c:pt>
                <c:pt idx="442">
                  <c:v>-26.514386092817375</c:v>
                </c:pt>
                <c:pt idx="443">
                  <c:v>-26.564247243791172</c:v>
                </c:pt>
                <c:pt idx="444">
                  <c:v>-26.613823800910442</c:v>
                </c:pt>
                <c:pt idx="445">
                  <c:v>-26.66423903180376</c:v>
                </c:pt>
                <c:pt idx="446">
                  <c:v>-26.71436332705996</c:v>
                </c:pt>
                <c:pt idx="447">
                  <c:v>-26.764200025277741</c:v>
                </c:pt>
                <c:pt idx="448">
                  <c:v>-26.813752407916063</c:v>
                </c:pt>
                <c:pt idx="449">
                  <c:v>-26.864202447217028</c:v>
                </c:pt>
                <c:pt idx="450">
                  <c:v>-26.914361150157177</c:v>
                </c:pt>
                <c:pt idx="451">
                  <c:v>-26.96423186221557</c:v>
                </c:pt>
                <c:pt idx="452">
                  <c:v>-27.013817871574723</c:v>
                </c:pt>
                <c:pt idx="453">
                  <c:v>-27.06423317739992</c:v>
                </c:pt>
                <c:pt idx="454">
                  <c:v>-27.114357546724168</c:v>
                </c:pt>
                <c:pt idx="455">
                  <c:v>-27.164194318161236</c:v>
                </c:pt>
                <c:pt idx="456">
                  <c:v>-27.21374677318444</c:v>
                </c:pt>
                <c:pt idx="457">
                  <c:v>-27.26418403669183</c:v>
                </c:pt>
                <c:pt idx="458">
                  <c:v>-27.314330110947033</c:v>
                </c:pt>
                <c:pt idx="459">
                  <c:v>-27.364188338902782</c:v>
                </c:pt>
                <c:pt idx="460">
                  <c:v>-27.413762006272819</c:v>
                </c:pt>
                <c:pt idx="461">
                  <c:v>-27.46419369998495</c:v>
                </c:pt>
                <c:pt idx="462">
                  <c:v>-27.514334268567499</c:v>
                </c:pt>
                <c:pt idx="463">
                  <c:v>-27.564187053872125</c:v>
                </c:pt>
                <c:pt idx="464">
                  <c:v>-27.613755340536684</c:v>
                </c:pt>
                <c:pt idx="465">
                  <c:v>-27.664194174136302</c:v>
                </c:pt>
                <c:pt idx="466">
                  <c:v>-27.714341800405347</c:v>
                </c:pt>
                <c:pt idx="467">
                  <c:v>-27.764201562606992</c:v>
                </c:pt>
                <c:pt idx="468">
                  <c:v>-27.813776746758307</c:v>
                </c:pt>
                <c:pt idx="469">
                  <c:v>-27.864196179272355</c:v>
                </c:pt>
                <c:pt idx="470">
                  <c:v>-27.914324627789973</c:v>
                </c:pt>
                <c:pt idx="471">
                  <c:v>-27.964165431739989</c:v>
                </c:pt>
                <c:pt idx="472">
                  <c:v>-28.013721873392612</c:v>
                </c:pt>
                <c:pt idx="473">
                  <c:v>-28.064170492134242</c:v>
                </c:pt>
                <c:pt idx="474">
                  <c:v>-28.114327790870682</c:v>
                </c:pt>
                <c:pt idx="475">
                  <c:v>-28.164197114800093</c:v>
                </c:pt>
                <c:pt idx="476">
                  <c:v>-28.213781751830602</c:v>
                </c:pt>
                <c:pt idx="477">
                  <c:v>-28.264231529175156</c:v>
                </c:pt>
                <c:pt idx="478">
                  <c:v>-28.314389973171529</c:v>
                </c:pt>
                <c:pt idx="479">
                  <c:v>-28.364260429247121</c:v>
                </c:pt>
                <c:pt idx="480">
                  <c:v>-28.413846185533885</c:v>
                </c:pt>
                <c:pt idx="481">
                  <c:v>-28.464270962998526</c:v>
                </c:pt>
                <c:pt idx="482">
                  <c:v>-28.514404694945547</c:v>
                </c:pt>
                <c:pt idx="483">
                  <c:v>-28.564250721859906</c:v>
                </c:pt>
                <c:pt idx="484">
                  <c:v>-28.61381232704381</c:v>
                </c:pt>
                <c:pt idx="485">
                  <c:v>-28.664221946474747</c:v>
                </c:pt>
                <c:pt idx="486">
                  <c:v>-28.714340694837645</c:v>
                </c:pt>
                <c:pt idx="487">
                  <c:v>-28.764171909623162</c:v>
                </c:pt>
                <c:pt idx="488">
                  <c:v>-28.813718871207413</c:v>
                </c:pt>
                <c:pt idx="489">
                  <c:v>-28.864155199621241</c:v>
                </c:pt>
                <c:pt idx="490">
                  <c:v>-28.914300349544604</c:v>
                </c:pt>
                <c:pt idx="491">
                  <c:v>-28.964157663745517</c:v>
                </c:pt>
                <c:pt idx="492">
                  <c:v>-29.013730427757189</c:v>
                </c:pt>
                <c:pt idx="493">
                  <c:v>-29.064165622071712</c:v>
                </c:pt>
                <c:pt idx="494">
                  <c:v>-29.11430965095219</c:v>
                </c:pt>
                <c:pt idx="495">
                  <c:v>-29.164165856942404</c:v>
                </c:pt>
                <c:pt idx="496">
                  <c:v>-29.213737525356564</c:v>
                </c:pt>
                <c:pt idx="497">
                  <c:v>-29.264177535079394</c:v>
                </c:pt>
                <c:pt idx="498">
                  <c:v>-29.314326323926153</c:v>
                </c:pt>
                <c:pt idx="499">
                  <c:v>-29.36418723539273</c:v>
                </c:pt>
                <c:pt idx="500">
                  <c:v>-29.413763555723644</c:v>
                </c:pt>
                <c:pt idx="501">
                  <c:v>-29.464213198875214</c:v>
                </c:pt>
                <c:pt idx="502">
                  <c:v>-29.51437151022137</c:v>
                </c:pt>
                <c:pt idx="503">
                  <c:v>-29.56424183516306</c:v>
                </c:pt>
                <c:pt idx="504">
                  <c:v>-29.613827461806448</c:v>
                </c:pt>
                <c:pt idx="505">
                  <c:v>-29.664260014329411</c:v>
                </c:pt>
                <c:pt idx="506">
                  <c:v>-29.714401431830943</c:v>
                </c:pt>
                <c:pt idx="507">
                  <c:v>-29.764255056332544</c:v>
                </c:pt>
                <c:pt idx="508">
                  <c:v>-29.813824172638203</c:v>
                </c:pt>
                <c:pt idx="509">
                  <c:v>-29.864244521532811</c:v>
                </c:pt>
                <c:pt idx="510">
                  <c:v>-29.914373875879619</c:v>
                </c:pt>
                <c:pt idx="511">
                  <c:v>-29.964215575288733</c:v>
                </c:pt>
                <c:pt idx="512">
                  <c:v>-30.013772902207375</c:v>
                </c:pt>
                <c:pt idx="513">
                  <c:v>-30.064214071355373</c:v>
                </c:pt>
                <c:pt idx="514">
                  <c:v>-30.114364006276212</c:v>
                </c:pt>
                <c:pt idx="515">
                  <c:v>-30.164226050695014</c:v>
                </c:pt>
                <c:pt idx="516">
                  <c:v>-30.213803491080373</c:v>
                </c:pt>
                <c:pt idx="517">
                  <c:v>-30.264238022838008</c:v>
                </c:pt>
                <c:pt idx="518">
                  <c:v>-30.314381396787297</c:v>
                </c:pt>
                <c:pt idx="519">
                  <c:v>-30.364236955341148</c:v>
                </c:pt>
                <c:pt idx="520">
                  <c:v>-30.413807983685768</c:v>
                </c:pt>
                <c:pt idx="521">
                  <c:v>-30.464238075223903</c:v>
                </c:pt>
                <c:pt idx="522">
                  <c:v>-30.514377060069936</c:v>
                </c:pt>
                <c:pt idx="523">
                  <c:v>-30.564228279759188</c:v>
                </c:pt>
                <c:pt idx="524">
                  <c:v>-30.613795018620188</c:v>
                </c:pt>
                <c:pt idx="525">
                  <c:v>-30.664222094183017</c:v>
                </c:pt>
                <c:pt idx="526">
                  <c:v>-30.71435809777136</c:v>
                </c:pt>
                <c:pt idx="527">
                  <c:v>-30.764206370324434</c:v>
                </c:pt>
                <c:pt idx="528">
                  <c:v>-30.813770195588383</c:v>
                </c:pt>
                <c:pt idx="529">
                  <c:v>-30.864194970373656</c:v>
                </c:pt>
                <c:pt idx="530">
                  <c:v>-30.914328699667749</c:v>
                </c:pt>
                <c:pt idx="531">
                  <c:v>-30.964174723955317</c:v>
                </c:pt>
                <c:pt idx="532">
                  <c:v>-31.013736326538151</c:v>
                </c:pt>
                <c:pt idx="533">
                  <c:v>-31.06418482284543</c:v>
                </c:pt>
                <c:pt idx="534">
                  <c:v>-31.114342000551769</c:v>
                </c:pt>
                <c:pt idx="535">
                  <c:v>-31.164211204831357</c:v>
                </c:pt>
                <c:pt idx="536">
                  <c:v>-31.213795723568847</c:v>
                </c:pt>
                <c:pt idx="537">
                  <c:v>-31.264214913892051</c:v>
                </c:pt>
                <c:pt idx="538">
                  <c:v>-31.314343122999876</c:v>
                </c:pt>
                <c:pt idx="539">
                  <c:v>-31.364183690273432</c:v>
                </c:pt>
                <c:pt idx="540">
                  <c:v>-31.413739897936455</c:v>
                </c:pt>
                <c:pt idx="541">
                  <c:v>-31.464180066643564</c:v>
                </c:pt>
                <c:pt idx="542">
                  <c:v>-31.514329012640619</c:v>
                </c:pt>
                <c:pt idx="543">
                  <c:v>-31.564190079455095</c:v>
                </c:pt>
                <c:pt idx="544">
                  <c:v>-31.613766553362339</c:v>
                </c:pt>
                <c:pt idx="545">
                  <c:v>-31.664200233811503</c:v>
                </c:pt>
                <c:pt idx="546">
                  <c:v>-31.714342766251171</c:v>
                </c:pt>
                <c:pt idx="547">
                  <c:v>-31.764197492926009</c:v>
                </c:pt>
                <c:pt idx="548">
                  <c:v>-31.813767698858015</c:v>
                </c:pt>
                <c:pt idx="549">
                  <c:v>-31.86419293953124</c:v>
                </c:pt>
                <c:pt idx="550">
                  <c:v>-31.91432712934947</c:v>
                </c:pt>
                <c:pt idx="551">
                  <c:v>-31.964173608889375</c:v>
                </c:pt>
                <c:pt idx="552">
                  <c:v>-32.013735661542889</c:v>
                </c:pt>
                <c:pt idx="553">
                  <c:v>-32.064173248421064</c:v>
                </c:pt>
                <c:pt idx="554">
                  <c:v>-32.114319642314953</c:v>
                </c:pt>
                <c:pt idx="555">
                  <c:v>-32.164178186241415</c:v>
                </c:pt>
                <c:pt idx="556">
                  <c:v>-32.213752165977084</c:v>
                </c:pt>
                <c:pt idx="557">
                  <c:v>-32.314352186254808</c:v>
                </c:pt>
                <c:pt idx="558">
                  <c:v>-32.413800384259638</c:v>
                </c:pt>
                <c:pt idx="559">
                  <c:v>-32.51436352387087</c:v>
                </c:pt>
                <c:pt idx="560">
                  <c:v>-32.613775680763737</c:v>
                </c:pt>
                <c:pt idx="561">
                  <c:v>-32.714381396674156</c:v>
                </c:pt>
                <c:pt idx="562">
                  <c:v>-32.813835160627235</c:v>
                </c:pt>
                <c:pt idx="563">
                  <c:v>-32.914260943280198</c:v>
                </c:pt>
                <c:pt idx="564">
                  <c:v>-33.013538867359088</c:v>
                </c:pt>
                <c:pt idx="565">
                  <c:v>-33.114155119946219</c:v>
                </c:pt>
                <c:pt idx="566">
                  <c:v>-33.213619180647868</c:v>
                </c:pt>
                <c:pt idx="567">
                  <c:v>-33.314361315950421</c:v>
                </c:pt>
                <c:pt idx="568">
                  <c:v>-33.413948391026452</c:v>
                </c:pt>
                <c:pt idx="569">
                  <c:v>-33.514364417396777</c:v>
                </c:pt>
                <c:pt idx="570">
                  <c:v>-33.613632806935485</c:v>
                </c:pt>
                <c:pt idx="571">
                  <c:v>-33.714458140940643</c:v>
                </c:pt>
                <c:pt idx="572">
                  <c:v>-33.814126517033067</c:v>
                </c:pt>
                <c:pt idx="573">
                  <c:v>-33.91453384834</c:v>
                </c:pt>
                <c:pt idx="574">
                  <c:v>-34.013793740420809</c:v>
                </c:pt>
                <c:pt idx="575">
                  <c:v>-34.11449018183022</c:v>
                </c:pt>
                <c:pt idx="576">
                  <c:v>-34.21403260459094</c:v>
                </c:pt>
                <c:pt idx="577">
                  <c:v>-34.623254383885552</c:v>
                </c:pt>
                <c:pt idx="578">
                  <c:v>-35.014060697071422</c:v>
                </c:pt>
                <c:pt idx="579">
                  <c:v>-35.813536657395659</c:v>
                </c:pt>
                <c:pt idx="580">
                  <c:v>-36.613812953096968</c:v>
                </c:pt>
                <c:pt idx="581">
                  <c:v>-37.413771498719065</c:v>
                </c:pt>
                <c:pt idx="582">
                  <c:v>-38.21395469983127</c:v>
                </c:pt>
                <c:pt idx="583">
                  <c:v>-39.013791720206868</c:v>
                </c:pt>
                <c:pt idx="584">
                  <c:v>-39.813898277201645</c:v>
                </c:pt>
                <c:pt idx="585">
                  <c:v>-40.613822549272463</c:v>
                </c:pt>
                <c:pt idx="586">
                  <c:v>-41.413685108203893</c:v>
                </c:pt>
                <c:pt idx="587">
                  <c:v>-42.21391448695131</c:v>
                </c:pt>
                <c:pt idx="588">
                  <c:v>-43.013746209088374</c:v>
                </c:pt>
                <c:pt idx="589">
                  <c:v>-43.813822161266096</c:v>
                </c:pt>
                <c:pt idx="590">
                  <c:v>-44.613837357594512</c:v>
                </c:pt>
                <c:pt idx="591">
                  <c:v>-45.413858555029549</c:v>
                </c:pt>
                <c:pt idx="592">
                  <c:v>-46.213773948467683</c:v>
                </c:pt>
                <c:pt idx="593">
                  <c:v>-47.013817657789481</c:v>
                </c:pt>
                <c:pt idx="594">
                  <c:v>-47.813776568937804</c:v>
                </c:pt>
                <c:pt idx="595">
                  <c:v>-48.613812179140353</c:v>
                </c:pt>
                <c:pt idx="596">
                  <c:v>-49.413763432701515</c:v>
                </c:pt>
                <c:pt idx="597">
                  <c:v>-50.213803388755991</c:v>
                </c:pt>
                <c:pt idx="598">
                  <c:v>-51.013736241427083</c:v>
                </c:pt>
                <c:pt idx="599">
                  <c:v>-51.813767628066245</c:v>
                </c:pt>
                <c:pt idx="600">
                  <c:v>-52.613775621881771</c:v>
                </c:pt>
              </c:numCache>
            </c:numRef>
          </c:yVal>
          <c:smooth val="1"/>
          <c:extLst>
            <c:ext xmlns:c16="http://schemas.microsoft.com/office/drawing/2014/chart" uri="{C3380CC4-5D6E-409C-BE32-E72D297353CC}">
              <c16:uniqueId val="{00000000-ED2D-411C-BFB4-2F790B838F13}"/>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'IL Stability Calculations'!$BC$12</c:f>
              <c:strCache>
                <c:ptCount val="1"/>
                <c:pt idx="0">
                  <c:v>Phase(Deg)</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Calculations'!$BC$13:$BC$613</c:f>
              <c:numCache>
                <c:formatCode>0.0000</c:formatCode>
                <c:ptCount val="601"/>
                <c:pt idx="0">
                  <c:v>-4.8841351916767142</c:v>
                </c:pt>
                <c:pt idx="1">
                  <c:v>-5.3528359699078729</c:v>
                </c:pt>
                <c:pt idx="2">
                  <c:v>-5.8658802118175419</c:v>
                </c:pt>
                <c:pt idx="3">
                  <c:v>-6.4273004392003745</c:v>
                </c:pt>
                <c:pt idx="4">
                  <c:v>-7.0410191959675101</c:v>
                </c:pt>
                <c:pt idx="5">
                  <c:v>-7.7127437241130394</c:v>
                </c:pt>
                <c:pt idx="6">
                  <c:v>-8.4465435571671321</c:v>
                </c:pt>
                <c:pt idx="7">
                  <c:v>-9.2481663893025274</c:v>
                </c:pt>
                <c:pt idx="8">
                  <c:v>-10.122562498602841</c:v>
                </c:pt>
                <c:pt idx="9">
                  <c:v>-11.076176358642543</c:v>
                </c:pt>
                <c:pt idx="10">
                  <c:v>-12.114446801071441</c:v>
                </c:pt>
                <c:pt idx="11">
                  <c:v>-13.24355514918804</c:v>
                </c:pt>
                <c:pt idx="12">
                  <c:v>-14.4702119544312</c:v>
                </c:pt>
                <c:pt idx="13">
                  <c:v>-15.799123603918868</c:v>
                </c:pt>
                <c:pt idx="14">
                  <c:v>-17.236851101588183</c:v>
                </c:pt>
                <c:pt idx="15">
                  <c:v>-18.787803689854229</c:v>
                </c:pt>
                <c:pt idx="16">
                  <c:v>-20.456124133114489</c:v>
                </c:pt>
                <c:pt idx="17">
                  <c:v>-22.244348208422988</c:v>
                </c:pt>
                <c:pt idx="18">
                  <c:v>-24.154186727273093</c:v>
                </c:pt>
                <c:pt idx="19">
                  <c:v>-26.184318053239313</c:v>
                </c:pt>
                <c:pt idx="20">
                  <c:v>-28.331932564567925</c:v>
                </c:pt>
                <c:pt idx="21">
                  <c:v>-30.590639786799962</c:v>
                </c:pt>
                <c:pt idx="22">
                  <c:v>-32.951977809542988</c:v>
                </c:pt>
                <c:pt idx="23">
                  <c:v>-35.403307749831257</c:v>
                </c:pt>
                <c:pt idx="24">
                  <c:v>-37.930162796570322</c:v>
                </c:pt>
                <c:pt idx="25">
                  <c:v>-40.51432594873522</c:v>
                </c:pt>
                <c:pt idx="26">
                  <c:v>-43.136337196652491</c:v>
                </c:pt>
                <c:pt idx="27">
                  <c:v>-45.773773128103301</c:v>
                </c:pt>
                <c:pt idx="28">
                  <c:v>-48.404486225304566</c:v>
                </c:pt>
                <c:pt idx="29">
                  <c:v>-51.004905992143826</c:v>
                </c:pt>
                <c:pt idx="30">
                  <c:v>-53.558617286307573</c:v>
                </c:pt>
                <c:pt idx="31">
                  <c:v>-56.043166916959059</c:v>
                </c:pt>
                <c:pt idx="32">
                  <c:v>-58.443962642043047</c:v>
                </c:pt>
                <c:pt idx="33">
                  <c:v>-60.745977034400802</c:v>
                </c:pt>
                <c:pt idx="34">
                  <c:v>-62.940761293405252</c:v>
                </c:pt>
                <c:pt idx="35">
                  <c:v>-65.019886973377808</c:v>
                </c:pt>
                <c:pt idx="36">
                  <c:v>-66.979407788343934</c:v>
                </c:pt>
                <c:pt idx="37">
                  <c:v>-68.818536113538627</c:v>
                </c:pt>
                <c:pt idx="38">
                  <c:v>-70.535922522589061</c:v>
                </c:pt>
                <c:pt idx="39">
                  <c:v>-72.13515272723798</c:v>
                </c:pt>
                <c:pt idx="40">
                  <c:v>-73.619133992762983</c:v>
                </c:pt>
                <c:pt idx="41">
                  <c:v>-74.992589759895054</c:v>
                </c:pt>
                <c:pt idx="42">
                  <c:v>-76.260653734326127</c:v>
                </c:pt>
                <c:pt idx="43">
                  <c:v>-77.429454428114838</c:v>
                </c:pt>
                <c:pt idx="44">
                  <c:v>-78.504675239995066</c:v>
                </c:pt>
                <c:pt idx="45">
                  <c:v>-79.492610786087766</c:v>
                </c:pt>
                <c:pt idx="46">
                  <c:v>-80.399081519188329</c:v>
                </c:pt>
                <c:pt idx="47">
                  <c:v>-81.230148840808596</c:v>
                </c:pt>
                <c:pt idx="48">
                  <c:v>-81.991255826053319</c:v>
                </c:pt>
                <c:pt idx="49">
                  <c:v>-82.68797730111946</c:v>
                </c:pt>
                <c:pt idx="50">
                  <c:v>-83.325281304586909</c:v>
                </c:pt>
                <c:pt idx="51">
                  <c:v>-83.908077782687414</c:v>
                </c:pt>
                <c:pt idx="52">
                  <c:v>-84.440636209023282</c:v>
                </c:pt>
                <c:pt idx="53">
                  <c:v>-84.927141912370516</c:v>
                </c:pt>
                <c:pt idx="54">
                  <c:v>-85.371188163399495</c:v>
                </c:pt>
                <c:pt idx="55">
                  <c:v>-85.777063162885426</c:v>
                </c:pt>
                <c:pt idx="56">
                  <c:v>-86.147444866249344</c:v>
                </c:pt>
                <c:pt idx="57">
                  <c:v>-86.48561145945871</c:v>
                </c:pt>
                <c:pt idx="58">
                  <c:v>-86.794103539713035</c:v>
                </c:pt>
                <c:pt idx="59">
                  <c:v>-87.07571031533827</c:v>
                </c:pt>
                <c:pt idx="60">
                  <c:v>-87.332603393598646</c:v>
                </c:pt>
                <c:pt idx="61">
                  <c:v>-87.566971317810854</c:v>
                </c:pt>
                <c:pt idx="62">
                  <c:v>-87.780885669366597</c:v>
                </c:pt>
                <c:pt idx="63">
                  <c:v>-87.975934269667704</c:v>
                </c:pt>
                <c:pt idx="64">
                  <c:v>-88.153917072783813</c:v>
                </c:pt>
                <c:pt idx="65">
                  <c:v>-88.316257296165617</c:v>
                </c:pt>
                <c:pt idx="66">
                  <c:v>-88.464337788812969</c:v>
                </c:pt>
                <c:pt idx="67">
                  <c:v>-88.599389363582929</c:v>
                </c:pt>
                <c:pt idx="68">
                  <c:v>-88.722591540496552</c:v>
                </c:pt>
                <c:pt idx="69">
                  <c:v>-88.834951656040772</c:v>
                </c:pt>
                <c:pt idx="70">
                  <c:v>-88.937443001406493</c:v>
                </c:pt>
                <c:pt idx="71">
                  <c:v>-89.030912372892161</c:v>
                </c:pt>
                <c:pt idx="72">
                  <c:v>-89.116171466401283</c:v>
                </c:pt>
                <c:pt idx="73">
                  <c:v>-89.193921810700985</c:v>
                </c:pt>
                <c:pt idx="74">
                  <c:v>-89.264842450489198</c:v>
                </c:pt>
                <c:pt idx="75">
                  <c:v>-89.32952277326936</c:v>
                </c:pt>
                <c:pt idx="76">
                  <c:v>-89.388524964466754</c:v>
                </c:pt>
                <c:pt idx="77">
                  <c:v>-89.44232998475502</c:v>
                </c:pt>
                <c:pt idx="78">
                  <c:v>-89.491397844617396</c:v>
                </c:pt>
                <c:pt idx="79">
                  <c:v>-89.536119287085356</c:v>
                </c:pt>
                <c:pt idx="80">
                  <c:v>-89.576947663648824</c:v>
                </c:pt>
                <c:pt idx="81">
                  <c:v>-89.614168662851668</c:v>
                </c:pt>
                <c:pt idx="82">
                  <c:v>-89.64812416524461</c:v>
                </c:pt>
                <c:pt idx="83">
                  <c:v>-89.679078724436664</c:v>
                </c:pt>
                <c:pt idx="84">
                  <c:v>-89.707319393769481</c:v>
                </c:pt>
                <c:pt idx="85">
                  <c:v>-89.733069396915099</c:v>
                </c:pt>
                <c:pt idx="86">
                  <c:v>-89.756552248248923</c:v>
                </c:pt>
                <c:pt idx="87">
                  <c:v>-89.777978650037653</c:v>
                </c:pt>
                <c:pt idx="88">
                  <c:v>-89.797510028876403</c:v>
                </c:pt>
                <c:pt idx="89">
                  <c:v>-89.815328436967519</c:v>
                </c:pt>
                <c:pt idx="90">
                  <c:v>-89.831577729349789</c:v>
                </c:pt>
                <c:pt idx="91">
                  <c:v>-89.846397364016127</c:v>
                </c:pt>
                <c:pt idx="92">
                  <c:v>-89.859911310028039</c:v>
                </c:pt>
                <c:pt idx="93">
                  <c:v>-89.872238196374667</c:v>
                </c:pt>
                <c:pt idx="94">
                  <c:v>-89.875145378916201</c:v>
                </c:pt>
                <c:pt idx="95">
                  <c:v>-89.876582862419511</c:v>
                </c:pt>
                <c:pt idx="96">
                  <c:v>-89.877987622488433</c:v>
                </c:pt>
                <c:pt idx="97">
                  <c:v>-89.879392228913417</c:v>
                </c:pt>
                <c:pt idx="98">
                  <c:v>-89.880764863784776</c:v>
                </c:pt>
                <c:pt idx="99">
                  <c:v>-89.882137691442409</c:v>
                </c:pt>
                <c:pt idx="100">
                  <c:v>-89.883479266550566</c:v>
                </c:pt>
                <c:pt idx="101">
                  <c:v>-89.884820330209834</c:v>
                </c:pt>
                <c:pt idx="102">
                  <c:v>-89.886130875933446</c:v>
                </c:pt>
                <c:pt idx="103">
                  <c:v>-89.887442173851241</c:v>
                </c:pt>
                <c:pt idx="104">
                  <c:v>-89.888723614263071</c:v>
                </c:pt>
                <c:pt idx="105">
                  <c:v>-89.89000508395921</c:v>
                </c:pt>
                <c:pt idx="106">
                  <c:v>-89.891257374659276</c:v>
                </c:pt>
                <c:pt idx="107">
                  <c:v>-89.892509050261665</c:v>
                </c:pt>
                <c:pt idx="108">
                  <c:v>-89.893732239115124</c:v>
                </c:pt>
                <c:pt idx="109">
                  <c:v>-89.894955063539896</c:v>
                </c:pt>
                <c:pt idx="110">
                  <c:v>-89.896150066031566</c:v>
                </c:pt>
                <c:pt idx="111">
                  <c:v>-89.897345696300036</c:v>
                </c:pt>
                <c:pt idx="112">
                  <c:v>-89.89851410923184</c:v>
                </c:pt>
                <c:pt idx="113">
                  <c:v>-89.899682496200683</c:v>
                </c:pt>
                <c:pt idx="114">
                  <c:v>-89.900824286581923</c:v>
                </c:pt>
                <c:pt idx="115">
                  <c:v>-89.901966185113253</c:v>
                </c:pt>
                <c:pt idx="116">
                  <c:v>-89.903082087590903</c:v>
                </c:pt>
                <c:pt idx="117">
                  <c:v>-89.904198201422474</c:v>
                </c:pt>
                <c:pt idx="118">
                  <c:v>-89.905288901446227</c:v>
                </c:pt>
                <c:pt idx="119">
                  <c:v>-89.906379235237353</c:v>
                </c:pt>
                <c:pt idx="120">
                  <c:v>-89.907444750469651</c:v>
                </c:pt>
                <c:pt idx="121">
                  <c:v>-89.908510010159205</c:v>
                </c:pt>
                <c:pt idx="122">
                  <c:v>-89.909551027783152</c:v>
                </c:pt>
                <c:pt idx="123">
                  <c:v>-89.910592471622138</c:v>
                </c:pt>
                <c:pt idx="124">
                  <c:v>-89.911610205777507</c:v>
                </c:pt>
                <c:pt idx="125">
                  <c:v>-89.912627807224268</c:v>
                </c:pt>
                <c:pt idx="126">
                  <c:v>-89.913622244772498</c:v>
                </c:pt>
                <c:pt idx="127">
                  <c:v>-89.914616595578522</c:v>
                </c:pt>
                <c:pt idx="128">
                  <c:v>-89.915588313696489</c:v>
                </c:pt>
                <c:pt idx="129">
                  <c:v>-89.916559974250404</c:v>
                </c:pt>
                <c:pt idx="130">
                  <c:v>-89.917509519869398</c:v>
                </c:pt>
                <c:pt idx="131">
                  <c:v>-89.918459022583221</c:v>
                </c:pt>
                <c:pt idx="132">
                  <c:v>-89.918925623946564</c:v>
                </c:pt>
                <c:pt idx="133">
                  <c:v>-89.919386915637546</c:v>
                </c:pt>
                <c:pt idx="134">
                  <c:v>-89.919853766639832</c:v>
                </c:pt>
                <c:pt idx="135">
                  <c:v>-89.920315241473105</c:v>
                </c:pt>
                <c:pt idx="136">
                  <c:v>-89.920771432472108</c:v>
                </c:pt>
                <c:pt idx="137">
                  <c:v>-89.921222429869147</c:v>
                </c:pt>
                <c:pt idx="138">
                  <c:v>-89.921678386710752</c:v>
                </c:pt>
                <c:pt idx="139">
                  <c:v>-89.922129095861848</c:v>
                </c:pt>
                <c:pt idx="140">
                  <c:v>-89.922574647399003</c:v>
                </c:pt>
                <c:pt idx="141">
                  <c:v>-89.923015129348883</c:v>
                </c:pt>
                <c:pt idx="142">
                  <c:v>-89.923460895105805</c:v>
                </c:pt>
                <c:pt idx="143">
                  <c:v>-89.923901528346647</c:v>
                </c:pt>
                <c:pt idx="144">
                  <c:v>-89.924337117207116</c:v>
                </c:pt>
                <c:pt idx="145">
                  <c:v>-89.924767747816446</c:v>
                </c:pt>
                <c:pt idx="146">
                  <c:v>-89.925203309531597</c:v>
                </c:pt>
                <c:pt idx="147">
                  <c:v>-89.925633856858425</c:v>
                </c:pt>
                <c:pt idx="148">
                  <c:v>-89.926059475893254</c:v>
                </c:pt>
                <c:pt idx="149">
                  <c:v>-89.926480250772556</c:v>
                </c:pt>
                <c:pt idx="150">
                  <c:v>-89.926905826845896</c:v>
                </c:pt>
                <c:pt idx="151">
                  <c:v>-89.92732650430267</c:v>
                </c:pt>
                <c:pt idx="152">
                  <c:v>-89.92774236723757</c:v>
                </c:pt>
                <c:pt idx="153">
                  <c:v>-89.928153497831318</c:v>
                </c:pt>
                <c:pt idx="154">
                  <c:v>-89.928569489706646</c:v>
                </c:pt>
                <c:pt idx="155">
                  <c:v>-89.928980692122281</c:v>
                </c:pt>
                <c:pt idx="156">
                  <c:v>-89.92938718731881</c:v>
                </c:pt>
                <c:pt idx="157">
                  <c:v>-89.929789055664685</c:v>
                </c:pt>
                <c:pt idx="158">
                  <c:v>-89.930195642488712</c:v>
                </c:pt>
                <c:pt idx="159">
                  <c:v>-89.930597547394171</c:v>
                </c:pt>
                <c:pt idx="160">
                  <c:v>-89.930994850787769</c:v>
                </c:pt>
                <c:pt idx="161">
                  <c:v>-89.931387631245471</c:v>
                </c:pt>
                <c:pt idx="162">
                  <c:v>-89.931784815183505</c:v>
                </c:pt>
                <c:pt idx="163">
                  <c:v>-89.932177427145618</c:v>
                </c:pt>
                <c:pt idx="164">
                  <c:v>-89.93256554562187</c:v>
                </c:pt>
                <c:pt idx="165">
                  <c:v>-89.93294924731596</c:v>
                </c:pt>
                <c:pt idx="166">
                  <c:v>-89.933337555700518</c:v>
                </c:pt>
                <c:pt idx="167">
                  <c:v>-89.933721392393664</c:v>
                </c:pt>
                <c:pt idx="168">
                  <c:v>-89.934100834196016</c:v>
                </c:pt>
                <c:pt idx="169">
                  <c:v>-89.934475956159432</c:v>
                </c:pt>
                <c:pt idx="170">
                  <c:v>-89.934854744329328</c:v>
                </c:pt>
                <c:pt idx="171">
                  <c:v>-89.935229178197233</c:v>
                </c:pt>
                <c:pt idx="172">
                  <c:v>-89.935599332415364</c:v>
                </c:pt>
                <c:pt idx="173">
                  <c:v>-89.935965279939126</c:v>
                </c:pt>
                <c:pt idx="174">
                  <c:v>-89.936336160560018</c:v>
                </c:pt>
                <c:pt idx="175">
                  <c:v>-89.93670276973937</c:v>
                </c:pt>
                <c:pt idx="176">
                  <c:v>-89.937065180846119</c:v>
                </c:pt>
                <c:pt idx="177">
                  <c:v>-89.937423465578448</c:v>
                </c:pt>
                <c:pt idx="178">
                  <c:v>-89.937786354032923</c:v>
                </c:pt>
                <c:pt idx="179">
                  <c:v>-89.938145057892982</c:v>
                </c:pt>
                <c:pt idx="180">
                  <c:v>-89.93849964912468</c:v>
                </c:pt>
                <c:pt idx="181">
                  <c:v>-89.938850198053316</c:v>
                </c:pt>
                <c:pt idx="182">
                  <c:v>-89.93920366485051</c:v>
                </c:pt>
                <c:pt idx="183">
                  <c:v>-89.939553068815485</c:v>
                </c:pt>
                <c:pt idx="184">
                  <c:v>-89.939898479596721</c:v>
                </c:pt>
                <c:pt idx="185">
                  <c:v>-89.940239965259735</c:v>
                </c:pt>
                <c:pt idx="186">
                  <c:v>-89.940586806734316</c:v>
                </c:pt>
                <c:pt idx="187">
                  <c:v>-89.940929645373501</c:v>
                </c:pt>
                <c:pt idx="188">
                  <c:v>-89.941268550073701</c:v>
                </c:pt>
                <c:pt idx="189">
                  <c:v>-89.941603588159268</c:v>
                </c:pt>
                <c:pt idx="190">
                  <c:v>-89.941941110212682</c:v>
                </c:pt>
                <c:pt idx="191">
                  <c:v>-89.942274753040209</c:v>
                </c:pt>
                <c:pt idx="192">
                  <c:v>-89.942604583137097</c:v>
                </c:pt>
                <c:pt idx="193">
                  <c:v>-89.942930665487467</c:v>
                </c:pt>
                <c:pt idx="194">
                  <c:v>-89.94326146699801</c:v>
                </c:pt>
                <c:pt idx="195">
                  <c:v>-89.943588455639414</c:v>
                </c:pt>
                <c:pt idx="196">
                  <c:v>-89.943911696955482</c:v>
                </c:pt>
                <c:pt idx="197">
                  <c:v>-89.944231254996325</c:v>
                </c:pt>
                <c:pt idx="198">
                  <c:v>-89.944554070650497</c:v>
                </c:pt>
                <c:pt idx="199">
                  <c:v>-89.944873170597234</c:v>
                </c:pt>
                <c:pt idx="200">
                  <c:v>-89.945188618622836</c:v>
                </c:pt>
                <c:pt idx="201">
                  <c:v>-89.94550047706187</c:v>
                </c:pt>
                <c:pt idx="202">
                  <c:v>-89.945815375729282</c:v>
                </c:pt>
                <c:pt idx="203">
                  <c:v>-89.946126656329099</c:v>
                </c:pt>
                <c:pt idx="204">
                  <c:v>-89.946434380860481</c:v>
                </c:pt>
                <c:pt idx="205">
                  <c:v>-89.946738609914092</c:v>
                </c:pt>
                <c:pt idx="206">
                  <c:v>-89.947046722184467</c:v>
                </c:pt>
                <c:pt idx="207">
                  <c:v>-89.947351290156703</c:v>
                </c:pt>
                <c:pt idx="208">
                  <c:v>-89.947652374637514</c:v>
                </c:pt>
                <c:pt idx="209">
                  <c:v>-89.947950035050667</c:v>
                </c:pt>
                <c:pt idx="210">
                  <c:v>-89.948252318152882</c:v>
                </c:pt>
                <c:pt idx="211">
                  <c:v>-89.948551110476672</c:v>
                </c:pt>
                <c:pt idx="212">
                  <c:v>-89.948846472142364</c:v>
                </c:pt>
                <c:pt idx="213">
                  <c:v>-89.94913846189759</c:v>
                </c:pt>
                <c:pt idx="214">
                  <c:v>-89.949432858173267</c:v>
                </c:pt>
                <c:pt idx="215">
                  <c:v>-89.949723866019184</c:v>
                </c:pt>
                <c:pt idx="216">
                  <c:v>-89.950011543600638</c:v>
                </c:pt>
                <c:pt idx="217">
                  <c:v>-89.950295947759145</c:v>
                </c:pt>
                <c:pt idx="218">
                  <c:v>-89.950583508370883</c:v>
                </c:pt>
                <c:pt idx="219">
                  <c:v>-89.950867760784291</c:v>
                </c:pt>
                <c:pt idx="220">
                  <c:v>-89.951148761760848</c:v>
                </c:pt>
                <c:pt idx="221">
                  <c:v>-89.951426566770934</c:v>
                </c:pt>
                <c:pt idx="222">
                  <c:v>-89.951707317705626</c:v>
                </c:pt>
                <c:pt idx="223">
                  <c:v>-89.951984841851456</c:v>
                </c:pt>
                <c:pt idx="224">
                  <c:v>-89.952259194520806</c:v>
                </c:pt>
                <c:pt idx="225">
                  <c:v>-89.952530429769055</c:v>
                </c:pt>
                <c:pt idx="226">
                  <c:v>-89.952805245118995</c:v>
                </c:pt>
                <c:pt idx="227">
                  <c:v>-89.953076896810657</c:v>
                </c:pt>
                <c:pt idx="228">
                  <c:v>-89.953345439161211</c:v>
                </c:pt>
                <c:pt idx="229">
                  <c:v>-89.953610925251368</c:v>
                </c:pt>
                <c:pt idx="230">
                  <c:v>-89.954145481978202</c:v>
                </c:pt>
                <c:pt idx="231">
                  <c:v>-89.954408166902326</c:v>
                </c:pt>
                <c:pt idx="232">
                  <c:v>-89.954667859305204</c:v>
                </c:pt>
                <c:pt idx="233">
                  <c:v>-89.954930669671185</c:v>
                </c:pt>
                <c:pt idx="234">
                  <c:v>-89.955190450347573</c:v>
                </c:pt>
                <c:pt idx="235">
                  <c:v>-89.955447253423714</c:v>
                </c:pt>
                <c:pt idx="236">
                  <c:v>-89.955701129801653</c:v>
                </c:pt>
                <c:pt idx="237">
                  <c:v>-89.955957192534001</c:v>
                </c:pt>
                <c:pt idx="238">
                  <c:v>-89.9562103120183</c:v>
                </c:pt>
                <c:pt idx="239">
                  <c:v>-89.956460538710147</c:v>
                </c:pt>
                <c:pt idx="240">
                  <c:v>-89.956707921918508</c:v>
                </c:pt>
                <c:pt idx="241">
                  <c:v>-89.956958727276785</c:v>
                </c:pt>
                <c:pt idx="242">
                  <c:v>-89.957206643376892</c:v>
                </c:pt>
                <c:pt idx="243">
                  <c:v>-89.957451719858938</c:v>
                </c:pt>
                <c:pt idx="244">
                  <c:v>-89.957694005232327</c:v>
                </c:pt>
                <c:pt idx="245">
                  <c:v>-89.957938824591608</c:v>
                </c:pt>
                <c:pt idx="246">
                  <c:v>-89.958180826777607</c:v>
                </c:pt>
                <c:pt idx="247">
                  <c:v>-89.958420060138636</c:v>
                </c:pt>
                <c:pt idx="248">
                  <c:v>-89.958656571922887</c:v>
                </c:pt>
                <c:pt idx="249">
                  <c:v>-89.958896078596226</c:v>
                </c:pt>
                <c:pt idx="250">
                  <c:v>-89.959132826280225</c:v>
                </c:pt>
                <c:pt idx="251">
                  <c:v>-89.959366862375006</c:v>
                </c:pt>
                <c:pt idx="252">
                  <c:v>-89.959598233201049</c:v>
                </c:pt>
                <c:pt idx="253">
                  <c:v>-89.959831797329542</c:v>
                </c:pt>
                <c:pt idx="254">
                  <c:v>-89.960062676494374</c:v>
                </c:pt>
                <c:pt idx="255">
                  <c:v>-89.960290916728937</c:v>
                </c:pt>
                <c:pt idx="256">
                  <c:v>-89.960516563020263</c:v>
                </c:pt>
                <c:pt idx="257">
                  <c:v>-89.960745405537338</c:v>
                </c:pt>
                <c:pt idx="258">
                  <c:v>-89.960971610638964</c:v>
                </c:pt>
                <c:pt idx="259">
                  <c:v>-89.961195223658336</c:v>
                </c:pt>
                <c:pt idx="260">
                  <c:v>-89.961416288895606</c:v>
                </c:pt>
                <c:pt idx="261">
                  <c:v>-89.961639788163509</c:v>
                </c:pt>
                <c:pt idx="262">
                  <c:v>-89.96186071306883</c:v>
                </c:pt>
                <c:pt idx="263">
                  <c:v>-89.962079107835791</c:v>
                </c:pt>
                <c:pt idx="264">
                  <c:v>-89.962295015681477</c:v>
                </c:pt>
                <c:pt idx="265">
                  <c:v>-89.962513195021202</c:v>
                </c:pt>
                <c:pt idx="266">
                  <c:v>-89.9627288639049</c:v>
                </c:pt>
                <c:pt idx="267">
                  <c:v>-89.962942065414126</c:v>
                </c:pt>
                <c:pt idx="268">
                  <c:v>-89.963152841650256</c:v>
                </c:pt>
                <c:pt idx="269">
                  <c:v>-89.963366238236475</c:v>
                </c:pt>
                <c:pt idx="270">
                  <c:v>-89.963577177325917</c:v>
                </c:pt>
                <c:pt idx="271">
                  <c:v>-89.963785701126753</c:v>
                </c:pt>
                <c:pt idx="272">
                  <c:v>-89.963991850885989</c:v>
                </c:pt>
                <c:pt idx="273">
                  <c:v>-89.964200446051862</c:v>
                </c:pt>
                <c:pt idx="274">
                  <c:v>-89.964406638354703</c:v>
                </c:pt>
                <c:pt idx="275">
                  <c:v>-89.964610469075609</c:v>
                </c:pt>
                <c:pt idx="276">
                  <c:v>-89.964811978555375</c:v>
                </c:pt>
                <c:pt idx="277">
                  <c:v>-89.965015313796812</c:v>
                </c:pt>
                <c:pt idx="278">
                  <c:v>-89.965216312579912</c:v>
                </c:pt>
                <c:pt idx="279">
                  <c:v>-89.965415014945805</c:v>
                </c:pt>
                <c:pt idx="280">
                  <c:v>-89.965611460025926</c:v>
                </c:pt>
                <c:pt idx="281">
                  <c:v>-89.965810916754208</c:v>
                </c:pt>
                <c:pt idx="282">
                  <c:v>-89.966008073090123</c:v>
                </c:pt>
                <c:pt idx="283">
                  <c:v>-89.966202968602119</c:v>
                </c:pt>
                <c:pt idx="284">
                  <c:v>-89.966395641956368</c:v>
                </c:pt>
                <c:pt idx="285">
                  <c:v>-89.966589877077539</c:v>
                </c:pt>
                <c:pt idx="286">
                  <c:v>-89.96678187972249</c:v>
                </c:pt>
                <c:pt idx="287">
                  <c:v>-89.966971688160299</c:v>
                </c:pt>
                <c:pt idx="288">
                  <c:v>-89.967159339790399</c:v>
                </c:pt>
                <c:pt idx="289">
                  <c:v>-89.967349641588044</c:v>
                </c:pt>
                <c:pt idx="290">
                  <c:v>-89.967537750608486</c:v>
                </c:pt>
                <c:pt idx="291">
                  <c:v>-89.96772370453445</c:v>
                </c:pt>
                <c:pt idx="292">
                  <c:v>-89.967907540190154</c:v>
                </c:pt>
                <c:pt idx="293">
                  <c:v>-89.968093469414711</c:v>
                </c:pt>
                <c:pt idx="294">
                  <c:v>-89.968277256669111</c:v>
                </c:pt>
                <c:pt idx="295">
                  <c:v>-89.968458938755731</c:v>
                </c:pt>
                <c:pt idx="296">
                  <c:v>-89.968638551638691</c:v>
                </c:pt>
                <c:pt idx="297">
                  <c:v>-89.968820118266507</c:v>
                </c:pt>
                <c:pt idx="298">
                  <c:v>-89.968999594641559</c:v>
                </c:pt>
                <c:pt idx="299">
                  <c:v>-89.969177016652736</c:v>
                </c:pt>
                <c:pt idx="300">
                  <c:v>-89.969352419372029</c:v>
                </c:pt>
                <c:pt idx="301">
                  <c:v>-89.969529645438413</c:v>
                </c:pt>
                <c:pt idx="302">
                  <c:v>-89.969704833595799</c:v>
                </c:pt>
                <c:pt idx="303">
                  <c:v>-89.969878018793864</c:v>
                </c:pt>
                <c:pt idx="304">
                  <c:v>-89.970049235187673</c:v>
                </c:pt>
                <c:pt idx="305">
                  <c:v>-89.970222814586009</c:v>
                </c:pt>
                <c:pt idx="306">
                  <c:v>-89.970394393621817</c:v>
                </c:pt>
                <c:pt idx="307">
                  <c:v>-89.970564006675815</c:v>
                </c:pt>
                <c:pt idx="308">
                  <c:v>-89.970731687345364</c:v>
                </c:pt>
                <c:pt idx="309">
                  <c:v>-89.970900941736261</c:v>
                </c:pt>
                <c:pt idx="310">
                  <c:v>-89.97106824983544</c:v>
                </c:pt>
                <c:pt idx="311">
                  <c:v>-89.971233645022224</c:v>
                </c:pt>
                <c:pt idx="312">
                  <c:v>-89.971397159916947</c:v>
                </c:pt>
                <c:pt idx="313">
                  <c:v>-89.971562746660297</c:v>
                </c:pt>
                <c:pt idx="314">
                  <c:v>-89.971726427218968</c:v>
                </c:pt>
                <c:pt idx="315">
                  <c:v>-89.971888234319721</c:v>
                </c:pt>
                <c:pt idx="316">
                  <c:v>-89.972048199944396</c:v>
                </c:pt>
                <c:pt idx="317">
                  <c:v>-89.972210099145244</c:v>
                </c:pt>
                <c:pt idx="318">
                  <c:v>-89.972370133678695</c:v>
                </c:pt>
                <c:pt idx="319">
                  <c:v>-89.972528335574651</c:v>
                </c:pt>
                <c:pt idx="320">
                  <c:v>-89.972684736133587</c:v>
                </c:pt>
                <c:pt idx="321">
                  <c:v>-89.972842941161787</c:v>
                </c:pt>
                <c:pt idx="322">
                  <c:v>-89.972999324153648</c:v>
                </c:pt>
                <c:pt idx="323">
                  <c:v>-89.97315391640538</c:v>
                </c:pt>
                <c:pt idx="324">
                  <c:v>-89.973306748500491</c:v>
                </c:pt>
                <c:pt idx="325">
                  <c:v>-89.973461264583719</c:v>
                </c:pt>
                <c:pt idx="326">
                  <c:v>-89.973614002104298</c:v>
                </c:pt>
                <c:pt idx="327">
                  <c:v>-89.973764991594834</c:v>
                </c:pt>
                <c:pt idx="328">
                  <c:v>-89.973914262892961</c:v>
                </c:pt>
                <c:pt idx="329">
                  <c:v>-89.974065356587175</c:v>
                </c:pt>
                <c:pt idx="330">
                  <c:v>-89.974214710032882</c:v>
                </c:pt>
                <c:pt idx="331">
                  <c:v>-89.97436235312334</c:v>
                </c:pt>
                <c:pt idx="332">
                  <c:v>-89.974508315071091</c:v>
                </c:pt>
                <c:pt idx="333">
                  <c:v>-89.974655738237246</c:v>
                </c:pt>
                <c:pt idx="334">
                  <c:v>-89.974801466056718</c:v>
                </c:pt>
                <c:pt idx="335">
                  <c:v>-89.974945527606693</c:v>
                </c:pt>
                <c:pt idx="336">
                  <c:v>-89.975087951303209</c:v>
                </c:pt>
                <c:pt idx="337">
                  <c:v>-89.975232196250246</c:v>
                </c:pt>
                <c:pt idx="338">
                  <c:v>-89.9753747804087</c:v>
                </c:pt>
                <c:pt idx="339">
                  <c:v>-89.975515732297012</c:v>
                </c:pt>
                <c:pt idx="340">
                  <c:v>-89.97565507978446</c:v>
                </c:pt>
                <c:pt idx="341">
                  <c:v>-89.975796126954521</c:v>
                </c:pt>
                <c:pt idx="342">
                  <c:v>-89.975935549169137</c:v>
                </c:pt>
                <c:pt idx="343">
                  <c:v>-89.976073374348275</c:v>
                </c:pt>
                <c:pt idx="344">
                  <c:v>-89.976209629775994</c:v>
                </c:pt>
                <c:pt idx="345">
                  <c:v>-89.976347262775562</c:v>
                </c:pt>
                <c:pt idx="346">
                  <c:v>-89.976483312455287</c:v>
                </c:pt>
                <c:pt idx="347">
                  <c:v>-89.976617805980453</c:v>
                </c:pt>
                <c:pt idx="348">
                  <c:v>-89.97675076989853</c:v>
                </c:pt>
                <c:pt idx="349">
                  <c:v>-89.976885417934653</c:v>
                </c:pt>
                <c:pt idx="350">
                  <c:v>-89.977018515321873</c:v>
                </c:pt>
                <c:pt idx="351">
                  <c:v>-89.977150088693435</c:v>
                </c:pt>
                <c:pt idx="352">
                  <c:v>-89.977280164076191</c:v>
                </c:pt>
                <c:pt idx="353">
                  <c:v>-89.977411811137671</c:v>
                </c:pt>
                <c:pt idx="354">
                  <c:v>-89.977541941365601</c:v>
                </c:pt>
                <c:pt idx="355">
                  <c:v>-89.977670580825205</c:v>
                </c:pt>
                <c:pt idx="356">
                  <c:v>-89.977797754987861</c:v>
                </c:pt>
                <c:pt idx="357">
                  <c:v>-89.977926214175653</c:v>
                </c:pt>
                <c:pt idx="358">
                  <c:v>-89.978053195419733</c:v>
                </c:pt>
                <c:pt idx="359">
                  <c:v>-89.978178724080152</c:v>
                </c:pt>
                <c:pt idx="360">
                  <c:v>-89.978302824940101</c:v>
                </c:pt>
                <c:pt idx="361">
                  <c:v>-89.978428472115112</c:v>
                </c:pt>
                <c:pt idx="362">
                  <c:v>-89.978552672436749</c:v>
                </c:pt>
                <c:pt idx="363">
                  <c:v>-89.978675450753187</c:v>
                </c:pt>
                <c:pt idx="364">
                  <c:v>-89.978796831346841</c:v>
                </c:pt>
                <c:pt idx="365">
                  <c:v>-89.978919489336562</c:v>
                </c:pt>
                <c:pt idx="366">
                  <c:v>-89.979040736362748</c:v>
                </c:pt>
                <c:pt idx="367">
                  <c:v>-89.979160596632155</c:v>
                </c:pt>
                <c:pt idx="368">
                  <c:v>-89.97927909380094</c:v>
                </c:pt>
                <c:pt idx="369">
                  <c:v>-89.979399099653335</c:v>
                </c:pt>
                <c:pt idx="370">
                  <c:v>-89.979517723473705</c:v>
                </c:pt>
                <c:pt idx="371">
                  <c:v>-89.979634988999351</c:v>
                </c:pt>
                <c:pt idx="372">
                  <c:v>-89.979750919427062</c:v>
                </c:pt>
                <c:pt idx="373">
                  <c:v>-89.979868106698291</c:v>
                </c:pt>
                <c:pt idx="374">
                  <c:v>-89.979983945381122</c:v>
                </c:pt>
                <c:pt idx="375">
                  <c:v>-89.980098458621711</c:v>
                </c:pt>
                <c:pt idx="376">
                  <c:v>-89.980211669039448</c:v>
                </c:pt>
                <c:pt idx="377">
                  <c:v>-89.980326341077259</c:v>
                </c:pt>
                <c:pt idx="378">
                  <c:v>-89.980439691739022</c:v>
                </c:pt>
                <c:pt idx="379">
                  <c:v>-89.980551743733386</c:v>
                </c:pt>
                <c:pt idx="380">
                  <c:v>-89.980662519251638</c:v>
                </c:pt>
                <c:pt idx="381">
                  <c:v>-89.980774383124029</c:v>
                </c:pt>
                <c:pt idx="382">
                  <c:v>-89.980884960215221</c:v>
                </c:pt>
                <c:pt idx="383">
                  <c:v>-89.980994272601194</c:v>
                </c:pt>
                <c:pt idx="384">
                  <c:v>-89.981102341855831</c:v>
                </c:pt>
                <c:pt idx="385">
                  <c:v>-89.981211821734519</c:v>
                </c:pt>
                <c:pt idx="386">
                  <c:v>-89.981320040419277</c:v>
                </c:pt>
                <c:pt idx="387">
                  <c:v>-89.98142701957849</c:v>
                </c:pt>
                <c:pt idx="388">
                  <c:v>-89.981532780387013</c:v>
                </c:pt>
                <c:pt idx="389">
                  <c:v>-89.981639731924687</c:v>
                </c:pt>
                <c:pt idx="390">
                  <c:v>-89.981745451791681</c:v>
                </c:pt>
                <c:pt idx="391">
                  <c:v>-89.981849961142331</c:v>
                </c:pt>
                <c:pt idx="392">
                  <c:v>-89.981953280649364</c:v>
                </c:pt>
                <c:pt idx="393">
                  <c:v>-89.98205771138781</c:v>
                </c:pt>
                <c:pt idx="394">
                  <c:v>-89.9821609404637</c:v>
                </c:pt>
                <c:pt idx="395">
                  <c:v>-89.982262988499301</c:v>
                </c:pt>
                <c:pt idx="396">
                  <c:v>-89.982363875647678</c:v>
                </c:pt>
                <c:pt idx="397">
                  <c:v>-89.982466029157678</c:v>
                </c:pt>
                <c:pt idx="398">
                  <c:v>-89.982567006077787</c:v>
                </c:pt>
                <c:pt idx="399">
                  <c:v>-89.982666826619294</c:v>
                </c:pt>
                <c:pt idx="400">
                  <c:v>-89.982765510533227</c:v>
                </c:pt>
                <c:pt idx="401">
                  <c:v>-89.982865266781545</c:v>
                </c:pt>
                <c:pt idx="402">
                  <c:v>-89.982963874862349</c:v>
                </c:pt>
                <c:pt idx="403">
                  <c:v>-89.983061354484889</c:v>
                </c:pt>
                <c:pt idx="404">
                  <c:v>-89.983157724909844</c:v>
                </c:pt>
                <c:pt idx="405">
                  <c:v>-89.983255200658348</c:v>
                </c:pt>
                <c:pt idx="406">
                  <c:v>-89.983351554605107</c:v>
                </c:pt>
                <c:pt idx="407">
                  <c:v>-89.983446806004707</c:v>
                </c:pt>
                <c:pt idx="408">
                  <c:v>-89.983540973673627</c:v>
                </c:pt>
                <c:pt idx="409">
                  <c:v>-89.983636272757423</c:v>
                </c:pt>
                <c:pt idx="410">
                  <c:v>-89.98373047461557</c:v>
                </c:pt>
                <c:pt idx="411">
                  <c:v>-89.983823598088975</c:v>
                </c:pt>
                <c:pt idx="412">
                  <c:v>-89.98391566158962</c:v>
                </c:pt>
                <c:pt idx="413">
                  <c:v>-89.984008780984468</c:v>
                </c:pt>
                <c:pt idx="414">
                  <c:v>-89.984100828366422</c:v>
                </c:pt>
                <c:pt idx="415">
                  <c:v>-89.984191822141483</c:v>
                </c:pt>
                <c:pt idx="416">
                  <c:v>-89.984281780296627</c:v>
                </c:pt>
                <c:pt idx="417">
                  <c:v>-89.984372814927781</c:v>
                </c:pt>
                <c:pt idx="418">
                  <c:v>-89.984462801147217</c:v>
                </c:pt>
                <c:pt idx="419">
                  <c:v>-89.984551756962475</c:v>
                </c:pt>
                <c:pt idx="420">
                  <c:v>-89.984639699971055</c:v>
                </c:pt>
                <c:pt idx="421">
                  <c:v>-89.984728560628398</c:v>
                </c:pt>
                <c:pt idx="422">
                  <c:v>-89.984816399066318</c:v>
                </c:pt>
                <c:pt idx="423">
                  <c:v>-89.984903232822759</c:v>
                </c:pt>
                <c:pt idx="424">
                  <c:v>-89.984989079036751</c:v>
                </c:pt>
                <c:pt idx="425">
                  <c:v>-89.98507603083219</c:v>
                </c:pt>
                <c:pt idx="426">
                  <c:v>-89.985161981080637</c:v>
                </c:pt>
                <c:pt idx="427">
                  <c:v>-89.985246946987345</c:v>
                </c:pt>
                <c:pt idx="428">
                  <c:v>-89.98533094536576</c:v>
                </c:pt>
                <c:pt idx="429">
                  <c:v>-89.98541589619532</c:v>
                </c:pt>
                <c:pt idx="430">
                  <c:v>-89.985499868762631</c:v>
                </c:pt>
                <c:pt idx="431">
                  <c:v>-89.985582879868929</c:v>
                </c:pt>
                <c:pt idx="432">
                  <c:v>-89.985664945932854</c:v>
                </c:pt>
                <c:pt idx="433">
                  <c:v>-89.985747900861426</c:v>
                </c:pt>
                <c:pt idx="434">
                  <c:v>-89.98582990121713</c:v>
                </c:pt>
                <c:pt idx="435">
                  <c:v>-89.985910963382324</c:v>
                </c:pt>
                <c:pt idx="436">
                  <c:v>-89.985991103366558</c:v>
                </c:pt>
                <c:pt idx="437">
                  <c:v>-89.986072217571646</c:v>
                </c:pt>
                <c:pt idx="438">
                  <c:v>-89.98615239785066</c:v>
                </c:pt>
                <c:pt idx="439">
                  <c:v>-89.986231660240747</c:v>
                </c:pt>
                <c:pt idx="440">
                  <c:v>-89.98631002041391</c:v>
                </c:pt>
                <c:pt idx="441">
                  <c:v>-89.986389289778586</c:v>
                </c:pt>
                <c:pt idx="442">
                  <c:v>-89.986467646438143</c:v>
                </c:pt>
                <c:pt idx="443">
                  <c:v>-89.986545106065634</c:v>
                </c:pt>
                <c:pt idx="444">
                  <c:v>-89.986621683977305</c:v>
                </c:pt>
                <c:pt idx="445">
                  <c:v>-89.986699110390504</c:v>
                </c:pt>
                <c:pt idx="446">
                  <c:v>-89.986775645756708</c:v>
                </c:pt>
                <c:pt idx="447">
                  <c:v>-89.986851305369598</c:v>
                </c:pt>
                <c:pt idx="448">
                  <c:v>-89.986926104174827</c:v>
                </c:pt>
                <c:pt idx="449">
                  <c:v>-89.987001820859376</c:v>
                </c:pt>
                <c:pt idx="450">
                  <c:v>-89.987076665576609</c:v>
                </c:pt>
                <c:pt idx="451">
                  <c:v>-89.987150653302862</c:v>
                </c:pt>
                <c:pt idx="452">
                  <c:v>-89.98722379867354</c:v>
                </c:pt>
                <c:pt idx="453">
                  <c:v>-89.987297740483982</c:v>
                </c:pt>
                <c:pt idx="454">
                  <c:v>-89.987370831348073</c:v>
                </c:pt>
                <c:pt idx="455">
                  <c:v>-89.98744308587122</c:v>
                </c:pt>
                <c:pt idx="456">
                  <c:v>-89.987514518326464</c:v>
                </c:pt>
                <c:pt idx="457">
                  <c:v>-89.987586808987444</c:v>
                </c:pt>
                <c:pt idx="458">
                  <c:v>-89.987658267344827</c:v>
                </c:pt>
                <c:pt idx="459">
                  <c:v>-89.987728907690155</c:v>
                </c:pt>
                <c:pt idx="460">
                  <c:v>-89.987798743989671</c:v>
                </c:pt>
                <c:pt idx="461">
                  <c:v>-89.987869381211624</c:v>
                </c:pt>
                <c:pt idx="462">
                  <c:v>-89.987939205255543</c:v>
                </c:pt>
                <c:pt idx="463">
                  <c:v>-89.98800823008304</c:v>
                </c:pt>
                <c:pt idx="464">
                  <c:v>-89.988076469337997</c:v>
                </c:pt>
                <c:pt idx="465">
                  <c:v>-89.988145508457876</c:v>
                </c:pt>
                <c:pt idx="466">
                  <c:v>-89.988213752685596</c:v>
                </c:pt>
                <c:pt idx="467">
                  <c:v>-89.988281215670696</c:v>
                </c:pt>
                <c:pt idx="468">
                  <c:v>-89.988347910752069</c:v>
                </c:pt>
                <c:pt idx="469">
                  <c:v>-89.98841535230757</c:v>
                </c:pt>
                <c:pt idx="470">
                  <c:v>-89.988482017660786</c:v>
                </c:pt>
                <c:pt idx="471">
                  <c:v>-89.988547920135304</c:v>
                </c:pt>
                <c:pt idx="472">
                  <c:v>-89.988613072751519</c:v>
                </c:pt>
                <c:pt idx="473">
                  <c:v>-89.988679017606813</c:v>
                </c:pt>
                <c:pt idx="474">
                  <c:v>-89.988744203050175</c:v>
                </c:pt>
                <c:pt idx="475">
                  <c:v>-89.988808642124411</c:v>
                </c:pt>
                <c:pt idx="476">
                  <c:v>-89.988872347575395</c:v>
                </c:pt>
                <c:pt idx="477">
                  <c:v>-89.98893679237392</c:v>
                </c:pt>
                <c:pt idx="478">
                  <c:v>-89.989000495018047</c:v>
                </c:pt>
                <c:pt idx="479">
                  <c:v>-89.989063468254514</c:v>
                </c:pt>
                <c:pt idx="480">
                  <c:v>-89.989125724539804</c:v>
                </c:pt>
                <c:pt idx="481">
                  <c:v>-89.989188670811046</c:v>
                </c:pt>
                <c:pt idx="482">
                  <c:v>-89.989250892541278</c:v>
                </c:pt>
                <c:pt idx="483">
                  <c:v>-89.989312402168579</c:v>
                </c:pt>
                <c:pt idx="484">
                  <c:v>-89.98937321184799</c:v>
                </c:pt>
                <c:pt idx="485">
                  <c:v>-89.989434707089117</c:v>
                </c:pt>
                <c:pt idx="486">
                  <c:v>-89.989495494702155</c:v>
                </c:pt>
                <c:pt idx="487">
                  <c:v>-89.989555586831315</c:v>
                </c:pt>
                <c:pt idx="488">
                  <c:v>-89.989614995344468</c:v>
                </c:pt>
                <c:pt idx="489">
                  <c:v>-89.989675123178429</c:v>
                </c:pt>
                <c:pt idx="490">
                  <c:v>-89.989734558755714</c:v>
                </c:pt>
                <c:pt idx="491">
                  <c:v>-89.98979331396292</c:v>
                </c:pt>
                <c:pt idx="492">
                  <c:v>-89.989851400416001</c:v>
                </c:pt>
                <c:pt idx="493">
                  <c:v>-89.989910158177736</c:v>
                </c:pt>
                <c:pt idx="494">
                  <c:v>-89.989968239471636</c:v>
                </c:pt>
                <c:pt idx="495">
                  <c:v>-89.990025655912888</c:v>
                </c:pt>
                <c:pt idx="496">
                  <c:v>-89.990082418852339</c:v>
                </c:pt>
                <c:pt idx="497">
                  <c:v>-89.990139844543592</c:v>
                </c:pt>
                <c:pt idx="498">
                  <c:v>-89.990196609040311</c:v>
                </c:pt>
                <c:pt idx="499">
                  <c:v>-89.990252723696528</c:v>
                </c:pt>
                <c:pt idx="500">
                  <c:v>-89.990308199607824</c:v>
                </c:pt>
                <c:pt idx="501">
                  <c:v>-89.990364328649363</c:v>
                </c:pt>
                <c:pt idx="502">
                  <c:v>-89.990419811303511</c:v>
                </c:pt>
                <c:pt idx="503">
                  <c:v>-89.990474658672156</c:v>
                </c:pt>
                <c:pt idx="504">
                  <c:v>-89.990528881604348</c:v>
                </c:pt>
                <c:pt idx="505">
                  <c:v>-89.990583714061557</c:v>
                </c:pt>
                <c:pt idx="506">
                  <c:v>-89.990637915275045</c:v>
                </c:pt>
                <c:pt idx="507">
                  <c:v>-89.990691496082945</c:v>
                </c:pt>
                <c:pt idx="508">
                  <c:v>-89.990744467076709</c:v>
                </c:pt>
                <c:pt idx="509">
                  <c:v>-89.990798038486361</c:v>
                </c:pt>
                <c:pt idx="510">
                  <c:v>-89.990850993317707</c:v>
                </c:pt>
                <c:pt idx="511">
                  <c:v>-89.990903342154567</c:v>
                </c:pt>
                <c:pt idx="512">
                  <c:v>-89.990955095339913</c:v>
                </c:pt>
                <c:pt idx="513">
                  <c:v>-89.991007469179706</c:v>
                </c:pt>
                <c:pt idx="514">
                  <c:v>-89.991059239977801</c:v>
                </c:pt>
                <c:pt idx="515">
                  <c:v>-89.991110418089903</c:v>
                </c:pt>
                <c:pt idx="516">
                  <c:v>-89.991161013635903</c:v>
                </c:pt>
                <c:pt idx="517">
                  <c:v>-89.99121218840601</c:v>
                </c:pt>
                <c:pt idx="518">
                  <c:v>-89.991262774017585</c:v>
                </c:pt>
                <c:pt idx="519">
                  <c:v>-89.991312780586597</c:v>
                </c:pt>
                <c:pt idx="520">
                  <c:v>-89.991362217998741</c:v>
                </c:pt>
                <c:pt idx="521">
                  <c:v>-89.991412223472906</c:v>
                </c:pt>
                <c:pt idx="522">
                  <c:v>-89.991461653300519</c:v>
                </c:pt>
                <c:pt idx="523">
                  <c:v>-89.991510517364674</c:v>
                </c:pt>
                <c:pt idx="524">
                  <c:v>-89.991558825323537</c:v>
                </c:pt>
                <c:pt idx="525">
                  <c:v>-89.991607689693012</c:v>
                </c:pt>
                <c:pt idx="526">
                  <c:v>-89.991655991585318</c:v>
                </c:pt>
                <c:pt idx="527">
                  <c:v>-89.991703740656874</c:v>
                </c:pt>
                <c:pt idx="528">
                  <c:v>-89.991750946344325</c:v>
                </c:pt>
                <c:pt idx="529">
                  <c:v>-89.991798696388983</c:v>
                </c:pt>
                <c:pt idx="530">
                  <c:v>-89.991845896808329</c:v>
                </c:pt>
                <c:pt idx="531">
                  <c:v>-89.991892557037673</c:v>
                </c:pt>
                <c:pt idx="532">
                  <c:v>-89.991938686297701</c:v>
                </c:pt>
                <c:pt idx="533">
                  <c:v>-89.991985371488894</c:v>
                </c:pt>
                <c:pt idx="534">
                  <c:v>-89.992031519061101</c:v>
                </c:pt>
                <c:pt idx="535">
                  <c:v>-89.992077138247851</c:v>
                </c:pt>
                <c:pt idx="536">
                  <c:v>-89.992122238072454</c:v>
                </c:pt>
                <c:pt idx="537">
                  <c:v>-89.992167833841449</c:v>
                </c:pt>
                <c:pt idx="538">
                  <c:v>-89.992212904839462</c:v>
                </c:pt>
                <c:pt idx="539">
                  <c:v>-89.992257460074185</c:v>
                </c:pt>
                <c:pt idx="540">
                  <c:v>-89.992301508348348</c:v>
                </c:pt>
                <c:pt idx="541">
                  <c:v>-89.992346085003248</c:v>
                </c:pt>
                <c:pt idx="542">
                  <c:v>-89.992390148404738</c:v>
                </c:pt>
                <c:pt idx="543">
                  <c:v>-89.992433707366416</c:v>
                </c:pt>
                <c:pt idx="544">
                  <c:v>-89.99247677050127</c:v>
                </c:pt>
                <c:pt idx="545">
                  <c:v>-89.9925203267467</c:v>
                </c:pt>
                <c:pt idx="546">
                  <c:v>-89.992563381551605</c:v>
                </c:pt>
                <c:pt idx="547">
                  <c:v>-89.992605943525675</c:v>
                </c:pt>
                <c:pt idx="548">
                  <c:v>-89.992648021082587</c:v>
                </c:pt>
                <c:pt idx="549">
                  <c:v>-89.992690578758896</c:v>
                </c:pt>
                <c:pt idx="550">
                  <c:v>-89.992732646571966</c:v>
                </c:pt>
                <c:pt idx="551">
                  <c:v>-89.992774232931311</c:v>
                </c:pt>
                <c:pt idx="552">
                  <c:v>-89.992815346055053</c:v>
                </c:pt>
                <c:pt idx="553">
                  <c:v>-89.992856945306968</c:v>
                </c:pt>
                <c:pt idx="554">
                  <c:v>-89.992898065611442</c:v>
                </c:pt>
                <c:pt idx="555">
                  <c:v>-89.992938715192565</c:v>
                </c:pt>
                <c:pt idx="556">
                  <c:v>-89.992978902087231</c:v>
                </c:pt>
                <c:pt idx="557">
                  <c:v>-89.993059751379008</c:v>
                </c:pt>
                <c:pt idx="558">
                  <c:v>-89.993138759877596</c:v>
                </c:pt>
                <c:pt idx="559">
                  <c:v>-89.993217739578455</c:v>
                </c:pt>
                <c:pt idx="560">
                  <c:v>-89.993294921701334</c:v>
                </c:pt>
                <c:pt idx="561">
                  <c:v>-89.993372136312601</c:v>
                </c:pt>
                <c:pt idx="562">
                  <c:v>-89.993447592788002</c:v>
                </c:pt>
                <c:pt idx="563">
                  <c:v>-89.993522915088178</c:v>
                </c:pt>
                <c:pt idx="564">
                  <c:v>-89.993596525354448</c:v>
                </c:pt>
                <c:pt idx="565">
                  <c:v>-89.99367027442463</c:v>
                </c:pt>
                <c:pt idx="566">
                  <c:v>-89.993742344094628</c:v>
                </c:pt>
                <c:pt idx="567">
                  <c:v>-89.993814503410306</c:v>
                </c:pt>
                <c:pt idx="568">
                  <c:v>-89.993885017506784</c:v>
                </c:pt>
                <c:pt idx="569">
                  <c:v>-89.993955304661355</c:v>
                </c:pt>
                <c:pt idx="570">
                  <c:v>-89.994023994380612</c:v>
                </c:pt>
                <c:pt idx="571">
                  <c:v>-89.994092962465416</c:v>
                </c:pt>
                <c:pt idx="572">
                  <c:v>-89.994160356814106</c:v>
                </c:pt>
                <c:pt idx="573">
                  <c:v>-89.994227473370429</c:v>
                </c:pt>
                <c:pt idx="574">
                  <c:v>-89.994293064680321</c:v>
                </c:pt>
                <c:pt idx="575">
                  <c:v>-89.994358843759386</c:v>
                </c:pt>
                <c:pt idx="576">
                  <c:v>-89.99442312375605</c:v>
                </c:pt>
                <c:pt idx="577">
                  <c:v>-89.994679775997781</c:v>
                </c:pt>
                <c:pt idx="578">
                  <c:v>-89.994913844867142</c:v>
                </c:pt>
                <c:pt idx="579">
                  <c:v>-89.995361091521644</c:v>
                </c:pt>
                <c:pt idx="580">
                  <c:v>-89.995769399762068</c:v>
                </c:pt>
                <c:pt idx="581">
                  <c:v>-89.996141628312159</c:v>
                </c:pt>
                <c:pt idx="582">
                  <c:v>-89.996481197417566</c:v>
                </c:pt>
                <c:pt idx="583">
                  <c:v>-89.996790753686753</c:v>
                </c:pt>
                <c:pt idx="584">
                  <c:v>-89.997073168482515</c:v>
                </c:pt>
                <c:pt idx="585">
                  <c:v>-89.997330674658855</c:v>
                </c:pt>
                <c:pt idx="586">
                  <c:v>-89.9975655078334</c:v>
                </c:pt>
                <c:pt idx="587">
                  <c:v>-89.997779775388764</c:v>
                </c:pt>
                <c:pt idx="588">
                  <c:v>-89.997975091859246</c:v>
                </c:pt>
                <c:pt idx="589">
                  <c:v>-89.998153277975391</c:v>
                </c:pt>
                <c:pt idx="590">
                  <c:v>-89.998315772442965</c:v>
                </c:pt>
                <c:pt idx="591">
                  <c:v>-89.998463969960667</c:v>
                </c:pt>
                <c:pt idx="592">
                  <c:v>-89.998599110309016</c:v>
                </c:pt>
                <c:pt idx="593">
                  <c:v>-89.998722379846384</c:v>
                </c:pt>
                <c:pt idx="594">
                  <c:v>-89.998834791059309</c:v>
                </c:pt>
                <c:pt idx="595">
                  <c:v>-89.998937321172733</c:v>
                </c:pt>
                <c:pt idx="596">
                  <c:v>-89.999030819951628</c:v>
                </c:pt>
                <c:pt idx="597">
                  <c:v>-89.999116101356648</c:v>
                </c:pt>
                <c:pt idx="598">
                  <c:v>-89.999193868624516</c:v>
                </c:pt>
                <c:pt idx="599">
                  <c:v>-89.999264802104264</c:v>
                </c:pt>
                <c:pt idx="600">
                  <c:v>-89.999329492167107</c:v>
                </c:pt>
              </c:numCache>
            </c:numRef>
          </c:yVal>
          <c:smooth val="0"/>
          <c:extLst>
            <c:ext xmlns:c16="http://schemas.microsoft.com/office/drawing/2014/chart" uri="{C3380CC4-5D6E-409C-BE32-E72D297353CC}">
              <c16:uniqueId val="{00000001-ED2D-411C-BFB4-2F790B838F13}"/>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8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Plant Bode Plot</a:t>
            </a:r>
          </a:p>
        </c:rich>
      </c:tx>
      <c:layout>
        <c:manualLayout>
          <c:xMode val="edge"/>
          <c:yMode val="edge"/>
          <c:x val="0.40864917395529671"/>
          <c:y val="2.1377650374348366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4"/>
          <c:order val="0"/>
          <c:tx>
            <c:strRef>
              <c:f>'IL Stability Calculations'!$BE$12</c:f>
              <c:strCache>
                <c:ptCount val="1"/>
                <c:pt idx="0">
                  <c:v>Gain(dB)</c:v>
                </c:pt>
              </c:strCache>
            </c:strRef>
          </c:tx>
          <c:spPr>
            <a:ln w="2540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Calculations'!$BE$13:$BE$613</c:f>
              <c:numCache>
                <c:formatCode>0.0000</c:formatCode>
                <c:ptCount val="601"/>
                <c:pt idx="0">
                  <c:v>25.68371143399327</c:v>
                </c:pt>
                <c:pt idx="1">
                  <c:v>25.683711970862788</c:v>
                </c:pt>
                <c:pt idx="2">
                  <c:v>25.683712616269286</c:v>
                </c:pt>
                <c:pt idx="3">
                  <c:v>25.683713392173754</c:v>
                </c:pt>
                <c:pt idx="4">
                  <c:v>25.683714324317179</c:v>
                </c:pt>
                <c:pt idx="5">
                  <c:v>25.683715446092915</c:v>
                </c:pt>
                <c:pt idx="6">
                  <c:v>25.683716794263059</c:v>
                </c:pt>
                <c:pt idx="7">
                  <c:v>25.683718415602392</c:v>
                </c:pt>
                <c:pt idx="8">
                  <c:v>25.683720364039168</c:v>
                </c:pt>
                <c:pt idx="9">
                  <c:v>25.683722707350842</c:v>
                </c:pt>
                <c:pt idx="10">
                  <c:v>25.683725523995804</c:v>
                </c:pt>
                <c:pt idx="11">
                  <c:v>25.683728910000564</c:v>
                </c:pt>
                <c:pt idx="12">
                  <c:v>25.683732982785664</c:v>
                </c:pt>
                <c:pt idx="13">
                  <c:v>25.683737876940018</c:v>
                </c:pt>
                <c:pt idx="14">
                  <c:v>25.683743762739958</c:v>
                </c:pt>
                <c:pt idx="15">
                  <c:v>25.683750838553614</c:v>
                </c:pt>
                <c:pt idx="16">
                  <c:v>25.683759345637974</c:v>
                </c:pt>
                <c:pt idx="17">
                  <c:v>25.683769571951341</c:v>
                </c:pt>
                <c:pt idx="18">
                  <c:v>25.683781868574272</c:v>
                </c:pt>
                <c:pt idx="19">
                  <c:v>25.683796650756726</c:v>
                </c:pt>
                <c:pt idx="20">
                  <c:v>25.683814424484403</c:v>
                </c:pt>
                <c:pt idx="21">
                  <c:v>25.683835790823405</c:v>
                </c:pt>
                <c:pt idx="22">
                  <c:v>25.683861481513354</c:v>
                </c:pt>
                <c:pt idx="23">
                  <c:v>25.683892364085175</c:v>
                </c:pt>
                <c:pt idx="24">
                  <c:v>25.683929497264959</c:v>
                </c:pt>
                <c:pt idx="25">
                  <c:v>25.683974139667377</c:v>
                </c:pt>
                <c:pt idx="26">
                  <c:v>25.684027823272437</c:v>
                </c:pt>
                <c:pt idx="27">
                  <c:v>25.684092359092219</c:v>
                </c:pt>
                <c:pt idx="28">
                  <c:v>25.684169942573721</c:v>
                </c:pt>
                <c:pt idx="29">
                  <c:v>25.684263146846131</c:v>
                </c:pt>
                <c:pt idx="30">
                  <c:v>25.684375309847191</c:v>
                </c:pt>
                <c:pt idx="31">
                  <c:v>25.684510105807966</c:v>
                </c:pt>
                <c:pt idx="32">
                  <c:v>25.684672209311728</c:v>
                </c:pt>
                <c:pt idx="33">
                  <c:v>25.684867009017822</c:v>
                </c:pt>
                <c:pt idx="34">
                  <c:v>25.685101276598743</c:v>
                </c:pt>
                <c:pt idx="35">
                  <c:v>25.685382849221693</c:v>
                </c:pt>
                <c:pt idx="36">
                  <c:v>25.68572131692126</c:v>
                </c:pt>
                <c:pt idx="37">
                  <c:v>25.6861284034383</c:v>
                </c:pt>
                <c:pt idx="38">
                  <c:v>25.68661754151444</c:v>
                </c:pt>
                <c:pt idx="39">
                  <c:v>25.687205720555713</c:v>
                </c:pt>
                <c:pt idx="40">
                  <c:v>25.687912722463011</c:v>
                </c:pt>
                <c:pt idx="41">
                  <c:v>25.688762593475907</c:v>
                </c:pt>
                <c:pt idx="42">
                  <c:v>25.689784014791677</c:v>
                </c:pt>
                <c:pt idx="43">
                  <c:v>25.691011928255726</c:v>
                </c:pt>
                <c:pt idx="44">
                  <c:v>25.692487619715031</c:v>
                </c:pt>
                <c:pt idx="45">
                  <c:v>25.69426134114757</c:v>
                </c:pt>
                <c:pt idx="46">
                  <c:v>25.696392700161148</c:v>
                </c:pt>
                <c:pt idx="47">
                  <c:v>25.698954147828374</c:v>
                </c:pt>
                <c:pt idx="48">
                  <c:v>25.702031397397946</c:v>
                </c:pt>
                <c:pt idx="49">
                  <c:v>25.705728814841656</c:v>
                </c:pt>
                <c:pt idx="50">
                  <c:v>25.710170093367999</c:v>
                </c:pt>
                <c:pt idx="51">
                  <c:v>25.715505292368611</c:v>
                </c:pt>
                <c:pt idx="52">
                  <c:v>25.721911007319544</c:v>
                </c:pt>
                <c:pt idx="53">
                  <c:v>25.729600279515235</c:v>
                </c:pt>
                <c:pt idx="54">
                  <c:v>25.738821132721881</c:v>
                </c:pt>
                <c:pt idx="55">
                  <c:v>25.749893696247312</c:v>
                </c:pt>
                <c:pt idx="56">
                  <c:v>25.763166171095516</c:v>
                </c:pt>
                <c:pt idx="57">
                  <c:v>25.779078028881564</c:v>
                </c:pt>
                <c:pt idx="58">
                  <c:v>25.798128429114726</c:v>
                </c:pt>
                <c:pt idx="59">
                  <c:v>25.820936988551484</c:v>
                </c:pt>
                <c:pt idx="60">
                  <c:v>25.848205907972321</c:v>
                </c:pt>
                <c:pt idx="61">
                  <c:v>25.880777421109382</c:v>
                </c:pt>
                <c:pt idx="62">
                  <c:v>25.919656654610669</c:v>
                </c:pt>
                <c:pt idx="63">
                  <c:v>25.965952669538737</c:v>
                </c:pt>
                <c:pt idx="64">
                  <c:v>26.021028574917217</c:v>
                </c:pt>
                <c:pt idx="65">
                  <c:v>26.086393051486194</c:v>
                </c:pt>
                <c:pt idx="66">
                  <c:v>26.163790458214326</c:v>
                </c:pt>
                <c:pt idx="67">
                  <c:v>26.255169982694895</c:v>
                </c:pt>
                <c:pt idx="68">
                  <c:v>26.362746292698919</c:v>
                </c:pt>
                <c:pt idx="69">
                  <c:v>26.488895086785732</c:v>
                </c:pt>
                <c:pt idx="70">
                  <c:v>26.636238348121456</c:v>
                </c:pt>
                <c:pt idx="71">
                  <c:v>26.807496881157199</c:v>
                </c:pt>
                <c:pt idx="72">
                  <c:v>27.005556262485669</c:v>
                </c:pt>
                <c:pt idx="73">
                  <c:v>27.233236850510817</c:v>
                </c:pt>
                <c:pt idx="74">
                  <c:v>27.493398592908918</c:v>
                </c:pt>
                <c:pt idx="75">
                  <c:v>27.788640848042707</c:v>
                </c:pt>
                <c:pt idx="76">
                  <c:v>28.121411588808375</c:v>
                </c:pt>
                <c:pt idx="77">
                  <c:v>28.493627681416484</c:v>
                </c:pt>
                <c:pt idx="78">
                  <c:v>28.906897291072937</c:v>
                </c:pt>
                <c:pt idx="79">
                  <c:v>29.362084218111477</c:v>
                </c:pt>
                <c:pt idx="80">
                  <c:v>29.860735036231752</c:v>
                </c:pt>
                <c:pt idx="81">
                  <c:v>30.40261224139174</c:v>
                </c:pt>
                <c:pt idx="82">
                  <c:v>30.98828489611186</c:v>
                </c:pt>
                <c:pt idx="83">
                  <c:v>31.617495107804046</c:v>
                </c:pt>
                <c:pt idx="84">
                  <c:v>32.291065065504448</c:v>
                </c:pt>
                <c:pt idx="85">
                  <c:v>33.009391536878852</c:v>
                </c:pt>
                <c:pt idx="86">
                  <c:v>33.77405037090972</c:v>
                </c:pt>
                <c:pt idx="87">
                  <c:v>34.588031897243965</c:v>
                </c:pt>
                <c:pt idx="88">
                  <c:v>35.454597896770267</c:v>
                </c:pt>
                <c:pt idx="89">
                  <c:v>36.380515186240039</c:v>
                </c:pt>
                <c:pt idx="90">
                  <c:v>37.374344686644989</c:v>
                </c:pt>
                <c:pt idx="91">
                  <c:v>38.448982394734308</c:v>
                </c:pt>
                <c:pt idx="92">
                  <c:v>39.62273471831196</c:v>
                </c:pt>
                <c:pt idx="93">
                  <c:v>40.922903989278716</c:v>
                </c:pt>
                <c:pt idx="94">
                  <c:v>41.271853519282125</c:v>
                </c:pt>
                <c:pt idx="95">
                  <c:v>41.451550989207121</c:v>
                </c:pt>
                <c:pt idx="96">
                  <c:v>41.632059246332211</c:v>
                </c:pt>
                <c:pt idx="97">
                  <c:v>41.817654351373726</c:v>
                </c:pt>
                <c:pt idx="98">
                  <c:v>42.004227934995484</c:v>
                </c:pt>
                <c:pt idx="99">
                  <c:v>42.196258111438496</c:v>
                </c:pt>
                <c:pt idx="100">
                  <c:v>42.389458293128179</c:v>
                </c:pt>
                <c:pt idx="101">
                  <c:v>42.588372729928892</c:v>
                </c:pt>
                <c:pt idx="102">
                  <c:v>42.788674546123175</c:v>
                </c:pt>
                <c:pt idx="103">
                  <c:v>42.995286880674072</c:v>
                </c:pt>
                <c:pt idx="104">
                  <c:v>43.203538617542712</c:v>
                </c:pt>
                <c:pt idx="105">
                  <c:v>43.418446859387039</c:v>
                </c:pt>
                <c:pt idx="106">
                  <c:v>43.635282660634246</c:v>
                </c:pt>
                <c:pt idx="107">
                  <c:v>43.859171327017528</c:v>
                </c:pt>
                <c:pt idx="108">
                  <c:v>44.08531778129823</c:v>
                </c:pt>
                <c:pt idx="109">
                  <c:v>44.319131765457669</c:v>
                </c:pt>
                <c:pt idx="110">
                  <c:v>44.55558668029343</c:v>
                </c:pt>
                <c:pt idx="111">
                  <c:v>44.800567207668543</c:v>
                </c:pt>
                <c:pt idx="112">
                  <c:v>45.048639355212217</c:v>
                </c:pt>
                <c:pt idx="113">
                  <c:v>45.305866705556568</c:v>
                </c:pt>
                <c:pt idx="114">
                  <c:v>45.566709052306081</c:v>
                </c:pt>
                <c:pt idx="115">
                  <c:v>45.837609227750264</c:v>
                </c:pt>
                <c:pt idx="116">
                  <c:v>46.112739522133452</c:v>
                </c:pt>
                <c:pt idx="117">
                  <c:v>46.398965409371684</c:v>
                </c:pt>
                <c:pt idx="118">
                  <c:v>46.690147146659513</c:v>
                </c:pt>
                <c:pt idx="119">
                  <c:v>46.993438352219499</c:v>
                </c:pt>
                <c:pt idx="120">
                  <c:v>47.302537006444688</c:v>
                </c:pt>
                <c:pt idx="121">
                  <c:v>47.625122151144062</c:v>
                </c:pt>
                <c:pt idx="122">
                  <c:v>47.95452283568271</c:v>
                </c:pt>
                <c:pt idx="123">
                  <c:v>48.299213582021743</c:v>
                </c:pt>
                <c:pt idx="124">
                  <c:v>48.651921226405996</c:v>
                </c:pt>
                <c:pt idx="125">
                  <c:v>49.021590465067042</c:v>
                </c:pt>
                <c:pt idx="126">
                  <c:v>49.400678415228334</c:v>
                </c:pt>
                <c:pt idx="127">
                  <c:v>49.798883704902785</c:v>
                </c:pt>
                <c:pt idx="128">
                  <c:v>50.208126710984217</c:v>
                </c:pt>
                <c:pt idx="129">
                  <c:v>50.638936663042138</c:v>
                </c:pt>
                <c:pt idx="130">
                  <c:v>51.082583780475389</c:v>
                </c:pt>
                <c:pt idx="131">
                  <c:v>51.550468405084082</c:v>
                </c:pt>
                <c:pt idx="132">
                  <c:v>51.789877259071311</c:v>
                </c:pt>
                <c:pt idx="133">
                  <c:v>52.033016157412902</c:v>
                </c:pt>
                <c:pt idx="134">
                  <c:v>52.285853244212646</c:v>
                </c:pt>
                <c:pt idx="135">
                  <c:v>52.542695896591454</c:v>
                </c:pt>
                <c:pt idx="136">
                  <c:v>52.803567602331867</c:v>
                </c:pt>
                <c:pt idx="137">
                  <c:v>53.068469185551798</c:v>
                </c:pt>
                <c:pt idx="138">
                  <c:v>53.343524567300079</c:v>
                </c:pt>
                <c:pt idx="139">
                  <c:v>53.622699469220258</c:v>
                </c:pt>
                <c:pt idx="140">
                  <c:v>53.905880567310405</c:v>
                </c:pt>
                <c:pt idx="141">
                  <c:v>54.192897615228034</c:v>
                </c:pt>
                <c:pt idx="142">
                  <c:v>54.490443857222878</c:v>
                </c:pt>
                <c:pt idx="143">
                  <c:v>54.791411211215511</c:v>
                </c:pt>
                <c:pt idx="144">
                  <c:v>55.095341449706837</c:v>
                </c:pt>
                <c:pt idx="145">
                  <c:v>55.401644112461298</c:v>
                </c:pt>
                <c:pt idx="146">
                  <c:v>55.7167169553679</c:v>
                </c:pt>
                <c:pt idx="147">
                  <c:v>56.032489809481433</c:v>
                </c:pt>
                <c:pt idx="148">
                  <c:v>56.347726993552712</c:v>
                </c:pt>
                <c:pt idx="149">
                  <c:v>56.660923124524274</c:v>
                </c:pt>
                <c:pt idx="150">
                  <c:v>56.977360047452621</c:v>
                </c:pt>
                <c:pt idx="151">
                  <c:v>57.287467786580976</c:v>
                </c:pt>
                <c:pt idx="152">
                  <c:v>57.588560964028979</c:v>
                </c:pt>
                <c:pt idx="153">
                  <c:v>57.877561516771365</c:v>
                </c:pt>
                <c:pt idx="154">
                  <c:v>58.15723991999981</c:v>
                </c:pt>
                <c:pt idx="155">
                  <c:v>58.416595733982476</c:v>
                </c:pt>
                <c:pt idx="156">
                  <c:v>58.651360775829673</c:v>
                </c:pt>
                <c:pt idx="157">
                  <c:v>58.857209411921197</c:v>
                </c:pt>
                <c:pt idx="158">
                  <c:v>59.033609637540252</c:v>
                </c:pt>
                <c:pt idx="159">
                  <c:v>59.171387596513952</c:v>
                </c:pt>
                <c:pt idx="160">
                  <c:v>59.267351624843158</c:v>
                </c:pt>
                <c:pt idx="161">
                  <c:v>59.31938033504246</c:v>
                </c:pt>
                <c:pt idx="162">
                  <c:v>59.326266983165858</c:v>
                </c:pt>
                <c:pt idx="163">
                  <c:v>59.286857500009276</c:v>
                </c:pt>
                <c:pt idx="164">
                  <c:v>59.203137526269515</c:v>
                </c:pt>
                <c:pt idx="165">
                  <c:v>59.078319506640959</c:v>
                </c:pt>
                <c:pt idx="166">
                  <c:v>58.912292801386471</c:v>
                </c:pt>
                <c:pt idx="167">
                  <c:v>58.712599360074542</c:v>
                </c:pt>
                <c:pt idx="168">
                  <c:v>58.484560685109344</c:v>
                </c:pt>
                <c:pt idx="169">
                  <c:v>58.23343127628651</c:v>
                </c:pt>
                <c:pt idx="170">
                  <c:v>57.958212992360444</c:v>
                </c:pt>
                <c:pt idx="171">
                  <c:v>57.668827445786519</c:v>
                </c:pt>
                <c:pt idx="172">
                  <c:v>57.369445873698467</c:v>
                </c:pt>
                <c:pt idx="173">
                  <c:v>57.063620981651468</c:v>
                </c:pt>
                <c:pt idx="174">
                  <c:v>56.74648963747677</c:v>
                </c:pt>
                <c:pt idx="175">
                  <c:v>56.428286017998829</c:v>
                </c:pt>
                <c:pt idx="176">
                  <c:v>56.111075861979856</c:v>
                </c:pt>
                <c:pt idx="177">
                  <c:v>55.796473805926084</c:v>
                </c:pt>
                <c:pt idx="178">
                  <c:v>55.478132797967412</c:v>
                </c:pt>
                <c:pt idx="179">
                  <c:v>55.164822184507528</c:v>
                </c:pt>
                <c:pt idx="180">
                  <c:v>54.857261074623949</c:v>
                </c:pt>
                <c:pt idx="181">
                  <c:v>54.555949017051702</c:v>
                </c:pt>
                <c:pt idx="182">
                  <c:v>54.255386202608051</c:v>
                </c:pt>
                <c:pt idx="183">
                  <c:v>53.96186557808727</c:v>
                </c:pt>
                <c:pt idx="184">
                  <c:v>53.675475934912896</c:v>
                </c:pt>
                <c:pt idx="185">
                  <c:v>53.396220119234371</c:v>
                </c:pt>
                <c:pt idx="186">
                  <c:v>53.116663372310853</c:v>
                </c:pt>
                <c:pt idx="187">
                  <c:v>52.844452449021929</c:v>
                </c:pt>
                <c:pt idx="188">
                  <c:v>52.579429331680089</c:v>
                </c:pt>
                <c:pt idx="189">
                  <c:v>52.321409116174927</c:v>
                </c:pt>
                <c:pt idx="190">
                  <c:v>52.065459392501495</c:v>
                </c:pt>
                <c:pt idx="191">
                  <c:v>51.816345144494619</c:v>
                </c:pt>
                <c:pt idx="192">
                  <c:v>51.573833519420951</c:v>
                </c:pt>
                <c:pt idx="193">
                  <c:v>51.337689637365962</c:v>
                </c:pt>
                <c:pt idx="194">
                  <c:v>51.101729968524559</c:v>
                </c:pt>
                <c:pt idx="195">
                  <c:v>50.871981441365939</c:v>
                </c:pt>
                <c:pt idx="196">
                  <c:v>50.648201080393427</c:v>
                </c:pt>
                <c:pt idx="197">
                  <c:v>50.430152999255043</c:v>
                </c:pt>
                <c:pt idx="198">
                  <c:v>50.213014949588029</c:v>
                </c:pt>
                <c:pt idx="199">
                  <c:v>50.001390948595592</c:v>
                </c:pt>
                <c:pt idx="200">
                  <c:v>49.795056534608776</c:v>
                </c:pt>
                <c:pt idx="201">
                  <c:v>49.593796934292072</c:v>
                </c:pt>
                <c:pt idx="202">
                  <c:v>49.393250485081481</c:v>
                </c:pt>
                <c:pt idx="203">
                  <c:v>49.197576259695396</c:v>
                </c:pt>
                <c:pt idx="204">
                  <c:v>49.006575860323963</c:v>
                </c:pt>
                <c:pt idx="205">
                  <c:v>48.820060573507902</c:v>
                </c:pt>
                <c:pt idx="206">
                  <c:v>48.633443837257325</c:v>
                </c:pt>
                <c:pt idx="207">
                  <c:v>48.451162969247584</c:v>
                </c:pt>
                <c:pt idx="208">
                  <c:v>48.273044086837238</c:v>
                </c:pt>
                <c:pt idx="209">
                  <c:v>48.09892217874193</c:v>
                </c:pt>
                <c:pt idx="210">
                  <c:v>47.924043750119466</c:v>
                </c:pt>
                <c:pt idx="211">
                  <c:v>47.753057261389444</c:v>
                </c:pt>
                <c:pt idx="212">
                  <c:v>47.585810028609401</c:v>
                </c:pt>
                <c:pt idx="213">
                  <c:v>47.422157251160925</c:v>
                </c:pt>
                <c:pt idx="214">
                  <c:v>47.258802524295056</c:v>
                </c:pt>
                <c:pt idx="215">
                  <c:v>47.098905835319528</c:v>
                </c:pt>
                <c:pt idx="216">
                  <c:v>46.942336033839624</c:v>
                </c:pt>
                <c:pt idx="217">
                  <c:v>46.788968657753472</c:v>
                </c:pt>
                <c:pt idx="218">
                  <c:v>46.635293951777051</c:v>
                </c:pt>
                <c:pt idx="219">
                  <c:v>46.484725721468806</c:v>
                </c:pt>
                <c:pt idx="220">
                  <c:v>46.337149988981814</c:v>
                </c:pt>
                <c:pt idx="221">
                  <c:v>46.192458481557495</c:v>
                </c:pt>
                <c:pt idx="222">
                  <c:v>46.04741561569319</c:v>
                </c:pt>
                <c:pt idx="223">
                  <c:v>45.905174961166885</c:v>
                </c:pt>
                <c:pt idx="224">
                  <c:v>45.765637174560055</c:v>
                </c:pt>
                <c:pt idx="225">
                  <c:v>45.628707767145301</c:v>
                </c:pt>
                <c:pt idx="226">
                  <c:v>45.490978425614102</c:v>
                </c:pt>
                <c:pt idx="227">
                  <c:v>45.355802508386475</c:v>
                </c:pt>
                <c:pt idx="228">
                  <c:v>45.223092322266169</c:v>
                </c:pt>
                <c:pt idx="229">
                  <c:v>45.092764357602604</c:v>
                </c:pt>
                <c:pt idx="230">
                  <c:v>44.832878144467756</c:v>
                </c:pt>
                <c:pt idx="231">
                  <c:v>44.706359149923031</c:v>
                </c:pt>
                <c:pt idx="232">
                  <c:v>44.58202296258014</c:v>
                </c:pt>
                <c:pt idx="233">
                  <c:v>44.456922579991272</c:v>
                </c:pt>
                <c:pt idx="234">
                  <c:v>44.333963517156825</c:v>
                </c:pt>
                <c:pt idx="235">
                  <c:v>44.213076764751037</c:v>
                </c:pt>
                <c:pt idx="236">
                  <c:v>44.09419643664252</c:v>
                </c:pt>
                <c:pt idx="237">
                  <c:v>43.974906652765455</c:v>
                </c:pt>
                <c:pt idx="238">
                  <c:v>43.857576157490179</c:v>
                </c:pt>
                <c:pt idx="239">
                  <c:v>43.742143920542361</c:v>
                </c:pt>
                <c:pt idx="240">
                  <c:v>43.628551592296148</c:v>
                </c:pt>
                <c:pt idx="241">
                  <c:v>43.513907534609928</c:v>
                </c:pt>
                <c:pt idx="242">
                  <c:v>43.401082378669102</c:v>
                </c:pt>
                <c:pt idx="243">
                  <c:v>43.290021025788974</c:v>
                </c:pt>
                <c:pt idx="244">
                  <c:v>43.180670739013522</c:v>
                </c:pt>
                <c:pt idx="245">
                  <c:v>43.070612972744094</c:v>
                </c:pt>
                <c:pt idx="246">
                  <c:v>42.962238534710735</c:v>
                </c:pt>
                <c:pt idx="247">
                  <c:v>42.855497950026674</c:v>
                </c:pt>
                <c:pt idx="248">
                  <c:v>42.750343807829729</c:v>
                </c:pt>
                <c:pt idx="249">
                  <c:v>42.644222381059329</c:v>
                </c:pt>
                <c:pt idx="250">
                  <c:v>42.539671184139905</c:v>
                </c:pt>
                <c:pt idx="251">
                  <c:v>42.436645296878119</c:v>
                </c:pt>
                <c:pt idx="252">
                  <c:v>42.335101628271531</c:v>
                </c:pt>
                <c:pt idx="253">
                  <c:v>42.232895521465508</c:v>
                </c:pt>
                <c:pt idx="254">
                  <c:v>42.132149647321611</c:v>
                </c:pt>
                <c:pt idx="255">
                  <c:v>42.032823432369227</c:v>
                </c:pt>
                <c:pt idx="256">
                  <c:v>41.934877912145907</c:v>
                </c:pt>
                <c:pt idx="257">
                  <c:v>41.835790524770701</c:v>
                </c:pt>
                <c:pt idx="258">
                  <c:v>41.738078065188098</c:v>
                </c:pt>
                <c:pt idx="259">
                  <c:v>41.641703221862556</c:v>
                </c:pt>
                <c:pt idx="260">
                  <c:v>41.546630131953847</c:v>
                </c:pt>
                <c:pt idx="261">
                  <c:v>41.450706824401948</c:v>
                </c:pt>
                <c:pt idx="262">
                  <c:v>41.356073570930533</c:v>
                </c:pt>
                <c:pt idx="263">
                  <c:v>41.262696256378206</c:v>
                </c:pt>
                <c:pt idx="264">
                  <c:v>41.170542059514077</c:v>
                </c:pt>
                <c:pt idx="265">
                  <c:v>41.077571295816085</c:v>
                </c:pt>
                <c:pt idx="266">
                  <c:v>40.985813130747289</c:v>
                </c:pt>
                <c:pt idx="267">
                  <c:v>40.89523630294493</c:v>
                </c:pt>
                <c:pt idx="268">
                  <c:v>40.805810709695308</c:v>
                </c:pt>
                <c:pt idx="269">
                  <c:v>40.715388066060541</c:v>
                </c:pt>
                <c:pt idx="270">
                  <c:v>40.626112522083005</c:v>
                </c:pt>
                <c:pt idx="271">
                  <c:v>40.537955170276021</c:v>
                </c:pt>
                <c:pt idx="272">
                  <c:v>40.450888152880353</c:v>
                </c:pt>
                <c:pt idx="273">
                  <c:v>40.362868851519742</c:v>
                </c:pt>
                <c:pt idx="274">
                  <c:v>40.2759360197403</c:v>
                </c:pt>
                <c:pt idx="275">
                  <c:v>40.190062888971845</c:v>
                </c:pt>
                <c:pt idx="276">
                  <c:v>40.105223643195245</c:v>
                </c:pt>
                <c:pt idx="277">
                  <c:v>40.019665465474141</c:v>
                </c:pt>
                <c:pt idx="278">
                  <c:v>39.935132992701313</c:v>
                </c:pt>
                <c:pt idx="279">
                  <c:v>39.851601566731311</c:v>
                </c:pt>
                <c:pt idx="280">
                  <c:v>39.769047387562388</c:v>
                </c:pt>
                <c:pt idx="281">
                  <c:v>39.685250157793334</c:v>
                </c:pt>
                <c:pt idx="282">
                  <c:v>39.602435557671114</c:v>
                </c:pt>
                <c:pt idx="283">
                  <c:v>39.520580380352783</c:v>
                </c:pt>
                <c:pt idx="284">
                  <c:v>39.439662214200851</c:v>
                </c:pt>
                <c:pt idx="285">
                  <c:v>39.358086023357487</c:v>
                </c:pt>
                <c:pt idx="286">
                  <c:v>39.2774395808961</c:v>
                </c:pt>
                <c:pt idx="287">
                  <c:v>39.197701454269549</c:v>
                </c:pt>
                <c:pt idx="288">
                  <c:v>39.118850929432824</c:v>
                </c:pt>
                <c:pt idx="289">
                  <c:v>39.038862513201522</c:v>
                </c:pt>
                <c:pt idx="290">
                  <c:v>38.959766228141405</c:v>
                </c:pt>
                <c:pt idx="291">
                  <c:v>38.881541869402625</c:v>
                </c:pt>
                <c:pt idx="292">
                  <c:v>38.804169899110114</c:v>
                </c:pt>
                <c:pt idx="293">
                  <c:v>38.725872377751131</c:v>
                </c:pt>
                <c:pt idx="294">
                  <c:v>38.648427737757217</c:v>
                </c:pt>
                <c:pt idx="295">
                  <c:v>38.57181704259667</c:v>
                </c:pt>
                <c:pt idx="296">
                  <c:v>38.496021969970748</c:v>
                </c:pt>
                <c:pt idx="297">
                  <c:v>38.419339884340012</c:v>
                </c:pt>
                <c:pt idx="298">
                  <c:v>38.343473787727248</c:v>
                </c:pt>
                <c:pt idx="299">
                  <c:v>38.268405917661923</c:v>
                </c:pt>
                <c:pt idx="300">
                  <c:v>38.194119077832205</c:v>
                </c:pt>
                <c:pt idx="301">
                  <c:v>38.118981129254543</c:v>
                </c:pt>
                <c:pt idx="302">
                  <c:v>38.044624480121094</c:v>
                </c:pt>
                <c:pt idx="303">
                  <c:v>37.97103245519741</c:v>
                </c:pt>
                <c:pt idx="304">
                  <c:v>37.898188901566485</c:v>
                </c:pt>
                <c:pt idx="305">
                  <c:v>37.824245901496539</c:v>
                </c:pt>
                <c:pt idx="306">
                  <c:v>37.751057277090389</c:v>
                </c:pt>
                <c:pt idx="307">
                  <c:v>37.67860718177851</c:v>
                </c:pt>
                <c:pt idx="308">
                  <c:v>37.606880258617508</c:v>
                </c:pt>
                <c:pt idx="309">
                  <c:v>37.534372573950748</c:v>
                </c:pt>
                <c:pt idx="310">
                  <c:v>37.462587979050817</c:v>
                </c:pt>
                <c:pt idx="311">
                  <c:v>37.391511582071935</c:v>
                </c:pt>
                <c:pt idx="312">
                  <c:v>37.321128943307755</c:v>
                </c:pt>
                <c:pt idx="313">
                  <c:v>37.249734363440147</c:v>
                </c:pt>
                <c:pt idx="314">
                  <c:v>37.179038499726119</c:v>
                </c:pt>
                <c:pt idx="315">
                  <c:v>37.109027191997711</c:v>
                </c:pt>
                <c:pt idx="316">
                  <c:v>37.03968670408679</c:v>
                </c:pt>
                <c:pt idx="317">
                  <c:v>36.969376304368346</c:v>
                </c:pt>
                <c:pt idx="318">
                  <c:v>36.899741200916544</c:v>
                </c:pt>
                <c:pt idx="319">
                  <c:v>36.830767928969081</c:v>
                </c:pt>
                <c:pt idx="320">
                  <c:v>36.762443421308511</c:v>
                </c:pt>
                <c:pt idx="321">
                  <c:v>36.693188312219092</c:v>
                </c:pt>
                <c:pt idx="322">
                  <c:v>36.624586020735194</c:v>
                </c:pt>
                <c:pt idx="323">
                  <c:v>36.556623742073626</c:v>
                </c:pt>
                <c:pt idx="324">
                  <c:v>36.489289044167265</c:v>
                </c:pt>
                <c:pt idx="325">
                  <c:v>36.421060569096767</c:v>
                </c:pt>
                <c:pt idx="326">
                  <c:v>36.353463355857876</c:v>
                </c:pt>
                <c:pt idx="327">
                  <c:v>36.286485225270262</c:v>
                </c:pt>
                <c:pt idx="328">
                  <c:v>36.220114347599107</c:v>
                </c:pt>
                <c:pt idx="329">
                  <c:v>36.152772330464487</c:v>
                </c:pt>
                <c:pt idx="330">
                  <c:v>36.086042943683118</c:v>
                </c:pt>
                <c:pt idx="331">
                  <c:v>36.019914543110815</c:v>
                </c:pt>
                <c:pt idx="332">
                  <c:v>35.954375814420402</c:v>
                </c:pt>
                <c:pt idx="333">
                  <c:v>35.888012278679319</c:v>
                </c:pt>
                <c:pt idx="334">
                  <c:v>35.822241410997833</c:v>
                </c:pt>
                <c:pt idx="335">
                  <c:v>35.757052133766024</c:v>
                </c:pt>
                <c:pt idx="336">
                  <c:v>35.692433678565443</c:v>
                </c:pt>
                <c:pt idx="337">
                  <c:v>35.62681247182023</c:v>
                </c:pt>
                <c:pt idx="338">
                  <c:v>35.561768475631837</c:v>
                </c:pt>
                <c:pt idx="339">
                  <c:v>35.497291047659424</c:v>
                </c:pt>
                <c:pt idx="340">
                  <c:v>35.433369839153272</c:v>
                </c:pt>
                <c:pt idx="341">
                  <c:v>35.368485242483004</c:v>
                </c:pt>
                <c:pt idx="342">
                  <c:v>35.304162735666999</c:v>
                </c:pt>
                <c:pt idx="343">
                  <c:v>35.24039209837462</c:v>
                </c:pt>
                <c:pt idx="344">
                  <c:v>35.1771633888617</c:v>
                </c:pt>
                <c:pt idx="345">
                  <c:v>35.113105580404934</c:v>
                </c:pt>
                <c:pt idx="346">
                  <c:v>35.049593453811489</c:v>
                </c:pt>
                <c:pt idx="347">
                  <c:v>34.986617240900536</c:v>
                </c:pt>
                <c:pt idx="348">
                  <c:v>34.924167436116861</c:v>
                </c:pt>
                <c:pt idx="349">
                  <c:v>34.860730619025553</c:v>
                </c:pt>
                <c:pt idx="350">
                  <c:v>34.797826813750618</c:v>
                </c:pt>
                <c:pt idx="351">
                  <c:v>34.735446600016679</c:v>
                </c:pt>
                <c:pt idx="352">
                  <c:v>34.673580808051497</c:v>
                </c:pt>
                <c:pt idx="353">
                  <c:v>34.610765639462556</c:v>
                </c:pt>
                <c:pt idx="354">
                  <c:v>34.548470995552648</c:v>
                </c:pt>
                <c:pt idx="355">
                  <c:v>34.486687795961373</c:v>
                </c:pt>
                <c:pt idx="356">
                  <c:v>34.425407199072453</c:v>
                </c:pt>
                <c:pt idx="357">
                  <c:v>34.363300743509178</c:v>
                </c:pt>
                <c:pt idx="358">
                  <c:v>34.301701108726263</c:v>
                </c:pt>
                <c:pt idx="359">
                  <c:v>34.240599582128695</c:v>
                </c:pt>
                <c:pt idx="360">
                  <c:v>34.179987677235772</c:v>
                </c:pt>
                <c:pt idx="361">
                  <c:v>34.118408937401064</c:v>
                </c:pt>
                <c:pt idx="362">
                  <c:v>34.057326460569577</c:v>
                </c:pt>
                <c:pt idx="363">
                  <c:v>33.996731817632195</c:v>
                </c:pt>
                <c:pt idx="364">
                  <c:v>33.936616795958308</c:v>
                </c:pt>
                <c:pt idx="365">
                  <c:v>33.875653279631294</c:v>
                </c:pt>
                <c:pt idx="366">
                  <c:v>33.815174244763554</c:v>
                </c:pt>
                <c:pt idx="367">
                  <c:v>33.75517157372925</c:v>
                </c:pt>
                <c:pt idx="368">
                  <c:v>33.695637354866761</c:v>
                </c:pt>
                <c:pt idx="369">
                  <c:v>33.635124851615352</c:v>
                </c:pt>
                <c:pt idx="370">
                  <c:v>33.575087817450331</c:v>
                </c:pt>
                <c:pt idx="371">
                  <c:v>33.515518374112553</c:v>
                </c:pt>
                <c:pt idx="372">
                  <c:v>33.456408841291776</c:v>
                </c:pt>
                <c:pt idx="373">
                  <c:v>33.396434380363061</c:v>
                </c:pt>
                <c:pt idx="374">
                  <c:v>33.336925165728829</c:v>
                </c:pt>
                <c:pt idx="375">
                  <c:v>33.277873585975506</c:v>
                </c:pt>
                <c:pt idx="376">
                  <c:v>33.219272218765525</c:v>
                </c:pt>
                <c:pt idx="377">
                  <c:v>33.159686140811473</c:v>
                </c:pt>
                <c:pt idx="378">
                  <c:v>33.100557542922949</c:v>
                </c:pt>
                <c:pt idx="379">
                  <c:v>33.041879018179038</c:v>
                </c:pt>
                <c:pt idx="380">
                  <c:v>32.983643341973043</c:v>
                </c:pt>
                <c:pt idx="381">
                  <c:v>32.924604409917805</c:v>
                </c:pt>
                <c:pt idx="382">
                  <c:v>32.866012907257023</c:v>
                </c:pt>
                <c:pt idx="383">
                  <c:v>32.807861684408266</c:v>
                </c:pt>
                <c:pt idx="384">
                  <c:v>32.750143765671858</c:v>
                </c:pt>
                <c:pt idx="385">
                  <c:v>32.691437840517573</c:v>
                </c:pt>
                <c:pt idx="386">
                  <c:v>32.633172665764945</c:v>
                </c:pt>
                <c:pt idx="387">
                  <c:v>32.575341266392769</c:v>
                </c:pt>
                <c:pt idx="388">
                  <c:v>32.51793683555838</c:v>
                </c:pt>
                <c:pt idx="389">
                  <c:v>32.459648429386455</c:v>
                </c:pt>
                <c:pt idx="390">
                  <c:v>32.401792941797062</c:v>
                </c:pt>
                <c:pt idx="391">
                  <c:v>32.344363597848954</c:v>
                </c:pt>
                <c:pt idx="392">
                  <c:v>32.287353784296386</c:v>
                </c:pt>
                <c:pt idx="393">
                  <c:v>32.229490652907081</c:v>
                </c:pt>
                <c:pt idx="394">
                  <c:v>32.172052620605029</c:v>
                </c:pt>
                <c:pt idx="395">
                  <c:v>32.115033110101756</c:v>
                </c:pt>
                <c:pt idx="396">
                  <c:v>32.058425699448044</c:v>
                </c:pt>
                <c:pt idx="397">
                  <c:v>32.00086467982252</c:v>
                </c:pt>
                <c:pt idx="398">
                  <c:v>31.943722852364623</c:v>
                </c:pt>
                <c:pt idx="399">
                  <c:v>31.886993791459609</c:v>
                </c:pt>
                <c:pt idx="400">
                  <c:v>31.830671221957662</c:v>
                </c:pt>
                <c:pt idx="401">
                  <c:v>31.7734912360681</c:v>
                </c:pt>
                <c:pt idx="402">
                  <c:v>31.716723490587675</c:v>
                </c:pt>
                <c:pt idx="403">
                  <c:v>31.660361733895233</c:v>
                </c:pt>
                <c:pt idx="404">
                  <c:v>31.604399859301427</c:v>
                </c:pt>
                <c:pt idx="405">
                  <c:v>31.547548525704961</c:v>
                </c:pt>
                <c:pt idx="406">
                  <c:v>31.491103337817918</c:v>
                </c:pt>
                <c:pt idx="407">
                  <c:v>31.435058196858815</c:v>
                </c:pt>
                <c:pt idx="408">
                  <c:v>31.379407144135399</c:v>
                </c:pt>
                <c:pt idx="409">
                  <c:v>31.322837503977688</c:v>
                </c:pt>
                <c:pt idx="410">
                  <c:v>31.266668672868839</c:v>
                </c:pt>
                <c:pt idx="411">
                  <c:v>31.210894686435452</c:v>
                </c:pt>
                <c:pt idx="412">
                  <c:v>31.155509716143793</c:v>
                </c:pt>
                <c:pt idx="413">
                  <c:v>31.099237501872288</c:v>
                </c:pt>
                <c:pt idx="414">
                  <c:v>31.043360621954591</c:v>
                </c:pt>
                <c:pt idx="415">
                  <c:v>30.9878732481579</c:v>
                </c:pt>
                <c:pt idx="416">
                  <c:v>30.932769683816073</c:v>
                </c:pt>
                <c:pt idx="417">
                  <c:v>30.876752626455655</c:v>
                </c:pt>
                <c:pt idx="418">
                  <c:v>30.821126100950622</c:v>
                </c:pt>
                <c:pt idx="419">
                  <c:v>30.765884399120647</c:v>
                </c:pt>
                <c:pt idx="420">
                  <c:v>30.711021940588573</c:v>
                </c:pt>
                <c:pt idx="421">
                  <c:v>30.655331469375142</c:v>
                </c:pt>
                <c:pt idx="422">
                  <c:v>30.600025817573755</c:v>
                </c:pt>
                <c:pt idx="423">
                  <c:v>30.545099415564678</c:v>
                </c:pt>
                <c:pt idx="424">
                  <c:v>30.490546817247733</c:v>
                </c:pt>
                <c:pt idx="425">
                  <c:v>30.435034026105928</c:v>
                </c:pt>
                <c:pt idx="426">
                  <c:v>30.379902467171686</c:v>
                </c:pt>
                <c:pt idx="427">
                  <c:v>30.325146662220689</c:v>
                </c:pt>
                <c:pt idx="428">
                  <c:v>30.270761253679957</c:v>
                </c:pt>
                <c:pt idx="429">
                  <c:v>30.215499842718959</c:v>
                </c:pt>
                <c:pt idx="430">
                  <c:v>30.160615131098261</c:v>
                </c:pt>
                <c:pt idx="431">
                  <c:v>30.106101751324424</c:v>
                </c:pt>
                <c:pt idx="432">
                  <c:v>30.051954453141214</c:v>
                </c:pt>
                <c:pt idx="433">
                  <c:v>29.996960132657094</c:v>
                </c:pt>
                <c:pt idx="434">
                  <c:v>29.942337836829473</c:v>
                </c:pt>
                <c:pt idx="435">
                  <c:v>29.88808231071927</c:v>
                </c:pt>
                <c:pt idx="436">
                  <c:v>29.834188413183767</c:v>
                </c:pt>
                <c:pt idx="437">
                  <c:v>29.779377222129142</c:v>
                </c:pt>
                <c:pt idx="438">
                  <c:v>29.724934577206561</c:v>
                </c:pt>
                <c:pt idx="439">
                  <c:v>29.670855309738492</c:v>
                </c:pt>
                <c:pt idx="440">
                  <c:v>29.617134362181869</c:v>
                </c:pt>
                <c:pt idx="441">
                  <c:v>29.562526516067877</c:v>
                </c:pt>
                <c:pt idx="442">
                  <c:v>29.508283522475249</c:v>
                </c:pt>
                <c:pt idx="443">
                  <c:v>29.454400302618325</c:v>
                </c:pt>
                <c:pt idx="444">
                  <c:v>29.40087188609828</c:v>
                </c:pt>
                <c:pt idx="445">
                  <c:v>29.346485668534573</c:v>
                </c:pt>
                <c:pt idx="446">
                  <c:v>29.292460424712218</c:v>
                </c:pt>
                <c:pt idx="447">
                  <c:v>29.238791168630559</c:v>
                </c:pt>
                <c:pt idx="448">
                  <c:v>29.185473019867057</c:v>
                </c:pt>
                <c:pt idx="449">
                  <c:v>29.131234455522574</c:v>
                </c:pt>
                <c:pt idx="450">
                  <c:v>29.077354017702245</c:v>
                </c:pt>
                <c:pt idx="451">
                  <c:v>29.023826791045071</c:v>
                </c:pt>
                <c:pt idx="452">
                  <c:v>28.970647963600126</c:v>
                </c:pt>
                <c:pt idx="453">
                  <c:v>28.916622993510806</c:v>
                </c:pt>
                <c:pt idx="454">
                  <c:v>28.862952485153688</c:v>
                </c:pt>
                <c:pt idx="455">
                  <c:v>28.809631609764864</c:v>
                </c:pt>
                <c:pt idx="456">
                  <c:v>28.756655639393603</c:v>
                </c:pt>
                <c:pt idx="457">
                  <c:v>28.702774911565143</c:v>
                </c:pt>
                <c:pt idx="458">
                  <c:v>28.649245937246256</c:v>
                </c:pt>
                <c:pt idx="459">
                  <c:v>28.596063953980618</c:v>
                </c:pt>
                <c:pt idx="460">
                  <c:v>28.543224298108548</c:v>
                </c:pt>
                <c:pt idx="461">
                  <c:v>28.489509301345819</c:v>
                </c:pt>
                <c:pt idx="462">
                  <c:v>28.436143114223739</c:v>
                </c:pt>
                <c:pt idx="463">
                  <c:v>28.383121044658886</c:v>
                </c:pt>
                <c:pt idx="464">
                  <c:v>28.330438497250437</c:v>
                </c:pt>
                <c:pt idx="465">
                  <c:v>28.276868057631965</c:v>
                </c:pt>
                <c:pt idx="466">
                  <c:v>28.223643801006148</c:v>
                </c:pt>
                <c:pt idx="467">
                  <c:v>28.170761098584499</c:v>
                </c:pt>
                <c:pt idx="468">
                  <c:v>28.118215416355564</c:v>
                </c:pt>
                <c:pt idx="469">
                  <c:v>28.064810453351608</c:v>
                </c:pt>
                <c:pt idx="470">
                  <c:v>28.011748819027204</c:v>
                </c:pt>
                <c:pt idx="471">
                  <c:v>27.959025951752349</c:v>
                </c:pt>
                <c:pt idx="472">
                  <c:v>27.906637382678298</c:v>
                </c:pt>
                <c:pt idx="473">
                  <c:v>27.85333953941635</c:v>
                </c:pt>
                <c:pt idx="474">
                  <c:v>27.800382957088207</c:v>
                </c:pt>
                <c:pt idx="475">
                  <c:v>27.747763124975041</c:v>
                </c:pt>
                <c:pt idx="476">
                  <c:v>27.695475623595648</c:v>
                </c:pt>
                <c:pt idx="477">
                  <c:v>27.642308118765769</c:v>
                </c:pt>
                <c:pt idx="478">
                  <c:v>27.589479545725784</c:v>
                </c:pt>
                <c:pt idx="479">
                  <c:v>27.536985449277513</c:v>
                </c:pt>
                <c:pt idx="480">
                  <c:v>27.48482146380454</c:v>
                </c:pt>
                <c:pt idx="481">
                  <c:v>27.431805579185564</c:v>
                </c:pt>
                <c:pt idx="482">
                  <c:v>27.379126063473475</c:v>
                </c:pt>
                <c:pt idx="483">
                  <c:v>27.326778520973459</c:v>
                </c:pt>
                <c:pt idx="484">
                  <c:v>27.274758643822299</c:v>
                </c:pt>
                <c:pt idx="485">
                  <c:v>27.221877968526449</c:v>
                </c:pt>
                <c:pt idx="486">
                  <c:v>27.169331342908414</c:v>
                </c:pt>
                <c:pt idx="487">
                  <c:v>27.117114425408147</c:v>
                </c:pt>
                <c:pt idx="488">
                  <c:v>27.06522296070353</c:v>
                </c:pt>
                <c:pt idx="489">
                  <c:v>27.012427964809223</c:v>
                </c:pt>
                <c:pt idx="490">
                  <c:v>26.959965354560708</c:v>
                </c:pt>
                <c:pt idx="491">
                  <c:v>26.907830829292291</c:v>
                </c:pt>
                <c:pt idx="492">
                  <c:v>26.856020173343367</c:v>
                </c:pt>
                <c:pt idx="493">
                  <c:v>26.803334768582836</c:v>
                </c:pt>
                <c:pt idx="494">
                  <c:v>26.750979814124172</c:v>
                </c:pt>
                <c:pt idx="495">
                  <c:v>26.698951054982849</c:v>
                </c:pt>
                <c:pt idx="496">
                  <c:v>26.647244319829547</c:v>
                </c:pt>
                <c:pt idx="497">
                  <c:v>26.594657214537548</c:v>
                </c:pt>
                <c:pt idx="498">
                  <c:v>26.542398794047031</c:v>
                </c:pt>
                <c:pt idx="499">
                  <c:v>26.490464845315806</c:v>
                </c:pt>
                <c:pt idx="500">
                  <c:v>26.438851237715674</c:v>
                </c:pt>
                <c:pt idx="501">
                  <c:v>26.386352611112542</c:v>
                </c:pt>
                <c:pt idx="502">
                  <c:v>26.334181052916744</c:v>
                </c:pt>
                <c:pt idx="503">
                  <c:v>26.28233238873802</c:v>
                </c:pt>
                <c:pt idx="504">
                  <c:v>26.230802525452305</c:v>
                </c:pt>
                <c:pt idx="505">
                  <c:v>26.178415581158376</c:v>
                </c:pt>
                <c:pt idx="506">
                  <c:v>26.126353827088096</c:v>
                </c:pt>
                <c:pt idx="507">
                  <c:v>26.074613132060456</c:v>
                </c:pt>
                <c:pt idx="508">
                  <c:v>26.02318944490542</c:v>
                </c:pt>
                <c:pt idx="509">
                  <c:v>25.97090464355793</c:v>
                </c:pt>
                <c:pt idx="510">
                  <c:v>25.918943298570291</c:v>
                </c:pt>
                <c:pt idx="511">
                  <c:v>25.867301318786986</c:v>
                </c:pt>
                <c:pt idx="512">
                  <c:v>25.815974691899555</c:v>
                </c:pt>
                <c:pt idx="513">
                  <c:v>25.763753622339593</c:v>
                </c:pt>
                <c:pt idx="514">
                  <c:v>25.711854772486941</c:v>
                </c:pt>
                <c:pt idx="515">
                  <c:v>25.660274081424731</c:v>
                </c:pt>
                <c:pt idx="516">
                  <c:v>25.6090075661782</c:v>
                </c:pt>
                <c:pt idx="517">
                  <c:v>25.556874739561838</c:v>
                </c:pt>
                <c:pt idx="518">
                  <c:v>25.505062616347118</c:v>
                </c:pt>
                <c:pt idx="519">
                  <c:v>25.453567170768416</c:v>
                </c:pt>
                <c:pt idx="520">
                  <c:v>25.402384453979423</c:v>
                </c:pt>
                <c:pt idx="521">
                  <c:v>25.350333793027286</c:v>
                </c:pt>
                <c:pt idx="522">
                  <c:v>25.298602415608698</c:v>
                </c:pt>
                <c:pt idx="523">
                  <c:v>25.247186328934355</c:v>
                </c:pt>
                <c:pt idx="524">
                  <c:v>25.196081616174013</c:v>
                </c:pt>
                <c:pt idx="525">
                  <c:v>25.14410803608973</c:v>
                </c:pt>
                <c:pt idx="526">
                  <c:v>25.092452402565002</c:v>
                </c:pt>
                <c:pt idx="527">
                  <c:v>25.041110753891644</c:v>
                </c:pt>
                <c:pt idx="528">
                  <c:v>24.990079203416048</c:v>
                </c:pt>
                <c:pt idx="529">
                  <c:v>24.938178530045217</c:v>
                </c:pt>
                <c:pt idx="530">
                  <c:v>24.886594536809781</c:v>
                </c:pt>
                <c:pt idx="531">
                  <c:v>24.83532329144149</c:v>
                </c:pt>
                <c:pt idx="532">
                  <c:v>24.784360935870694</c:v>
                </c:pt>
                <c:pt idx="533">
                  <c:v>24.732503152762455</c:v>
                </c:pt>
                <c:pt idx="534">
                  <c:v>24.680961166458857</c:v>
                </c:pt>
                <c:pt idx="535">
                  <c:v>24.629731066726826</c:v>
                </c:pt>
                <c:pt idx="536">
                  <c:v>24.578809016868046</c:v>
                </c:pt>
                <c:pt idx="537">
                  <c:v>24.527045538898381</c:v>
                </c:pt>
                <c:pt idx="538">
                  <c:v>24.475596368002069</c:v>
                </c:pt>
                <c:pt idx="539">
                  <c:v>24.424457626909902</c:v>
                </c:pt>
                <c:pt idx="540">
                  <c:v>24.373625510956593</c:v>
                </c:pt>
                <c:pt idx="541">
                  <c:v>24.321901711798183</c:v>
                </c:pt>
                <c:pt idx="542">
                  <c:v>24.270491408699474</c:v>
                </c:pt>
                <c:pt idx="543">
                  <c:v>24.219390744544903</c:v>
                </c:pt>
                <c:pt idx="544">
                  <c:v>24.16859593421713</c:v>
                </c:pt>
                <c:pt idx="545">
                  <c:v>24.116937195656142</c:v>
                </c:pt>
                <c:pt idx="546">
                  <c:v>24.06559085098905</c:v>
                </c:pt>
                <c:pt idx="547">
                  <c:v>24.014553068354502</c:v>
                </c:pt>
                <c:pt idx="548">
                  <c:v>23.963820087162027</c:v>
                </c:pt>
                <c:pt idx="549">
                  <c:v>23.912225693994394</c:v>
                </c:pt>
                <c:pt idx="550">
                  <c:v>23.860942616895873</c:v>
                </c:pt>
                <c:pt idx="551">
                  <c:v>23.809967048547122</c:v>
                </c:pt>
                <c:pt idx="552">
                  <c:v>23.759295252197127</c:v>
                </c:pt>
                <c:pt idx="553">
                  <c:v>23.707741371664298</c:v>
                </c:pt>
                <c:pt idx="554">
                  <c:v>23.656498030634442</c:v>
                </c:pt>
                <c:pt idx="555">
                  <c:v>23.605561440579965</c:v>
                </c:pt>
                <c:pt idx="556">
                  <c:v>23.554927882985218</c:v>
                </c:pt>
                <c:pt idx="557">
                  <c:v>23.452214829582427</c:v>
                </c:pt>
                <c:pt idx="558">
                  <c:v>23.350725777378859</c:v>
                </c:pt>
                <c:pt idx="559">
                  <c:v>23.24814628895146</c:v>
                </c:pt>
                <c:pt idx="560">
                  <c:v>23.146786611300495</c:v>
                </c:pt>
                <c:pt idx="561">
                  <c:v>23.044255225236853</c:v>
                </c:pt>
                <c:pt idx="562">
                  <c:v>22.942941529189085</c:v>
                </c:pt>
                <c:pt idx="563">
                  <c:v>22.840680688949355</c:v>
                </c:pt>
                <c:pt idx="564">
                  <c:v>22.739630222297087</c:v>
                </c:pt>
                <c:pt idx="565">
                  <c:v>22.637258695507452</c:v>
                </c:pt>
                <c:pt idx="566">
                  <c:v>22.53609924952282</c:v>
                </c:pt>
                <c:pt idx="567">
                  <c:v>22.433679333136602</c:v>
                </c:pt>
                <c:pt idx="568">
                  <c:v>22.332471774120478</c:v>
                </c:pt>
                <c:pt idx="569">
                  <c:v>22.23045920138139</c:v>
                </c:pt>
                <c:pt idx="570">
                  <c:v>22.129648599462257</c:v>
                </c:pt>
                <c:pt idx="571">
                  <c:v>22.027292742624006</c:v>
                </c:pt>
                <c:pt idx="572">
                  <c:v>21.926146122645132</c:v>
                </c:pt>
                <c:pt idx="573">
                  <c:v>21.824283679591161</c:v>
                </c:pt>
                <c:pt idx="574">
                  <c:v>21.723618162965156</c:v>
                </c:pt>
                <c:pt idx="575">
                  <c:v>21.621528364368196</c:v>
                </c:pt>
                <c:pt idx="576">
                  <c:v>21.520640090980795</c:v>
                </c:pt>
                <c:pt idx="577">
                  <c:v>21.106199734032334</c:v>
                </c:pt>
                <c:pt idx="578">
                  <c:v>20.710849894322486</c:v>
                </c:pt>
                <c:pt idx="579">
                  <c:v>19.903263538849917</c:v>
                </c:pt>
                <c:pt idx="580">
                  <c:v>19.096235687164008</c:v>
                </c:pt>
                <c:pt idx="581">
                  <c:v>18.290663077014155</c:v>
                </c:pt>
                <c:pt idx="582">
                  <c:v>17.485806779083035</c:v>
                </c:pt>
                <c:pt idx="583">
                  <c:v>16.682081156705742</c:v>
                </c:pt>
                <c:pt idx="584">
                  <c:v>15.878734933983187</c:v>
                </c:pt>
                <c:pt idx="585">
                  <c:v>15.076112009210949</c:v>
                </c:pt>
                <c:pt idx="586">
                  <c:v>14.274000038281676</c:v>
                </c:pt>
                <c:pt idx="587">
                  <c:v>13.471893907322388</c:v>
                </c:pt>
                <c:pt idx="588">
                  <c:v>12.670497168239672</c:v>
                </c:pt>
                <c:pt idx="589">
                  <c:v>11.86911457070174</c:v>
                </c:pt>
                <c:pt idx="590">
                  <c:v>11.068008532247877</c:v>
                </c:pt>
                <c:pt idx="591">
                  <c:v>10.267076356008884</c:v>
                </c:pt>
                <c:pt idx="592">
                  <c:v>9.4664001822976793</c:v>
                </c:pt>
                <c:pt idx="593">
                  <c:v>8.6657209183206056</c:v>
                </c:pt>
                <c:pt idx="594">
                  <c:v>7.8652312418611796</c:v>
                </c:pt>
                <c:pt idx="595">
                  <c:v>7.0647523524722295</c:v>
                </c:pt>
                <c:pt idx="596">
                  <c:v>6.2644310393564586</c:v>
                </c:pt>
                <c:pt idx="597">
                  <c:v>5.4640821642884756</c:v>
                </c:pt>
                <c:pt idx="598">
                  <c:v>4.6638915710435587</c:v>
                </c:pt>
                <c:pt idx="599">
                  <c:v>3.8636451551633364</c:v>
                </c:pt>
                <c:pt idx="600">
                  <c:v>3.0634578507662846</c:v>
                </c:pt>
              </c:numCache>
            </c:numRef>
          </c:yVal>
          <c:smooth val="1"/>
          <c:extLst>
            <c:ext xmlns:c16="http://schemas.microsoft.com/office/drawing/2014/chart" uri="{C3380CC4-5D6E-409C-BE32-E72D297353CC}">
              <c16:uniqueId val="{00000000-6E29-403F-BEE6-F2A617B26EB7}"/>
            </c:ext>
          </c:extLst>
        </c:ser>
        <c:dLbls>
          <c:showLegendKey val="0"/>
          <c:showVal val="0"/>
          <c:showCatName val="0"/>
          <c:showSerName val="0"/>
          <c:showPercent val="0"/>
          <c:showBubbleSize val="0"/>
        </c:dLbls>
        <c:axId val="196940928"/>
        <c:axId val="196942848"/>
      </c:scatterChart>
      <c:scatterChart>
        <c:scatterStyle val="lineMarker"/>
        <c:varyColors val="0"/>
        <c:ser>
          <c:idx val="8"/>
          <c:order val="1"/>
          <c:tx>
            <c:strRef>
              <c:f>'IL Stability Calculations'!$BF$12</c:f>
              <c:strCache>
                <c:ptCount val="1"/>
                <c:pt idx="0">
                  <c:v>Phase(Deg)</c:v>
                </c:pt>
              </c:strCache>
            </c:strRef>
          </c:tx>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Calculations'!$BF$13:$BF$613</c:f>
              <c:numCache>
                <c:formatCode>0.0000</c:formatCode>
                <c:ptCount val="601"/>
                <c:pt idx="0">
                  <c:v>4.3105553280580536E-2</c:v>
                </c:pt>
                <c:pt idx="1">
                  <c:v>4.726523724752664E-2</c:v>
                </c:pt>
                <c:pt idx="2">
                  <c:v>5.1825802061932609E-2</c:v>
                </c:pt>
                <c:pt idx="3">
                  <c:v>5.6826042449898133E-2</c:v>
                </c:pt>
                <c:pt idx="4">
                  <c:v>6.2304753053206138E-2</c:v>
                </c:pt>
                <c:pt idx="5">
                  <c:v>6.8317970604919925E-2</c:v>
                </c:pt>
                <c:pt idx="6">
                  <c:v>7.4908800036154161E-2</c:v>
                </c:pt>
                <c:pt idx="7">
                  <c:v>8.2137588281646204E-2</c:v>
                </c:pt>
                <c:pt idx="8">
                  <c:v>9.0060371469890252E-2</c:v>
                </c:pt>
                <c:pt idx="9">
                  <c:v>9.8750427574176805E-2</c:v>
                </c:pt>
                <c:pt idx="10">
                  <c:v>0.10827672357221356</c:v>
                </c:pt>
                <c:pt idx="11">
                  <c:v>0.11872115748063455</c:v>
                </c:pt>
                <c:pt idx="12">
                  <c:v>0.13017855814265372</c:v>
                </c:pt>
                <c:pt idx="13">
                  <c:v>0.14273513230655138</c:v>
                </c:pt>
                <c:pt idx="14">
                  <c:v>0.15650725909019392</c:v>
                </c:pt>
                <c:pt idx="15">
                  <c:v>0.17160700528142045</c:v>
                </c:pt>
                <c:pt idx="16">
                  <c:v>0.18816367740317808</c:v>
                </c:pt>
                <c:pt idx="17">
                  <c:v>0.20631519990237013</c:v>
                </c:pt>
                <c:pt idx="18">
                  <c:v>0.2262210456425246</c:v>
                </c:pt>
                <c:pt idx="19">
                  <c:v>0.2480449925743089</c:v>
                </c:pt>
                <c:pt idx="20">
                  <c:v>0.27197667442534296</c:v>
                </c:pt>
                <c:pt idx="21">
                  <c:v>0.29821433646934842</c:v>
                </c:pt>
                <c:pt idx="22">
                  <c:v>0.32698638474347813</c:v>
                </c:pt>
                <c:pt idx="23">
                  <c:v>0.35852982983477083</c:v>
                </c:pt>
                <c:pt idx="24">
                  <c:v>0.39312045443466925</c:v>
                </c:pt>
                <c:pt idx="25">
                  <c:v>0.43104694392780113</c:v>
                </c:pt>
                <c:pt idx="26">
                  <c:v>0.47264104953538028</c:v>
                </c:pt>
                <c:pt idx="27">
                  <c:v>0.51824309377306987</c:v>
                </c:pt>
                <c:pt idx="28">
                  <c:v>0.56824074709798356</c:v>
                </c:pt>
                <c:pt idx="29">
                  <c:v>0.62302159568575533</c:v>
                </c:pt>
                <c:pt idx="30">
                  <c:v>0.68314551451707195</c:v>
                </c:pt>
                <c:pt idx="31">
                  <c:v>0.74904292860757227</c:v>
                </c:pt>
                <c:pt idx="32">
                  <c:v>0.8213164642107792</c:v>
                </c:pt>
                <c:pt idx="33">
                  <c:v>0.90052539218579875</c:v>
                </c:pt>
                <c:pt idx="34">
                  <c:v>0.98740102601927893</c:v>
                </c:pt>
                <c:pt idx="35">
                  <c:v>1.0826311348018802</c:v>
                </c:pt>
                <c:pt idx="36">
                  <c:v>1.1870321755474158</c:v>
                </c:pt>
                <c:pt idx="37">
                  <c:v>1.3015490813769997</c:v>
                </c:pt>
                <c:pt idx="38">
                  <c:v>1.4270395939421809</c:v>
                </c:pt>
                <c:pt idx="39">
                  <c:v>1.5646616736642887</c:v>
                </c:pt>
                <c:pt idx="40">
                  <c:v>1.7155284071440593</c:v>
                </c:pt>
                <c:pt idx="41">
                  <c:v>1.8809228224964036</c:v>
                </c:pt>
                <c:pt idx="42">
                  <c:v>2.0622109846034928</c:v>
                </c:pt>
                <c:pt idx="43">
                  <c:v>2.260970144302219</c:v>
                </c:pt>
                <c:pt idx="44">
                  <c:v>2.4788152241821084</c:v>
                </c:pt>
                <c:pt idx="45">
                  <c:v>2.7176122763584893</c:v>
                </c:pt>
                <c:pt idx="46">
                  <c:v>2.9793040862361271</c:v>
                </c:pt>
                <c:pt idx="47">
                  <c:v>3.2661221895713117</c:v>
                </c:pt>
                <c:pt idx="48">
                  <c:v>3.5803679921690019</c:v>
                </c:pt>
                <c:pt idx="49">
                  <c:v>3.924708302776966</c:v>
                </c:pt>
                <c:pt idx="50">
                  <c:v>4.3019108269091753</c:v>
                </c:pt>
                <c:pt idx="51">
                  <c:v>4.715135486924332</c:v>
                </c:pt>
                <c:pt idx="52">
                  <c:v>5.1675799832261538</c:v>
                </c:pt>
                <c:pt idx="53">
                  <c:v>5.6628502036616037</c:v>
                </c:pt>
                <c:pt idx="54">
                  <c:v>6.2044711701798319</c:v>
                </c:pt>
                <c:pt idx="55">
                  <c:v>6.7975643490859694</c:v>
                </c:pt>
                <c:pt idx="56">
                  <c:v>7.4458331384974636</c:v>
                </c:pt>
                <c:pt idx="57">
                  <c:v>8.1544979728522513</c:v>
                </c:pt>
                <c:pt idx="58">
                  <c:v>8.9281193855489338</c:v>
                </c:pt>
                <c:pt idx="59">
                  <c:v>9.7726365615374799</c:v>
                </c:pt>
                <c:pt idx="60">
                  <c:v>10.693170549986494</c:v>
                </c:pt>
                <c:pt idx="61">
                  <c:v>11.69558900633953</c:v>
                </c:pt>
                <c:pt idx="62">
                  <c:v>12.786341342513602</c:v>
                </c:pt>
                <c:pt idx="63">
                  <c:v>13.970228659377096</c:v>
                </c:pt>
                <c:pt idx="64">
                  <c:v>15.253861821039905</c:v>
                </c:pt>
                <c:pt idx="65">
                  <c:v>16.642120297502156</c:v>
                </c:pt>
                <c:pt idx="66">
                  <c:v>18.139853516667756</c:v>
                </c:pt>
                <c:pt idx="67">
                  <c:v>19.750697266551061</c:v>
                </c:pt>
                <c:pt idx="68">
                  <c:v>21.477781399656422</c:v>
                </c:pt>
                <c:pt idx="69">
                  <c:v>23.32172091149733</c:v>
                </c:pt>
                <c:pt idx="70">
                  <c:v>25.281964327961948</c:v>
                </c:pt>
                <c:pt idx="71">
                  <c:v>27.354807498564252</c:v>
                </c:pt>
                <c:pt idx="72">
                  <c:v>29.534643205200464</c:v>
                </c:pt>
                <c:pt idx="73">
                  <c:v>31.811850947301394</c:v>
                </c:pt>
                <c:pt idx="74">
                  <c:v>34.174752031679766</c:v>
                </c:pt>
                <c:pt idx="75">
                  <c:v>36.607585482004211</c:v>
                </c:pt>
                <c:pt idx="76">
                  <c:v>39.092609678170277</c:v>
                </c:pt>
                <c:pt idx="77">
                  <c:v>41.60826074693756</c:v>
                </c:pt>
                <c:pt idx="78">
                  <c:v>44.132058740737264</c:v>
                </c:pt>
                <c:pt idx="79">
                  <c:v>46.638906159577502</c:v>
                </c:pt>
                <c:pt idx="80">
                  <c:v>49.109379707513213</c:v>
                </c:pt>
                <c:pt idx="81">
                  <c:v>51.51708266847001</c:v>
                </c:pt>
                <c:pt idx="82">
                  <c:v>53.842206467245411</c:v>
                </c:pt>
                <c:pt idx="83">
                  <c:v>56.06366462042206</c:v>
                </c:pt>
                <c:pt idx="84">
                  <c:v>58.165981416474168</c:v>
                </c:pt>
                <c:pt idx="85">
                  <c:v>60.132979315717186</c:v>
                </c:pt>
                <c:pt idx="86">
                  <c:v>61.951943299131131</c:v>
                </c:pt>
                <c:pt idx="87">
                  <c:v>63.611930177983112</c:v>
                </c:pt>
                <c:pt idx="88">
                  <c:v>65.099784186515834</c:v>
                </c:pt>
                <c:pt idx="89">
                  <c:v>66.403954502210979</c:v>
                </c:pt>
                <c:pt idx="90">
                  <c:v>67.507729153458527</c:v>
                </c:pt>
                <c:pt idx="91">
                  <c:v>68.388393942120913</c:v>
                </c:pt>
                <c:pt idx="92">
                  <c:v>69.01087969586618</c:v>
                </c:pt>
                <c:pt idx="93">
                  <c:v>69.318325654326969</c:v>
                </c:pt>
                <c:pt idx="94">
                  <c:v>69.335761841542805</c:v>
                </c:pt>
                <c:pt idx="95">
                  <c:v>69.334254231268886</c:v>
                </c:pt>
                <c:pt idx="96">
                  <c:v>69.325614073941139</c:v>
                </c:pt>
                <c:pt idx="97">
                  <c:v>69.309319859437082</c:v>
                </c:pt>
                <c:pt idx="98">
                  <c:v>69.285399019007841</c:v>
                </c:pt>
                <c:pt idx="99">
                  <c:v>69.252912430247449</c:v>
                </c:pt>
                <c:pt idx="100">
                  <c:v>69.212200167649598</c:v>
                </c:pt>
                <c:pt idx="101">
                  <c:v>69.161891455348851</c:v>
                </c:pt>
                <c:pt idx="102">
                  <c:v>69.102642936779887</c:v>
                </c:pt>
                <c:pt idx="103">
                  <c:v>69.032506527105681</c:v>
                </c:pt>
                <c:pt idx="104">
                  <c:v>68.952545091560083</c:v>
                </c:pt>
                <c:pt idx="105">
                  <c:v>68.860265605824694</c:v>
                </c:pt>
                <c:pt idx="106">
                  <c:v>68.757093579952752</c:v>
                </c:pt>
                <c:pt idx="107">
                  <c:v>68.639930954908309</c:v>
                </c:pt>
                <c:pt idx="108">
                  <c:v>68.510579493594904</c:v>
                </c:pt>
                <c:pt idx="109">
                  <c:v>68.365157371483747</c:v>
                </c:pt>
                <c:pt idx="110">
                  <c:v>68.205941633745226</c:v>
                </c:pt>
                <c:pt idx="111">
                  <c:v>68.028006966180712</c:v>
                </c:pt>
                <c:pt idx="112">
                  <c:v>67.834256157612089</c:v>
                </c:pt>
                <c:pt idx="113">
                  <c:v>67.618793677223735</c:v>
                </c:pt>
                <c:pt idx="114">
                  <c:v>67.384994768185891</c:v>
                </c:pt>
                <c:pt idx="115">
                  <c:v>67.125653031785689</c:v>
                </c:pt>
                <c:pt idx="116">
                  <c:v>66.844774758870258</c:v>
                </c:pt>
                <c:pt idx="117">
                  <c:v>66.533559494040063</c:v>
                </c:pt>
                <c:pt idx="118">
                  <c:v>66.196699649220577</c:v>
                </c:pt>
                <c:pt idx="119">
                  <c:v>65.823663077387579</c:v>
                </c:pt>
                <c:pt idx="120">
                  <c:v>65.41968191278086</c:v>
                </c:pt>
                <c:pt idx="121">
                  <c:v>64.97180402369743</c:v>
                </c:pt>
                <c:pt idx="122">
                  <c:v>64.486004998537325</c:v>
                </c:pt>
                <c:pt idx="123">
                  <c:v>63.945916820120374</c:v>
                </c:pt>
                <c:pt idx="124">
                  <c:v>63.358526927715346</c:v>
                </c:pt>
                <c:pt idx="125">
                  <c:v>62.703758729928325</c:v>
                </c:pt>
                <c:pt idx="126">
                  <c:v>61.988999757690699</c:v>
                </c:pt>
                <c:pt idx="127">
                  <c:v>61.188813644417323</c:v>
                </c:pt>
                <c:pt idx="128">
                  <c:v>60.311079950141178</c:v>
                </c:pt>
                <c:pt idx="129">
                  <c:v>59.323067728602524</c:v>
                </c:pt>
                <c:pt idx="130">
                  <c:v>58.232753071567416</c:v>
                </c:pt>
                <c:pt idx="131">
                  <c:v>56.997250627175248</c:v>
                </c:pt>
                <c:pt idx="132">
                  <c:v>56.328956442311444</c:v>
                </c:pt>
                <c:pt idx="133">
                  <c:v>55.623886568425284</c:v>
                </c:pt>
                <c:pt idx="134">
                  <c:v>54.86129141321581</c:v>
                </c:pt>
                <c:pt idx="135">
                  <c:v>54.054502550050863</c:v>
                </c:pt>
                <c:pt idx="136">
                  <c:v>53.200293463926513</c:v>
                </c:pt>
                <c:pt idx="137">
                  <c:v>52.295162977345427</c:v>
                </c:pt>
                <c:pt idx="138">
                  <c:v>51.312855880762186</c:v>
                </c:pt>
                <c:pt idx="139">
                  <c:v>50.268915544754755</c:v>
                </c:pt>
                <c:pt idx="140">
                  <c:v>49.158575106409771</c:v>
                </c:pt>
                <c:pt idx="141">
                  <c:v>47.976684662723187</c:v>
                </c:pt>
                <c:pt idx="142">
                  <c:v>46.686859994776476</c:v>
                </c:pt>
                <c:pt idx="143">
                  <c:v>45.309853570187649</c:v>
                </c:pt>
                <c:pt idx="144">
                  <c:v>43.838848166518567</c:v>
                </c:pt>
                <c:pt idx="145">
                  <c:v>42.266620092243201</c:v>
                </c:pt>
                <c:pt idx="146">
                  <c:v>40.545299877039085</c:v>
                </c:pt>
                <c:pt idx="147">
                  <c:v>38.701672509544167</c:v>
                </c:pt>
                <c:pt idx="148">
                  <c:v>36.727186628768628</c:v>
                </c:pt>
                <c:pt idx="149">
                  <c:v>34.613359758359664</c:v>
                </c:pt>
                <c:pt idx="150">
                  <c:v>32.297984179430131</c:v>
                </c:pt>
                <c:pt idx="151">
                  <c:v>29.820381403211062</c:v>
                </c:pt>
                <c:pt idx="152">
                  <c:v>27.174061237768694</c:v>
                </c:pt>
                <c:pt idx="153">
                  <c:v>24.35459408195781</c:v>
                </c:pt>
                <c:pt idx="154">
                  <c:v>21.287813951759716</c:v>
                </c:pt>
                <c:pt idx="155">
                  <c:v>18.04031261922891</c:v>
                </c:pt>
                <c:pt idx="156">
                  <c:v>14.619402134241076</c:v>
                </c:pt>
                <c:pt idx="157">
                  <c:v>11.038186037188847</c:v>
                </c:pt>
                <c:pt idx="158">
                  <c:v>7.2272401647548392</c:v>
                </c:pt>
                <c:pt idx="159">
                  <c:v>3.2963364090108147</c:v>
                </c:pt>
                <c:pt idx="160">
                  <c:v>-0.72065169039406451</c:v>
                </c:pt>
                <c:pt idx="161">
                  <c:v>-4.78500674286476</c:v>
                </c:pt>
                <c:pt idx="162">
                  <c:v>-8.9482558348655843</c:v>
                </c:pt>
                <c:pt idx="163">
                  <c:v>-13.072892072789635</c:v>
                </c:pt>
                <c:pt idx="164">
                  <c:v>-17.116611374439344</c:v>
                </c:pt>
                <c:pt idx="165">
                  <c:v>-21.041983600155561</c:v>
                </c:pt>
                <c:pt idx="166">
                  <c:v>-24.905764338710092</c:v>
                </c:pt>
                <c:pt idx="167">
                  <c:v>-28.588326957781629</c:v>
                </c:pt>
                <c:pt idx="168">
                  <c:v>-32.073062493619439</c:v>
                </c:pt>
                <c:pt idx="169">
                  <c:v>-35.35101707682616</c:v>
                </c:pt>
                <c:pt idx="170">
                  <c:v>-38.483340425647086</c:v>
                </c:pt>
                <c:pt idx="171">
                  <c:v>-41.400407650669678</c:v>
                </c:pt>
                <c:pt idx="172">
                  <c:v>-44.109402805390253</c:v>
                </c:pt>
                <c:pt idx="173">
                  <c:v>-46.620359450563207</c:v>
                </c:pt>
                <c:pt idx="174">
                  <c:v>-49.001361143314128</c:v>
                </c:pt>
                <c:pt idx="175">
                  <c:v>-51.200228884530432</c:v>
                </c:pt>
                <c:pt idx="176">
                  <c:v>-53.230843663754314</c:v>
                </c:pt>
                <c:pt idx="177">
                  <c:v>-55.10682941082699</c:v>
                </c:pt>
                <c:pt idx="178">
                  <c:v>-56.88219642909754</c:v>
                </c:pt>
                <c:pt idx="179">
                  <c:v>-58.52209352196914</c:v>
                </c:pt>
                <c:pt idx="180">
                  <c:v>-60.038720419645877</c:v>
                </c:pt>
                <c:pt idx="181">
                  <c:v>-61.443266645464206</c:v>
                </c:pt>
                <c:pt idx="182">
                  <c:v>-62.771002966610446</c:v>
                </c:pt>
                <c:pt idx="183">
                  <c:v>-64.002524554340837</c:v>
                </c:pt>
                <c:pt idx="184">
                  <c:v>-65.146660033314831</c:v>
                </c:pt>
                <c:pt idx="185">
                  <c:v>-66.211350087864858</c:v>
                </c:pt>
                <c:pt idx="186">
                  <c:v>-67.230011937382926</c:v>
                </c:pt>
                <c:pt idx="187">
                  <c:v>-68.179268089187886</c:v>
                </c:pt>
                <c:pt idx="188">
                  <c:v>-69.065325790617251</c:v>
                </c:pt>
                <c:pt idx="189">
                  <c:v>-69.893743081532136</c:v>
                </c:pt>
                <c:pt idx="190">
                  <c:v>-70.683823035499287</c:v>
                </c:pt>
                <c:pt idx="191">
                  <c:v>-71.423936327164682</c:v>
                </c:pt>
                <c:pt idx="192">
                  <c:v>-72.1183172325063</c:v>
                </c:pt>
                <c:pt idx="193">
                  <c:v>-72.770766611702598</c:v>
                </c:pt>
                <c:pt idx="194">
                  <c:v>-73.400307818917184</c:v>
                </c:pt>
                <c:pt idx="195">
                  <c:v>-73.99260843823005</c:v>
                </c:pt>
                <c:pt idx="196">
                  <c:v>-74.550656476270944</c:v>
                </c:pt>
                <c:pt idx="197">
                  <c:v>-75.077144920394318</c:v>
                </c:pt>
                <c:pt idx="198">
                  <c:v>-75.58508747341854</c:v>
                </c:pt>
                <c:pt idx="199">
                  <c:v>-76.064956125066658</c:v>
                </c:pt>
                <c:pt idx="200">
                  <c:v>-76.518871136061961</c:v>
                </c:pt>
                <c:pt idx="201">
                  <c:v>-76.948753382843449</c:v>
                </c:pt>
                <c:pt idx="202">
                  <c:v>-77.364848468400439</c:v>
                </c:pt>
                <c:pt idx="203">
                  <c:v>-77.75937591064033</c:v>
                </c:pt>
                <c:pt idx="204">
                  <c:v>-78.133870040246208</c:v>
                </c:pt>
                <c:pt idx="205">
                  <c:v>-78.489728219777632</c:v>
                </c:pt>
                <c:pt idx="206">
                  <c:v>-78.836302611485493</c:v>
                </c:pt>
                <c:pt idx="207">
                  <c:v>-79.165906652844143</c:v>
                </c:pt>
                <c:pt idx="208">
                  <c:v>-79.47968352439301</c:v>
                </c:pt>
                <c:pt idx="209">
                  <c:v>-79.778679273134074</c:v>
                </c:pt>
                <c:pt idx="210">
                  <c:v>-80.071453607950872</c:v>
                </c:pt>
                <c:pt idx="211">
                  <c:v>-80.3505932512019</c:v>
                </c:pt>
                <c:pt idx="212">
                  <c:v>-80.61697261928667</c:v>
                </c:pt>
                <c:pt idx="213">
                  <c:v>-80.871395152444407</c:v>
                </c:pt>
                <c:pt idx="214">
                  <c:v>-81.119338879703221</c:v>
                </c:pt>
                <c:pt idx="215">
                  <c:v>-81.356335692416337</c:v>
                </c:pt>
                <c:pt idx="216">
                  <c:v>-81.583051309088134</c:v>
                </c:pt>
                <c:pt idx="217">
                  <c:v>-81.800100086895313</c:v>
                </c:pt>
                <c:pt idx="218">
                  <c:v>-82.012689415498571</c:v>
                </c:pt>
                <c:pt idx="219">
                  <c:v>-82.216321530230715</c:v>
                </c:pt>
                <c:pt idx="220">
                  <c:v>-82.41151604423257</c:v>
                </c:pt>
                <c:pt idx="221">
                  <c:v>-82.598754274250481</c:v>
                </c:pt>
                <c:pt idx="222">
                  <c:v>-82.782406991812806</c:v>
                </c:pt>
                <c:pt idx="223">
                  <c:v>-82.958653736733538</c:v>
                </c:pt>
                <c:pt idx="224">
                  <c:v>-83.127905364546862</c:v>
                </c:pt>
                <c:pt idx="225">
                  <c:v>-83.290543749727718</c:v>
                </c:pt>
                <c:pt idx="226">
                  <c:v>-83.450744566736262</c:v>
                </c:pt>
                <c:pt idx="227">
                  <c:v>-83.604727739445011</c:v>
                </c:pt>
                <c:pt idx="228">
                  <c:v>-83.752824879992431</c:v>
                </c:pt>
                <c:pt idx="229">
                  <c:v>-83.895345106133462</c:v>
                </c:pt>
                <c:pt idx="230">
                  <c:v>-84.171095990711095</c:v>
                </c:pt>
                <c:pt idx="231">
                  <c:v>-84.301352473355905</c:v>
                </c:pt>
                <c:pt idx="232">
                  <c:v>-84.426872268872373</c:v>
                </c:pt>
                <c:pt idx="233">
                  <c:v>-84.550711691094378</c:v>
                </c:pt>
                <c:pt idx="234">
                  <c:v>-84.670071713505422</c:v>
                </c:pt>
                <c:pt idx="235">
                  <c:v>-84.785174424849131</c:v>
                </c:pt>
                <c:pt idx="236">
                  <c:v>-84.896227915006691</c:v>
                </c:pt>
                <c:pt idx="237">
                  <c:v>-85.005563808399941</c:v>
                </c:pt>
                <c:pt idx="238">
                  <c:v>-85.111082076923608</c:v>
                </c:pt>
                <c:pt idx="239">
                  <c:v>-85.212965205376008</c:v>
                </c:pt>
                <c:pt idx="240">
                  <c:v>-85.311384594381764</c:v>
                </c:pt>
                <c:pt idx="241">
                  <c:v>-85.408891400522606</c:v>
                </c:pt>
                <c:pt idx="242">
                  <c:v>-85.503087929772363</c:v>
                </c:pt>
                <c:pt idx="243">
                  <c:v>-85.594127835337758</c:v>
                </c:pt>
                <c:pt idx="244">
                  <c:v>-85.682155714119347</c:v>
                </c:pt>
                <c:pt idx="245">
                  <c:v>-85.769163201740696</c:v>
                </c:pt>
                <c:pt idx="246">
                  <c:v>-85.85330295516016</c:v>
                </c:pt>
                <c:pt idx="247">
                  <c:v>-85.934704055872444</c:v>
                </c:pt>
                <c:pt idx="248">
                  <c:v>-86.013488213403875</c:v>
                </c:pt>
                <c:pt idx="249">
                  <c:v>-86.091600482713417</c:v>
                </c:pt>
                <c:pt idx="250">
                  <c:v>-86.167203594085677</c:v>
                </c:pt>
                <c:pt idx="251">
                  <c:v>-86.240407500066183</c:v>
                </c:pt>
                <c:pt idx="252">
                  <c:v>-86.311316045224089</c:v>
                </c:pt>
                <c:pt idx="253">
                  <c:v>-86.381458527070677</c:v>
                </c:pt>
                <c:pt idx="254">
                  <c:v>-86.449408580649134</c:v>
                </c:pt>
                <c:pt idx="255">
                  <c:v>-86.515259602457505</c:v>
                </c:pt>
                <c:pt idx="256">
                  <c:v>-86.579099949697948</c:v>
                </c:pt>
                <c:pt idx="257">
                  <c:v>-86.64259235369758</c:v>
                </c:pt>
                <c:pt idx="258">
                  <c:v>-86.704142073637655</c:v>
                </c:pt>
                <c:pt idx="259">
                  <c:v>-86.763830050575862</c:v>
                </c:pt>
                <c:pt idx="260">
                  <c:v>-86.821732958221006</c:v>
                </c:pt>
                <c:pt idx="261">
                  <c:v>-86.879181178249169</c:v>
                </c:pt>
                <c:pt idx="262">
                  <c:v>-86.934911972852717</c:v>
                </c:pt>
                <c:pt idx="263">
                  <c:v>-86.98899520813174</c:v>
                </c:pt>
                <c:pt idx="264">
                  <c:v>-87.041497156975339</c:v>
                </c:pt>
                <c:pt idx="265">
                  <c:v>-87.093596907973378</c:v>
                </c:pt>
                <c:pt idx="266">
                  <c:v>-87.144173807332479</c:v>
                </c:pt>
                <c:pt idx="267">
                  <c:v>-87.193288393811542</c:v>
                </c:pt>
                <c:pt idx="268">
                  <c:v>-87.240998166317937</c:v>
                </c:pt>
                <c:pt idx="269">
                  <c:v>-87.288461304219894</c:v>
                </c:pt>
                <c:pt idx="270">
                  <c:v>-87.334564030777315</c:v>
                </c:pt>
                <c:pt idx="271">
                  <c:v>-87.379359356386317</c:v>
                </c:pt>
                <c:pt idx="272">
                  <c:v>-87.422897684597984</c:v>
                </c:pt>
                <c:pt idx="273">
                  <c:v>-87.466211081316303</c:v>
                </c:pt>
                <c:pt idx="274">
                  <c:v>-87.508306642219708</c:v>
                </c:pt>
                <c:pt idx="275">
                  <c:v>-87.549230907073223</c:v>
                </c:pt>
                <c:pt idx="276">
                  <c:v>-87.589028172977535</c:v>
                </c:pt>
                <c:pt idx="277">
                  <c:v>-87.628532226217914</c:v>
                </c:pt>
                <c:pt idx="278">
                  <c:v>-87.666948725891672</c:v>
                </c:pt>
                <c:pt idx="279">
                  <c:v>-87.704318363103738</c:v>
                </c:pt>
                <c:pt idx="280">
                  <c:v>-87.740679910605394</c:v>
                </c:pt>
                <c:pt idx="281">
                  <c:v>-87.777015814871959</c:v>
                </c:pt>
                <c:pt idx="282">
                  <c:v>-87.812365436305726</c:v>
                </c:pt>
                <c:pt idx="283">
                  <c:v>-87.84676515946758</c:v>
                </c:pt>
                <c:pt idx="284">
                  <c:v>-87.880249678916414</c:v>
                </c:pt>
                <c:pt idx="285">
                  <c:v>-87.913488297081713</c:v>
                </c:pt>
                <c:pt idx="286">
                  <c:v>-87.945843053447277</c:v>
                </c:pt>
                <c:pt idx="287">
                  <c:v>-87.977345898936804</c:v>
                </c:pt>
                <c:pt idx="288">
                  <c:v>-88.008027331128233</c:v>
                </c:pt>
                <c:pt idx="289">
                  <c:v>-88.038679210919625</c:v>
                </c:pt>
                <c:pt idx="290">
                  <c:v>-88.068527307763986</c:v>
                </c:pt>
                <c:pt idx="291">
                  <c:v>-88.097600284913256</c:v>
                </c:pt>
                <c:pt idx="292">
                  <c:v>-88.125925520227128</c:v>
                </c:pt>
                <c:pt idx="293">
                  <c:v>-88.154158746506042</c:v>
                </c:pt>
                <c:pt idx="294">
                  <c:v>-88.181663424325947</c:v>
                </c:pt>
                <c:pt idx="295">
                  <c:v>-88.208465132765383</c:v>
                </c:pt>
                <c:pt idx="296">
                  <c:v>-88.234588322110383</c:v>
                </c:pt>
                <c:pt idx="297">
                  <c:v>-88.26062423758124</c:v>
                </c:pt>
                <c:pt idx="298">
                  <c:v>-88.285998989155757</c:v>
                </c:pt>
                <c:pt idx="299">
                  <c:v>-88.310735436115166</c:v>
                </c:pt>
                <c:pt idx="300">
                  <c:v>-88.334855444779038</c:v>
                </c:pt>
                <c:pt idx="301">
                  <c:v>-88.358892989576518</c:v>
                </c:pt>
                <c:pt idx="302">
                  <c:v>-88.382329799469332</c:v>
                </c:pt>
                <c:pt idx="303">
                  <c:v>-88.405186331586705</c:v>
                </c:pt>
                <c:pt idx="304">
                  <c:v>-88.427482168130894</c:v>
                </c:pt>
                <c:pt idx="305">
                  <c:v>-88.44978472483875</c:v>
                </c:pt>
                <c:pt idx="306">
                  <c:v>-88.471536664672144</c:v>
                </c:pt>
                <c:pt idx="307">
                  <c:v>-88.492756527729966</c:v>
                </c:pt>
                <c:pt idx="308">
                  <c:v>-88.513462070303376</c:v>
                </c:pt>
                <c:pt idx="309">
                  <c:v>-88.534090917864049</c:v>
                </c:pt>
                <c:pt idx="310">
                  <c:v>-88.554218625424582</c:v>
                </c:pt>
                <c:pt idx="311">
                  <c:v>-88.573861815072235</c:v>
                </c:pt>
                <c:pt idx="312">
                  <c:v>-88.593036416796281</c:v>
                </c:pt>
                <c:pt idx="313">
                  <c:v>-88.612208781499518</c:v>
                </c:pt>
                <c:pt idx="314">
                  <c:v>-88.63092118345628</c:v>
                </c:pt>
                <c:pt idx="315">
                  <c:v>-88.649188707139118</c:v>
                </c:pt>
                <c:pt idx="316">
                  <c:v>-88.667025816100107</c:v>
                </c:pt>
                <c:pt idx="317">
                  <c:v>-88.684856192733946</c:v>
                </c:pt>
                <c:pt idx="318">
                  <c:v>-88.70226423304625</c:v>
                </c:pt>
                <c:pt idx="319">
                  <c:v>-88.719263629847958</c:v>
                </c:pt>
                <c:pt idx="320">
                  <c:v>-88.735867518758241</c:v>
                </c:pt>
                <c:pt idx="321">
                  <c:v>-88.752461279838982</c:v>
                </c:pt>
                <c:pt idx="322">
                  <c:v>-88.768667079532122</c:v>
                </c:pt>
                <c:pt idx="323">
                  <c:v>-88.784497351512073</c:v>
                </c:pt>
                <c:pt idx="324">
                  <c:v>-88.799964029298295</c:v>
                </c:pt>
                <c:pt idx="325">
                  <c:v>-88.815418077268433</c:v>
                </c:pt>
                <c:pt idx="326">
                  <c:v>-88.83051556513891</c:v>
                </c:pt>
                <c:pt idx="327">
                  <c:v>-88.845267787600392</c:v>
                </c:pt>
                <c:pt idx="328">
                  <c:v>-88.85968559022362</c:v>
                </c:pt>
                <c:pt idx="329">
                  <c:v>-88.87411279223376</c:v>
                </c:pt>
                <c:pt idx="330">
                  <c:v>-88.888211038663172</c:v>
                </c:pt>
                <c:pt idx="331">
                  <c:v>-88.901990644568343</c:v>
                </c:pt>
                <c:pt idx="332">
                  <c:v>-88.915461518904493</c:v>
                </c:pt>
                <c:pt idx="333">
                  <c:v>-88.928915797936213</c:v>
                </c:pt>
                <c:pt idx="334">
                  <c:v>-88.942067495827843</c:v>
                </c:pt>
                <c:pt idx="335">
                  <c:v>-88.954925987882518</c:v>
                </c:pt>
                <c:pt idx="336">
                  <c:v>-88.967500284581803</c:v>
                </c:pt>
                <c:pt idx="337">
                  <c:v>-88.980097100767864</c:v>
                </c:pt>
                <c:pt idx="338">
                  <c:v>-88.99241366533623</c:v>
                </c:pt>
                <c:pt idx="339">
                  <c:v>-89.004458584538369</c:v>
                </c:pt>
                <c:pt idx="340">
                  <c:v>-89.016240132594859</c:v>
                </c:pt>
                <c:pt idx="341">
                  <c:v>-89.028038947466285</c:v>
                </c:pt>
                <c:pt idx="342">
                  <c:v>-89.039578194914071</c:v>
                </c:pt>
                <c:pt idx="343">
                  <c:v>-89.050865772669425</c:v>
                </c:pt>
                <c:pt idx="344">
                  <c:v>-89.061909276444325</c:v>
                </c:pt>
                <c:pt idx="345">
                  <c:v>-89.072949090146537</c:v>
                </c:pt>
                <c:pt idx="346">
                  <c:v>-89.083749197083407</c:v>
                </c:pt>
                <c:pt idx="347">
                  <c:v>-89.094316810794169</c:v>
                </c:pt>
                <c:pt idx="348">
                  <c:v>-89.104658871846596</c:v>
                </c:pt>
                <c:pt idx="349">
                  <c:v>-89.115026287681772</c:v>
                </c:pt>
                <c:pt idx="350">
                  <c:v>-89.125170932981405</c:v>
                </c:pt>
                <c:pt idx="351">
                  <c:v>-89.135099456363179</c:v>
                </c:pt>
                <c:pt idx="352">
                  <c:v>-89.144818256784532</c:v>
                </c:pt>
                <c:pt idx="353">
                  <c:v>-89.154557616228203</c:v>
                </c:pt>
                <c:pt idx="354">
                  <c:v>-89.164089967356659</c:v>
                </c:pt>
                <c:pt idx="355">
                  <c:v>-89.173421435174291</c:v>
                </c:pt>
                <c:pt idx="356">
                  <c:v>-89.182557916522228</c:v>
                </c:pt>
                <c:pt idx="357">
                  <c:v>-89.191698092233125</c:v>
                </c:pt>
                <c:pt idx="358">
                  <c:v>-89.200646448765013</c:v>
                </c:pt>
                <c:pt idx="359">
                  <c:v>-89.209408603125624</c:v>
                </c:pt>
                <c:pt idx="360">
                  <c:v>-89.217989965093253</c:v>
                </c:pt>
                <c:pt idx="361">
                  <c:v>-89.22659688367915</c:v>
                </c:pt>
                <c:pt idx="362">
                  <c:v>-89.235025019513358</c:v>
                </c:pt>
                <c:pt idx="363">
                  <c:v>-89.243279566741307</c:v>
                </c:pt>
                <c:pt idx="364">
                  <c:v>-89.251365529238541</c:v>
                </c:pt>
                <c:pt idx="365">
                  <c:v>-89.259461953730209</c:v>
                </c:pt>
                <c:pt idx="366">
                  <c:v>-89.267392218359959</c:v>
                </c:pt>
                <c:pt idx="367">
                  <c:v>-89.275161104351298</c:v>
                </c:pt>
                <c:pt idx="368">
                  <c:v>-89.282773219312418</c:v>
                </c:pt>
                <c:pt idx="369">
                  <c:v>-89.290413573443942</c:v>
                </c:pt>
                <c:pt idx="370">
                  <c:v>-89.297898658039045</c:v>
                </c:pt>
                <c:pt idx="371">
                  <c:v>-89.305232908418262</c:v>
                </c:pt>
                <c:pt idx="372">
                  <c:v>-89.312420599876987</c:v>
                </c:pt>
                <c:pt idx="373">
                  <c:v>-89.319623089121166</c:v>
                </c:pt>
                <c:pt idx="374">
                  <c:v>-89.3266808947741</c:v>
                </c:pt>
                <c:pt idx="375">
                  <c:v>-89.333598112619867</c:v>
                </c:pt>
                <c:pt idx="376">
                  <c:v>-89.340378691853701</c:v>
                </c:pt>
                <c:pt idx="377">
                  <c:v>-89.347188618562285</c:v>
                </c:pt>
                <c:pt idx="378">
                  <c:v>-89.353863038868013</c:v>
                </c:pt>
                <c:pt idx="379">
                  <c:v>-89.360405762422062</c:v>
                </c:pt>
                <c:pt idx="380">
                  <c:v>-89.366820463326363</c:v>
                </c:pt>
                <c:pt idx="381">
                  <c:v>-89.373244702545961</c:v>
                </c:pt>
                <c:pt idx="382">
                  <c:v>-89.379542692338916</c:v>
                </c:pt>
                <c:pt idx="383">
                  <c:v>-89.385717947497312</c:v>
                </c:pt>
                <c:pt idx="384">
                  <c:v>-89.391773858839258</c:v>
                </c:pt>
                <c:pt idx="385">
                  <c:v>-89.397859459722696</c:v>
                </c:pt>
                <c:pt idx="386">
                  <c:v>-89.40382656144304</c:v>
                </c:pt>
                <c:pt idx="387">
                  <c:v>-89.409678441521208</c:v>
                </c:pt>
                <c:pt idx="388">
                  <c:v>-89.415418262497795</c:v>
                </c:pt>
                <c:pt idx="389">
                  <c:v>-89.421177185110764</c:v>
                </c:pt>
                <c:pt idx="390">
                  <c:v>-89.426825187732291</c:v>
                </c:pt>
                <c:pt idx="391">
                  <c:v>-89.432365313143279</c:v>
                </c:pt>
                <c:pt idx="392">
                  <c:v>-89.437800498127231</c:v>
                </c:pt>
                <c:pt idx="393">
                  <c:v>-89.443252200615234</c:v>
                </c:pt>
                <c:pt idx="394">
                  <c:v>-89.448600085129485</c:v>
                </c:pt>
                <c:pt idx="395">
                  <c:v>-89.453846975172112</c:v>
                </c:pt>
                <c:pt idx="396">
                  <c:v>-89.458995596610251</c:v>
                </c:pt>
                <c:pt idx="397">
                  <c:v>-89.464170087784424</c:v>
                </c:pt>
                <c:pt idx="398">
                  <c:v>-89.469246973446118</c:v>
                </c:pt>
                <c:pt idx="399">
                  <c:v>-89.474228890154365</c:v>
                </c:pt>
                <c:pt idx="400">
                  <c:v>-89.479118383800127</c:v>
                </c:pt>
                <c:pt idx="401">
                  <c:v>-89.484025235203532</c:v>
                </c:pt>
                <c:pt idx="402">
                  <c:v>-89.4888405539551</c:v>
                </c:pt>
                <c:pt idx="403">
                  <c:v>-89.493566791913452</c:v>
                </c:pt>
                <c:pt idx="404">
                  <c:v>-89.498206317214283</c:v>
                </c:pt>
                <c:pt idx="405">
                  <c:v>-89.502866016224615</c:v>
                </c:pt>
                <c:pt idx="406">
                  <c:v>-89.507439698278844</c:v>
                </c:pt>
                <c:pt idx="407">
                  <c:v>-89.51192964972762</c:v>
                </c:pt>
                <c:pt idx="408">
                  <c:v>-89.516338079346468</c:v>
                </c:pt>
                <c:pt idx="409">
                  <c:v>-89.520768913027268</c:v>
                </c:pt>
                <c:pt idx="410">
                  <c:v>-89.525118758616571</c:v>
                </c:pt>
                <c:pt idx="411">
                  <c:v>-89.529389753438494</c:v>
                </c:pt>
                <c:pt idx="412">
                  <c:v>-89.533583962715468</c:v>
                </c:pt>
                <c:pt idx="413">
                  <c:v>-89.537798008679772</c:v>
                </c:pt>
                <c:pt idx="414">
                  <c:v>-89.541935823319932</c:v>
                </c:pt>
                <c:pt idx="415">
                  <c:v>-89.545999403083812</c:v>
                </c:pt>
                <c:pt idx="416">
                  <c:v>-89.549990677487912</c:v>
                </c:pt>
                <c:pt idx="417">
                  <c:v>-89.554003545170417</c:v>
                </c:pt>
                <c:pt idx="418">
                  <c:v>-89.557944530105914</c:v>
                </c:pt>
                <c:pt idx="419">
                  <c:v>-89.561815501473291</c:v>
                </c:pt>
                <c:pt idx="420">
                  <c:v>-89.565618266141612</c:v>
                </c:pt>
                <c:pt idx="421">
                  <c:v>-89.569436527296091</c:v>
                </c:pt>
                <c:pt idx="422">
                  <c:v>-89.573187157851947</c:v>
                </c:pt>
                <c:pt idx="423">
                  <c:v>-89.57687190136842</c:v>
                </c:pt>
                <c:pt idx="424">
                  <c:v>-89.580492443693643</c:v>
                </c:pt>
                <c:pt idx="425">
                  <c:v>-89.584137188550486</c:v>
                </c:pt>
                <c:pt idx="426">
                  <c:v>-89.587717941154096</c:v>
                </c:pt>
                <c:pt idx="427">
                  <c:v>-89.591236341111767</c:v>
                </c:pt>
                <c:pt idx="428">
                  <c:v>-89.594693974013509</c:v>
                </c:pt>
                <c:pt idx="429">
                  <c:v>-89.598170036200585</c:v>
                </c:pt>
                <c:pt idx="430">
                  <c:v>-89.601585690482537</c:v>
                </c:pt>
                <c:pt idx="431">
                  <c:v>-89.604942472811956</c:v>
                </c:pt>
                <c:pt idx="432">
                  <c:v>-89.608241868848523</c:v>
                </c:pt>
                <c:pt idx="433">
                  <c:v>-89.611557773989418</c:v>
                </c:pt>
                <c:pt idx="434">
                  <c:v>-89.614816666547355</c:v>
                </c:pt>
                <c:pt idx="435">
                  <c:v>-89.618019984409287</c:v>
                </c:pt>
                <c:pt idx="436">
                  <c:v>-89.621169118688996</c:v>
                </c:pt>
                <c:pt idx="437">
                  <c:v>-89.624338705032187</c:v>
                </c:pt>
                <c:pt idx="438">
                  <c:v>-89.627454298726789</c:v>
                </c:pt>
                <c:pt idx="439">
                  <c:v>-89.630517252259978</c:v>
                </c:pt>
                <c:pt idx="440">
                  <c:v>-89.633528874354241</c:v>
                </c:pt>
                <c:pt idx="441">
                  <c:v>-89.63655890303761</c:v>
                </c:pt>
                <c:pt idx="442">
                  <c:v>-89.639537818282449</c:v>
                </c:pt>
                <c:pt idx="443">
                  <c:v>-89.642466891100312</c:v>
                </c:pt>
                <c:pt idx="444">
                  <c:v>-89.645347351610965</c:v>
                </c:pt>
                <c:pt idx="445">
                  <c:v>-89.648244403701156</c:v>
                </c:pt>
                <c:pt idx="446">
                  <c:v>-89.651093081582175</c:v>
                </c:pt>
                <c:pt idx="447">
                  <c:v>-89.653894578782442</c:v>
                </c:pt>
                <c:pt idx="448">
                  <c:v>-89.65665005067045</c:v>
                </c:pt>
                <c:pt idx="449">
                  <c:v>-89.659425108317905</c:v>
                </c:pt>
                <c:pt idx="450">
                  <c:v>-89.662154241295994</c:v>
                </c:pt>
                <c:pt idx="451">
                  <c:v>-89.664838575205991</c:v>
                </c:pt>
                <c:pt idx="452">
                  <c:v>-89.667479199842845</c:v>
                </c:pt>
                <c:pt idx="453">
                  <c:v>-89.670135384771285</c:v>
                </c:pt>
                <c:pt idx="454">
                  <c:v>-89.672748059191321</c:v>
                </c:pt>
                <c:pt idx="455">
                  <c:v>-89.675318281072052</c:v>
                </c:pt>
                <c:pt idx="456">
                  <c:v>-89.677847074942079</c:v>
                </c:pt>
                <c:pt idx="457">
                  <c:v>-89.680394002617518</c:v>
                </c:pt>
                <c:pt idx="458">
                  <c:v>-89.682899583703318</c:v>
                </c:pt>
                <c:pt idx="459">
                  <c:v>-89.685364816700869</c:v>
                </c:pt>
                <c:pt idx="460">
                  <c:v>-89.687790668716943</c:v>
                </c:pt>
                <c:pt idx="461">
                  <c:v>-89.690232971646765</c:v>
                </c:pt>
                <c:pt idx="462">
                  <c:v>-89.692635999484779</c:v>
                </c:pt>
                <c:pt idx="463">
                  <c:v>-89.695000693758331</c:v>
                </c:pt>
                <c:pt idx="464">
                  <c:v>-89.697327966562668</c:v>
                </c:pt>
                <c:pt idx="465">
                  <c:v>-89.699671959556113</c:v>
                </c:pt>
                <c:pt idx="466">
                  <c:v>-89.701978599839492</c:v>
                </c:pt>
                <c:pt idx="467">
                  <c:v>-89.704248776538165</c:v>
                </c:pt>
                <c:pt idx="468">
                  <c:v>-89.706483351137038</c:v>
                </c:pt>
                <c:pt idx="469">
                  <c:v>-89.708733135022314</c:v>
                </c:pt>
                <c:pt idx="470">
                  <c:v>-89.710947406855112</c:v>
                </c:pt>
                <c:pt idx="471">
                  <c:v>-89.713127005572076</c:v>
                </c:pt>
                <c:pt idx="472">
                  <c:v>-89.715272744186763</c:v>
                </c:pt>
                <c:pt idx="473">
                  <c:v>-89.717435464535328</c:v>
                </c:pt>
                <c:pt idx="474">
                  <c:v>-89.719564334145645</c:v>
                </c:pt>
                <c:pt idx="475">
                  <c:v>-89.7216601474518</c:v>
                </c:pt>
                <c:pt idx="476">
                  <c:v>-89.723723674464722</c:v>
                </c:pt>
                <c:pt idx="477">
                  <c:v>-89.725802684457562</c:v>
                </c:pt>
                <c:pt idx="478">
                  <c:v>-89.727849441612904</c:v>
                </c:pt>
                <c:pt idx="479">
                  <c:v>-89.729864697501085</c:v>
                </c:pt>
                <c:pt idx="480">
                  <c:v>-89.731849180716665</c:v>
                </c:pt>
                <c:pt idx="481">
                  <c:v>-89.733847797835608</c:v>
                </c:pt>
                <c:pt idx="482">
                  <c:v>-89.735815695375479</c:v>
                </c:pt>
                <c:pt idx="483">
                  <c:v>-89.737753583769418</c:v>
                </c:pt>
                <c:pt idx="484">
                  <c:v>-89.739662151865019</c:v>
                </c:pt>
                <c:pt idx="485">
                  <c:v>-89.741584937523811</c:v>
                </c:pt>
                <c:pt idx="486">
                  <c:v>-89.743478432376946</c:v>
                </c:pt>
                <c:pt idx="487">
                  <c:v>-89.745343308853393</c:v>
                </c:pt>
                <c:pt idx="488">
                  <c:v>-89.747180219071979</c:v>
                </c:pt>
                <c:pt idx="489">
                  <c:v>-89.749032581783837</c:v>
                </c:pt>
                <c:pt idx="490">
                  <c:v>-89.750856951121875</c:v>
                </c:pt>
                <c:pt idx="491">
                  <c:v>-89.752653965569721</c:v>
                </c:pt>
                <c:pt idx="492">
                  <c:v>-89.754424244424257</c:v>
                </c:pt>
                <c:pt idx="493">
                  <c:v>-89.756208670506567</c:v>
                </c:pt>
                <c:pt idx="494">
                  <c:v>-89.757966355665801</c:v>
                </c:pt>
                <c:pt idx="495">
                  <c:v>-89.759697905567663</c:v>
                </c:pt>
                <c:pt idx="496">
                  <c:v>-89.761403907779567</c:v>
                </c:pt>
                <c:pt idx="497">
                  <c:v>-89.76312396017984</c:v>
                </c:pt>
                <c:pt idx="498">
                  <c:v>-89.764818445624329</c:v>
                </c:pt>
                <c:pt idx="499">
                  <c:v>-89.766487939246844</c:v>
                </c:pt>
                <c:pt idx="500">
                  <c:v>-89.768132999089673</c:v>
                </c:pt>
                <c:pt idx="501">
                  <c:v>-89.769791968363322</c:v>
                </c:pt>
                <c:pt idx="502">
                  <c:v>-89.771426473066896</c:v>
                </c:pt>
                <c:pt idx="503">
                  <c:v>-89.773037059868287</c:v>
                </c:pt>
                <c:pt idx="504">
                  <c:v>-89.774624259277431</c:v>
                </c:pt>
                <c:pt idx="505">
                  <c:v>-89.776224227468603</c:v>
                </c:pt>
                <c:pt idx="506">
                  <c:v>-89.777800796095363</c:v>
                </c:pt>
                <c:pt idx="507">
                  <c:v>-89.77935448430172</c:v>
                </c:pt>
                <c:pt idx="508">
                  <c:v>-89.780885795977568</c:v>
                </c:pt>
                <c:pt idx="509">
                  <c:v>-89.782429749694003</c:v>
                </c:pt>
                <c:pt idx="510">
                  <c:v>-89.783951304079238</c:v>
                </c:pt>
                <c:pt idx="511">
                  <c:v>-89.785450952621872</c:v>
                </c:pt>
                <c:pt idx="512">
                  <c:v>-89.786929174394061</c:v>
                </c:pt>
                <c:pt idx="513">
                  <c:v>-89.788420736597132</c:v>
                </c:pt>
                <c:pt idx="514">
                  <c:v>-89.789890815848878</c:v>
                </c:pt>
                <c:pt idx="515">
                  <c:v>-89.791339882481807</c:v>
                </c:pt>
                <c:pt idx="516">
                  <c:v>-89.792768393158795</c:v>
                </c:pt>
                <c:pt idx="517">
                  <c:v>-89.794209177205147</c:v>
                </c:pt>
                <c:pt idx="518">
                  <c:v>-89.795629367518202</c:v>
                </c:pt>
                <c:pt idx="519">
                  <c:v>-89.797029411925706</c:v>
                </c:pt>
                <c:pt idx="520">
                  <c:v>-89.798409745313151</c:v>
                </c:pt>
                <c:pt idx="521">
                  <c:v>-89.799802144975388</c:v>
                </c:pt>
                <c:pt idx="522">
                  <c:v>-89.801174789931579</c:v>
                </c:pt>
                <c:pt idx="523">
                  <c:v>-89.802528106919269</c:v>
                </c:pt>
                <c:pt idx="524">
                  <c:v>-89.803862510411847</c:v>
                </c:pt>
                <c:pt idx="525">
                  <c:v>-89.805208754515675</c:v>
                </c:pt>
                <c:pt idx="526">
                  <c:v>-89.806536036716906</c:v>
                </c:pt>
                <c:pt idx="527">
                  <c:v>-89.807844763956084</c:v>
                </c:pt>
                <c:pt idx="528">
                  <c:v>-89.809135331542876</c:v>
                </c:pt>
                <c:pt idx="529">
                  <c:v>-89.810437499014185</c:v>
                </c:pt>
                <c:pt idx="530">
                  <c:v>-89.81172145472496</c:v>
                </c:pt>
                <c:pt idx="531">
                  <c:v>-89.812987587003903</c:v>
                </c:pt>
                <c:pt idx="532">
                  <c:v>-89.814236273141532</c:v>
                </c:pt>
                <c:pt idx="533">
                  <c:v>-89.815496952388699</c:v>
                </c:pt>
                <c:pt idx="534">
                  <c:v>-89.816740112680847</c:v>
                </c:pt>
                <c:pt idx="535">
                  <c:v>-89.817966125390143</c:v>
                </c:pt>
                <c:pt idx="536">
                  <c:v>-89.819175351384615</c:v>
                </c:pt>
                <c:pt idx="537">
                  <c:v>-89.820395034155624</c:v>
                </c:pt>
                <c:pt idx="538">
                  <c:v>-89.821597890702435</c:v>
                </c:pt>
                <c:pt idx="539">
                  <c:v>-89.822784275290218</c:v>
                </c:pt>
                <c:pt idx="540">
                  <c:v>-89.823954532223269</c:v>
                </c:pt>
                <c:pt idx="541">
                  <c:v>-89.825136183471884</c:v>
                </c:pt>
                <c:pt idx="542">
                  <c:v>-89.826301632826272</c:v>
                </c:pt>
                <c:pt idx="543">
                  <c:v>-89.827451219452627</c:v>
                </c:pt>
                <c:pt idx="544">
                  <c:v>-89.828585273027613</c:v>
                </c:pt>
                <c:pt idx="545">
                  <c:v>-89.829729853270294</c:v>
                </c:pt>
                <c:pt idx="546">
                  <c:v>-89.830858841741232</c:v>
                </c:pt>
                <c:pt idx="547">
                  <c:v>-89.831972562819573</c:v>
                </c:pt>
                <c:pt idx="548">
                  <c:v>-89.833071331857653</c:v>
                </c:pt>
                <c:pt idx="549">
                  <c:v>-89.834180351104706</c:v>
                </c:pt>
                <c:pt idx="550">
                  <c:v>-89.835274359131077</c:v>
                </c:pt>
                <c:pt idx="551">
                  <c:v>-89.836353666327071</c:v>
                </c:pt>
                <c:pt idx="552">
                  <c:v>-89.83741857449202</c:v>
                </c:pt>
                <c:pt idx="553">
                  <c:v>-89.838493945940243</c:v>
                </c:pt>
                <c:pt idx="554">
                  <c:v>-89.839554845944491</c:v>
                </c:pt>
                <c:pt idx="555">
                  <c:v>-89.840601572052023</c:v>
                </c:pt>
                <c:pt idx="556">
                  <c:v>-89.841634413615324</c:v>
                </c:pt>
                <c:pt idx="557">
                  <c:v>-89.843706433717173</c:v>
                </c:pt>
                <c:pt idx="558">
                  <c:v>-89.845723765592084</c:v>
                </c:pt>
                <c:pt idx="559">
                  <c:v>-89.847733037427275</c:v>
                </c:pt>
                <c:pt idx="560">
                  <c:v>-89.849689594829115</c:v>
                </c:pt>
                <c:pt idx="561">
                  <c:v>-89.851640158477608</c:v>
                </c:pt>
                <c:pt idx="562">
                  <c:v>-89.853539806757922</c:v>
                </c:pt>
                <c:pt idx="563">
                  <c:v>-89.855429750623969</c:v>
                </c:pt>
                <c:pt idx="564">
                  <c:v>-89.857270709389482</c:v>
                </c:pt>
                <c:pt idx="565">
                  <c:v>-89.859109242135261</c:v>
                </c:pt>
                <c:pt idx="566">
                  <c:v>-89.860900279337812</c:v>
                </c:pt>
                <c:pt idx="567">
                  <c:v>-89.862688042755011</c:v>
                </c:pt>
                <c:pt idx="568">
                  <c:v>-89.864429796479868</c:v>
                </c:pt>
                <c:pt idx="569">
                  <c:v>-89.866160848470642</c:v>
                </c:pt>
                <c:pt idx="570">
                  <c:v>-89.867847706449353</c:v>
                </c:pt>
                <c:pt idx="571">
                  <c:v>-89.869536637969944</c:v>
                </c:pt>
                <c:pt idx="572">
                  <c:v>-89.871182480816515</c:v>
                </c:pt>
                <c:pt idx="573">
                  <c:v>-89.87281712815107</c:v>
                </c:pt>
                <c:pt idx="574">
                  <c:v>-89.874410429238253</c:v>
                </c:pt>
                <c:pt idx="575">
                  <c:v>-89.87600417775198</c:v>
                </c:pt>
                <c:pt idx="576">
                  <c:v>-89.87755767697206</c:v>
                </c:pt>
                <c:pt idx="577">
                  <c:v>-89.883722665206633</c:v>
                </c:pt>
                <c:pt idx="578">
                  <c:v>-89.889294588253591</c:v>
                </c:pt>
                <c:pt idx="579">
                  <c:v>-89.899815653205877</c:v>
                </c:pt>
                <c:pt idx="580">
                  <c:v>-89.909288121939156</c:v>
                </c:pt>
                <c:pt idx="581">
                  <c:v>-89.917823128606088</c:v>
                </c:pt>
                <c:pt idx="582">
                  <c:v>-89.925532240588623</c:v>
                </c:pt>
                <c:pt idx="583">
                  <c:v>-89.932499761201811</c:v>
                </c:pt>
                <c:pt idx="584">
                  <c:v>-89.938807903785275</c:v>
                </c:pt>
                <c:pt idx="585">
                  <c:v>-89.944519250215961</c:v>
                </c:pt>
                <c:pt idx="586">
                  <c:v>-89.949692669963653</c:v>
                </c:pt>
                <c:pt idx="587">
                  <c:v>-89.954381493137461</c:v>
                </c:pt>
                <c:pt idx="588">
                  <c:v>-89.958626490699459</c:v>
                </c:pt>
                <c:pt idx="589">
                  <c:v>-89.962471840028371</c:v>
                </c:pt>
                <c:pt idx="590">
                  <c:v>-89.965952777658444</c:v>
                </c:pt>
                <c:pt idx="591">
                  <c:v>-89.969103257898837</c:v>
                </c:pt>
                <c:pt idx="592">
                  <c:v>-89.971953718576771</c:v>
                </c:pt>
                <c:pt idx="593">
                  <c:v>-89.974533281743248</c:v>
                </c:pt>
                <c:pt idx="594">
                  <c:v>-89.976867201418571</c:v>
                </c:pt>
                <c:pt idx="595">
                  <c:v>-89.978979716583098</c:v>
                </c:pt>
                <c:pt idx="596">
                  <c:v>-89.980892069836912</c:v>
                </c:pt>
                <c:pt idx="597">
                  <c:v>-89.982624348128937</c:v>
                </c:pt>
                <c:pt idx="598">
                  <c:v>-89.984193923504449</c:v>
                </c:pt>
                <c:pt idx="599">
                  <c:v>-89.985617236131787</c:v>
                </c:pt>
                <c:pt idx="600">
                  <c:v>-89.986908457791259</c:v>
                </c:pt>
              </c:numCache>
            </c:numRef>
          </c:yVal>
          <c:smooth val="0"/>
          <c:extLst>
            <c:ext xmlns:c16="http://schemas.microsoft.com/office/drawing/2014/chart" uri="{C3380CC4-5D6E-409C-BE32-E72D297353CC}">
              <c16:uniqueId val="{00000001-6E29-403F-BEE6-F2A617B26EB7}"/>
            </c:ext>
          </c:extLst>
        </c:ser>
        <c:dLbls>
          <c:showLegendKey val="0"/>
          <c:showVal val="0"/>
          <c:showCatName val="0"/>
          <c:showSerName val="0"/>
          <c:showPercent val="0"/>
          <c:showBubbleSize val="0"/>
        </c:dLbls>
        <c:axId val="196945024"/>
        <c:axId val="196946560"/>
      </c:scatterChart>
      <c:valAx>
        <c:axId val="196940928"/>
        <c:scaling>
          <c:logBase val="10"/>
          <c:orientation val="minMax"/>
          <c:max val="1000000"/>
          <c:min val="1"/>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6942848"/>
        <c:crossesAt val="-40"/>
        <c:crossBetween val="midCat"/>
        <c:majorUnit val="10"/>
        <c:minorUnit val="10"/>
      </c:valAx>
      <c:valAx>
        <c:axId val="19694284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96940928"/>
        <c:crossesAt val="0.1"/>
        <c:crossBetween val="midCat"/>
        <c:majorUnit val="20"/>
        <c:minorUnit val="4"/>
      </c:valAx>
      <c:valAx>
        <c:axId val="196945024"/>
        <c:scaling>
          <c:logBase val="10"/>
          <c:orientation val="minMax"/>
        </c:scaling>
        <c:delete val="1"/>
        <c:axPos val="t"/>
        <c:numFmt formatCode="General" sourceLinked="1"/>
        <c:majorTickMark val="out"/>
        <c:minorTickMark val="none"/>
        <c:tickLblPos val="none"/>
        <c:crossAx val="196946560"/>
        <c:crossesAt val="0"/>
        <c:crossBetween val="midCat"/>
      </c:valAx>
      <c:valAx>
        <c:axId val="196946560"/>
        <c:scaling>
          <c:orientation val="minMax"/>
          <c:max val="180"/>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9694502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V</a:t>
            </a:r>
            <a:r>
              <a:rPr lang="en-US" sz="1800" b="1" i="0" u="none" strike="noStrike" baseline="-25000"/>
              <a:t>IN</a:t>
            </a:r>
            <a:r>
              <a:rPr lang="en-US" sz="1800" b="1" i="0" u="none" strike="noStrike" baseline="0"/>
              <a:t> = V</a:t>
            </a:r>
            <a:r>
              <a:rPr lang="en-US" sz="1800" b="1" i="0" u="none" strike="noStrike" baseline="-25000"/>
              <a:t>IN(nom)</a:t>
            </a:r>
            <a:endParaRPr lang="en-US" sz="1800">
              <a:latin typeface="Arial" pitchFamily="34" charset="0"/>
              <a:cs typeface="Arial" pitchFamily="34" charset="0"/>
            </a:endParaRPr>
          </a:p>
        </c:rich>
      </c:tx>
      <c:layout>
        <c:manualLayout>
          <c:xMode val="edge"/>
          <c:yMode val="edge"/>
          <c:x val="8.1772222786336932E-2"/>
          <c:y val="4.614939768388470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Calculations'!$BO$9:$BO$109</c:f>
              <c:numCache>
                <c:formatCode>0.00</c:formatCode>
                <c:ptCount val="101"/>
                <c:pt idx="0">
                  <c:v>0</c:v>
                </c:pt>
                <c:pt idx="1">
                  <c:v>39.448163134226519</c:v>
                </c:pt>
                <c:pt idx="2">
                  <c:v>56.259382098437385</c:v>
                </c:pt>
                <c:pt idx="3">
                  <c:v>65.568350682646866</c:v>
                </c:pt>
                <c:pt idx="4">
                  <c:v>71.476812236597453</c:v>
                </c:pt>
                <c:pt idx="5">
                  <c:v>75.55733580381937</c:v>
                </c:pt>
                <c:pt idx="6">
                  <c:v>78.542339931254261</c:v>
                </c:pt>
                <c:pt idx="7">
                  <c:v>80.819050654560513</c:v>
                </c:pt>
                <c:pt idx="8">
                  <c:v>82.611429013221368</c:v>
                </c:pt>
                <c:pt idx="9">
                  <c:v>84.058011998037557</c:v>
                </c:pt>
                <c:pt idx="10">
                  <c:v>85.249095183073223</c:v>
                </c:pt>
                <c:pt idx="11">
                  <c:v>86.246049240461488</c:v>
                </c:pt>
                <c:pt idx="12">
                  <c:v>87.092043118907839</c:v>
                </c:pt>
                <c:pt idx="13">
                  <c:v>87.818326090264634</c:v>
                </c:pt>
                <c:pt idx="14">
                  <c:v>88.448076008719127</c:v>
                </c:pt>
                <c:pt idx="15">
                  <c:v>88.993004916253241</c:v>
                </c:pt>
                <c:pt idx="16">
                  <c:v>89.462093801013481</c:v>
                </c:pt>
                <c:pt idx="17">
                  <c:v>89.87795752959785</c:v>
                </c:pt>
                <c:pt idx="18">
                  <c:v>90.248800390803424</c:v>
                </c:pt>
                <c:pt idx="19">
                  <c:v>90.58122045277068</c:v>
                </c:pt>
                <c:pt idx="20">
                  <c:v>90.880584231613042</c:v>
                </c:pt>
                <c:pt idx="21">
                  <c:v>91.151301158914137</c:v>
                </c:pt>
                <c:pt idx="22">
                  <c:v>91.397027777996158</c:v>
                </c:pt>
                <c:pt idx="23">
                  <c:v>91.620821799843654</c:v>
                </c:pt>
                <c:pt idx="24">
                  <c:v>91.825259817860157</c:v>
                </c:pt>
                <c:pt idx="25">
                  <c:v>92.012528304606292</c:v>
                </c:pt>
                <c:pt idx="26">
                  <c:v>92.184494707575112</c:v>
                </c:pt>
                <c:pt idx="27">
                  <c:v>92.342763543128541</c:v>
                </c:pt>
                <c:pt idx="28">
                  <c:v>92.488721056209329</c:v>
                </c:pt>
                <c:pt idx="29">
                  <c:v>92.623571075677575</c:v>
                </c:pt>
                <c:pt idx="30">
                  <c:v>92.748364025841838</c:v>
                </c:pt>
                <c:pt idx="31">
                  <c:v>92.864020571185762</c:v>
                </c:pt>
                <c:pt idx="32">
                  <c:v>92.97135101788966</c:v>
                </c:pt>
                <c:pt idx="33">
                  <c:v>93.071071334709075</c:v>
                </c:pt>
                <c:pt idx="34">
                  <c:v>93.163816461036333</c:v>
                </c:pt>
                <c:pt idx="35">
                  <c:v>93.250151423336717</c:v>
                </c:pt>
                <c:pt idx="36">
                  <c:v>93.330580669770498</c:v>
                </c:pt>
                <c:pt idx="37">
                  <c:v>93.405555947512113</c:v>
                </c:pt>
                <c:pt idx="38">
                  <c:v>93.475482981446021</c:v>
                </c:pt>
                <c:pt idx="39">
                  <c:v>93.540727161739071</c:v>
                </c:pt>
                <c:pt idx="40">
                  <c:v>93.601618407726278</c:v>
                </c:pt>
                <c:pt idx="41">
                  <c:v>93.658455343981615</c:v>
                </c:pt>
                <c:pt idx="42">
                  <c:v>93.711508899419215</c:v>
                </c:pt>
                <c:pt idx="43">
                  <c:v>93.761025420314837</c:v>
                </c:pt>
                <c:pt idx="44">
                  <c:v>93.807229372132895</c:v>
                </c:pt>
                <c:pt idx="45">
                  <c:v>93.850325692143585</c:v>
                </c:pt>
                <c:pt idx="46">
                  <c:v>93.890501844360074</c:v>
                </c:pt>
                <c:pt idx="47">
                  <c:v>93.927929619814947</c:v>
                </c:pt>
                <c:pt idx="48">
                  <c:v>93.962766718232771</c:v>
                </c:pt>
                <c:pt idx="49">
                  <c:v>93.995158141436747</c:v>
                </c:pt>
                <c:pt idx="50">
                  <c:v>94.025237424108113</c:v>
                </c:pt>
                <c:pt idx="51">
                  <c:v>94.05312772360854</c:v>
                </c:pt>
                <c:pt idx="52">
                  <c:v>94.078942787325389</c:v>
                </c:pt>
                <c:pt idx="53">
                  <c:v>94.102787813286199</c:v>
                </c:pt>
                <c:pt idx="54">
                  <c:v>94.124760217516894</c:v>
                </c:pt>
                <c:pt idx="55">
                  <c:v>94.144950319707405</c:v>
                </c:pt>
                <c:pt idx="56">
                  <c:v>94.163441957137849</c:v>
                </c:pt>
                <c:pt idx="57">
                  <c:v>94.180313035455683</c:v>
                </c:pt>
                <c:pt idx="58">
                  <c:v>94.195636023737976</c:v>
                </c:pt>
                <c:pt idx="59">
                  <c:v>94.209478400288148</c:v>
                </c:pt>
                <c:pt idx="60">
                  <c:v>94.221903054777357</c:v>
                </c:pt>
                <c:pt idx="61">
                  <c:v>94.232968651621178</c:v>
                </c:pt>
                <c:pt idx="62">
                  <c:v>94.242729958865397</c:v>
                </c:pt>
                <c:pt idx="63">
                  <c:v>94.251238146324056</c:v>
                </c:pt>
                <c:pt idx="64">
                  <c:v>94.258541056255424</c:v>
                </c:pt>
                <c:pt idx="65">
                  <c:v>94.264683449464727</c:v>
                </c:pt>
                <c:pt idx="66">
                  <c:v>94.269707229381012</c:v>
                </c:pt>
                <c:pt idx="67">
                  <c:v>94.273651646356413</c:v>
                </c:pt>
                <c:pt idx="68">
                  <c:v>94.276553484177498</c:v>
                </c:pt>
                <c:pt idx="69">
                  <c:v>94.278447230552032</c:v>
                </c:pt>
                <c:pt idx="70">
                  <c:v>94.27936523313673</c:v>
                </c:pt>
                <c:pt idx="71">
                  <c:v>94.279337842498848</c:v>
                </c:pt>
                <c:pt idx="72">
                  <c:v>94.278393543252037</c:v>
                </c:pt>
                <c:pt idx="73">
                  <c:v>94.276559074473766</c:v>
                </c:pt>
                <c:pt idx="74">
                  <c:v>94.273859540393801</c:v>
                </c:pt>
                <c:pt idx="75">
                  <c:v>94.270318512239641</c:v>
                </c:pt>
                <c:pt idx="76">
                  <c:v>94.265958122032629</c:v>
                </c:pt>
                <c:pt idx="77">
                  <c:v>94.260799149047898</c:v>
                </c:pt>
                <c:pt idx="78">
                  <c:v>94.254861099578903</c:v>
                </c:pt>
                <c:pt idx="79">
                  <c:v>94.248162280583131</c:v>
                </c:pt>
                <c:pt idx="80">
                  <c:v>94.240719867729268</c:v>
                </c:pt>
                <c:pt idx="81">
                  <c:v>94.232549968314743</c:v>
                </c:pt>
                <c:pt idx="82">
                  <c:v>94.223667679477913</c:v>
                </c:pt>
                <c:pt idx="83">
                  <c:v>94.214087142088161</c:v>
                </c:pt>
                <c:pt idx="84">
                  <c:v>94.203821590661221</c:v>
                </c:pt>
                <c:pt idx="85">
                  <c:v>94.192883399615042</c:v>
                </c:pt>
                <c:pt idx="86">
                  <c:v>94.181284126151326</c:v>
                </c:pt>
                <c:pt idx="87">
                  <c:v>94.169034550023085</c:v>
                </c:pt>
                <c:pt idx="88">
                  <c:v>94.156144710423519</c:v>
                </c:pt>
                <c:pt idx="89">
                  <c:v>94.142623940211791</c:v>
                </c:pt>
                <c:pt idx="90">
                  <c:v>94.128480897670855</c:v>
                </c:pt>
                <c:pt idx="91">
                  <c:v>94.113723595976069</c:v>
                </c:pt>
                <c:pt idx="92">
                  <c:v>94.098359430537258</c:v>
                </c:pt>
                <c:pt idx="93">
                  <c:v>94.082395204362598</c:v>
                </c:pt>
                <c:pt idx="94">
                  <c:v>94.065837151580439</c:v>
                </c:pt>
                <c:pt idx="95">
                  <c:v>94.048690959242734</c:v>
                </c:pt>
                <c:pt idx="96">
                  <c:v>94.030961787523538</c:v>
                </c:pt>
                <c:pt idx="97">
                  <c:v>94.012654288416613</c:v>
                </c:pt>
                <c:pt idx="98">
                  <c:v>93.993772623026459</c:v>
                </c:pt>
                <c:pt idx="99">
                  <c:v>93.974320477540303</c:v>
                </c:pt>
                <c:pt idx="100">
                  <c:v>93.954301077959883</c:v>
                </c:pt>
              </c:numCache>
            </c:numRef>
          </c:val>
          <c:smooth val="0"/>
          <c:extLst>
            <c:ext xmlns:c16="http://schemas.microsoft.com/office/drawing/2014/chart" uri="{C3380CC4-5D6E-409C-BE32-E72D297353CC}">
              <c16:uniqueId val="{00000000-1848-48F1-BFB9-1935770FC147}"/>
            </c:ext>
          </c:extLst>
        </c:ser>
        <c:dLbls>
          <c:showLegendKey val="0"/>
          <c:showVal val="0"/>
          <c:showCatName val="0"/>
          <c:showSerName val="0"/>
          <c:showPercent val="0"/>
          <c:showBubbleSize val="0"/>
        </c:dLbls>
        <c:marker val="1"/>
        <c:smooth val="0"/>
        <c:axId val="196357120"/>
        <c:axId val="196359296"/>
      </c:lineChart>
      <c:lineChart>
        <c:grouping val="standard"/>
        <c:varyColors val="0"/>
        <c:ser>
          <c:idx val="3"/>
          <c:order val="1"/>
          <c:tx>
            <c:v>Inductor Loss</c:v>
          </c:tx>
          <c:spPr>
            <a:ln w="38100">
              <a:solidFill>
                <a:srgbClr val="800080"/>
              </a:solidFill>
              <a:prstDash val="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Calculations'!$BP$9:$BP$109</c:f>
              <c:numCache>
                <c:formatCode>0.000</c:formatCode>
                <c:ptCount val="101"/>
                <c:pt idx="0">
                  <c:v>0.58797803073057131</c:v>
                </c:pt>
                <c:pt idx="1">
                  <c:v>0.58818343461577127</c:v>
                </c:pt>
                <c:pt idx="2">
                  <c:v>0.58855605730201044</c:v>
                </c:pt>
                <c:pt idx="3">
                  <c:v>0.58909591899561842</c:v>
                </c:pt>
                <c:pt idx="4">
                  <c:v>0.58980305332115146</c:v>
                </c:pt>
                <c:pt idx="5">
                  <c:v>0.59067750732812641</c:v>
                </c:pt>
                <c:pt idx="6">
                  <c:v>0.59171934150047079</c:v>
                </c:pt>
                <c:pt idx="7">
                  <c:v>0.59292862976865324</c:v>
                </c:pt>
                <c:pt idx="8">
                  <c:v>0.59430545952453029</c:v>
                </c:pt>
                <c:pt idx="9">
                  <c:v>0.595849931638887</c:v>
                </c:pt>
                <c:pt idx="10">
                  <c:v>0.59756216048170685</c:v>
                </c:pt>
                <c:pt idx="11">
                  <c:v>0.59944227394515426</c:v>
                </c:pt>
                <c:pt idx="12">
                  <c:v>0.60149041346929066</c:v>
                </c:pt>
                <c:pt idx="13">
                  <c:v>0.60370673407053554</c:v>
                </c:pt>
                <c:pt idx="14">
                  <c:v>0.60609140437286846</c:v>
                </c:pt>
                <c:pt idx="15">
                  <c:v>0.60864460664181097</c:v>
                </c:pt>
                <c:pt idx="16">
                  <c:v>0.61136653682116215</c:v>
                </c:pt>
                <c:pt idx="17">
                  <c:v>0.61425740457254829</c:v>
                </c:pt>
                <c:pt idx="18">
                  <c:v>0.61731743331775746</c:v>
                </c:pt>
                <c:pt idx="19">
                  <c:v>0.62054686028390282</c:v>
                </c:pt>
                <c:pt idx="20">
                  <c:v>0.62394593655142661</c:v>
                </c:pt>
                <c:pt idx="21">
                  <c:v>0.62751492710495649</c:v>
                </c:pt>
                <c:pt idx="22">
                  <c:v>0.63125411088703409</c:v>
                </c:pt>
                <c:pt idx="23">
                  <c:v>0.63516378085474712</c:v>
                </c:pt>
                <c:pt idx="24">
                  <c:v>0.6392442440392726</c:v>
                </c:pt>
                <c:pt idx="25">
                  <c:v>0.64349582160835672</c:v>
                </c:pt>
                <c:pt idx="26">
                  <c:v>0.64791884893177076</c:v>
                </c:pt>
                <c:pt idx="27">
                  <c:v>0.65251367564974583</c:v>
                </c:pt>
                <c:pt idx="28">
                  <c:v>0.65728066574442157</c:v>
                </c:pt>
                <c:pt idx="29">
                  <c:v>0.66222019761434636</c:v>
                </c:pt>
                <c:pt idx="30">
                  <c:v>0.66733266415203496</c:v>
                </c:pt>
                <c:pt idx="31">
                  <c:v>0.67261847282464393</c:v>
                </c:pt>
                <c:pt idx="32">
                  <c:v>0.67807804575776165</c:v>
                </c:pt>
                <c:pt idx="33">
                  <c:v>0.68371181982237883</c:v>
                </c:pt>
                <c:pt idx="34">
                  <c:v>0.68952024672504098</c:v>
                </c:pt>
                <c:pt idx="35">
                  <c:v>0.69550379310124866</c:v>
                </c:pt>
                <c:pt idx="36">
                  <c:v>0.70166294061212142</c:v>
                </c:pt>
                <c:pt idx="37">
                  <c:v>0.70799818604436049</c:v>
                </c:pt>
                <c:pt idx="38">
                  <c:v>0.71451004141357721</c:v>
                </c:pt>
                <c:pt idx="39">
                  <c:v>0.72119903407098851</c:v>
                </c:pt>
                <c:pt idx="40">
                  <c:v>0.72806570681355354</c:v>
                </c:pt>
                <c:pt idx="41">
                  <c:v>0.7351106179975766</c:v>
                </c:pt>
                <c:pt idx="42">
                  <c:v>0.74233434165583789</c:v>
                </c:pt>
                <c:pt idx="43">
                  <c:v>0.74973746761826554</c:v>
                </c:pt>
                <c:pt idx="44">
                  <c:v>0.75732060163624593</c:v>
                </c:pt>
                <c:pt idx="45">
                  <c:v>0.76508436551057946</c:v>
                </c:pt>
                <c:pt idx="46">
                  <c:v>0.77302939722315034</c:v>
                </c:pt>
                <c:pt idx="47">
                  <c:v>0.78115635107236892</c:v>
                </c:pt>
                <c:pt idx="48">
                  <c:v>0.7894658978124226</c:v>
                </c:pt>
                <c:pt idx="49">
                  <c:v>0.7979587247964175</c:v>
                </c:pt>
                <c:pt idx="50">
                  <c:v>0.80663553612343974</c:v>
                </c:pt>
                <c:pt idx="51">
                  <c:v>0.81549705278962326</c:v>
                </c:pt>
                <c:pt idx="52">
                  <c:v>0.82454401284326095</c:v>
                </c:pt>
                <c:pt idx="53">
                  <c:v>0.83377717154404907</c:v>
                </c:pt>
                <c:pt idx="54">
                  <c:v>0.84319730152650907</c:v>
                </c:pt>
                <c:pt idx="55">
                  <c:v>0.852805192967654</c:v>
                </c:pt>
                <c:pt idx="56">
                  <c:v>0.862601653758995</c:v>
                </c:pt>
                <c:pt idx="57">
                  <c:v>0.87258750968292031</c:v>
                </c:pt>
                <c:pt idx="58">
                  <c:v>0.8827636045935594</c:v>
                </c:pt>
                <c:pt idx="59">
                  <c:v>0.89313080060217631</c:v>
                </c:pt>
                <c:pt idx="60">
                  <c:v>0.90368997826718966</c:v>
                </c:pt>
                <c:pt idx="61">
                  <c:v>0.91444203678889124</c:v>
                </c:pt>
                <c:pt idx="62">
                  <c:v>0.92538789420894907</c:v>
                </c:pt>
                <c:pt idx="63">
                  <c:v>0.93652848761477636</c:v>
                </c:pt>
                <c:pt idx="64">
                  <c:v>0.94786477334885899</c:v>
                </c:pt>
                <c:pt idx="65">
                  <c:v>0.95939772722312477</c:v>
                </c:pt>
                <c:pt idx="66">
                  <c:v>0.971128344738453</c:v>
                </c:pt>
                <c:pt idx="67">
                  <c:v>0.98305764130941364</c:v>
                </c:pt>
                <c:pt idx="68">
                  <c:v>0.99518665249434202</c:v>
                </c:pt>
                <c:pt idx="69">
                  <c:v>1.0075164342308351</c:v>
                </c:pt>
                <c:pt idx="70">
                  <c:v>1.0200480630767987</c:v>
                </c:pt>
                <c:pt idx="71">
                  <c:v>1.0327826364571071</c:v>
                </c:pt>
                <c:pt idx="72">
                  <c:v>1.0457212729160472</c:v>
                </c:pt>
                <c:pt idx="73">
                  <c:v>1.0588651123755906</c:v>
                </c:pt>
                <c:pt idx="74">
                  <c:v>1.0722153163996722</c:v>
                </c:pt>
                <c:pt idx="75">
                  <c:v>1.0857730684645426</c:v>
                </c:pt>
                <c:pt idx="76">
                  <c:v>1.0995395742353458</c:v>
                </c:pt>
                <c:pt idx="77">
                  <c:v>1.1135160618490469</c:v>
                </c:pt>
                <c:pt idx="78">
                  <c:v>1.1277037822038256</c:v>
                </c:pt>
                <c:pt idx="79">
                  <c:v>1.1421040092550681</c:v>
                </c:pt>
                <c:pt idx="80">
                  <c:v>1.1567180403181148</c:v>
                </c:pt>
                <c:pt idx="81">
                  <c:v>1.1715471963778761</c:v>
                </c:pt>
                <c:pt idx="82">
                  <c:v>1.1865928224054787</c:v>
                </c:pt>
                <c:pt idx="83">
                  <c:v>1.2018562876820895</c:v>
                </c:pt>
                <c:pt idx="84">
                  <c:v>1.2173389861300468</c:v>
                </c:pt>
                <c:pt idx="85">
                  <c:v>1.2330423366514949</c:v>
                </c:pt>
                <c:pt idx="86">
                  <c:v>1.2489677834746504</c:v>
                </c:pt>
                <c:pt idx="87">
                  <c:v>1.2651167965078729</c:v>
                </c:pt>
                <c:pt idx="88">
                  <c:v>1.2814908717017168</c:v>
                </c:pt>
                <c:pt idx="89">
                  <c:v>1.2980915314191397</c:v>
                </c:pt>
                <c:pt idx="90">
                  <c:v>1.3149203248140346</c:v>
                </c:pt>
                <c:pt idx="91">
                  <c:v>1.331978828218281</c:v>
                </c:pt>
                <c:pt idx="92">
                  <c:v>1.3492686455375122</c:v>
                </c:pt>
                <c:pt idx="93">
                  <c:v>1.3667914086557662</c:v>
                </c:pt>
                <c:pt idx="94">
                  <c:v>1.384548777849256</c:v>
                </c:pt>
                <c:pt idx="95">
                  <c:v>1.4025424422094392</c:v>
                </c:pt>
                <c:pt idx="96">
                  <c:v>1.4207741200756181</c:v>
                </c:pt>
                <c:pt idx="97">
                  <c:v>1.4392455594772695</c:v>
                </c:pt>
                <c:pt idx="98">
                  <c:v>1.4579585385863476</c:v>
                </c:pt>
                <c:pt idx="99">
                  <c:v>1.4769148661797844</c:v>
                </c:pt>
                <c:pt idx="100">
                  <c:v>1.4961163821124126</c:v>
                </c:pt>
              </c:numCache>
            </c:numRef>
          </c:val>
          <c:smooth val="0"/>
          <c:extLst>
            <c:ext xmlns:c16="http://schemas.microsoft.com/office/drawing/2014/chart" uri="{C3380CC4-5D6E-409C-BE32-E72D297353CC}">
              <c16:uniqueId val="{00000002-1848-48F1-BFB9-1935770FC147}"/>
            </c:ext>
          </c:extLst>
        </c:ser>
        <c:ser>
          <c:idx val="6"/>
          <c:order val="2"/>
          <c:tx>
            <c:strRef>
              <c:f>'Efficiency vs Load Calculations'!$BV$8</c:f>
              <c:strCache>
                <c:ptCount val="1"/>
                <c:pt idx="0">
                  <c:v>Shunt Loss</c:v>
                </c:pt>
              </c:strCache>
            </c:strRef>
          </c:tx>
          <c:spPr>
            <a:ln>
              <a:solidFill>
                <a:srgbClr val="0000FF"/>
              </a:solidFill>
              <a:prstDash val="sysDot"/>
            </a:ln>
          </c:spPr>
          <c:marker>
            <c:symbol val="none"/>
          </c:marker>
          <c:val>
            <c:numRef>
              <c:f>'Efficiency vs Load Calculations'!$BV$9:$BV$109</c:f>
              <c:numCache>
                <c:formatCode>0.000</c:formatCode>
                <c:ptCount val="101"/>
                <c:pt idx="0">
                  <c:v>9.8162506471984566E-4</c:v>
                </c:pt>
                <c:pt idx="1">
                  <c:v>2.6105025440336526E-3</c:v>
                </c:pt>
                <c:pt idx="2">
                  <c:v>2.7189660594079718E-3</c:v>
                </c:pt>
                <c:pt idx="3">
                  <c:v>2.8994296047189327E-3</c:v>
                </c:pt>
                <c:pt idx="4">
                  <c:v>3.1518931799638019E-3</c:v>
                </c:pt>
                <c:pt idx="5">
                  <c:v>3.4763567851398523E-3</c:v>
                </c:pt>
                <c:pt idx="6">
                  <c:v>3.8728204202443444E-3</c:v>
                </c:pt>
                <c:pt idx="7">
                  <c:v>4.3412840852745486E-3</c:v>
                </c:pt>
                <c:pt idx="8">
                  <c:v>4.8817477802277362E-3</c:v>
                </c:pt>
                <c:pt idx="9">
                  <c:v>5.4942115051011741E-3</c:v>
                </c:pt>
                <c:pt idx="10">
                  <c:v>6.1786752598921258E-3</c:v>
                </c:pt>
                <c:pt idx="11">
                  <c:v>6.9351390445978713E-3</c:v>
                </c:pt>
                <c:pt idx="12">
                  <c:v>7.7636028592156679E-3</c:v>
                </c:pt>
                <c:pt idx="13">
                  <c:v>8.6640667037428017E-3</c:v>
                </c:pt>
                <c:pt idx="14">
                  <c:v>9.6365305781765179E-3</c:v>
                </c:pt>
                <c:pt idx="15">
                  <c:v>1.0680994482514109E-2</c:v>
                </c:pt>
                <c:pt idx="16">
                  <c:v>1.1797458416752834E-2</c:v>
                </c:pt>
                <c:pt idx="17">
                  <c:v>1.2985922380889962E-2</c:v>
                </c:pt>
                <c:pt idx="18">
                  <c:v>1.4246386374922773E-2</c:v>
                </c:pt>
                <c:pt idx="19">
                  <c:v>1.5578850398848518E-2</c:v>
                </c:pt>
                <c:pt idx="20">
                  <c:v>1.6983314452664499E-2</c:v>
                </c:pt>
                <c:pt idx="21">
                  <c:v>1.8459778536367964E-2</c:v>
                </c:pt>
                <c:pt idx="22">
                  <c:v>2.0008242649956185E-2</c:v>
                </c:pt>
                <c:pt idx="23">
                  <c:v>2.1628706793426444E-2</c:v>
                </c:pt>
                <c:pt idx="24">
                  <c:v>2.3321170966776012E-2</c:v>
                </c:pt>
                <c:pt idx="25">
                  <c:v>2.5085635170002143E-2</c:v>
                </c:pt>
                <c:pt idx="26">
                  <c:v>2.6922099403102129E-2</c:v>
                </c:pt>
                <c:pt idx="27">
                  <c:v>2.8830563666073249E-2</c:v>
                </c:pt>
                <c:pt idx="28">
                  <c:v>3.0811027958912753E-2</c:v>
                </c:pt>
                <c:pt idx="29">
                  <c:v>3.2863492281617925E-2</c:v>
                </c:pt>
                <c:pt idx="30">
                  <c:v>3.4987956634186038E-2</c:v>
                </c:pt>
                <c:pt idx="31">
                  <c:v>3.7184421016614358E-2</c:v>
                </c:pt>
                <c:pt idx="32">
                  <c:v>3.9452885428900165E-2</c:v>
                </c:pt>
                <c:pt idx="33">
                  <c:v>4.1793349871040761E-2</c:v>
                </c:pt>
                <c:pt idx="34">
                  <c:v>4.4205814343033369E-2</c:v>
                </c:pt>
                <c:pt idx="35">
                  <c:v>4.6690278844875276E-2</c:v>
                </c:pt>
                <c:pt idx="36">
                  <c:v>4.9246743376563797E-2</c:v>
                </c:pt>
                <c:pt idx="37">
                  <c:v>5.1875207938096156E-2</c:v>
                </c:pt>
                <c:pt idx="38">
                  <c:v>5.457567252946964E-2</c:v>
                </c:pt>
                <c:pt idx="39">
                  <c:v>5.7348137150681558E-2</c:v>
                </c:pt>
                <c:pt idx="40">
                  <c:v>6.0192601801729168E-2</c:v>
                </c:pt>
                <c:pt idx="41">
                  <c:v>6.310906648260968E-2</c:v>
                </c:pt>
                <c:pt idx="42">
                  <c:v>6.60975311933205E-2</c:v>
                </c:pt>
                <c:pt idx="43">
                  <c:v>6.915799593385881E-2</c:v>
                </c:pt>
                <c:pt idx="44">
                  <c:v>7.229046070422189E-2</c:v>
                </c:pt>
                <c:pt idx="45">
                  <c:v>7.5494925504407034E-2</c:v>
                </c:pt>
                <c:pt idx="46">
                  <c:v>7.8771390334411495E-2</c:v>
                </c:pt>
                <c:pt idx="47">
                  <c:v>8.2119855194232608E-2</c:v>
                </c:pt>
                <c:pt idx="48">
                  <c:v>8.5540320083867624E-2</c:v>
                </c:pt>
                <c:pt idx="49">
                  <c:v>8.9032785003313825E-2</c:v>
                </c:pt>
                <c:pt idx="50">
                  <c:v>9.2597249952568461E-2</c:v>
                </c:pt>
                <c:pt idx="51">
                  <c:v>9.6233714931628814E-2</c:v>
                </c:pt>
                <c:pt idx="52">
                  <c:v>9.9942179940492204E-2</c:v>
                </c:pt>
                <c:pt idx="53">
                  <c:v>0.10372264497915584</c:v>
                </c:pt>
                <c:pt idx="54">
                  <c:v>0.10757511004761705</c:v>
                </c:pt>
                <c:pt idx="55">
                  <c:v>0.11149957514587304</c:v>
                </c:pt>
                <c:pt idx="56">
                  <c:v>0.11549604027392124</c:v>
                </c:pt>
                <c:pt idx="57">
                  <c:v>0.11956450543175884</c:v>
                </c:pt>
                <c:pt idx="58">
                  <c:v>0.12370497061938306</c:v>
                </c:pt>
                <c:pt idx="59">
                  <c:v>0.1279174358367913</c:v>
                </c:pt>
                <c:pt idx="60">
                  <c:v>0.13220190108398078</c:v>
                </c:pt>
                <c:pt idx="61">
                  <c:v>0.13655836636094873</c:v>
                </c:pt>
                <c:pt idx="62">
                  <c:v>0.14098683166769249</c:v>
                </c:pt>
                <c:pt idx="63">
                  <c:v>0.14548729700420929</c:v>
                </c:pt>
                <c:pt idx="64">
                  <c:v>0.15005976237049648</c:v>
                </c:pt>
                <c:pt idx="65">
                  <c:v>0.15470422776655135</c:v>
                </c:pt>
                <c:pt idx="66">
                  <c:v>0.15942069319237109</c:v>
                </c:pt>
                <c:pt idx="67">
                  <c:v>0.16420915864795305</c:v>
                </c:pt>
                <c:pt idx="68">
                  <c:v>0.16906962413329449</c:v>
                </c:pt>
                <c:pt idx="69">
                  <c:v>0.17400208964839267</c:v>
                </c:pt>
                <c:pt idx="70">
                  <c:v>0.17900655519324501</c:v>
                </c:pt>
                <c:pt idx="71">
                  <c:v>0.18408302076784858</c:v>
                </c:pt>
                <c:pt idx="72">
                  <c:v>0.1892314863722008</c:v>
                </c:pt>
                <c:pt idx="73">
                  <c:v>0.19445195200629886</c:v>
                </c:pt>
                <c:pt idx="74">
                  <c:v>0.19974441767014015</c:v>
                </c:pt>
                <c:pt idx="75">
                  <c:v>0.20510888336372193</c:v>
                </c:pt>
                <c:pt idx="76">
                  <c:v>0.21054534908704134</c:v>
                </c:pt>
                <c:pt idx="77">
                  <c:v>0.21605381484009584</c:v>
                </c:pt>
                <c:pt idx="78">
                  <c:v>0.22163428062288268</c:v>
                </c:pt>
                <c:pt idx="79">
                  <c:v>0.22728674643539915</c:v>
                </c:pt>
                <c:pt idx="80">
                  <c:v>0.23301121227764243</c:v>
                </c:pt>
                <c:pt idx="81">
                  <c:v>0.2388076781496099</c:v>
                </c:pt>
                <c:pt idx="82">
                  <c:v>0.24467614405129873</c:v>
                </c:pt>
                <c:pt idx="83">
                  <c:v>0.25061660998270641</c:v>
                </c:pt>
                <c:pt idx="84">
                  <c:v>0.25662907594383011</c:v>
                </c:pt>
                <c:pt idx="85">
                  <c:v>0.26271354193466695</c:v>
                </c:pt>
                <c:pt idx="86">
                  <c:v>0.26887000795521454</c:v>
                </c:pt>
                <c:pt idx="87">
                  <c:v>0.27509847400546994</c:v>
                </c:pt>
                <c:pt idx="88">
                  <c:v>0.28139894008543054</c:v>
                </c:pt>
                <c:pt idx="89">
                  <c:v>0.28777140619509356</c:v>
                </c:pt>
                <c:pt idx="90">
                  <c:v>0.29421587233445634</c:v>
                </c:pt>
                <c:pt idx="91">
                  <c:v>0.30073233850351605</c:v>
                </c:pt>
                <c:pt idx="92">
                  <c:v>0.30732080470227024</c:v>
                </c:pt>
                <c:pt idx="93">
                  <c:v>0.31398127093071582</c:v>
                </c:pt>
                <c:pt idx="94">
                  <c:v>0.32071373718885038</c:v>
                </c:pt>
                <c:pt idx="95">
                  <c:v>0.32751820347667121</c:v>
                </c:pt>
                <c:pt idx="96">
                  <c:v>0.33439466979417526</c:v>
                </c:pt>
                <c:pt idx="97">
                  <c:v>0.34134313614136025</c:v>
                </c:pt>
                <c:pt idx="98">
                  <c:v>0.34836360251822313</c:v>
                </c:pt>
                <c:pt idx="99">
                  <c:v>0.3554560689247615</c:v>
                </c:pt>
                <c:pt idx="100">
                  <c:v>0.36262053536097227</c:v>
                </c:pt>
              </c:numCache>
            </c:numRef>
          </c:val>
          <c:smooth val="0"/>
          <c:extLst>
            <c:ext xmlns:c16="http://schemas.microsoft.com/office/drawing/2014/chart" uri="{C3380CC4-5D6E-409C-BE32-E72D297353CC}">
              <c16:uniqueId val="{00000002-6DE2-4BDD-A0AC-7CB4E4B8A287}"/>
            </c:ext>
          </c:extLst>
        </c:ser>
        <c:ser>
          <c:idx val="2"/>
          <c:order val="3"/>
          <c:tx>
            <c:strRef>
              <c:f>'Efficiency vs Load Calculations'!$BR$8</c:f>
              <c:strCache>
                <c:ptCount val="1"/>
                <c:pt idx="0">
                  <c:v>Buck ''Control'' MOSFET Loss</c:v>
                </c:pt>
              </c:strCache>
            </c:strRef>
          </c:tx>
          <c:spPr>
            <a:ln w="28575">
              <a:solidFill>
                <a:srgbClr val="808000"/>
              </a:solidFill>
              <a:prstDash val="sys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Calculations'!$BR$9:$BR$109</c:f>
              <c:numCache>
                <c:formatCode>0.000</c:formatCode>
                <c:ptCount val="101"/>
                <c:pt idx="0">
                  <c:v>4.4984845120413425E-2</c:v>
                </c:pt>
                <c:pt idx="1">
                  <c:v>7.3811254439551013E-2</c:v>
                </c:pt>
                <c:pt idx="2">
                  <c:v>0.10109358024235901</c:v>
                </c:pt>
                <c:pt idx="3">
                  <c:v>0.12850272131739288</c:v>
                </c:pt>
                <c:pt idx="4">
                  <c:v>0.15604093255942802</c:v>
                </c:pt>
                <c:pt idx="5">
                  <c:v>0.18371049217879878</c:v>
                </c:pt>
                <c:pt idx="6">
                  <c:v>0.21151370237569167</c:v>
                </c:pt>
                <c:pt idx="7">
                  <c:v>0.23945289002537551</c:v>
                </c:pt>
                <c:pt idx="8">
                  <c:v>0.26753040737479589</c:v>
                </c:pt>
                <c:pt idx="9">
                  <c:v>0.29574863275097318</c:v>
                </c:pt>
                <c:pt idx="10">
                  <c:v>0.3241099712816522</c:v>
                </c:pt>
                <c:pt idx="11">
                  <c:v>0.35261685562866285</c:v>
                </c:pt>
                <c:pt idx="12">
                  <c:v>0.38127174673446207</c:v>
                </c:pt>
                <c:pt idx="13">
                  <c:v>0.41007713458234113</c:v>
                </c:pt>
                <c:pt idx="14">
                  <c:v>0.43903553897078917</c:v>
                </c:pt>
                <c:pt idx="15">
                  <c:v>0.46911874922683483</c:v>
                </c:pt>
                <c:pt idx="16">
                  <c:v>0.50128813937130312</c:v>
                </c:pt>
                <c:pt idx="17">
                  <c:v>0.53362111198547213</c:v>
                </c:pt>
                <c:pt idx="18">
                  <c:v>0.56612057228196166</c:v>
                </c:pt>
                <c:pt idx="19">
                  <c:v>0.59878946044345294</c:v>
                </c:pt>
                <c:pt idx="20">
                  <c:v>0.63163075257159529</c:v>
                </c:pt>
                <c:pt idx="21">
                  <c:v>0.66464746165467081</c:v>
                </c:pt>
                <c:pt idx="22">
                  <c:v>0.69784263855468109</c:v>
                </c:pt>
                <c:pt idx="23">
                  <c:v>0.73121937301454076</c:v>
                </c:pt>
                <c:pt idx="24">
                  <c:v>0.7647807946860854</c:v>
                </c:pt>
                <c:pt idx="25">
                  <c:v>0.79853007417961308</c:v>
                </c:pt>
                <c:pt idx="26">
                  <c:v>0.83247042413571126</c:v>
                </c:pt>
                <c:pt idx="27">
                  <c:v>0.86660510032013605</c:v>
                </c:pt>
                <c:pt idx="28">
                  <c:v>0.90093740274253442</c:v>
                </c:pt>
                <c:pt idx="29">
                  <c:v>0.93547067679982843</c:v>
                </c:pt>
                <c:pt idx="30">
                  <c:v>0.97020831444510092</c:v>
                </c:pt>
                <c:pt idx="31">
                  <c:v>1.0051537553828525</c:v>
                </c:pt>
                <c:pt idx="32">
                  <c:v>1.0403104882915237</c:v>
                </c:pt>
                <c:pt idx="33">
                  <c:v>1.0756820520742114</c:v>
                </c:pt>
                <c:pt idx="34">
                  <c:v>1.1112720371385236</c:v>
                </c:pt>
                <c:pt idx="35">
                  <c:v>1.1470840867065717</c:v>
                </c:pt>
                <c:pt idx="36">
                  <c:v>1.1831218981561062</c:v>
                </c:pt>
                <c:pt idx="37">
                  <c:v>1.219389224393854</c:v>
                </c:pt>
                <c:pt idx="38">
                  <c:v>1.2558898752621419</c:v>
                </c:pt>
                <c:pt idx="39">
                  <c:v>1.2926277189799333</c:v>
                </c:pt>
                <c:pt idx="40">
                  <c:v>1.3296066836194327</c:v>
                </c:pt>
                <c:pt idx="41">
                  <c:v>1.3668307586194672</c:v>
                </c:pt>
                <c:pt idx="42">
                  <c:v>1.4043039963368882</c:v>
                </c:pt>
                <c:pt idx="43">
                  <c:v>1.4420305136372731</c:v>
                </c:pt>
                <c:pt idx="44">
                  <c:v>1.4800144935262687</c:v>
                </c:pt>
                <c:pt idx="45">
                  <c:v>1.5182601868229459</c:v>
                </c:pt>
                <c:pt idx="46">
                  <c:v>1.5567719138766047</c:v>
                </c:pt>
                <c:pt idx="47">
                  <c:v>1.5955540663285004</c:v>
                </c:pt>
                <c:pt idx="48">
                  <c:v>1.6346111089200233</c:v>
                </c:pt>
                <c:pt idx="49">
                  <c:v>1.6739475813489368</c:v>
                </c:pt>
                <c:pt idx="50">
                  <c:v>1.7135681001752954</c:v>
                </c:pt>
                <c:pt idx="51">
                  <c:v>1.7534773607787733</c:v>
                </c:pt>
                <c:pt idx="52">
                  <c:v>1.7936801393691648</c:v>
                </c:pt>
                <c:pt idx="53">
                  <c:v>1.834181295051893</c:v>
                </c:pt>
                <c:pt idx="54">
                  <c:v>1.8749857719504364</c:v>
                </c:pt>
                <c:pt idx="55">
                  <c:v>1.9160986013876502</c:v>
                </c:pt>
                <c:pt idx="56">
                  <c:v>1.9575249041280425</c:v>
                </c:pt>
                <c:pt idx="57">
                  <c:v>1.9992698926831218</c:v>
                </c:pt>
                <c:pt idx="58">
                  <c:v>2.0413388736820544</c:v>
                </c:pt>
                <c:pt idx="59">
                  <c:v>2.083737250309905</c:v>
                </c:pt>
                <c:pt idx="60">
                  <c:v>2.1264705248158782</c:v>
                </c:pt>
                <c:pt idx="61">
                  <c:v>2.1695443010940174</c:v>
                </c:pt>
                <c:pt idx="62">
                  <c:v>2.212964287338969</c:v>
                </c:pt>
                <c:pt idx="63">
                  <c:v>2.2567362987794715</c:v>
                </c:pt>
                <c:pt idx="64">
                  <c:v>2.3008662604923806</c:v>
                </c:pt>
                <c:pt idx="65">
                  <c:v>2.3453602103001234</c:v>
                </c:pt>
                <c:pt idx="66">
                  <c:v>2.3902243017545977</c:v>
                </c:pt>
                <c:pt idx="67">
                  <c:v>2.435464807210677</c:v>
                </c:pt>
                <c:pt idx="68">
                  <c:v>2.4810881209925673</c:v>
                </c:pt>
                <c:pt idx="69">
                  <c:v>2.5271007626564455</c:v>
                </c:pt>
                <c:pt idx="70">
                  <c:v>2.5735093803529105</c:v>
                </c:pt>
                <c:pt idx="71">
                  <c:v>2.6203207542929374</c:v>
                </c:pt>
                <c:pt idx="72">
                  <c:v>2.6675418003212061</c:v>
                </c:pt>
                <c:pt idx="73">
                  <c:v>2.7151795736007753</c:v>
                </c:pt>
                <c:pt idx="74">
                  <c:v>2.7632412724133224</c:v>
                </c:pt>
                <c:pt idx="75">
                  <c:v>2.8117342420792646</c:v>
                </c:pt>
                <c:pt idx="76">
                  <c:v>2.8606659790023454</c:v>
                </c:pt>
                <c:pt idx="77">
                  <c:v>2.9100441348433774</c:v>
                </c:pt>
                <c:pt idx="78">
                  <c:v>2.9598765208281299</c:v>
                </c:pt>
                <c:pt idx="79">
                  <c:v>3.0101711121944796</c:v>
                </c:pt>
                <c:pt idx="80">
                  <c:v>3.0609360527842298</c:v>
                </c:pt>
                <c:pt idx="81">
                  <c:v>3.1121796597852129</c:v>
                </c:pt>
                <c:pt idx="82">
                  <c:v>3.1639104286295345</c:v>
                </c:pt>
                <c:pt idx="83">
                  <c:v>3.2161370380540943</c:v>
                </c:pt>
                <c:pt idx="84">
                  <c:v>3.2688683553297864</c:v>
                </c:pt>
                <c:pt idx="85">
                  <c:v>3.3221134416660751</c:v>
                </c:pt>
                <c:pt idx="86">
                  <c:v>3.3758815577979213</c:v>
                </c:pt>
                <c:pt idx="87">
                  <c:v>3.4301821697623835</c:v>
                </c:pt>
                <c:pt idx="88">
                  <c:v>3.4850249548725554</c:v>
                </c:pt>
                <c:pt idx="89">
                  <c:v>3.540419807896793</c:v>
                </c:pt>
                <c:pt idx="90">
                  <c:v>3.5963768474516651</c:v>
                </c:pt>
                <c:pt idx="91">
                  <c:v>3.6529064226173174</c:v>
                </c:pt>
                <c:pt idx="92">
                  <c:v>3.7100191197844774</c:v>
                </c:pt>
                <c:pt idx="93">
                  <c:v>3.76772576974267</c:v>
                </c:pt>
                <c:pt idx="94">
                  <c:v>3.8260374550197116</c:v>
                </c:pt>
                <c:pt idx="95">
                  <c:v>3.884965517483026</c:v>
                </c:pt>
                <c:pt idx="96">
                  <c:v>3.9445215662138189</c:v>
                </c:pt>
                <c:pt idx="97">
                  <c:v>4.0047174856656973</c:v>
                </c:pt>
                <c:pt idx="98">
                  <c:v>4.0655654441198621</c:v>
                </c:pt>
                <c:pt idx="99">
                  <c:v>4.1270779024496438</c:v>
                </c:pt>
                <c:pt idx="100">
                  <c:v>4.1892676232076838</c:v>
                </c:pt>
              </c:numCache>
            </c:numRef>
          </c:val>
          <c:smooth val="0"/>
          <c:extLst>
            <c:ext xmlns:c16="http://schemas.microsoft.com/office/drawing/2014/chart" uri="{C3380CC4-5D6E-409C-BE32-E72D297353CC}">
              <c16:uniqueId val="{00000001-1848-48F1-BFB9-1935770FC147}"/>
            </c:ext>
          </c:extLst>
        </c:ser>
        <c:ser>
          <c:idx val="1"/>
          <c:order val="4"/>
          <c:tx>
            <c:strRef>
              <c:f>'Efficiency vs Load Calculations'!$BS$8</c:f>
              <c:strCache>
                <c:ptCount val="1"/>
                <c:pt idx="0">
                  <c:v>Buck ''SYNC'' MOSFET Loss</c:v>
                </c:pt>
              </c:strCache>
            </c:strRef>
          </c:tx>
          <c:spPr>
            <a:ln w="28575">
              <a:solidFill>
                <a:srgbClr val="002060"/>
              </a:solidFill>
              <a:prstDash val="sysDash"/>
            </a:ln>
          </c:spPr>
          <c:marker>
            <c:symbol val="none"/>
          </c:marker>
          <c:cat>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'Efficiency vs Load Calculations'!$BS$9:$BS$109</c:f>
              <c:numCache>
                <c:formatCode>0.000</c:formatCode>
                <c:ptCount val="101"/>
                <c:pt idx="0">
                  <c:v>4.3947230618573384E-2</c:v>
                </c:pt>
                <c:pt idx="1">
                  <c:v>5.0543770858579244E-2</c:v>
                </c:pt>
                <c:pt idx="2">
                  <c:v>5.4556697502999185E-2</c:v>
                </c:pt>
                <c:pt idx="3">
                  <c:v>5.8692576134737842E-2</c:v>
                </c:pt>
                <c:pt idx="4">
                  <c:v>6.29517128059702E-2</c:v>
                </c:pt>
                <c:pt idx="5">
                  <c:v>6.7334435182355573E-2</c:v>
                </c:pt>
                <c:pt idx="6">
                  <c:v>7.1841092649326865E-2</c:v>
                </c:pt>
                <c:pt idx="7">
                  <c:v>7.6472056427928758E-2</c:v>
                </c:pt>
                <c:pt idx="8">
                  <c:v>8.1227719700284029E-2</c:v>
                </c:pt>
                <c:pt idx="9">
                  <c:v>8.6108497744776136E-2</c:v>
                </c:pt>
                <c:pt idx="10">
                  <c:v>9.1114828081042862E-2</c:v>
                </c:pt>
                <c:pt idx="11">
                  <c:v>9.6247170624885206E-2</c:v>
                </c:pt>
                <c:pt idx="12">
                  <c:v>0.10150600785320302</c:v>
                </c:pt>
                <c:pt idx="13">
                  <c:v>0.10689184497907815</c:v>
                </c:pt>
                <c:pt idx="14">
                  <c:v>0.1124052101371335</c:v>
                </c:pt>
                <c:pt idx="15">
                  <c:v>0.11901589350361692</c:v>
                </c:pt>
                <c:pt idx="16">
                  <c:v>0.1276832618637741</c:v>
                </c:pt>
                <c:pt idx="17">
                  <c:v>0.13648270187561654</c:v>
                </c:pt>
                <c:pt idx="18">
                  <c:v>0.14541509353253104</c:v>
                </c:pt>
                <c:pt idx="19">
                  <c:v>0.15448134188793988</c:v>
                </c:pt>
                <c:pt idx="20">
                  <c:v>0.16368237738397232</c:v>
                </c:pt>
                <c:pt idx="21">
                  <c:v>0.17301915619231273</c:v>
                </c:pt>
                <c:pt idx="22">
                  <c:v>0.18249266056748209</c:v>
                </c:pt>
                <c:pt idx="23">
                  <c:v>0.19210389921281895</c:v>
                </c:pt>
                <c:pt idx="24">
                  <c:v>0.20185390765943911</c:v>
                </c:pt>
                <c:pt idx="25">
                  <c:v>0.2117437486584639</c:v>
                </c:pt>
                <c:pt idx="26">
                  <c:v>0.22177451258682135</c:v>
                </c:pt>
                <c:pt idx="27">
                  <c:v>0.23194731786693504</c:v>
                </c:pt>
                <c:pt idx="28">
                  <c:v>0.24226331140063032</c:v>
                </c:pt>
                <c:pt idx="29">
                  <c:v>0.25272366901760079</c:v>
                </c:pt>
                <c:pt idx="30">
                  <c:v>0.26332959593879091</c:v>
                </c:pt>
                <c:pt idx="31">
                  <c:v>0.27408232725506776</c:v>
                </c:pt>
                <c:pt idx="32">
                  <c:v>0.28498312842156714</c:v>
                </c:pt>
                <c:pt idx="33">
                  <c:v>0.29603329576811688</c:v>
                </c:pt>
                <c:pt idx="34">
                  <c:v>0.30723415702615514</c:v>
                </c:pt>
                <c:pt idx="35">
                  <c:v>0.31858707187257906</c:v>
                </c:pt>
                <c:pt idx="36">
                  <c:v>0.33009343249097661</c:v>
                </c:pt>
                <c:pt idx="37">
                  <c:v>0.34175466415071043</c:v>
                </c:pt>
                <c:pt idx="38">
                  <c:v>0.35357222580434505</c:v>
                </c:pt>
                <c:pt idx="39">
                  <c:v>0.36554761070392289</c:v>
                </c:pt>
                <c:pt idx="40">
                  <c:v>0.3776823470366199</c:v>
                </c:pt>
                <c:pt idx="41">
                  <c:v>0.38997799858032867</c:v>
                </c:pt>
                <c:pt idx="42">
                  <c:v>0.4024361653797412</c:v>
                </c:pt>
                <c:pt idx="43">
                  <c:v>0.41505848444352167</c:v>
                </c:pt>
                <c:pt idx="44">
                  <c:v>0.42784663046318949</c:v>
                </c:pt>
                <c:pt idx="45">
                  <c:v>0.44080231655435126</c:v>
                </c:pt>
                <c:pt idx="46">
                  <c:v>0.45392729502094858</c:v>
                </c:pt>
                <c:pt idx="47">
                  <c:v>0.46722335814321281</c:v>
                </c:pt>
                <c:pt idx="48">
                  <c:v>0.48069233899004793</c:v>
                </c:pt>
                <c:pt idx="49">
                  <c:v>0.4943361122565893</c:v>
                </c:pt>
                <c:pt idx="50">
                  <c:v>0.50815659512771438</c:v>
                </c:pt>
                <c:pt idx="51">
                  <c:v>0.52215574816831611</c:v>
                </c:pt>
                <c:pt idx="52">
                  <c:v>0.53633557624117656</c:v>
                </c:pt>
                <c:pt idx="53">
                  <c:v>0.55069812945331775</c:v>
                </c:pt>
                <c:pt idx="54">
                  <c:v>0.56524550413173569</c:v>
                </c:pt>
                <c:pt idx="55">
                  <c:v>0.57997984382946288</c:v>
                </c:pt>
                <c:pt idx="56">
                  <c:v>0.59490334036294523</c:v>
                </c:pt>
                <c:pt idx="57">
                  <c:v>0.61001823488174867</c:v>
                </c:pt>
                <c:pt idx="58">
                  <c:v>0.62532681897166709</c:v>
                </c:pt>
                <c:pt idx="59">
                  <c:v>0.64083143579233193</c:v>
                </c:pt>
                <c:pt idx="60">
                  <c:v>0.65653448125047531</c:v>
                </c:pt>
                <c:pt idx="61">
                  <c:v>0.6724384052100485</c:v>
                </c:pt>
                <c:pt idx="62">
                  <c:v>0.68854571274043674</c:v>
                </c:pt>
                <c:pt idx="63">
                  <c:v>0.70485896540407278</c:v>
                </c:pt>
                <c:pt idx="64">
                  <c:v>0.72138078258479865</c:v>
                </c:pt>
                <c:pt idx="65">
                  <c:v>0.73811384285838089</c:v>
                </c:pt>
                <c:pt idx="66">
                  <c:v>0.75506088540664751</c:v>
                </c:pt>
                <c:pt idx="67">
                  <c:v>0.77222471147677174</c:v>
                </c:pt>
                <c:pt idx="68">
                  <c:v>0.78960818588728965</c:v>
                </c:pt>
                <c:pt idx="69">
                  <c:v>0.80721423858251251</c:v>
                </c:pt>
                <c:pt idx="70">
                  <c:v>0.82504586623705789</c:v>
                </c:pt>
                <c:pt idx="71">
                  <c:v>0.84310613391229527</c:v>
                </c:pt>
                <c:pt idx="72">
                  <c:v>0.86139817676659314</c:v>
                </c:pt>
                <c:pt idx="73">
                  <c:v>0.87992520182130607</c:v>
                </c:pt>
                <c:pt idx="74">
                  <c:v>0.89869048978456001</c:v>
                </c:pt>
                <c:pt idx="75">
                  <c:v>0.91769739693494812</c:v>
                </c:pt>
                <c:pt idx="76">
                  <c:v>0.93694935706736526</c:v>
                </c:pt>
                <c:pt idx="77">
                  <c:v>0.95644988350329674</c:v>
                </c:pt>
                <c:pt idx="78">
                  <c:v>0.97620257116797404</c:v>
                </c:pt>
                <c:pt idx="79">
                  <c:v>0.99621109873692659</c:v>
                </c:pt>
                <c:pt idx="80">
                  <c:v>1.0164792308545605</c:v>
                </c:pt>
                <c:pt idx="81">
                  <c:v>1.0370108204275206</c:v>
                </c:pt>
                <c:pt idx="82">
                  <c:v>1.0578098109957046</c:v>
                </c:pt>
                <c:pt idx="83">
                  <c:v>1.0788802391839394</c:v>
                </c:pt>
                <c:pt idx="84">
                  <c:v>1.1002262372374529</c:v>
                </c:pt>
                <c:pt idx="85">
                  <c:v>1.1218520356444279</c:v>
                </c:pt>
                <c:pt idx="86">
                  <c:v>1.143761965849065</c:v>
                </c:pt>
                <c:pt idx="87">
                  <c:v>1.1659604630587406</c:v>
                </c:pt>
                <c:pt idx="88">
                  <c:v>1.1884520691490219</c:v>
                </c:pt>
                <c:pt idx="89">
                  <c:v>1.2112414356704539</c:v>
                </c:pt>
                <c:pt idx="90">
                  <c:v>1.2343333269612404</c:v>
                </c:pt>
                <c:pt idx="91">
                  <c:v>1.2577326233701065</c:v>
                </c:pt>
                <c:pt idx="92">
                  <c:v>1.2814443245938656</c:v>
                </c:pt>
                <c:pt idx="93">
                  <c:v>1.3054735531343928</c:v>
                </c:pt>
                <c:pt idx="94">
                  <c:v>1.3298255578799558</c:v>
                </c:pt>
                <c:pt idx="95">
                  <c:v>1.3545057178160829</c:v>
                </c:pt>
                <c:pt idx="96">
                  <c:v>1.3795195458713922</c:v>
                </c:pt>
                <c:pt idx="97">
                  <c:v>1.4048726929040871</c:v>
                </c:pt>
                <c:pt idx="98">
                  <c:v>1.4305709518350684</c:v>
                </c:pt>
                <c:pt idx="99">
                  <c:v>1.4566202619339461</c:v>
                </c:pt>
                <c:pt idx="100">
                  <c:v>1.4830267132645085</c:v>
                </c:pt>
              </c:numCache>
            </c:numRef>
          </c:val>
          <c:smooth val="0"/>
          <c:extLst>
            <c:ext xmlns:c16="http://schemas.microsoft.com/office/drawing/2014/chart" uri="{C3380CC4-5D6E-409C-BE32-E72D297353CC}">
              <c16:uniqueId val="{00000003-1848-48F1-BFB9-1935770FC147}"/>
            </c:ext>
          </c:extLst>
        </c:ser>
        <c:ser>
          <c:idx val="4"/>
          <c:order val="5"/>
          <c:tx>
            <c:strRef>
              <c:f>'Efficiency vs Load Calculations'!$BT$8</c:f>
              <c:strCache>
                <c:ptCount val="1"/>
                <c:pt idx="0">
                  <c:v>Boost ''Control'' MOSFET Loss</c:v>
                </c:pt>
              </c:strCache>
            </c:strRef>
          </c:tx>
          <c:spPr>
            <a:ln>
              <a:prstDash val="sysDash"/>
            </a:ln>
          </c:spPr>
          <c:marker>
            <c:symbol val="none"/>
          </c:marker>
          <c:val>
            <c:numRef>
              <c:f>'Efficiency vs Load Calculations'!$BT$9:$BT$109</c:f>
              <c:numCache>
                <c:formatCode>0.000</c:formatCode>
                <c:ptCount val="101"/>
                <c:pt idx="0">
                  <c:v>0</c:v>
                </c:pt>
                <c:pt idx="1">
                  <c:v>6.2593453511926517E-3</c:v>
                </c:pt>
                <c:pt idx="2">
                  <c:v>8.3109564978243022E-3</c:v>
                </c:pt>
                <c:pt idx="3">
                  <c:v>1.04837436410871E-2</c:v>
                </c:pt>
                <c:pt idx="4">
                  <c:v>1.277775978123848E-2</c:v>
                </c:pt>
                <c:pt idx="5">
                  <c:v>1.5193079096595535E-2</c:v>
                </c:pt>
                <c:pt idx="6">
                  <c:v>1.7729796975898729E-2</c:v>
                </c:pt>
                <c:pt idx="7">
                  <c:v>2.0388030059950685E-2</c:v>
                </c:pt>
                <c:pt idx="8">
                  <c:v>2.3167916292563914E-2</c:v>
                </c:pt>
                <c:pt idx="9">
                  <c:v>2.606961498085909E-2</c:v>
                </c:pt>
                <c:pt idx="10">
                  <c:v>2.90933068649631E-2</c:v>
                </c:pt>
                <c:pt idx="11">
                  <c:v>3.2239194197163958E-2</c:v>
                </c:pt>
                <c:pt idx="12">
                  <c:v>3.5507500830587124E-2</c:v>
                </c:pt>
                <c:pt idx="13">
                  <c:v>3.8898472317466376E-2</c:v>
                </c:pt>
                <c:pt idx="14">
                  <c:v>4.2412376017089366E-2</c:v>
                </c:pt>
                <c:pt idx="15">
                  <c:v>4.6049501213507316E-2</c:v>
                </c:pt>
                <c:pt idx="16">
                  <c:v>4.9810159243105279E-2</c:v>
                </c:pt>
                <c:pt idx="17">
                  <c:v>5.3694683632138862E-2</c:v>
                </c:pt>
                <c:pt idx="18">
                  <c:v>5.7703430244350894E-2</c:v>
                </c:pt>
                <c:pt idx="19">
                  <c:v>6.1836777438790853E-2</c:v>
                </c:pt>
                <c:pt idx="20">
                  <c:v>6.6095126237968274E-2</c:v>
                </c:pt>
                <c:pt idx="21">
                  <c:v>7.0478900506480313E-2</c:v>
                </c:pt>
                <c:pt idx="22">
                  <c:v>7.4988547140263276E-2</c:v>
                </c:pt>
                <c:pt idx="23">
                  <c:v>7.96245362666268E-2</c:v>
                </c:pt>
                <c:pt idx="24">
                  <c:v>8.438736145523909E-2</c:v>
                </c:pt>
                <c:pt idx="25">
                  <c:v>8.9277539940241513E-2</c:v>
                </c:pt>
                <c:pt idx="26">
                  <c:v>9.4295612853681238E-2</c:v>
                </c:pt>
                <c:pt idx="27">
                  <c:v>9.9442145470460111E-2</c:v>
                </c:pt>
                <c:pt idx="28">
                  <c:v>0.10471772746500926</c:v>
                </c:pt>
                <c:pt idx="29">
                  <c:v>0.11012297317990982</c:v>
                </c:pt>
                <c:pt idx="30">
                  <c:v>0.11565852190669071</c:v>
                </c:pt>
                <c:pt idx="31">
                  <c:v>0.1213250381790468</c:v>
                </c:pt>
                <c:pt idx="32">
                  <c:v>0.12712321207873178</c:v>
                </c:pt>
                <c:pt idx="33">
                  <c:v>0.13305375955439339</c:v>
                </c:pt>
                <c:pt idx="34">
                  <c:v>0.13911742275362943</c:v>
                </c:pt>
                <c:pt idx="35">
                  <c:v>0.14531497036855867</c:v>
                </c:pt>
                <c:pt idx="36">
                  <c:v>0.15164719799521154</c:v>
                </c:pt>
                <c:pt idx="37">
                  <c:v>0.15811492850706046</c:v>
                </c:pt>
                <c:pt idx="38">
                  <c:v>0.16471901244302523</c:v>
                </c:pt>
                <c:pt idx="39">
                  <c:v>0.17146032841030101</c:v>
                </c:pt>
                <c:pt idx="40">
                  <c:v>0.17833978350237434</c:v>
                </c:pt>
                <c:pt idx="41">
                  <c:v>0.18535831373260669</c:v>
                </c:pt>
                <c:pt idx="42">
                  <c:v>0.19251688448378379</c:v>
                </c:pt>
                <c:pt idx="43">
                  <c:v>0.19981649097404164</c:v>
                </c:pt>
                <c:pt idx="44">
                  <c:v>0.20725815873960407</c:v>
                </c:pt>
                <c:pt idx="45">
                  <c:v>0.21484294413477897</c:v>
                </c:pt>
                <c:pt idx="46">
                  <c:v>0.22257193484968357</c:v>
                </c:pt>
                <c:pt idx="47">
                  <c:v>0.23044625044618616</c:v>
                </c:pt>
                <c:pt idx="48">
                  <c:v>0.23846704291257403</c:v>
                </c:pt>
                <c:pt idx="49">
                  <c:v>0.24663549723747813</c:v>
                </c:pt>
                <c:pt idx="50">
                  <c:v>0.25495283200360624</c:v>
                </c:pt>
                <c:pt idx="51">
                  <c:v>0.26342030000186056</c:v>
                </c:pt>
                <c:pt idx="52">
                  <c:v>0.27203918886643969</c:v>
                </c:pt>
                <c:pt idx="53">
                  <c:v>0.28081082173154798</c:v>
                </c:pt>
                <c:pt idx="54">
                  <c:v>0.28973655791036479</c:v>
                </c:pt>
                <c:pt idx="55">
                  <c:v>0.29881779359694821</c:v>
                </c:pt>
                <c:pt idx="56">
                  <c:v>0.3080559625917822</c:v>
                </c:pt>
                <c:pt idx="57">
                  <c:v>0.31745253705169757</c:v>
                </c:pt>
                <c:pt idx="58">
                  <c:v>0.32700902826493689</c:v>
                </c:pt>
                <c:pt idx="59">
                  <c:v>0.33672698745215707</c:v>
                </c:pt>
                <c:pt idx="60">
                  <c:v>0.34660800659420149</c:v>
                </c:pt>
                <c:pt idx="61">
                  <c:v>0.35665371928750605</c:v>
                </c:pt>
                <c:pt idx="62">
                  <c:v>0.36686580162804222</c:v>
                </c:pt>
                <c:pt idx="63">
                  <c:v>0.37724597312473329</c:v>
                </c:pt>
                <c:pt idx="64">
                  <c:v>0.38779599764332473</c:v>
                </c:pt>
                <c:pt idx="65">
                  <c:v>0.39851768438172702</c:v>
                </c:pt>
                <c:pt idx="66">
                  <c:v>0.40941288887789362</c:v>
                </c:pt>
                <c:pt idx="67">
                  <c:v>0.42048351405134382</c:v>
                </c:pt>
                <c:pt idx="68">
                  <c:v>0.43173151127948067</c:v>
                </c:pt>
                <c:pt idx="69">
                  <c:v>0.44315888150991312</c:v>
                </c:pt>
                <c:pt idx="70">
                  <c:v>0.45476767641003446</c:v>
                </c:pt>
                <c:pt idx="71">
                  <c:v>0.46655999955516464</c:v>
                </c:pt>
                <c:pt idx="72">
                  <c:v>0.47853800765662879</c:v>
                </c:pt>
                <c:pt idx="73">
                  <c:v>0.49070391183118611</c:v>
                </c:pt>
                <c:pt idx="74">
                  <c:v>0.50305997891330534</c:v>
                </c:pt>
                <c:pt idx="75">
                  <c:v>0.51560853281182983</c:v>
                </c:pt>
                <c:pt idx="76">
                  <c:v>0.52835195591265516</c:v>
                </c:pt>
                <c:pt idx="77">
                  <c:v>0.54129269052910889</c:v>
                </c:pt>
                <c:pt idx="78">
                  <c:v>0.55443324040179309</c:v>
                </c:pt>
                <c:pt idx="79">
                  <c:v>0.56777617224973498</c:v>
                </c:pt>
                <c:pt idx="80">
                  <c:v>0.58132411737476986</c:v>
                </c:pt>
                <c:pt idx="81">
                  <c:v>0.59507977332116413</c:v>
                </c:pt>
                <c:pt idx="82">
                  <c:v>0.60904590559257998</c:v>
                </c:pt>
                <c:pt idx="83">
                  <c:v>0.62322534942857766</c:v>
                </c:pt>
                <c:pt idx="84">
                  <c:v>0.63762101164294704</c:v>
                </c:pt>
                <c:pt idx="85">
                  <c:v>0.65223587252627091</c:v>
                </c:pt>
                <c:pt idx="86">
                  <c:v>0.66707298781522684</c:v>
                </c:pt>
                <c:pt idx="87">
                  <c:v>0.68213549073124902</c:v>
                </c:pt>
                <c:pt idx="88">
                  <c:v>0.69742659409130392</c:v>
                </c:pt>
                <c:pt idx="89">
                  <c:v>0.71294959249364154</c:v>
                </c:pt>
                <c:pt idx="90">
                  <c:v>0.72870786458154035</c:v>
                </c:pt>
                <c:pt idx="91">
                  <c:v>0.74470487538818642</c:v>
                </c:pt>
                <c:pt idx="92">
                  <c:v>0.76094417876599052</c:v>
                </c:pt>
                <c:pt idx="93">
                  <c:v>0.77742941990379144</c:v>
                </c:pt>
                <c:pt idx="94">
                  <c:v>0.79416433793556918</c:v>
                </c:pt>
                <c:pt idx="95">
                  <c:v>0.81115276864445995</c:v>
                </c:pt>
                <c:pt idx="96">
                  <c:v>0.82839864726604484</c:v>
                </c:pt>
                <c:pt idx="97">
                  <c:v>0.84590601139509025</c:v>
                </c:pt>
                <c:pt idx="98">
                  <c:v>0.86367900400010023</c:v>
                </c:pt>
                <c:pt idx="99">
                  <c:v>0.88172187655028444</c:v>
                </c:pt>
                <c:pt idx="100">
                  <c:v>0.90003899225973949</c:v>
                </c:pt>
              </c:numCache>
            </c:numRef>
          </c:val>
          <c:smooth val="0"/>
          <c:extLst>
            <c:ext xmlns:c16="http://schemas.microsoft.com/office/drawing/2014/chart" uri="{C3380CC4-5D6E-409C-BE32-E72D297353CC}">
              <c16:uniqueId val="{00000000-6DE2-4BDD-A0AC-7CB4E4B8A287}"/>
            </c:ext>
          </c:extLst>
        </c:ser>
        <c:ser>
          <c:idx val="5"/>
          <c:order val="6"/>
          <c:tx>
            <c:strRef>
              <c:f>'Efficiency vs Load Calculations'!$BU$8</c:f>
              <c:strCache>
                <c:ptCount val="1"/>
                <c:pt idx="0">
                  <c:v>Boost ''SYNC'' MOSFET Loss</c:v>
                </c:pt>
              </c:strCache>
            </c:strRef>
          </c:tx>
          <c:spPr>
            <a:ln>
              <a:prstDash val="sysDash"/>
            </a:ln>
          </c:spPr>
          <c:marker>
            <c:symbol val="none"/>
          </c:marker>
          <c:val>
            <c:numRef>
              <c:f>'Efficiency vs Load Calculations'!$BU$9:$BU$109</c:f>
              <c:numCache>
                <c:formatCode>0.000</c:formatCode>
                <c:ptCount val="101"/>
                <c:pt idx="0">
                  <c:v>4.3288783558793047E-3</c:v>
                </c:pt>
                <c:pt idx="1">
                  <c:v>5.324805309592652E-3</c:v>
                </c:pt>
                <c:pt idx="2">
                  <c:v>6.441916331424301E-3</c:v>
                </c:pt>
                <c:pt idx="3">
                  <c:v>7.680243266687101E-3</c:v>
                </c:pt>
                <c:pt idx="4">
                  <c:v>9.0398391156384789E-3</c:v>
                </c:pt>
                <c:pt idx="5">
                  <c:v>1.0520778056595535E-2</c:v>
                </c:pt>
                <c:pt idx="6">
                  <c:v>1.2123155478298727E-2</c:v>
                </c:pt>
                <c:pt idx="7">
                  <c:v>1.3847088021550682E-2</c:v>
                </c:pt>
                <c:pt idx="8">
                  <c:v>1.5692713630163915E-2</c:v>
                </c:pt>
                <c:pt idx="9">
                  <c:v>1.7660191611259091E-2</c:v>
                </c:pt>
                <c:pt idx="10">
                  <c:v>1.9749702704963103E-2</c:v>
                </c:pt>
                <c:pt idx="11">
                  <c:v>2.1961449163563955E-2</c:v>
                </c:pt>
                <c:pt idx="12">
                  <c:v>2.4295654840187128E-2</c:v>
                </c:pt>
                <c:pt idx="13">
                  <c:v>2.6752565287066377E-2</c:v>
                </c:pt>
                <c:pt idx="14">
                  <c:v>2.9332447863489364E-2</c:v>
                </c:pt>
                <c:pt idx="15">
                  <c:v>3.2035591853507309E-2</c:v>
                </c:pt>
                <c:pt idx="16">
                  <c:v>3.4862308593505274E-2</c:v>
                </c:pt>
                <c:pt idx="17">
                  <c:v>3.7812931609738858E-2</c:v>
                </c:pt>
                <c:pt idx="18">
                  <c:v>4.0887816765950893E-2</c:v>
                </c:pt>
                <c:pt idx="19">
                  <c:v>4.4087342421190848E-2</c:v>
                </c:pt>
                <c:pt idx="20">
                  <c:v>4.7411909597968274E-2</c:v>
                </c:pt>
                <c:pt idx="21">
                  <c:v>5.0861942160880302E-2</c:v>
                </c:pt>
                <c:pt idx="22">
                  <c:v>5.4437887005863272E-2</c:v>
                </c:pt>
                <c:pt idx="23">
                  <c:v>5.8140214260226794E-2</c:v>
                </c:pt>
                <c:pt idx="24">
                  <c:v>6.196941749363908E-2</c:v>
                </c:pt>
                <c:pt idx="25">
                  <c:v>6.5926013940241501E-2</c:v>
                </c:pt>
                <c:pt idx="26">
                  <c:v>7.0010544732081223E-2</c:v>
                </c:pt>
                <c:pt idx="27">
                  <c:v>7.4223575144060111E-2</c:v>
                </c:pt>
                <c:pt idx="28">
                  <c:v>7.8565694850609255E-2</c:v>
                </c:pt>
                <c:pt idx="29">
                  <c:v>8.3037518194309809E-2</c:v>
                </c:pt>
                <c:pt idx="30">
                  <c:v>8.7639684466690709E-2</c:v>
                </c:pt>
                <c:pt idx="31">
                  <c:v>9.2372858201446792E-2</c:v>
                </c:pt>
                <c:pt idx="32">
                  <c:v>9.7237729480331783E-2</c:v>
                </c:pt>
                <c:pt idx="33">
                  <c:v>0.1022350142519934</c:v>
                </c:pt>
                <c:pt idx="34">
                  <c:v>0.10736545466402941</c:v>
                </c:pt>
                <c:pt idx="35">
                  <c:v>0.11262981940855868</c:v>
                </c:pt>
                <c:pt idx="36">
                  <c:v>0.11802890408161154</c:v>
                </c:pt>
                <c:pt idx="37">
                  <c:v>0.12356353155666046</c:v>
                </c:pt>
                <c:pt idx="38">
                  <c:v>0.12923455237262524</c:v>
                </c:pt>
                <c:pt idx="39">
                  <c:v>0.13504284513670103</c:v>
                </c:pt>
                <c:pt idx="40">
                  <c:v>0.14098931694237432</c:v>
                </c:pt>
                <c:pt idx="41">
                  <c:v>0.1470749038030067</c:v>
                </c:pt>
                <c:pt idx="42">
                  <c:v>0.15330057110138379</c:v>
                </c:pt>
                <c:pt idx="43">
                  <c:v>0.15966731405564163</c:v>
                </c:pt>
                <c:pt idx="44">
                  <c:v>0.16617615820200404</c:v>
                </c:pt>
                <c:pt idx="45">
                  <c:v>0.17282815989477895</c:v>
                </c:pt>
                <c:pt idx="46">
                  <c:v>0.17962440682408357</c:v>
                </c:pt>
                <c:pt idx="47">
                  <c:v>0.18656601855178617</c:v>
                </c:pt>
                <c:pt idx="48">
                  <c:v>0.19365414706617401</c:v>
                </c:pt>
                <c:pt idx="49">
                  <c:v>0.20088997735587813</c:v>
                </c:pt>
                <c:pt idx="50">
                  <c:v>0.20827472800360622</c:v>
                </c:pt>
                <c:pt idx="51">
                  <c:v>0.21580965180026057</c:v>
                </c:pt>
                <c:pt idx="52">
                  <c:v>0.22349603638003968</c:v>
                </c:pt>
                <c:pt idx="53">
                  <c:v>0.23133520487714795</c:v>
                </c:pt>
                <c:pt idx="54">
                  <c:v>0.23932851660476478</c:v>
                </c:pt>
                <c:pt idx="55">
                  <c:v>0.2474773677569482</c:v>
                </c:pt>
                <c:pt idx="56">
                  <c:v>0.25578319213418221</c:v>
                </c:pt>
                <c:pt idx="57">
                  <c:v>0.26424746189329756</c:v>
                </c:pt>
                <c:pt idx="58">
                  <c:v>0.27287168832253689</c:v>
                </c:pt>
                <c:pt idx="59">
                  <c:v>0.28165742264255705</c:v>
                </c:pt>
                <c:pt idx="60">
                  <c:v>0.29060625683420144</c:v>
                </c:pt>
                <c:pt idx="61">
                  <c:v>0.29971982449390605</c:v>
                </c:pt>
                <c:pt idx="62">
                  <c:v>0.30899980171764219</c:v>
                </c:pt>
                <c:pt idx="63">
                  <c:v>0.31844790801433331</c:v>
                </c:pt>
                <c:pt idx="64">
                  <c:v>0.32806590724972473</c:v>
                </c:pt>
                <c:pt idx="65">
                  <c:v>0.33785560862172698</c:v>
                </c:pt>
                <c:pt idx="66">
                  <c:v>0.34781886766829362</c:v>
                </c:pt>
                <c:pt idx="67">
                  <c:v>0.35795758730894378</c:v>
                </c:pt>
                <c:pt idx="68">
                  <c:v>0.36827371892108063</c:v>
                </c:pt>
                <c:pt idx="69">
                  <c:v>0.3787692634523131</c:v>
                </c:pt>
                <c:pt idx="70">
                  <c:v>0.38944627257003445</c:v>
                </c:pt>
                <c:pt idx="71">
                  <c:v>0.40030684984956466</c:v>
                </c:pt>
                <c:pt idx="72">
                  <c:v>0.41135315200222883</c:v>
                </c:pt>
                <c:pt idx="73">
                  <c:v>0.42258739014478613</c:v>
                </c:pt>
                <c:pt idx="74">
                  <c:v>0.43401183111170533</c:v>
                </c:pt>
                <c:pt idx="75">
                  <c:v>0.44562879881182982</c:v>
                </c:pt>
                <c:pt idx="76">
                  <c:v>0.45744067563105517</c:v>
                </c:pt>
                <c:pt idx="77">
                  <c:v>0.46944990388270891</c:v>
                </c:pt>
                <c:pt idx="78">
                  <c:v>0.48165898730739304</c:v>
                </c:pt>
                <c:pt idx="79">
                  <c:v>0.49407049262413505</c:v>
                </c:pt>
                <c:pt idx="80">
                  <c:v>0.50668705113476986</c:v>
                </c:pt>
                <c:pt idx="81">
                  <c:v>0.51951136038356416</c:v>
                </c:pt>
                <c:pt idx="82">
                  <c:v>0.53254618587418001</c:v>
                </c:pt>
                <c:pt idx="83">
                  <c:v>0.54579436284617766</c:v>
                </c:pt>
                <c:pt idx="84">
                  <c:v>0.55925879811334711</c:v>
                </c:pt>
                <c:pt idx="85">
                  <c:v>0.57294247196627079</c:v>
                </c:pt>
                <c:pt idx="86">
                  <c:v>0.58684844014162674</c:v>
                </c:pt>
                <c:pt idx="87">
                  <c:v>0.60097983586084902</c:v>
                </c:pt>
                <c:pt idx="88">
                  <c:v>0.61533987194090389</c:v>
                </c:pt>
                <c:pt idx="89">
                  <c:v>0.62993184298004146</c:v>
                </c:pt>
                <c:pt idx="90">
                  <c:v>0.64475912762154042</c:v>
                </c:pt>
                <c:pt idx="91">
                  <c:v>0.65982519089858649</c:v>
                </c:pt>
                <c:pt idx="92">
                  <c:v>0.67513358666359058</c:v>
                </c:pt>
                <c:pt idx="93">
                  <c:v>0.69068796010539135</c:v>
                </c:pt>
                <c:pt idx="94">
                  <c:v>0.70649205035796914</c:v>
                </c:pt>
                <c:pt idx="95">
                  <c:v>0.72254969320445994</c:v>
                </c:pt>
                <c:pt idx="96">
                  <c:v>0.73886482388044483</c:v>
                </c:pt>
                <c:pt idx="97">
                  <c:v>0.75544147998069022</c:v>
                </c:pt>
                <c:pt idx="98">
                  <c:v>0.77228380447370015</c:v>
                </c:pt>
                <c:pt idx="99">
                  <c:v>0.78939604882868442</c:v>
                </c:pt>
                <c:pt idx="100">
                  <c:v>0.80678257625973948</c:v>
                </c:pt>
              </c:numCache>
            </c:numRef>
          </c:val>
          <c:smooth val="0"/>
          <c:extLst>
            <c:ext xmlns:c16="http://schemas.microsoft.com/office/drawing/2014/chart" uri="{C3380CC4-5D6E-409C-BE32-E72D297353CC}">
              <c16:uniqueId val="{00000001-6DE2-4BDD-A0AC-7CB4E4B8A287}"/>
            </c:ext>
          </c:extLst>
        </c:ser>
        <c:dLbls>
          <c:showLegendKey val="0"/>
          <c:showVal val="0"/>
          <c:showCatName val="0"/>
          <c:showSerName val="0"/>
          <c:showPercent val="0"/>
          <c:showBubbleSize val="0"/>
        </c:dLbls>
        <c:marker val="1"/>
        <c:smooth val="0"/>
        <c:axId val="196371584"/>
        <c:axId val="196361216"/>
      </c:lineChart>
      <c:catAx>
        <c:axId val="19635712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359296"/>
        <c:crosses val="autoZero"/>
        <c:auto val="1"/>
        <c:lblAlgn val="ctr"/>
        <c:lblOffset val="100"/>
        <c:tickLblSkip val="20"/>
        <c:tickMarkSkip val="20"/>
        <c:noMultiLvlLbl val="1"/>
      </c:catAx>
      <c:valAx>
        <c:axId val="196359296"/>
        <c:scaling>
          <c:orientation val="minMax"/>
          <c:max val="100"/>
          <c:min val="7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357120"/>
        <c:crosses val="autoZero"/>
        <c:crossBetween val="between"/>
        <c:majorUnit val="5"/>
        <c:minorUnit val="2.5"/>
      </c:valAx>
      <c:valAx>
        <c:axId val="19636121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371584"/>
        <c:crosses val="max"/>
        <c:crossBetween val="between"/>
      </c:valAx>
      <c:catAx>
        <c:axId val="196371584"/>
        <c:scaling>
          <c:orientation val="minMax"/>
        </c:scaling>
        <c:delete val="1"/>
        <c:axPos val="b"/>
        <c:numFmt formatCode="General" sourceLinked="1"/>
        <c:majorTickMark val="out"/>
        <c:minorTickMark val="none"/>
        <c:tickLblPos val="nextTo"/>
        <c:crossAx val="196361216"/>
        <c:crosses val="autoZero"/>
        <c:auto val="1"/>
        <c:lblAlgn val="ctr"/>
        <c:lblOffset val="100"/>
        <c:noMultiLvlLbl val="0"/>
      </c:catAx>
      <c:spPr>
        <a:noFill/>
        <a:ln w="25400">
          <a:noFill/>
        </a:ln>
      </c:spPr>
    </c:plotArea>
    <c:legend>
      <c:legendPos val="t"/>
      <c:layout>
        <c:manualLayout>
          <c:xMode val="edge"/>
          <c:yMode val="edge"/>
          <c:x val="0.70196219610883936"/>
          <c:y val="1.1892626175886978E-2"/>
          <c:w val="0.29803780389116075"/>
          <c:h val="0.2214023801553456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a:latin typeface="Arial" pitchFamily="34" charset="0"/>
                <a:cs typeface="Arial" pitchFamily="34" charset="0"/>
                <a:sym typeface="Symbol"/>
              </a:rPr>
              <a:t></a:t>
            </a:r>
            <a:r>
              <a:rPr lang="en-US" sz="1800" b="1" i="0" u="none" strike="noStrike" baseline="0"/>
              <a:t>,  I</a:t>
            </a:r>
            <a:r>
              <a:rPr lang="en-US" sz="1800" b="1" i="0" u="none" strike="noStrike" baseline="-25000"/>
              <a:t>OUT</a:t>
            </a:r>
            <a:r>
              <a:rPr lang="en-US" sz="1800" b="1" i="0" u="none" strike="noStrike" baseline="0"/>
              <a:t> = I</a:t>
            </a:r>
            <a:r>
              <a:rPr lang="en-US" sz="1800" b="1" i="0" u="none" strike="noStrike" baseline="-25000"/>
              <a:t>OUT(max)</a:t>
            </a:r>
            <a:endParaRPr lang="en-US" sz="1800">
              <a:latin typeface="Arial" pitchFamily="34" charset="0"/>
              <a:cs typeface="Arial" pitchFamily="34" charset="0"/>
            </a:endParaRPr>
          </a:p>
        </c:rich>
      </c:tx>
      <c:layout>
        <c:manualLayout>
          <c:xMode val="edge"/>
          <c:yMode val="edge"/>
          <c:x val="8.6461554556559683E-2"/>
          <c:y val="5.1078541245190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31750">
              <a:solidFill>
                <a:srgbClr val="FF0000"/>
              </a:solidFill>
              <a:prstDash val="solid"/>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Calculations'!$BO$9:$BO$209</c:f>
              <c:numCache>
                <c:formatCode>0.00</c:formatCode>
                <c:ptCount val="201"/>
                <c:pt idx="0">
                  <c:v>95.549377136149715</c:v>
                </c:pt>
                <c:pt idx="1">
                  <c:v>95.540825683655399</c:v>
                </c:pt>
                <c:pt idx="2">
                  <c:v>95.532263889966728</c:v>
                </c:pt>
                <c:pt idx="3">
                  <c:v>95.52369217400917</c:v>
                </c:pt>
                <c:pt idx="4">
                  <c:v>95.515110946792703</c:v>
                </c:pt>
                <c:pt idx="5">
                  <c:v>95.506520611526923</c:v>
                </c:pt>
                <c:pt idx="6">
                  <c:v>95.497921563735773</c:v>
                </c:pt>
                <c:pt idx="7">
                  <c:v>95.489314191372642</c:v>
                </c:pt>
                <c:pt idx="8">
                  <c:v>95.480698874935015</c:v>
                </c:pt>
                <c:pt idx="9">
                  <c:v>95.472075987579046</c:v>
                </c:pt>
                <c:pt idx="10">
                  <c:v>95.46344589523342</c:v>
                </c:pt>
                <c:pt idx="11">
                  <c:v>95.454808956712967</c:v>
                </c:pt>
                <c:pt idx="12">
                  <c:v>95.446165523831439</c:v>
                </c:pt>
                <c:pt idx="13">
                  <c:v>95.437515941513723</c:v>
                </c:pt>
                <c:pt idx="14">
                  <c:v>95.428860547907206</c:v>
                </c:pt>
                <c:pt idx="15">
                  <c:v>95.420199674492196</c:v>
                </c:pt>
                <c:pt idx="16">
                  <c:v>95.411533646191657</c:v>
                </c:pt>
                <c:pt idx="17">
                  <c:v>95.402862781479641</c:v>
                </c:pt>
                <c:pt idx="18">
                  <c:v>95.394187392488902</c:v>
                </c:pt>
                <c:pt idx="19">
                  <c:v>95.385507785117483</c:v>
                </c:pt>
                <c:pt idx="20">
                  <c:v>95.37682425913394</c:v>
                </c:pt>
                <c:pt idx="21">
                  <c:v>95.368137108281672</c:v>
                </c:pt>
                <c:pt idx="22">
                  <c:v>95.359446620381874</c:v>
                </c:pt>
                <c:pt idx="23">
                  <c:v>95.350753077435357</c:v>
                </c:pt>
                <c:pt idx="24">
                  <c:v>95.342056755723192</c:v>
                </c:pt>
                <c:pt idx="25">
                  <c:v>95.333357925905958</c:v>
                </c:pt>
                <c:pt idx="26">
                  <c:v>95.324656853121752</c:v>
                </c:pt>
                <c:pt idx="27">
                  <c:v>95.315953797083097</c:v>
                </c:pt>
                <c:pt idx="28">
                  <c:v>95.307249012172193</c:v>
                </c:pt>
                <c:pt idx="29">
                  <c:v>95.298542747535265</c:v>
                </c:pt>
                <c:pt idx="30">
                  <c:v>95.289835247175219</c:v>
                </c:pt>
                <c:pt idx="31">
                  <c:v>95.281126750043242</c:v>
                </c:pt>
                <c:pt idx="32">
                  <c:v>95.272417490129016</c:v>
                </c:pt>
                <c:pt idx="33">
                  <c:v>95.263707696549446</c:v>
                </c:pt>
                <c:pt idx="34">
                  <c:v>95.254997593636375</c:v>
                </c:pt>
                <c:pt idx="35">
                  <c:v>95.246287401022641</c:v>
                </c:pt>
                <c:pt idx="36">
                  <c:v>95.237577333727103</c:v>
                </c:pt>
                <c:pt idx="37">
                  <c:v>95.228867602238154</c:v>
                </c:pt>
                <c:pt idx="38">
                  <c:v>95.220158412596007</c:v>
                </c:pt>
                <c:pt idx="39">
                  <c:v>95.211449966473779</c:v>
                </c:pt>
                <c:pt idx="40">
                  <c:v>95.202742461257046</c:v>
                </c:pt>
                <c:pt idx="41">
                  <c:v>95.194036090122324</c:v>
                </c:pt>
                <c:pt idx="42">
                  <c:v>95.185331042114257</c:v>
                </c:pt>
                <c:pt idx="43">
                  <c:v>95.17662750222145</c:v>
                </c:pt>
                <c:pt idx="44">
                  <c:v>95.167925651451057</c:v>
                </c:pt>
                <c:pt idx="45">
                  <c:v>95.15922566690233</c:v>
                </c:pt>
                <c:pt idx="46">
                  <c:v>95.150527721838614</c:v>
                </c:pt>
                <c:pt idx="47">
                  <c:v>95.141831985758429</c:v>
                </c:pt>
                <c:pt idx="48">
                  <c:v>95.133138624465204</c:v>
                </c:pt>
                <c:pt idx="49">
                  <c:v>95.124447800135812</c:v>
                </c:pt>
                <c:pt idx="50">
                  <c:v>95.11575967138802</c:v>
                </c:pt>
                <c:pt idx="51">
                  <c:v>95.10707439334675</c:v>
                </c:pt>
                <c:pt idx="52">
                  <c:v>95.09839211770911</c:v>
                </c:pt>
                <c:pt idx="53">
                  <c:v>95.089712992808444</c:v>
                </c:pt>
                <c:pt idx="54">
                  <c:v>95.081037163677209</c:v>
                </c:pt>
                <c:pt idx="55">
                  <c:v>95.072364772108614</c:v>
                </c:pt>
                <c:pt idx="56">
                  <c:v>95.063695956717481</c:v>
                </c:pt>
                <c:pt idx="57">
                  <c:v>95.055030852999721</c:v>
                </c:pt>
                <c:pt idx="58">
                  <c:v>95.046369593390949</c:v>
                </c:pt>
                <c:pt idx="59">
                  <c:v>95.037712307324014</c:v>
                </c:pt>
                <c:pt idx="60">
                  <c:v>95.029059121285471</c:v>
                </c:pt>
                <c:pt idx="61">
                  <c:v>95.020410158871087</c:v>
                </c:pt>
                <c:pt idx="62">
                  <c:v>95.011765540840386</c:v>
                </c:pt>
                <c:pt idx="63">
                  <c:v>95.00312538517008</c:v>
                </c:pt>
                <c:pt idx="64">
                  <c:v>94.99448980710666</c:v>
                </c:pt>
                <c:pt idx="65">
                  <c:v>94.985858919218117</c:v>
                </c:pt>
                <c:pt idx="66">
                  <c:v>94.977232831444454</c:v>
                </c:pt>
                <c:pt idx="67">
                  <c:v>94.968611651147611</c:v>
                </c:pt>
                <c:pt idx="68">
                  <c:v>94.959995483160171</c:v>
                </c:pt>
                <c:pt idx="69">
                  <c:v>94.951384429833524</c:v>
                </c:pt>
                <c:pt idx="70">
                  <c:v>94.942778591084732</c:v>
                </c:pt>
                <c:pt idx="71">
                  <c:v>94.934178064443017</c:v>
                </c:pt>
                <c:pt idx="72">
                  <c:v>94.925582945095016</c:v>
                </c:pt>
                <c:pt idx="73">
                  <c:v>94.916993325929383</c:v>
                </c:pt>
                <c:pt idx="74">
                  <c:v>94.908409297580505</c:v>
                </c:pt>
                <c:pt idx="75">
                  <c:v>94.899830948471546</c:v>
                </c:pt>
                <c:pt idx="76">
                  <c:v>94.89125836485654</c:v>
                </c:pt>
                <c:pt idx="77">
                  <c:v>94.882691630861757</c:v>
                </c:pt>
                <c:pt idx="78">
                  <c:v>94.874130828526404</c:v>
                </c:pt>
                <c:pt idx="79">
                  <c:v>94.86557603784243</c:v>
                </c:pt>
                <c:pt idx="80">
                  <c:v>94.85702733679372</c:v>
                </c:pt>
                <c:pt idx="81">
                  <c:v>94.848484801394477</c:v>
                </c:pt>
                <c:pt idx="82">
                  <c:v>94.839948505726966</c:v>
                </c:pt>
                <c:pt idx="83">
                  <c:v>94.831418521978463</c:v>
                </c:pt>
                <c:pt idx="84">
                  <c:v>94.822894920477651</c:v>
                </c:pt>
                <c:pt idx="85">
                  <c:v>94.814377769730257</c:v>
                </c:pt>
                <c:pt idx="86">
                  <c:v>94.805867136453983</c:v>
                </c:pt>
                <c:pt idx="87">
                  <c:v>94.797363085612943</c:v>
                </c:pt>
                <c:pt idx="88">
                  <c:v>94.788865680451295</c:v>
                </c:pt>
                <c:pt idx="89">
                  <c:v>94.780374982526382</c:v>
                </c:pt>
                <c:pt idx="90">
                  <c:v>94.771891051741136</c:v>
                </c:pt>
                <c:pt idx="91">
                  <c:v>94.763413946375962</c:v>
                </c:pt>
                <c:pt idx="92">
                  <c:v>94.754943723120022</c:v>
                </c:pt>
                <c:pt idx="93">
                  <c:v>94.746480437101965</c:v>
                </c:pt>
                <c:pt idx="94">
                  <c:v>94.738024141919936</c:v>
                </c:pt>
                <c:pt idx="95">
                  <c:v>94.72957488967117</c:v>
                </c:pt>
                <c:pt idx="96">
                  <c:v>94.721132730981111</c:v>
                </c:pt>
                <c:pt idx="97">
                  <c:v>94.71269771503168</c:v>
                </c:pt>
                <c:pt idx="98">
                  <c:v>94.704269889589369</c:v>
                </c:pt>
                <c:pt idx="99">
                  <c:v>94.695849301032638</c:v>
                </c:pt>
                <c:pt idx="100">
                  <c:v>94.687435994378674</c:v>
                </c:pt>
                <c:pt idx="101">
                  <c:v>94.679030013309998</c:v>
                </c:pt>
                <c:pt idx="102">
                  <c:v>94.670631400200222</c:v>
                </c:pt>
                <c:pt idx="103">
                  <c:v>94.662240196139564</c:v>
                </c:pt>
                <c:pt idx="104">
                  <c:v>94.653856440959743</c:v>
                </c:pt>
                <c:pt idx="105">
                  <c:v>94.645480173258491</c:v>
                </c:pt>
                <c:pt idx="106">
                  <c:v>94.637111430423587</c:v>
                </c:pt>
                <c:pt idx="107">
                  <c:v>94.628750248656416</c:v>
                </c:pt>
                <c:pt idx="108">
                  <c:v>94.620396662995148</c:v>
                </c:pt>
                <c:pt idx="109">
                  <c:v>94.612050707337445</c:v>
                </c:pt>
                <c:pt idx="110">
                  <c:v>94.603712414462677</c:v>
                </c:pt>
                <c:pt idx="111">
                  <c:v>94.595381816053887</c:v>
                </c:pt>
                <c:pt idx="112">
                  <c:v>94.587058942719167</c:v>
                </c:pt>
                <c:pt idx="113">
                  <c:v>94.578743824012832</c:v>
                </c:pt>
                <c:pt idx="114">
                  <c:v>94.570436488455982</c:v>
                </c:pt>
                <c:pt idx="115">
                  <c:v>94.56213696355681</c:v>
                </c:pt>
                <c:pt idx="116">
                  <c:v>94.553845275830568</c:v>
                </c:pt>
                <c:pt idx="117">
                  <c:v>94.545561450819037</c:v>
                </c:pt>
                <c:pt idx="118">
                  <c:v>94.537285513109723</c:v>
                </c:pt>
                <c:pt idx="119">
                  <c:v>94.529017486354647</c:v>
                </c:pt>
                <c:pt idx="120">
                  <c:v>94.520757393288861</c:v>
                </c:pt>
                <c:pt idx="121">
                  <c:v>94.512505255748508</c:v>
                </c:pt>
                <c:pt idx="122">
                  <c:v>94.504261094688616</c:v>
                </c:pt>
                <c:pt idx="123">
                  <c:v>94.496024930200591</c:v>
                </c:pt>
                <c:pt idx="124">
                  <c:v>94.487796781529269</c:v>
                </c:pt>
                <c:pt idx="125">
                  <c:v>94.479576667089802</c:v>
                </c:pt>
                <c:pt idx="126">
                  <c:v>94.471364604484052</c:v>
                </c:pt>
                <c:pt idx="127">
                  <c:v>94.463160610516894</c:v>
                </c:pt>
                <c:pt idx="128">
                  <c:v>94.454964701211992</c:v>
                </c:pt>
                <c:pt idx="129">
                  <c:v>94.44677689182744</c:v>
                </c:pt>
                <c:pt idx="130">
                  <c:v>94.438597196871086</c:v>
                </c:pt>
                <c:pt idx="131">
                  <c:v>94.430425630115451</c:v>
                </c:pt>
                <c:pt idx="132">
                  <c:v>94.422262204612551</c:v>
                </c:pt>
                <c:pt idx="133">
                  <c:v>94.414106932708364</c:v>
                </c:pt>
                <c:pt idx="134">
                  <c:v>94.405959826056929</c:v>
                </c:pt>
                <c:pt idx="135">
                  <c:v>94.397820895634354</c:v>
                </c:pt>
                <c:pt idx="136">
                  <c:v>94.38969015175249</c:v>
                </c:pt>
                <c:pt idx="137">
                  <c:v>94.381567604072245</c:v>
                </c:pt>
                <c:pt idx="138">
                  <c:v>94.373453261616874</c:v>
                </c:pt>
                <c:pt idx="139">
                  <c:v>94.365347132784834</c:v>
                </c:pt>
                <c:pt idx="140">
                  <c:v>94.357249225362452</c:v>
                </c:pt>
                <c:pt idx="141">
                  <c:v>94.349159546536413</c:v>
                </c:pt>
                <c:pt idx="142">
                  <c:v>94.341078102905968</c:v>
                </c:pt>
                <c:pt idx="143">
                  <c:v>94.333004900494828</c:v>
                </c:pt>
                <c:pt idx="144">
                  <c:v>94.324939944763088</c:v>
                </c:pt>
                <c:pt idx="145">
                  <c:v>94.316883240618651</c:v>
                </c:pt>
                <c:pt idx="146">
                  <c:v>94.308834792428613</c:v>
                </c:pt>
                <c:pt idx="147">
                  <c:v>94.30079460403033</c:v>
                </c:pt>
                <c:pt idx="148">
                  <c:v>94.292762678742449</c:v>
                </c:pt>
                <c:pt idx="149">
                  <c:v>94.284739019375451</c:v>
                </c:pt>
                <c:pt idx="150">
                  <c:v>94.276723628242337</c:v>
                </c:pt>
                <c:pt idx="151">
                  <c:v>94.268716507168818</c:v>
                </c:pt>
                <c:pt idx="152">
                  <c:v>94.260717657503506</c:v>
                </c:pt>
                <c:pt idx="153">
                  <c:v>94.252727080127841</c:v>
                </c:pt>
                <c:pt idx="154">
                  <c:v>94.244744775465847</c:v>
                </c:pt>
                <c:pt idx="155">
                  <c:v>94.236770743493707</c:v>
                </c:pt>
                <c:pt idx="156">
                  <c:v>94.228804983749185</c:v>
                </c:pt>
                <c:pt idx="157">
                  <c:v>94.220847495340749</c:v>
                </c:pt>
                <c:pt idx="158">
                  <c:v>94.212898276956778</c:v>
                </c:pt>
                <c:pt idx="159">
                  <c:v>94.204957326874336</c:v>
                </c:pt>
                <c:pt idx="160">
                  <c:v>94.197024642967918</c:v>
                </c:pt>
                <c:pt idx="161">
                  <c:v>94.189100222718011</c:v>
                </c:pt>
                <c:pt idx="162">
                  <c:v>94.181184063219547</c:v>
                </c:pt>
                <c:pt idx="163">
                  <c:v>94.173276161190017</c:v>
                </c:pt>
                <c:pt idx="164">
                  <c:v>94.165376512977744</c:v>
                </c:pt>
                <c:pt idx="165">
                  <c:v>94.15748511456961</c:v>
                </c:pt>
                <c:pt idx="166">
                  <c:v>94.149601961599117</c:v>
                </c:pt>
                <c:pt idx="167">
                  <c:v>94.141727049353747</c:v>
                </c:pt>
                <c:pt idx="168">
                  <c:v>94.133860372782678</c:v>
                </c:pt>
                <c:pt idx="169">
                  <c:v>94.126001926504131</c:v>
                </c:pt>
                <c:pt idx="170">
                  <c:v>94.118151704812476</c:v>
                </c:pt>
                <c:pt idx="171">
                  <c:v>94.110309701685523</c:v>
                </c:pt>
                <c:pt idx="172">
                  <c:v>94.102475910791313</c:v>
                </c:pt>
                <c:pt idx="173">
                  <c:v>94.094650325495053</c:v>
                </c:pt>
                <c:pt idx="174">
                  <c:v>94.086832938865825</c:v>
                </c:pt>
                <c:pt idx="175">
                  <c:v>94.079023743683166</c:v>
                </c:pt>
                <c:pt idx="176">
                  <c:v>94.071222732443502</c:v>
                </c:pt>
                <c:pt idx="177">
                  <c:v>94.063429897366561</c:v>
                </c:pt>
                <c:pt idx="178">
                  <c:v>94.055645230401524</c:v>
                </c:pt>
                <c:pt idx="179">
                  <c:v>94.047868723233236</c:v>
                </c:pt>
                <c:pt idx="180">
                  <c:v>94.040100367288105</c:v>
                </c:pt>
                <c:pt idx="181">
                  <c:v>94.03234015374008</c:v>
                </c:pt>
                <c:pt idx="182">
                  <c:v>94.024588073516355</c:v>
                </c:pt>
                <c:pt idx="183">
                  <c:v>94.016844117303108</c:v>
                </c:pt>
                <c:pt idx="184">
                  <c:v>94.009108275551071</c:v>
                </c:pt>
                <c:pt idx="185">
                  <c:v>94.001380538480902</c:v>
                </c:pt>
                <c:pt idx="186">
                  <c:v>93.993660896088684</c:v>
                </c:pt>
                <c:pt idx="187">
                  <c:v>93.985949338151087</c:v>
                </c:pt>
                <c:pt idx="188">
                  <c:v>93.978245854230579</c:v>
                </c:pt>
                <c:pt idx="189">
                  <c:v>93.970550433680515</c:v>
                </c:pt>
                <c:pt idx="190">
                  <c:v>93.962863065650055</c:v>
                </c:pt>
                <c:pt idx="191">
                  <c:v>93.955183739089136</c:v>
                </c:pt>
                <c:pt idx="192">
                  <c:v>93.947512442753165</c:v>
                </c:pt>
                <c:pt idx="193">
                  <c:v>93.939849165207818</c:v>
                </c:pt>
                <c:pt idx="194">
                  <c:v>93.932193894833617</c:v>
                </c:pt>
                <c:pt idx="195">
                  <c:v>93.924546619830465</c:v>
                </c:pt>
                <c:pt idx="196">
                  <c:v>93.916907328222067</c:v>
                </c:pt>
                <c:pt idx="197">
                  <c:v>93.90927600786037</c:v>
                </c:pt>
                <c:pt idx="198">
                  <c:v>93.901652646429781</c:v>
                </c:pt>
                <c:pt idx="199">
                  <c:v>93.894037231451392</c:v>
                </c:pt>
                <c:pt idx="200">
                  <c:v>93.886429750287149</c:v>
                </c:pt>
              </c:numCache>
            </c:numRef>
          </c:val>
          <c:smooth val="0"/>
          <c:extLst>
            <c:ext xmlns:c16="http://schemas.microsoft.com/office/drawing/2014/chart" uri="{C3380CC4-5D6E-409C-BE32-E72D297353CC}">
              <c16:uniqueId val="{00000000-9AA8-4F44-9279-F2DFD4BF490C}"/>
            </c:ext>
          </c:extLst>
        </c:ser>
        <c:dLbls>
          <c:showLegendKey val="0"/>
          <c:showVal val="0"/>
          <c:showCatName val="0"/>
          <c:showSerName val="0"/>
          <c:showPercent val="0"/>
          <c:showBubbleSize val="0"/>
        </c:dLbls>
        <c:marker val="1"/>
        <c:smooth val="0"/>
        <c:axId val="196417792"/>
        <c:axId val="196419968"/>
      </c:lineChart>
      <c:lineChart>
        <c:grouping val="standard"/>
        <c:varyColors val="0"/>
        <c:ser>
          <c:idx val="3"/>
          <c:order val="1"/>
          <c:tx>
            <c:v>Inductor Loss</c:v>
          </c:tx>
          <c:spPr>
            <a:ln w="38100">
              <a:solidFill>
                <a:srgbClr val="800080"/>
              </a:solidFill>
              <a:prstDash val="dash"/>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Calculations'!$BP$9:$BP$209</c:f>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val>
          <c:smooth val="0"/>
          <c:extLst>
            <c:ext xmlns:c16="http://schemas.microsoft.com/office/drawing/2014/chart" uri="{C3380CC4-5D6E-409C-BE32-E72D297353CC}">
              <c16:uniqueId val="{00000001-9AA8-4F44-9279-F2DFD4BF490C}"/>
            </c:ext>
          </c:extLst>
        </c:ser>
        <c:ser>
          <c:idx val="1"/>
          <c:order val="3"/>
          <c:tx>
            <c:v>Shunt Loss</c:v>
          </c:tx>
          <c:spPr>
            <a:ln w="25400">
              <a:solidFill>
                <a:srgbClr val="0000FF"/>
              </a:solidFill>
              <a:prstDash val="sysDot"/>
            </a:ln>
          </c:spPr>
          <c:marker>
            <c:symbol val="none"/>
          </c:marker>
          <c:cat>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f>'Efficiency vs VIN Calculations'!$BV$9:$BV$209</c:f>
              <c:numCache>
                <c:formatCode>0.000</c:formatCode>
                <c:ptCount val="201"/>
                <c:pt idx="0">
                  <c:v>9.5243761045760475E-2</c:v>
                </c:pt>
                <c:pt idx="1">
                  <c:v>9.6176996127100636E-2</c:v>
                </c:pt>
                <c:pt idx="2">
                  <c:v>9.7103942143320229E-2</c:v>
                </c:pt>
                <c:pt idx="3">
                  <c:v>9.8024664140531112E-2</c:v>
                </c:pt>
                <c:pt idx="4">
                  <c:v>9.8939226247063222E-2</c:v>
                </c:pt>
                <c:pt idx="5">
                  <c:v>9.9847691689993287E-2</c:v>
                </c:pt>
                <c:pt idx="6">
                  <c:v>0.10075012281131032</c:v>
                </c:pt>
                <c:pt idx="7">
                  <c:v>0.10164658108372684</c:v>
                </c:pt>
                <c:pt idx="8">
                  <c:v>0.10253712712614538</c:v>
                </c:pt>
                <c:pt idx="9">
                  <c:v>0.10342182071878886</c:v>
                </c:pt>
                <c:pt idx="10">
                  <c:v>0.10430072081800383</c:v>
                </c:pt>
                <c:pt idx="11">
                  <c:v>0.10517388557074457</c:v>
                </c:pt>
                <c:pt idx="12">
                  <c:v>0.10604137232874646</c:v>
                </c:pt>
                <c:pt idx="13">
                  <c:v>0.10690323766239641</c:v>
                </c:pt>
                <c:pt idx="14">
                  <c:v>0.10775953737430781</c:v>
                </c:pt>
                <c:pt idx="15">
                  <c:v>0.10861032651260794</c:v>
                </c:pt>
                <c:pt idx="16">
                  <c:v>0.10945565938394397</c:v>
                </c:pt>
                <c:pt idx="17">
                  <c:v>0.11029558956621666</c:v>
                </c:pt>
                <c:pt idx="18">
                  <c:v>0.11113016992104552</c:v>
                </c:pt>
                <c:pt idx="19">
                  <c:v>0.11195945260597535</c:v>
                </c:pt>
                <c:pt idx="20">
                  <c:v>0.11278348908642792</c:v>
                </c:pt>
                <c:pt idx="21">
                  <c:v>0.11360233014740644</c:v>
                </c:pt>
                <c:pt idx="22">
                  <c:v>0.11441602590495836</c:v>
                </c:pt>
                <c:pt idx="23">
                  <c:v>0.11522462581740282</c:v>
                </c:pt>
                <c:pt idx="24">
                  <c:v>0.11602817869632817</c:v>
                </c:pt>
                <c:pt idx="25">
                  <c:v>0.11682673271736467</c:v>
                </c:pt>
                <c:pt idx="26">
                  <c:v>0.11762033543073909</c:v>
                </c:pt>
                <c:pt idx="27">
                  <c:v>0.11840903377161496</c:v>
                </c:pt>
                <c:pt idx="28">
                  <c:v>0.11919287407022439</c:v>
                </c:pt>
                <c:pt idx="29">
                  <c:v>0.119971902061797</c:v>
                </c:pt>
                <c:pt idx="30">
                  <c:v>0.1207461628962888</c:v>
                </c:pt>
                <c:pt idx="31">
                  <c:v>0.12151570114791836</c:v>
                </c:pt>
                <c:pt idx="32">
                  <c:v>0.12228056082451272</c:v>
                </c:pt>
                <c:pt idx="33">
                  <c:v>0.12304078537666861</c:v>
                </c:pt>
                <c:pt idx="34">
                  <c:v>0.12379641770673275</c:v>
                </c:pt>
                <c:pt idx="35">
                  <c:v>0.12454750017760573</c:v>
                </c:pt>
                <c:pt idx="36">
                  <c:v>0.12529407462137399</c:v>
                </c:pt>
                <c:pt idx="37">
                  <c:v>0.12603618234777253</c:v>
                </c:pt>
                <c:pt idx="38">
                  <c:v>0.12677386415248401</c:v>
                </c:pt>
                <c:pt idx="39">
                  <c:v>0.12750716032527651</c:v>
                </c:pt>
                <c:pt idx="40">
                  <c:v>0.12823611065798432</c:v>
                </c:pt>
                <c:pt idx="41">
                  <c:v>0.12896075445233587</c:v>
                </c:pt>
                <c:pt idx="42">
                  <c:v>0.12968113052763078</c:v>
                </c:pt>
                <c:pt idx="43">
                  <c:v>0.13039727722827077</c:v>
                </c:pt>
                <c:pt idx="44">
                  <c:v>0.13110923243114761</c:v>
                </c:pt>
                <c:pt idx="45">
                  <c:v>0.13181703355289076</c:v>
                </c:pt>
                <c:pt idx="46">
                  <c:v>0.13252071755697739</c:v>
                </c:pt>
                <c:pt idx="47">
                  <c:v>0.13322032096070976</c:v>
                </c:pt>
                <c:pt idx="48">
                  <c:v>0.13391587984206133</c:v>
                </c:pt>
                <c:pt idx="49">
                  <c:v>0.13460742984639404</c:v>
                </c:pt>
                <c:pt idx="50">
                  <c:v>0.13529500619305165</c:v>
                </c:pt>
                <c:pt idx="51">
                  <c:v>0.13597864368183005</c:v>
                </c:pt>
                <c:pt idx="52">
                  <c:v>0.13665837669932793</c:v>
                </c:pt>
                <c:pt idx="53">
                  <c:v>0.13733423922518001</c:v>
                </c:pt>
                <c:pt idx="54">
                  <c:v>0.13800626483817699</c:v>
                </c:pt>
                <c:pt idx="55">
                  <c:v>0.13867448672227178</c:v>
                </c:pt>
                <c:pt idx="56">
                  <c:v>0.1393389376724771</c:v>
                </c:pt>
                <c:pt idx="57">
                  <c:v>0.13999965010065565</c:v>
                </c:pt>
                <c:pt idx="58">
                  <c:v>0.1406566560412052</c:v>
                </c:pt>
                <c:pt idx="59">
                  <c:v>0.1413099871566412</c:v>
                </c:pt>
                <c:pt idx="60">
                  <c:v>0.14195967474307819</c:v>
                </c:pt>
                <c:pt idx="61">
                  <c:v>0.14260574973561396</c:v>
                </c:pt>
                <c:pt idx="62">
                  <c:v>0.14324824271361644</c:v>
                </c:pt>
                <c:pt idx="63">
                  <c:v>0.14388718390591657</c:v>
                </c:pt>
                <c:pt idx="64">
                  <c:v>0.14452260319590926</c:v>
                </c:pt>
                <c:pt idx="65">
                  <c:v>0.14515453012656349</c:v>
                </c:pt>
                <c:pt idx="66">
                  <c:v>0.14578299390534422</c:v>
                </c:pt>
                <c:pt idx="67">
                  <c:v>0.14640802340904782</c:v>
                </c:pt>
                <c:pt idx="68">
                  <c:v>0.14702964718855258</c:v>
                </c:pt>
                <c:pt idx="69">
                  <c:v>0.14764789347348578</c:v>
                </c:pt>
                <c:pt idx="70">
                  <c:v>0.14826279017681024</c:v>
                </c:pt>
                <c:pt idx="71">
                  <c:v>0.14887436489933031</c:v>
                </c:pt>
                <c:pt idx="72">
                  <c:v>0.1494826449341207</c:v>
                </c:pt>
                <c:pt idx="73">
                  <c:v>0.15008765727087794</c:v>
                </c:pt>
                <c:pt idx="74">
                  <c:v>0.15068942860019804</c:v>
                </c:pt>
                <c:pt idx="75">
                  <c:v>0.15128798531777973</c:v>
                </c:pt>
                <c:pt idx="76">
                  <c:v>0.1518833535285565</c:v>
                </c:pt>
                <c:pt idx="77">
                  <c:v>0.1524755590507583</c:v>
                </c:pt>
                <c:pt idx="78">
                  <c:v>0.15306462741990351</c:v>
                </c:pt>
                <c:pt idx="79">
                  <c:v>0.15365058389272418</c:v>
                </c:pt>
                <c:pt idx="80">
                  <c:v>0.15423345345102449</c:v>
                </c:pt>
                <c:pt idx="81">
                  <c:v>0.15481326080547408</c:v>
                </c:pt>
                <c:pt idx="82">
                  <c:v>0.15539003039933866</c:v>
                </c:pt>
                <c:pt idx="83">
                  <c:v>0.15596378641214675</c:v>
                </c:pt>
                <c:pt idx="84">
                  <c:v>0.15653455276329697</c:v>
                </c:pt>
                <c:pt idx="85">
                  <c:v>0.1571023531156038</c:v>
                </c:pt>
                <c:pt idx="86">
                  <c:v>0.15766721087878552</c:v>
                </c:pt>
                <c:pt idx="87">
                  <c:v>0.15822914921289444</c:v>
                </c:pt>
                <c:pt idx="88">
                  <c:v>0.15878819103169034</c:v>
                </c:pt>
                <c:pt idx="89">
                  <c:v>0.15934435900595817</c:v>
                </c:pt>
                <c:pt idx="90">
                  <c:v>0.15989767556677256</c:v>
                </c:pt>
                <c:pt idx="91">
                  <c:v>0.16044816290870798</c:v>
                </c:pt>
                <c:pt idx="92">
                  <c:v>0.16099584299299696</c:v>
                </c:pt>
                <c:pt idx="93">
                  <c:v>0.16154073755063716</c:v>
                </c:pt>
                <c:pt idx="94">
                  <c:v>0.16208286808544808</c:v>
                </c:pt>
                <c:pt idx="95">
                  <c:v>0.16262225587707857</c:v>
                </c:pt>
                <c:pt idx="96">
                  <c:v>0.163158921983966</c:v>
                </c:pt>
                <c:pt idx="97">
                  <c:v>0.16369288724624742</c:v>
                </c:pt>
                <c:pt idx="98">
                  <c:v>0.16422417228862493</c:v>
                </c:pt>
                <c:pt idx="99">
                  <c:v>0.16475279752318517</c:v>
                </c:pt>
                <c:pt idx="100">
                  <c:v>0.1652787831521734</c:v>
                </c:pt>
                <c:pt idx="101">
                  <c:v>0.16580214917072458</c:v>
                </c:pt>
                <c:pt idx="102">
                  <c:v>0.1663229153695501</c:v>
                </c:pt>
                <c:pt idx="103">
                  <c:v>0.16684110133758387</c:v>
                </c:pt>
                <c:pt idx="104">
                  <c:v>0.16735672646458483</c:v>
                </c:pt>
                <c:pt idx="105">
                  <c:v>0.16786980994370002</c:v>
                </c:pt>
                <c:pt idx="106">
                  <c:v>0.16838037077398726</c:v>
                </c:pt>
                <c:pt idx="107">
                  <c:v>0.16888842776289834</c:v>
                </c:pt>
                <c:pt idx="108">
                  <c:v>0.16939399952872411</c:v>
                </c:pt>
                <c:pt idx="109">
                  <c:v>0.16989710450300105</c:v>
                </c:pt>
                <c:pt idx="110">
                  <c:v>0.17039776093288103</c:v>
                </c:pt>
                <c:pt idx="111">
                  <c:v>0.17089598688346475</c:v>
                </c:pt>
                <c:pt idx="112">
                  <c:v>0.17139180024009879</c:v>
                </c:pt>
                <c:pt idx="113">
                  <c:v>0.17188521871063814</c:v>
                </c:pt>
                <c:pt idx="114">
                  <c:v>0.17237625982767349</c:v>
                </c:pt>
                <c:pt idx="115">
                  <c:v>0.17286494095072491</c:v>
                </c:pt>
                <c:pt idx="116">
                  <c:v>0.17335127926840257</c:v>
                </c:pt>
                <c:pt idx="117">
                  <c:v>0.17383529180053425</c:v>
                </c:pt>
                <c:pt idx="118">
                  <c:v>0.17431699540026038</c:v>
                </c:pt>
                <c:pt idx="119">
                  <c:v>0.17479640675609839</c:v>
                </c:pt>
                <c:pt idx="120">
                  <c:v>0.17527354239397575</c:v>
                </c:pt>
                <c:pt idx="121">
                  <c:v>0.17574841867923222</c:v>
                </c:pt>
                <c:pt idx="122">
                  <c:v>0.17622105181859207</c:v>
                </c:pt>
                <c:pt idx="123">
                  <c:v>0.17669145786210769</c:v>
                </c:pt>
                <c:pt idx="124">
                  <c:v>0.17715965270507372</c:v>
                </c:pt>
                <c:pt idx="125">
                  <c:v>0.1776256520899126</c:v>
                </c:pt>
                <c:pt idx="126">
                  <c:v>0.17808947160803332</c:v>
                </c:pt>
                <c:pt idx="127">
                  <c:v>0.17855112670166093</c:v>
                </c:pt>
                <c:pt idx="128">
                  <c:v>0.17901063266564149</c:v>
                </c:pt>
                <c:pt idx="129">
                  <c:v>0.17946800464921808</c:v>
                </c:pt>
                <c:pt idx="130">
                  <c:v>0.17992325765778311</c:v>
                </c:pt>
                <c:pt idx="131">
                  <c:v>0.18037640655460313</c:v>
                </c:pt>
                <c:pt idx="132">
                  <c:v>0.18082746606252023</c:v>
                </c:pt>
                <c:pt idx="133">
                  <c:v>0.18127645076562737</c:v>
                </c:pt>
                <c:pt idx="134">
                  <c:v>0.18172337511092054</c:v>
                </c:pt>
                <c:pt idx="135">
                  <c:v>0.18216825340992585</c:v>
                </c:pt>
                <c:pt idx="136">
                  <c:v>0.18261109984030491</c:v>
                </c:pt>
                <c:pt idx="137">
                  <c:v>0.1830519284474352</c:v>
                </c:pt>
                <c:pt idx="138">
                  <c:v>0.18349075314596974</c:v>
                </c:pt>
                <c:pt idx="139">
                  <c:v>0.18392758772137274</c:v>
                </c:pt>
                <c:pt idx="140">
                  <c:v>0.18436244583143466</c:v>
                </c:pt>
                <c:pt idx="141">
                  <c:v>0.18479534100776485</c:v>
                </c:pt>
                <c:pt idx="142">
                  <c:v>0.18522628665726396</c:v>
                </c:pt>
                <c:pt idx="143">
                  <c:v>0.18565529606357425</c:v>
                </c:pt>
                <c:pt idx="144">
                  <c:v>0.18608238238851102</c:v>
                </c:pt>
                <c:pt idx="145">
                  <c:v>0.18650755867347235</c:v>
                </c:pt>
                <c:pt idx="146">
                  <c:v>0.18693083784083039</c:v>
                </c:pt>
                <c:pt idx="147">
                  <c:v>0.18735223269530224</c:v>
                </c:pt>
                <c:pt idx="148">
                  <c:v>0.18777175592530185</c:v>
                </c:pt>
                <c:pt idx="149">
                  <c:v>0.18818942010427378</c:v>
                </c:pt>
                <c:pt idx="150">
                  <c:v>0.18860523769200777</c:v>
                </c:pt>
                <c:pt idx="151">
                  <c:v>0.18901922103593477</c:v>
                </c:pt>
                <c:pt idx="152">
                  <c:v>0.18943138237240628</c:v>
                </c:pt>
                <c:pt idx="153">
                  <c:v>0.1898417338279548</c:v>
                </c:pt>
                <c:pt idx="154">
                  <c:v>0.19025028742053757</c:v>
                </c:pt>
                <c:pt idx="155">
                  <c:v>0.19065705506076364</c:v>
                </c:pt>
                <c:pt idx="156">
                  <c:v>0.19106204855310263</c:v>
                </c:pt>
                <c:pt idx="157">
                  <c:v>0.19146527959707904</c:v>
                </c:pt>
                <c:pt idx="158">
                  <c:v>0.19186675978844844</c:v>
                </c:pt>
                <c:pt idx="159">
                  <c:v>0.19226650062035955</c:v>
                </c:pt>
                <c:pt idx="160">
                  <c:v>0.19266451348449792</c:v>
                </c:pt>
                <c:pt idx="161">
                  <c:v>0.19306080967221775</c:v>
                </c:pt>
                <c:pt idx="162">
                  <c:v>0.19345540037565465</c:v>
                </c:pt>
                <c:pt idx="163">
                  <c:v>0.19384829668882655</c:v>
                </c:pt>
                <c:pt idx="164">
                  <c:v>0.19423950960871764</c:v>
                </c:pt>
                <c:pt idx="165">
                  <c:v>0.19462905003634923</c:v>
                </c:pt>
                <c:pt idx="166">
                  <c:v>0.19501692877783569</c:v>
                </c:pt>
                <c:pt idx="167">
                  <c:v>0.19540315654542606</c:v>
                </c:pt>
                <c:pt idx="168">
                  <c:v>0.19578774395853263</c:v>
                </c:pt>
                <c:pt idx="169">
                  <c:v>0.19617070154474509</c:v>
                </c:pt>
                <c:pt idx="170">
                  <c:v>0.1965520397408313</c:v>
                </c:pt>
                <c:pt idx="171">
                  <c:v>0.1969317688937261</c:v>
                </c:pt>
                <c:pt idx="172">
                  <c:v>0.197309899261505</c:v>
                </c:pt>
                <c:pt idx="173">
                  <c:v>0.19768644101434718</c:v>
                </c:pt>
                <c:pt idx="174">
                  <c:v>0.19806140423548393</c:v>
                </c:pt>
                <c:pt idx="175">
                  <c:v>0.19843479892213658</c:v>
                </c:pt>
                <c:pt idx="176">
                  <c:v>0.19880663498644066</c:v>
                </c:pt>
                <c:pt idx="177">
                  <c:v>0.19917692225635911</c:v>
                </c:pt>
                <c:pt idx="178">
                  <c:v>0.19954567047658259</c:v>
                </c:pt>
                <c:pt idx="179">
                  <c:v>0.19991288930941939</c:v>
                </c:pt>
                <c:pt idx="180">
                  <c:v>0.20027858833567269</c:v>
                </c:pt>
                <c:pt idx="181">
                  <c:v>0.20064277705550712</c:v>
                </c:pt>
                <c:pt idx="182">
                  <c:v>0.20100546488930435</c:v>
                </c:pt>
                <c:pt idx="183">
                  <c:v>0.20136666117850671</c:v>
                </c:pt>
                <c:pt idx="184">
                  <c:v>0.20172637518645123</c:v>
                </c:pt>
                <c:pt idx="185">
                  <c:v>0.20208461609919265</c:v>
                </c:pt>
                <c:pt idx="186">
                  <c:v>0.202441393026315</c:v>
                </c:pt>
                <c:pt idx="187">
                  <c:v>0.20279671500173457</c:v>
                </c:pt>
                <c:pt idx="188">
                  <c:v>0.20315059098449087</c:v>
                </c:pt>
                <c:pt idx="189">
                  <c:v>0.20350302985952923</c:v>
                </c:pt>
                <c:pt idx="190">
                  <c:v>0.20385404043847249</c:v>
                </c:pt>
                <c:pt idx="191">
                  <c:v>0.20420363146038278</c:v>
                </c:pt>
                <c:pt idx="192">
                  <c:v>0.2045518115925147</c:v>
                </c:pt>
                <c:pt idx="193">
                  <c:v>0.20489858943105854</c:v>
                </c:pt>
                <c:pt idx="194">
                  <c:v>0.20524397350187404</c:v>
                </c:pt>
                <c:pt idx="195">
                  <c:v>0.20558797226121475</c:v>
                </c:pt>
                <c:pt idx="196">
                  <c:v>0.20593059409644426</c:v>
                </c:pt>
                <c:pt idx="197">
                  <c:v>0.20627184732674303</c:v>
                </c:pt>
                <c:pt idx="198">
                  <c:v>0.20661174020380574</c:v>
                </c:pt>
                <c:pt idx="199">
                  <c:v>0.20695028091253165</c:v>
                </c:pt>
                <c:pt idx="200">
                  <c:v>0.20728747757170468</c:v>
                </c:pt>
              </c:numCache>
            </c:numRef>
          </c:val>
          <c:smooth val="0"/>
          <c:extLst>
            <c:ext xmlns:c16="http://schemas.microsoft.com/office/drawing/2014/chart" uri="{C3380CC4-5D6E-409C-BE32-E72D297353CC}">
              <c16:uniqueId val="{00000003-9AA8-4F44-9279-F2DFD4BF490C}"/>
            </c:ext>
          </c:extLst>
        </c:ser>
        <c:ser>
          <c:idx val="4"/>
          <c:order val="4"/>
          <c:tx>
            <c:strRef>
              <c:f>'Efficiency vs VIN Calculations'!$BR$8</c:f>
              <c:strCache>
                <c:ptCount val="1"/>
                <c:pt idx="0">
                  <c:v>Buck ''Control'' MOSFET Loss</c:v>
                </c:pt>
              </c:strCache>
            </c:strRef>
          </c:tx>
          <c:spPr>
            <a:ln>
              <a:prstDash val="sysDash"/>
            </a:ln>
          </c:spPr>
          <c:marker>
            <c:symbol val="none"/>
          </c:marker>
          <c:val>
            <c:numRef>
              <c:f>'Efficiency vs VIN Calculations'!$BR$9:$BR$209</c:f>
              <c:numCache>
                <c:formatCode>0.000</c:formatCode>
                <c:ptCount val="201"/>
                <c:pt idx="0">
                  <c:v>3.324639344119233</c:v>
                </c:pt>
                <c:pt idx="1">
                  <c:v>3.3315133670464507</c:v>
                </c:pt>
                <c:pt idx="2">
                  <c:v>3.338403251944559</c:v>
                </c:pt>
                <c:pt idx="3">
                  <c:v>3.3453088081917661</c:v>
                </c:pt>
                <c:pt idx="4">
                  <c:v>3.3522298482546824</c:v>
                </c:pt>
                <c:pt idx="5">
                  <c:v>3.3591661876253225</c:v>
                </c:pt>
                <c:pt idx="6">
                  <c:v>3.3661176447596666</c:v>
                </c:pt>
                <c:pt idx="7">
                  <c:v>3.373084041017711</c:v>
                </c:pt>
                <c:pt idx="8">
                  <c:v>3.3800652006049869</c:v>
                </c:pt>
                <c:pt idx="9">
                  <c:v>3.3870609505155027</c:v>
                </c:pt>
                <c:pt idx="10">
                  <c:v>3.3940711204760441</c:v>
                </c:pt>
                <c:pt idx="11">
                  <c:v>3.4010955428918432</c:v>
                </c:pt>
                <c:pt idx="12">
                  <c:v>3.4081340527935251</c:v>
                </c:pt>
                <c:pt idx="13">
                  <c:v>3.4151864877853324</c:v>
                </c:pt>
                <c:pt idx="14">
                  <c:v>3.422252687994578</c:v>
                </c:pt>
                <c:pt idx="15">
                  <c:v>3.4293324960222895</c:v>
                </c:pt>
                <c:pt idx="16">
                  <c:v>3.4364257568950225</c:v>
                </c:pt>
                <c:pt idx="17">
                  <c:v>3.4435323180178044</c:v>
                </c:pt>
                <c:pt idx="18">
                  <c:v>3.450652029128169</c:v>
                </c:pt>
                <c:pt idx="19">
                  <c:v>3.4577847422512789</c:v>
                </c:pt>
                <c:pt idx="20">
                  <c:v>3.4649303116560688</c:v>
                </c:pt>
                <c:pt idx="21">
                  <c:v>3.4720885938124177</c:v>
                </c:pt>
                <c:pt idx="22">
                  <c:v>3.4792594473492926</c:v>
                </c:pt>
                <c:pt idx="23">
                  <c:v>3.486442733013865</c:v>
                </c:pt>
                <c:pt idx="24">
                  <c:v>3.4936383136315499</c:v>
                </c:pt>
                <c:pt idx="25">
                  <c:v>3.5008460540669586</c:v>
                </c:pt>
                <c:pt idx="26">
                  <c:v>3.5080658211857298</c:v>
                </c:pt>
                <c:pt idx="27">
                  <c:v>3.5152974838172302</c:v>
                </c:pt>
                <c:pt idx="28">
                  <c:v>3.5225409127180889</c:v>
                </c:pt>
                <c:pt idx="29">
                  <c:v>3.529795980536544</c:v>
                </c:pt>
                <c:pt idx="30">
                  <c:v>3.5370625617775882</c:v>
                </c:pt>
                <c:pt idx="31">
                  <c:v>3.5443405327688864</c:v>
                </c:pt>
                <c:pt idx="32">
                  <c:v>3.5516297716274554</c:v>
                </c:pt>
                <c:pt idx="33">
                  <c:v>3.5589301582270614</c:v>
                </c:pt>
                <c:pt idx="34">
                  <c:v>3.5662415741663525</c:v>
                </c:pt>
                <c:pt idx="35">
                  <c:v>3.5735639027376647</c:v>
                </c:pt>
                <c:pt idx="36">
                  <c:v>3.5808970288965387</c:v>
                </c:pt>
                <c:pt idx="37">
                  <c:v>3.588240839231867</c:v>
                </c:pt>
                <c:pt idx="38">
                  <c:v>3.5955952219367062</c:v>
                </c:pt>
                <c:pt idx="39">
                  <c:v>3.6029600667797119</c:v>
                </c:pt>
                <c:pt idx="40">
                  <c:v>3.6103352650771865</c:v>
                </c:pt>
                <c:pt idx="41">
                  <c:v>3.6177207096657278</c:v>
                </c:pt>
                <c:pt idx="42">
                  <c:v>3.6251162948754505</c:v>
                </c:pt>
                <c:pt idx="43">
                  <c:v>3.6325219165037916</c:v>
                </c:pt>
                <c:pt idx="44">
                  <c:v>3.6399374717898576</c:v>
                </c:pt>
                <c:pt idx="45">
                  <c:v>3.6473628593893168</c:v>
                </c:pt>
                <c:pt idx="46">
                  <c:v>3.6547979793498189</c:v>
                </c:pt>
                <c:pt idx="47">
                  <c:v>3.6622427330869258</c:v>
                </c:pt>
                <c:pt idx="48">
                  <c:v>3.6696970233605462</c:v>
                </c:pt>
                <c:pt idx="49">
                  <c:v>3.6771607542518638</c:v>
                </c:pt>
                <c:pt idx="50">
                  <c:v>3.6846338311407325</c:v>
                </c:pt>
                <c:pt idx="51">
                  <c:v>3.6921161606835495</c:v>
                </c:pt>
                <c:pt idx="52">
                  <c:v>3.6996076507915694</c:v>
                </c:pt>
                <c:pt idx="53">
                  <c:v>3.7071082106096807</c:v>
                </c:pt>
                <c:pt idx="54">
                  <c:v>3.7146177504955951</c:v>
                </c:pt>
                <c:pt idx="55">
                  <c:v>3.7221361819994767</c:v>
                </c:pt>
                <c:pt idx="56">
                  <c:v>3.7296634178439678</c:v>
                </c:pt>
                <c:pt idx="57">
                  <c:v>3.7371993719046381</c:v>
                </c:pt>
                <c:pt idx="58">
                  <c:v>3.7447439591908016</c:v>
                </c:pt>
                <c:pt idx="59">
                  <c:v>3.7522970958267465</c:v>
                </c:pt>
                <c:pt idx="60">
                  <c:v>3.7598586990333134</c:v>
                </c:pt>
                <c:pt idx="61">
                  <c:v>3.7674286871098586</c:v>
                </c:pt>
                <c:pt idx="62">
                  <c:v>3.7750069794165677</c:v>
                </c:pt>
                <c:pt idx="63">
                  <c:v>3.7825934963571197</c:v>
                </c:pt>
                <c:pt idx="64">
                  <c:v>3.7901881593616911</c:v>
                </c:pt>
                <c:pt idx="65">
                  <c:v>3.7977908908702971</c:v>
                </c:pt>
                <c:pt idx="66">
                  <c:v>3.8054016143164602</c:v>
                </c:pt>
                <c:pt idx="67">
                  <c:v>3.8130202541111888</c:v>
                </c:pt>
                <c:pt idx="68">
                  <c:v>3.8206467356272715</c:v>
                </c:pt>
                <c:pt idx="69">
                  <c:v>3.8282809851838873</c:v>
                </c:pt>
                <c:pt idx="70">
                  <c:v>3.8359229300314879</c:v>
                </c:pt>
                <c:pt idx="71">
                  <c:v>3.8435724983369979</c:v>
                </c:pt>
                <c:pt idx="72">
                  <c:v>3.8512296191692741</c:v>
                </c:pt>
                <c:pt idx="73">
                  <c:v>3.8588942224848668</c:v>
                </c:pt>
                <c:pt idx="74">
                  <c:v>3.8665662391140292</c:v>
                </c:pt>
                <c:pt idx="75">
                  <c:v>3.8742456007470136</c:v>
                </c:pt>
                <c:pt idx="76">
                  <c:v>3.8819322399206091</c:v>
                </c:pt>
                <c:pt idx="77">
                  <c:v>3.8896260900049406</c:v>
                </c:pt>
                <c:pt idx="78">
                  <c:v>3.8973270851905251</c:v>
                </c:pt>
                <c:pt idx="79">
                  <c:v>3.9050351604755527</c:v>
                </c:pt>
                <c:pt idx="80">
                  <c:v>3.9127502516534158</c:v>
                </c:pt>
                <c:pt idx="81">
                  <c:v>3.9204722953004714</c:v>
                </c:pt>
                <c:pt idx="82">
                  <c:v>3.9282012287640278</c:v>
                </c:pt>
                <c:pt idx="83">
                  <c:v>3.9359369901505517</c:v>
                </c:pt>
                <c:pt idx="84">
                  <c:v>3.9436795183140956</c:v>
                </c:pt>
                <c:pt idx="85">
                  <c:v>3.9514287528449348</c:v>
                </c:pt>
                <c:pt idx="86">
                  <c:v>3.9591846340584205</c:v>
                </c:pt>
                <c:pt idx="87">
                  <c:v>3.9669471029840238</c:v>
                </c:pt>
                <c:pt idx="88">
                  <c:v>3.9747161013545913</c:v>
                </c:pt>
                <c:pt idx="89">
                  <c:v>3.982491571595788</c:v>
                </c:pt>
                <c:pt idx="90">
                  <c:v>3.9902734568157339</c:v>
                </c:pt>
                <c:pt idx="91">
                  <c:v>3.9980617007948256</c:v>
                </c:pt>
                <c:pt idx="92">
                  <c:v>4.005856247975748</c:v>
                </c:pt>
                <c:pt idx="93">
                  <c:v>4.0136570434536516</c:v>
                </c:pt>
                <c:pt idx="94">
                  <c:v>4.021464032966521</c:v>
                </c:pt>
                <c:pt idx="95">
                  <c:v>4.0292771628857018</c:v>
                </c:pt>
                <c:pt idx="96">
                  <c:v>4.037096380206604</c:v>
                </c:pt>
                <c:pt idx="97">
                  <c:v>4.0449216325395625</c:v>
                </c:pt>
                <c:pt idx="98">
                  <c:v>4.0527528681008711</c:v>
                </c:pt>
                <c:pt idx="99">
                  <c:v>4.0605900357039566</c:v>
                </c:pt>
                <c:pt idx="100">
                  <c:v>4.0684330847507315</c:v>
                </c:pt>
                <c:pt idx="101">
                  <c:v>4.0762819652230649</c:v>
                </c:pt>
                <c:pt idx="102">
                  <c:v>4.0841366276744386</c:v>
                </c:pt>
                <c:pt idx="103">
                  <c:v>4.0919970232217242</c:v>
                </c:pt>
                <c:pt idx="104">
                  <c:v>4.0998631035371069</c:v>
                </c:pt>
                <c:pt idx="105">
                  <c:v>4.1077348208401547</c:v>
                </c:pt>
                <c:pt idx="106">
                  <c:v>4.1156121278900173</c:v>
                </c:pt>
                <c:pt idx="107">
                  <c:v>4.1234949779777681</c:v>
                </c:pt>
                <c:pt idx="108">
                  <c:v>4.1313833249188656</c:v>
                </c:pt>
                <c:pt idx="109">
                  <c:v>4.1392771230457521</c:v>
                </c:pt>
                <c:pt idx="110">
                  <c:v>4.1471763272005768</c:v>
                </c:pt>
                <c:pt idx="111">
                  <c:v>4.155080892728038</c:v>
                </c:pt>
                <c:pt idx="112">
                  <c:v>4.1629907754683559</c:v>
                </c:pt>
                <c:pt idx="113">
                  <c:v>4.170905931750351</c:v>
                </c:pt>
                <c:pt idx="114">
                  <c:v>4.1788263183846475</c:v>
                </c:pt>
                <c:pt idx="115">
                  <c:v>4.1867518926569938</c:v>
                </c:pt>
                <c:pt idx="116">
                  <c:v>4.1946826123216834</c:v>
                </c:pt>
                <c:pt idx="117">
                  <c:v>4.2026184355950971</c:v>
                </c:pt>
                <c:pt idx="118">
                  <c:v>4.2105593211493408</c:v>
                </c:pt>
                <c:pt idx="119">
                  <c:v>4.2185052281060029</c:v>
                </c:pt>
                <c:pt idx="120">
                  <c:v>4.2264561160300032</c:v>
                </c:pt>
                <c:pt idx="121">
                  <c:v>4.2344119449235524</c:v>
                </c:pt>
                <c:pt idx="122">
                  <c:v>4.242372675220194</c:v>
                </c:pt>
                <c:pt idx="123">
                  <c:v>4.2503382677789689</c:v>
                </c:pt>
                <c:pt idx="124">
                  <c:v>4.2583086838786572</c:v>
                </c:pt>
                <c:pt idx="125">
                  <c:v>4.2662838852121174</c:v>
                </c:pt>
                <c:pt idx="126">
                  <c:v>4.2742638338807222</c:v>
                </c:pt>
                <c:pt idx="127">
                  <c:v>4.282248492388872</c:v>
                </c:pt>
                <c:pt idx="128">
                  <c:v>4.2902378236386252</c:v>
                </c:pt>
                <c:pt idx="129">
                  <c:v>4.2982317909243779</c:v>
                </c:pt>
                <c:pt idx="130">
                  <c:v>4.3062303579276575</c:v>
                </c:pt>
                <c:pt idx="131">
                  <c:v>4.3142334887119809</c:v>
                </c:pt>
                <c:pt idx="132">
                  <c:v>4.3222411477178193</c:v>
                </c:pt>
                <c:pt idx="133">
                  <c:v>4.3302532997576089</c:v>
                </c:pt>
                <c:pt idx="134">
                  <c:v>4.3382699100108733</c:v>
                </c:pt>
                <c:pt idx="135">
                  <c:v>4.3462909440194011</c:v>
                </c:pt>
                <c:pt idx="136">
                  <c:v>4.3543163676825163</c:v>
                </c:pt>
                <c:pt idx="137">
                  <c:v>4.3623461472524072</c:v>
                </c:pt>
                <c:pt idx="138">
                  <c:v>4.3703802493295401</c:v>
                </c:pt>
                <c:pt idx="139">
                  <c:v>4.3784186408581425</c:v>
                </c:pt>
                <c:pt idx="140">
                  <c:v>4.3864612891217512</c:v>
                </c:pt>
                <c:pt idx="141">
                  <c:v>4.3945081617388437</c:v>
                </c:pt>
                <c:pt idx="142">
                  <c:v>4.4025592266585152</c:v>
                </c:pt>
                <c:pt idx="143">
                  <c:v>4.41061445215625</c:v>
                </c:pt>
                <c:pt idx="144">
                  <c:v>4.4186738068297302</c:v>
                </c:pt>
                <c:pt idx="145">
                  <c:v>4.4267372595947316</c:v>
                </c:pt>
                <c:pt idx="146">
                  <c:v>4.434804779681075</c:v>
                </c:pt>
                <c:pt idx="147">
                  <c:v>4.4428763366286335</c:v>
                </c:pt>
                <c:pt idx="148">
                  <c:v>4.4509519002834042</c:v>
                </c:pt>
                <c:pt idx="149">
                  <c:v>4.45903144079365</c:v>
                </c:pt>
                <c:pt idx="150">
                  <c:v>4.4671149286060867</c:v>
                </c:pt>
                <c:pt idx="151">
                  <c:v>4.4752023344621312</c:v>
                </c:pt>
                <c:pt idx="152">
                  <c:v>4.4832936293942147</c:v>
                </c:pt>
                <c:pt idx="153">
                  <c:v>4.4913887847221368</c:v>
                </c:pt>
                <c:pt idx="154">
                  <c:v>4.4994877720494904</c:v>
                </c:pt>
                <c:pt idx="155">
                  <c:v>4.5075905632601296</c:v>
                </c:pt>
                <c:pt idx="156">
                  <c:v>4.5156971305146936</c:v>
                </c:pt>
                <c:pt idx="157">
                  <c:v>4.5238074462471847</c:v>
                </c:pt>
                <c:pt idx="158">
                  <c:v>4.5319214831615922</c:v>
                </c:pt>
                <c:pt idx="159">
                  <c:v>4.5400392142285728</c:v>
                </c:pt>
                <c:pt idx="160">
                  <c:v>4.5481606126821745</c:v>
                </c:pt>
                <c:pt idx="161">
                  <c:v>4.5562856520166157</c:v>
                </c:pt>
                <c:pt idx="162">
                  <c:v>4.5644143059831013</c:v>
                </c:pt>
                <c:pt idx="163">
                  <c:v>4.5725465485866996</c:v>
                </c:pt>
                <c:pt idx="164">
                  <c:v>4.5806823540832502</c:v>
                </c:pt>
                <c:pt idx="165">
                  <c:v>4.5888216969763294</c:v>
                </c:pt>
                <c:pt idx="166">
                  <c:v>4.5969645520142528</c:v>
                </c:pt>
                <c:pt idx="167">
                  <c:v>4.6051108941871259</c:v>
                </c:pt>
                <c:pt idx="168">
                  <c:v>4.6132606987239315</c:v>
                </c:pt>
                <c:pt idx="169">
                  <c:v>4.6214139410896662</c:v>
                </c:pt>
                <c:pt idx="170">
                  <c:v>4.6295705969825152</c:v>
                </c:pt>
                <c:pt idx="171">
                  <c:v>4.6377306423310678</c:v>
                </c:pt>
                <c:pt idx="172">
                  <c:v>4.645894053291574</c:v>
                </c:pt>
                <c:pt idx="173">
                  <c:v>4.6540608062452336</c:v>
                </c:pt>
                <c:pt idx="174">
                  <c:v>4.6622308777955404</c:v>
                </c:pt>
                <c:pt idx="175">
                  <c:v>4.6704042447656473</c:v>
                </c:pt>
                <c:pt idx="176">
                  <c:v>4.6785808841957737</c:v>
                </c:pt>
                <c:pt idx="177">
                  <c:v>4.6867607733406578</c:v>
                </c:pt>
                <c:pt idx="178">
                  <c:v>4.6949438896670346</c:v>
                </c:pt>
                <c:pt idx="179">
                  <c:v>4.7031302108511595</c:v>
                </c:pt>
                <c:pt idx="180">
                  <c:v>4.7113197147763515</c:v>
                </c:pt>
                <c:pt idx="181">
                  <c:v>4.7195123795305891</c:v>
                </c:pt>
                <c:pt idx="182">
                  <c:v>4.7277081834041264</c:v>
                </c:pt>
                <c:pt idx="183">
                  <c:v>4.7359071048871551</c:v>
                </c:pt>
                <c:pt idx="184">
                  <c:v>4.7441091226674796</c:v>
                </c:pt>
                <c:pt idx="185">
                  <c:v>4.7523142156282523</c:v>
                </c:pt>
                <c:pt idx="186">
                  <c:v>4.7605223628457054</c:v>
                </c:pt>
                <c:pt idx="187">
                  <c:v>4.7687335435869542</c:v>
                </c:pt>
                <c:pt idx="188">
                  <c:v>4.776947737307796</c:v>
                </c:pt>
                <c:pt idx="189">
                  <c:v>4.7851649236505551</c:v>
                </c:pt>
                <c:pt idx="190">
                  <c:v>4.793385082441965</c:v>
                </c:pt>
                <c:pt idx="191">
                  <c:v>4.8016081936910577</c:v>
                </c:pt>
                <c:pt idx="192">
                  <c:v>4.8098342375871042</c:v>
                </c:pt>
                <c:pt idx="193">
                  <c:v>4.8180631944975714</c:v>
                </c:pt>
                <c:pt idx="194">
                  <c:v>4.8262950449661037</c:v>
                </c:pt>
                <c:pt idx="195">
                  <c:v>4.8345297697105476</c:v>
                </c:pt>
                <c:pt idx="196">
                  <c:v>4.8427673496209866</c:v>
                </c:pt>
                <c:pt idx="197">
                  <c:v>4.8510077657578066</c:v>
                </c:pt>
                <c:pt idx="198">
                  <c:v>4.8592509993497979</c:v>
                </c:pt>
                <c:pt idx="199">
                  <c:v>4.8674970317922677</c:v>
                </c:pt>
                <c:pt idx="200">
                  <c:v>4.8757458446451922</c:v>
                </c:pt>
              </c:numCache>
            </c:numRef>
          </c:val>
          <c:smooth val="0"/>
          <c:extLst>
            <c:ext xmlns:c16="http://schemas.microsoft.com/office/drawing/2014/chart" uri="{C3380CC4-5D6E-409C-BE32-E72D297353CC}">
              <c16:uniqueId val="{00000000-E67B-4930-9B0B-95621CA3ED28}"/>
            </c:ext>
          </c:extLst>
        </c:ser>
        <c:ser>
          <c:idx val="5"/>
          <c:order val="5"/>
          <c:tx>
            <c:strRef>
              <c:f>'Efficiency vs VIN Calculations'!$BS$8</c:f>
              <c:strCache>
                <c:ptCount val="1"/>
                <c:pt idx="0">
                  <c:v>Buck ''SYNC'' MOSFET Loss</c:v>
                </c:pt>
              </c:strCache>
            </c:strRef>
          </c:tx>
          <c:spPr>
            <a:ln>
              <a:prstDash val="sysDash"/>
            </a:ln>
          </c:spPr>
          <c:marker>
            <c:symbol val="none"/>
          </c:marker>
          <c:val>
            <c:numRef>
              <c:f>'Efficiency vs VIN Calculations'!$BS$9:$BS$209</c:f>
              <c:numCache>
                <c:formatCode>0.000</c:formatCode>
                <c:ptCount val="201"/>
                <c:pt idx="0">
                  <c:v>0.84582934581848412</c:v>
                </c:pt>
                <c:pt idx="1">
                  <c:v>0.84803781529867894</c:v>
                </c:pt>
                <c:pt idx="2">
                  <c:v>0.85023476733071668</c:v>
                </c:pt>
                <c:pt idx="3">
                  <c:v>0.85242030813482739</c:v>
                </c:pt>
                <c:pt idx="4">
                  <c:v>0.85459454257974099</c:v>
                </c:pt>
                <c:pt idx="5">
                  <c:v>0.85675757420492937</c:v>
                </c:pt>
                <c:pt idx="6">
                  <c:v>0.85890950524239706</c:v>
                </c:pt>
                <c:pt idx="7">
                  <c:v>0.86105043663802805</c:v>
                </c:pt>
                <c:pt idx="8">
                  <c:v>0.86318046807250448</c:v>
                </c:pt>
                <c:pt idx="9">
                  <c:v>0.86529969798180095</c:v>
                </c:pt>
                <c:pt idx="10">
                  <c:v>0.86740822357727099</c:v>
                </c:pt>
                <c:pt idx="11">
                  <c:v>0.8695061408653304</c:v>
                </c:pt>
                <c:pt idx="12">
                  <c:v>0.87159354466675165</c:v>
                </c:pt>
                <c:pt idx="13">
                  <c:v>0.87367052863557459</c:v>
                </c:pt>
                <c:pt idx="14">
                  <c:v>0.87573718527764488</c:v>
                </c:pt>
                <c:pt idx="15">
                  <c:v>0.87779360596878808</c:v>
                </c:pt>
                <c:pt idx="16">
                  <c:v>0.87983988097262822</c:v>
                </c:pt>
                <c:pt idx="17">
                  <c:v>0.88187609945805934</c:v>
                </c:pt>
                <c:pt idx="18">
                  <c:v>0.88390234951637692</c:v>
                </c:pt>
                <c:pt idx="19">
                  <c:v>0.8859187181780801</c:v>
                </c:pt>
                <c:pt idx="20">
                  <c:v>0.88792529142934762</c:v>
                </c:pt>
                <c:pt idx="21">
                  <c:v>0.88992215422819931</c:v>
                </c:pt>
                <c:pt idx="22">
                  <c:v>0.89190939052034757</c:v>
                </c:pt>
                <c:pt idx="23">
                  <c:v>0.89388708325474797</c:v>
                </c:pt>
                <c:pt idx="24">
                  <c:v>0.89585531439885502</c:v>
                </c:pt>
                <c:pt idx="25">
                  <c:v>0.89781416495358723</c:v>
                </c:pt>
                <c:pt idx="26">
                  <c:v>0.89976371496801433</c:v>
                </c:pt>
                <c:pt idx="27">
                  <c:v>0.90170404355376443</c:v>
                </c:pt>
                <c:pt idx="28">
                  <c:v>0.90363522889916603</c:v>
                </c:pt>
                <c:pt idx="29">
                  <c:v>0.90555734828312462</c:v>
                </c:pt>
                <c:pt idx="30">
                  <c:v>0.90747047808874104</c:v>
                </c:pt>
                <c:pt idx="31">
                  <c:v>0.90937469381668101</c:v>
                </c:pt>
                <c:pt idx="32">
                  <c:v>0.91127007009829553</c:v>
                </c:pt>
                <c:pt idx="33">
                  <c:v>0.91315668070850275</c:v>
                </c:pt>
                <c:pt idx="34">
                  <c:v>0.91503459857843228</c:v>
                </c:pt>
                <c:pt idx="35">
                  <c:v>0.91690389580784148</c:v>
                </c:pt>
                <c:pt idx="36">
                  <c:v>0.91876464367730459</c:v>
                </c:pt>
                <c:pt idx="37">
                  <c:v>0.92061691266018209</c:v>
                </c:pt>
                <c:pt idx="38">
                  <c:v>0.92246077243437541</c:v>
                </c:pt>
                <c:pt idx="39">
                  <c:v>0.92429629189386842</c:v>
                </c:pt>
                <c:pt idx="40">
                  <c:v>0.92612353916006462</c:v>
                </c:pt>
                <c:pt idx="41">
                  <c:v>0.92794258159292065</c:v>
                </c:pt>
                <c:pt idx="42">
                  <c:v>0.92975348580188322</c:v>
                </c:pt>
                <c:pt idx="43">
                  <c:v>0.93155631765663149</c:v>
                </c:pt>
                <c:pt idx="44">
                  <c:v>0.93335114229763083</c:v>
                </c:pt>
                <c:pt idx="45">
                  <c:v>0.93513802414650082</c:v>
                </c:pt>
                <c:pt idx="46">
                  <c:v>0.93691702691620027</c:v>
                </c:pt>
                <c:pt idx="47">
                  <c:v>0.93868821362103683</c:v>
                </c:pt>
                <c:pt idx="48">
                  <c:v>0.94045164658650149</c:v>
                </c:pt>
                <c:pt idx="49">
                  <c:v>0.94220738745893151</c:v>
                </c:pt>
                <c:pt idx="50">
                  <c:v>0.94395549721500782</c:v>
                </c:pt>
                <c:pt idx="51">
                  <c:v>0.94569603617108855</c:v>
                </c:pt>
                <c:pt idx="52">
                  <c:v>0.94742906399238191</c:v>
                </c:pt>
                <c:pt idx="53">
                  <c:v>0.94915463970196245</c:v>
                </c:pt>
                <c:pt idx="54">
                  <c:v>0.95087282168963516</c:v>
                </c:pt>
                <c:pt idx="55">
                  <c:v>0.95258366772064595</c:v>
                </c:pt>
                <c:pt idx="56">
                  <c:v>0.9542872349442465</c:v>
                </c:pt>
                <c:pt idx="57">
                  <c:v>0.95598357990211558</c:v>
                </c:pt>
                <c:pt idx="58">
                  <c:v>0.95767275853663691</c:v>
                </c:pt>
                <c:pt idx="59">
                  <c:v>0.95935482619903922</c:v>
                </c:pt>
                <c:pt idx="60">
                  <c:v>0.96102983765739936</c:v>
                </c:pt>
                <c:pt idx="61">
                  <c:v>0.96269784710451412</c:v>
                </c:pt>
                <c:pt idx="62">
                  <c:v>0.96435890816563918</c:v>
                </c:pt>
                <c:pt idx="63">
                  <c:v>0.96601307390610158</c:v>
                </c:pt>
                <c:pt idx="64">
                  <c:v>0.96766039683878602</c:v>
                </c:pt>
                <c:pt idx="65">
                  <c:v>0.96930092893149811</c:v>
                </c:pt>
                <c:pt idx="66">
                  <c:v>0.97093472161420691</c:v>
                </c:pt>
                <c:pt idx="67">
                  <c:v>0.97256182578617001</c:v>
                </c:pt>
                <c:pt idx="68">
                  <c:v>0.97418229182294169</c:v>
                </c:pt>
                <c:pt idx="69">
                  <c:v>0.97579616958326765</c:v>
                </c:pt>
                <c:pt idx="70">
                  <c:v>0.97740350841586832</c:v>
                </c:pt>
                <c:pt idx="71">
                  <c:v>0.97900435716611267</c:v>
                </c:pt>
                <c:pt idx="72">
                  <c:v>0.9805987641825854</c:v>
                </c:pt>
                <c:pt idx="73">
                  <c:v>0.98218677732354753</c:v>
                </c:pt>
                <c:pt idx="74">
                  <c:v>0.98376844396329544</c:v>
                </c:pt>
                <c:pt idx="75">
                  <c:v>0.98534381099841684</c:v>
                </c:pt>
                <c:pt idx="76">
                  <c:v>0.98691292485394944</c:v>
                </c:pt>
                <c:pt idx="77">
                  <c:v>0.98847583148944129</c:v>
                </c:pt>
                <c:pt idx="78">
                  <c:v>0.99003257640491416</c:v>
                </c:pt>
                <c:pt idx="79">
                  <c:v>0.99158320464673599</c:v>
                </c:pt>
                <c:pt idx="80">
                  <c:v>0.99312776081339904</c:v>
                </c:pt>
                <c:pt idx="81">
                  <c:v>0.9946662890612068</c:v>
                </c:pt>
                <c:pt idx="82">
                  <c:v>0.99619883310987722</c:v>
                </c:pt>
                <c:pt idx="83">
                  <c:v>0.99772543624805277</c:v>
                </c:pt>
                <c:pt idx="84">
                  <c:v>0.99924614133872869</c:v>
                </c:pt>
                <c:pt idx="85">
                  <c:v>1.0007609908245976</c:v>
                </c:pt>
                <c:pt idx="86">
                  <c:v>1.0022700267333082</c:v>
                </c:pt>
                <c:pt idx="87">
                  <c:v>1.0037732906826502</c:v>
                </c:pt>
                <c:pt idx="88">
                  <c:v>1.0052708238856518</c:v>
                </c:pt>
                <c:pt idx="89">
                  <c:v>1.0067626671556045</c:v>
                </c:pt>
                <c:pt idx="90">
                  <c:v>1.0082488609110107</c:v>
                </c:pt>
                <c:pt idx="91">
                  <c:v>1.0097294451804562</c:v>
                </c:pt>
                <c:pt idx="92">
                  <c:v>1.0112044596074059</c:v>
                </c:pt>
                <c:pt idx="93">
                  <c:v>1.012673943454933</c:v>
                </c:pt>
                <c:pt idx="94">
                  <c:v>1.0141379356103721</c:v>
                </c:pt>
                <c:pt idx="95">
                  <c:v>1.0155964745899051</c:v>
                </c:pt>
                <c:pt idx="96">
                  <c:v>1.0170495985430774</c:v>
                </c:pt>
                <c:pt idx="97">
                  <c:v>1.0184973452572472</c:v>
                </c:pt>
                <c:pt idx="98">
                  <c:v>1.0199397521619689</c:v>
                </c:pt>
                <c:pt idx="99">
                  <c:v>1.0213768563333112</c:v>
                </c:pt>
                <c:pt idx="100">
                  <c:v>1.022808694498111</c:v>
                </c:pt>
                <c:pt idx="101">
                  <c:v>1.024235303038167</c:v>
                </c:pt>
                <c:pt idx="102">
                  <c:v>1.0256567179943665</c:v>
                </c:pt>
                <c:pt idx="103">
                  <c:v>1.0270729750707581</c:v>
                </c:pt>
                <c:pt idx="104">
                  <c:v>1.0284841096385606</c:v>
                </c:pt>
                <c:pt idx="105">
                  <c:v>1.029890156740114</c:v>
                </c:pt>
                <c:pt idx="106">
                  <c:v>1.0312911510927754</c:v>
                </c:pt>
                <c:pt idx="107">
                  <c:v>1.0326871270927547</c:v>
                </c:pt>
                <c:pt idx="108">
                  <c:v>1.0340781188188994</c:v>
                </c:pt>
                <c:pt idx="109">
                  <c:v>1.0354641600364209</c:v>
                </c:pt>
                <c:pt idx="110">
                  <c:v>1.0368452842005689</c:v>
                </c:pt>
                <c:pt idx="111">
                  <c:v>1.0382215244602544</c:v>
                </c:pt>
                <c:pt idx="112">
                  <c:v>1.039592913661618</c:v>
                </c:pt>
                <c:pt idx="113">
                  <c:v>1.0409594843515499</c:v>
                </c:pt>
                <c:pt idx="114">
                  <c:v>1.0423212687811592</c:v>
                </c:pt>
                <c:pt idx="115">
                  <c:v>1.0436782989091919</c:v>
                </c:pt>
                <c:pt idx="116">
                  <c:v>1.045030606405406</c:v>
                </c:pt>
                <c:pt idx="117">
                  <c:v>1.046378222653892</c:v>
                </c:pt>
                <c:pt idx="118">
                  <c:v>1.0477211787563516</c:v>
                </c:pt>
                <c:pt idx="119">
                  <c:v>1.0490595055353289</c:v>
                </c:pt>
                <c:pt idx="120">
                  <c:v>1.0503932335373978</c:v>
                </c:pt>
                <c:pt idx="121">
                  <c:v>1.0517223930363016</c:v>
                </c:pt>
                <c:pt idx="122">
                  <c:v>1.0530470140360522</c:v>
                </c:pt>
                <c:pt idx="123">
                  <c:v>1.0543671262739847</c:v>
                </c:pt>
                <c:pt idx="124">
                  <c:v>1.0556827592237705</c:v>
                </c:pt>
                <c:pt idx="125">
                  <c:v>1.0569939420983889</c:v>
                </c:pt>
                <c:pt idx="126">
                  <c:v>1.0583007038530567</c:v>
                </c:pt>
                <c:pt idx="127">
                  <c:v>1.0596030731881176</c:v>
                </c:pt>
                <c:pt idx="128">
                  <c:v>1.0609010785518949</c:v>
                </c:pt>
                <c:pt idx="129">
                  <c:v>1.0621947481435008</c:v>
                </c:pt>
                <c:pt idx="130">
                  <c:v>1.0634841099156109</c:v>
                </c:pt>
                <c:pt idx="131">
                  <c:v>1.0647691915771995</c:v>
                </c:pt>
                <c:pt idx="132">
                  <c:v>1.0660500205962387</c:v>
                </c:pt>
                <c:pt idx="133">
                  <c:v>1.0673266242023585</c:v>
                </c:pt>
                <c:pt idx="134">
                  <c:v>1.0685990293894767</c:v>
                </c:pt>
                <c:pt idx="135">
                  <c:v>1.0698672629183852</c:v>
                </c:pt>
                <c:pt idx="136">
                  <c:v>1.0711313513193101</c:v>
                </c:pt>
                <c:pt idx="137">
                  <c:v>1.0723913208944309</c:v>
                </c:pt>
                <c:pt idx="138">
                  <c:v>1.0736471977203703</c:v>
                </c:pt>
                <c:pt idx="139">
                  <c:v>1.0748990076506488</c:v>
                </c:pt>
                <c:pt idx="140">
                  <c:v>1.0761467763181074</c:v>
                </c:pt>
                <c:pt idx="141">
                  <c:v>1.0773905291372976</c:v>
                </c:pt>
                <c:pt idx="142">
                  <c:v>1.0786302913068411</c:v>
                </c:pt>
                <c:pt idx="143">
                  <c:v>1.0798660878117565</c:v>
                </c:pt>
                <c:pt idx="144">
                  <c:v>1.0810979434257579</c:v>
                </c:pt>
                <c:pt idx="145">
                  <c:v>1.0823258827135207</c:v>
                </c:pt>
                <c:pt idx="146">
                  <c:v>1.0835499300329194</c:v>
                </c:pt>
                <c:pt idx="147">
                  <c:v>1.0847701095372371</c:v>
                </c:pt>
                <c:pt idx="148">
                  <c:v>1.0859864451773418</c:v>
                </c:pt>
                <c:pt idx="149">
                  <c:v>1.0871989607038415</c:v>
                </c:pt>
                <c:pt idx="150">
                  <c:v>1.088407679669205</c:v>
                </c:pt>
                <c:pt idx="151">
                  <c:v>1.0896126254298584</c:v>
                </c:pt>
                <c:pt idx="152">
                  <c:v>1.0908138211482532</c:v>
                </c:pt>
                <c:pt idx="153">
                  <c:v>1.0920112897949104</c:v>
                </c:pt>
                <c:pt idx="154">
                  <c:v>1.0932050541504352</c:v>
                </c:pt>
                <c:pt idx="155">
                  <c:v>1.0943951368075076</c:v>
                </c:pt>
                <c:pt idx="156">
                  <c:v>1.0955815601728469</c:v>
                </c:pt>
                <c:pt idx="157">
                  <c:v>1.0967643464691521</c:v>
                </c:pt>
                <c:pt idx="158">
                  <c:v>1.0979435177370165</c:v>
                </c:pt>
                <c:pt idx="159">
                  <c:v>1.0991190958368202</c:v>
                </c:pt>
                <c:pt idx="160">
                  <c:v>1.1002911024505937</c:v>
                </c:pt>
                <c:pt idx="161">
                  <c:v>1.1014595590838656</c:v>
                </c:pt>
                <c:pt idx="162">
                  <c:v>1.1026244870674788</c:v>
                </c:pt>
                <c:pt idx="163">
                  <c:v>1.1037859075593917</c:v>
                </c:pt>
                <c:pt idx="164">
                  <c:v>1.1049438415464496</c:v>
                </c:pt>
                <c:pt idx="165">
                  <c:v>1.1060983098461397</c:v>
                </c:pt>
                <c:pt idx="166">
                  <c:v>1.1072493331083215</c:v>
                </c:pt>
                <c:pt idx="167">
                  <c:v>1.1083969318169351</c:v>
                </c:pt>
                <c:pt idx="168">
                  <c:v>1.1095411262916903</c:v>
                </c:pt>
                <c:pt idx="169">
                  <c:v>1.1106819366897343</c:v>
                </c:pt>
                <c:pt idx="170">
                  <c:v>1.1118193830072953</c:v>
                </c:pt>
                <c:pt idx="171">
                  <c:v>1.1129534850813139</c:v>
                </c:pt>
                <c:pt idx="172">
                  <c:v>1.1140842625910439</c:v>
                </c:pt>
                <c:pt idx="173">
                  <c:v>1.1152117350596435</c:v>
                </c:pt>
                <c:pt idx="174">
                  <c:v>1.1163359218557389</c:v>
                </c:pt>
                <c:pt idx="175">
                  <c:v>1.1174568421949753</c:v>
                </c:pt>
                <c:pt idx="176">
                  <c:v>1.1185745151415434</c:v>
                </c:pt>
                <c:pt idx="177">
                  <c:v>1.1196889596096922</c:v>
                </c:pt>
                <c:pt idx="178">
                  <c:v>1.1208001943652195</c:v>
                </c:pt>
                <c:pt idx="179">
                  <c:v>1.1219082380269476</c:v>
                </c:pt>
                <c:pt idx="180">
                  <c:v>1.1230131090681792</c:v>
                </c:pt>
                <c:pt idx="181">
                  <c:v>1.1241148258181348</c:v>
                </c:pt>
                <c:pt idx="182">
                  <c:v>1.125213406463377</c:v>
                </c:pt>
                <c:pt idx="183">
                  <c:v>1.1263088690492127</c:v>
                </c:pt>
                <c:pt idx="184">
                  <c:v>1.1274012314810806</c:v>
                </c:pt>
                <c:pt idx="185">
                  <c:v>1.1284905115259263</c:v>
                </c:pt>
                <c:pt idx="186">
                  <c:v>1.1295767268135504</c:v>
                </c:pt>
                <c:pt idx="187">
                  <c:v>1.1306598948379536</c:v>
                </c:pt>
                <c:pt idx="188">
                  <c:v>1.1317400329586551</c:v>
                </c:pt>
                <c:pt idx="189">
                  <c:v>1.1328171584020024</c:v>
                </c:pt>
                <c:pt idx="190">
                  <c:v>1.1338912882624617</c:v>
                </c:pt>
                <c:pt idx="191">
                  <c:v>1.134962439503894</c:v>
                </c:pt>
                <c:pt idx="192">
                  <c:v>1.1360306289608175</c:v>
                </c:pt>
                <c:pt idx="193">
                  <c:v>1.1370958733396539</c:v>
                </c:pt>
                <c:pt idx="194">
                  <c:v>1.1381581892199615</c:v>
                </c:pt>
                <c:pt idx="195">
                  <c:v>1.1392175930556496</c:v>
                </c:pt>
                <c:pt idx="196">
                  <c:v>1.1402741011761863</c:v>
                </c:pt>
                <c:pt idx="197">
                  <c:v>1.1413277297877849</c:v>
                </c:pt>
                <c:pt idx="198">
                  <c:v>1.1423784949745803</c:v>
                </c:pt>
                <c:pt idx="199">
                  <c:v>1.1434264126997917</c:v>
                </c:pt>
                <c:pt idx="200">
                  <c:v>1.1444714988068709</c:v>
                </c:pt>
              </c:numCache>
            </c:numRef>
          </c:val>
          <c:smooth val="0"/>
          <c:extLst>
            <c:ext xmlns:c16="http://schemas.microsoft.com/office/drawing/2014/chart" uri="{C3380CC4-5D6E-409C-BE32-E72D297353CC}">
              <c16:uniqueId val="{00000001-E67B-4930-9B0B-95621CA3ED28}"/>
            </c:ext>
          </c:extLst>
        </c:ser>
        <c:ser>
          <c:idx val="6"/>
          <c:order val="6"/>
          <c:tx>
            <c:strRef>
              <c:f>'Efficiency vs VIN Calculations'!$BT$8</c:f>
              <c:strCache>
                <c:ptCount val="1"/>
                <c:pt idx="0">
                  <c:v>Boost ''Control'' MOSFET Loss</c:v>
                </c:pt>
              </c:strCache>
            </c:strRef>
          </c:tx>
          <c:spPr>
            <a:ln>
              <a:prstDash val="sysDash"/>
            </a:ln>
          </c:spPr>
          <c:marker>
            <c:symbol val="none"/>
          </c:marker>
          <c:val>
            <c:numRef>
              <c:f>'Efficiency vs VIN Calculations'!$BT$9:$BT$209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2-E67B-4930-9B0B-95621CA3ED28}"/>
            </c:ext>
          </c:extLst>
        </c:ser>
        <c:ser>
          <c:idx val="7"/>
          <c:order val="7"/>
          <c:tx>
            <c:strRef>
              <c:f>'Efficiency vs VIN Calculations'!$BU$8</c:f>
              <c:strCache>
                <c:ptCount val="1"/>
                <c:pt idx="0">
                  <c:v>Boost ''SYNC'' MOSFET Loss</c:v>
                </c:pt>
              </c:strCache>
            </c:strRef>
          </c:tx>
          <c:spPr>
            <a:ln>
              <a:prstDash val="sysDash"/>
            </a:ln>
          </c:spPr>
          <c:marker>
            <c:symbol val="none"/>
          </c:marker>
          <c:val>
            <c:numRef>
              <c:f>'Efficiency vs VIN Calculations'!$BU$9:$BU$209</c:f>
              <c:numCache>
                <c:formatCode>0.000</c:formatCode>
                <c:ptCount val="201"/>
                <c:pt idx="0">
                  <c:v>0.71051455693915033</c:v>
                </c:pt>
                <c:pt idx="1">
                  <c:v>0.71057185755438468</c:v>
                </c:pt>
                <c:pt idx="2">
                  <c:v>0.71062929431359978</c:v>
                </c:pt>
                <c:pt idx="3">
                  <c:v>0.71068686032140771</c:v>
                </c:pt>
                <c:pt idx="4">
                  <c:v>0.7107445488526366</c:v>
                </c:pt>
                <c:pt idx="5">
                  <c:v>0.71080235334812214</c:v>
                </c:pt>
                <c:pt idx="6">
                  <c:v>0.71086026741060471</c:v>
                </c:pt>
                <c:pt idx="7">
                  <c:v>0.71091828480074304</c:v>
                </c:pt>
                <c:pt idx="8">
                  <c:v>0.71097639943322877</c:v>
                </c:pt>
                <c:pt idx="9">
                  <c:v>0.71103460537300878</c:v>
                </c:pt>
                <c:pt idx="10">
                  <c:v>0.71109289683160382</c:v>
                </c:pt>
                <c:pt idx="11">
                  <c:v>0.7111512681635288</c:v>
                </c:pt>
                <c:pt idx="12">
                  <c:v>0.71120971386280474</c:v>
                </c:pt>
                <c:pt idx="13">
                  <c:v>0.7112682285595614</c:v>
                </c:pt>
                <c:pt idx="14">
                  <c:v>0.71132680701673412</c:v>
                </c:pt>
                <c:pt idx="15">
                  <c:v>0.71138544412684313</c:v>
                </c:pt>
                <c:pt idx="16">
                  <c:v>0.71144413490885572</c:v>
                </c:pt>
                <c:pt idx="17">
                  <c:v>0.71150287450513694</c:v>
                </c:pt>
                <c:pt idx="18">
                  <c:v>0.71156165817847028</c:v>
                </c:pt>
                <c:pt idx="19">
                  <c:v>0.71162048130916433</c:v>
                </c:pt>
                <c:pt idx="20">
                  <c:v>0.71167933939222783</c:v>
                </c:pt>
                <c:pt idx="21">
                  <c:v>0.7117382280346215</c:v>
                </c:pt>
                <c:pt idx="22">
                  <c:v>0.71179714295257812</c:v>
                </c:pt>
                <c:pt idx="23">
                  <c:v>0.71185607996899358</c:v>
                </c:pt>
                <c:pt idx="24">
                  <c:v>0.71191503501088294</c:v>
                </c:pt>
                <c:pt idx="25">
                  <c:v>0.71197400410690137</c:v>
                </c:pt>
                <c:pt idx="26">
                  <c:v>0.71203298338493093</c:v>
                </c:pt>
                <c:pt idx="27">
                  <c:v>0.71209196906972516</c:v>
                </c:pt>
                <c:pt idx="28">
                  <c:v>0.7121509574806143</c:v>
                </c:pt>
                <c:pt idx="29">
                  <c:v>0.71220994502927193</c:v>
                </c:pt>
                <c:pt idx="30">
                  <c:v>0.71226892821753163</c:v>
                </c:pt>
                <c:pt idx="31">
                  <c:v>0.71232790363526544</c:v>
                </c:pt>
                <c:pt idx="32">
                  <c:v>0.71238686795830952</c:v>
                </c:pt>
                <c:pt idx="33">
                  <c:v>0.71244581794644679</c:v>
                </c:pt>
                <c:pt idx="34">
                  <c:v>0.71250475044143669</c:v>
                </c:pt>
                <c:pt idx="35">
                  <c:v>0.71256366236509316</c:v>
                </c:pt>
                <c:pt idx="36">
                  <c:v>0.71262255071741665</c:v>
                </c:pt>
                <c:pt idx="37">
                  <c:v>0.71268141257476481</c:v>
                </c:pt>
                <c:pt idx="38">
                  <c:v>0.71274024508807221</c:v>
                </c:pt>
                <c:pt idx="39">
                  <c:v>0.71279904548111461</c:v>
                </c:pt>
                <c:pt idx="40">
                  <c:v>0.7128578110488154</c:v>
                </c:pt>
                <c:pt idx="41">
                  <c:v>0.7129165391555915</c:v>
                </c:pt>
                <c:pt idx="42">
                  <c:v>0.71297522723374396</c:v>
                </c:pt>
                <c:pt idx="43">
                  <c:v>0.71303387278188257</c:v>
                </c:pt>
                <c:pt idx="44">
                  <c:v>0.71309247336339565</c:v>
                </c:pt>
                <c:pt idx="45">
                  <c:v>0.71315102660495133</c:v>
                </c:pt>
                <c:pt idx="46">
                  <c:v>0.71320953019503774</c:v>
                </c:pt>
                <c:pt idx="47">
                  <c:v>0.71326798188253859</c:v>
                </c:pt>
                <c:pt idx="48">
                  <c:v>0.71332637947534305</c:v>
                </c:pt>
                <c:pt idx="49">
                  <c:v>0.71338472083898952</c:v>
                </c:pt>
                <c:pt idx="50">
                  <c:v>0.71344300389534065</c:v>
                </c:pt>
                <c:pt idx="51">
                  <c:v>0.71350122662129301</c:v>
                </c:pt>
                <c:pt idx="52">
                  <c:v>0.71355938704751409</c:v>
                </c:pt>
                <c:pt idx="53">
                  <c:v>0.71361748325721286</c:v>
                </c:pt>
                <c:pt idx="54">
                  <c:v>0.71367551338493884</c:v>
                </c:pt>
                <c:pt idx="55">
                  <c:v>0.71373347561540867</c:v>
                </c:pt>
                <c:pt idx="56">
                  <c:v>0.71379136818235966</c:v>
                </c:pt>
                <c:pt idx="57">
                  <c:v>0.71384918936743647</c:v>
                </c:pt>
                <c:pt idx="58">
                  <c:v>0.71390693749909595</c:v>
                </c:pt>
                <c:pt idx="59">
                  <c:v>0.71396461095154373</c:v>
                </c:pt>
                <c:pt idx="60">
                  <c:v>0.71402220814369499</c:v>
                </c:pt>
                <c:pt idx="61">
                  <c:v>0.71407972753815607</c:v>
                </c:pt>
                <c:pt idx="62">
                  <c:v>0.71413716764023671</c:v>
                </c:pt>
                <c:pt idx="63">
                  <c:v>0.71419452699697816</c:v>
                </c:pt>
                <c:pt idx="64">
                  <c:v>0.71425180419620959</c:v>
                </c:pt>
                <c:pt idx="65">
                  <c:v>0.71430899786562352</c:v>
                </c:pt>
                <c:pt idx="66">
                  <c:v>0.71436610667187483</c:v>
                </c:pt>
                <c:pt idx="67">
                  <c:v>0.7144231293196992</c:v>
                </c:pt>
                <c:pt idx="68">
                  <c:v>0.7144800645510524</c:v>
                </c:pt>
                <c:pt idx="69">
                  <c:v>0.7145369111442702</c:v>
                </c:pt>
                <c:pt idx="70">
                  <c:v>0.71459366791324774</c:v>
                </c:pt>
                <c:pt idx="71">
                  <c:v>0.714650333706637</c:v>
                </c:pt>
                <c:pt idx="72">
                  <c:v>0.71470690740706289</c:v>
                </c:pt>
                <c:pt idx="73">
                  <c:v>0.71476338793035887</c:v>
                </c:pt>
                <c:pt idx="74">
                  <c:v>0.71481977422481846</c:v>
                </c:pt>
                <c:pt idx="75">
                  <c:v>0.71487606527046488</c:v>
                </c:pt>
                <c:pt idx="76">
                  <c:v>0.7149322600783371</c:v>
                </c:pt>
                <c:pt idx="77">
                  <c:v>0.71498835768979241</c:v>
                </c:pt>
                <c:pt idx="78">
                  <c:v>0.71504435717582426</c:v>
                </c:pt>
                <c:pt idx="79">
                  <c:v>0.71510025763639717</c:v>
                </c:pt>
                <c:pt idx="80">
                  <c:v>0.71515605819979522</c:v>
                </c:pt>
                <c:pt idx="81">
                  <c:v>0.71521175802198578</c:v>
                </c:pt>
                <c:pt idx="82">
                  <c:v>0.71526735628599858</c:v>
                </c:pt>
                <c:pt idx="83">
                  <c:v>0.71532285220131775</c:v>
                </c:pt>
                <c:pt idx="84">
                  <c:v>0.71537824500328751</c:v>
                </c:pt>
                <c:pt idx="85">
                  <c:v>0.71543353395253284</c:v>
                </c:pt>
                <c:pt idx="86">
                  <c:v>0.71548871833439087</c:v>
                </c:pt>
                <c:pt idx="87">
                  <c:v>0.71554379745835794</c:v>
                </c:pt>
                <c:pt idx="88">
                  <c:v>0.71559877065754696</c:v>
                </c:pt>
                <c:pt idx="89">
                  <c:v>0.71565363728815523</c:v>
                </c:pt>
                <c:pt idx="90">
                  <c:v>0.7157083967289497</c:v>
                </c:pt>
                <c:pt idx="91">
                  <c:v>0.71576304838075977</c:v>
                </c:pt>
                <c:pt idx="92">
                  <c:v>0.71581759166598036</c:v>
                </c:pt>
                <c:pt idx="93">
                  <c:v>0.71587202602808941</c:v>
                </c:pt>
                <c:pt idx="94">
                  <c:v>0.71592635093117518</c:v>
                </c:pt>
                <c:pt idx="95">
                  <c:v>0.71598056585947045</c:v>
                </c:pt>
                <c:pt idx="96">
                  <c:v>0.71603467031690382</c:v>
                </c:pt>
                <c:pt idx="97">
                  <c:v>0.71608866382665493</c:v>
                </c:pt>
                <c:pt idx="98">
                  <c:v>0.71614254593072213</c:v>
                </c:pt>
                <c:pt idx="99">
                  <c:v>0.71619631618949964</c:v>
                </c:pt>
                <c:pt idx="100">
                  <c:v>0.71624997418136394</c:v>
                </c:pt>
                <c:pt idx="101">
                  <c:v>0.716303519502269</c:v>
                </c:pt>
                <c:pt idx="102">
                  <c:v>0.71635695176534997</c:v>
                </c:pt>
                <c:pt idx="103">
                  <c:v>0.71641027060053708</c:v>
                </c:pt>
                <c:pt idx="104">
                  <c:v>0.71646347565417712</c:v>
                </c:pt>
                <c:pt idx="105">
                  <c:v>0.71651656658866203</c:v>
                </c:pt>
                <c:pt idx="106">
                  <c:v>0.71656954308206799</c:v>
                </c:pt>
                <c:pt idx="107">
                  <c:v>0.71662240482780071</c:v>
                </c:pt>
                <c:pt idx="108">
                  <c:v>0.71667515153424932</c:v>
                </c:pt>
                <c:pt idx="109">
                  <c:v>0.71672778292444705</c:v>
                </c:pt>
                <c:pt idx="110">
                  <c:v>0.71678029873573956</c:v>
                </c:pt>
                <c:pt idx="111">
                  <c:v>0.71683269871946176</c:v>
                </c:pt>
                <c:pt idx="112">
                  <c:v>0.71688498264061973</c:v>
                </c:pt>
                <c:pt idx="113">
                  <c:v>0.71693715027757987</c:v>
                </c:pt>
                <c:pt idx="114">
                  <c:v>0.71698920142176636</c:v>
                </c:pt>
                <c:pt idx="115">
                  <c:v>0.71704113587736373</c:v>
                </c:pt>
                <c:pt idx="116">
                  <c:v>0.71709295346102542</c:v>
                </c:pt>
                <c:pt idx="117">
                  <c:v>0.71714465400159133</c:v>
                </c:pt>
                <c:pt idx="118">
                  <c:v>0.71719623733980808</c:v>
                </c:pt>
                <c:pt idx="119">
                  <c:v>0.71724770332805632</c:v>
                </c:pt>
                <c:pt idx="120">
                  <c:v>0.71729905183008602</c:v>
                </c:pt>
                <c:pt idx="121">
                  <c:v>0.7173502827207564</c:v>
                </c:pt>
                <c:pt idx="122">
                  <c:v>0.71740139588577734</c:v>
                </c:pt>
                <c:pt idx="123">
                  <c:v>0.71745239122146354</c:v>
                </c:pt>
                <c:pt idx="124">
                  <c:v>0.71750326863448888</c:v>
                </c:pt>
                <c:pt idx="125">
                  <c:v>0.71755402804164781</c:v>
                </c:pt>
                <c:pt idx="126">
                  <c:v>0.71760466936962075</c:v>
                </c:pt>
                <c:pt idx="127">
                  <c:v>0.71765519255474641</c:v>
                </c:pt>
                <c:pt idx="128">
                  <c:v>0.71770559754279717</c:v>
                </c:pt>
                <c:pt idx="129">
                  <c:v>0.71775588428876025</c:v>
                </c:pt>
                <c:pt idx="130">
                  <c:v>0.71780605275662246</c:v>
                </c:pt>
                <c:pt idx="131">
                  <c:v>0.71785610291916147</c:v>
                </c:pt>
                <c:pt idx="132">
                  <c:v>0.71790603475773995</c:v>
                </c:pt>
                <c:pt idx="133">
                  <c:v>0.71795584826210446</c:v>
                </c:pt>
                <c:pt idx="134">
                  <c:v>0.71800554343018774</c:v>
                </c:pt>
                <c:pt idx="135">
                  <c:v>0.71805512026791762</c:v>
                </c:pt>
                <c:pt idx="136">
                  <c:v>0.71810457878902823</c:v>
                </c:pt>
                <c:pt idx="137">
                  <c:v>0.71815391901487358</c:v>
                </c:pt>
                <c:pt idx="138">
                  <c:v>0.7182031409742512</c:v>
                </c:pt>
                <c:pt idx="139">
                  <c:v>0.71825224470321891</c:v>
                </c:pt>
                <c:pt idx="140">
                  <c:v>0.71830123024492853</c:v>
                </c:pt>
                <c:pt idx="141">
                  <c:v>0.71835009764945201</c:v>
                </c:pt>
                <c:pt idx="142">
                  <c:v>0.71839884697361778</c:v>
                </c:pt>
                <c:pt idx="143">
                  <c:v>0.71844747828084643</c:v>
                </c:pt>
                <c:pt idx="144">
                  <c:v>0.71849599164099476</c:v>
                </c:pt>
                <c:pt idx="145">
                  <c:v>0.71854438713019742</c:v>
                </c:pt>
                <c:pt idx="146">
                  <c:v>0.71859266483071604</c:v>
                </c:pt>
                <c:pt idx="147">
                  <c:v>0.7186408248307905</c:v>
                </c:pt>
                <c:pt idx="148">
                  <c:v>0.71868886722449099</c:v>
                </c:pt>
                <c:pt idx="149">
                  <c:v>0.71873679211157915</c:v>
                </c:pt>
                <c:pt idx="150">
                  <c:v>0.71878459959736318</c:v>
                </c:pt>
                <c:pt idx="151">
                  <c:v>0.71883228979256475</c:v>
                </c:pt>
                <c:pt idx="152">
                  <c:v>0.71887986281318372</c:v>
                </c:pt>
                <c:pt idx="153">
                  <c:v>0.71892731878036664</c:v>
                </c:pt>
                <c:pt idx="154">
                  <c:v>0.71897465782027836</c:v>
                </c:pt>
                <c:pt idx="155">
                  <c:v>0.71902188006397683</c:v>
                </c:pt>
                <c:pt idx="156">
                  <c:v>0.71906898564729005</c:v>
                </c:pt>
                <c:pt idx="157">
                  <c:v>0.71911597471069411</c:v>
                </c:pt>
                <c:pt idx="158">
                  <c:v>0.719162847399196</c:v>
                </c:pt>
                <c:pt idx="159">
                  <c:v>0.71920960386222033</c:v>
                </c:pt>
                <c:pt idx="160">
                  <c:v>0.71925624425349088</c:v>
                </c:pt>
                <c:pt idx="161">
                  <c:v>0.71930276873092602</c:v>
                </c:pt>
                <c:pt idx="162">
                  <c:v>0.71934917745652505</c:v>
                </c:pt>
                <c:pt idx="163">
                  <c:v>0.7193954705962653</c:v>
                </c:pt>
                <c:pt idx="164">
                  <c:v>0.71944164831999735</c:v>
                </c:pt>
                <c:pt idx="165">
                  <c:v>0.71948771080134211</c:v>
                </c:pt>
                <c:pt idx="166">
                  <c:v>0.71953365821759319</c:v>
                </c:pt>
                <c:pt idx="167">
                  <c:v>0.71957949074961713</c:v>
                </c:pt>
                <c:pt idx="168">
                  <c:v>0.7196252085817596</c:v>
                </c:pt>
                <c:pt idx="169">
                  <c:v>0.71967081190175131</c:v>
                </c:pt>
                <c:pt idx="170">
                  <c:v>0.71971630090061556</c:v>
                </c:pt>
                <c:pt idx="171">
                  <c:v>0.71976167577257966</c:v>
                </c:pt>
                <c:pt idx="172">
                  <c:v>0.71980693671498774</c:v>
                </c:pt>
                <c:pt idx="173">
                  <c:v>0.71985208392821298</c:v>
                </c:pt>
                <c:pt idx="174">
                  <c:v>0.71989711761557373</c:v>
                </c:pt>
                <c:pt idx="175">
                  <c:v>0.7199420379832534</c:v>
                </c:pt>
                <c:pt idx="176">
                  <c:v>0.71998684524021606</c:v>
                </c:pt>
                <c:pt idx="177">
                  <c:v>0.72003153959813149</c:v>
                </c:pt>
                <c:pt idx="178">
                  <c:v>0.72007612127129417</c:v>
                </c:pt>
                <c:pt idx="179">
                  <c:v>0.72012059047655008</c:v>
                </c:pt>
                <c:pt idx="180">
                  <c:v>0.72016494743322113</c:v>
                </c:pt>
                <c:pt idx="181">
                  <c:v>0.72020919236303327</c:v>
                </c:pt>
                <c:pt idx="182">
                  <c:v>0.72025332549004506</c:v>
                </c:pt>
                <c:pt idx="183">
                  <c:v>0.72029734704057957</c:v>
                </c:pt>
                <c:pt idx="184">
                  <c:v>0.72034125724315157</c:v>
                </c:pt>
                <c:pt idx="185">
                  <c:v>0.72038505632840788</c:v>
                </c:pt>
                <c:pt idx="186">
                  <c:v>0.72042874452905614</c:v>
                </c:pt>
                <c:pt idx="187">
                  <c:v>0.72047232207980372</c:v>
                </c:pt>
                <c:pt idx="188">
                  <c:v>0.72051578921729431</c:v>
                </c:pt>
                <c:pt idx="189">
                  <c:v>0.72055914618004646</c:v>
                </c:pt>
                <c:pt idx="190">
                  <c:v>0.7206023932083947</c:v>
                </c:pt>
                <c:pt idx="191">
                  <c:v>0.72064553054442815</c:v>
                </c:pt>
                <c:pt idx="192">
                  <c:v>0.72068855843193713</c:v>
                </c:pt>
                <c:pt idx="193">
                  <c:v>0.72073147711635299</c:v>
                </c:pt>
                <c:pt idx="194">
                  <c:v>0.72077428684469491</c:v>
                </c:pt>
                <c:pt idx="195">
                  <c:v>0.72081698786551496</c:v>
                </c:pt>
                <c:pt idx="196">
                  <c:v>0.72085958042884679</c:v>
                </c:pt>
                <c:pt idx="197">
                  <c:v>0.72090206478615193</c:v>
                </c:pt>
                <c:pt idx="198">
                  <c:v>0.72094444119027157</c:v>
                </c:pt>
                <c:pt idx="199">
                  <c:v>0.72098670989537395</c:v>
                </c:pt>
                <c:pt idx="200">
                  <c:v>0.7210288711569085</c:v>
                </c:pt>
              </c:numCache>
            </c:numRef>
          </c:val>
          <c:smooth val="0"/>
          <c:extLst>
            <c:ext xmlns:c16="http://schemas.microsoft.com/office/drawing/2014/chart" uri="{C3380CC4-5D6E-409C-BE32-E72D297353CC}">
              <c16:uniqueId val="{00000003-E67B-4930-9B0B-95621CA3ED28}"/>
            </c:ext>
          </c:extLst>
        </c:ser>
        <c:dLbls>
          <c:showLegendKey val="0"/>
          <c:showVal val="0"/>
          <c:showCatName val="0"/>
          <c:showSerName val="0"/>
          <c:showPercent val="0"/>
          <c:showBubbleSize val="0"/>
        </c:dLbls>
        <c:marker val="1"/>
        <c:smooth val="0"/>
        <c:axId val="196432256"/>
        <c:axId val="196421888"/>
        <c:extLst>
          <c:ext xmlns:c15="http://schemas.microsoft.com/office/drawing/2012/chart" uri="{02D57815-91ED-43cb-92C2-25804820EDAC}">
            <c15:filteredLineSeries>
              <c15:ser>
                <c:idx val="2"/>
                <c:order val="2"/>
                <c:tx>
                  <c:v>Total MOSFET Loss</c:v>
                </c:tx>
                <c:spPr>
                  <a:ln w="38100">
                    <a:solidFill>
                      <a:srgbClr val="808000"/>
                    </a:solidFill>
                    <a:prstDash val="sysDash"/>
                  </a:ln>
                </c:spPr>
                <c:marker>
                  <c:symbol val="none"/>
                </c:marker>
                <c:cat>
                  <c:numRef>
                    <c:extLst>
                      <c:ext uri="{02D57815-91ED-43cb-92C2-25804820EDAC}">
                        <c15:formulaRef>
                          <c15:sqref>'Efficiency vs VIN Calculations'!$H$9:$H$209</c15:sqref>
                        </c15:formulaRef>
                      </c:ext>
                    </c:extLst>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cat>
                <c:val>
                  <c:numRef>
                    <c:extLst>
                      <c:ext uri="{02D57815-91ED-43cb-92C2-25804820EDAC}">
                        <c15:formulaRef>
                          <c15:sqref>'Efficiency vs VIN Calculations'!$BQ$9:$BQ$209</c15:sqref>
                        </c15:formulaRef>
                      </c:ext>
                    </c:extLst>
                    <c:numCache>
                      <c:formatCode>0.000</c:formatCode>
                      <c:ptCount val="201"/>
                      <c:pt idx="0">
                        <c:v>4.8833771988768673</c:v>
                      </c:pt>
                      <c:pt idx="1">
                        <c:v>4.8925253918995137</c:v>
                      </c:pt>
                      <c:pt idx="2">
                        <c:v>4.9016780655888761</c:v>
                      </c:pt>
                      <c:pt idx="3">
                        <c:v>4.9108351286480012</c:v>
                      </c:pt>
                      <c:pt idx="4">
                        <c:v>4.9199964916870602</c:v>
                      </c:pt>
                      <c:pt idx="5">
                        <c:v>4.9291620671783738</c:v>
                      </c:pt>
                      <c:pt idx="6">
                        <c:v>4.9383317694126685</c:v>
                      </c:pt>
                      <c:pt idx="7">
                        <c:v>4.9475055144564823</c:v>
                      </c:pt>
                      <c:pt idx="8">
                        <c:v>4.9566832201107207</c:v>
                      </c:pt>
                      <c:pt idx="9">
                        <c:v>4.9658648058703125</c:v>
                      </c:pt>
                      <c:pt idx="10">
                        <c:v>4.9750501928849182</c:v>
                      </c:pt>
                      <c:pt idx="11">
                        <c:v>4.9842393039207025</c:v>
                      </c:pt>
                      <c:pt idx="12">
                        <c:v>4.9934320633230813</c:v>
                      </c:pt>
                      <c:pt idx="13">
                        <c:v>5.0026283969804686</c:v>
                      </c:pt>
                      <c:pt idx="14">
                        <c:v>5.0118282322889574</c:v>
                      </c:pt>
                      <c:pt idx="15">
                        <c:v>5.02103149811792</c:v>
                      </c:pt>
                      <c:pt idx="16">
                        <c:v>5.0302381247765062</c:v>
                      </c:pt>
                      <c:pt idx="17">
                        <c:v>5.0394480439810003</c:v>
                      </c:pt>
                      <c:pt idx="18">
                        <c:v>5.0486611888230168</c:v>
                      </c:pt>
                      <c:pt idx="19">
                        <c:v>5.0578774937385234</c:v>
                      </c:pt>
                      <c:pt idx="20">
                        <c:v>5.0670968944776442</c:v>
                      </c:pt>
                      <c:pt idx="21">
                        <c:v>5.0763193280752388</c:v>
                      </c:pt>
                      <c:pt idx="22">
                        <c:v>5.0855447328222185</c:v>
                      </c:pt>
                      <c:pt idx="23">
                        <c:v>5.0947730482376068</c:v>
                      </c:pt>
                      <c:pt idx="24">
                        <c:v>5.1040042150412885</c:v>
                      </c:pt>
                      <c:pt idx="25">
                        <c:v>5.1132381751274467</c:v>
                      </c:pt>
                      <c:pt idx="26">
                        <c:v>5.1224748715386745</c:v>
                      </c:pt>
                      <c:pt idx="27">
                        <c:v>5.1317142484407192</c:v>
                      </c:pt>
                      <c:pt idx="28">
                        <c:v>5.1409562510978697</c:v>
                      </c:pt>
                      <c:pt idx="29">
                        <c:v>5.1502008258489411</c:v>
                      </c:pt>
                      <c:pt idx="30">
                        <c:v>5.1594479200838617</c:v>
                      </c:pt>
                      <c:pt idx="31">
                        <c:v>5.1686974822208329</c:v>
                      </c:pt>
                      <c:pt idx="32">
                        <c:v>5.1779494616840598</c:v>
                      </c:pt>
                      <c:pt idx="33">
                        <c:v>5.1872038088820114</c:v>
                      </c:pt>
                      <c:pt idx="34">
                        <c:v>5.196460475186222</c:v>
                      </c:pt>
                      <c:pt idx="35">
                        <c:v>5.2057194129105984</c:v>
                      </c:pt>
                      <c:pt idx="36">
                        <c:v>5.2149805752912588</c:v>
                      </c:pt>
                      <c:pt idx="37">
                        <c:v>5.2242439164668131</c:v>
                      </c:pt>
                      <c:pt idx="38">
                        <c:v>5.2335093914591546</c:v>
                      </c:pt>
                      <c:pt idx="39">
                        <c:v>5.2427769561546951</c:v>
                      </c:pt>
                      <c:pt idx="40">
                        <c:v>5.252046567286067</c:v>
                      </c:pt>
                      <c:pt idx="41">
                        <c:v>5.2613181824142394</c:v>
                      </c:pt>
                      <c:pt idx="42">
                        <c:v>5.2705917599110776</c:v>
                      </c:pt>
                      <c:pt idx="43">
                        <c:v>5.2798672589423052</c:v>
                      </c:pt>
                      <c:pt idx="44">
                        <c:v>5.2891446394508845</c:v>
                      </c:pt>
                      <c:pt idx="45">
                        <c:v>5.2984238621407691</c:v>
                      </c:pt>
                      <c:pt idx="46">
                        <c:v>5.3077048884610569</c:v>
                      </c:pt>
                      <c:pt idx="47">
                        <c:v>5.3169876805905014</c:v>
                      </c:pt>
                      <c:pt idx="48">
                        <c:v>5.3262722014223911</c:v>
                      </c:pt>
                      <c:pt idx="49">
                        <c:v>5.3355584145497854</c:v>
                      </c:pt>
                      <c:pt idx="50">
                        <c:v>5.3448462842510818</c:v>
                      </c:pt>
                      <c:pt idx="51">
                        <c:v>5.3541357754759309</c:v>
                      </c:pt>
                      <c:pt idx="52">
                        <c:v>5.3634268538314656</c:v>
                      </c:pt>
                      <c:pt idx="53">
                        <c:v>5.3727194855688563</c:v>
                      </c:pt>
                      <c:pt idx="54">
                        <c:v>5.3820136375701688</c:v>
                      </c:pt>
                      <c:pt idx="55">
                        <c:v>5.391309277335532</c:v>
                      </c:pt>
                      <c:pt idx="56">
                        <c:v>5.4006063729705733</c:v>
                      </c:pt>
                      <c:pt idx="57">
                        <c:v>5.4099048931741898</c:v>
                      </c:pt>
                      <c:pt idx="58">
                        <c:v>5.4192048072265342</c:v>
                      </c:pt>
                      <c:pt idx="59">
                        <c:v>5.4285060849773297</c:v>
                      </c:pt>
                      <c:pt idx="60">
                        <c:v>5.4378086968344084</c:v>
                      </c:pt>
                      <c:pt idx="61">
                        <c:v>5.4471126137525285</c:v>
                      </c:pt>
                      <c:pt idx="62">
                        <c:v>5.4564178072224436</c:v>
                      </c:pt>
                      <c:pt idx="63">
                        <c:v>5.4657242492601998</c:v>
                      </c:pt>
                      <c:pt idx="64">
                        <c:v>5.4750319123966866</c:v>
                      </c:pt>
                      <c:pt idx="65">
                        <c:v>5.4843407696674191</c:v>
                      </c:pt>
                      <c:pt idx="66">
                        <c:v>5.4936507946025417</c:v>
                      </c:pt>
                      <c:pt idx="67">
                        <c:v>5.5029619612170579</c:v>
                      </c:pt>
                      <c:pt idx="68">
                        <c:v>5.512274244001266</c:v>
                      </c:pt>
                      <c:pt idx="69">
                        <c:v>5.5215876179114254</c:v>
                      </c:pt>
                      <c:pt idx="70">
                        <c:v>5.5309020583606046</c:v>
                      </c:pt>
                      <c:pt idx="71">
                        <c:v>5.5402175412097474</c:v>
                      </c:pt>
                      <c:pt idx="72">
                        <c:v>5.5495340427589221</c:v>
                      </c:pt>
                      <c:pt idx="73">
                        <c:v>5.5588515397387726</c:v>
                      </c:pt>
                      <c:pt idx="74">
                        <c:v>5.5681700093021433</c:v>
                      </c:pt>
                      <c:pt idx="75">
                        <c:v>5.5774894290158956</c:v>
                      </c:pt>
                      <c:pt idx="76">
                        <c:v>5.5868097768528955</c:v>
                      </c:pt>
                      <c:pt idx="77">
                        <c:v>5.5961310311841741</c:v>
                      </c:pt>
                      <c:pt idx="78">
                        <c:v>5.6054531707712627</c:v>
                      </c:pt>
                      <c:pt idx="79">
                        <c:v>5.6147761747586857</c:v>
                      </c:pt>
                      <c:pt idx="80">
                        <c:v>5.6241000226666111</c:v>
                      </c:pt>
                      <c:pt idx="81">
                        <c:v>5.6334246943836632</c:v>
                      </c:pt>
                      <c:pt idx="82">
                        <c:v>5.6427501701599034</c:v>
                      </c:pt>
                      <c:pt idx="83">
                        <c:v>5.652076430599922</c:v>
                      </c:pt>
                      <c:pt idx="84">
                        <c:v>5.661403456656112</c:v>
                      </c:pt>
                      <c:pt idx="85">
                        <c:v>5.6707312296220653</c:v>
                      </c:pt>
                      <c:pt idx="86">
                        <c:v>5.6800597311261196</c:v>
                      </c:pt>
                      <c:pt idx="87">
                        <c:v>5.6893889431250324</c:v>
                      </c:pt>
                      <c:pt idx="88">
                        <c:v>5.6987188478977897</c:v>
                      </c:pt>
                      <c:pt idx="89">
                        <c:v>5.7080494280395477</c:v>
                      </c:pt>
                      <c:pt idx="90">
                        <c:v>5.7173806664556945</c:v>
                      </c:pt>
                      <c:pt idx="91">
                        <c:v>5.7267125463560422</c:v>
                      </c:pt>
                      <c:pt idx="92">
                        <c:v>5.7360450512491337</c:v>
                      </c:pt>
                      <c:pt idx="93">
                        <c:v>5.7453781649366737</c:v>
                      </c:pt>
                      <c:pt idx="94">
                        <c:v>5.7547118715080687</c:v>
                      </c:pt>
                      <c:pt idx="95">
                        <c:v>5.7640461553350777</c:v>
                      </c:pt>
                      <c:pt idx="96">
                        <c:v>5.7733810010665865</c:v>
                      </c:pt>
                      <c:pt idx="97">
                        <c:v>5.7827163936234642</c:v>
                      </c:pt>
                      <c:pt idx="98">
                        <c:v>5.7920523181935621</c:v>
                      </c:pt>
                      <c:pt idx="99">
                        <c:v>5.8013887602267671</c:v>
                      </c:pt>
                      <c:pt idx="100">
                        <c:v>5.8107257054302064</c:v>
                      </c:pt>
                      <c:pt idx="101">
                        <c:v>5.8200631397635014</c:v>
                      </c:pt>
                      <c:pt idx="102">
                        <c:v>5.8294010494341553</c:v>
                      </c:pt>
                      <c:pt idx="103">
                        <c:v>5.8387394208930194</c:v>
                      </c:pt>
                      <c:pt idx="104">
                        <c:v>5.8480782408298451</c:v>
                      </c:pt>
                      <c:pt idx="105">
                        <c:v>5.8574174961689307</c:v>
                      </c:pt>
                      <c:pt idx="106">
                        <c:v>5.866757174064861</c:v>
                      </c:pt>
                      <c:pt idx="107">
                        <c:v>5.8760972618983232</c:v>
                      </c:pt>
                      <c:pt idx="108">
                        <c:v>5.8854377472720136</c:v>
                      </c:pt>
                      <c:pt idx="109">
                        <c:v>5.8947786180066197</c:v>
                      </c:pt>
                      <c:pt idx="110">
                        <c:v>5.9041198621368851</c:v>
                      </c:pt>
                      <c:pt idx="111">
                        <c:v>5.9134614679077542</c:v>
                      </c:pt>
                      <c:pt idx="112">
                        <c:v>5.9228034237705929</c:v>
                      </c:pt>
                      <c:pt idx="113">
                        <c:v>5.9321457183794815</c:v>
                      </c:pt>
                      <c:pt idx="114">
                        <c:v>5.9414883405875729</c:v>
                      </c:pt>
                      <c:pt idx="115">
                        <c:v>5.9508312794435492</c:v>
                      </c:pt>
                      <c:pt idx="116">
                        <c:v>5.9601745241881154</c:v>
                      </c:pt>
                      <c:pt idx="117">
                        <c:v>5.969518064250579</c:v>
                      </c:pt>
                      <c:pt idx="118">
                        <c:v>5.9788618892454997</c:v>
                      </c:pt>
                      <c:pt idx="119">
                        <c:v>5.9882059889693888</c:v>
                      </c:pt>
                      <c:pt idx="120">
                        <c:v>5.9975503533974868</c:v>
                      </c:pt>
                      <c:pt idx="121">
                        <c:v>6.0068949726806107</c:v>
                      </c:pt>
                      <c:pt idx="122">
                        <c:v>6.0162398371420229</c:v>
                      </c:pt>
                      <c:pt idx="123">
                        <c:v>6.0255849372744175</c:v>
                      </c:pt>
                      <c:pt idx="124">
                        <c:v>6.0349302637369169</c:v>
                      </c:pt>
                      <c:pt idx="125">
                        <c:v>6.0442758073521539</c:v>
                      </c:pt>
                      <c:pt idx="126">
                        <c:v>6.0536215591033997</c:v>
                      </c:pt>
                      <c:pt idx="127">
                        <c:v>6.0629675101317364</c:v>
                      </c:pt>
                      <c:pt idx="128">
                        <c:v>6.0723136517333165</c:v>
                      </c:pt>
                      <c:pt idx="129">
                        <c:v>6.0816599753566383</c:v>
                      </c:pt>
                      <c:pt idx="130">
                        <c:v>6.0910064725998909</c:v>
                      </c:pt>
                      <c:pt idx="131">
                        <c:v>6.1003531352083424</c:v>
                      </c:pt>
                      <c:pt idx="132">
                        <c:v>6.1096999550717968</c:v>
                      </c:pt>
                      <c:pt idx="133">
                        <c:v>6.1190469242220713</c:v>
                      </c:pt>
                      <c:pt idx="134">
                        <c:v>6.1283940348305377</c:v>
                      </c:pt>
                      <c:pt idx="135">
                        <c:v>6.1377412792057049</c:v>
                      </c:pt>
                      <c:pt idx="136">
                        <c:v>6.147088649790855</c:v>
                      </c:pt>
                      <c:pt idx="137">
                        <c:v>6.1564361391617108</c:v>
                      </c:pt>
                      <c:pt idx="138">
                        <c:v>6.1657837400241613</c:v>
                      </c:pt>
                      <c:pt idx="139">
                        <c:v>6.1751314452120099</c:v>
                      </c:pt>
                      <c:pt idx="140">
                        <c:v>6.184479247684787</c:v>
                      </c:pt>
                      <c:pt idx="141">
                        <c:v>6.1938271405255936</c:v>
                      </c:pt>
                      <c:pt idx="142">
                        <c:v>6.2031751169389739</c:v>
                      </c:pt>
                      <c:pt idx="143">
                        <c:v>6.2125231702488524</c:v>
                      </c:pt>
                      <c:pt idx="144">
                        <c:v>6.2218712938964833</c:v>
                      </c:pt>
                      <c:pt idx="145">
                        <c:v>6.2312194814384503</c:v>
                      </c:pt>
                      <c:pt idx="146">
                        <c:v>6.240567726544711</c:v>
                      </c:pt>
                      <c:pt idx="147">
                        <c:v>6.2499160229966622</c:v>
                      </c:pt>
                      <c:pt idx="148">
                        <c:v>6.2592643646852357</c:v>
                      </c:pt>
                      <c:pt idx="149">
                        <c:v>6.2686127456090706</c:v>
                      </c:pt>
                      <c:pt idx="150">
                        <c:v>6.277961159872655</c:v>
                      </c:pt>
                      <c:pt idx="151">
                        <c:v>6.2873096016845551</c:v>
                      </c:pt>
                      <c:pt idx="152">
                        <c:v>6.2966580653556523</c:v>
                      </c:pt>
                      <c:pt idx="153">
                        <c:v>6.3060065452974134</c:v>
                      </c:pt>
                      <c:pt idx="154">
                        <c:v>6.315355036020204</c:v>
                      </c:pt>
                      <c:pt idx="155">
                        <c:v>6.3247035321316147</c:v>
                      </c:pt>
                      <c:pt idx="156">
                        <c:v>6.3340520283348303</c:v>
                      </c:pt>
                      <c:pt idx="157">
                        <c:v>6.3434005194270302</c:v>
                      </c:pt>
                      <c:pt idx="158">
                        <c:v>6.3527490002978046</c:v>
                      </c:pt>
                      <c:pt idx="159">
                        <c:v>6.3620974659276124</c:v>
                      </c:pt>
                      <c:pt idx="160">
                        <c:v>6.3714459113862594</c:v>
                      </c:pt>
                      <c:pt idx="161">
                        <c:v>6.3807943318314075</c:v>
                      </c:pt>
                      <c:pt idx="162">
                        <c:v>6.3901427225071057</c:v>
                      </c:pt>
                      <c:pt idx="163">
                        <c:v>6.399491078742356</c:v>
                      </c:pt>
                      <c:pt idx="164">
                        <c:v>6.4088393959496974</c:v>
                      </c:pt>
                      <c:pt idx="165">
                        <c:v>6.4181876696238112</c:v>
                      </c:pt>
                      <c:pt idx="166">
                        <c:v>6.4275358953401689</c:v>
                      </c:pt>
                      <c:pt idx="167">
                        <c:v>6.4368840687536792</c:v>
                      </c:pt>
                      <c:pt idx="168">
                        <c:v>6.4462321855973803</c:v>
                      </c:pt>
                      <c:pt idx="169">
                        <c:v>6.4555802416811519</c:v>
                      </c:pt>
                      <c:pt idx="170">
                        <c:v>6.4649282328904256</c:v>
                      </c:pt>
                      <c:pt idx="171">
                        <c:v>6.4742761551849615</c:v>
                      </c:pt>
                      <c:pt idx="172">
                        <c:v>6.4836240045976057</c:v>
                      </c:pt>
                      <c:pt idx="173">
                        <c:v>6.4929717772330902</c:v>
                      </c:pt>
                      <c:pt idx="174">
                        <c:v>6.5023194692668529</c:v>
                      </c:pt>
                      <c:pt idx="175">
                        <c:v>6.5116670769438763</c:v>
                      </c:pt>
                      <c:pt idx="176">
                        <c:v>6.5210145965775332</c:v>
                      </c:pt>
                      <c:pt idx="177">
                        <c:v>6.5303620245484808</c:v>
                      </c:pt>
                      <c:pt idx="178">
                        <c:v>6.5397093573035479</c:v>
                      </c:pt>
                      <c:pt idx="179">
                        <c:v>6.549056591354657</c:v>
                      </c:pt>
                      <c:pt idx="180">
                        <c:v>6.5584037232777517</c:v>
                      </c:pt>
                      <c:pt idx="181">
                        <c:v>6.5677507497117569</c:v>
                      </c:pt>
                      <c:pt idx="182">
                        <c:v>6.577097667357549</c:v>
                      </c:pt>
                      <c:pt idx="183">
                        <c:v>6.5864444729769467</c:v>
                      </c:pt>
                      <c:pt idx="184">
                        <c:v>6.5957911633917119</c:v>
                      </c:pt>
                      <c:pt idx="185">
                        <c:v>6.605137735482586</c:v>
                      </c:pt>
                      <c:pt idx="186">
                        <c:v>6.6144841861883119</c:v>
                      </c:pt>
                      <c:pt idx="187">
                        <c:v>6.6238305125047114</c:v>
                      </c:pt>
                      <c:pt idx="188">
                        <c:v>6.6331767114837445</c:v>
                      </c:pt>
                      <c:pt idx="189">
                        <c:v>6.6425227802326043</c:v>
                      </c:pt>
                      <c:pt idx="190">
                        <c:v>6.6518687159128209</c:v>
                      </c:pt>
                      <c:pt idx="191">
                        <c:v>6.6612145157393803</c:v>
                      </c:pt>
                      <c:pt idx="192">
                        <c:v>6.6705601769798593</c:v>
                      </c:pt>
                      <c:pt idx="193">
                        <c:v>6.6799056969535791</c:v>
                      </c:pt>
                      <c:pt idx="194">
                        <c:v>6.6892510730307597</c:v>
                      </c:pt>
                      <c:pt idx="195">
                        <c:v>6.6985963026317128</c:v>
                      </c:pt>
                      <c:pt idx="196">
                        <c:v>6.7079413832260206</c:v>
                      </c:pt>
                      <c:pt idx="197">
                        <c:v>6.7172863123317432</c:v>
                      </c:pt>
                      <c:pt idx="198">
                        <c:v>6.7266310875146491</c:v>
                      </c:pt>
                      <c:pt idx="199">
                        <c:v>6.7359757063874337</c:v>
                      </c:pt>
                      <c:pt idx="200">
                        <c:v>6.7453201666089724</c:v>
                      </c:pt>
                    </c:numCache>
                  </c:numRef>
                </c:val>
                <c:smooth val="0"/>
                <c:extLst>
                  <c:ext xmlns:c16="http://schemas.microsoft.com/office/drawing/2014/chart" uri="{C3380CC4-5D6E-409C-BE32-E72D297353CC}">
                    <c16:uniqueId val="{00000002-9AA8-4F44-9279-F2DFD4BF490C}"/>
                  </c:ext>
                </c:extLst>
              </c15:ser>
            </c15:filteredLineSeries>
          </c:ext>
        </c:extLst>
      </c:lineChart>
      <c:catAx>
        <c:axId val="19641779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Input Voltage (V)</a:t>
                </a:r>
              </a:p>
            </c:rich>
          </c:tx>
          <c:layout>
            <c:manualLayout>
              <c:xMode val="edge"/>
              <c:yMode val="edge"/>
              <c:x val="0.41625343343709942"/>
              <c:y val="0.94571913573731337"/>
            </c:manualLayout>
          </c:layout>
          <c:overlay val="0"/>
          <c:spPr>
            <a:noFill/>
            <a:ln w="25400">
              <a:noFill/>
            </a:ln>
          </c:spPr>
        </c:title>
        <c:numFmt formatCode="#,##0"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96419968"/>
        <c:crosses val="autoZero"/>
        <c:auto val="1"/>
        <c:lblAlgn val="ctr"/>
        <c:lblOffset val="100"/>
        <c:tickLblSkip val="50"/>
        <c:tickMarkSkip val="25"/>
        <c:noMultiLvlLbl val="1"/>
      </c:catAx>
      <c:valAx>
        <c:axId val="196419968"/>
        <c:scaling>
          <c:orientation val="minMax"/>
          <c:max val="100"/>
          <c:min val="80"/>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417792"/>
        <c:crosses val="autoZero"/>
        <c:crossBetween val="between"/>
        <c:majorUnit val="5"/>
        <c:minorUnit val="2.5"/>
      </c:valAx>
      <c:valAx>
        <c:axId val="19642188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196432256"/>
        <c:crosses val="max"/>
        <c:crossBetween val="between"/>
      </c:valAx>
      <c:catAx>
        <c:axId val="196432256"/>
        <c:scaling>
          <c:orientation val="minMax"/>
        </c:scaling>
        <c:delete val="1"/>
        <c:axPos val="b"/>
        <c:numFmt formatCode="0.00" sourceLinked="1"/>
        <c:majorTickMark val="out"/>
        <c:minorTickMark val="none"/>
        <c:tickLblPos val="nextTo"/>
        <c:crossAx val="196421888"/>
        <c:crosses val="autoZero"/>
        <c:auto val="1"/>
        <c:lblAlgn val="ctr"/>
        <c:lblOffset val="100"/>
        <c:noMultiLvlLbl val="0"/>
      </c:catAx>
      <c:spPr>
        <a:noFill/>
        <a:ln w="25400">
          <a:noFill/>
        </a:ln>
      </c:spPr>
    </c:plotArea>
    <c:legend>
      <c:legendPos val="t"/>
      <c:layout>
        <c:manualLayout>
          <c:xMode val="edge"/>
          <c:yMode val="edge"/>
          <c:x val="0.70039908551876506"/>
          <c:y val="1.1892546194234431E-2"/>
          <c:w val="0.29960091448123499"/>
          <c:h val="0.19716826524226061"/>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CB9-497D-B84D-5596E75D8DA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Calculations'!$B$627</c:f>
              <c:numCache>
                <c:formatCode>0</c:formatCode>
                <c:ptCount val="1"/>
                <c:pt idx="0">
                  <c:v>1579.9437757626504</c:v>
                </c:pt>
              </c:numCache>
            </c:numRef>
          </c:xVal>
          <c:yVal>
            <c:numRef>
              <c:f>'Stability Calculations'!$AG$627</c:f>
              <c:numCache>
                <c:formatCode>0.0000</c:formatCode>
                <c:ptCount val="1"/>
                <c:pt idx="0">
                  <c:v>35.256085663904116</c:v>
                </c:pt>
              </c:numCache>
            </c:numRef>
          </c:yVal>
          <c:smooth val="0"/>
          <c:extLst>
            <c:ext xmlns:c16="http://schemas.microsoft.com/office/drawing/2014/chart" uri="{C3380CC4-5D6E-409C-BE32-E72D297353CC}">
              <c16:uniqueId val="{00000001-DCB9-497D-B84D-5596E75D8DAE}"/>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CB9-497D-B84D-5596E75D8DA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Calculations'!$B$628</c:f>
              <c:numCache>
                <c:formatCode>0</c:formatCode>
                <c:ptCount val="1"/>
                <c:pt idx="0">
                  <c:v>10000000</c:v>
                </c:pt>
              </c:numCache>
            </c:numRef>
          </c:xVal>
          <c:yVal>
            <c:numRef>
              <c:f>'Stability Calculations'!$F$637</c:f>
              <c:numCache>
                <c:formatCode>0.00</c:formatCode>
                <c:ptCount val="1"/>
                <c:pt idx="0">
                  <c:v>-154.5315776970512</c:v>
                </c:pt>
              </c:numCache>
            </c:numRef>
          </c:yVal>
          <c:smooth val="0"/>
          <c:extLst>
            <c:ext xmlns:c16="http://schemas.microsoft.com/office/drawing/2014/chart" uri="{C3380CC4-5D6E-409C-BE32-E72D297353CC}">
              <c16:uniqueId val="{00000003-DCB9-497D-B84D-5596E75D8DAE}"/>
            </c:ext>
          </c:extLst>
        </c:ser>
        <c:dLbls>
          <c:showLegendKey val="0"/>
          <c:showVal val="0"/>
          <c:showCatName val="0"/>
          <c:showSerName val="0"/>
          <c:showPercent val="0"/>
          <c:showBubbleSize val="0"/>
        </c:dLbls>
        <c:axId val="196130688"/>
        <c:axId val="19614105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Calculations'!$AG$13:$AG$617</c:f>
              <c:numCache>
                <c:formatCode>0.0000</c:formatCode>
                <c:ptCount val="605"/>
                <c:pt idx="0">
                  <c:v>66.121401018675698</c:v>
                </c:pt>
                <c:pt idx="1">
                  <c:v>65.34242387754837</c:v>
                </c:pt>
                <c:pt idx="2">
                  <c:v>64.561298008105666</c:v>
                </c:pt>
                <c:pt idx="3">
                  <c:v>63.778607370811557</c:v>
                </c:pt>
                <c:pt idx="4">
                  <c:v>62.995405638631574</c:v>
                </c:pt>
                <c:pt idx="5">
                  <c:v>62.210903360062851</c:v>
                </c:pt>
                <c:pt idx="6">
                  <c:v>61.426716569785036</c:v>
                </c:pt>
                <c:pt idx="7">
                  <c:v>60.642834400344341</c:v>
                </c:pt>
                <c:pt idx="8">
                  <c:v>59.86035212017444</c:v>
                </c:pt>
                <c:pt idx="9">
                  <c:v>59.079235132267023</c:v>
                </c:pt>
                <c:pt idx="10">
                  <c:v>58.3005404273908</c:v>
                </c:pt>
                <c:pt idx="11">
                  <c:v>57.524829979075761</c:v>
                </c:pt>
                <c:pt idx="12">
                  <c:v>56.752453494708526</c:v>
                </c:pt>
                <c:pt idx="13">
                  <c:v>55.985013194702631</c:v>
                </c:pt>
                <c:pt idx="14">
                  <c:v>55.222877375340211</c:v>
                </c:pt>
                <c:pt idx="15">
                  <c:v>54.467464096197098</c:v>
                </c:pt>
                <c:pt idx="16">
                  <c:v>53.719994539479295</c:v>
                </c:pt>
                <c:pt idx="17">
                  <c:v>52.982032862249454</c:v>
                </c:pt>
                <c:pt idx="18">
                  <c:v>52.255015873193841</c:v>
                </c:pt>
                <c:pt idx="19">
                  <c:v>51.540990319497311</c:v>
                </c:pt>
                <c:pt idx="20">
                  <c:v>50.841865446152468</c:v>
                </c:pt>
                <c:pt idx="21">
                  <c:v>50.160026405157119</c:v>
                </c:pt>
                <c:pt idx="22">
                  <c:v>49.497738192409358</c:v>
                </c:pt>
                <c:pt idx="23">
                  <c:v>48.857700361429806</c:v>
                </c:pt>
                <c:pt idx="24">
                  <c:v>48.242352321242436</c:v>
                </c:pt>
                <c:pt idx="25">
                  <c:v>47.654381158363591</c:v>
                </c:pt>
                <c:pt idx="26">
                  <c:v>47.096134085584076</c:v>
                </c:pt>
                <c:pt idx="27">
                  <c:v>46.570046707184616</c:v>
                </c:pt>
                <c:pt idx="28">
                  <c:v>46.078004746213843</c:v>
                </c:pt>
                <c:pt idx="29">
                  <c:v>45.621741004008868</c:v>
                </c:pt>
                <c:pt idx="30">
                  <c:v>45.201431284450706</c:v>
                </c:pt>
                <c:pt idx="31">
                  <c:v>44.818029503137225</c:v>
                </c:pt>
                <c:pt idx="32">
                  <c:v>44.470983170839553</c:v>
                </c:pt>
                <c:pt idx="33">
                  <c:v>44.15964441564212</c:v>
                </c:pt>
                <c:pt idx="34">
                  <c:v>43.882336360580865</c:v>
                </c:pt>
                <c:pt idx="35">
                  <c:v>43.637332418839385</c:v>
                </c:pt>
                <c:pt idx="36">
                  <c:v>43.422342683110706</c:v>
                </c:pt>
                <c:pt idx="37">
                  <c:v>43.234793892117551</c:v>
                </c:pt>
                <c:pt idx="38">
                  <c:v>43.0722655531046</c:v>
                </c:pt>
                <c:pt idx="39">
                  <c:v>42.931995959343709</c:v>
                </c:pt>
                <c:pt idx="40">
                  <c:v>42.811478468662827</c:v>
                </c:pt>
                <c:pt idx="41">
                  <c:v>42.708250862794664</c:v>
                </c:pt>
                <c:pt idx="42">
                  <c:v>42.620034610445273</c:v>
                </c:pt>
                <c:pt idx="43">
                  <c:v>42.544698617546146</c:v>
                </c:pt>
                <c:pt idx="44">
                  <c:v>42.480352314350966</c:v>
                </c:pt>
                <c:pt idx="45">
                  <c:v>42.425262940045421</c:v>
                </c:pt>
                <c:pt idx="46">
                  <c:v>42.37790435598523</c:v>
                </c:pt>
                <c:pt idx="47">
                  <c:v>42.336895470550317</c:v>
                </c:pt>
                <c:pt idx="48">
                  <c:v>42.301022271069009</c:v>
                </c:pt>
                <c:pt idx="49">
                  <c:v>42.269176570530163</c:v>
                </c:pt>
                <c:pt idx="50">
                  <c:v>42.24036724139647</c:v>
                </c:pt>
                <c:pt idx="51">
                  <c:v>42.213670512564001</c:v>
                </c:pt>
                <c:pt idx="52">
                  <c:v>42.188233159254054</c:v>
                </c:pt>
                <c:pt idx="53">
                  <c:v>42.163224357515475</c:v>
                </c:pt>
                <c:pt idx="54">
                  <c:v>42.13783964486889</c:v>
                </c:pt>
                <c:pt idx="55">
                  <c:v>42.111200341915939</c:v>
                </c:pt>
                <c:pt idx="56">
                  <c:v>42.082467433323323</c:v>
                </c:pt>
                <c:pt idx="57">
                  <c:v>42.050680833694628</c:v>
                </c:pt>
                <c:pt idx="58">
                  <c:v>42.014831117742048</c:v>
                </c:pt>
                <c:pt idx="59">
                  <c:v>41.973736729546388</c:v>
                </c:pt>
                <c:pt idx="60">
                  <c:v>41.926113589089205</c:v>
                </c:pt>
                <c:pt idx="61">
                  <c:v>41.870466302355595</c:v>
                </c:pt>
                <c:pt idx="62">
                  <c:v>41.805048182788653</c:v>
                </c:pt>
                <c:pt idx="63">
                  <c:v>41.727954925291861</c:v>
                </c:pt>
                <c:pt idx="64">
                  <c:v>41.636867440516163</c:v>
                </c:pt>
                <c:pt idx="65">
                  <c:v>41.529227298111884</c:v>
                </c:pt>
                <c:pt idx="66">
                  <c:v>41.40207933277226</c:v>
                </c:pt>
                <c:pt idx="67">
                  <c:v>41.252114055145547</c:v>
                </c:pt>
                <c:pt idx="68">
                  <c:v>41.075558110726348</c:v>
                </c:pt>
                <c:pt idx="69">
                  <c:v>40.868334874947394</c:v>
                </c:pt>
                <c:pt idx="70">
                  <c:v>40.625913592240217</c:v>
                </c:pt>
                <c:pt idx="71">
                  <c:v>40.343542300562873</c:v>
                </c:pt>
                <c:pt idx="72">
                  <c:v>40.016133575773082</c:v>
                </c:pt>
                <c:pt idx="73">
                  <c:v>39.638645582781372</c:v>
                </c:pt>
                <c:pt idx="74">
                  <c:v>39.20592154687381</c:v>
                </c:pt>
                <c:pt idx="75">
                  <c:v>38.713216522311029</c:v>
                </c:pt>
                <c:pt idx="76">
                  <c:v>38.15606562174397</c:v>
                </c:pt>
                <c:pt idx="77">
                  <c:v>37.530993237599446</c:v>
                </c:pt>
                <c:pt idx="78">
                  <c:v>36.835242095928692</c:v>
                </c:pt>
                <c:pt idx="79">
                  <c:v>36.067630659853023</c:v>
                </c:pt>
                <c:pt idx="80">
                  <c:v>35.226290283074469</c:v>
                </c:pt>
                <c:pt idx="81">
                  <c:v>34.312986347860281</c:v>
                </c:pt>
                <c:pt idx="82">
                  <c:v>33.328918631115812</c:v>
                </c:pt>
                <c:pt idx="83">
                  <c:v>32.277646709980004</c:v>
                </c:pt>
                <c:pt idx="84">
                  <c:v>31.162080774126789</c:v>
                </c:pt>
                <c:pt idx="85">
                  <c:v>29.987210522636087</c:v>
                </c:pt>
                <c:pt idx="86">
                  <c:v>28.757697040832738</c:v>
                </c:pt>
                <c:pt idx="87">
                  <c:v>27.477892922476567</c:v>
                </c:pt>
                <c:pt idx="88">
                  <c:v>26.154100083781987</c:v>
                </c:pt>
                <c:pt idx="89">
                  <c:v>24.790223979890698</c:v>
                </c:pt>
                <c:pt idx="90">
                  <c:v>23.391479822701505</c:v>
                </c:pt>
                <c:pt idx="91">
                  <c:v>21.962131523210143</c:v>
                </c:pt>
                <c:pt idx="92">
                  <c:v>20.506374929079119</c:v>
                </c:pt>
                <c:pt idx="93">
                  <c:v>19.027362375691318</c:v>
                </c:pt>
                <c:pt idx="94">
                  <c:v>18.654544647801877</c:v>
                </c:pt>
                <c:pt idx="95">
                  <c:v>18.466527884195656</c:v>
                </c:pt>
                <c:pt idx="96">
                  <c:v>18.28037222730617</c:v>
                </c:pt>
                <c:pt idx="97">
                  <c:v>18.091792488429746</c:v>
                </c:pt>
                <c:pt idx="98">
                  <c:v>17.905090828808685</c:v>
                </c:pt>
                <c:pt idx="99">
                  <c:v>17.715922190227282</c:v>
                </c:pt>
                <c:pt idx="100">
                  <c:v>17.528648914433319</c:v>
                </c:pt>
                <c:pt idx="101">
                  <c:v>17.339011436334278</c:v>
                </c:pt>
                <c:pt idx="102">
                  <c:v>17.151284003371082</c:v>
                </c:pt>
                <c:pt idx="103">
                  <c:v>16.96101535810843</c:v>
                </c:pt>
                <c:pt idx="104">
                  <c:v>16.772674498854247</c:v>
                </c:pt>
                <c:pt idx="105">
                  <c:v>16.58189873404211</c:v>
                </c:pt>
                <c:pt idx="106">
                  <c:v>16.393065810999154</c:v>
                </c:pt>
                <c:pt idx="107">
                  <c:v>16.201900291132439</c:v>
                </c:pt>
                <c:pt idx="108">
                  <c:v>16.012690084696729</c:v>
                </c:pt>
                <c:pt idx="109">
                  <c:v>15.821115904336374</c:v>
                </c:pt>
                <c:pt idx="110">
                  <c:v>15.63150968423005</c:v>
                </c:pt>
                <c:pt idx="111">
                  <c:v>15.439385122885994</c:v>
                </c:pt>
                <c:pt idx="112">
                  <c:v>15.249243878707583</c:v>
                </c:pt>
                <c:pt idx="113">
                  <c:v>15.056690601267977</c:v>
                </c:pt>
                <c:pt idx="114">
                  <c:v>14.866133319556782</c:v>
                </c:pt>
                <c:pt idx="115">
                  <c:v>14.673144277072222</c:v>
                </c:pt>
                <c:pt idx="116">
                  <c:v>14.4821638681486</c:v>
                </c:pt>
                <c:pt idx="117">
                  <c:v>14.288735484929134</c:v>
                </c:pt>
                <c:pt idx="118">
                  <c:v>14.097328266843409</c:v>
                </c:pt>
                <c:pt idx="119">
                  <c:v>13.903577066492582</c:v>
                </c:pt>
                <c:pt idx="120">
                  <c:v>13.711856955337806</c:v>
                </c:pt>
                <c:pt idx="121">
                  <c:v>13.517778236067457</c:v>
                </c:pt>
                <c:pt idx="122">
                  <c:v>13.325740438642979</c:v>
                </c:pt>
                <c:pt idx="123">
                  <c:v>13.131220467609259</c:v>
                </c:pt>
                <c:pt idx="124">
                  <c:v>12.938753454656366</c:v>
                </c:pt>
                <c:pt idx="125">
                  <c:v>12.743910061116399</c:v>
                </c:pt>
                <c:pt idx="126">
                  <c:v>12.551129015464733</c:v>
                </c:pt>
                <c:pt idx="127">
                  <c:v>12.355965704525651</c:v>
                </c:pt>
                <c:pt idx="128">
                  <c:v>12.162873879652036</c:v>
                </c:pt>
                <c:pt idx="129">
                  <c:v>11.967396499291983</c:v>
                </c:pt>
                <c:pt idx="130">
                  <c:v>11.773999444704428</c:v>
                </c:pt>
                <c:pt idx="131">
                  <c:v>11.578215980859227</c:v>
                </c:pt>
                <c:pt idx="132">
                  <c:v>11.481110287673008</c:v>
                </c:pt>
                <c:pt idx="133">
                  <c:v>11.38452134068408</c:v>
                </c:pt>
                <c:pt idx="134">
                  <c:v>11.286166025413154</c:v>
                </c:pt>
                <c:pt idx="135">
                  <c:v>11.188341037507524</c:v>
                </c:pt>
                <c:pt idx="136">
                  <c:v>11.091040799326651</c:v>
                </c:pt>
                <c:pt idx="137">
                  <c:v>10.994259817169761</c:v>
                </c:pt>
                <c:pt idx="138">
                  <c:v>10.895812971745416</c:v>
                </c:pt>
                <c:pt idx="139">
                  <c:v>10.79789786764815</c:v>
                </c:pt>
                <c:pt idx="140">
                  <c:v>10.700508890535357</c:v>
                </c:pt>
                <c:pt idx="141">
                  <c:v>10.6036405110515</c:v>
                </c:pt>
                <c:pt idx="142">
                  <c:v>10.505008627320041</c:v>
                </c:pt>
                <c:pt idx="143">
                  <c:v>10.406910863295867</c:v>
                </c:pt>
                <c:pt idx="144">
                  <c:v>10.309341553057344</c:v>
                </c:pt>
                <c:pt idx="145">
                  <c:v>10.212295117007571</c:v>
                </c:pt>
                <c:pt idx="146">
                  <c:v>10.11353613723352</c:v>
                </c:pt>
                <c:pt idx="147">
                  <c:v>10.015312988134795</c:v>
                </c:pt>
                <c:pt idx="148">
                  <c:v>9.9176199631067714</c:v>
                </c:pt>
                <c:pt idx="149">
                  <c:v>9.8204514429794472</c:v>
                </c:pt>
                <c:pt idx="150">
                  <c:v>9.7215733174231644</c:v>
                </c:pt>
                <c:pt idx="151">
                  <c:v>9.6232326046147634</c:v>
                </c:pt>
                <c:pt idx="152">
                  <c:v>9.5254235596558505</c:v>
                </c:pt>
                <c:pt idx="153">
                  <c:v>9.4281405261348254</c:v>
                </c:pt>
                <c:pt idx="154">
                  <c:v>9.329106320788668</c:v>
                </c:pt>
                <c:pt idx="155">
                  <c:v>9.2306114687796885</c:v>
                </c:pt>
                <c:pt idx="156">
                  <c:v>9.1326501814755261</c:v>
                </c:pt>
                <c:pt idx="157">
                  <c:v>9.0352167598869997</c:v>
                </c:pt>
                <c:pt idx="158">
                  <c:v>8.9360383724502146</c:v>
                </c:pt>
                <c:pt idx="159">
                  <c:v>8.8374011086081232</c:v>
                </c:pt>
                <c:pt idx="160">
                  <c:v>8.7392991389835224</c:v>
                </c:pt>
                <c:pt idx="161">
                  <c:v>8.6417267249301926</c:v>
                </c:pt>
                <c:pt idx="162">
                  <c:v>8.5424598318598122</c:v>
                </c:pt>
                <c:pt idx="163">
                  <c:v>8.4437351846156616</c:v>
                </c:pt>
                <c:pt idx="164">
                  <c:v>8.3455469237981674</c:v>
                </c:pt>
                <c:pt idx="165">
                  <c:v>8.2478892815968408</c:v>
                </c:pt>
                <c:pt idx="166">
                  <c:v>8.1484583546200842</c:v>
                </c:pt>
                <c:pt idx="167">
                  <c:v>8.0495715769410623</c:v>
                </c:pt>
                <c:pt idx="168">
                  <c:v>7.9512230467566702</c:v>
                </c:pt>
                <c:pt idx="169">
                  <c:v>7.8534069549620158</c:v>
                </c:pt>
                <c:pt idx="170">
                  <c:v>7.7540355595642074</c:v>
                </c:pt>
                <c:pt idx="171">
                  <c:v>7.6552077346404976</c:v>
                </c:pt>
                <c:pt idx="172">
                  <c:v>7.5569175765467609</c:v>
                </c:pt>
                <c:pt idx="173">
                  <c:v>7.4591592745897897</c:v>
                </c:pt>
                <c:pt idx="174">
                  <c:v>7.3594826279343213</c:v>
                </c:pt>
                <c:pt idx="175">
                  <c:v>7.2603529145731693</c:v>
                </c:pt>
                <c:pt idx="176">
                  <c:v>7.1617641651439312</c:v>
                </c:pt>
                <c:pt idx="177">
                  <c:v>7.0637105048203965</c:v>
                </c:pt>
                <c:pt idx="178">
                  <c:v>6.9637946308653991</c:v>
                </c:pt>
                <c:pt idx="179">
                  <c:v>6.8644282951120204</c:v>
                </c:pt>
                <c:pt idx="180">
                  <c:v>6.7656054748314842</c:v>
                </c:pt>
                <c:pt idx="181">
                  <c:v>6.6673202431551557</c:v>
                </c:pt>
                <c:pt idx="182">
                  <c:v>6.5676170819027959</c:v>
                </c:pt>
                <c:pt idx="183">
                  <c:v>6.4684610680508268</c:v>
                </c:pt>
                <c:pt idx="184">
                  <c:v>6.3698462075934517</c:v>
                </c:pt>
                <c:pt idx="185">
                  <c:v>6.2717666019657194</c:v>
                </c:pt>
                <c:pt idx="186">
                  <c:v>6.1715460104352182</c:v>
                </c:pt>
                <c:pt idx="187">
                  <c:v>6.0718781401111404</c:v>
                </c:pt>
                <c:pt idx="188">
                  <c:v>5.9727568950956531</c:v>
                </c:pt>
                <c:pt idx="189">
                  <c:v>5.8741762772779307</c:v>
                </c:pt>
                <c:pt idx="190">
                  <c:v>5.7742644410150392</c:v>
                </c:pt>
                <c:pt idx="191">
                  <c:v>5.674901787382824</c:v>
                </c:pt>
                <c:pt idx="192">
                  <c:v>5.5760822687749512</c:v>
                </c:pt>
                <c:pt idx="193">
                  <c:v>5.4777999345150388</c:v>
                </c:pt>
                <c:pt idx="194">
                  <c:v>5.3774932634104449</c:v>
                </c:pt>
                <c:pt idx="195">
                  <c:v>5.2777399196745804</c:v>
                </c:pt>
                <c:pt idx="196">
                  <c:v>5.1785337774258426</c:v>
                </c:pt>
                <c:pt idx="197">
                  <c:v>5.0798688095515168</c:v>
                </c:pt>
                <c:pt idx="198">
                  <c:v>4.9795962040495096</c:v>
                </c:pt>
                <c:pt idx="199">
                  <c:v>4.8798763143859638</c:v>
                </c:pt>
                <c:pt idx="200">
                  <c:v>4.7807030151325121</c:v>
                </c:pt>
                <c:pt idx="201">
                  <c:v>4.682070279778646</c:v>
                </c:pt>
                <c:pt idx="202">
                  <c:v>4.5818758842603833</c:v>
                </c:pt>
                <c:pt idx="203">
                  <c:v>4.4822330647193755</c:v>
                </c:pt>
                <c:pt idx="204">
                  <c:v>4.3831357051645341</c:v>
                </c:pt>
                <c:pt idx="205">
                  <c:v>4.2845777884713172</c:v>
                </c:pt>
                <c:pt idx="206">
                  <c:v>4.184160835284799</c:v>
                </c:pt>
                <c:pt idx="207">
                  <c:v>4.0842975784476661</c:v>
                </c:pt>
                <c:pt idx="208">
                  <c:v>3.9849818574285099</c:v>
                </c:pt>
                <c:pt idx="209">
                  <c:v>3.8862076116673165</c:v>
                </c:pt>
                <c:pt idx="210">
                  <c:v>3.7852940467687768</c:v>
                </c:pt>
                <c:pt idx="211">
                  <c:v>3.6849392777842302</c:v>
                </c:pt>
                <c:pt idx="212">
                  <c:v>3.5851370497740214</c:v>
                </c:pt>
                <c:pt idx="213">
                  <c:v>3.4858812099554233</c:v>
                </c:pt>
                <c:pt idx="214">
                  <c:v>3.3852034064359326</c:v>
                </c:pt>
                <c:pt idx="215">
                  <c:v>3.2850813777615908</c:v>
                </c:pt>
                <c:pt idx="216">
                  <c:v>3.1855089103549119</c:v>
                </c:pt>
                <c:pt idx="217">
                  <c:v>3.0864798920322309</c:v>
                </c:pt>
                <c:pt idx="218">
                  <c:v>2.985748793572589</c:v>
                </c:pt>
                <c:pt idx="219">
                  <c:v>2.8855735909099374</c:v>
                </c:pt>
                <c:pt idx="220">
                  <c:v>2.7859480594151331</c:v>
                </c:pt>
                <c:pt idx="221">
                  <c:v>2.6868660762237182</c:v>
                </c:pt>
                <c:pt idx="222">
                  <c:v>2.5861308464724586</c:v>
                </c:pt>
                <c:pt idx="223">
                  <c:v>2.4859510454711926</c:v>
                </c:pt>
                <c:pt idx="224">
                  <c:v>2.3863204474923152</c:v>
                </c:pt>
                <c:pt idx="225">
                  <c:v>2.2872329287212252</c:v>
                </c:pt>
                <c:pt idx="226">
                  <c:v>2.1862331865218834</c:v>
                </c:pt>
                <c:pt idx="227">
                  <c:v>2.0857912231167823</c:v>
                </c:pt>
                <c:pt idx="228">
                  <c:v>1.9859007644371909</c:v>
                </c:pt>
                <c:pt idx="229">
                  <c:v>1.8865556395010548</c:v>
                </c:pt>
                <c:pt idx="230">
                  <c:v>1.684711491586852</c:v>
                </c:pt>
                <c:pt idx="231">
                  <c:v>1.5846221956257367</c:v>
                </c:pt>
                <c:pt idx="232">
                  <c:v>1.4850797754960021</c:v>
                </c:pt>
                <c:pt idx="233">
                  <c:v>1.3837344609211253</c:v>
                </c:pt>
                <c:pt idx="234">
                  <c:v>1.282949456123808</c:v>
                </c:pt>
                <c:pt idx="235">
                  <c:v>1.1827184266258171</c:v>
                </c:pt>
                <c:pt idx="236">
                  <c:v>1.0830351425913742</c:v>
                </c:pt>
                <c:pt idx="237">
                  <c:v>0.98188747050558889</c:v>
                </c:pt>
                <c:pt idx="238">
                  <c:v>0.88129721785141557</c:v>
                </c:pt>
                <c:pt idx="239">
                  <c:v>0.78125809020652737</c:v>
                </c:pt>
                <c:pt idx="240">
                  <c:v>0.68176389702125251</c:v>
                </c:pt>
                <c:pt idx="241">
                  <c:v>0.58028545259852127</c:v>
                </c:pt>
                <c:pt idx="242">
                  <c:v>0.47936730161217778</c:v>
                </c:pt>
                <c:pt idx="243">
                  <c:v>0.37900309224087392</c:v>
                </c:pt>
                <c:pt idx="244">
                  <c:v>0.27918657790392942</c:v>
                </c:pt>
                <c:pt idx="245">
                  <c:v>0.17771770302441531</c:v>
                </c:pt>
                <c:pt idx="246">
                  <c:v>7.680819573435195E-2</c:v>
                </c:pt>
                <c:pt idx="247">
                  <c:v>-2.354828886673848E-2</c:v>
                </c:pt>
                <c:pt idx="248">
                  <c:v>-0.12335799048719201</c:v>
                </c:pt>
                <c:pt idx="249">
                  <c:v>-0.2250415394359665</c:v>
                </c:pt>
                <c:pt idx="250">
                  <c:v>-0.32616423452799126</c:v>
                </c:pt>
                <c:pt idx="251">
                  <c:v>-0.4267324547031856</c:v>
                </c:pt>
                <c:pt idx="252">
                  <c:v>-0.52675247285481031</c:v>
                </c:pt>
                <c:pt idx="253">
                  <c:v>-0.62832999949384838</c:v>
                </c:pt>
                <c:pt idx="254">
                  <c:v>-0.72934876694258677</c:v>
                </c:pt>
                <c:pt idx="255">
                  <c:v>-0.82981512730689699</c:v>
                </c:pt>
                <c:pt idx="256">
                  <c:v>-0.92973532714186513</c:v>
                </c:pt>
                <c:pt idx="257">
                  <c:v>-1.0316830040640712</c:v>
                </c:pt>
                <c:pt idx="258">
                  <c:v>-1.1330688434874927</c:v>
                </c:pt>
                <c:pt idx="259">
                  <c:v>-1.2338992587927957</c:v>
                </c:pt>
                <c:pt idx="260">
                  <c:v>-1.3341805563552132</c:v>
                </c:pt>
                <c:pt idx="261">
                  <c:v>-1.4361794575589062</c:v>
                </c:pt>
                <c:pt idx="262">
                  <c:v>-1.5376170073937292</c:v>
                </c:pt>
                <c:pt idx="263">
                  <c:v>-1.6384996198341475</c:v>
                </c:pt>
                <c:pt idx="264">
                  <c:v>-1.7388336017405248</c:v>
                </c:pt>
                <c:pt idx="265">
                  <c:v>-1.8408366312578541</c:v>
                </c:pt>
                <c:pt idx="266">
                  <c:v>-1.94227937030811</c:v>
                </c:pt>
                <c:pt idx="267">
                  <c:v>-2.0431682236436877</c:v>
                </c:pt>
                <c:pt idx="268">
                  <c:v>-2.1435094890136126</c:v>
                </c:pt>
                <c:pt idx="269">
                  <c:v>-2.2457133389160004</c:v>
                </c:pt>
                <c:pt idx="270">
                  <c:v>-2.3473558648179913</c:v>
                </c:pt>
                <c:pt idx="271">
                  <c:v>-2.4484434981203491</c:v>
                </c:pt>
                <c:pt idx="272">
                  <c:v>-2.548982562534472</c:v>
                </c:pt>
                <c:pt idx="273">
                  <c:v>-2.6513311930240873</c:v>
                </c:pt>
                <c:pt idx="274">
                  <c:v>-2.7531181454095326</c:v>
                </c:pt>
                <c:pt idx="275">
                  <c:v>-2.854349866198183</c:v>
                </c:pt>
                <c:pt idx="276">
                  <c:v>-2.9550326937784299</c:v>
                </c:pt>
                <c:pt idx="277">
                  <c:v>-3.0572438007357023</c:v>
                </c:pt>
                <c:pt idx="278">
                  <c:v>-3.1588960241257178</c:v>
                </c:pt>
                <c:pt idx="279">
                  <c:v>-3.2599957715645895</c:v>
                </c:pt>
                <c:pt idx="280">
                  <c:v>-3.3605493433248865</c:v>
                </c:pt>
                <c:pt idx="281">
                  <c:v>-3.4632646523581423</c:v>
                </c:pt>
                <c:pt idx="282">
                  <c:v>-3.5654169300490439</c:v>
                </c:pt>
                <c:pt idx="283">
                  <c:v>-3.6670126644561893</c:v>
                </c:pt>
                <c:pt idx="284">
                  <c:v>-3.7680582344054905</c:v>
                </c:pt>
                <c:pt idx="285">
                  <c:v>-3.8705424136695599</c:v>
                </c:pt>
                <c:pt idx="286">
                  <c:v>-3.972467510440381</c:v>
                </c:pt>
                <c:pt idx="287">
                  <c:v>-4.0738399539996193</c:v>
                </c:pt>
                <c:pt idx="288">
                  <c:v>-4.1746660656179149</c:v>
                </c:pt>
                <c:pt idx="289">
                  <c:v>-4.2775385543527866</c:v>
                </c:pt>
                <c:pt idx="290">
                  <c:v>-4.3798492255384618</c:v>
                </c:pt>
                <c:pt idx="291">
                  <c:v>-4.4816045648459397</c:v>
                </c:pt>
                <c:pt idx="292">
                  <c:v>-4.5828109485803594</c:v>
                </c:pt>
                <c:pt idx="293">
                  <c:v>-4.6857945419277325</c:v>
                </c:pt>
                <c:pt idx="294">
                  <c:v>-4.7882166775390012</c:v>
                </c:pt>
                <c:pt idx="295">
                  <c:v>-4.8900838442381298</c:v>
                </c:pt>
                <c:pt idx="296">
                  <c:v>-4.9914024213182975</c:v>
                </c:pt>
                <c:pt idx="297">
                  <c:v>-5.0944487265959806</c:v>
                </c:pt>
                <c:pt idx="298">
                  <c:v>-5.1969345320485463</c:v>
                </c:pt>
                <c:pt idx="299">
                  <c:v>-5.2988663193544028</c:v>
                </c:pt>
                <c:pt idx="300">
                  <c:v>-5.4002504607268005</c:v>
                </c:pt>
                <c:pt idx="301">
                  <c:v>-5.5033146077676367</c:v>
                </c:pt>
                <c:pt idx="302">
                  <c:v>-5.6058197696871304</c:v>
                </c:pt>
                <c:pt idx="303">
                  <c:v>-5.7077724114100441</c:v>
                </c:pt>
                <c:pt idx="304">
                  <c:v>-5.8091788886742322</c:v>
                </c:pt>
                <c:pt idx="305">
                  <c:v>-5.912614593848728</c:v>
                </c:pt>
                <c:pt idx="306">
                  <c:v>-6.0154890777802086</c:v>
                </c:pt>
                <c:pt idx="307">
                  <c:v>-6.11780885365821</c:v>
                </c:pt>
                <c:pt idx="308">
                  <c:v>-6.2195803243021217</c:v>
                </c:pt>
                <c:pt idx="309">
                  <c:v>-6.3229371863407344</c:v>
                </c:pt>
                <c:pt idx="310">
                  <c:v>-6.425735541428919</c:v>
                </c:pt>
                <c:pt idx="311">
                  <c:v>-6.5279818652390826</c:v>
                </c:pt>
                <c:pt idx="312">
                  <c:v>-6.6296825238173067</c:v>
                </c:pt>
                <c:pt idx="313">
                  <c:v>-6.7333044371543203</c:v>
                </c:pt>
                <c:pt idx="314">
                  <c:v>-6.8363669243262564</c:v>
                </c:pt>
                <c:pt idx="315">
                  <c:v>-6.9388764865565866</c:v>
                </c:pt>
                <c:pt idx="316">
                  <c:v>-7.0408395147631628</c:v>
                </c:pt>
                <c:pt idx="317">
                  <c:v>-7.1446705863532598</c:v>
                </c:pt>
                <c:pt idx="318">
                  <c:v>-7.247942002175396</c:v>
                </c:pt>
                <c:pt idx="319">
                  <c:v>-7.350660277103227</c:v>
                </c:pt>
                <c:pt idx="320">
                  <c:v>-7.4528318152887172</c:v>
                </c:pt>
                <c:pt idx="321">
                  <c:v>-7.5568200460586956</c:v>
                </c:pt>
                <c:pt idx="322">
                  <c:v>-7.6602490372198373</c:v>
                </c:pt>
                <c:pt idx="323">
                  <c:v>-7.7631253060809442</c:v>
                </c:pt>
                <c:pt idx="324">
                  <c:v>-7.8654552590639835</c:v>
                </c:pt>
                <c:pt idx="325">
                  <c:v>-7.9695523744795445</c:v>
                </c:pt>
                <c:pt idx="326">
                  <c:v>-8.0730912689879837</c:v>
                </c:pt>
                <c:pt idx="327">
                  <c:v>-8.176078451816668</c:v>
                </c:pt>
                <c:pt idx="328">
                  <c:v>-8.2785203213736036</c:v>
                </c:pt>
                <c:pt idx="329">
                  <c:v>-8.3828553154389613</c:v>
                </c:pt>
                <c:pt idx="330">
                  <c:v>-8.4866318152222338</c:v>
                </c:pt>
                <c:pt idx="331">
                  <c:v>-8.5898563443892879</c:v>
                </c:pt>
                <c:pt idx="332">
                  <c:v>-8.6925353153410096</c:v>
                </c:pt>
                <c:pt idx="333">
                  <c:v>-8.7968858212426859</c:v>
                </c:pt>
                <c:pt idx="334">
                  <c:v>-8.9006800198118867</c:v>
                </c:pt>
                <c:pt idx="335">
                  <c:v>-9.0039244061373864</c:v>
                </c:pt>
                <c:pt idx="336">
                  <c:v>-9.1066253645681563</c:v>
                </c:pt>
                <c:pt idx="337">
                  <c:v>-9.2112864944630797</c:v>
                </c:pt>
                <c:pt idx="338">
                  <c:v>-9.3153904521872271</c:v>
                </c:pt>
                <c:pt idx="339">
                  <c:v>-9.4189437575052022</c:v>
                </c:pt>
                <c:pt idx="340">
                  <c:v>-9.5219528187528955</c:v>
                </c:pt>
                <c:pt idx="341">
                  <c:v>-9.6268688601469226</c:v>
                </c:pt>
                <c:pt idx="342">
                  <c:v>-9.7312275562934847</c:v>
                </c:pt>
                <c:pt idx="343">
                  <c:v>-9.8350354395019419</c:v>
                </c:pt>
                <c:pt idx="344">
                  <c:v>-9.9382989302338025</c:v>
                </c:pt>
                <c:pt idx="345">
                  <c:v>-10.043258509477056</c:v>
                </c:pt>
                <c:pt idx="346">
                  <c:v>-10.147662901145502</c:v>
                </c:pt>
                <c:pt idx="347">
                  <c:v>-10.251518609129231</c:v>
                </c:pt>
                <c:pt idx="348">
                  <c:v>-10.354832025976874</c:v>
                </c:pt>
                <c:pt idx="349">
                  <c:v>-10.460109557654311</c:v>
                </c:pt>
                <c:pt idx="350">
                  <c:v>-10.564831254889535</c:v>
                </c:pt>
                <c:pt idx="351">
                  <c:v>-10.669003642163062</c:v>
                </c:pt>
                <c:pt idx="352">
                  <c:v>-10.772633131999591</c:v>
                </c:pt>
                <c:pt idx="353">
                  <c:v>-10.878174131260268</c:v>
                </c:pt>
                <c:pt idx="354">
                  <c:v>-10.983159327341976</c:v>
                </c:pt>
                <c:pt idx="355">
                  <c:v>-11.087595253280462</c:v>
                </c:pt>
                <c:pt idx="356">
                  <c:v>-11.1914883298059</c:v>
                </c:pt>
                <c:pt idx="357">
                  <c:v>-11.297092351110008</c:v>
                </c:pt>
                <c:pt idx="358">
                  <c:v>-11.402142799987283</c:v>
                </c:pt>
                <c:pt idx="359">
                  <c:v>-11.506646179149593</c:v>
                </c:pt>
                <c:pt idx="360">
                  <c:v>-11.610608879536279</c:v>
                </c:pt>
                <c:pt idx="361">
                  <c:v>-11.716531728138246</c:v>
                </c:pt>
                <c:pt idx="362">
                  <c:v>-11.821900653388912</c:v>
                </c:pt>
                <c:pt idx="363">
                  <c:v>-11.926722172787168</c:v>
                </c:pt>
                <c:pt idx="364">
                  <c:v>-12.031002691553766</c:v>
                </c:pt>
                <c:pt idx="365">
                  <c:v>-12.137047942059425</c:v>
                </c:pt>
                <c:pt idx="366">
                  <c:v>-12.242541066948762</c:v>
                </c:pt>
                <c:pt idx="367">
                  <c:v>-12.347488560413113</c:v>
                </c:pt>
                <c:pt idx="368">
                  <c:v>-12.451896804724612</c:v>
                </c:pt>
                <c:pt idx="369">
                  <c:v>-12.558305876076668</c:v>
                </c:pt>
                <c:pt idx="370">
                  <c:v>-12.664162210474521</c:v>
                </c:pt>
                <c:pt idx="371">
                  <c:v>-12.769472320853755</c:v>
                </c:pt>
                <c:pt idx="372">
                  <c:v>-12.874242607617267</c:v>
                </c:pt>
                <c:pt idx="373">
                  <c:v>-12.98082342470936</c:v>
                </c:pt>
                <c:pt idx="374">
                  <c:v>-13.086852987715481</c:v>
                </c:pt>
                <c:pt idx="375">
                  <c:v>-13.192337791036653</c:v>
                </c:pt>
                <c:pt idx="376">
                  <c:v>-13.297284216775404</c:v>
                </c:pt>
                <c:pt idx="377">
                  <c:v>-13.404264987569078</c:v>
                </c:pt>
                <c:pt idx="378">
                  <c:v>-13.510693734543828</c:v>
                </c:pt>
                <c:pt idx="379">
                  <c:v>-13.616576972828664</c:v>
                </c:pt>
                <c:pt idx="380">
                  <c:v>-13.721921104575861</c:v>
                </c:pt>
                <c:pt idx="381">
                  <c:v>-13.828982044718416</c:v>
                </c:pt>
                <c:pt idx="382">
                  <c:v>-13.935493582051343</c:v>
                </c:pt>
                <c:pt idx="383">
                  <c:v>-14.041462192113073</c:v>
                </c:pt>
                <c:pt idx="384">
                  <c:v>-14.146894238168269</c:v>
                </c:pt>
                <c:pt idx="385">
                  <c:v>-14.254389087573923</c:v>
                </c:pt>
                <c:pt idx="386">
                  <c:v>-14.361333627994636</c:v>
                </c:pt>
                <c:pt idx="387">
                  <c:v>-14.467734357023289</c:v>
                </c:pt>
                <c:pt idx="388">
                  <c:v>-14.573597659250874</c:v>
                </c:pt>
                <c:pt idx="389">
                  <c:v>-14.681343580934247</c:v>
                </c:pt>
                <c:pt idx="390">
                  <c:v>-14.78854026281356</c:v>
                </c:pt>
                <c:pt idx="391">
                  <c:v>-14.895194189048137</c:v>
                </c:pt>
                <c:pt idx="392">
                  <c:v>-15.001311730876516</c:v>
                </c:pt>
                <c:pt idx="393">
                  <c:v>-15.109264459013554</c:v>
                </c:pt>
                <c:pt idx="394">
                  <c:v>-15.216669559753997</c:v>
                </c:pt>
                <c:pt idx="395">
                  <c:v>-15.323533493526178</c:v>
                </c:pt>
                <c:pt idx="396">
                  <c:v>-15.429862608150156</c:v>
                </c:pt>
                <c:pt idx="397">
                  <c:v>-15.538225188808175</c:v>
                </c:pt>
                <c:pt idx="398">
                  <c:v>-15.646039797033477</c:v>
                </c:pt>
                <c:pt idx="399">
                  <c:v>-15.753312903295972</c:v>
                </c:pt>
                <c:pt idx="400">
                  <c:v>-15.860050864976527</c:v>
                </c:pt>
                <c:pt idx="401">
                  <c:v>-15.968651368444426</c:v>
                </c:pt>
                <c:pt idx="402">
                  <c:v>-16.076705388956263</c:v>
                </c:pt>
                <c:pt idx="403">
                  <c:v>-16.184219373789329</c:v>
                </c:pt>
                <c:pt idx="404">
                  <c:v>-16.291199657414886</c:v>
                </c:pt>
                <c:pt idx="405">
                  <c:v>-16.400113707492793</c:v>
                </c:pt>
                <c:pt idx="406">
                  <c:v>-16.508482094563316</c:v>
                </c:pt>
                <c:pt idx="407">
                  <c:v>-16.616311253602575</c:v>
                </c:pt>
                <c:pt idx="408">
                  <c:v>-16.723607506802654</c:v>
                </c:pt>
                <c:pt idx="409">
                  <c:v>-16.832904623560406</c:v>
                </c:pt>
                <c:pt idx="410">
                  <c:v>-16.941656297719458</c:v>
                </c:pt>
                <c:pt idx="411">
                  <c:v>-17.049868961521558</c:v>
                </c:pt>
                <c:pt idx="412">
                  <c:v>-17.157548934213867</c:v>
                </c:pt>
                <c:pt idx="413">
                  <c:v>-17.267180293665824</c:v>
                </c:pt>
                <c:pt idx="414">
                  <c:v>-17.376267011075722</c:v>
                </c:pt>
                <c:pt idx="415">
                  <c:v>-17.484815504629236</c:v>
                </c:pt>
                <c:pt idx="416">
                  <c:v>-17.592832079562285</c:v>
                </c:pt>
                <c:pt idx="417">
                  <c:v>-17.702862734115222</c:v>
                </c:pt>
                <c:pt idx="418">
                  <c:v>-17.812348992415778</c:v>
                </c:pt>
                <c:pt idx="419">
                  <c:v>-17.92129726719488</c:v>
                </c:pt>
                <c:pt idx="420">
                  <c:v>-18.029713858070149</c:v>
                </c:pt>
                <c:pt idx="421">
                  <c:v>-18.13998698834029</c:v>
                </c:pt>
                <c:pt idx="422">
                  <c:v>-18.249717597167439</c:v>
                </c:pt>
                <c:pt idx="423">
                  <c:v>-18.358912061899183</c:v>
                </c:pt>
                <c:pt idx="424">
                  <c:v>-18.467576647302643</c:v>
                </c:pt>
                <c:pt idx="425">
                  <c:v>-18.578371904156995</c:v>
                </c:pt>
                <c:pt idx="426">
                  <c:v>-18.688623848313252</c:v>
                </c:pt>
                <c:pt idx="427">
                  <c:v>-18.798338867290457</c:v>
                </c:pt>
                <c:pt idx="428">
                  <c:v>-18.907523235482955</c:v>
                </c:pt>
                <c:pt idx="429">
                  <c:v>-19.018682106705903</c:v>
                </c:pt>
                <c:pt idx="430">
                  <c:v>-19.129298511028903</c:v>
                </c:pt>
                <c:pt idx="431">
                  <c:v>-19.239378815920016</c:v>
                </c:pt>
                <c:pt idx="432">
                  <c:v>-19.348929275883467</c:v>
                </c:pt>
                <c:pt idx="433">
                  <c:v>-19.460406989348655</c:v>
                </c:pt>
                <c:pt idx="434">
                  <c:v>-19.571343584530833</c:v>
                </c:pt>
                <c:pt idx="435">
                  <c:v>-19.681745398543324</c:v>
                </c:pt>
                <c:pt idx="436">
                  <c:v>-19.791618655936368</c:v>
                </c:pt>
                <c:pt idx="437">
                  <c:v>-19.903573898699964</c:v>
                </c:pt>
                <c:pt idx="438">
                  <c:v>-20.01498790075771</c:v>
                </c:pt>
                <c:pt idx="439">
                  <c:v>-20.125866993054494</c:v>
                </c:pt>
                <c:pt idx="440">
                  <c:v>-20.236217393799215</c:v>
                </c:pt>
                <c:pt idx="441">
                  <c:v>-20.348600031959645</c:v>
                </c:pt>
                <c:pt idx="442">
                  <c:v>-20.460441859143458</c:v>
                </c:pt>
                <c:pt idx="443">
                  <c:v>-20.57174918877136</c:v>
                </c:pt>
                <c:pt idx="444">
                  <c:v>-20.68252822162188</c:v>
                </c:pt>
                <c:pt idx="445">
                  <c:v>-20.795291435793235</c:v>
                </c:pt>
                <c:pt idx="446">
                  <c:v>-20.907514773577578</c:v>
                </c:pt>
                <c:pt idx="447">
                  <c:v>-21.019204520326127</c:v>
                </c:pt>
                <c:pt idx="448">
                  <c:v>-21.13036684909201</c:v>
                </c:pt>
                <c:pt idx="449">
                  <c:v>-21.243656093170795</c:v>
                </c:pt>
                <c:pt idx="450">
                  <c:v>-21.356405058012577</c:v>
                </c:pt>
                <c:pt idx="451">
                  <c:v>-21.46862002235607</c:v>
                </c:pt>
                <c:pt idx="452">
                  <c:v>-21.58030715247893</c:v>
                </c:pt>
                <c:pt idx="453">
                  <c:v>-21.693978209366133</c:v>
                </c:pt>
                <c:pt idx="454">
                  <c:v>-21.807110003616547</c:v>
                </c:pt>
                <c:pt idx="455">
                  <c:v>-21.919708780793435</c:v>
                </c:pt>
                <c:pt idx="456">
                  <c:v>-22.031780674471637</c:v>
                </c:pt>
                <c:pt idx="457">
                  <c:v>-22.145972713579457</c:v>
                </c:pt>
                <c:pt idx="458">
                  <c:v>-22.259625225236665</c:v>
                </c:pt>
                <c:pt idx="459">
                  <c:v>-22.372744442088152</c:v>
                </c:pt>
                <c:pt idx="460">
                  <c:v>-22.485336484784892</c:v>
                </c:pt>
                <c:pt idx="461">
                  <c:v>-22.599999197354951</c:v>
                </c:pt>
                <c:pt idx="462">
                  <c:v>-22.714122627170088</c:v>
                </c:pt>
                <c:pt idx="463">
                  <c:v>-22.827712983110402</c:v>
                </c:pt>
                <c:pt idx="464">
                  <c:v>-22.940776362324527</c:v>
                </c:pt>
                <c:pt idx="465">
                  <c:v>-23.0559502644522</c:v>
                </c:pt>
                <c:pt idx="466">
                  <c:v>-23.17058477327063</c:v>
                </c:pt>
                <c:pt idx="467">
                  <c:v>-23.284686077936875</c:v>
                </c:pt>
                <c:pt idx="468">
                  <c:v>-23.39826025605246</c:v>
                </c:pt>
                <c:pt idx="469">
                  <c:v>-23.513896219104822</c:v>
                </c:pt>
                <c:pt idx="470">
                  <c:v>-23.628993153636561</c:v>
                </c:pt>
                <c:pt idx="471">
                  <c:v>-23.743557218826975</c:v>
                </c:pt>
                <c:pt idx="472">
                  <c:v>-23.857594462733708</c:v>
                </c:pt>
                <c:pt idx="473">
                  <c:v>-23.973815343696398</c:v>
                </c:pt>
                <c:pt idx="474">
                  <c:v>-24.089496427637439</c:v>
                </c:pt>
                <c:pt idx="475">
                  <c:v>-24.204643860966115</c:v>
                </c:pt>
                <c:pt idx="476">
                  <c:v>-24.319263679006795</c:v>
                </c:pt>
                <c:pt idx="477">
                  <c:v>-24.436016810789827</c:v>
                </c:pt>
                <c:pt idx="478">
                  <c:v>-24.552229871015943</c:v>
                </c:pt>
                <c:pt idx="479">
                  <c:v>-24.667908982681922</c:v>
                </c:pt>
                <c:pt idx="480">
                  <c:v>-24.783060158009281</c:v>
                </c:pt>
                <c:pt idx="481">
                  <c:v>-24.900295892174551</c:v>
                </c:pt>
                <c:pt idx="482">
                  <c:v>-25.016991728801337</c:v>
                </c:pt>
                <c:pt idx="483">
                  <c:v>-25.133153757721587</c:v>
                </c:pt>
                <c:pt idx="484">
                  <c:v>-25.248787958557365</c:v>
                </c:pt>
                <c:pt idx="485">
                  <c:v>-25.36653945109245</c:v>
                </c:pt>
                <c:pt idx="486">
                  <c:v>-25.48375089426915</c:v>
                </c:pt>
                <c:pt idx="487">
                  <c:v>-25.600428348145691</c:v>
                </c:pt>
                <c:pt idx="488">
                  <c:v>-25.716577763077634</c:v>
                </c:pt>
                <c:pt idx="489">
                  <c:v>-25.834953563775834</c:v>
                </c:pt>
                <c:pt idx="490">
                  <c:v>-25.952788145860918</c:v>
                </c:pt>
                <c:pt idx="491">
                  <c:v>-26.07008755449618</c:v>
                </c:pt>
                <c:pt idx="492">
                  <c:v>-26.186857725317282</c:v>
                </c:pt>
                <c:pt idx="493">
                  <c:v>-26.305803511808442</c:v>
                </c:pt>
                <c:pt idx="494">
                  <c:v>-26.424207376514204</c:v>
                </c:pt>
                <c:pt idx="495">
                  <c:v>-26.542075339698876</c:v>
                </c:pt>
                <c:pt idx="496">
                  <c:v>-26.659413312544082</c:v>
                </c:pt>
                <c:pt idx="497">
                  <c:v>-26.778953357971371</c:v>
                </c:pt>
                <c:pt idx="498">
                  <c:v>-26.897950516096717</c:v>
                </c:pt>
                <c:pt idx="499">
                  <c:v>-27.016410784508817</c:v>
                </c:pt>
                <c:pt idx="500">
                  <c:v>-27.134340052136864</c:v>
                </c:pt>
                <c:pt idx="501">
                  <c:v>-27.25449589732392</c:v>
                </c:pt>
                <c:pt idx="502">
                  <c:v>-27.374107645135179</c:v>
                </c:pt>
                <c:pt idx="503">
                  <c:v>-27.493181272409327</c:v>
                </c:pt>
                <c:pt idx="504">
                  <c:v>-27.611722647736062</c:v>
                </c:pt>
                <c:pt idx="505">
                  <c:v>-27.732440176549066</c:v>
                </c:pt>
                <c:pt idx="506">
                  <c:v>-27.852612826962755</c:v>
                </c:pt>
                <c:pt idx="507">
                  <c:v>-27.972246546010201</c:v>
                </c:pt>
                <c:pt idx="508">
                  <c:v>-28.091347173141521</c:v>
                </c:pt>
                <c:pt idx="509">
                  <c:v>-28.212646705806122</c:v>
                </c:pt>
                <c:pt idx="510">
                  <c:v>-28.333400324482724</c:v>
                </c:pt>
                <c:pt idx="511">
                  <c:v>-28.453613948685135</c:v>
                </c:pt>
                <c:pt idx="512">
                  <c:v>-28.573293390994099</c:v>
                </c:pt>
                <c:pt idx="513">
                  <c:v>-28.695263148258139</c:v>
                </c:pt>
                <c:pt idx="514">
                  <c:v>-28.816685086701913</c:v>
                </c:pt>
                <c:pt idx="515">
                  <c:v>-28.937565110540149</c:v>
                </c:pt>
                <c:pt idx="516">
                  <c:v>-29.057909017452186</c:v>
                </c:pt>
                <c:pt idx="517">
                  <c:v>-29.180491327250561</c:v>
                </c:pt>
                <c:pt idx="518">
                  <c:v>-29.302524346650291</c:v>
                </c:pt>
                <c:pt idx="519">
                  <c:v>-29.424013955774999</c:v>
                </c:pt>
                <c:pt idx="520">
                  <c:v>-29.544965928865345</c:v>
                </c:pt>
                <c:pt idx="521">
                  <c:v>-29.668173792599344</c:v>
                </c:pt>
                <c:pt idx="522">
                  <c:v>-29.790830683468972</c:v>
                </c:pt>
                <c:pt idx="523">
                  <c:v>-29.912942459257476</c:v>
                </c:pt>
                <c:pt idx="524">
                  <c:v>-30.034514872520582</c:v>
                </c:pt>
                <c:pt idx="525">
                  <c:v>-30.158359014428409</c:v>
                </c:pt>
                <c:pt idx="526">
                  <c:v>-30.281650303120891</c:v>
                </c:pt>
                <c:pt idx="527">
                  <c:v>-30.404394575671596</c:v>
                </c:pt>
                <c:pt idx="528">
                  <c:v>-30.526597564588933</c:v>
                </c:pt>
                <c:pt idx="529">
                  <c:v>-30.65108651852605</c:v>
                </c:pt>
                <c:pt idx="530">
                  <c:v>-30.775020553266835</c:v>
                </c:pt>
                <c:pt idx="531">
                  <c:v>-30.898405486713383</c:v>
                </c:pt>
                <c:pt idx="532">
                  <c:v>-31.021247032876168</c:v>
                </c:pt>
                <c:pt idx="533">
                  <c:v>-31.146451685639672</c:v>
                </c:pt>
                <c:pt idx="534">
                  <c:v>-31.271098606827469</c:v>
                </c:pt>
                <c:pt idx="535">
                  <c:v>-31.395193605548034</c:v>
                </c:pt>
                <c:pt idx="536">
                  <c:v>-31.518742387493557</c:v>
                </c:pt>
                <c:pt idx="537">
                  <c:v>-31.644537079577717</c:v>
                </c:pt>
                <c:pt idx="538">
                  <c:v>-31.769772221485468</c:v>
                </c:pt>
                <c:pt idx="539">
                  <c:v>-31.894453596930575</c:v>
                </c:pt>
                <c:pt idx="540">
                  <c:v>-32.018586887127675</c:v>
                </c:pt>
                <c:pt idx="541">
                  <c:v>-32.145101893848164</c:v>
                </c:pt>
                <c:pt idx="542">
                  <c:v>-32.271054243641274</c:v>
                </c:pt>
                <c:pt idx="543">
                  <c:v>-32.396449713805431</c:v>
                </c:pt>
                <c:pt idx="544">
                  <c:v>-32.521293979657209</c:v>
                </c:pt>
                <c:pt idx="545">
                  <c:v>-32.648465463682449</c:v>
                </c:pt>
                <c:pt idx="546">
                  <c:v>-32.77507161521028</c:v>
                </c:pt>
                <c:pt idx="547">
                  <c:v>-32.901118197631668</c:v>
                </c:pt>
                <c:pt idx="548">
                  <c:v>-33.026610873098704</c:v>
                </c:pt>
                <c:pt idx="549">
                  <c:v>-33.154437649265638</c:v>
                </c:pt>
                <c:pt idx="550">
                  <c:v>-33.281696285276247</c:v>
                </c:pt>
                <c:pt idx="551">
                  <c:v>-33.408392532008811</c:v>
                </c:pt>
                <c:pt idx="552">
                  <c:v>-33.534532039858547</c:v>
                </c:pt>
                <c:pt idx="553">
                  <c:v>-33.663070175970084</c:v>
                </c:pt>
                <c:pt idx="554">
                  <c:v>-33.791036719342607</c:v>
                </c:pt>
                <c:pt idx="555">
                  <c:v>-33.918437417596941</c:v>
                </c:pt>
                <c:pt idx="556">
                  <c:v>-34.045277918458765</c:v>
                </c:pt>
                <c:pt idx="557">
                  <c:v>-34.303186364379741</c:v>
                </c:pt>
                <c:pt idx="558">
                  <c:v>-34.558817176802407</c:v>
                </c:pt>
                <c:pt idx="559">
                  <c:v>-34.817997531896829</c:v>
                </c:pt>
                <c:pt idx="560">
                  <c:v>-35.074887797747763</c:v>
                </c:pt>
                <c:pt idx="561">
                  <c:v>-35.335547447881353</c:v>
                </c:pt>
                <c:pt idx="562">
                  <c:v>-35.593900267801985</c:v>
                </c:pt>
                <c:pt idx="563">
                  <c:v>-35.85546208315882</c:v>
                </c:pt>
                <c:pt idx="564">
                  <c:v>-36.114709844667132</c:v>
                </c:pt>
                <c:pt idx="565">
                  <c:v>-36.378137622206026</c:v>
                </c:pt>
                <c:pt idx="566">
                  <c:v>-36.639226468785665</c:v>
                </c:pt>
                <c:pt idx="567">
                  <c:v>-36.904356538347486</c:v>
                </c:pt>
                <c:pt idx="568">
                  <c:v>-37.167124997114534</c:v>
                </c:pt>
                <c:pt idx="569">
                  <c:v>-37.43276267113751</c:v>
                </c:pt>
                <c:pt idx="570">
                  <c:v>-37.696036550011016</c:v>
                </c:pt>
                <c:pt idx="571">
                  <c:v>-37.964122587415787</c:v>
                </c:pt>
                <c:pt idx="572">
                  <c:v>-38.229807502777724</c:v>
                </c:pt>
                <c:pt idx="573">
                  <c:v>-38.498139481503216</c:v>
                </c:pt>
                <c:pt idx="574">
                  <c:v>-38.764071521453275</c:v>
                </c:pt>
                <c:pt idx="575">
                  <c:v>-39.034527622023091</c:v>
                </c:pt>
                <c:pt idx="576">
                  <c:v>-39.30255078009273</c:v>
                </c:pt>
                <c:pt idx="577">
                  <c:v>-40.411316899509025</c:v>
                </c:pt>
                <c:pt idx="578">
                  <c:v>-41.480448073208784</c:v>
                </c:pt>
                <c:pt idx="579">
                  <c:v>-43.697972934281722</c:v>
                </c:pt>
                <c:pt idx="580">
                  <c:v>-45.956835104211834</c:v>
                </c:pt>
                <c:pt idx="581">
                  <c:v>-48.251296528392615</c:v>
                </c:pt>
                <c:pt idx="582">
                  <c:v>-50.579799757122821</c:v>
                </c:pt>
                <c:pt idx="583">
                  <c:v>-52.937165478813043</c:v>
                </c:pt>
                <c:pt idx="584">
                  <c:v>-55.321382345101291</c:v>
                </c:pt>
                <c:pt idx="585">
                  <c:v>-57.727089878163426</c:v>
                </c:pt>
                <c:pt idx="586">
                  <c:v>-60.150552875480159</c:v>
                </c:pt>
                <c:pt idx="587">
                  <c:v>-62.589056579616638</c:v>
                </c:pt>
                <c:pt idx="588">
                  <c:v>-65.036454168981649</c:v>
                </c:pt>
                <c:pt idx="589">
                  <c:v>-67.491219150015667</c:v>
                </c:pt>
                <c:pt idx="590">
                  <c:v>-69.949360402793872</c:v>
                </c:pt>
                <c:pt idx="591">
                  <c:v>-72.408520009815135</c:v>
                </c:pt>
                <c:pt idx="592">
                  <c:v>-74.866313563571921</c:v>
                </c:pt>
                <c:pt idx="593">
                  <c:v>-77.32193031751298</c:v>
                </c:pt>
                <c:pt idx="594">
                  <c:v>-79.773655706305107</c:v>
                </c:pt>
                <c:pt idx="595">
                  <c:v>-82.221331930393404</c:v>
                </c:pt>
                <c:pt idx="596">
                  <c:v>-84.66414809200694</c:v>
                </c:pt>
                <c:pt idx="597">
                  <c:v>-87.102573983728888</c:v>
                </c:pt>
                <c:pt idx="598">
                  <c:v>-89.536143838430448</c:v>
                </c:pt>
                <c:pt idx="599">
                  <c:v>-91.965742698518952</c:v>
                </c:pt>
                <c:pt idx="600">
                  <c:v>-94.391337517030891</c:v>
                </c:pt>
                <c:pt idx="604">
                  <c:v>7.680819573435195E-2</c:v>
                </c:pt>
              </c:numCache>
            </c:numRef>
          </c:yVal>
          <c:smooth val="1"/>
          <c:extLst>
            <c:ext xmlns:c16="http://schemas.microsoft.com/office/drawing/2014/chart" uri="{C3380CC4-5D6E-409C-BE32-E72D297353CC}">
              <c16:uniqueId val="{00000004-DCB9-497D-B84D-5596E75D8DAE}"/>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CB9-497D-B84D-5596E75D8DA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Calculations'!$E$635</c:f>
              <c:numCache>
                <c:formatCode>0.00</c:formatCode>
                <c:ptCount val="1"/>
                <c:pt idx="0">
                  <c:v>15.915494309189533</c:v>
                </c:pt>
              </c:numCache>
            </c:numRef>
          </c:xVal>
          <c:yVal>
            <c:numRef>
              <c:f>'Stability Calculations'!$F$635</c:f>
              <c:numCache>
                <c:formatCode>0.00</c:formatCode>
                <c:ptCount val="1"/>
                <c:pt idx="0">
                  <c:v>45.183205103625504</c:v>
                </c:pt>
              </c:numCache>
            </c:numRef>
          </c:yVal>
          <c:smooth val="1"/>
          <c:extLst>
            <c:ext xmlns:c16="http://schemas.microsoft.com/office/drawing/2014/chart" uri="{C3380CC4-5D6E-409C-BE32-E72D297353CC}">
              <c16:uniqueId val="{00000006-DCB9-497D-B84D-5596E75D8DAE}"/>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CB9-497D-B84D-5596E75D8DA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0.157579151576134</c:v>
                </c:pt>
              </c:numCache>
            </c:numRef>
          </c:xVal>
          <c:yVal>
            <c:numRef>
              <c:f>'Stability Calculations'!$AG$624</c:f>
              <c:numCache>
                <c:formatCode>0.0000</c:formatCode>
                <c:ptCount val="1"/>
                <c:pt idx="0">
                  <c:v>79.250967628458568</c:v>
                </c:pt>
              </c:numCache>
            </c:numRef>
          </c:yVal>
          <c:smooth val="1"/>
          <c:extLst>
            <c:ext xmlns:c16="http://schemas.microsoft.com/office/drawing/2014/chart" uri="{C3380CC4-5D6E-409C-BE32-E72D297353CC}">
              <c16:uniqueId val="{00000008-DCB9-497D-B84D-5596E75D8DAE}"/>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CB9-497D-B84D-5596E75D8DAE}"/>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Calculations'!$L$4</c:f>
              <c:numCache>
                <c:formatCode>0</c:formatCode>
                <c:ptCount val="1"/>
                <c:pt idx="0">
                  <c:v>1308.1228199333864</c:v>
                </c:pt>
              </c:numCache>
            </c:numRef>
          </c:xVal>
          <c:yVal>
            <c:numRef>
              <c:f>'Stability Calculations'!$F$632</c:f>
              <c:numCache>
                <c:formatCode>0.00</c:formatCode>
                <c:ptCount val="1"/>
                <c:pt idx="0">
                  <c:v>36.896556928340672</c:v>
                </c:pt>
              </c:numCache>
            </c:numRef>
          </c:yVal>
          <c:smooth val="1"/>
          <c:extLst>
            <c:ext xmlns:c16="http://schemas.microsoft.com/office/drawing/2014/chart" uri="{C3380CC4-5D6E-409C-BE32-E72D297353CC}">
              <c16:uniqueId val="{0000000A-DCB9-497D-B84D-5596E75D8DAE}"/>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CB9-497D-B84D-5596E75D8DAE}"/>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Calculations'!$B$623</c:f>
              <c:numCache>
                <c:formatCode>0</c:formatCode>
                <c:ptCount val="1"/>
                <c:pt idx="0">
                  <c:v>318309.88618379069</c:v>
                </c:pt>
              </c:numCache>
            </c:numRef>
          </c:xVal>
          <c:yVal>
            <c:numRef>
              <c:f>'Stability Calculations'!$AG$623</c:f>
              <c:numCache>
                <c:formatCode>0.0000</c:formatCode>
                <c:ptCount val="1"/>
                <c:pt idx="0">
                  <c:v>-63.986004693788736</c:v>
                </c:pt>
              </c:numCache>
            </c:numRef>
          </c:yVal>
          <c:smooth val="1"/>
          <c:extLst>
            <c:ext xmlns:c16="http://schemas.microsoft.com/office/drawing/2014/chart" uri="{C3380CC4-5D6E-409C-BE32-E72D297353CC}">
              <c16:uniqueId val="{0000000C-DCB9-497D-B84D-5596E75D8DAE}"/>
            </c:ext>
          </c:extLst>
        </c:ser>
        <c:dLbls>
          <c:showLegendKey val="0"/>
          <c:showVal val="0"/>
          <c:showCatName val="0"/>
          <c:showSerName val="0"/>
          <c:showPercent val="0"/>
          <c:showBubbleSize val="0"/>
        </c:dLbls>
        <c:axId val="196130688"/>
        <c:axId val="19614105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Calculations'!$B$13:$B$613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Calculations'!$AI$13:$AI$617</c:f>
              <c:numCache>
                <c:formatCode>0.00</c:formatCode>
                <c:ptCount val="605"/>
                <c:pt idx="0">
                  <c:v>102.46952699807176</c:v>
                </c:pt>
                <c:pt idx="1">
                  <c:v>102.0306936910562</c:v>
                </c:pt>
                <c:pt idx="2">
                  <c:v>101.68990809011738</c:v>
                </c:pt>
                <c:pt idx="3">
                  <c:v>101.44498653996466</c:v>
                </c:pt>
                <c:pt idx="4">
                  <c:v>101.29439514402083</c:v>
                </c:pt>
                <c:pt idx="5">
                  <c:v>101.23693041518885</c:v>
                </c:pt>
                <c:pt idx="6">
                  <c:v>101.27236182230946</c:v>
                </c:pt>
                <c:pt idx="7">
                  <c:v>101.40090249878216</c:v>
                </c:pt>
                <c:pt idx="8">
                  <c:v>101.62324014925571</c:v>
                </c:pt>
                <c:pt idx="9">
                  <c:v>101.94091552321041</c:v>
                </c:pt>
                <c:pt idx="10">
                  <c:v>102.35570640123255</c:v>
                </c:pt>
                <c:pt idx="11">
                  <c:v>102.87009578838891</c:v>
                </c:pt>
                <c:pt idx="12">
                  <c:v>103.48735741735446</c:v>
                </c:pt>
                <c:pt idx="13">
                  <c:v>104.21024095387376</c:v>
                </c:pt>
                <c:pt idx="14">
                  <c:v>105.04295651432017</c:v>
                </c:pt>
                <c:pt idx="15">
                  <c:v>105.98907832995714</c:v>
                </c:pt>
                <c:pt idx="16">
                  <c:v>107.05256639423152</c:v>
                </c:pt>
                <c:pt idx="17">
                  <c:v>108.23698482621936</c:v>
                </c:pt>
                <c:pt idx="18">
                  <c:v>109.54602289381091</c:v>
                </c:pt>
                <c:pt idx="19">
                  <c:v>110.9819922589684</c:v>
                </c:pt>
                <c:pt idx="20">
                  <c:v>112.54680784817349</c:v>
                </c:pt>
                <c:pt idx="21">
                  <c:v>114.24037848768394</c:v>
                </c:pt>
                <c:pt idx="22">
                  <c:v>116.06149161588829</c:v>
                </c:pt>
                <c:pt idx="23">
                  <c:v>118.00590454185944</c:v>
                </c:pt>
                <c:pt idx="24">
                  <c:v>120.06773212475616</c:v>
                </c:pt>
                <c:pt idx="25">
                  <c:v>122.23740157979185</c:v>
                </c:pt>
                <c:pt idx="26">
                  <c:v>124.50310111185155</c:v>
                </c:pt>
                <c:pt idx="27">
                  <c:v>126.84869863007057</c:v>
                </c:pt>
                <c:pt idx="28">
                  <c:v>129.25596518246516</c:v>
                </c:pt>
                <c:pt idx="29">
                  <c:v>131.70261671128941</c:v>
                </c:pt>
                <c:pt idx="30">
                  <c:v>134.17025886442946</c:v>
                </c:pt>
                <c:pt idx="31">
                  <c:v>136.63191459151452</c:v>
                </c:pt>
                <c:pt idx="32">
                  <c:v>139.06560207252187</c:v>
                </c:pt>
                <c:pt idx="33">
                  <c:v>141.44676990623418</c:v>
                </c:pt>
                <c:pt idx="34">
                  <c:v>143.75606260573807</c:v>
                </c:pt>
                <c:pt idx="35">
                  <c:v>145.97326420946607</c:v>
                </c:pt>
                <c:pt idx="36">
                  <c:v>148.08258942657463</c:v>
                </c:pt>
                <c:pt idx="37">
                  <c:v>150.07188956102686</c:v>
                </c:pt>
                <c:pt idx="38">
                  <c:v>151.92902119726773</c:v>
                </c:pt>
                <c:pt idx="39">
                  <c:v>153.64804984081263</c:v>
                </c:pt>
                <c:pt idx="40">
                  <c:v>155.22330103082487</c:v>
                </c:pt>
                <c:pt idx="41">
                  <c:v>156.65206057666219</c:v>
                </c:pt>
                <c:pt idx="42">
                  <c:v>157.93299256021368</c:v>
                </c:pt>
                <c:pt idx="43">
                  <c:v>159.06658252873171</c:v>
                </c:pt>
                <c:pt idx="44">
                  <c:v>160.05352256017724</c:v>
                </c:pt>
                <c:pt idx="45">
                  <c:v>160.89555731000073</c:v>
                </c:pt>
                <c:pt idx="46">
                  <c:v>161.59429296793627</c:v>
                </c:pt>
                <c:pt idx="47">
                  <c:v>162.15162519778465</c:v>
                </c:pt>
                <c:pt idx="48">
                  <c:v>162.56892559271461</c:v>
                </c:pt>
                <c:pt idx="49">
                  <c:v>162.84739088842804</c:v>
                </c:pt>
                <c:pt idx="50">
                  <c:v>162.98749091843382</c:v>
                </c:pt>
                <c:pt idx="51">
                  <c:v>162.98908817563824</c:v>
                </c:pt>
                <c:pt idx="52">
                  <c:v>162.85127658845215</c:v>
                </c:pt>
                <c:pt idx="53">
                  <c:v>162.57238462370003</c:v>
                </c:pt>
                <c:pt idx="54">
                  <c:v>162.15017839099687</c:v>
                </c:pt>
                <c:pt idx="55">
                  <c:v>161.58040405946298</c:v>
                </c:pt>
                <c:pt idx="56">
                  <c:v>160.85933007531199</c:v>
                </c:pt>
                <c:pt idx="57">
                  <c:v>159.98116876413516</c:v>
                </c:pt>
                <c:pt idx="58">
                  <c:v>158.94034379319473</c:v>
                </c:pt>
                <c:pt idx="59">
                  <c:v>157.72895023449226</c:v>
                </c:pt>
                <c:pt idx="60">
                  <c:v>156.33968872440778</c:v>
                </c:pt>
                <c:pt idx="61">
                  <c:v>154.7637342386183</c:v>
                </c:pt>
                <c:pt idx="62">
                  <c:v>152.99081479551535</c:v>
                </c:pt>
                <c:pt idx="63">
                  <c:v>151.01287783544217</c:v>
                </c:pt>
                <c:pt idx="64">
                  <c:v>148.81842729564352</c:v>
                </c:pt>
                <c:pt idx="65">
                  <c:v>146.39835605383064</c:v>
                </c:pt>
                <c:pt idx="66">
                  <c:v>143.74310046259305</c:v>
                </c:pt>
                <c:pt idx="67">
                  <c:v>140.84465440510806</c:v>
                </c:pt>
                <c:pt idx="68">
                  <c:v>137.69526728969348</c:v>
                </c:pt>
                <c:pt idx="69">
                  <c:v>134.29105438474951</c:v>
                </c:pt>
                <c:pt idx="70">
                  <c:v>130.6295459543131</c:v>
                </c:pt>
                <c:pt idx="71">
                  <c:v>126.71338233346864</c:v>
                </c:pt>
                <c:pt idx="72">
                  <c:v>122.5480579439286</c:v>
                </c:pt>
                <c:pt idx="73">
                  <c:v>118.14606376805202</c:v>
                </c:pt>
                <c:pt idx="74">
                  <c:v>113.52337078185687</c:v>
                </c:pt>
                <c:pt idx="75">
                  <c:v>108.70364225416972</c:v>
                </c:pt>
                <c:pt idx="76">
                  <c:v>103.71450056013073</c:v>
                </c:pt>
                <c:pt idx="77">
                  <c:v>98.591629958432961</c:v>
                </c:pt>
                <c:pt idx="78">
                  <c:v>93.373397592821433</c:v>
                </c:pt>
                <c:pt idx="79">
                  <c:v>88.104747610108078</c:v>
                </c:pt>
                <c:pt idx="80">
                  <c:v>82.819921184280517</c:v>
                </c:pt>
                <c:pt idx="81">
                  <c:v>77.569247849590653</c:v>
                </c:pt>
                <c:pt idx="82">
                  <c:v>72.390183858642459</c:v>
                </c:pt>
                <c:pt idx="83">
                  <c:v>67.3238818415022</c:v>
                </c:pt>
                <c:pt idx="84">
                  <c:v>62.399135782135133</c:v>
                </c:pt>
                <c:pt idx="85">
                  <c:v>57.645809170519428</c:v>
                </c:pt>
                <c:pt idx="86">
                  <c:v>53.084075548915436</c:v>
                </c:pt>
                <c:pt idx="87">
                  <c:v>48.726441846099391</c:v>
                </c:pt>
                <c:pt idx="88">
                  <c:v>44.586034057735162</c:v>
                </c:pt>
                <c:pt idx="89">
                  <c:v>40.663107248129251</c:v>
                </c:pt>
                <c:pt idx="90">
                  <c:v>36.958208169951064</c:v>
                </c:pt>
                <c:pt idx="91">
                  <c:v>33.466061387372008</c:v>
                </c:pt>
                <c:pt idx="92">
                  <c:v>30.178998475629413</c:v>
                </c:pt>
                <c:pt idx="93">
                  <c:v>27.085472184765734</c:v>
                </c:pt>
                <c:pt idx="94">
                  <c:v>26.341292511881164</c:v>
                </c:pt>
                <c:pt idx="95">
                  <c:v>25.97112440011162</c:v>
                </c:pt>
                <c:pt idx="96">
                  <c:v>25.6079388158239</c:v>
                </c:pt>
                <c:pt idx="97">
                  <c:v>25.243337150349276</c:v>
                </c:pt>
                <c:pt idx="98">
                  <c:v>24.885599558765335</c:v>
                </c:pt>
                <c:pt idx="99">
                  <c:v>24.526363499363072</c:v>
                </c:pt>
                <c:pt idx="100">
                  <c:v>24.173876737360985</c:v>
                </c:pt>
                <c:pt idx="101">
                  <c:v>23.820082456007412</c:v>
                </c:pt>
                <c:pt idx="102">
                  <c:v>23.472916102919839</c:v>
                </c:pt>
                <c:pt idx="103">
                  <c:v>23.124111076413186</c:v>
                </c:pt>
                <c:pt idx="104">
                  <c:v>22.781825713860684</c:v>
                </c:pt>
                <c:pt idx="105">
                  <c:v>22.43809405407427</c:v>
                </c:pt>
                <c:pt idx="106">
                  <c:v>22.100767041666558</c:v>
                </c:pt>
                <c:pt idx="107">
                  <c:v>21.762167693068193</c:v>
                </c:pt>
                <c:pt idx="108">
                  <c:v>21.429852226367245</c:v>
                </c:pt>
                <c:pt idx="109">
                  <c:v>21.096196216225138</c:v>
                </c:pt>
                <c:pt idx="110">
                  <c:v>20.768706773041288</c:v>
                </c:pt>
                <c:pt idx="111">
                  <c:v>20.43960042463911</c:v>
                </c:pt>
                <c:pt idx="112">
                  <c:v>20.116554298229261</c:v>
                </c:pt>
                <c:pt idx="113">
                  <c:v>19.792063974246986</c:v>
                </c:pt>
                <c:pt idx="114">
                  <c:v>19.473521709977973</c:v>
                </c:pt>
                <c:pt idx="115">
                  <c:v>19.153489772364651</c:v>
                </c:pt>
                <c:pt idx="116">
                  <c:v>18.839296132881913</c:v>
                </c:pt>
                <c:pt idx="117">
                  <c:v>18.52357336910049</c:v>
                </c:pt>
                <c:pt idx="118">
                  <c:v>18.213581266323104</c:v>
                </c:pt>
                <c:pt idx="119">
                  <c:v>17.902212976182568</c:v>
                </c:pt>
                <c:pt idx="120">
                  <c:v>17.596462889393024</c:v>
                </c:pt>
                <c:pt idx="121">
                  <c:v>17.289293784385251</c:v>
                </c:pt>
                <c:pt idx="122">
                  <c:v>16.987632874042532</c:v>
                </c:pt>
                <c:pt idx="123">
                  <c:v>16.684340963753186</c:v>
                </c:pt>
                <c:pt idx="124">
                  <c:v>16.386455612535883</c:v>
                </c:pt>
                <c:pt idx="125">
                  <c:v>16.087085692898881</c:v>
                </c:pt>
                <c:pt idx="126">
                  <c:v>15.79301609775294</c:v>
                </c:pt>
                <c:pt idx="127">
                  <c:v>15.497431667469328</c:v>
                </c:pt>
                <c:pt idx="128">
                  <c:v>15.207043192633279</c:v>
                </c:pt>
                <c:pt idx="129">
                  <c:v>14.915112840598255</c:v>
                </c:pt>
                <c:pt idx="130">
                  <c:v>14.628275790942041</c:v>
                </c:pt>
                <c:pt idx="131">
                  <c:v>14.33987258581729</c:v>
                </c:pt>
                <c:pt idx="132">
                  <c:v>14.197553320911396</c:v>
                </c:pt>
                <c:pt idx="133">
                  <c:v>14.056461619576112</c:v>
                </c:pt>
                <c:pt idx="134">
                  <c:v>13.913266775215646</c:v>
                </c:pt>
                <c:pt idx="135">
                  <c:v>13.771316709472842</c:v>
                </c:pt>
                <c:pt idx="136">
                  <c:v>13.630590940096511</c:v>
                </c:pt>
                <c:pt idx="137">
                  <c:v>13.491069428823636</c:v>
                </c:pt>
                <c:pt idx="138">
                  <c:v>13.349605397037777</c:v>
                </c:pt>
                <c:pt idx="139">
                  <c:v>13.209359904748339</c:v>
                </c:pt>
                <c:pt idx="140">
                  <c:v>13.070312882689251</c:v>
                </c:pt>
                <c:pt idx="141">
                  <c:v>12.932444697385648</c:v>
                </c:pt>
                <c:pt idx="142">
                  <c:v>12.792508232653461</c:v>
                </c:pt>
                <c:pt idx="143">
                  <c:v>12.653766886164334</c:v>
                </c:pt>
                <c:pt idx="144">
                  <c:v>12.516200938634427</c:v>
                </c:pt>
                <c:pt idx="145">
                  <c:v>12.379791100092689</c:v>
                </c:pt>
                <c:pt idx="146">
                  <c:v>12.241398355867631</c:v>
                </c:pt>
                <c:pt idx="147">
                  <c:v>12.104176372793347</c:v>
                </c:pt>
                <c:pt idx="148">
                  <c:v>11.968105810732652</c:v>
                </c:pt>
                <c:pt idx="149">
                  <c:v>11.833167751446467</c:v>
                </c:pt>
                <c:pt idx="150">
                  <c:v>11.696262520371505</c:v>
                </c:pt>
                <c:pt idx="151">
                  <c:v>11.560504007225859</c:v>
                </c:pt>
                <c:pt idx="152">
                  <c:v>11.425873249396318</c:v>
                </c:pt>
                <c:pt idx="153">
                  <c:v>11.292351698706625</c:v>
                </c:pt>
                <c:pt idx="154">
                  <c:v>11.156816731077612</c:v>
                </c:pt>
                <c:pt idx="155">
                  <c:v>11.022405769191607</c:v>
                </c:pt>
                <c:pt idx="156">
                  <c:v>10.889100201045892</c:v>
                </c:pt>
                <c:pt idx="157">
                  <c:v>10.756881822305047</c:v>
                </c:pt>
                <c:pt idx="158">
                  <c:v>10.622668888685666</c:v>
                </c:pt>
                <c:pt idx="159">
                  <c:v>10.489557428301595</c:v>
                </c:pt>
                <c:pt idx="160">
                  <c:v>10.357529181126239</c:v>
                </c:pt>
                <c:pt idx="161">
                  <c:v>10.226566287905143</c:v>
                </c:pt>
                <c:pt idx="162">
                  <c:v>10.093685601074668</c:v>
                </c:pt>
                <c:pt idx="163">
                  <c:v>9.9618831011586622</c:v>
                </c:pt>
                <c:pt idx="164">
                  <c:v>9.8311409045792573</c:v>
                </c:pt>
                <c:pt idx="165">
                  <c:v>9.7014415208367382</c:v>
                </c:pt>
                <c:pt idx="166">
                  <c:v>9.5697272701174541</c:v>
                </c:pt>
                <c:pt idx="167">
                  <c:v>9.4390700234677638</c:v>
                </c:pt>
                <c:pt idx="168">
                  <c:v>9.3094522273470943</c:v>
                </c:pt>
                <c:pt idx="169">
                  <c:v>9.1808567148715383</c:v>
                </c:pt>
                <c:pt idx="170">
                  <c:v>9.0505396101805218</c:v>
                </c:pt>
                <c:pt idx="171">
                  <c:v>8.9212541161219292</c:v>
                </c:pt>
                <c:pt idx="172">
                  <c:v>8.7929831193060579</c:v>
                </c:pt>
                <c:pt idx="173">
                  <c:v>8.6657098832729957</c:v>
                </c:pt>
                <c:pt idx="174">
                  <c:v>8.5362467521258623</c:v>
                </c:pt>
                <c:pt idx="175">
                  <c:v>8.4077978690923487</c:v>
                </c:pt>
                <c:pt idx="176">
                  <c:v>8.2803463673487272</c:v>
                </c:pt>
                <c:pt idx="177">
                  <c:v>8.1538757528652468</c:v>
                </c:pt>
                <c:pt idx="178">
                  <c:v>8.0252957031804897</c:v>
                </c:pt>
                <c:pt idx="179">
                  <c:v>7.8977114743603352</c:v>
                </c:pt>
                <c:pt idx="180">
                  <c:v>7.7711064775596128</c:v>
                </c:pt>
                <c:pt idx="181">
                  <c:v>7.6454644916096015</c:v>
                </c:pt>
                <c:pt idx="182">
                  <c:v>7.5182853099588272</c:v>
                </c:pt>
                <c:pt idx="183">
                  <c:v>7.3920750798498318</c:v>
                </c:pt>
                <c:pt idx="184">
                  <c:v>7.2668177057410048</c:v>
                </c:pt>
                <c:pt idx="185">
                  <c:v>7.1424974482360994</c:v>
                </c:pt>
                <c:pt idx="186">
                  <c:v>7.0157243577636734</c:v>
                </c:pt>
                <c:pt idx="187">
                  <c:v>6.8899079662538441</c:v>
                </c:pt>
                <c:pt idx="188">
                  <c:v>6.7650323135432018</c:v>
                </c:pt>
                <c:pt idx="189">
                  <c:v>6.6410817945532585</c:v>
                </c:pt>
                <c:pt idx="190">
                  <c:v>6.5157017951231637</c:v>
                </c:pt>
                <c:pt idx="191">
                  <c:v>6.3912509388274827</c:v>
                </c:pt>
                <c:pt idx="192">
                  <c:v>6.2677137865842383</c:v>
                </c:pt>
                <c:pt idx="193">
                  <c:v>6.1450752418906518</c:v>
                </c:pt>
                <c:pt idx="194">
                  <c:v>6.0201402284757251</c:v>
                </c:pt>
                <c:pt idx="195">
                  <c:v>5.896120411806379</c:v>
                </c:pt>
                <c:pt idx="196">
                  <c:v>5.7730005409639489</c:v>
                </c:pt>
                <c:pt idx="197">
                  <c:v>5.6507657048611577</c:v>
                </c:pt>
                <c:pt idx="198">
                  <c:v>5.5267533398051683</c:v>
                </c:pt>
                <c:pt idx="199">
                  <c:v>5.4036347567121368</c:v>
                </c:pt>
                <c:pt idx="200">
                  <c:v>5.2813950834975856</c:v>
                </c:pt>
                <c:pt idx="201">
                  <c:v>5.160019779463056</c:v>
                </c:pt>
                <c:pt idx="202">
                  <c:v>5.0369211451821627</c:v>
                </c:pt>
                <c:pt idx="203">
                  <c:v>4.9146946735818915</c:v>
                </c:pt>
                <c:pt idx="204">
                  <c:v>4.7933258817282933</c:v>
                </c:pt>
                <c:pt idx="205">
                  <c:v>4.672800609252505</c:v>
                </c:pt>
                <c:pt idx="206">
                  <c:v>4.5501856835630292</c:v>
                </c:pt>
                <c:pt idx="207">
                  <c:v>4.4284269857881782</c:v>
                </c:pt>
                <c:pt idx="208">
                  <c:v>4.3075102862007384</c:v>
                </c:pt>
                <c:pt idx="209">
                  <c:v>4.187421672779152</c:v>
                </c:pt>
                <c:pt idx="210">
                  <c:v>4.0649022069763134</c:v>
                </c:pt>
                <c:pt idx="211">
                  <c:v>3.9432278919117607</c:v>
                </c:pt>
                <c:pt idx="212">
                  <c:v>3.8223846349872872</c:v>
                </c:pt>
                <c:pt idx="213">
                  <c:v>3.7023586598594136</c:v>
                </c:pt>
                <c:pt idx="214">
                  <c:v>3.5807680566653346</c:v>
                </c:pt>
                <c:pt idx="215">
                  <c:v>3.4599996624514233</c:v>
                </c:pt>
                <c:pt idx="216">
                  <c:v>3.3400398216712119</c:v>
                </c:pt>
                <c:pt idx="217">
                  <c:v>3.2208751846005441</c:v>
                </c:pt>
                <c:pt idx="218">
                  <c:v>3.0998024434298088</c:v>
                </c:pt>
                <c:pt idx="219">
                  <c:v>2.9795342767319255</c:v>
                </c:pt>
                <c:pt idx="220">
                  <c:v>2.8600573393291882</c:v>
                </c:pt>
                <c:pt idx="221">
                  <c:v>2.7413585851420521</c:v>
                </c:pt>
                <c:pt idx="222">
                  <c:v>2.6208047977445403</c:v>
                </c:pt>
                <c:pt idx="223">
                  <c:v>2.5010376251663047</c:v>
                </c:pt>
                <c:pt idx="224">
                  <c:v>2.3820440456645997</c:v>
                </c:pt>
                <c:pt idx="225">
                  <c:v>2.2638113294247546</c:v>
                </c:pt>
                <c:pt idx="226">
                  <c:v>2.1434085258999005</c:v>
                </c:pt>
                <c:pt idx="227">
                  <c:v>2.0237788109666042</c:v>
                </c:pt>
                <c:pt idx="228">
                  <c:v>1.9049093816327627</c:v>
                </c:pt>
                <c:pt idx="229">
                  <c:v>1.786787722733493</c:v>
                </c:pt>
                <c:pt idx="230">
                  <c:v>1.5470837336816885</c:v>
                </c:pt>
                <c:pt idx="231">
                  <c:v>1.4283575086283236</c:v>
                </c:pt>
                <c:pt idx="232">
                  <c:v>1.310365329400895</c:v>
                </c:pt>
                <c:pt idx="233">
                  <c:v>1.190320007668987</c:v>
                </c:pt>
                <c:pt idx="234">
                  <c:v>1.0710188268432432</c:v>
                </c:pt>
                <c:pt idx="235">
                  <c:v>0.95244948315863098</c:v>
                </c:pt>
                <c:pt idx="236">
                  <c:v>0.83459995049938129</c:v>
                </c:pt>
                <c:pt idx="237">
                  <c:v>0.71508893742068835</c:v>
                </c:pt>
                <c:pt idx="238">
                  <c:v>0.59630279937135811</c:v>
                </c:pt>
                <c:pt idx="239">
                  <c:v>0.47822960789758895</c:v>
                </c:pt>
                <c:pt idx="240">
                  <c:v>0.36085770326553757</c:v>
                </c:pt>
                <c:pt idx="241">
                  <c:v>0.24120128589933643</c:v>
                </c:pt>
                <c:pt idx="242">
                  <c:v>0.12225846954876829</c:v>
                </c:pt>
                <c:pt idx="243">
                  <c:v>4.0175094554228963E-3</c:v>
                </c:pt>
                <c:pt idx="244">
                  <c:v>-0.11353307365430965</c:v>
                </c:pt>
                <c:pt idx="245">
                  <c:v>-0.23298684166240946</c:v>
                </c:pt>
                <c:pt idx="246">
                  <c:v>-0.35174273122746058</c:v>
                </c:pt>
                <c:pt idx="247">
                  <c:v>-0.46981218907572497</c:v>
                </c:pt>
                <c:pt idx="248">
                  <c:v>-0.58720640315672767</c:v>
                </c:pt>
                <c:pt idx="249">
                  <c:v>-0.70677517246446087</c:v>
                </c:pt>
                <c:pt idx="250">
                  <c:v>-0.8256583231151069</c:v>
                </c:pt>
                <c:pt idx="251">
                  <c:v>-0.9438670835597236</c:v>
                </c:pt>
                <c:pt idx="252">
                  <c:v>-1.0614124278264683</c:v>
                </c:pt>
                <c:pt idx="253">
                  <c:v>-1.1807720250609464</c:v>
                </c:pt>
                <c:pt idx="254">
                  <c:v>-1.2994621761000928</c:v>
                </c:pt>
                <c:pt idx="255">
                  <c:v>-1.4174937904215881</c:v>
                </c:pt>
                <c:pt idx="256">
                  <c:v>-1.5348775305088509</c:v>
                </c:pt>
                <c:pt idx="257">
                  <c:v>-1.6546399548454644</c:v>
                </c:pt>
                <c:pt idx="258">
                  <c:v>-1.7737424681342588</c:v>
                </c:pt>
                <c:pt idx="259">
                  <c:v>-1.8921958173889379</c:v>
                </c:pt>
                <c:pt idx="260">
                  <c:v>-2.0100105053850825</c:v>
                </c:pt>
                <c:pt idx="261">
                  <c:v>-2.1298528982181608</c:v>
                </c:pt>
                <c:pt idx="262">
                  <c:v>-2.2490487378668718</c:v>
                </c:pt>
                <c:pt idx="263">
                  <c:v>-2.3676085106174583</c:v>
                </c:pt>
                <c:pt idx="264">
                  <c:v>-2.4855424642716173</c:v>
                </c:pt>
                <c:pt idx="265">
                  <c:v>-2.6054607658936391</c:v>
                </c:pt>
                <c:pt idx="266">
                  <c:v>-2.7247460457327008</c:v>
                </c:pt>
                <c:pt idx="267">
                  <c:v>-2.8434085199982064</c:v>
                </c:pt>
                <c:pt idx="268">
                  <c:v>-2.9614581724942468</c:v>
                </c:pt>
                <c:pt idx="269">
                  <c:v>-3.0817342559712415</c:v>
                </c:pt>
                <c:pt idx="270">
                  <c:v>-3.2013880327650099</c:v>
                </c:pt>
                <c:pt idx="271">
                  <c:v>-3.3204295115890829</c:v>
                </c:pt>
                <c:pt idx="272">
                  <c:v>-3.4388684729756278</c:v>
                </c:pt>
                <c:pt idx="273">
                  <c:v>-3.5594867816589328</c:v>
                </c:pt>
                <c:pt idx="274">
                  <c:v>-3.6794938484213446</c:v>
                </c:pt>
                <c:pt idx="275">
                  <c:v>-3.7988994605371715</c:v>
                </c:pt>
                <c:pt idx="276">
                  <c:v>-3.9177131817801296</c:v>
                </c:pt>
                <c:pt idx="277">
                  <c:v>-4.0383900573102096</c:v>
                </c:pt>
                <c:pt idx="278">
                  <c:v>-4.1584696896842672</c:v>
                </c:pt>
                <c:pt idx="279">
                  <c:v>-4.2779615694247468</c:v>
                </c:pt>
                <c:pt idx="280">
                  <c:v>-4.3968749705562971</c:v>
                </c:pt>
                <c:pt idx="281">
                  <c:v>-4.5184168254880319</c:v>
                </c:pt>
                <c:pt idx="282">
                  <c:v>-4.639367593602401</c:v>
                </c:pt>
                <c:pt idx="283">
                  <c:v>-4.7597366493793913</c:v>
                </c:pt>
                <c:pt idx="284">
                  <c:v>-4.8795331523513426</c:v>
                </c:pt>
                <c:pt idx="285">
                  <c:v>-5.0011188815141736</c:v>
                </c:pt>
                <c:pt idx="286">
                  <c:v>-5.1221277658437145</c:v>
                </c:pt>
                <c:pt idx="287">
                  <c:v>-5.2425688668593295</c:v>
                </c:pt>
                <c:pt idx="288">
                  <c:v>-5.3624510387029147</c:v>
                </c:pt>
                <c:pt idx="289">
                  <c:v>-5.4848618801625548</c:v>
                </c:pt>
                <c:pt idx="290">
                  <c:v>-5.6067027407077887</c:v>
                </c:pt>
                <c:pt idx="291">
                  <c:v>-5.7279825367074864</c:v>
                </c:pt>
                <c:pt idx="292">
                  <c:v>-5.8487099796510051</c:v>
                </c:pt>
                <c:pt idx="293">
                  <c:v>-5.9716645716646894</c:v>
                </c:pt>
                <c:pt idx="294">
                  <c:v>-6.0940588029367007</c:v>
                </c:pt>
                <c:pt idx="295">
                  <c:v>-6.2159013740896114</c:v>
                </c:pt>
                <c:pt idx="296">
                  <c:v>-6.3372007855443258</c:v>
                </c:pt>
                <c:pt idx="297">
                  <c:v>-6.4606869713727804</c:v>
                </c:pt>
                <c:pt idx="298">
                  <c:v>-6.5836225449910444</c:v>
                </c:pt>
                <c:pt idx="299">
                  <c:v>-6.7060159825258836</c:v>
                </c:pt>
                <c:pt idx="300">
                  <c:v>-6.8278755648817082</c:v>
                </c:pt>
                <c:pt idx="301">
                  <c:v>-6.9518835731044533</c:v>
                </c:pt>
                <c:pt idx="302">
                  <c:v>-7.0753507738218673</c:v>
                </c:pt>
                <c:pt idx="303">
                  <c:v>-7.1982854117574959</c:v>
                </c:pt>
                <c:pt idx="304">
                  <c:v>-7.3206955416386563</c:v>
                </c:pt>
                <c:pt idx="305">
                  <c:v>-7.4456955291977067</c:v>
                </c:pt>
                <c:pt idx="306">
                  <c:v>-7.5701604434495096</c:v>
                </c:pt>
                <c:pt idx="307">
                  <c:v>-7.6940983841695925</c:v>
                </c:pt>
                <c:pt idx="308">
                  <c:v>-7.8175172637465096</c:v>
                </c:pt>
                <c:pt idx="309">
                  <c:v>-7.9430093722257595</c:v>
                </c:pt>
                <c:pt idx="310">
                  <c:v>-8.0679764108172947</c:v>
                </c:pt>
                <c:pt idx="311">
                  <c:v>-8.192426231650046</c:v>
                </c:pt>
                <c:pt idx="312">
                  <c:v>-8.3163665052592819</c:v>
                </c:pt>
                <c:pt idx="313">
                  <c:v>-8.4428092041549405</c:v>
                </c:pt>
                <c:pt idx="314">
                  <c:v>-8.5687329294152335</c:v>
                </c:pt>
                <c:pt idx="315">
                  <c:v>-8.6941453668851807</c:v>
                </c:pt>
                <c:pt idx="316">
                  <c:v>-8.8190540241438384</c:v>
                </c:pt>
                <c:pt idx="317">
                  <c:v>-8.946422439517562</c:v>
                </c:pt>
                <c:pt idx="318">
                  <c:v>-9.0732781746549165</c:v>
                </c:pt>
                <c:pt idx="319">
                  <c:v>-9.1996287379187152</c:v>
                </c:pt>
                <c:pt idx="320">
                  <c:v>-9.3254814631071383</c:v>
                </c:pt>
                <c:pt idx="321">
                  <c:v>-9.4537531292226902</c:v>
                </c:pt>
                <c:pt idx="322">
                  <c:v>-9.5815185304498414</c:v>
                </c:pt>
                <c:pt idx="323">
                  <c:v>-9.7087849883453714</c:v>
                </c:pt>
                <c:pt idx="324">
                  <c:v>-9.8355596539238661</c:v>
                </c:pt>
                <c:pt idx="325">
                  <c:v>-9.9647141559479167</c:v>
                </c:pt>
                <c:pt idx="326">
                  <c:v>-10.093368861530223</c:v>
                </c:pt>
                <c:pt idx="327">
                  <c:v>-10.22153089785408</c:v>
                </c:pt>
                <c:pt idx="328">
                  <c:v>-10.349207225853007</c:v>
                </c:pt>
                <c:pt idx="329">
                  <c:v>-10.479442873266692</c:v>
                </c:pt>
                <c:pt idx="330">
                  <c:v>-10.60918354353575</c:v>
                </c:pt>
                <c:pt idx="331">
                  <c:v>-10.73843619793098</c:v>
                </c:pt>
                <c:pt idx="332">
                  <c:v>-10.867207634920675</c:v>
                </c:pt>
                <c:pt idx="333">
                  <c:v>-10.998283687913187</c:v>
                </c:pt>
                <c:pt idx="334">
                  <c:v>-11.128871256767383</c:v>
                </c:pt>
                <c:pt idx="335">
                  <c:v>-11.258977095241107</c:v>
                </c:pt>
                <c:pt idx="336">
                  <c:v>-11.388607799069689</c:v>
                </c:pt>
                <c:pt idx="337">
                  <c:v>-11.520929715094127</c:v>
                </c:pt>
                <c:pt idx="338">
                  <c:v>-11.652766446615658</c:v>
                </c:pt>
                <c:pt idx="339">
                  <c:v>-11.784124599271138</c:v>
                </c:pt>
                <c:pt idx="340">
                  <c:v>-11.91501062364631</c:v>
                </c:pt>
                <c:pt idx="341">
                  <c:v>-12.048545265805785</c:v>
                </c:pt>
                <c:pt idx="342">
                  <c:v>-12.181598128048904</c:v>
                </c:pt>
                <c:pt idx="343">
                  <c:v>-12.314175658218915</c:v>
                </c:pt>
                <c:pt idx="344">
                  <c:v>-12.446284152421185</c:v>
                </c:pt>
                <c:pt idx="345">
                  <c:v>-12.580795424067446</c:v>
                </c:pt>
                <c:pt idx="346">
                  <c:v>-12.714829804939541</c:v>
                </c:pt>
                <c:pt idx="347">
                  <c:v>-12.848393548821377</c:v>
                </c:pt>
                <c:pt idx="348">
                  <c:v>-12.981492762250269</c:v>
                </c:pt>
                <c:pt idx="349">
                  <c:v>-13.117362867150945</c:v>
                </c:pt>
                <c:pt idx="350">
                  <c:v>-13.252758022018583</c:v>
                </c:pt>
                <c:pt idx="351">
                  <c:v>-13.387684337692662</c:v>
                </c:pt>
                <c:pt idx="352">
                  <c:v>-13.522147780706689</c:v>
                </c:pt>
                <c:pt idx="353">
                  <c:v>-13.659339282400651</c:v>
                </c:pt>
                <c:pt idx="354">
                  <c:v>-13.796057818735079</c:v>
                </c:pt>
                <c:pt idx="355">
                  <c:v>-13.932309349166644</c:v>
                </c:pt>
                <c:pt idx="356">
                  <c:v>-14.068099692098855</c:v>
                </c:pt>
                <c:pt idx="357">
                  <c:v>-14.206380111199792</c:v>
                </c:pt>
                <c:pt idx="358">
                  <c:v>-14.344190862698525</c:v>
                </c:pt>
                <c:pt idx="359">
                  <c:v>-14.481537723457365</c:v>
                </c:pt>
                <c:pt idx="360">
                  <c:v>-14.618426333575087</c:v>
                </c:pt>
                <c:pt idx="361">
                  <c:v>-14.758155941619606</c:v>
                </c:pt>
                <c:pt idx="362">
                  <c:v>-14.897416420761488</c:v>
                </c:pt>
                <c:pt idx="363">
                  <c:v>-15.036213409507269</c:v>
                </c:pt>
                <c:pt idx="364">
                  <c:v>-15.174552412558199</c:v>
                </c:pt>
                <c:pt idx="365">
                  <c:v>-15.315497846376473</c:v>
                </c:pt>
                <c:pt idx="366">
                  <c:v>-15.455975934071006</c:v>
                </c:pt>
                <c:pt idx="367">
                  <c:v>-15.595992146730822</c:v>
                </c:pt>
                <c:pt idx="368">
                  <c:v>-15.735551825578085</c:v>
                </c:pt>
                <c:pt idx="369">
                  <c:v>-15.878056681849102</c:v>
                </c:pt>
                <c:pt idx="370">
                  <c:v>-16.020093347524181</c:v>
                </c:pt>
                <c:pt idx="371">
                  <c:v>-16.16166716561608</c:v>
                </c:pt>
                <c:pt idx="372">
                  <c:v>-16.302783352034623</c:v>
                </c:pt>
                <c:pt idx="373">
                  <c:v>-16.446613283108235</c:v>
                </c:pt>
                <c:pt idx="374">
                  <c:v>-16.589975353487461</c:v>
                </c:pt>
                <c:pt idx="375">
                  <c:v>-16.732874751293309</c:v>
                </c:pt>
                <c:pt idx="376">
                  <c:v>-16.875316541230632</c:v>
                </c:pt>
                <c:pt idx="377">
                  <c:v>-17.020799078106222</c:v>
                </c:pt>
                <c:pt idx="378">
                  <c:v>-17.165811559268576</c:v>
                </c:pt>
                <c:pt idx="379">
                  <c:v>-17.31035905319348</c:v>
                </c:pt>
                <c:pt idx="380">
                  <c:v>-17.454446507592849</c:v>
                </c:pt>
                <c:pt idx="381">
                  <c:v>-17.601164605349283</c:v>
                </c:pt>
                <c:pt idx="382">
                  <c:v>-17.747412718100406</c:v>
                </c:pt>
                <c:pt idx="383">
                  <c:v>-17.893195752138894</c:v>
                </c:pt>
                <c:pt idx="384">
                  <c:v>-18.038518497079508</c:v>
                </c:pt>
                <c:pt idx="385">
                  <c:v>-18.186970146474948</c:v>
                </c:pt>
                <c:pt idx="386">
                  <c:v>-18.334948232797586</c:v>
                </c:pt>
                <c:pt idx="387">
                  <c:v>-18.482457551443645</c:v>
                </c:pt>
                <c:pt idx="388">
                  <c:v>-18.629502783689645</c:v>
                </c:pt>
                <c:pt idx="389">
                  <c:v>-18.779450884996123</c:v>
                </c:pt>
                <c:pt idx="390">
                  <c:v>-18.928922889568213</c:v>
                </c:pt>
                <c:pt idx="391">
                  <c:v>-19.077923459744113</c:v>
                </c:pt>
                <c:pt idx="392">
                  <c:v>-19.226457147102082</c:v>
                </c:pt>
                <c:pt idx="393">
                  <c:v>-19.37784859726338</c:v>
                </c:pt>
                <c:pt idx="394">
                  <c:v>-19.528761241214937</c:v>
                </c:pt>
                <c:pt idx="395">
                  <c:v>-19.679199606054567</c:v>
                </c:pt>
                <c:pt idx="396">
                  <c:v>-19.829168111661062</c:v>
                </c:pt>
                <c:pt idx="397">
                  <c:v>-19.982294872848257</c:v>
                </c:pt>
                <c:pt idx="398">
                  <c:v>-20.134937739588906</c:v>
                </c:pt>
                <c:pt idx="399">
                  <c:v>-20.287101132333447</c:v>
                </c:pt>
                <c:pt idx="400">
                  <c:v>-20.438789367070797</c:v>
                </c:pt>
                <c:pt idx="401">
                  <c:v>-20.593414738189409</c:v>
                </c:pt>
                <c:pt idx="402">
                  <c:v>-20.747552064402328</c:v>
                </c:pt>
                <c:pt idx="403">
                  <c:v>-20.901205641868216</c:v>
                </c:pt>
                <c:pt idx="404">
                  <c:v>-21.054379665725548</c:v>
                </c:pt>
                <c:pt idx="405">
                  <c:v>-21.210611998127376</c:v>
                </c:pt>
                <c:pt idx="406">
                  <c:v>-21.366350863055573</c:v>
                </c:pt>
                <c:pt idx="407">
                  <c:v>-21.521600445391272</c:v>
                </c:pt>
                <c:pt idx="408">
                  <c:v>-21.676364832165632</c:v>
                </c:pt>
                <c:pt idx="409">
                  <c:v>-21.834303723166101</c:v>
                </c:pt>
                <c:pt idx="410">
                  <c:v>-21.99174248241917</c:v>
                </c:pt>
                <c:pt idx="411">
                  <c:v>-22.148685195365005</c:v>
                </c:pt>
                <c:pt idx="412">
                  <c:v>-22.305135852542918</c:v>
                </c:pt>
                <c:pt idx="413">
                  <c:v>-22.464708162686293</c:v>
                </c:pt>
                <c:pt idx="414">
                  <c:v>-22.623773499110541</c:v>
                </c:pt>
                <c:pt idx="415">
                  <c:v>-22.782335846540377</c:v>
                </c:pt>
                <c:pt idx="416">
                  <c:v>-22.940399097944152</c:v>
                </c:pt>
                <c:pt idx="417">
                  <c:v>-23.101693382788113</c:v>
                </c:pt>
                <c:pt idx="418">
                  <c:v>-23.262472620826401</c:v>
                </c:pt>
                <c:pt idx="419">
                  <c:v>-23.422740707699091</c:v>
                </c:pt>
                <c:pt idx="420">
                  <c:v>-23.58250145024482</c:v>
                </c:pt>
                <c:pt idx="421">
                  <c:v>-23.745277705956397</c:v>
                </c:pt>
                <c:pt idx="422">
                  <c:v>-23.907531681322183</c:v>
                </c:pt>
                <c:pt idx="423">
                  <c:v>-24.069267171629264</c:v>
                </c:pt>
                <c:pt idx="424">
                  <c:v>-24.230487886832066</c:v>
                </c:pt>
                <c:pt idx="425">
                  <c:v>-24.39514550880196</c:v>
                </c:pt>
                <c:pt idx="426">
                  <c:v>-24.559270332778766</c:v>
                </c:pt>
                <c:pt idx="427">
                  <c:v>-24.722866087894829</c:v>
                </c:pt>
                <c:pt idx="428">
                  <c:v>-24.885936420578076</c:v>
                </c:pt>
                <c:pt idx="429">
                  <c:v>-25.052226286058357</c:v>
                </c:pt>
                <c:pt idx="430">
                  <c:v>-25.217973690010524</c:v>
                </c:pt>
                <c:pt idx="431">
                  <c:v>-25.383182285000714</c:v>
                </c:pt>
                <c:pt idx="432">
                  <c:v>-25.547855644023372</c:v>
                </c:pt>
                <c:pt idx="433">
                  <c:v>-25.715690129371296</c:v>
                </c:pt>
                <c:pt idx="434">
                  <c:v>-25.882972295736494</c:v>
                </c:pt>
                <c:pt idx="435">
                  <c:v>-26.049705721344765</c:v>
                </c:pt>
                <c:pt idx="436">
                  <c:v>-26.215893908110019</c:v>
                </c:pt>
                <c:pt idx="437">
                  <c:v>-26.385488515839967</c:v>
                </c:pt>
                <c:pt idx="438">
                  <c:v>-26.554518733978739</c:v>
                </c:pt>
                <c:pt idx="439">
                  <c:v>-26.722988088481827</c:v>
                </c:pt>
                <c:pt idx="440">
                  <c:v>-26.890900031831762</c:v>
                </c:pt>
                <c:pt idx="441">
                  <c:v>-27.062153878430053</c:v>
                </c:pt>
                <c:pt idx="442">
                  <c:v>-27.232831104586211</c:v>
                </c:pt>
                <c:pt idx="443">
                  <c:v>-27.402935186397087</c:v>
                </c:pt>
                <c:pt idx="444">
                  <c:v>-27.572469529470254</c:v>
                </c:pt>
                <c:pt idx="445">
                  <c:v>-27.745281174101848</c:v>
                </c:pt>
                <c:pt idx="446">
                  <c:v>-27.917503809390297</c:v>
                </c:pt>
                <c:pt idx="447">
                  <c:v>-28.089140865137324</c:v>
                </c:pt>
                <c:pt idx="448">
                  <c:v>-28.260195703751776</c:v>
                </c:pt>
                <c:pt idx="449">
                  <c:v>-28.43475479114295</c:v>
                </c:pt>
                <c:pt idx="450">
                  <c:v>-28.608710316835641</c:v>
                </c:pt>
                <c:pt idx="451">
                  <c:v>-28.782065685850512</c:v>
                </c:pt>
                <c:pt idx="452">
                  <c:v>-28.954824238563305</c:v>
                </c:pt>
                <c:pt idx="453">
                  <c:v>-29.130872342137081</c:v>
                </c:pt>
                <c:pt idx="454">
                  <c:v>-29.306303222991318</c:v>
                </c:pt>
                <c:pt idx="455">
                  <c:v>-29.481120257262688</c:v>
                </c:pt>
                <c:pt idx="456">
                  <c:v>-29.655326759508512</c:v>
                </c:pt>
                <c:pt idx="457">
                  <c:v>-29.833038419500639</c:v>
                </c:pt>
                <c:pt idx="458">
                  <c:v>-30.010117066982644</c:v>
                </c:pt>
                <c:pt idx="459">
                  <c:v>-30.186566071003114</c:v>
                </c:pt>
                <c:pt idx="460">
                  <c:v>-30.362388741768399</c:v>
                </c:pt>
                <c:pt idx="461">
                  <c:v>-30.541642350390561</c:v>
                </c:pt>
                <c:pt idx="462">
                  <c:v>-30.720247081780826</c:v>
                </c:pt>
                <c:pt idx="463">
                  <c:v>-30.89820630338221</c:v>
                </c:pt>
                <c:pt idx="464">
                  <c:v>-31.075523326611972</c:v>
                </c:pt>
                <c:pt idx="465">
                  <c:v>-31.256334664301932</c:v>
                </c:pt>
                <c:pt idx="466">
                  <c:v>-31.436480194562563</c:v>
                </c:pt>
                <c:pt idx="467">
                  <c:v>-31.615963297292353</c:v>
                </c:pt>
                <c:pt idx="468">
                  <c:v>-31.794787299059493</c:v>
                </c:pt>
                <c:pt idx="469">
                  <c:v>-31.977028006339935</c:v>
                </c:pt>
                <c:pt idx="470">
                  <c:v>-32.15858595733863</c:v>
                </c:pt>
                <c:pt idx="471">
                  <c:v>-32.339464551151138</c:v>
                </c:pt>
                <c:pt idx="472">
                  <c:v>-32.519667136271636</c:v>
                </c:pt>
                <c:pt idx="473">
                  <c:v>-32.70347609575245</c:v>
                </c:pt>
                <c:pt idx="474">
                  <c:v>-32.886583323607084</c:v>
                </c:pt>
                <c:pt idx="475">
                  <c:v>-33.068992260520901</c:v>
                </c:pt>
                <c:pt idx="476">
                  <c:v>-33.250706299029673</c:v>
                </c:pt>
                <c:pt idx="477">
                  <c:v>-33.435942657833948</c:v>
                </c:pt>
                <c:pt idx="478">
                  <c:v>-33.62045836610244</c:v>
                </c:pt>
                <c:pt idx="479">
                  <c:v>-33.804256913620407</c:v>
                </c:pt>
                <c:pt idx="480">
                  <c:v>-33.987341744486315</c:v>
                </c:pt>
                <c:pt idx="481">
                  <c:v>-34.173864690012749</c:v>
                </c:pt>
                <c:pt idx="482">
                  <c:v>-34.359648162522319</c:v>
                </c:pt>
                <c:pt idx="483">
                  <c:v>-34.544695709035409</c:v>
                </c:pt>
                <c:pt idx="484">
                  <c:v>-34.729010833322832</c:v>
                </c:pt>
                <c:pt idx="485">
                  <c:v>-34.916807358320341</c:v>
                </c:pt>
                <c:pt idx="486">
                  <c:v>-35.103844696979507</c:v>
                </c:pt>
                <c:pt idx="487">
                  <c:v>-35.290126469505879</c:v>
                </c:pt>
                <c:pt idx="488">
                  <c:v>-35.475656255121862</c:v>
                </c:pt>
                <c:pt idx="489">
                  <c:v>-35.664831044422471</c:v>
                </c:pt>
                <c:pt idx="490">
                  <c:v>-35.853225054221923</c:v>
                </c:pt>
                <c:pt idx="491">
                  <c:v>-36.040842001452461</c:v>
                </c:pt>
                <c:pt idx="492">
                  <c:v>-36.227685564048898</c:v>
                </c:pt>
                <c:pt idx="493">
                  <c:v>-36.418080421722834</c:v>
                </c:pt>
                <c:pt idx="494">
                  <c:v>-36.607673153247617</c:v>
                </c:pt>
                <c:pt idx="495">
                  <c:v>-36.79646758125233</c:v>
                </c:pt>
                <c:pt idx="496">
                  <c:v>-36.984467491282231</c:v>
                </c:pt>
                <c:pt idx="497">
                  <c:v>-37.176046359254542</c:v>
                </c:pt>
                <c:pt idx="498">
                  <c:v>-37.366801012758884</c:v>
                </c:pt>
                <c:pt idx="499">
                  <c:v>-37.55673539677818</c:v>
                </c:pt>
                <c:pt idx="500">
                  <c:v>-37.745853420925641</c:v>
                </c:pt>
                <c:pt idx="501">
                  <c:v>-37.938572909892912</c:v>
                </c:pt>
                <c:pt idx="502">
                  <c:v>-38.130445411239378</c:v>
                </c:pt>
                <c:pt idx="503">
                  <c:v>-38.321475009147491</c:v>
                </c:pt>
                <c:pt idx="504">
                  <c:v>-38.511665753934068</c:v>
                </c:pt>
                <c:pt idx="505">
                  <c:v>-38.705358152396172</c:v>
                </c:pt>
                <c:pt idx="506">
                  <c:v>-38.898181217924048</c:v>
                </c:pt>
                <c:pt idx="507">
                  <c:v>-39.090139183224153</c:v>
                </c:pt>
                <c:pt idx="508">
                  <c:v>-39.281236248490671</c:v>
                </c:pt>
                <c:pt idx="509">
                  <c:v>-39.475850466005028</c:v>
                </c:pt>
                <c:pt idx="510">
                  <c:v>-39.669572442158255</c:v>
                </c:pt>
                <c:pt idx="511">
                  <c:v>-39.862406575099868</c:v>
                </c:pt>
                <c:pt idx="512">
                  <c:v>-40.054357231565177</c:v>
                </c:pt>
                <c:pt idx="513">
                  <c:v>-40.249948558436301</c:v>
                </c:pt>
                <c:pt idx="514">
                  <c:v>-40.44462318056577</c:v>
                </c:pt>
                <c:pt idx="515">
                  <c:v>-40.63838568636649</c:v>
                </c:pt>
                <c:pt idx="516">
                  <c:v>-40.831240633597162</c:v>
                </c:pt>
                <c:pt idx="517">
                  <c:v>-41.027627790471172</c:v>
                </c:pt>
                <c:pt idx="518">
                  <c:v>-41.223074419514091</c:v>
                </c:pt>
                <c:pt idx="519">
                  <c:v>-41.417585308328398</c:v>
                </c:pt>
                <c:pt idx="520">
                  <c:v>-41.61116521441167</c:v>
                </c:pt>
                <c:pt idx="521">
                  <c:v>-41.80827808351691</c:v>
                </c:pt>
                <c:pt idx="522">
                  <c:v>-42.004426249159252</c:v>
                </c:pt>
                <c:pt idx="523">
                  <c:v>-42.199614714741557</c:v>
                </c:pt>
                <c:pt idx="524">
                  <c:v>-42.393848453810222</c:v>
                </c:pt>
                <c:pt idx="525">
                  <c:v>-42.59161116559136</c:v>
                </c:pt>
                <c:pt idx="526">
                  <c:v>-42.788384721649805</c:v>
                </c:pt>
                <c:pt idx="527">
                  <c:v>-42.984174357524097</c:v>
                </c:pt>
                <c:pt idx="528">
                  <c:v>-43.178985278823859</c:v>
                </c:pt>
                <c:pt idx="529">
                  <c:v>-43.37731653555241</c:v>
                </c:pt>
                <c:pt idx="530">
                  <c:v>-43.574633986092721</c:v>
                </c:pt>
                <c:pt idx="531">
                  <c:v>-43.770943114079955</c:v>
                </c:pt>
                <c:pt idx="532">
                  <c:v>-43.966249372815014</c:v>
                </c:pt>
                <c:pt idx="533">
                  <c:v>-44.165165161229424</c:v>
                </c:pt>
                <c:pt idx="534">
                  <c:v>-44.363041305720486</c:v>
                </c:pt>
                <c:pt idx="535">
                  <c:v>-44.559883562386517</c:v>
                </c:pt>
                <c:pt idx="536">
                  <c:v>-44.755697656173595</c:v>
                </c:pt>
                <c:pt idx="537">
                  <c:v>-44.954899968922007</c:v>
                </c:pt>
                <c:pt idx="538">
                  <c:v>-45.153038916268542</c:v>
                </c:pt>
                <c:pt idx="539">
                  <c:v>-45.350120523847067</c:v>
                </c:pt>
                <c:pt idx="540">
                  <c:v>-45.546150785091129</c:v>
                </c:pt>
                <c:pt idx="541">
                  <c:v>-45.745746779930101</c:v>
                </c:pt>
                <c:pt idx="542">
                  <c:v>-45.94425358456823</c:v>
                </c:pt>
                <c:pt idx="543">
                  <c:v>-46.141677526658953</c:v>
                </c:pt>
                <c:pt idx="544">
                  <c:v>-46.338024900102084</c:v>
                </c:pt>
                <c:pt idx="545">
                  <c:v>-46.537812753118828</c:v>
                </c:pt>
                <c:pt idx="546">
                  <c:v>-46.736486807896625</c:v>
                </c:pt>
                <c:pt idx="547">
                  <c:v>-46.934053698353551</c:v>
                </c:pt>
                <c:pt idx="548">
                  <c:v>-47.13052002278522</c:v>
                </c:pt>
                <c:pt idx="549">
                  <c:v>-47.330396735539921</c:v>
                </c:pt>
                <c:pt idx="550">
                  <c:v>-47.529135261322438</c:v>
                </c:pt>
                <c:pt idx="551">
                  <c:v>-47.726742552816148</c:v>
                </c:pt>
                <c:pt idx="552">
                  <c:v>-47.92322552482571</c:v>
                </c:pt>
                <c:pt idx="553">
                  <c:v>-48.123176648216941</c:v>
                </c:pt>
                <c:pt idx="554">
                  <c:v>-48.321964433410358</c:v>
                </c:pt>
                <c:pt idx="555">
                  <c:v>-48.519596173372804</c:v>
                </c:pt>
                <c:pt idx="556">
                  <c:v>-48.716079120471875</c:v>
                </c:pt>
                <c:pt idx="557">
                  <c:v>-49.114711528621967</c:v>
                </c:pt>
                <c:pt idx="558">
                  <c:v>-49.508622140325485</c:v>
                </c:pt>
                <c:pt idx="559">
                  <c:v>-49.906739536797687</c:v>
                </c:pt>
                <c:pt idx="560">
                  <c:v>-50.300043775745394</c:v>
                </c:pt>
                <c:pt idx="561">
                  <c:v>-50.697759856037919</c:v>
                </c:pt>
                <c:pt idx="562">
                  <c:v>-51.090565299530454</c:v>
                </c:pt>
                <c:pt idx="563">
                  <c:v>-51.486799222396627</c:v>
                </c:pt>
                <c:pt idx="564">
                  <c:v>-51.878048606864439</c:v>
                </c:pt>
                <c:pt idx="565">
                  <c:v>-52.274059018244913</c:v>
                </c:pt>
                <c:pt idx="566">
                  <c:v>-52.66497628153823</c:v>
                </c:pt>
                <c:pt idx="567">
                  <c:v>-53.0602994315703</c:v>
                </c:pt>
                <c:pt idx="568">
                  <c:v>-53.45042873325724</c:v>
                </c:pt>
                <c:pt idx="569">
                  <c:v>-53.843088519376749</c:v>
                </c:pt>
                <c:pt idx="570">
                  <c:v>-54.230502798432596</c:v>
                </c:pt>
                <c:pt idx="571">
                  <c:v>-54.623170685188583</c:v>
                </c:pt>
                <c:pt idx="572">
                  <c:v>-55.010467249765014</c:v>
                </c:pt>
                <c:pt idx="573">
                  <c:v>-55.399714165837381</c:v>
                </c:pt>
                <c:pt idx="574">
                  <c:v>-55.783554154868796</c:v>
                </c:pt>
                <c:pt idx="575">
                  <c:v>-56.17192459136534</c:v>
                </c:pt>
                <c:pt idx="576">
                  <c:v>-56.554779821012843</c:v>
                </c:pt>
                <c:pt idx="577">
                  <c:v>-58.116538107180872</c:v>
                </c:pt>
                <c:pt idx="578">
                  <c:v>-59.587434421494578</c:v>
                </c:pt>
                <c:pt idx="579">
                  <c:v>-62.521720908942797</c:v>
                </c:pt>
                <c:pt idx="580">
                  <c:v>-65.33927721526436</c:v>
                </c:pt>
                <c:pt idx="581">
                  <c:v>-68.015050410462408</c:v>
                </c:pt>
                <c:pt idx="582">
                  <c:v>-70.532706674441528</c:v>
                </c:pt>
                <c:pt idx="583">
                  <c:v>-72.875680148022781</c:v>
                </c:pt>
                <c:pt idx="584">
                  <c:v>-75.034780770175345</c:v>
                </c:pt>
                <c:pt idx="585">
                  <c:v>-77.001871900583168</c:v>
                </c:pt>
                <c:pt idx="586">
                  <c:v>-78.774769050299284</c:v>
                </c:pt>
                <c:pt idx="587">
                  <c:v>-80.356053540194864</c:v>
                </c:pt>
                <c:pt idx="588">
                  <c:v>-81.750035797807939</c:v>
                </c:pt>
                <c:pt idx="589">
                  <c:v>-82.967288831277756</c:v>
                </c:pt>
                <c:pt idx="590">
                  <c:v>-84.019591399128686</c:v>
                </c:pt>
                <c:pt idx="591">
                  <c:v>-84.921435241226035</c:v>
                </c:pt>
                <c:pt idx="592">
                  <c:v>-85.688320618824719</c:v>
                </c:pt>
                <c:pt idx="593">
                  <c:v>-86.33645725926057</c:v>
                </c:pt>
                <c:pt idx="594">
                  <c:v>-86.881330993412348</c:v>
                </c:pt>
                <c:pt idx="595">
                  <c:v>-87.337850062636718</c:v>
                </c:pt>
                <c:pt idx="596">
                  <c:v>-87.719465867836135</c:v>
                </c:pt>
                <c:pt idx="597">
                  <c:v>-88.038337053760102</c:v>
                </c:pt>
                <c:pt idx="598">
                  <c:v>-88.30491891688979</c:v>
                </c:pt>
                <c:pt idx="599">
                  <c:v>-88.528299095510974</c:v>
                </c:pt>
                <c:pt idx="600">
                  <c:v>-88.716041678289841</c:v>
                </c:pt>
                <c:pt idx="604">
                  <c:v>-0.35174273122746058</c:v>
                </c:pt>
              </c:numCache>
            </c:numRef>
          </c:yVal>
          <c:smooth val="0"/>
          <c:extLst>
            <c:ext xmlns:c16="http://schemas.microsoft.com/office/drawing/2014/chart" uri="{C3380CC4-5D6E-409C-BE32-E72D297353CC}">
              <c16:uniqueId val="{0000000D-DCB9-497D-B84D-5596E75D8DAE}"/>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DCB9-497D-B84D-5596E75D8DAE}"/>
              </c:ext>
            </c:extLst>
          </c:dPt>
          <c:xVal>
            <c:numRef>
              <c:f>'Stability Calculations'!$B$617:$B$618</c:f>
              <c:numCache>
                <c:formatCode>General</c:formatCode>
                <c:ptCount val="2"/>
                <c:pt idx="0">
                  <c:v>16033.5</c:v>
                </c:pt>
                <c:pt idx="1">
                  <c:v>16033.5</c:v>
                </c:pt>
              </c:numCache>
            </c:numRef>
          </c:xVal>
          <c:yVal>
            <c:numRef>
              <c:f>'Stability Calculations'!$AI$617:$AI$618</c:f>
              <c:numCache>
                <c:formatCode>0.00</c:formatCode>
                <c:ptCount val="2"/>
                <c:pt idx="0">
                  <c:v>-0.35174273122746058</c:v>
                </c:pt>
                <c:pt idx="1">
                  <c:v>0</c:v>
                </c:pt>
              </c:numCache>
            </c:numRef>
          </c:yVal>
          <c:smooth val="0"/>
          <c:extLst>
            <c:ext xmlns:c16="http://schemas.microsoft.com/office/drawing/2014/chart" uri="{C3380CC4-5D6E-409C-BE32-E72D297353CC}">
              <c16:uniqueId val="{0000000F-DCB9-497D-B84D-5596E75D8DAE}"/>
            </c:ext>
          </c:extLst>
        </c:ser>
        <c:ser>
          <c:idx val="0"/>
          <c:order val="8"/>
          <c:tx>
            <c:v>Fc2</c:v>
          </c:tx>
          <c:spPr>
            <a:ln w="22225">
              <a:solidFill>
                <a:schemeClr val="tx1">
                  <a:lumMod val="50000"/>
                  <a:lumOff val="50000"/>
                </a:schemeClr>
              </a:solidFill>
              <a:prstDash val="sysDash"/>
            </a:ln>
          </c:spPr>
          <c:marker>
            <c:symbol val="none"/>
          </c:marker>
          <c:dLbls>
            <c:dLbl>
              <c:idx val="1"/>
              <c:layout>
                <c:manualLayout>
                  <c:x val="-5.4702293288449298E-2"/>
                  <c:y val="-1.88634230614630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DCB9-497D-B84D-5596E75D8DAE}"/>
                </c:ext>
              </c:extLst>
            </c:dLbl>
            <c:spPr>
              <a:solidFill>
                <a:schemeClr val="lt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'Stability Calculations'!$B$619:$B$620</c:f>
              <c:numCache>
                <c:formatCode>General</c:formatCode>
                <c:ptCount val="2"/>
                <c:pt idx="0">
                  <c:v>16033.5</c:v>
                </c:pt>
                <c:pt idx="1">
                  <c:v>1000000</c:v>
                </c:pt>
              </c:numCache>
            </c:numRef>
          </c:xVal>
          <c:yVal>
            <c:numRef>
              <c:f>'Stability Calculations'!$AI$619:$AI$620</c:f>
              <c:numCache>
                <c:formatCode>0.00</c:formatCode>
                <c:ptCount val="2"/>
                <c:pt idx="0">
                  <c:v>-0.35174273122746058</c:v>
                </c:pt>
                <c:pt idx="1">
                  <c:v>-0.35174273122746058</c:v>
                </c:pt>
              </c:numCache>
            </c:numRef>
          </c:yVal>
          <c:smooth val="0"/>
          <c:extLst>
            <c:ext xmlns:c16="http://schemas.microsoft.com/office/drawing/2014/chart" uri="{C3380CC4-5D6E-409C-BE32-E72D297353CC}">
              <c16:uniqueId val="{00000011-DCB9-497D-B84D-5596E75D8DAE}"/>
            </c:ext>
          </c:extLst>
        </c:ser>
        <c:dLbls>
          <c:showLegendKey val="0"/>
          <c:showVal val="0"/>
          <c:showCatName val="0"/>
          <c:showSerName val="0"/>
          <c:showPercent val="0"/>
          <c:showBubbleSize val="0"/>
        </c:dLbls>
        <c:axId val="196142976"/>
        <c:axId val="196144512"/>
      </c:scatterChart>
      <c:valAx>
        <c:axId val="1961306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96141056"/>
        <c:crossesAt val="-80"/>
        <c:crossBetween val="midCat"/>
      </c:valAx>
      <c:valAx>
        <c:axId val="196141056"/>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130688"/>
        <c:crossesAt val="1.0000000000000005E-2"/>
        <c:crossBetween val="midCat"/>
        <c:majorUnit val="20"/>
      </c:valAx>
      <c:valAx>
        <c:axId val="196142976"/>
        <c:scaling>
          <c:logBase val="10"/>
          <c:orientation val="minMax"/>
        </c:scaling>
        <c:delete val="1"/>
        <c:axPos val="b"/>
        <c:numFmt formatCode="General" sourceLinked="1"/>
        <c:majorTickMark val="out"/>
        <c:minorTickMark val="none"/>
        <c:tickLblPos val="none"/>
        <c:crossAx val="196144512"/>
        <c:crosses val="autoZero"/>
        <c:crossBetween val="midCat"/>
      </c:valAx>
      <c:valAx>
        <c:axId val="196144512"/>
        <c:scaling>
          <c:orientation val="minMax"/>
          <c:max val="18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 Phase</a:t>
                </a:r>
                <a:r>
                  <a:rPr lang="en-US" sz="1200" b="1" baseline="0">
                    <a:solidFill>
                      <a:srgbClr val="002060"/>
                    </a:solidFill>
                    <a:latin typeface="Arial" pitchFamily="34" charset="0"/>
                    <a:cs typeface="Arial" pitchFamily="34" charset="0"/>
                  </a:rPr>
                  <a:t> Margin</a:t>
                </a:r>
                <a:r>
                  <a:rPr lang="en-US" sz="1200" b="1">
                    <a:solidFill>
                      <a:srgbClr val="002060"/>
                    </a:solidFill>
                    <a:latin typeface="Arial" pitchFamily="34" charset="0"/>
                    <a:cs typeface="Arial" pitchFamily="34" charset="0"/>
                  </a:rPr>
                  <a:t>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96142976"/>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I Limit 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3275042965703677E-2"/>
          <c:y val="2.0629983389669971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smoothMarker"/>
        <c:varyColors val="0"/>
        <c:ser>
          <c:idx val="2"/>
          <c:order val="0"/>
          <c:tx>
            <c:v>Loop Gain</c:v>
          </c:tx>
          <c:spPr>
            <a:ln w="31750">
              <a:solidFill>
                <a:srgbClr val="FF0000"/>
              </a:solidFill>
              <a:prstDash val="solid"/>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Calculations'!$AW$13:$AW$613</c:f>
              <c:numCache>
                <c:formatCode>0.0000</c:formatCode>
                <c:ptCount val="601"/>
                <c:pt idx="0">
                  <c:v>106.45210602491106</c:v>
                </c:pt>
                <c:pt idx="1">
                  <c:v>111.68736469873132</c:v>
                </c:pt>
                <c:pt idx="2">
                  <c:v>110.89860044820165</c:v>
                </c:pt>
                <c:pt idx="3">
                  <c:v>110.10674473479224</c:v>
                </c:pt>
                <c:pt idx="4">
                  <c:v>109.31255793017331</c:v>
                </c:pt>
                <c:pt idx="5">
                  <c:v>108.51487254737398</c:v>
                </c:pt>
                <c:pt idx="6">
                  <c:v>107.71489483473263</c:v>
                </c:pt>
                <c:pt idx="7">
                  <c:v>106.91209788714158</c:v>
                </c:pt>
                <c:pt idx="8">
                  <c:v>106.10699331944926</c:v>
                </c:pt>
                <c:pt idx="9">
                  <c:v>105.29882453077533</c:v>
                </c:pt>
                <c:pt idx="10">
                  <c:v>104.48783518535771</c:v>
                </c:pt>
                <c:pt idx="11">
                  <c:v>103.67361725053144</c:v>
                </c:pt>
                <c:pt idx="12">
                  <c:v>102.85537069794066</c:v>
                </c:pt>
                <c:pt idx="13">
                  <c:v>102.03344294051251</c:v>
                </c:pt>
                <c:pt idx="14">
                  <c:v>101.20667226924763</c:v>
                </c:pt>
                <c:pt idx="15">
                  <c:v>100.37480831379419</c:v>
                </c:pt>
                <c:pt idx="16">
                  <c:v>99.537170836896649</c:v>
                </c:pt>
                <c:pt idx="17">
                  <c:v>98.693239887412091</c:v>
                </c:pt>
                <c:pt idx="18">
                  <c:v>97.842132273224038</c:v>
                </c:pt>
                <c:pt idx="19">
                  <c:v>96.983479645797829</c:v>
                </c:pt>
                <c:pt idx="20">
                  <c:v>96.116604707866003</c:v>
                </c:pt>
                <c:pt idx="21">
                  <c:v>95.241326406146385</c:v>
                </c:pt>
                <c:pt idx="22">
                  <c:v>94.35731091540444</c:v>
                </c:pt>
                <c:pt idx="23">
                  <c:v>93.464903979464324</c:v>
                </c:pt>
                <c:pt idx="24">
                  <c:v>92.564331971305833</c:v>
                </c:pt>
                <c:pt idx="25">
                  <c:v>91.656547319797312</c:v>
                </c:pt>
                <c:pt idx="26">
                  <c:v>90.742517793827076</c:v>
                </c:pt>
                <c:pt idx="27">
                  <c:v>89.824051696850006</c:v>
                </c:pt>
                <c:pt idx="28">
                  <c:v>88.902902414444114</c:v>
                </c:pt>
                <c:pt idx="29">
                  <c:v>87.981600368547049</c:v>
                </c:pt>
                <c:pt idx="30">
                  <c:v>87.06059262871959</c:v>
                </c:pt>
                <c:pt idx="31">
                  <c:v>86.143091634056816</c:v>
                </c:pt>
                <c:pt idx="32">
                  <c:v>85.230200982617745</c:v>
                </c:pt>
                <c:pt idx="33">
                  <c:v>84.324003827169435</c:v>
                </c:pt>
                <c:pt idx="34">
                  <c:v>83.42488482140304</c:v>
                </c:pt>
                <c:pt idx="35">
                  <c:v>82.534064625587646</c:v>
                </c:pt>
                <c:pt idx="36">
                  <c:v>81.651758868741183</c:v>
                </c:pt>
                <c:pt idx="37">
                  <c:v>80.777534454385886</c:v>
                </c:pt>
                <c:pt idx="38">
                  <c:v>79.911997381478216</c:v>
                </c:pt>
                <c:pt idx="39">
                  <c:v>79.054020591703207</c:v>
                </c:pt>
                <c:pt idx="40">
                  <c:v>78.20336357308507</c:v>
                </c:pt>
                <c:pt idx="41">
                  <c:v>77.359298702384848</c:v>
                </c:pt>
                <c:pt idx="42">
                  <c:v>76.521246513133264</c:v>
                </c:pt>
                <c:pt idx="43">
                  <c:v>75.68825984090256</c:v>
                </c:pt>
                <c:pt idx="44">
                  <c:v>74.85987774372083</c:v>
                </c:pt>
                <c:pt idx="45">
                  <c:v>74.035284166314156</c:v>
                </c:pt>
                <c:pt idx="46">
                  <c:v>73.214039545591618</c:v>
                </c:pt>
                <c:pt idx="47">
                  <c:v>72.395406717328996</c:v>
                </c:pt>
                <c:pt idx="48">
                  <c:v>71.579071309460247</c:v>
                </c:pt>
                <c:pt idx="49">
                  <c:v>70.76434922707476</c:v>
                </c:pt>
                <c:pt idx="50">
                  <c:v>69.950924798845037</c:v>
                </c:pt>
                <c:pt idx="51">
                  <c:v>69.13819315619962</c:v>
                </c:pt>
                <c:pt idx="52">
                  <c:v>68.326015187084678</c:v>
                </c:pt>
                <c:pt idx="53">
                  <c:v>67.513969397867697</c:v>
                </c:pt>
                <c:pt idx="54">
                  <c:v>66.702168790471958</c:v>
                </c:pt>
                <c:pt idx="55">
                  <c:v>65.888835690303964</c:v>
                </c:pt>
                <c:pt idx="56">
                  <c:v>65.074676544614022</c:v>
                </c:pt>
                <c:pt idx="57">
                  <c:v>64.258672345638118</c:v>
                </c:pt>
                <c:pt idx="58">
                  <c:v>63.440887302408875</c:v>
                </c:pt>
                <c:pt idx="59">
                  <c:v>62.620107249402686</c:v>
                </c:pt>
                <c:pt idx="60">
                  <c:v>61.796127507183471</c:v>
                </c:pt>
                <c:pt idx="61">
                  <c:v>60.968056794520734</c:v>
                </c:pt>
                <c:pt idx="62">
                  <c:v>60.134558957044419</c:v>
                </c:pt>
                <c:pt idx="63">
                  <c:v>59.295398575145924</c:v>
                </c:pt>
                <c:pt idx="64">
                  <c:v>58.448706445004859</c:v>
                </c:pt>
                <c:pt idx="65">
                  <c:v>57.593416444676777</c:v>
                </c:pt>
                <c:pt idx="66">
                  <c:v>56.727859045969964</c:v>
                </c:pt>
                <c:pt idx="67">
                  <c:v>55.850323713431209</c:v>
                </c:pt>
                <c:pt idx="68">
                  <c:v>54.958465682097355</c:v>
                </c:pt>
                <c:pt idx="69">
                  <c:v>54.05016783743622</c:v>
                </c:pt>
                <c:pt idx="70">
                  <c:v>53.122623685078878</c:v>
                </c:pt>
                <c:pt idx="71">
                  <c:v>52.173138304156907</c:v>
                </c:pt>
                <c:pt idx="72">
                  <c:v>51.198393625045611</c:v>
                </c:pt>
                <c:pt idx="73">
                  <c:v>50.195338815899298</c:v>
                </c:pt>
                <c:pt idx="74">
                  <c:v>49.160325858264258</c:v>
                </c:pt>
                <c:pt idx="75">
                  <c:v>48.090125081395684</c:v>
                </c:pt>
                <c:pt idx="76">
                  <c:v>46.981235086776827</c:v>
                </c:pt>
                <c:pt idx="77">
                  <c:v>45.831065101433062</c:v>
                </c:pt>
                <c:pt idx="78">
                  <c:v>44.637123441083574</c:v>
                </c:pt>
                <c:pt idx="79">
                  <c:v>43.398402634779401</c:v>
                </c:pt>
                <c:pt idx="80">
                  <c:v>42.111803485158276</c:v>
                </c:pt>
                <c:pt idx="81">
                  <c:v>40.779043272203879</c:v>
                </c:pt>
                <c:pt idx="82">
                  <c:v>39.400207615082216</c:v>
                </c:pt>
                <c:pt idx="83">
                  <c:v>37.97829766369847</c:v>
                </c:pt>
                <c:pt idx="84">
                  <c:v>36.515194197754276</c:v>
                </c:pt>
                <c:pt idx="85">
                  <c:v>35.015508320780043</c:v>
                </c:pt>
                <c:pt idx="86">
                  <c:v>33.483445900104051</c:v>
                </c:pt>
                <c:pt idx="87">
                  <c:v>31.922969948635817</c:v>
                </c:pt>
                <c:pt idx="88">
                  <c:v>30.340499861704664</c:v>
                </c:pt>
                <c:pt idx="89">
                  <c:v>28.739581683242399</c:v>
                </c:pt>
                <c:pt idx="90">
                  <c:v>27.125297957547776</c:v>
                </c:pt>
                <c:pt idx="91">
                  <c:v>25.501503675503375</c:v>
                </c:pt>
                <c:pt idx="92">
                  <c:v>23.871825521424434</c:v>
                </c:pt>
                <c:pt idx="93">
                  <c:v>22.238556252371041</c:v>
                </c:pt>
                <c:pt idx="94">
                  <c:v>21.830151519989958</c:v>
                </c:pt>
                <c:pt idx="95">
                  <c:v>21.624667073258806</c:v>
                </c:pt>
                <c:pt idx="96">
                  <c:v>21.421527589914042</c:v>
                </c:pt>
                <c:pt idx="97">
                  <c:v>21.21605407463171</c:v>
                </c:pt>
                <c:pt idx="98">
                  <c:v>21.012931274716532</c:v>
                </c:pt>
                <c:pt idx="99">
                  <c:v>20.807429204830829</c:v>
                </c:pt>
                <c:pt idx="100">
                  <c:v>20.604284130734388</c:v>
                </c:pt>
                <c:pt idx="101">
                  <c:v>20.398872456395836</c:v>
                </c:pt>
                <c:pt idx="102">
                  <c:v>20.195820981274615</c:v>
                </c:pt>
                <c:pt idx="103">
                  <c:v>19.990312479263508</c:v>
                </c:pt>
                <c:pt idx="104">
                  <c:v>19.78717130945703</c:v>
                </c:pt>
                <c:pt idx="105">
                  <c:v>19.581689071839794</c:v>
                </c:pt>
                <c:pt idx="106">
                  <c:v>19.378578146571652</c:v>
                </c:pt>
                <c:pt idx="107">
                  <c:v>19.173236720364869</c:v>
                </c:pt>
                <c:pt idx="108">
                  <c:v>18.970267624610432</c:v>
                </c:pt>
                <c:pt idx="109">
                  <c:v>18.765034469990841</c:v>
                </c:pt>
                <c:pt idx="110">
                  <c:v>18.562175088027782</c:v>
                </c:pt>
                <c:pt idx="111">
                  <c:v>18.35688691696642</c:v>
                </c:pt>
                <c:pt idx="112">
                  <c:v>18.153977414565155</c:v>
                </c:pt>
                <c:pt idx="113">
                  <c:v>17.948753187505375</c:v>
                </c:pt>
                <c:pt idx="114">
                  <c:v>17.745909497191683</c:v>
                </c:pt>
                <c:pt idx="115">
                  <c:v>17.54073027414821</c:v>
                </c:pt>
                <c:pt idx="116">
                  <c:v>17.337933614621068</c:v>
                </c:pt>
                <c:pt idx="117">
                  <c:v>17.132784400424306</c:v>
                </c:pt>
                <c:pt idx="118">
                  <c:v>16.930019858934124</c:v>
                </c:pt>
                <c:pt idx="119">
                  <c:v>16.725012892487968</c:v>
                </c:pt>
                <c:pt idx="120">
                  <c:v>16.522389861067712</c:v>
                </c:pt>
                <c:pt idx="121">
                  <c:v>16.317508561845241</c:v>
                </c:pt>
                <c:pt idx="122">
                  <c:v>16.115010602187599</c:v>
                </c:pt>
                <c:pt idx="123">
                  <c:v>15.910123914026837</c:v>
                </c:pt>
                <c:pt idx="124">
                  <c:v>15.707622776463687</c:v>
                </c:pt>
                <c:pt idx="125">
                  <c:v>15.502844181859656</c:v>
                </c:pt>
                <c:pt idx="126">
                  <c:v>15.300450509706645</c:v>
                </c:pt>
                <c:pt idx="127">
                  <c:v>15.095772840133293</c:v>
                </c:pt>
                <c:pt idx="128">
                  <c:v>14.893479429566707</c:v>
                </c:pt>
                <c:pt idx="129">
                  <c:v>14.688898217483676</c:v>
                </c:pt>
                <c:pt idx="130">
                  <c:v>14.486700515611073</c:v>
                </c:pt>
                <c:pt idx="131">
                  <c:v>14.282213765173797</c:v>
                </c:pt>
                <c:pt idx="132">
                  <c:v>14.180867313769461</c:v>
                </c:pt>
                <c:pt idx="133">
                  <c:v>14.080109645527951</c:v>
                </c:pt>
                <c:pt idx="134">
                  <c:v>13.977559703942614</c:v>
                </c:pt>
                <c:pt idx="135">
                  <c:v>13.87561271614979</c:v>
                </c:pt>
                <c:pt idx="136">
                  <c:v>13.774261701735018</c:v>
                </c:pt>
                <c:pt idx="137">
                  <c:v>13.673499798026389</c:v>
                </c:pt>
                <c:pt idx="138">
                  <c:v>13.571052508336743</c:v>
                </c:pt>
                <c:pt idx="139">
                  <c:v>13.469207230588081</c:v>
                </c:pt>
                <c:pt idx="140">
                  <c:v>13.367956989716285</c:v>
                </c:pt>
                <c:pt idx="141">
                  <c:v>13.267294928624871</c:v>
                </c:pt>
                <c:pt idx="142">
                  <c:v>13.164848054617362</c:v>
                </c:pt>
                <c:pt idx="143">
                  <c:v>13.063003411669751</c:v>
                </c:pt>
                <c:pt idx="144">
                  <c:v>12.961754010818659</c:v>
                </c:pt>
                <c:pt idx="145">
                  <c:v>12.861092981704354</c:v>
                </c:pt>
                <c:pt idx="146">
                  <c:v>12.758702157527321</c:v>
                </c:pt>
                <c:pt idx="147">
                  <c:v>12.656913096844946</c:v>
                </c:pt>
                <c:pt idx="148">
                  <c:v>12.555718809523482</c:v>
                </c:pt>
                <c:pt idx="149">
                  <c:v>12.455112424361179</c:v>
                </c:pt>
                <c:pt idx="150">
                  <c:v>12.352781284826733</c:v>
                </c:pt>
                <c:pt idx="151">
                  <c:v>12.251051366458999</c:v>
                </c:pt>
                <c:pt idx="152">
                  <c:v>12.149915680035212</c:v>
                </c:pt>
                <c:pt idx="153">
                  <c:v>12.04936735552474</c:v>
                </c:pt>
                <c:pt idx="154">
                  <c:v>11.947053291076923</c:v>
                </c:pt>
                <c:pt idx="155">
                  <c:v>11.845340374840124</c:v>
                </c:pt>
                <c:pt idx="156">
                  <c:v>11.744221611069905</c:v>
                </c:pt>
                <c:pt idx="157">
                  <c:v>11.643690123623692</c:v>
                </c:pt>
                <c:pt idx="158">
                  <c:v>11.541401312242957</c:v>
                </c:pt>
                <c:pt idx="159">
                  <c:v>11.439713452608657</c:v>
                </c:pt>
                <c:pt idx="160">
                  <c:v>11.338619545281706</c:v>
                </c:pt>
                <c:pt idx="161">
                  <c:v>11.238112710752631</c:v>
                </c:pt>
                <c:pt idx="162">
                  <c:v>11.135902486537292</c:v>
                </c:pt>
                <c:pt idx="163">
                  <c:v>11.034292367345301</c:v>
                </c:pt>
                <c:pt idx="164">
                  <c:v>10.933275362015246</c:v>
                </c:pt>
                <c:pt idx="165">
                  <c:v>10.832844599351628</c:v>
                </c:pt>
                <c:pt idx="166">
                  <c:v>10.730631253531062</c:v>
                </c:pt>
                <c:pt idx="167">
                  <c:v>10.629018099204472</c:v>
                </c:pt>
                <c:pt idx="168">
                  <c:v>10.527998137826337</c:v>
                </c:pt>
                <c:pt idx="169">
                  <c:v>10.427564491193781</c:v>
                </c:pt>
                <c:pt idx="170">
                  <c:v>10.325573909620495</c:v>
                </c:pt>
                <c:pt idx="171">
                  <c:v>10.224180941811172</c:v>
                </c:pt>
                <c:pt idx="172">
                  <c:v>10.12337862883774</c:v>
                </c:pt>
                <c:pt idx="173">
                  <c:v>10.023160131400338</c:v>
                </c:pt>
                <c:pt idx="174">
                  <c:v>9.9210141587529055</c:v>
                </c:pt>
                <c:pt idx="175">
                  <c:v>9.8194676247345285</c:v>
                </c:pt>
                <c:pt idx="176">
                  <c:v>9.7185135338113184</c:v>
                </c:pt>
                <c:pt idx="177">
                  <c:v>9.6181450110914959</c:v>
                </c:pt>
                <c:pt idx="178">
                  <c:v>9.5159086890717983</c:v>
                </c:pt>
                <c:pt idx="179">
                  <c:v>9.414272852607585</c:v>
                </c:pt>
                <c:pt idx="180">
                  <c:v>9.3132304835415187</c:v>
                </c:pt>
                <c:pt idx="181">
                  <c:v>9.2127746850398253</c:v>
                </c:pt>
                <c:pt idx="182">
                  <c:v>9.110907026658662</c:v>
                </c:pt>
                <c:pt idx="183">
                  <c:v>9.0096355156802925</c:v>
                </c:pt>
                <c:pt idx="184">
                  <c:v>8.9089532057861724</c:v>
                </c:pt>
                <c:pt idx="185">
                  <c:v>8.8088532704806841</c:v>
                </c:pt>
                <c:pt idx="186">
                  <c:v>8.7066050166679982</c:v>
                </c:pt>
                <c:pt idx="187">
                  <c:v>8.6049573161868249</c:v>
                </c:pt>
                <c:pt idx="188">
                  <c:v>8.5039031423075677</c:v>
                </c:pt>
                <c:pt idx="189">
                  <c:v>8.4034355901079802</c:v>
                </c:pt>
                <c:pt idx="190">
                  <c:v>8.3016472141129753</c:v>
                </c:pt>
                <c:pt idx="191">
                  <c:v>8.2004539590498098</c:v>
                </c:pt>
                <c:pt idx="192">
                  <c:v>8.0998488899672445</c:v>
                </c:pt>
                <c:pt idx="193">
                  <c:v>7.9998251917319134</c:v>
                </c:pt>
                <c:pt idx="194">
                  <c:v>7.8977765590888938</c:v>
                </c:pt>
                <c:pt idx="195">
                  <c:v>7.7963260139603276</c:v>
                </c:pt>
                <c:pt idx="196">
                  <c:v>7.695466566880417</c:v>
                </c:pt>
                <c:pt idx="197">
                  <c:v>7.5951913495674077</c:v>
                </c:pt>
                <c:pt idx="198">
                  <c:v>7.4933168610217198</c:v>
                </c:pt>
                <c:pt idx="199">
                  <c:v>7.3920383426066074</c:v>
                </c:pt>
                <c:pt idx="200">
                  <c:v>7.2913488394093058</c:v>
                </c:pt>
                <c:pt idx="201">
                  <c:v>7.1912415170061292</c:v>
                </c:pt>
                <c:pt idx="202">
                  <c:v>7.0895830821063548</c:v>
                </c:pt>
                <c:pt idx="203">
                  <c:v>6.9885180048807447</c:v>
                </c:pt>
                <c:pt idx="204">
                  <c:v>6.8880393738444248</c:v>
                </c:pt>
                <c:pt idx="205">
                  <c:v>6.7881403970923957</c:v>
                </c:pt>
                <c:pt idx="206">
                  <c:v>6.686390471559303</c:v>
                </c:pt>
                <c:pt idx="207">
                  <c:v>6.5852348639421745</c:v>
                </c:pt>
                <c:pt idx="208">
                  <c:v>6.4846666441550624</c:v>
                </c:pt>
                <c:pt idx="209">
                  <c:v>6.38467900220156</c:v>
                </c:pt>
                <c:pt idx="210">
                  <c:v>6.2825588625703617</c:v>
                </c:pt>
                <c:pt idx="211">
                  <c:v>6.1810372449931803</c:v>
                </c:pt>
                <c:pt idx="212">
                  <c:v>6.0801071442843231</c:v>
                </c:pt>
                <c:pt idx="213">
                  <c:v>5.9797616771545368</c:v>
                </c:pt>
                <c:pt idx="214">
                  <c:v>5.8780111851459305</c:v>
                </c:pt>
                <c:pt idx="215">
                  <c:v>5.7768547784095503</c:v>
                </c:pt>
                <c:pt idx="216">
                  <c:v>5.6762855278580515</c:v>
                </c:pt>
                <c:pt idx="217">
                  <c:v>5.5762966246077861</c:v>
                </c:pt>
                <c:pt idx="218">
                  <c:v>5.4746212173047351</c:v>
                </c:pt>
                <c:pt idx="219">
                  <c:v>5.3735388892971727</c:v>
                </c:pt>
                <c:pt idx="220">
                  <c:v>5.2730427278105179</c:v>
                </c:pt>
                <c:pt idx="221">
                  <c:v>5.1731259399543532</c:v>
                </c:pt>
                <c:pt idx="222">
                  <c:v>5.0715736480884104</c:v>
                </c:pt>
                <c:pt idx="223">
                  <c:v>4.970612864866311</c:v>
                </c:pt>
                <c:pt idx="224">
                  <c:v>4.8702367038198568</c:v>
                </c:pt>
                <c:pt idx="225">
                  <c:v>4.770438397810385</c:v>
                </c:pt>
                <c:pt idx="226">
                  <c:v>4.6687455853471187</c:v>
                </c:pt>
                <c:pt idx="227">
                  <c:v>4.5676457678213795</c:v>
                </c:pt>
                <c:pt idx="228">
                  <c:v>4.4671320319584531</c:v>
                </c:pt>
                <c:pt idx="229">
                  <c:v>4.3671975844749031</c:v>
                </c:pt>
                <c:pt idx="230">
                  <c:v>4.1642496276169174</c:v>
                </c:pt>
                <c:pt idx="231">
                  <c:v>4.0636593446095519</c:v>
                </c:pt>
                <c:pt idx="232">
                  <c:v>3.9636490759697933</c:v>
                </c:pt>
                <c:pt idx="233">
                  <c:v>3.8618585239970207</c:v>
                </c:pt>
                <c:pt idx="234">
                  <c:v>3.7606617885541764</c:v>
                </c:pt>
                <c:pt idx="235">
                  <c:v>3.660051940585066</c:v>
                </c:pt>
                <c:pt idx="236">
                  <c:v>3.5600221714624478</c:v>
                </c:pt>
                <c:pt idx="237">
                  <c:v>3.4585537236296542</c:v>
                </c:pt>
                <c:pt idx="238">
                  <c:v>3.3576751848100743</c:v>
                </c:pt>
                <c:pt idx="239">
                  <c:v>3.2573796934675099</c:v>
                </c:pt>
                <c:pt idx="240">
                  <c:v>3.1576605069642016</c:v>
                </c:pt>
                <c:pt idx="241">
                  <c:v>3.0559833373164285</c:v>
                </c:pt>
                <c:pt idx="242">
                  <c:v>2.954898326391719</c:v>
                </c:pt>
                <c:pt idx="243">
                  <c:v>2.8543985729972414</c:v>
                </c:pt>
                <c:pt idx="244">
                  <c:v>2.7544772957762835</c:v>
                </c:pt>
                <c:pt idx="245">
                  <c:v>2.6529326063140735</c:v>
                </c:pt>
                <c:pt idx="246">
                  <c:v>2.5519783597649406</c:v>
                </c:pt>
                <c:pt idx="247">
                  <c:v>2.4516076844101002</c:v>
                </c:pt>
                <c:pt idx="248">
                  <c:v>2.3518138277066249</c:v>
                </c:pt>
                <c:pt idx="249">
                  <c:v>2.250177131767396</c:v>
                </c:pt>
                <c:pt idx="250">
                  <c:v>2.1491317620047163</c:v>
                </c:pt>
                <c:pt idx="251">
                  <c:v>2.0486708309624473</c:v>
                </c:pt>
                <c:pt idx="252">
                  <c:v>1.9487875707402864</c:v>
                </c:pt>
                <c:pt idx="253">
                  <c:v>1.8473796065162285</c:v>
                </c:pt>
                <c:pt idx="254">
                  <c:v>1.7465601287708106</c:v>
                </c:pt>
                <c:pt idx="255">
                  <c:v>1.6463222991481845</c:v>
                </c:pt>
                <c:pt idx="256">
                  <c:v>1.5466593977282186</c:v>
                </c:pt>
                <c:pt idx="257">
                  <c:v>1.4450050972115014</c:v>
                </c:pt>
                <c:pt idx="258">
                  <c:v>1.3439419422435626</c:v>
                </c:pt>
                <c:pt idx="259">
                  <c:v>1.2434630479231621</c:v>
                </c:pt>
                <c:pt idx="260">
                  <c:v>1.1435616488685869</c:v>
                </c:pt>
                <c:pt idx="261">
                  <c:v>1.0419801668164346</c:v>
                </c:pt>
                <c:pt idx="262">
                  <c:v>0.94098878541421527</c:v>
                </c:pt>
                <c:pt idx="263">
                  <c:v>0.84058063769748848</c:v>
                </c:pt>
                <c:pt idx="264">
                  <c:v>0.7407489758131881</c:v>
                </c:pt>
                <c:pt idx="265">
                  <c:v>0.6392877726466506</c:v>
                </c:pt>
                <c:pt idx="266">
                  <c:v>0.5384150718574463</c:v>
                </c:pt>
                <c:pt idx="267">
                  <c:v>0.4381240340362757</c:v>
                </c:pt>
                <c:pt idx="268">
                  <c:v>0.33840793825412119</c:v>
                </c:pt>
                <c:pt idx="269">
                  <c:v>0.23687228130082341</c:v>
                </c:pt>
                <c:pt idx="270">
                  <c:v>0.13592577667302017</c:v>
                </c:pt>
                <c:pt idx="271">
                  <c:v>3.5561573419262284E-2</c:v>
                </c:pt>
                <c:pt idx="272">
                  <c:v>-6.4227060663066105E-2</c:v>
                </c:pt>
                <c:pt idx="273">
                  <c:v>-0.16578001415141683</c:v>
                </c:pt>
                <c:pt idx="274">
                  <c:v>-0.26674383274748525</c:v>
                </c:pt>
                <c:pt idx="275">
                  <c:v>-0.36712536734741852</c:v>
                </c:pt>
                <c:pt idx="276">
                  <c:v>-0.46693135009992454</c:v>
                </c:pt>
                <c:pt idx="277">
                  <c:v>-0.56822033336623601</c:v>
                </c:pt>
                <c:pt idx="278">
                  <c:v>-0.66892345396451147</c:v>
                </c:pt>
                <c:pt idx="279">
                  <c:v>-0.76904750621722018</c:v>
                </c:pt>
                <c:pt idx="280">
                  <c:v>-0.86859916700296924</c:v>
                </c:pt>
                <c:pt idx="281">
                  <c:v>-0.97025851991030354</c:v>
                </c:pt>
                <c:pt idx="282">
                  <c:v>-1.0713279602022954</c:v>
                </c:pt>
                <c:pt idx="283">
                  <c:v>-1.1718143528535379</c:v>
                </c:pt>
                <c:pt idx="284">
                  <c:v>-1.2717244437718014</c:v>
                </c:pt>
                <c:pt idx="285">
                  <c:v>-1.3730241367201625</c:v>
                </c:pt>
                <c:pt idx="286">
                  <c:v>-1.47373830685671</c:v>
                </c:pt>
                <c:pt idx="287">
                  <c:v>-1.5738737432033132</c:v>
                </c:pt>
                <c:pt idx="288">
                  <c:v>-1.6734371174679354</c:v>
                </c:pt>
                <c:pt idx="289">
                  <c:v>-1.7749878327492135</c:v>
                </c:pt>
                <c:pt idx="290">
                  <c:v>-1.875950370656537</c:v>
                </c:pt>
                <c:pt idx="291">
                  <c:v>-1.9763315666484014</c:v>
                </c:pt>
                <c:pt idx="292">
                  <c:v>-2.0761381378078276</c:v>
                </c:pt>
                <c:pt idx="293">
                  <c:v>-2.1776633503203802</c:v>
                </c:pt>
                <c:pt idx="294">
                  <c:v>-2.2786009297846408</c:v>
                </c:pt>
                <c:pt idx="295">
                  <c:v>-2.3789577025941293</c:v>
                </c:pt>
                <c:pt idx="296">
                  <c:v>-2.4787403769825791</c:v>
                </c:pt>
                <c:pt idx="297">
                  <c:v>-2.580190042139312</c:v>
                </c:pt>
                <c:pt idx="298">
                  <c:v>-2.681053202607691</c:v>
                </c:pt>
                <c:pt idx="299">
                  <c:v>-2.7813366656283711</c:v>
                </c:pt>
                <c:pt idx="300">
                  <c:v>-2.8810471207308508</c:v>
                </c:pt>
                <c:pt idx="301">
                  <c:v>-2.9823747260266318</c:v>
                </c:pt>
                <c:pt idx="302">
                  <c:v>-3.0831174965417221</c:v>
                </c:pt>
                <c:pt idx="303">
                  <c:v>-3.1832822110453254</c:v>
                </c:pt>
                <c:pt idx="304">
                  <c:v>-3.2828755312583575</c:v>
                </c:pt>
                <c:pt idx="305">
                  <c:v>-3.3844258787242021</c:v>
                </c:pt>
                <c:pt idx="306">
                  <c:v>-3.4853890974926665</c:v>
                </c:pt>
                <c:pt idx="307">
                  <c:v>-3.5857720067005836</c:v>
                </c:pt>
                <c:pt idx="308">
                  <c:v>-3.6855813075181736</c:v>
                </c:pt>
                <c:pt idx="309">
                  <c:v>-3.7869088450796493</c:v>
                </c:pt>
                <c:pt idx="310">
                  <c:v>-3.8876521004195514</c:v>
                </c:pt>
                <c:pt idx="311">
                  <c:v>-3.9878178439128691</c:v>
                </c:pt>
                <c:pt idx="312">
                  <c:v>-4.0874127290998743</c:v>
                </c:pt>
                <c:pt idx="313">
                  <c:v>-4.188851679646957</c:v>
                </c:pt>
                <c:pt idx="314">
                  <c:v>-4.2897053556120426</c:v>
                </c:pt>
                <c:pt idx="315">
                  <c:v>-4.3899805452766332</c:v>
                </c:pt>
                <c:pt idx="316">
                  <c:v>-4.4896839196864571</c:v>
                </c:pt>
                <c:pt idx="317">
                  <c:v>-4.5911756303820823</c:v>
                </c:pt>
                <c:pt idx="318">
                  <c:v>-4.6920817588579746</c:v>
                </c:pt>
                <c:pt idx="319">
                  <c:v>-4.792409099514046</c:v>
                </c:pt>
                <c:pt idx="320">
                  <c:v>-4.8921643293853103</c:v>
                </c:pt>
                <c:pt idx="321">
                  <c:v>-4.9936540705097157</c:v>
                </c:pt>
                <c:pt idx="322">
                  <c:v>-5.0945585618096381</c:v>
                </c:pt>
                <c:pt idx="323">
                  <c:v>-5.1948845927834508</c:v>
                </c:pt>
                <c:pt idx="324">
                  <c:v>-5.2946388356890663</c:v>
                </c:pt>
                <c:pt idx="325">
                  <c:v>-5.3960756256399476</c:v>
                </c:pt>
                <c:pt idx="326">
                  <c:v>-5.4969280945112509</c:v>
                </c:pt>
                <c:pt idx="327">
                  <c:v>-5.5972030166473763</c:v>
                </c:pt>
                <c:pt idx="328">
                  <c:v>-5.696907049512153</c:v>
                </c:pt>
                <c:pt idx="329">
                  <c:v>-5.7984124489883886</c:v>
                </c:pt>
                <c:pt idx="330">
                  <c:v>-5.8993330704892841</c:v>
                </c:pt>
                <c:pt idx="331">
                  <c:v>-5.9996756973352721</c:v>
                </c:pt>
                <c:pt idx="332">
                  <c:v>-6.0994469957728095</c:v>
                </c:pt>
                <c:pt idx="333">
                  <c:v>-6.200800367418867</c:v>
                </c:pt>
                <c:pt idx="334">
                  <c:v>-6.3015710488334342</c:v>
                </c:pt>
                <c:pt idx="335">
                  <c:v>-6.4017657882957373</c:v>
                </c:pt>
                <c:pt idx="336">
                  <c:v>-6.5013912178281483</c:v>
                </c:pt>
                <c:pt idx="337">
                  <c:v>-6.6028748502041559</c:v>
                </c:pt>
                <c:pt idx="338">
                  <c:v>-6.703774653437959</c:v>
                </c:pt>
                <c:pt idx="339">
                  <c:v>-6.804097396805485</c:v>
                </c:pt>
                <c:pt idx="340">
                  <c:v>-6.903849732856723</c:v>
                </c:pt>
                <c:pt idx="341">
                  <c:v>-7.0054042770516567</c:v>
                </c:pt>
                <c:pt idx="342">
                  <c:v>-7.1063745478988762</c:v>
                </c:pt>
                <c:pt idx="343">
                  <c:v>-7.2067673237552112</c:v>
                </c:pt>
                <c:pt idx="344">
                  <c:v>-7.3065892660563589</c:v>
                </c:pt>
                <c:pt idx="345">
                  <c:v>-7.4080051808627543</c:v>
                </c:pt>
                <c:pt idx="346">
                  <c:v>-7.5088387944635642</c:v>
                </c:pt>
                <c:pt idx="347">
                  <c:v>-7.6090968525130709</c:v>
                </c:pt>
                <c:pt idx="348">
                  <c:v>-7.7087859845078874</c:v>
                </c:pt>
                <c:pt idx="349">
                  <c:v>-7.8103234596428361</c:v>
                </c:pt>
                <c:pt idx="350">
                  <c:v>-7.9112776388692581</c:v>
                </c:pt>
                <c:pt idx="351">
                  <c:v>-8.0116552867025419</c:v>
                </c:pt>
                <c:pt idx="352">
                  <c:v>-8.1114630510820049</c:v>
                </c:pt>
                <c:pt idx="353">
                  <c:v>-8.213063615106881</c:v>
                </c:pt>
                <c:pt idx="354">
                  <c:v>-8.3140805748129978</c:v>
                </c:pt>
                <c:pt idx="355">
                  <c:v>-8.4145207018216688</c:v>
                </c:pt>
                <c:pt idx="356">
                  <c:v>-8.514390651028565</c:v>
                </c:pt>
                <c:pt idx="357">
                  <c:v>-8.6158558420352378</c:v>
                </c:pt>
                <c:pt idx="358">
                  <c:v>-8.7167394084175491</c:v>
                </c:pt>
                <c:pt idx="359">
                  <c:v>-8.8170480893566747</c:v>
                </c:pt>
                <c:pt idx="360">
                  <c:v>-8.916788508064494</c:v>
                </c:pt>
                <c:pt idx="361">
                  <c:v>-9.0183586178345685</c:v>
                </c:pt>
                <c:pt idx="362">
                  <c:v>-9.1193463509100461</c:v>
                </c:pt>
                <c:pt idx="363">
                  <c:v>-9.2197584615462134</c:v>
                </c:pt>
                <c:pt idx="364">
                  <c:v>-9.3196015876990277</c:v>
                </c:pt>
                <c:pt idx="365">
                  <c:v>-9.4210821515743106</c:v>
                </c:pt>
                <c:pt idx="366">
                  <c:v>-9.5219818279478758</c:v>
                </c:pt>
                <c:pt idx="367">
                  <c:v>-9.6223073474445933</c:v>
                </c:pt>
                <c:pt idx="368">
                  <c:v>-9.722065324944726</c:v>
                </c:pt>
                <c:pt idx="369">
                  <c:v>-9.8236813002014962</c:v>
                </c:pt>
                <c:pt idx="370">
                  <c:v>-9.9247153273116346</c:v>
                </c:pt>
                <c:pt idx="371">
                  <c:v>-10.025174157643246</c:v>
                </c:pt>
                <c:pt idx="372">
                  <c:v>-10.125064426359645</c:v>
                </c:pt>
                <c:pt idx="373">
                  <c:v>-10.226625722126343</c:v>
                </c:pt>
                <c:pt idx="374">
                  <c:v>-10.327606200560105</c:v>
                </c:pt>
                <c:pt idx="375">
                  <c:v>-10.428012595937393</c:v>
                </c:pt>
                <c:pt idx="376">
                  <c:v>-10.527851526735041</c:v>
                </c:pt>
                <c:pt idx="377">
                  <c:v>-10.629569009562207</c:v>
                </c:pt>
                <c:pt idx="378">
                  <c:v>-10.730704421992833</c:v>
                </c:pt>
                <c:pt idx="379">
                  <c:v>-10.831264522755205</c:v>
                </c:pt>
                <c:pt idx="380">
                  <c:v>-10.931255954233487</c:v>
                </c:pt>
                <c:pt idx="381">
                  <c:v>-11.032818732004587</c:v>
                </c:pt>
                <c:pt idx="382">
                  <c:v>-11.133801754700388</c:v>
                </c:pt>
                <c:pt idx="383">
                  <c:v>-11.23421174376448</c:v>
                </c:pt>
                <c:pt idx="384">
                  <c:v>-11.334055305164142</c:v>
                </c:pt>
                <c:pt idx="385">
                  <c:v>-11.43579243729336</c:v>
                </c:pt>
                <c:pt idx="386">
                  <c:v>-11.536948404425722</c:v>
                </c:pt>
                <c:pt idx="387">
                  <c:v>-11.637529955563277</c:v>
                </c:pt>
                <c:pt idx="388">
                  <c:v>-11.737543723617021</c:v>
                </c:pt>
                <c:pt idx="389">
                  <c:v>-11.839274565726289</c:v>
                </c:pt>
                <c:pt idx="390">
                  <c:v>-11.940424917104417</c:v>
                </c:pt>
                <c:pt idx="391">
                  <c:v>-12.041001518351703</c:v>
                </c:pt>
                <c:pt idx="392">
                  <c:v>-12.141010994184253</c:v>
                </c:pt>
                <c:pt idx="393">
                  <c:v>-12.242686954214676</c:v>
                </c:pt>
                <c:pt idx="394">
                  <c:v>-12.343783676392084</c:v>
                </c:pt>
                <c:pt idx="395">
                  <c:v>-12.444307883085767</c:v>
                </c:pt>
                <c:pt idx="396">
                  <c:v>-12.544266181213519</c:v>
                </c:pt>
                <c:pt idx="397">
                  <c:v>-12.646071315306205</c:v>
                </c:pt>
                <c:pt idx="398">
                  <c:v>-12.747296401185572</c:v>
                </c:pt>
                <c:pt idx="399">
                  <c:v>-12.847948179051853</c:v>
                </c:pt>
                <c:pt idx="400">
                  <c:v>-12.948033273263267</c:v>
                </c:pt>
                <c:pt idx="401">
                  <c:v>-13.049798392010638</c:v>
                </c:pt>
                <c:pt idx="402">
                  <c:v>-13.150984604956541</c:v>
                </c:pt>
                <c:pt idx="403">
                  <c:v>-13.251598636456238</c:v>
                </c:pt>
                <c:pt idx="404">
                  <c:v>-13.351647095401278</c:v>
                </c:pt>
                <c:pt idx="405">
                  <c:v>-13.453435944873625</c:v>
                </c:pt>
                <c:pt idx="406">
                  <c:v>-13.554646338448562</c:v>
                </c:pt>
                <c:pt idx="407">
                  <c:v>-13.655284996922488</c:v>
                </c:pt>
                <c:pt idx="408">
                  <c:v>-13.755358525727726</c:v>
                </c:pt>
                <c:pt idx="409">
                  <c:v>-13.857228418061371</c:v>
                </c:pt>
                <c:pt idx="410">
                  <c:v>-13.958519689084765</c:v>
                </c:pt>
                <c:pt idx="411">
                  <c:v>-14.059239067006557</c:v>
                </c:pt>
                <c:pt idx="412">
                  <c:v>-14.159393164519321</c:v>
                </c:pt>
                <c:pt idx="413">
                  <c:v>-14.261290753924756</c:v>
                </c:pt>
                <c:pt idx="414">
                  <c:v>-14.362610197245662</c:v>
                </c:pt>
                <c:pt idx="415">
                  <c:v>-14.463358219255188</c:v>
                </c:pt>
                <c:pt idx="416">
                  <c:v>-14.563541429307762</c:v>
                </c:pt>
                <c:pt idx="417">
                  <c:v>-14.66551941438347</c:v>
                </c:pt>
                <c:pt idx="418">
                  <c:v>-14.766919170427691</c:v>
                </c:pt>
                <c:pt idx="419">
                  <c:v>-14.867747428798774</c:v>
                </c:pt>
                <c:pt idx="420">
                  <c:v>-14.968010805304834</c:v>
                </c:pt>
                <c:pt idx="421">
                  <c:v>-15.069916286221348</c:v>
                </c:pt>
                <c:pt idx="422">
                  <c:v>-15.17124522241393</c:v>
                </c:pt>
                <c:pt idx="423">
                  <c:v>-15.272004321384312</c:v>
                </c:pt>
                <c:pt idx="424">
                  <c:v>-15.37220017564926</c:v>
                </c:pt>
                <c:pt idx="425">
                  <c:v>-15.474284050522373</c:v>
                </c:pt>
                <c:pt idx="426">
                  <c:v>-15.575790274250657</c:v>
                </c:pt>
                <c:pt idx="427">
                  <c:v>-15.676725579410499</c:v>
                </c:pt>
                <c:pt idx="428">
                  <c:v>-15.777096583043523</c:v>
                </c:pt>
                <c:pt idx="429">
                  <c:v>-15.87920443118686</c:v>
                </c:pt>
                <c:pt idx="430">
                  <c:v>-15.980735310210164</c:v>
                </c:pt>
                <c:pt idx="431">
                  <c:v>-16.081695946985381</c:v>
                </c:pt>
                <c:pt idx="432">
                  <c:v>-16.182092953001487</c:v>
                </c:pt>
                <c:pt idx="433">
                  <c:v>-16.284176370466799</c:v>
                </c:pt>
                <c:pt idx="434">
                  <c:v>-16.385684091309216</c:v>
                </c:pt>
                <c:pt idx="435">
                  <c:v>-16.486622826776014</c:v>
                </c:pt>
                <c:pt idx="436">
                  <c:v>-16.586999173110257</c:v>
                </c:pt>
                <c:pt idx="437">
                  <c:v>-16.689196096844313</c:v>
                </c:pt>
                <c:pt idx="438">
                  <c:v>-16.790817093528759</c:v>
                </c:pt>
                <c:pt idx="439">
                  <c:v>-16.891868885402403</c:v>
                </c:pt>
                <c:pt idx="440">
                  <c:v>-16.992358079474531</c:v>
                </c:pt>
                <c:pt idx="441">
                  <c:v>-17.09461486517792</c:v>
                </c:pt>
                <c:pt idx="442">
                  <c:v>-17.196296149905937</c:v>
                </c:pt>
                <c:pt idx="443">
                  <c:v>-17.297408655875287</c:v>
                </c:pt>
                <c:pt idx="444">
                  <c:v>-17.397958990100161</c:v>
                </c:pt>
                <c:pt idx="445">
                  <c:v>-17.500225803142641</c:v>
                </c:pt>
                <c:pt idx="446">
                  <c:v>-17.601918154990429</c:v>
                </c:pt>
                <c:pt idx="447">
                  <c:v>-17.703042757570657</c:v>
                </c:pt>
                <c:pt idx="448">
                  <c:v>-17.803606207869514</c:v>
                </c:pt>
                <c:pt idx="449">
                  <c:v>-17.906007755044289</c:v>
                </c:pt>
                <c:pt idx="450">
                  <c:v>-18.007834541842659</c:v>
                </c:pt>
                <c:pt idx="451">
                  <c:v>-18.109093293797539</c:v>
                </c:pt>
                <c:pt idx="452">
                  <c:v>-18.209790621220531</c:v>
                </c:pt>
                <c:pt idx="453">
                  <c:v>-18.312189292737692</c:v>
                </c:pt>
                <c:pt idx="454">
                  <c:v>-18.414014506717621</c:v>
                </c:pt>
                <c:pt idx="455">
                  <c:v>-18.515272974791706</c:v>
                </c:pt>
                <c:pt idx="456">
                  <c:v>-18.615971293717973</c:v>
                </c:pt>
                <c:pt idx="457">
                  <c:v>-18.718485866500561</c:v>
                </c:pt>
                <c:pt idx="458">
                  <c:v>-18.820427021794771</c:v>
                </c:pt>
                <c:pt idx="459">
                  <c:v>-18.921801479986357</c:v>
                </c:pt>
                <c:pt idx="460">
                  <c:v>-19.022615846420315</c:v>
                </c:pt>
                <c:pt idx="461">
                  <c:v>-19.12519429038025</c:v>
                </c:pt>
                <c:pt idx="462">
                  <c:v>-19.227200007102798</c:v>
                </c:pt>
                <c:pt idx="463">
                  <c:v>-19.328639714926513</c:v>
                </c:pt>
                <c:pt idx="464">
                  <c:v>-19.429520017232079</c:v>
                </c:pt>
                <c:pt idx="465">
                  <c:v>-19.532192248715777</c:v>
                </c:pt>
                <c:pt idx="466">
                  <c:v>-19.63429218284703</c:v>
                </c:pt>
                <c:pt idx="467">
                  <c:v>-19.735826541110775</c:v>
                </c:pt>
                <c:pt idx="468">
                  <c:v>-19.836801930000117</c:v>
                </c:pt>
                <c:pt idx="469">
                  <c:v>-19.939518184721177</c:v>
                </c:pt>
                <c:pt idx="470">
                  <c:v>-20.041663201498523</c:v>
                </c:pt>
                <c:pt idx="471">
                  <c:v>-20.143243694564998</c:v>
                </c:pt>
                <c:pt idx="472">
                  <c:v>-20.244266263366526</c:v>
                </c:pt>
                <c:pt idx="473">
                  <c:v>-20.347130017041795</c:v>
                </c:pt>
                <c:pt idx="474">
                  <c:v>-20.449422525658257</c:v>
                </c:pt>
                <c:pt idx="475">
                  <c:v>-20.551150515661234</c:v>
                </c:pt>
                <c:pt idx="476">
                  <c:v>-20.652320598474205</c:v>
                </c:pt>
                <c:pt idx="477">
                  <c:v>-20.755279535602504</c:v>
                </c:pt>
                <c:pt idx="478">
                  <c:v>-20.857667887864729</c:v>
                </c:pt>
                <c:pt idx="479">
                  <c:v>-20.959492382943367</c:v>
                </c:pt>
                <c:pt idx="480">
                  <c:v>-21.060759633516174</c:v>
                </c:pt>
                <c:pt idx="481">
                  <c:v>-21.163765303877046</c:v>
                </c:pt>
                <c:pt idx="482">
                  <c:v>-21.266201674461986</c:v>
                </c:pt>
                <c:pt idx="483">
                  <c:v>-21.368075463960142</c:v>
                </c:pt>
                <c:pt idx="484">
                  <c:v>-21.469393276309404</c:v>
                </c:pt>
                <c:pt idx="485">
                  <c:v>-21.572470901964596</c:v>
                </c:pt>
                <c:pt idx="486">
                  <c:v>-21.674980327802356</c:v>
                </c:pt>
                <c:pt idx="487">
                  <c:v>-21.776928267614124</c:v>
                </c:pt>
                <c:pt idx="488">
                  <c:v>-21.878321320602598</c:v>
                </c:pt>
                <c:pt idx="489">
                  <c:v>-21.981562035680358</c:v>
                </c:pt>
                <c:pt idx="490">
                  <c:v>-22.084234750558306</c:v>
                </c:pt>
                <c:pt idx="491">
                  <c:v>-22.186346190959124</c:v>
                </c:pt>
                <c:pt idx="492">
                  <c:v>-22.287902967801962</c:v>
                </c:pt>
                <c:pt idx="493">
                  <c:v>-22.391255704000681</c:v>
                </c:pt>
                <c:pt idx="494">
                  <c:v>-22.494041309311182</c:v>
                </c:pt>
                <c:pt idx="495">
                  <c:v>-22.596266510520465</c:v>
                </c:pt>
                <c:pt idx="496">
                  <c:v>-22.69793791964694</c:v>
                </c:pt>
                <c:pt idx="497">
                  <c:v>-22.801421013959725</c:v>
                </c:pt>
                <c:pt idx="498">
                  <c:v>-22.904337759723319</c:v>
                </c:pt>
                <c:pt idx="499">
                  <c:v>-23.006694887366997</c:v>
                </c:pt>
                <c:pt idx="500">
                  <c:v>-23.108499012531766</c:v>
                </c:pt>
                <c:pt idx="501">
                  <c:v>-23.212128871328904</c:v>
                </c:pt>
                <c:pt idx="502">
                  <c:v>-23.315193106032311</c:v>
                </c:pt>
                <c:pt idx="503">
                  <c:v>-23.417698452855561</c:v>
                </c:pt>
                <c:pt idx="504">
                  <c:v>-23.519651533159273</c:v>
                </c:pt>
                <c:pt idx="505">
                  <c:v>-23.623380087263527</c:v>
                </c:pt>
                <c:pt idx="506">
                  <c:v>-23.72654439157315</c:v>
                </c:pt>
                <c:pt idx="507">
                  <c:v>-23.829151177677019</c:v>
                </c:pt>
                <c:pt idx="508">
                  <c:v>-23.931207062487548</c:v>
                </c:pt>
                <c:pt idx="509">
                  <c:v>-24.035051442807202</c:v>
                </c:pt>
                <c:pt idx="510">
                  <c:v>-24.138332893080797</c:v>
                </c:pt>
                <c:pt idx="511">
                  <c:v>-24.241058142462151</c:v>
                </c:pt>
                <c:pt idx="512">
                  <c:v>-24.343233805559137</c:v>
                </c:pt>
                <c:pt idx="513">
                  <c:v>-24.447269629039642</c:v>
                </c:pt>
                <c:pt idx="514">
                  <c:v>-24.550743166833428</c:v>
                </c:pt>
                <c:pt idx="515">
                  <c:v>-24.653661159068903</c:v>
                </c:pt>
                <c:pt idx="516">
                  <c:v>-24.756030231159446</c:v>
                </c:pt>
                <c:pt idx="517">
                  <c:v>-24.860208984397694</c:v>
                </c:pt>
                <c:pt idx="518">
                  <c:v>-24.963826771158793</c:v>
                </c:pt>
                <c:pt idx="519">
                  <c:v>-25.066890331877634</c:v>
                </c:pt>
                <c:pt idx="520">
                  <c:v>-25.169406292351411</c:v>
                </c:pt>
                <c:pt idx="521">
                  <c:v>-25.273740934966575</c:v>
                </c:pt>
                <c:pt idx="522">
                  <c:v>-25.377515948656509</c:v>
                </c:pt>
                <c:pt idx="523">
                  <c:v>-25.480738075317984</c:v>
                </c:pt>
                <c:pt idx="524">
                  <c:v>-25.583413942265562</c:v>
                </c:pt>
                <c:pt idx="525">
                  <c:v>-25.687916332770342</c:v>
                </c:pt>
                <c:pt idx="526">
                  <c:v>-25.79186047200232</c:v>
                </c:pt>
                <c:pt idx="527">
                  <c:v>-25.895253104179197</c:v>
                </c:pt>
                <c:pt idx="528">
                  <c:v>-25.9981008589778</c:v>
                </c:pt>
                <c:pt idx="529">
                  <c:v>-26.102781905863587</c:v>
                </c:pt>
                <c:pt idx="530">
                  <c:v>-26.20690613967875</c:v>
                </c:pt>
                <c:pt idx="531">
                  <c:v>-26.310480307550769</c:v>
                </c:pt>
                <c:pt idx="532">
                  <c:v>-26.413511042097969</c:v>
                </c:pt>
                <c:pt idx="533">
                  <c:v>-26.518434845177225</c:v>
                </c:pt>
                <c:pt idx="534">
                  <c:v>-26.622802783170453</c:v>
                </c:pt>
                <c:pt idx="535">
                  <c:v>-26.726621616825707</c:v>
                </c:pt>
                <c:pt idx="536">
                  <c:v>-26.829897992175376</c:v>
                </c:pt>
                <c:pt idx="537">
                  <c:v>-26.934964872284397</c:v>
                </c:pt>
                <c:pt idx="538">
                  <c:v>-27.039478086889122</c:v>
                </c:pt>
                <c:pt idx="539">
                  <c:v>-27.143444389494441</c:v>
                </c:pt>
                <c:pt idx="540">
                  <c:v>-27.246870419157901</c:v>
                </c:pt>
                <c:pt idx="541">
                  <c:v>-27.352196205337421</c:v>
                </c:pt>
                <c:pt idx="542">
                  <c:v>-27.456969515314942</c:v>
                </c:pt>
                <c:pt idx="543">
                  <c:v>-27.561197115780374</c:v>
                </c:pt>
                <c:pt idx="544">
                  <c:v>-27.664885658786382</c:v>
                </c:pt>
                <c:pt idx="545">
                  <c:v>-27.770424944016906</c:v>
                </c:pt>
                <c:pt idx="546">
                  <c:v>-27.875413641511596</c:v>
                </c:pt>
                <c:pt idx="547">
                  <c:v>-27.979858520497466</c:v>
                </c:pt>
                <c:pt idx="548">
                  <c:v>-28.083766235618135</c:v>
                </c:pt>
                <c:pt idx="549">
                  <c:v>-28.189527326697498</c:v>
                </c:pt>
                <c:pt idx="550">
                  <c:v>-28.29473986356172</c:v>
                </c:pt>
                <c:pt idx="551">
                  <c:v>-28.399410617525128</c:v>
                </c:pt>
                <c:pt idx="552">
                  <c:v>-28.503546245382829</c:v>
                </c:pt>
                <c:pt idx="553">
                  <c:v>-28.609585937134334</c:v>
                </c:pt>
                <c:pt idx="554">
                  <c:v>-28.715078767542529</c:v>
                </c:pt>
                <c:pt idx="555">
                  <c:v>-28.820031518669445</c:v>
                </c:pt>
                <c:pt idx="556">
                  <c:v>-28.924450857927923</c:v>
                </c:pt>
                <c:pt idx="557">
                  <c:v>-29.136552761876629</c:v>
                </c:pt>
                <c:pt idx="558">
                  <c:v>-29.346501888091233</c:v>
                </c:pt>
                <c:pt idx="559">
                  <c:v>-29.559091184475975</c:v>
                </c:pt>
                <c:pt idx="560">
                  <c:v>-29.76953809977616</c:v>
                </c:pt>
                <c:pt idx="561">
                  <c:v>-29.982814101179166</c:v>
                </c:pt>
                <c:pt idx="562">
                  <c:v>-30.193955276475663</c:v>
                </c:pt>
                <c:pt idx="563">
                  <c:v>-30.407478529195711</c:v>
                </c:pt>
                <c:pt idx="564">
                  <c:v>-30.618884411546109</c:v>
                </c:pt>
                <c:pt idx="565">
                  <c:v>-30.833477063926825</c:v>
                </c:pt>
                <c:pt idx="566">
                  <c:v>-31.045954842304567</c:v>
                </c:pt>
                <c:pt idx="567">
                  <c:v>-31.261519594007595</c:v>
                </c:pt>
                <c:pt idx="568">
                  <c:v>-31.474975354381165</c:v>
                </c:pt>
                <c:pt idx="569">
                  <c:v>-31.690582986552634</c:v>
                </c:pt>
                <c:pt idx="570">
                  <c:v>-31.904106887906472</c:v>
                </c:pt>
                <c:pt idx="571">
                  <c:v>-32.121377621169515</c:v>
                </c:pt>
                <c:pt idx="572">
                  <c:v>-32.336560183953658</c:v>
                </c:pt>
                <c:pt idx="573">
                  <c:v>-32.5537565619329</c:v>
                </c:pt>
                <c:pt idx="574">
                  <c:v>-32.768895033062108</c:v>
                </c:pt>
                <c:pt idx="575">
                  <c:v>-32.987589985389945</c:v>
                </c:pt>
                <c:pt idx="576">
                  <c:v>-33.204229117395577</c:v>
                </c:pt>
                <c:pt idx="577">
                  <c:v>-34.099814216120471</c:v>
                </c:pt>
                <c:pt idx="578">
                  <c:v>-34.963207826083419</c:v>
                </c:pt>
                <c:pt idx="579">
                  <c:v>-36.75801304377844</c:v>
                </c:pt>
                <c:pt idx="580">
                  <c:v>-38.600540705485962</c:v>
                </c:pt>
                <c:pt idx="581">
                  <c:v>-40.49884297337077</c:v>
                </c:pt>
                <c:pt idx="582">
                  <c:v>-42.466487494024321</c:v>
                </c:pt>
                <c:pt idx="583">
                  <c:v>-44.515675409405034</c:v>
                </c:pt>
                <c:pt idx="584">
                  <c:v>-46.662122861227211</c:v>
                </c:pt>
                <c:pt idx="585">
                  <c:v>-48.917973327795458</c:v>
                </c:pt>
                <c:pt idx="586">
                  <c:v>-51.294304943710323</c:v>
                </c:pt>
                <c:pt idx="587">
                  <c:v>-53.798897906449994</c:v>
                </c:pt>
                <c:pt idx="588">
                  <c:v>-56.430085988284624</c:v>
                </c:pt>
                <c:pt idx="589">
                  <c:v>-59.184571535468692</c:v>
                </c:pt>
                <c:pt idx="590">
                  <c:v>-62.050578173245668</c:v>
                </c:pt>
                <c:pt idx="591">
                  <c:v>-65.013749797110748</c:v>
                </c:pt>
                <c:pt idx="592">
                  <c:v>-68.057199494886746</c:v>
                </c:pt>
                <c:pt idx="593">
                  <c:v>-71.165274599029246</c:v>
                </c:pt>
                <c:pt idx="594">
                  <c:v>-74.321836997462626</c:v>
                </c:pt>
                <c:pt idx="595">
                  <c:v>-77.514208876344384</c:v>
                </c:pt>
                <c:pt idx="596">
                  <c:v>-80.730744452591225</c:v>
                </c:pt>
                <c:pt idx="597">
                  <c:v>-83.963425231726418</c:v>
                </c:pt>
                <c:pt idx="598">
                  <c:v>-87.2048226550599</c:v>
                </c:pt>
                <c:pt idx="599">
                  <c:v>-90.45090463176453</c:v>
                </c:pt>
                <c:pt idx="600">
                  <c:v>-93.697757544002798</c:v>
                </c:pt>
              </c:numCache>
            </c:numRef>
          </c:yVal>
          <c:smooth val="1"/>
          <c:extLst>
            <c:ext xmlns:c16="http://schemas.microsoft.com/office/drawing/2014/chart" uri="{C3380CC4-5D6E-409C-BE32-E72D297353CC}">
              <c16:uniqueId val="{00000000-62A0-439C-911C-8B918FC81F8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2A0-439C-911C-8B918FC81F8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Calculations'!$G$635</c:f>
              <c:numCache>
                <c:formatCode>0.00</c:formatCode>
                <c:ptCount val="1"/>
                <c:pt idx="0">
                  <c:v>99.596334850998332</c:v>
                </c:pt>
              </c:numCache>
            </c:numRef>
          </c:xVal>
          <c:yVal>
            <c:numRef>
              <c:f>'IL Stability Calculations'!$H$635</c:f>
              <c:numCache>
                <c:formatCode>0.00</c:formatCode>
                <c:ptCount val="1"/>
                <c:pt idx="0">
                  <c:v>69.986625854987324</c:v>
                </c:pt>
              </c:numCache>
            </c:numRef>
          </c:yVal>
          <c:smooth val="1"/>
          <c:extLst>
            <c:ext xmlns:c16="http://schemas.microsoft.com/office/drawing/2014/chart" uri="{C3380CC4-5D6E-409C-BE32-E72D297353CC}">
              <c16:uniqueId val="{00000002-62A0-439C-911C-8B918FC81F8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2A0-439C-911C-8B918FC81F8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Calculations'!$E$5</c:f>
              <c:numCache>
                <c:formatCode>0.0</c:formatCode>
                <c:ptCount val="1"/>
                <c:pt idx="0">
                  <c:v>0.16902642432534409</c:v>
                </c:pt>
              </c:numCache>
            </c:numRef>
          </c:xVal>
          <c:yVal>
            <c:numRef>
              <c:f>'IL Stability Calculations'!$AW$624</c:f>
              <c:numCache>
                <c:formatCode>0.0000</c:formatCode>
                <c:ptCount val="1"/>
                <c:pt idx="0">
                  <c:v>125.31779667546172</c:v>
                </c:pt>
              </c:numCache>
            </c:numRef>
          </c:yVal>
          <c:smooth val="1"/>
          <c:extLst>
            <c:ext xmlns:c16="http://schemas.microsoft.com/office/drawing/2014/chart" uri="{C3380CC4-5D6E-409C-BE32-E72D297353CC}">
              <c16:uniqueId val="{00000004-62A0-439C-911C-8B918FC81F8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2A0-439C-911C-8B918FC81F8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Calculations'!$O$4</c:f>
              <c:numCache>
                <c:formatCode>0</c:formatCode>
                <c:ptCount val="1"/>
                <c:pt idx="0">
                  <c:v>1308.1228199333864</c:v>
                </c:pt>
              </c:numCache>
            </c:numRef>
          </c:xVal>
          <c:yVal>
            <c:numRef>
              <c:f>'IL Stability Calculations'!$H$632</c:f>
              <c:numCache>
                <c:formatCode>0.00</c:formatCode>
                <c:ptCount val="1"/>
                <c:pt idx="0">
                  <c:v>44.739320964376887</c:v>
                </c:pt>
              </c:numCache>
            </c:numRef>
          </c:yVal>
          <c:smooth val="1"/>
          <c:extLst>
            <c:ext xmlns:c16="http://schemas.microsoft.com/office/drawing/2014/chart" uri="{C3380CC4-5D6E-409C-BE32-E72D297353CC}">
              <c16:uniqueId val="{00000006-62A0-439C-911C-8B918FC81F8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2A0-439C-911C-8B918FC81F8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Calculations'!$D$623</c:f>
              <c:numCache>
                <c:formatCode>0</c:formatCode>
                <c:ptCount val="1"/>
                <c:pt idx="0">
                  <c:v>318309.88618379069</c:v>
                </c:pt>
              </c:numCache>
            </c:numRef>
          </c:xVal>
          <c:yVal>
            <c:numRef>
              <c:f>'IL Stability Calculations'!$AW$623</c:f>
              <c:numCache>
                <c:formatCode>0.0000</c:formatCode>
                <c:ptCount val="1"/>
                <c:pt idx="0">
                  <c:v>-55.286387694790548</c:v>
                </c:pt>
              </c:numCache>
            </c:numRef>
          </c:yVal>
          <c:smooth val="1"/>
          <c:extLst>
            <c:ext xmlns:c16="http://schemas.microsoft.com/office/drawing/2014/chart" uri="{C3380CC4-5D6E-409C-BE32-E72D297353CC}">
              <c16:uniqueId val="{00000008-62A0-439C-911C-8B918FC81F8B}"/>
            </c:ext>
          </c:extLst>
        </c:ser>
        <c:dLbls>
          <c:showLegendKey val="0"/>
          <c:showVal val="0"/>
          <c:showCatName val="0"/>
          <c:showSerName val="0"/>
          <c:showPercent val="0"/>
          <c:showBubbleSize val="0"/>
        </c:dLbls>
        <c:axId val="196130688"/>
        <c:axId val="196141056"/>
      </c:scatterChar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2A0-439C-911C-8B918FC81F8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Calculations'!$D$627</c:f>
              <c:numCache>
                <c:formatCode>0</c:formatCode>
                <c:ptCount val="1"/>
                <c:pt idx="0">
                  <c:v>2053.4628879370248</c:v>
                </c:pt>
              </c:numCache>
            </c:numRef>
          </c:xVal>
          <c:yVal>
            <c:numRef>
              <c:f>'IL Stability Calculations'!$AW$627</c:f>
              <c:numCache>
                <c:formatCode>0.0000</c:formatCode>
                <c:ptCount val="1"/>
                <c:pt idx="0">
                  <c:v>38.248662523172555</c:v>
                </c:pt>
              </c:numCache>
            </c:numRef>
          </c:yVal>
          <c:smooth val="0"/>
          <c:extLst>
            <c:ext xmlns:c16="http://schemas.microsoft.com/office/drawing/2014/chart" uri="{C3380CC4-5D6E-409C-BE32-E72D297353CC}">
              <c16:uniqueId val="{0000000A-62A0-439C-911C-8B918FC81F8B}"/>
            </c:ext>
          </c:extLst>
        </c:ser>
        <c:ser>
          <c:idx val="11"/>
          <c:order val="9"/>
          <c:tx>
            <c:v>FzRHP</c:v>
          </c:tx>
          <c:spPr>
            <a:ln>
              <a:solidFill>
                <a:srgbClr val="FF00FF"/>
              </a:solidFill>
            </a:ln>
          </c:spPr>
          <c:marker>
            <c:symbol val="circle"/>
            <c:size val="8"/>
            <c:spPr>
              <a:noFill/>
              <a:ln w="19050">
                <a:solidFill>
                  <a:srgbClr val="FF00FF"/>
                </a:solidFill>
              </a:ln>
            </c:spPr>
          </c:marker>
          <c:dLbls>
            <c:dLbl>
              <c:idx val="0"/>
              <c:layout>
                <c:manualLayout>
                  <c:x val="-2.3423587921912771E-2"/>
                  <c:y val="2.9171863622686083E-2"/>
                </c:manualLayout>
              </c:layout>
              <c:tx>
                <c:rich>
                  <a:bodyPr/>
                  <a:lstStyle/>
                  <a:p>
                    <a:r>
                      <a:rPr lang="en-US"/>
                      <a:t>f</a:t>
                    </a:r>
                    <a:r>
                      <a:rPr lang="en-US" baseline="-25000"/>
                      <a:t>ZRHP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2A0-439C-911C-8B918FC81F8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'IL Stability Calculations'!$D$628</c:f>
              <c:numCache>
                <c:formatCode>0</c:formatCode>
                <c:ptCount val="1"/>
                <c:pt idx="0">
                  <c:v>10000000</c:v>
                </c:pt>
              </c:numCache>
            </c:numRef>
          </c:xVal>
          <c:yVal>
            <c:numRef>
              <c:f>'IL Stability Calculations'!$H$637</c:f>
              <c:numCache>
                <c:formatCode>0.00</c:formatCode>
                <c:ptCount val="1"/>
                <c:pt idx="0">
                  <c:v>-174.06548233767262</c:v>
                </c:pt>
              </c:numCache>
            </c:numRef>
          </c:yVal>
          <c:smooth val="0"/>
          <c:extLst>
            <c:ext xmlns:c16="http://schemas.microsoft.com/office/drawing/2014/chart" uri="{C3380CC4-5D6E-409C-BE32-E72D297353CC}">
              <c16:uniqueId val="{0000000C-62A0-439C-911C-8B918FC81F8B}"/>
            </c:ext>
          </c:extLst>
        </c:ser>
        <c:dLbls>
          <c:showLegendKey val="0"/>
          <c:showVal val="0"/>
          <c:showCatName val="0"/>
          <c:showSerName val="0"/>
          <c:showPercent val="0"/>
          <c:showBubbleSize val="0"/>
        </c:dLbls>
        <c:axId val="196130688"/>
        <c:axId val="196141056"/>
      </c:scatterChart>
      <c:scatterChart>
        <c:scatterStyle val="lineMarker"/>
        <c:varyColors val="0"/>
        <c:ser>
          <c:idx val="3"/>
          <c:order val="1"/>
          <c:tx>
            <c:v>Loop Phase</c:v>
          </c:tx>
          <c:spPr>
            <a:ln w="34925">
              <a:solidFill>
                <a:srgbClr val="002060"/>
              </a:solidFill>
              <a:prstDash val="sysDash"/>
            </a:ln>
          </c:spPr>
          <c:marker>
            <c:symbol val="none"/>
          </c:marker>
          <c:xVal>
            <c:numRef>
              <c:f>'IL Stability Calculations'!$D$13:$D$613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'IL Stability Calculations'!$AY$13:$AY$613</c:f>
              <c:numCache>
                <c:formatCode>0.00</c:formatCode>
                <c:ptCount val="601"/>
                <c:pt idx="0">
                  <c:v>97.62190217543359</c:v>
                </c:pt>
                <c:pt idx="1">
                  <c:v>96.717891339134084</c:v>
                </c:pt>
                <c:pt idx="2">
                  <c:v>95.8679242909744</c:v>
                </c:pt>
                <c:pt idx="3">
                  <c:v>95.065817712966322</c:v>
                </c:pt>
                <c:pt idx="4">
                  <c:v>94.306148023645449</c:v>
                </c:pt>
                <c:pt idx="5">
                  <c:v>93.582051956979726</c:v>
                </c:pt>
                <c:pt idx="6">
                  <c:v>92.889265958110641</c:v>
                </c:pt>
                <c:pt idx="7">
                  <c:v>92.222306580054962</c:v>
                </c:pt>
                <c:pt idx="8">
                  <c:v>91.576958711913889</c:v>
                </c:pt>
                <c:pt idx="9">
                  <c:v>90.948380695951386</c:v>
                </c:pt>
                <c:pt idx="10">
                  <c:v>90.332969896043991</c:v>
                </c:pt>
                <c:pt idx="11">
                  <c:v>89.72709736146868</c:v>
                </c:pt>
                <c:pt idx="12">
                  <c:v>89.127406593354337</c:v>
                </c:pt>
                <c:pt idx="13">
                  <c:v>88.532013887295307</c:v>
                </c:pt>
                <c:pt idx="14">
                  <c:v>87.93866692864087</c:v>
                </c:pt>
                <c:pt idx="15">
                  <c:v>87.346625626580106</c:v>
                </c:pt>
                <c:pt idx="16">
                  <c:v>86.755816732500165</c:v>
                </c:pt>
                <c:pt idx="17">
                  <c:v>86.167385410077301</c:v>
                </c:pt>
                <c:pt idx="18">
                  <c:v>85.583445188775855</c:v>
                </c:pt>
                <c:pt idx="19">
                  <c:v>85.007768086356833</c:v>
                </c:pt>
                <c:pt idx="20">
                  <c:v>84.44523927011484</c:v>
                </c:pt>
                <c:pt idx="21">
                  <c:v>83.902325953624796</c:v>
                </c:pt>
                <c:pt idx="22">
                  <c:v>83.386470944431238</c:v>
                </c:pt>
                <c:pt idx="23">
                  <c:v>82.906271181082772</c:v>
                </c:pt>
                <c:pt idx="24">
                  <c:v>82.470541919869873</c:v>
                </c:pt>
                <c:pt idx="25">
                  <c:v>82.088171891114541</c:v>
                </c:pt>
                <c:pt idx="26">
                  <c:v>81.767090299468776</c:v>
                </c:pt>
                <c:pt idx="27">
                  <c:v>81.513876715358364</c:v>
                </c:pt>
                <c:pt idx="28">
                  <c:v>81.332778056089523</c:v>
                </c:pt>
                <c:pt idx="29">
                  <c:v>81.225409038624804</c:v>
                </c:pt>
                <c:pt idx="30">
                  <c:v>81.190264657826944</c:v>
                </c:pt>
                <c:pt idx="31">
                  <c:v>81.223185612398353</c:v>
                </c:pt>
                <c:pt idx="32">
                  <c:v>81.317292732926262</c:v>
                </c:pt>
                <c:pt idx="33">
                  <c:v>81.463535727409493</c:v>
                </c:pt>
                <c:pt idx="34">
                  <c:v>81.651627304734376</c:v>
                </c:pt>
                <c:pt idx="35">
                  <c:v>81.870362454201896</c:v>
                </c:pt>
                <c:pt idx="36">
                  <c:v>82.108593663368524</c:v>
                </c:pt>
                <c:pt idx="37">
                  <c:v>82.355760157411822</c:v>
                </c:pt>
                <c:pt idx="38">
                  <c:v>82.601794374873947</c:v>
                </c:pt>
                <c:pt idx="39">
                  <c:v>82.838156795002206</c:v>
                </c:pt>
                <c:pt idx="40">
                  <c:v>83.05720833738647</c:v>
                </c:pt>
                <c:pt idx="41">
                  <c:v>83.252597912310506</c:v>
                </c:pt>
                <c:pt idx="42">
                  <c:v>83.419012713087952</c:v>
                </c:pt>
                <c:pt idx="43">
                  <c:v>83.552145389127901</c:v>
                </c:pt>
                <c:pt idx="44">
                  <c:v>83.648372045600354</c:v>
                </c:pt>
                <c:pt idx="45">
                  <c:v>83.704722721895479</c:v>
                </c:pt>
                <c:pt idx="46">
                  <c:v>83.718627981911169</c:v>
                </c:pt>
                <c:pt idx="47">
                  <c:v>83.687811259790763</c:v>
                </c:pt>
                <c:pt idx="48">
                  <c:v>83.610149143188693</c:v>
                </c:pt>
                <c:pt idx="49">
                  <c:v>83.483520720946117</c:v>
                </c:pt>
                <c:pt idx="50">
                  <c:v>83.305769946736405</c:v>
                </c:pt>
                <c:pt idx="51">
                  <c:v>83.074523085189895</c:v>
                </c:pt>
                <c:pt idx="52">
                  <c:v>82.787309516144873</c:v>
                </c:pt>
                <c:pt idx="53">
                  <c:v>82.441321979383559</c:v>
                </c:pt>
                <c:pt idx="54">
                  <c:v>82.033713170012192</c:v>
                </c:pt>
                <c:pt idx="55">
                  <c:v>81.560271137145648</c:v>
                </c:pt>
                <c:pt idx="56">
                  <c:v>81.017713606721415</c:v>
                </c:pt>
                <c:pt idx="57">
                  <c:v>80.401383984541212</c:v>
                </c:pt>
                <c:pt idx="58">
                  <c:v>79.707012820469018</c:v>
                </c:pt>
                <c:pt idx="59">
                  <c:v>78.928917009002191</c:v>
                </c:pt>
                <c:pt idx="60">
                  <c:v>78.061939806278232</c:v>
                </c:pt>
                <c:pt idx="61">
                  <c:v>77.100009354412705</c:v>
                </c:pt>
                <c:pt idx="62">
                  <c:v>76.036211483656601</c:v>
                </c:pt>
                <c:pt idx="63">
                  <c:v>74.864936508366227</c:v>
                </c:pt>
                <c:pt idx="64">
                  <c:v>73.578448726211022</c:v>
                </c:pt>
                <c:pt idx="65">
                  <c:v>72.170315617764118</c:v>
                </c:pt>
                <c:pt idx="66">
                  <c:v>70.633673507894656</c:v>
                </c:pt>
                <c:pt idx="67">
                  <c:v>68.962365511524951</c:v>
                </c:pt>
                <c:pt idx="68">
                  <c:v>67.150158990060675</c:v>
                </c:pt>
                <c:pt idx="69">
                  <c:v>65.192811658492516</c:v>
                </c:pt>
                <c:pt idx="70">
                  <c:v>63.08667296130389</c:v>
                </c:pt>
                <c:pt idx="71">
                  <c:v>60.830863769087017</c:v>
                </c:pt>
                <c:pt idx="72">
                  <c:v>58.426085033749288</c:v>
                </c:pt>
                <c:pt idx="73">
                  <c:v>55.87717966543245</c:v>
                </c:pt>
                <c:pt idx="74">
                  <c:v>53.191347813542947</c:v>
                </c:pt>
                <c:pt idx="75">
                  <c:v>50.380902631025066</c:v>
                </c:pt>
                <c:pt idx="76">
                  <c:v>47.461471634988527</c:v>
                </c:pt>
                <c:pt idx="77">
                  <c:v>44.454780812046948</c:v>
                </c:pt>
                <c:pt idx="78">
                  <c:v>41.385857991528979</c:v>
                </c:pt>
                <c:pt idx="79">
                  <c:v>38.285550066379471</c:v>
                </c:pt>
                <c:pt idx="80">
                  <c:v>35.180408074950748</c:v>
                </c:pt>
                <c:pt idx="81">
                  <c:v>32.108258128255216</c:v>
                </c:pt>
                <c:pt idx="82">
                  <c:v>29.100713479943067</c:v>
                </c:pt>
                <c:pt idx="83">
                  <c:v>26.192140597040179</c:v>
                </c:pt>
                <c:pt idx="84">
                  <c:v>23.409451109641708</c:v>
                </c:pt>
                <c:pt idx="85">
                  <c:v>20.778837377702189</c:v>
                </c:pt>
                <c:pt idx="86">
                  <c:v>18.318718742596019</c:v>
                </c:pt>
                <c:pt idx="87">
                  <c:v>16.040342993969745</c:v>
                </c:pt>
                <c:pt idx="88">
                  <c:v>13.951700729096501</c:v>
                </c:pt>
                <c:pt idx="89">
                  <c:v>12.050538167250437</c:v>
                </c:pt>
                <c:pt idx="90">
                  <c:v>10.331491645744535</c:v>
                </c:pt>
                <c:pt idx="91">
                  <c:v>8.7836445491157349</c:v>
                </c:pt>
                <c:pt idx="92">
                  <c:v>7.3930188113361908</c:v>
                </c:pt>
                <c:pt idx="93">
                  <c:v>6.1428424809574267</c:v>
                </c:pt>
                <c:pt idx="94">
                  <c:v>5.8503606036017288</c:v>
                </c:pt>
                <c:pt idx="95">
                  <c:v>5.706036074438515</c:v>
                </c:pt>
                <c:pt idx="96">
                  <c:v>5.5651743003620311</c:v>
                </c:pt>
                <c:pt idx="97">
                  <c:v>5.4244932749454051</c:v>
                </c:pt>
                <c:pt idx="98">
                  <c:v>5.2871637647714067</c:v>
                </c:pt>
                <c:pt idx="99">
                  <c:v>5.1499514206093124</c:v>
                </c:pt>
                <c:pt idx="100">
                  <c:v>5.01598290537612</c:v>
                </c:pt>
                <c:pt idx="101">
                  <c:v>4.8821717295998042</c:v>
                </c:pt>
                <c:pt idx="102">
                  <c:v>4.7514954079454981</c:v>
                </c:pt>
                <c:pt idx="103">
                  <c:v>4.6208192253645564</c:v>
                </c:pt>
                <c:pt idx="104">
                  <c:v>4.4931770221308795</c:v>
                </c:pt>
                <c:pt idx="105">
                  <c:v>4.3655749320450354</c:v>
                </c:pt>
                <c:pt idx="106">
                  <c:v>4.2409047205532602</c:v>
                </c:pt>
                <c:pt idx="107">
                  <c:v>4.1163058475289063</c:v>
                </c:pt>
                <c:pt idx="108">
                  <c:v>3.9945362202776948</c:v>
                </c:pt>
                <c:pt idx="109">
                  <c:v>3.8727794491268241</c:v>
                </c:pt>
                <c:pt idx="110">
                  <c:v>3.7537530201394418</c:v>
                </c:pt>
                <c:pt idx="111">
                  <c:v>3.6346065430076635</c:v>
                </c:pt>
                <c:pt idx="112">
                  <c:v>3.5180984484105693</c:v>
                </c:pt>
                <c:pt idx="113">
                  <c:v>3.4015008664698883</c:v>
                </c:pt>
                <c:pt idx="114">
                  <c:v>3.2874492525363337</c:v>
                </c:pt>
                <c:pt idx="115">
                  <c:v>3.1732598423119782</c:v>
                </c:pt>
                <c:pt idx="116">
                  <c:v>3.0615271525577725</c:v>
                </c:pt>
                <c:pt idx="117">
                  <c:v>2.9496110732159195</c:v>
                </c:pt>
                <c:pt idx="118">
                  <c:v>2.8400654815730206</c:v>
                </c:pt>
                <c:pt idx="119">
                  <c:v>2.7303591329111327</c:v>
                </c:pt>
                <c:pt idx="120">
                  <c:v>2.622937204715015</c:v>
                </c:pt>
                <c:pt idx="121">
                  <c:v>2.5153081143476186</c:v>
                </c:pt>
                <c:pt idx="122">
                  <c:v>2.4098805601870765</c:v>
                </c:pt>
                <c:pt idx="123">
                  <c:v>2.304141216335438</c:v>
                </c:pt>
                <c:pt idx="124">
                  <c:v>2.2005259654223153</c:v>
                </c:pt>
                <c:pt idx="125">
                  <c:v>2.0966199713626281</c:v>
                </c:pt>
                <c:pt idx="126">
                  <c:v>1.9947608785139437</c:v>
                </c:pt>
                <c:pt idx="127">
                  <c:v>1.8925708593154411</c:v>
                </c:pt>
                <c:pt idx="128">
                  <c:v>1.7923533418143904</c:v>
                </c:pt>
                <c:pt idx="129">
                  <c:v>1.6917664200840079</c:v>
                </c:pt>
                <c:pt idx="130">
                  <c:v>1.593080279302626</c:v>
                </c:pt>
                <c:pt idx="131">
                  <c:v>1.4939877825733276</c:v>
                </c:pt>
                <c:pt idx="132">
                  <c:v>1.4451331180902969</c:v>
                </c:pt>
                <c:pt idx="133">
                  <c:v>1.3967269208662856</c:v>
                </c:pt>
                <c:pt idx="134">
                  <c:v>1.3476250698896592</c:v>
                </c:pt>
                <c:pt idx="135">
                  <c:v>1.2989741414932041</c:v>
                </c:pt>
                <c:pt idx="136">
                  <c:v>1.2507648406297278</c:v>
                </c:pt>
                <c:pt idx="137">
                  <c:v>1.2029881155191049</c:v>
                </c:pt>
                <c:pt idx="138">
                  <c:v>1.1545649090072629</c:v>
                </c:pt>
                <c:pt idx="139">
                  <c:v>1.1065757401660505</c:v>
                </c:pt>
                <c:pt idx="140">
                  <c:v>1.0590116677215349</c:v>
                </c:pt>
                <c:pt idx="141">
                  <c:v>1.0118639848161877</c:v>
                </c:pt>
                <c:pt idx="142">
                  <c:v>0.96402073488533802</c:v>
                </c:pt>
                <c:pt idx="143">
                  <c:v>0.91659611227643722</c:v>
                </c:pt>
                <c:pt idx="144">
                  <c:v>0.86958149238674309</c:v>
                </c:pt>
                <c:pt idx="145">
                  <c:v>0.82296847727505451</c:v>
                </c:pt>
                <c:pt idx="146">
                  <c:v>0.77568285062352516</c:v>
                </c:pt>
                <c:pt idx="147">
                  <c:v>0.72880055950639644</c:v>
                </c:pt>
                <c:pt idx="148">
                  <c:v>0.68231330005070845</c:v>
                </c:pt>
                <c:pt idx="149">
                  <c:v>0.63621298696537565</c:v>
                </c:pt>
                <c:pt idx="150">
                  <c:v>0.58943903027557099</c:v>
                </c:pt>
                <c:pt idx="151">
                  <c:v>0.54305366888672779</c:v>
                </c:pt>
                <c:pt idx="152">
                  <c:v>0.49704891000538964</c:v>
                </c:pt>
                <c:pt idx="153">
                  <c:v>0.45141697150097571</c:v>
                </c:pt>
                <c:pt idx="154">
                  <c:v>0.4050890148977544</c:v>
                </c:pt>
                <c:pt idx="155">
                  <c:v>0.35913578806821533</c:v>
                </c:pt>
                <c:pt idx="156">
                  <c:v>0.31354958929222221</c:v>
                </c:pt>
                <c:pt idx="157">
                  <c:v>0.26832292012679204</c:v>
                </c:pt>
                <c:pt idx="158">
                  <c:v>0.22239993713421313</c:v>
                </c:pt>
                <c:pt idx="159">
                  <c:v>0.17683828174398286</c:v>
                </c:pt>
                <c:pt idx="160">
                  <c:v>0.13163053550741211</c:v>
                </c:pt>
                <c:pt idx="161">
                  <c:v>8.6769475984169731E-2</c:v>
                </c:pt>
                <c:pt idx="162">
                  <c:v>4.1231507279178459E-2</c:v>
                </c:pt>
                <c:pt idx="163">
                  <c:v>-3.9583860256584558E-3</c:v>
                </c:pt>
                <c:pt idx="164">
                  <c:v>-4.8807337673082429E-2</c:v>
                </c:pt>
                <c:pt idx="165">
                  <c:v>-9.3322292864854717E-2</c:v>
                </c:pt>
                <c:pt idx="166">
                  <c:v>-0.13855448508684276</c:v>
                </c:pt>
                <c:pt idx="167">
                  <c:v>-0.18345079446373802</c:v>
                </c:pt>
                <c:pt idx="168">
                  <c:v>-0.22801809678838936</c:v>
                </c:pt>
                <c:pt idx="169">
                  <c:v>-0.27226308597997217</c:v>
                </c:pt>
                <c:pt idx="170">
                  <c:v>-0.31713155255226866</c:v>
                </c:pt>
                <c:pt idx="171">
                  <c:v>-0.36167728725405368</c:v>
                </c:pt>
                <c:pt idx="172">
                  <c:v>-0.40590687339414444</c:v>
                </c:pt>
                <c:pt idx="173">
                  <c:v>-0.44982672041939509</c:v>
                </c:pt>
                <c:pt idx="174">
                  <c:v>-0.49453877259941237</c:v>
                </c:pt>
                <c:pt idx="175">
                  <c:v>-0.53893837814558765</c:v>
                </c:pt>
                <c:pt idx="176">
                  <c:v>-0.58303191022270084</c:v>
                </c:pt>
                <c:pt idx="177">
                  <c:v>-0.62682557337910794</c:v>
                </c:pt>
                <c:pt idx="178">
                  <c:v>-0.67139142589593348</c:v>
                </c:pt>
                <c:pt idx="179">
                  <c:v>-0.71565514797282503</c:v>
                </c:pt>
                <c:pt idx="180">
                  <c:v>-0.75962289715533871</c:v>
                </c:pt>
                <c:pt idx="181">
                  <c:v>-0.803300667919018</c:v>
                </c:pt>
                <c:pt idx="182">
                  <c:v>-0.8475593105227972</c:v>
                </c:pt>
                <c:pt idx="183">
                  <c:v>-0.89152836164464588</c:v>
                </c:pt>
                <c:pt idx="184">
                  <c:v>-0.93521369140225374</c:v>
                </c:pt>
                <c:pt idx="185">
                  <c:v>-0.97862101502056476</c:v>
                </c:pt>
                <c:pt idx="186">
                  <c:v>-1.0229362025653472</c:v>
                </c:pt>
                <c:pt idx="187">
                  <c:v>-1.0669696624876792</c:v>
                </c:pt>
                <c:pt idx="188">
                  <c:v>-1.1107271150529812</c:v>
                </c:pt>
                <c:pt idx="189">
                  <c:v>-1.1542141290850907</c:v>
                </c:pt>
                <c:pt idx="190">
                  <c:v>-1.198258431863394</c:v>
                </c:pt>
                <c:pt idx="191">
                  <c:v>-1.242033093350301</c:v>
                </c:pt>
                <c:pt idx="192">
                  <c:v>-1.2855435525861481</c:v>
                </c:pt>
                <c:pt idx="193">
                  <c:v>-1.3287951053210065</c:v>
                </c:pt>
                <c:pt idx="194">
                  <c:v>-1.3729168242585388</c:v>
                </c:pt>
                <c:pt idx="195">
                  <c:v>-1.4167767399346758</c:v>
                </c:pt>
                <c:pt idx="196">
                  <c:v>-1.4603801347130059</c:v>
                </c:pt>
                <c:pt idx="197">
                  <c:v>-1.5037321515438293</c:v>
                </c:pt>
                <c:pt idx="198">
                  <c:v>-1.547778998188619</c:v>
                </c:pt>
                <c:pt idx="199">
                  <c:v>-1.5915737697547172</c:v>
                </c:pt>
                <c:pt idx="200">
                  <c:v>-1.6351215318474601</c:v>
                </c:pt>
                <c:pt idx="201">
                  <c:v>-1.6784272167191148</c:v>
                </c:pt>
                <c:pt idx="202">
                  <c:v>-1.7224159600916096</c:v>
                </c:pt>
                <c:pt idx="203">
                  <c:v>-1.7661621352087025</c:v>
                </c:pt>
                <c:pt idx="204">
                  <c:v>-1.8096705945715144</c:v>
                </c:pt>
                <c:pt idx="205">
                  <c:v>-1.8529460633342012</c:v>
                </c:pt>
                <c:pt idx="206">
                  <c:v>-1.8970439180419021</c:v>
                </c:pt>
                <c:pt idx="207">
                  <c:v>-1.9409068851451821</c:v>
                </c:pt>
                <c:pt idx="208">
                  <c:v>-1.9845396557677191</c:v>
                </c:pt>
                <c:pt idx="209">
                  <c:v>-2.0279467979600554</c:v>
                </c:pt>
                <c:pt idx="210">
                  <c:v>-2.0723088389364364</c:v>
                </c:pt>
                <c:pt idx="211">
                  <c:v>-2.1164421536122404</c:v>
                </c:pt>
                <c:pt idx="212">
                  <c:v>-2.1603513144467854</c:v>
                </c:pt>
                <c:pt idx="213">
                  <c:v>-2.2040407736744783</c:v>
                </c:pt>
                <c:pt idx="214">
                  <c:v>-2.2483793002057553</c:v>
                </c:pt>
                <c:pt idx="215">
                  <c:v>-2.2924982687646605</c:v>
                </c:pt>
                <c:pt idx="216">
                  <c:v>-2.3364020411613922</c:v>
                </c:pt>
                <c:pt idx="217">
                  <c:v>-2.380094865094776</c:v>
                </c:pt>
                <c:pt idx="218">
                  <c:v>-2.4245700359116995</c:v>
                </c:pt>
                <c:pt idx="219">
                  <c:v>-2.4688331675259008</c:v>
                </c:pt>
                <c:pt idx="220">
                  <c:v>-2.5128884578100497</c:v>
                </c:pt>
                <c:pt idx="221">
                  <c:v>-2.5567399950702736</c:v>
                </c:pt>
                <c:pt idx="222">
                  <c:v>-2.6013626437170672</c:v>
                </c:pt>
                <c:pt idx="223">
                  <c:v>-2.6457806586198558</c:v>
                </c:pt>
                <c:pt idx="224">
                  <c:v>-2.6899980749595329</c:v>
                </c:pt>
                <c:pt idx="225">
                  <c:v>-2.7340188229040621</c:v>
                </c:pt>
                <c:pt idx="226">
                  <c:v>-2.778936584764125</c:v>
                </c:pt>
                <c:pt idx="227">
                  <c:v>-2.8236557892941221</c:v>
                </c:pt>
                <c:pt idx="228">
                  <c:v>-2.8681803461282414</c:v>
                </c:pt>
                <c:pt idx="229">
                  <c:v>-2.9125140632039859</c:v>
                </c:pt>
                <c:pt idx="230">
                  <c:v>-3.0027571247394462</c:v>
                </c:pt>
                <c:pt idx="231">
                  <c:v>-3.0475937489351281</c:v>
                </c:pt>
                <c:pt idx="232">
                  <c:v>-3.0922453792815077</c:v>
                </c:pt>
                <c:pt idx="233">
                  <c:v>-3.1377691015480593</c:v>
                </c:pt>
                <c:pt idx="234">
                  <c:v>-3.1831064528297759</c:v>
                </c:pt>
                <c:pt idx="235">
                  <c:v>-3.22826108523995</c:v>
                </c:pt>
                <c:pt idx="236">
                  <c:v>-3.2732365561852532</c:v>
                </c:pt>
                <c:pt idx="237">
                  <c:v>-3.31894351744387</c:v>
                </c:pt>
                <c:pt idx="238">
                  <c:v>-3.3644711664366298</c:v>
                </c:pt>
                <c:pt idx="239">
                  <c:v>-3.4098229958758566</c:v>
                </c:pt>
                <c:pt idx="240">
                  <c:v>-3.4550024083729909</c:v>
                </c:pt>
                <c:pt idx="241">
                  <c:v>-3.5011613628198006</c:v>
                </c:pt>
                <c:pt idx="242">
                  <c:v>-3.5471459415403217</c:v>
                </c:pt>
                <c:pt idx="243">
                  <c:v>-3.5929595381116144</c:v>
                </c:pt>
                <c:pt idx="244">
                  <c:v>-3.6386054585844363</c:v>
                </c:pt>
                <c:pt idx="245">
                  <c:v>-3.6850929853123944</c:v>
                </c:pt>
                <c:pt idx="246">
                  <c:v>-3.7314120390119569</c:v>
                </c:pt>
                <c:pt idx="247">
                  <c:v>-3.7775658846897215</c:v>
                </c:pt>
                <c:pt idx="248">
                  <c:v>-3.8235577034426171</c:v>
                </c:pt>
                <c:pt idx="249">
                  <c:v>-3.8705065107523922</c:v>
                </c:pt>
                <c:pt idx="250">
                  <c:v>-3.917291790249493</c:v>
                </c:pt>
                <c:pt idx="251">
                  <c:v>-3.9639167047673709</c:v>
                </c:pt>
                <c:pt idx="252">
                  <c:v>-4.0103843359731002</c:v>
                </c:pt>
                <c:pt idx="253">
                  <c:v>-4.057676217983186</c:v>
                </c:pt>
                <c:pt idx="254">
                  <c:v>-4.1048103359440518</c:v>
                </c:pt>
                <c:pt idx="255">
                  <c:v>-4.1517897257038783</c:v>
                </c:pt>
                <c:pt idx="256">
                  <c:v>-4.1986173455617291</c:v>
                </c:pt>
                <c:pt idx="257">
                  <c:v>-4.246503419158671</c:v>
                </c:pt>
                <c:pt idx="258">
                  <c:v>-4.2942358250925849</c:v>
                </c:pt>
                <c:pt idx="259">
                  <c:v>-4.3418175190130341</c:v>
                </c:pt>
                <c:pt idx="260">
                  <c:v>-4.3892513810760079</c:v>
                </c:pt>
                <c:pt idx="261">
                  <c:v>-4.4376133007474152</c:v>
                </c:pt>
                <c:pt idx="262">
                  <c:v>-4.4858264546424778</c:v>
                </c:pt>
                <c:pt idx="263">
                  <c:v>-4.5338936940379426</c:v>
                </c:pt>
                <c:pt idx="264">
                  <c:v>-4.5818177976150878</c:v>
                </c:pt>
                <c:pt idx="265">
                  <c:v>-4.6306617585857737</c:v>
                </c:pt>
                <c:pt idx="266">
                  <c:v>-4.6793618007532416</c:v>
                </c:pt>
                <c:pt idx="267">
                  <c:v>-4.7279206716067392</c:v>
                </c:pt>
                <c:pt idx="268">
                  <c:v>-4.7763410489417879</c:v>
                </c:pt>
                <c:pt idx="269">
                  <c:v>-4.8257901758104254</c:v>
                </c:pt>
                <c:pt idx="270">
                  <c:v>-4.8750995084868407</c:v>
                </c:pt>
                <c:pt idx="271">
                  <c:v>-4.9242717103255984</c:v>
                </c:pt>
                <c:pt idx="272">
                  <c:v>-4.9733093772460393</c:v>
                </c:pt>
                <c:pt idx="273">
                  <c:v>-5.0233669021375817</c:v>
                </c:pt>
                <c:pt idx="274">
                  <c:v>-5.0732887676959422</c:v>
                </c:pt>
                <c:pt idx="275">
                  <c:v>-5.1230775519659915</c:v>
                </c:pt>
                <c:pt idx="276">
                  <c:v>-5.1727357678751957</c:v>
                </c:pt>
                <c:pt idx="277">
                  <c:v>-5.2232916482836345</c:v>
                </c:pt>
                <c:pt idx="278">
                  <c:v>-5.2737165810139572</c:v>
                </c:pt>
                <c:pt idx="279">
                  <c:v>-5.3240130416519946</c:v>
                </c:pt>
                <c:pt idx="280">
                  <c:v>-5.3741834435760438</c:v>
                </c:pt>
                <c:pt idx="281">
                  <c:v>-5.4255841074648288</c:v>
                </c:pt>
                <c:pt idx="282">
                  <c:v>-5.4768567582958099</c:v>
                </c:pt>
                <c:pt idx="283">
                  <c:v>-5.5280038186279796</c:v>
                </c:pt>
                <c:pt idx="284">
                  <c:v>-5.5790276500879372</c:v>
                </c:pt>
                <c:pt idx="285">
                  <c:v>-5.6309362216404679</c:v>
                </c:pt>
                <c:pt idx="286">
                  <c:v>-5.6827214162496773</c:v>
                </c:pt>
                <c:pt idx="287">
                  <c:v>-5.7343855547524925</c:v>
                </c:pt>
                <c:pt idx="288">
                  <c:v>-5.7859308999677808</c:v>
                </c:pt>
                <c:pt idx="289">
                  <c:v>-5.8386881854229387</c:v>
                </c:pt>
                <c:pt idx="290">
                  <c:v>-5.8913250983558214</c:v>
                </c:pt>
                <c:pt idx="291">
                  <c:v>-5.9438439030732582</c:v>
                </c:pt>
                <c:pt idx="292">
                  <c:v>-5.9962468072898218</c:v>
                </c:pt>
                <c:pt idx="293">
                  <c:v>-6.0497429989103466</c:v>
                </c:pt>
                <c:pt idx="294">
                  <c:v>-6.1031223727874533</c:v>
                </c:pt>
                <c:pt idx="295">
                  <c:v>-6.1563871206147951</c:v>
                </c:pt>
                <c:pt idx="296">
                  <c:v>-6.2095393794670031</c:v>
                </c:pt>
                <c:pt idx="297">
                  <c:v>-6.2637780450096443</c:v>
                </c:pt>
                <c:pt idx="298">
                  <c:v>-6.317903434862103</c:v>
                </c:pt>
                <c:pt idx="299">
                  <c:v>-6.3719176678548877</c:v>
                </c:pt>
                <c:pt idx="300">
                  <c:v>-6.425822810191903</c:v>
                </c:pt>
                <c:pt idx="301">
                  <c:v>-6.4808079941624612</c:v>
                </c:pt>
                <c:pt idx="302">
                  <c:v>-6.5356834183932051</c:v>
                </c:pt>
                <c:pt idx="303">
                  <c:v>-6.5904511290142693</c:v>
                </c:pt>
                <c:pt idx="304">
                  <c:v>-6.6451131215285102</c:v>
                </c:pt>
                <c:pt idx="305">
                  <c:v>-6.7010634322096507</c:v>
                </c:pt>
                <c:pt idx="306">
                  <c:v>-6.7569066500928159</c:v>
                </c:pt>
                <c:pt idx="307">
                  <c:v>-6.8126447717074541</c:v>
                </c:pt>
                <c:pt idx="308">
                  <c:v>-6.8682797442066033</c:v>
                </c:pt>
                <c:pt idx="309">
                  <c:v>-6.9249826419744522</c:v>
                </c:pt>
                <c:pt idx="310">
                  <c:v>-6.9815819496016047</c:v>
                </c:pt>
                <c:pt idx="311">
                  <c:v>-7.038079590279267</c:v>
                </c:pt>
                <c:pt idx="312">
                  <c:v>-7.094477439862743</c:v>
                </c:pt>
                <c:pt idx="313">
                  <c:v>-7.1521492876929642</c:v>
                </c:pt>
                <c:pt idx="314">
                  <c:v>-7.2097202561328118</c:v>
                </c:pt>
                <c:pt idx="315">
                  <c:v>-7.2671922165143314</c:v>
                </c:pt>
                <c:pt idx="316">
                  <c:v>-7.3245669941796052</c:v>
                </c:pt>
                <c:pt idx="317">
                  <c:v>-7.3832090161454857</c:v>
                </c:pt>
                <c:pt idx="318">
                  <c:v>-7.4417529030466767</c:v>
                </c:pt>
                <c:pt idx="319">
                  <c:v>-7.5002004729759904</c:v>
                </c:pt>
                <c:pt idx="320">
                  <c:v>-7.5585534994377497</c:v>
                </c:pt>
                <c:pt idx="321">
                  <c:v>-7.6181675107028184</c:v>
                </c:pt>
                <c:pt idx="322">
                  <c:v>-7.6776861499471067</c:v>
                </c:pt>
                <c:pt idx="323">
                  <c:v>-7.7371111810775801</c:v>
                </c:pt>
                <c:pt idx="324">
                  <c:v>-7.7964443248524731</c:v>
                </c:pt>
                <c:pt idx="325">
                  <c:v>-7.8570326550711798</c:v>
                </c:pt>
                <c:pt idx="326">
                  <c:v>-7.9175283818827893</c:v>
                </c:pt>
                <c:pt idx="327">
                  <c:v>-7.9779332144457555</c:v>
                </c:pt>
                <c:pt idx="328">
                  <c:v>-8.0382488202361344</c:v>
                </c:pt>
                <c:pt idx="329">
                  <c:v>-8.0999171202277864</c:v>
                </c:pt>
                <c:pt idx="330">
                  <c:v>-8.1614952815146751</c:v>
                </c:pt>
                <c:pt idx="331">
                  <c:v>-8.2229849664955452</c:v>
                </c:pt>
                <c:pt idx="332">
                  <c:v>-8.2843877971031077</c:v>
                </c:pt>
                <c:pt idx="333">
                  <c:v>-8.3470351872962851</c:v>
                </c:pt>
                <c:pt idx="334">
                  <c:v>-8.4095952112246266</c:v>
                </c:pt>
                <c:pt idx="335">
                  <c:v>-8.4720694756962587</c:v>
                </c:pt>
                <c:pt idx="336">
                  <c:v>-8.5344595485616708</c:v>
                </c:pt>
                <c:pt idx="337">
                  <c:v>-8.5982930772186421</c:v>
                </c:pt>
                <c:pt idx="338">
                  <c:v>-8.6620414479834835</c:v>
                </c:pt>
                <c:pt idx="339">
                  <c:v>-8.7257062272236965</c:v>
                </c:pt>
                <c:pt idx="340">
                  <c:v>-8.7892889433749133</c:v>
                </c:pt>
                <c:pt idx="341">
                  <c:v>-8.8543093034265894</c:v>
                </c:pt>
                <c:pt idx="342">
                  <c:v>-8.9192467532361377</c:v>
                </c:pt>
                <c:pt idx="343">
                  <c:v>-8.9841028173421478</c:v>
                </c:pt>
                <c:pt idx="344">
                  <c:v>-9.0488789834292902</c:v>
                </c:pt>
                <c:pt idx="345">
                  <c:v>-9.1149866938714865</c:v>
                </c:pt>
                <c:pt idx="346">
                  <c:v>-9.1810140111255407</c:v>
                </c:pt>
                <c:pt idx="347">
                  <c:v>-9.2469624102021157</c:v>
                </c:pt>
                <c:pt idx="348">
                  <c:v>-9.312833330589342</c:v>
                </c:pt>
                <c:pt idx="349">
                  <c:v>-9.3802319909566734</c:v>
                </c:pt>
                <c:pt idx="350">
                  <c:v>-9.4475522953805182</c:v>
                </c:pt>
                <c:pt idx="351">
                  <c:v>-9.5147956822012247</c:v>
                </c:pt>
                <c:pt idx="352">
                  <c:v>-9.5819635551604563</c:v>
                </c:pt>
                <c:pt idx="353">
                  <c:v>-9.6506538615719819</c:v>
                </c:pt>
                <c:pt idx="354">
                  <c:v>-9.7192678865556275</c:v>
                </c:pt>
                <c:pt idx="355">
                  <c:v>-9.7878070305030747</c:v>
                </c:pt>
                <c:pt idx="356">
                  <c:v>-9.8562726601789734</c:v>
                </c:pt>
                <c:pt idx="357">
                  <c:v>-9.9261564518196224</c:v>
                </c:pt>
                <c:pt idx="358">
                  <c:v>-9.9959662707318842</c:v>
                </c:pt>
                <c:pt idx="359">
                  <c:v>-10.065703472684419</c:v>
                </c:pt>
                <c:pt idx="360">
                  <c:v>-10.13536938100782</c:v>
                </c:pt>
                <c:pt idx="361">
                  <c:v>-10.206647404864441</c:v>
                </c:pt>
                <c:pt idx="362">
                  <c:v>-10.277853355002406</c:v>
                </c:pt>
                <c:pt idx="363">
                  <c:v>-10.34898855353606</c:v>
                </c:pt>
                <c:pt idx="364">
                  <c:v>-10.420054290987252</c:v>
                </c:pt>
                <c:pt idx="365">
                  <c:v>-10.492628785099754</c:v>
                </c:pt>
                <c:pt idx="366">
                  <c:v>-10.565133326685697</c:v>
                </c:pt>
                <c:pt idx="367">
                  <c:v>-10.637569197899296</c:v>
                </c:pt>
                <c:pt idx="368">
                  <c:v>-10.709937650352686</c:v>
                </c:pt>
                <c:pt idx="369">
                  <c:v>-10.784007348591274</c:v>
                </c:pt>
                <c:pt idx="370">
                  <c:v>-10.8580088550124</c:v>
                </c:pt>
                <c:pt idx="371">
                  <c:v>-10.931943421467906</c:v>
                </c:pt>
                <c:pt idx="372">
                  <c:v>-11.005812270015468</c:v>
                </c:pt>
                <c:pt idx="373">
                  <c:v>-11.081279882328062</c:v>
                </c:pt>
                <c:pt idx="374">
                  <c:v>-11.156681272739462</c:v>
                </c:pt>
                <c:pt idx="375">
                  <c:v>-11.232017656877844</c:v>
                </c:pt>
                <c:pt idx="376">
                  <c:v>-11.30729022151715</c:v>
                </c:pt>
                <c:pt idx="377">
                  <c:v>-11.384352765778232</c:v>
                </c:pt>
                <c:pt idx="378">
                  <c:v>-11.461350739806988</c:v>
                </c:pt>
                <c:pt idx="379">
                  <c:v>-11.538285331553112</c:v>
                </c:pt>
                <c:pt idx="380">
                  <c:v>-11.615157700786881</c:v>
                </c:pt>
                <c:pt idx="381">
                  <c:v>-11.693621217673922</c:v>
                </c:pt>
                <c:pt idx="382">
                  <c:v>-11.772022165430087</c:v>
                </c:pt>
                <c:pt idx="383">
                  <c:v>-11.850361694563162</c:v>
                </c:pt>
                <c:pt idx="384">
                  <c:v>-11.928640928386784</c:v>
                </c:pt>
                <c:pt idx="385">
                  <c:v>-12.008798759989929</c:v>
                </c:pt>
                <c:pt idx="386">
                  <c:v>-12.08889557510966</c:v>
                </c:pt>
                <c:pt idx="387">
                  <c:v>-12.168932498962789</c:v>
                </c:pt>
                <c:pt idx="388">
                  <c:v>-12.248910630177932</c:v>
                </c:pt>
                <c:pt idx="389">
                  <c:v>-12.33066651169861</c:v>
                </c:pt>
                <c:pt idx="390">
                  <c:v>-12.4123631120342</c:v>
                </c:pt>
                <c:pt idx="391">
                  <c:v>-12.494001525952427</c:v>
                </c:pt>
                <c:pt idx="392">
                  <c:v>-12.575582822404385</c:v>
                </c:pt>
                <c:pt idx="393">
                  <c:v>-12.658938354135756</c:v>
                </c:pt>
                <c:pt idx="394">
                  <c:v>-12.742236354788844</c:v>
                </c:pt>
                <c:pt idx="395">
                  <c:v>-12.825477888116922</c:v>
                </c:pt>
                <c:pt idx="396">
                  <c:v>-12.908663992848716</c:v>
                </c:pt>
                <c:pt idx="397">
                  <c:v>-12.993813241244112</c:v>
                </c:pt>
                <c:pt idx="398">
                  <c:v>-13.078906465731421</c:v>
                </c:pt>
                <c:pt idx="399">
                  <c:v>-13.163944705625397</c:v>
                </c:pt>
                <c:pt idx="400">
                  <c:v>-13.24892897580429</c:v>
                </c:pt>
                <c:pt idx="401">
                  <c:v>-13.335776848466423</c:v>
                </c:pt>
                <c:pt idx="402">
                  <c:v>-13.422570358594498</c:v>
                </c:pt>
                <c:pt idx="403">
                  <c:v>-13.50931051667655</c:v>
                </c:pt>
                <c:pt idx="404">
                  <c:v>-13.595998309490426</c:v>
                </c:pt>
                <c:pt idx="405">
                  <c:v>-13.684642227126403</c:v>
                </c:pt>
                <c:pt idx="406">
                  <c:v>-13.773233340841813</c:v>
                </c:pt>
                <c:pt idx="407">
                  <c:v>-13.861772635014603</c:v>
                </c:pt>
                <c:pt idx="408">
                  <c:v>-13.950261070957026</c:v>
                </c:pt>
                <c:pt idx="409">
                  <c:v>-14.04079785320954</c:v>
                </c:pt>
                <c:pt idx="410">
                  <c:v>-14.131283302304212</c:v>
                </c:pt>
                <c:pt idx="411">
                  <c:v>-14.221718378843036</c:v>
                </c:pt>
                <c:pt idx="412">
                  <c:v>-14.312104020934868</c:v>
                </c:pt>
                <c:pt idx="413">
                  <c:v>-14.404534798684438</c:v>
                </c:pt>
                <c:pt idx="414">
                  <c:v>-14.496915741090106</c:v>
                </c:pt>
                <c:pt idx="415">
                  <c:v>-14.589247784115656</c:v>
                </c:pt>
                <c:pt idx="416">
                  <c:v>-14.681531841831543</c:v>
                </c:pt>
                <c:pt idx="417">
                  <c:v>-14.775953052957476</c:v>
                </c:pt>
                <c:pt idx="418">
                  <c:v>-14.870325849503985</c:v>
                </c:pt>
                <c:pt idx="419">
                  <c:v>-14.96465114484738</c:v>
                </c:pt>
                <c:pt idx="420">
                  <c:v>-15.05892983100685</c:v>
                </c:pt>
                <c:pt idx="421">
                  <c:v>-15.155247907128796</c:v>
                </c:pt>
                <c:pt idx="422">
                  <c:v>-15.251519106939327</c:v>
                </c:pt>
                <c:pt idx="423">
                  <c:v>-15.347744317791097</c:v>
                </c:pt>
                <c:pt idx="424">
                  <c:v>-15.443924406321543</c:v>
                </c:pt>
                <c:pt idx="425">
                  <c:v>-15.542425214566009</c:v>
                </c:pt>
                <c:pt idx="426">
                  <c:v>-15.640880430488949</c:v>
                </c:pt>
                <c:pt idx="427">
                  <c:v>-15.739290922485935</c:v>
                </c:pt>
                <c:pt idx="428">
                  <c:v>-15.83765753865984</c:v>
                </c:pt>
                <c:pt idx="429">
                  <c:v>-15.938247432007557</c:v>
                </c:pt>
                <c:pt idx="430">
                  <c:v>-16.038793136373158</c:v>
                </c:pt>
                <c:pt idx="431">
                  <c:v>-16.139295497699777</c:v>
                </c:pt>
                <c:pt idx="432">
                  <c:v>-16.239755342166092</c:v>
                </c:pt>
                <c:pt idx="433">
                  <c:v>-16.342435946230239</c:v>
                </c:pt>
                <c:pt idx="434">
                  <c:v>-16.445073781905393</c:v>
                </c:pt>
                <c:pt idx="435">
                  <c:v>-16.547669672026132</c:v>
                </c:pt>
                <c:pt idx="436">
                  <c:v>-16.65022442020782</c:v>
                </c:pt>
                <c:pt idx="437">
                  <c:v>-16.755185867348047</c:v>
                </c:pt>
                <c:pt idx="438">
                  <c:v>-16.860105830193646</c:v>
                </c:pt>
                <c:pt idx="439">
                  <c:v>-16.964985112225861</c:v>
                </c:pt>
                <c:pt idx="440">
                  <c:v>-17.069824498132419</c:v>
                </c:pt>
                <c:pt idx="441">
                  <c:v>-17.177068066335664</c:v>
                </c:pt>
                <c:pt idx="442">
                  <c:v>-17.284271460699784</c:v>
                </c:pt>
                <c:pt idx="443">
                  <c:v>-17.391435464424831</c:v>
                </c:pt>
                <c:pt idx="444">
                  <c:v>-17.498560842365606</c:v>
                </c:pt>
                <c:pt idx="445">
                  <c:v>-17.608088111858791</c:v>
                </c:pt>
                <c:pt idx="446">
                  <c:v>-17.717576537120721</c:v>
                </c:pt>
                <c:pt idx="447">
                  <c:v>-17.827026880291726</c:v>
                </c:pt>
                <c:pt idx="448">
                  <c:v>-17.936439885636588</c:v>
                </c:pt>
                <c:pt idx="449">
                  <c:v>-18.04844011989556</c:v>
                </c:pt>
                <c:pt idx="450">
                  <c:v>-18.160402727402271</c:v>
                </c:pt>
                <c:pt idx="451">
                  <c:v>-18.272328452280192</c:v>
                </c:pt>
                <c:pt idx="452">
                  <c:v>-18.384218021141862</c:v>
                </c:pt>
                <c:pt idx="453">
                  <c:v>-18.498598987480108</c:v>
                </c:pt>
                <c:pt idx="454">
                  <c:v>-18.612943628388933</c:v>
                </c:pt>
                <c:pt idx="455">
                  <c:v>-18.7272526672146</c:v>
                </c:pt>
                <c:pt idx="456">
                  <c:v>-18.841526810236218</c:v>
                </c:pt>
                <c:pt idx="457">
                  <c:v>-18.958477432246809</c:v>
                </c:pt>
                <c:pt idx="458">
                  <c:v>-19.075392927751011</c:v>
                </c:pt>
                <c:pt idx="459">
                  <c:v>-19.192274002013079</c:v>
                </c:pt>
                <c:pt idx="460">
                  <c:v>-19.309121343576436</c:v>
                </c:pt>
                <c:pt idx="461">
                  <c:v>-19.428643162919542</c:v>
                </c:pt>
                <c:pt idx="462">
                  <c:v>-19.548131074273783</c:v>
                </c:pt>
                <c:pt idx="463">
                  <c:v>-19.66758576383657</c:v>
                </c:pt>
                <c:pt idx="464">
                  <c:v>-19.787007901452426</c:v>
                </c:pt>
                <c:pt idx="465">
                  <c:v>-19.909195972437999</c:v>
                </c:pt>
                <c:pt idx="466">
                  <c:v>-20.031351316872076</c:v>
                </c:pt>
                <c:pt idx="467">
                  <c:v>-20.153474602525733</c:v>
                </c:pt>
                <c:pt idx="468">
                  <c:v>-20.275566481147735</c:v>
                </c:pt>
                <c:pt idx="469">
                  <c:v>-20.400422525978968</c:v>
                </c:pt>
                <c:pt idx="470">
                  <c:v>-20.525247038887272</c:v>
                </c:pt>
                <c:pt idx="471">
                  <c:v>-20.650040668238859</c:v>
                </c:pt>
                <c:pt idx="472">
                  <c:v>-20.77480404672275</c:v>
                </c:pt>
                <c:pt idx="473">
                  <c:v>-20.902516150800267</c:v>
                </c:pt>
                <c:pt idx="474">
                  <c:v>-21.030197835804159</c:v>
                </c:pt>
                <c:pt idx="475">
                  <c:v>-21.157849732529286</c:v>
                </c:pt>
                <c:pt idx="476">
                  <c:v>-21.285472456358605</c:v>
                </c:pt>
                <c:pt idx="477">
                  <c:v>-21.416042228334845</c:v>
                </c:pt>
                <c:pt idx="478">
                  <c:v>-21.546582706964955</c:v>
                </c:pt>
                <c:pt idx="479">
                  <c:v>-21.67709450428373</c:v>
                </c:pt>
                <c:pt idx="480">
                  <c:v>-21.8075782171951</c:v>
                </c:pt>
                <c:pt idx="481">
                  <c:v>-21.941007472742882</c:v>
                </c:pt>
                <c:pt idx="482">
                  <c:v>-22.074408565473192</c:v>
                </c:pt>
                <c:pt idx="483">
                  <c:v>-22.207782087546235</c:v>
                </c:pt>
                <c:pt idx="484">
                  <c:v>-22.341128616286824</c:v>
                </c:pt>
                <c:pt idx="485">
                  <c:v>-22.47751217098812</c:v>
                </c:pt>
                <c:pt idx="486">
                  <c:v>-22.613868653828177</c:v>
                </c:pt>
                <c:pt idx="487">
                  <c:v>-22.750198637197656</c:v>
                </c:pt>
                <c:pt idx="488">
                  <c:v>-22.886502678910347</c:v>
                </c:pt>
                <c:pt idx="489">
                  <c:v>-23.026027955611085</c:v>
                </c:pt>
                <c:pt idx="490">
                  <c:v>-23.165527177946558</c:v>
                </c:pt>
                <c:pt idx="491">
                  <c:v>-23.305000899537674</c:v>
                </c:pt>
                <c:pt idx="492">
                  <c:v>-23.444449659612985</c:v>
                </c:pt>
                <c:pt idx="493">
                  <c:v>-23.587118278573257</c:v>
                </c:pt>
                <c:pt idx="494">
                  <c:v>-23.729761858559897</c:v>
                </c:pt>
                <c:pt idx="495">
                  <c:v>-23.872380932942974</c:v>
                </c:pt>
                <c:pt idx="496">
                  <c:v>-24.014976020898899</c:v>
                </c:pt>
                <c:pt idx="497">
                  <c:v>-24.160882359060253</c:v>
                </c:pt>
                <c:pt idx="498">
                  <c:v>-24.306764631740293</c:v>
                </c:pt>
                <c:pt idx="499">
                  <c:v>-24.452623351574744</c:v>
                </c:pt>
                <c:pt idx="500">
                  <c:v>-24.598459017168778</c:v>
                </c:pt>
                <c:pt idx="501">
                  <c:v>-24.747697296489861</c:v>
                </c:pt>
                <c:pt idx="502">
                  <c:v>-24.89691243904926</c:v>
                </c:pt>
                <c:pt idx="503">
                  <c:v>-25.04610493604963</c:v>
                </c:pt>
                <c:pt idx="504">
                  <c:v>-25.195275264798084</c:v>
                </c:pt>
                <c:pt idx="505">
                  <c:v>-25.347847024370992</c:v>
                </c:pt>
                <c:pt idx="506">
                  <c:v>-25.50039655372322</c:v>
                </c:pt>
                <c:pt idx="507">
                  <c:v>-25.652924320867896</c:v>
                </c:pt>
                <c:pt idx="508">
                  <c:v>-25.805430780057378</c:v>
                </c:pt>
                <c:pt idx="509">
                  <c:v>-25.96143004860923</c:v>
                </c:pt>
                <c:pt idx="510">
                  <c:v>-26.117407934989217</c:v>
                </c:pt>
                <c:pt idx="511">
                  <c:v>-26.273364883023532</c:v>
                </c:pt>
                <c:pt idx="512">
                  <c:v>-26.429301322877137</c:v>
                </c:pt>
                <c:pt idx="513">
                  <c:v>-26.588914321177981</c:v>
                </c:pt>
                <c:pt idx="514">
                  <c:v>-26.748506697078994</c:v>
                </c:pt>
                <c:pt idx="515">
                  <c:v>-26.908078869684829</c:v>
                </c:pt>
                <c:pt idx="516">
                  <c:v>-27.067631244471585</c:v>
                </c:pt>
                <c:pt idx="517">
                  <c:v>-27.230859017855323</c:v>
                </c:pt>
                <c:pt idx="518">
                  <c:v>-27.394066882160701</c:v>
                </c:pt>
                <c:pt idx="519">
                  <c:v>-27.557255229438056</c:v>
                </c:pt>
                <c:pt idx="520">
                  <c:v>-27.720424438139105</c:v>
                </c:pt>
                <c:pt idx="521">
                  <c:v>-27.887360260571654</c:v>
                </c:pt>
                <c:pt idx="522">
                  <c:v>-28.054276805323781</c:v>
                </c:pt>
                <c:pt idx="523">
                  <c:v>-28.221174435577979</c:v>
                </c:pt>
                <c:pt idx="524">
                  <c:v>-28.388053500907915</c:v>
                </c:pt>
                <c:pt idx="525">
                  <c:v>-28.558790315555285</c:v>
                </c:pt>
                <c:pt idx="526">
                  <c:v>-28.729508390893869</c:v>
                </c:pt>
                <c:pt idx="527">
                  <c:v>-28.900208059109758</c:v>
                </c:pt>
                <c:pt idx="528">
                  <c:v>-29.070889638732382</c:v>
                </c:pt>
                <c:pt idx="529">
                  <c:v>-29.245520005942865</c:v>
                </c:pt>
                <c:pt idx="530">
                  <c:v>-29.420132066133561</c:v>
                </c:pt>
                <c:pt idx="531">
                  <c:v>-29.59472611802363</c:v>
                </c:pt>
                <c:pt idx="532">
                  <c:v>-29.769302446583481</c:v>
                </c:pt>
                <c:pt idx="533">
                  <c:v>-29.94801069020275</c:v>
                </c:pt>
                <c:pt idx="534">
                  <c:v>-30.126700919362435</c:v>
                </c:pt>
                <c:pt idx="535">
                  <c:v>-30.30537339686947</c:v>
                </c:pt>
                <c:pt idx="536">
                  <c:v>-30.484028371616773</c:v>
                </c:pt>
                <c:pt idx="537">
                  <c:v>-30.666721638208742</c:v>
                </c:pt>
                <c:pt idx="538">
                  <c:v>-30.849397081438696</c:v>
                </c:pt>
                <c:pt idx="539">
                  <c:v>-31.0320549241371</c:v>
                </c:pt>
                <c:pt idx="540">
                  <c:v>-31.214695375064338</c:v>
                </c:pt>
                <c:pt idx="541">
                  <c:v>-31.401649044024509</c:v>
                </c:pt>
                <c:pt idx="542">
                  <c:v>-31.588584885301429</c:v>
                </c:pt>
                <c:pt idx="543">
                  <c:v>-31.77550307874597</c:v>
                </c:pt>
                <c:pt idx="544">
                  <c:v>-31.96240378987261</c:v>
                </c:pt>
                <c:pt idx="545">
                  <c:v>-32.153615954965375</c:v>
                </c:pt>
                <c:pt idx="546">
                  <c:v>-32.344810124148722</c:v>
                </c:pt>
                <c:pt idx="547">
                  <c:v>-32.53598642977127</c:v>
                </c:pt>
                <c:pt idx="548">
                  <c:v>-32.727144989561396</c:v>
                </c:pt>
                <c:pt idx="549">
                  <c:v>-32.922705142113387</c:v>
                </c:pt>
                <c:pt idx="550">
                  <c:v>-33.118246922249597</c:v>
                </c:pt>
                <c:pt idx="551">
                  <c:v>-33.313770410137181</c:v>
                </c:pt>
                <c:pt idx="552">
                  <c:v>-33.509275670974944</c:v>
                </c:pt>
                <c:pt idx="553">
                  <c:v>-33.709364398261755</c:v>
                </c:pt>
                <c:pt idx="554">
                  <c:v>-33.909434121476863</c:v>
                </c:pt>
                <c:pt idx="555">
                  <c:v>-34.109484863379919</c:v>
                </c:pt>
                <c:pt idx="556">
                  <c:v>-34.309516631326943</c:v>
                </c:pt>
                <c:pt idx="557">
                  <c:v>-34.718906064776007</c:v>
                </c:pt>
                <c:pt idx="558">
                  <c:v>-35.128215689796377</c:v>
                </c:pt>
                <c:pt idx="559">
                  <c:v>-35.546824131469862</c:v>
                </c:pt>
                <c:pt idx="560">
                  <c:v>-35.9653477054039</c:v>
                </c:pt>
                <c:pt idx="561">
                  <c:v>-36.393712057461158</c:v>
                </c:pt>
                <c:pt idx="562">
                  <c:v>-36.821984893635914</c:v>
                </c:pt>
                <c:pt idx="563">
                  <c:v>-37.259351869601346</c:v>
                </c:pt>
                <c:pt idx="564">
                  <c:v>-37.696619460724605</c:v>
                </c:pt>
                <c:pt idx="565">
                  <c:v>-38.144804921039849</c:v>
                </c:pt>
                <c:pt idx="566">
                  <c:v>-38.592880522216944</c:v>
                </c:pt>
                <c:pt idx="567">
                  <c:v>-39.051857104483446</c:v>
                </c:pt>
                <c:pt idx="568">
                  <c:v>-39.510711282067007</c:v>
                </c:pt>
                <c:pt idx="569">
                  <c:v>-39.978612239694939</c:v>
                </c:pt>
                <c:pt idx="570">
                  <c:v>-40.446377005289634</c:v>
                </c:pt>
                <c:pt idx="571">
                  <c:v>-40.92683531393061</c:v>
                </c:pt>
                <c:pt idx="572">
                  <c:v>-41.407138901173568</c:v>
                </c:pt>
                <c:pt idx="573">
                  <c:v>-41.896443125041344</c:v>
                </c:pt>
                <c:pt idx="574">
                  <c:v>-42.385573578487936</c:v>
                </c:pt>
                <c:pt idx="575">
                  <c:v>-42.887339518178038</c:v>
                </c:pt>
                <c:pt idx="576">
                  <c:v>-43.388906824985668</c:v>
                </c:pt>
                <c:pt idx="577">
                  <c:v>-45.509927599121767</c:v>
                </c:pt>
                <c:pt idx="578">
                  <c:v>-47.626510288581414</c:v>
                </c:pt>
                <c:pt idx="579">
                  <c:v>-52.245037688467832</c:v>
                </c:pt>
                <c:pt idx="580">
                  <c:v>-57.272543499517212</c:v>
                </c:pt>
                <c:pt idx="581">
                  <c:v>-62.714176494215849</c:v>
                </c:pt>
                <c:pt idx="582">
                  <c:v>-68.572172232817607</c:v>
                </c:pt>
                <c:pt idx="583">
                  <c:v>-74.821861542749545</c:v>
                </c:pt>
                <c:pt idx="584">
                  <c:v>-81.422792264609868</c:v>
                </c:pt>
                <c:pt idx="585">
                  <c:v>-88.297282307029249</c:v>
                </c:pt>
                <c:pt idx="586">
                  <c:v>-95.34337227120723</c:v>
                </c:pt>
                <c:pt idx="587">
                  <c:v>-102.43876728483053</c:v>
                </c:pt>
                <c:pt idx="588">
                  <c:v>-109.43888289521931</c:v>
                </c:pt>
                <c:pt idx="589">
                  <c:v>-116.2148742898934</c:v>
                </c:pt>
                <c:pt idx="590">
                  <c:v>-122.6475748966825</c:v>
                </c:pt>
                <c:pt idx="591">
                  <c:v>-128.64937841964198</c:v>
                </c:pt>
                <c:pt idx="592">
                  <c:v>-134.16390610138649</c:v>
                </c:pt>
                <c:pt idx="593">
                  <c:v>-139.16819401530728</c:v>
                </c:pt>
                <c:pt idx="594">
                  <c:v>-143.66219268111539</c:v>
                </c:pt>
                <c:pt idx="595">
                  <c:v>-147.66730959702312</c:v>
                </c:pt>
                <c:pt idx="596">
                  <c:v>-151.21580373371663</c:v>
                </c:pt>
                <c:pt idx="597">
                  <c:v>-154.34849087217913</c:v>
                </c:pt>
                <c:pt idx="598">
                  <c:v>-157.10738457201759</c:v>
                </c:pt>
                <c:pt idx="599">
                  <c:v>-159.53569428293866</c:v>
                </c:pt>
                <c:pt idx="600">
                  <c:v>-161.6732827498744</c:v>
                </c:pt>
              </c:numCache>
            </c:numRef>
          </c:yVal>
          <c:smooth val="0"/>
          <c:extLst>
            <c:ext xmlns:c16="http://schemas.microsoft.com/office/drawing/2014/chart" uri="{C3380CC4-5D6E-409C-BE32-E72D297353CC}">
              <c16:uniqueId val="{0000000D-62A0-439C-911C-8B918FC81F8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62A0-439C-911C-8B918FC81F8B}"/>
              </c:ext>
            </c:extLst>
          </c:dPt>
          <c:xVal>
            <c:numRef>
              <c:f>'IL Stability Calculations'!$D$617:$D$618</c:f>
              <c:numCache>
                <c:formatCode>General</c:formatCode>
                <c:ptCount val="2"/>
                <c:pt idx="0">
                  <c:v>18515</c:v>
                </c:pt>
                <c:pt idx="1">
                  <c:v>18515</c:v>
                </c:pt>
              </c:numCache>
            </c:numRef>
          </c:xVal>
          <c:yVal>
            <c:numRef>
              <c:f>'IL Stability Calculations'!$AY$617:$AY$618</c:f>
              <c:numCache>
                <c:formatCode>0.00</c:formatCode>
                <c:ptCount val="2"/>
                <c:pt idx="0">
                  <c:v>-4.9242717103255984</c:v>
                </c:pt>
                <c:pt idx="1">
                  <c:v>0</c:v>
                </c:pt>
              </c:numCache>
            </c:numRef>
          </c:yVal>
          <c:smooth val="0"/>
          <c:extLst>
            <c:ext xmlns:c16="http://schemas.microsoft.com/office/drawing/2014/chart" uri="{C3380CC4-5D6E-409C-BE32-E72D297353CC}">
              <c16:uniqueId val="{0000000F-62A0-439C-911C-8B918FC81F8B}"/>
            </c:ext>
          </c:extLst>
        </c:ser>
        <c:ser>
          <c:idx val="0"/>
          <c:order val="8"/>
          <c:tx>
            <c:v>Fc2</c:v>
          </c:tx>
          <c:spPr>
            <a:ln w="22225">
              <a:solidFill>
                <a:schemeClr val="tx1">
                  <a:lumMod val="50000"/>
                  <a:lumOff val="50000"/>
                </a:schemeClr>
              </a:solidFill>
              <a:prstDash val="sysDash"/>
            </a:ln>
          </c:spPr>
          <c:marker>
            <c:symbol val="none"/>
          </c:marker>
          <c:dLbls>
            <c:dLbl>
              <c:idx val="1"/>
              <c:layout>
                <c:manualLayout>
                  <c:x val="-5.4702293288449298E-2"/>
                  <c:y val="-1.88634230614630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2A0-439C-911C-8B918FC81F8B}"/>
                </c:ext>
              </c:extLst>
            </c:dLbl>
            <c:spPr>
              <a:solidFill>
                <a:schemeClr val="lt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'IL Stability Calculations'!$D$619:$D$620</c:f>
              <c:numCache>
                <c:formatCode>General</c:formatCode>
                <c:ptCount val="2"/>
                <c:pt idx="0">
                  <c:v>18515</c:v>
                </c:pt>
                <c:pt idx="1">
                  <c:v>1000000</c:v>
                </c:pt>
              </c:numCache>
            </c:numRef>
          </c:xVal>
          <c:yVal>
            <c:numRef>
              <c:f>'IL Stability Calculations'!$AY$619:$AY$620</c:f>
              <c:numCache>
                <c:formatCode>0.00</c:formatCode>
                <c:ptCount val="2"/>
                <c:pt idx="0">
                  <c:v>-4.9242717103255984</c:v>
                </c:pt>
                <c:pt idx="1">
                  <c:v>-4.9242717103255984</c:v>
                </c:pt>
              </c:numCache>
            </c:numRef>
          </c:yVal>
          <c:smooth val="0"/>
          <c:extLst>
            <c:ext xmlns:c16="http://schemas.microsoft.com/office/drawing/2014/chart" uri="{C3380CC4-5D6E-409C-BE32-E72D297353CC}">
              <c16:uniqueId val="{00000011-62A0-439C-911C-8B918FC81F8B}"/>
            </c:ext>
          </c:extLst>
        </c:ser>
        <c:dLbls>
          <c:showLegendKey val="0"/>
          <c:showVal val="0"/>
          <c:showCatName val="0"/>
          <c:showSerName val="0"/>
          <c:showPercent val="0"/>
          <c:showBubbleSize val="0"/>
        </c:dLbls>
        <c:axId val="196142976"/>
        <c:axId val="196144512"/>
      </c:scatterChart>
      <c:valAx>
        <c:axId val="196130688"/>
        <c:scaling>
          <c:logBase val="10"/>
          <c:orientation val="minMax"/>
          <c:max val="1000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96141056"/>
        <c:crossesAt val="-80"/>
        <c:crossBetween val="midCat"/>
      </c:valAx>
      <c:valAx>
        <c:axId val="196141056"/>
        <c:scaling>
          <c:orientation val="minMax"/>
          <c:max val="80"/>
          <c:min val="-8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96130688"/>
        <c:crossesAt val="1.0000000000000005E-2"/>
        <c:crossBetween val="midCat"/>
        <c:majorUnit val="20"/>
      </c:valAx>
      <c:valAx>
        <c:axId val="196142976"/>
        <c:scaling>
          <c:logBase val="10"/>
          <c:orientation val="minMax"/>
        </c:scaling>
        <c:delete val="1"/>
        <c:axPos val="b"/>
        <c:numFmt formatCode="General" sourceLinked="1"/>
        <c:majorTickMark val="out"/>
        <c:minorTickMark val="none"/>
        <c:tickLblPos val="none"/>
        <c:crossAx val="196144512"/>
        <c:crosses val="autoZero"/>
        <c:crossBetween val="midCat"/>
      </c:valAx>
      <c:valAx>
        <c:axId val="196144512"/>
        <c:scaling>
          <c:orientation val="minMax"/>
          <c:max val="18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 Phase</a:t>
                </a:r>
                <a:r>
                  <a:rPr lang="en-US" sz="1200" b="1" baseline="0">
                    <a:solidFill>
                      <a:srgbClr val="002060"/>
                    </a:solidFill>
                    <a:latin typeface="Arial" pitchFamily="34" charset="0"/>
                    <a:cs typeface="Arial" pitchFamily="34" charset="0"/>
                  </a:rPr>
                  <a:t> Margin</a:t>
                </a:r>
                <a:r>
                  <a:rPr lang="en-US" sz="1200" b="1">
                    <a:solidFill>
                      <a:srgbClr val="002060"/>
                    </a:solidFill>
                    <a:latin typeface="Arial" pitchFamily="34" charset="0"/>
                    <a:cs typeface="Arial" pitchFamily="34" charset="0"/>
                  </a:rPr>
                  <a:t>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96142976"/>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4262520126160700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v>High-side MOSFET</c:v>
          </c:tx>
          <c:spPr>
            <a:ln w="31750">
              <a:solidFill>
                <a:srgbClr val="000080"/>
              </a:solidFill>
              <a:prstDash val="dash"/>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Calculations'!$BL$9:$BL$209</c:f>
              <c:numCache>
                <c:formatCode>0.0</c:formatCode>
                <c:ptCount val="201"/>
                <c:pt idx="0">
                  <c:v>189.99831072715398</c:v>
                </c:pt>
                <c:pt idx="1">
                  <c:v>190.37748810278705</c:v>
                </c:pt>
                <c:pt idx="2">
                  <c:v>190.75761719667355</c:v>
                </c:pt>
                <c:pt idx="3">
                  <c:v>191.13868657150599</c:v>
                </c:pt>
                <c:pt idx="4">
                  <c:v>191.52068497528094</c:v>
                </c:pt>
                <c:pt idx="5">
                  <c:v>191.90360133751935</c:v>
                </c:pt>
                <c:pt idx="6">
                  <c:v>192.28742476558</c:v>
                </c:pt>
                <c:pt idx="7">
                  <c:v>192.67214454106266</c:v>
                </c:pt>
                <c:pt idx="8">
                  <c:v>193.05775011629922</c:v>
                </c:pt>
                <c:pt idx="9">
                  <c:v>193.44423111093016</c:v>
                </c:pt>
                <c:pt idx="10">
                  <c:v>193.83157730856266</c:v>
                </c:pt>
                <c:pt idx="11">
                  <c:v>194.21977865351062</c:v>
                </c:pt>
                <c:pt idx="12">
                  <c:v>194.60882524761152</c:v>
                </c:pt>
                <c:pt idx="13">
                  <c:v>194.99870734711996</c:v>
                </c:pt>
                <c:pt idx="14">
                  <c:v>195.38941535967467</c:v>
                </c:pt>
                <c:pt idx="15">
                  <c:v>195.78093984133736</c:v>
                </c:pt>
                <c:pt idx="16">
                  <c:v>196.17327149370135</c:v>
                </c:pt>
                <c:pt idx="17">
                  <c:v>196.56640116106826</c:v>
                </c:pt>
                <c:pt idx="18">
                  <c:v>196.96031982769014</c:v>
                </c:pt>
                <c:pt idx="19">
                  <c:v>197.35501861507674</c:v>
                </c:pt>
                <c:pt idx="20">
                  <c:v>197.75048877936413</c:v>
                </c:pt>
                <c:pt idx="21">
                  <c:v>198.14672170874508</c:v>
                </c:pt>
                <c:pt idx="22">
                  <c:v>198.54370892095756</c:v>
                </c:pt>
                <c:pt idx="23">
                  <c:v>198.94144206083192</c:v>
                </c:pt>
                <c:pt idx="24">
                  <c:v>199.33991289789299</c:v>
                </c:pt>
                <c:pt idx="25">
                  <c:v>199.7391133240175</c:v>
                </c:pt>
                <c:pt idx="26">
                  <c:v>200.13903535114378</c:v>
                </c:pt>
                <c:pt idx="27">
                  <c:v>200.5396711090338</c:v>
                </c:pt>
                <c:pt idx="28">
                  <c:v>200.94101284308533</c:v>
                </c:pt>
                <c:pt idx="29">
                  <c:v>201.34305291219263</c:v>
                </c:pt>
                <c:pt idx="30">
                  <c:v>201.74578378665529</c:v>
                </c:pt>
                <c:pt idx="31">
                  <c:v>202.14919804613319</c:v>
                </c:pt>
                <c:pt idx="32">
                  <c:v>202.55328837764731</c:v>
                </c:pt>
                <c:pt idx="33">
                  <c:v>202.95804757362367</c:v>
                </c:pt>
                <c:pt idx="34">
                  <c:v>203.36346852998113</c:v>
                </c:pt>
                <c:pt idx="35">
                  <c:v>203.76954424425986</c:v>
                </c:pt>
                <c:pt idx="36">
                  <c:v>204.17626781379232</c:v>
                </c:pt>
                <c:pt idx="37">
                  <c:v>204.58363243391202</c:v>
                </c:pt>
                <c:pt idx="38">
                  <c:v>204.99163139620237</c:v>
                </c:pt>
                <c:pt idx="39">
                  <c:v>205.40025808678271</c:v>
                </c:pt>
                <c:pt idx="40">
                  <c:v>205.80950598463119</c:v>
                </c:pt>
                <c:pt idx="41">
                  <c:v>206.21936865994368</c:v>
                </c:pt>
                <c:pt idx="42">
                  <c:v>206.62983977252705</c:v>
                </c:pt>
                <c:pt idx="43">
                  <c:v>207.04091307022748</c:v>
                </c:pt>
                <c:pt idx="44">
                  <c:v>207.45258238739146</c:v>
                </c:pt>
                <c:pt idx="45">
                  <c:v>207.864841643359</c:v>
                </c:pt>
                <c:pt idx="46">
                  <c:v>208.27768484098914</c:v>
                </c:pt>
                <c:pt idx="47">
                  <c:v>208.69110606521554</c:v>
                </c:pt>
                <c:pt idx="48">
                  <c:v>209.10509948163278</c:v>
                </c:pt>
                <c:pt idx="49">
                  <c:v>209.51965933511184</c:v>
                </c:pt>
                <c:pt idx="50">
                  <c:v>209.93477994844395</c:v>
                </c:pt>
                <c:pt idx="51">
                  <c:v>210.35045572101299</c:v>
                </c:pt>
                <c:pt idx="52">
                  <c:v>210.76668112749417</c:v>
                </c:pt>
                <c:pt idx="53">
                  <c:v>211.18345071658084</c:v>
                </c:pt>
                <c:pt idx="54">
                  <c:v>211.60075910973569</c:v>
                </c:pt>
                <c:pt idx="55">
                  <c:v>212.01860099996858</c:v>
                </c:pt>
                <c:pt idx="56">
                  <c:v>212.43697115063807</c:v>
                </c:pt>
                <c:pt idx="57">
                  <c:v>212.85586439427829</c:v>
                </c:pt>
                <c:pt idx="58">
                  <c:v>213.2752756314481</c:v>
                </c:pt>
                <c:pt idx="59">
                  <c:v>213.6951998296048</c:v>
                </c:pt>
                <c:pt idx="60">
                  <c:v>214.11563202199881</c:v>
                </c:pt>
                <c:pt idx="61">
                  <c:v>214.53656730659154</c:v>
                </c:pt>
                <c:pt idx="62">
                  <c:v>214.95800084499407</c:v>
                </c:pt>
                <c:pt idx="63">
                  <c:v>215.37992786142718</c:v>
                </c:pt>
                <c:pt idx="64">
                  <c:v>215.80234364170144</c:v>
                </c:pt>
                <c:pt idx="65">
                  <c:v>216.22524353221783</c:v>
                </c:pt>
                <c:pt idx="66">
                  <c:v>216.64862293898761</c:v>
                </c:pt>
                <c:pt idx="67">
                  <c:v>217.07247732667133</c:v>
                </c:pt>
                <c:pt idx="68">
                  <c:v>217.49680221763629</c:v>
                </c:pt>
                <c:pt idx="69">
                  <c:v>217.92159319103325</c:v>
                </c:pt>
                <c:pt idx="70">
                  <c:v>218.34684588188929</c:v>
                </c:pt>
                <c:pt idx="71">
                  <c:v>218.77255598021989</c:v>
                </c:pt>
                <c:pt idx="72">
                  <c:v>219.19871923015646</c:v>
                </c:pt>
                <c:pt idx="73">
                  <c:v>219.625331429092</c:v>
                </c:pt>
                <c:pt idx="74">
                  <c:v>220.05238842684173</c:v>
                </c:pt>
                <c:pt idx="75">
                  <c:v>220.47988612482081</c:v>
                </c:pt>
                <c:pt idx="76">
                  <c:v>220.90782047523655</c:v>
                </c:pt>
                <c:pt idx="77">
                  <c:v>221.33618748029645</c:v>
                </c:pt>
                <c:pt idx="78">
                  <c:v>221.7649831914315</c:v>
                </c:pt>
                <c:pt idx="79">
                  <c:v>222.19420370853317</c:v>
                </c:pt>
                <c:pt idx="80">
                  <c:v>222.62384517920495</c:v>
                </c:pt>
                <c:pt idx="81">
                  <c:v>223.0539037980283</c:v>
                </c:pt>
                <c:pt idx="82">
                  <c:v>223.48437580584169</c:v>
                </c:pt>
                <c:pt idx="83">
                  <c:v>223.91525748903308</c:v>
                </c:pt>
                <c:pt idx="84">
                  <c:v>224.34654517884573</c:v>
                </c:pt>
                <c:pt idx="85">
                  <c:v>224.77823525069607</c:v>
                </c:pt>
                <c:pt idx="86">
                  <c:v>225.21032412350522</c:v>
                </c:pt>
                <c:pt idx="87">
                  <c:v>225.64280825904143</c:v>
                </c:pt>
                <c:pt idx="88">
                  <c:v>226.07568416127549</c:v>
                </c:pt>
                <c:pt idx="89">
                  <c:v>226.50894837574728</c:v>
                </c:pt>
                <c:pt idx="90">
                  <c:v>226.94259748894405</c:v>
                </c:pt>
                <c:pt idx="91">
                  <c:v>227.37662812768954</c:v>
                </c:pt>
                <c:pt idx="92">
                  <c:v>227.81103695854486</c:v>
                </c:pt>
                <c:pt idx="93">
                  <c:v>228.24582068721909</c:v>
                </c:pt>
                <c:pt idx="94">
                  <c:v>228.68097605799127</c:v>
                </c:pt>
                <c:pt idx="95">
                  <c:v>229.11649985314213</c:v>
                </c:pt>
                <c:pt idx="96">
                  <c:v>229.55238889239627</c:v>
                </c:pt>
                <c:pt idx="97">
                  <c:v>229.98864003237375</c:v>
                </c:pt>
                <c:pt idx="98">
                  <c:v>230.42525016605225</c:v>
                </c:pt>
                <c:pt idx="99">
                  <c:v>230.86221622223741</c:v>
                </c:pt>
                <c:pt idx="100">
                  <c:v>231.29953516504386</c:v>
                </c:pt>
                <c:pt idx="101">
                  <c:v>231.7372039933839</c:v>
                </c:pt>
                <c:pt idx="102">
                  <c:v>232.17521974046633</c:v>
                </c:pt>
                <c:pt idx="103">
                  <c:v>232.61357947330345</c:v>
                </c:pt>
                <c:pt idx="104">
                  <c:v>233.05228029222644</c:v>
                </c:pt>
                <c:pt idx="105">
                  <c:v>233.49131933040928</c:v>
                </c:pt>
                <c:pt idx="106">
                  <c:v>233.93069375340104</c:v>
                </c:pt>
                <c:pt idx="107">
                  <c:v>234.37040075866605</c:v>
                </c:pt>
                <c:pt idx="108">
                  <c:v>234.81043757513191</c:v>
                </c:pt>
                <c:pt idx="109">
                  <c:v>235.2508014627451</c:v>
                </c:pt>
                <c:pt idx="110">
                  <c:v>235.69148971203458</c:v>
                </c:pt>
                <c:pt idx="111">
                  <c:v>236.13249964368228</c:v>
                </c:pt>
                <c:pt idx="112">
                  <c:v>236.57382860810134</c:v>
                </c:pt>
                <c:pt idx="113">
                  <c:v>237.01547398502106</c:v>
                </c:pt>
                <c:pt idx="114">
                  <c:v>237.45743318307888</c:v>
                </c:pt>
                <c:pt idx="115">
                  <c:v>237.89970363941961</c:v>
                </c:pt>
                <c:pt idx="116">
                  <c:v>238.34228281930103</c:v>
                </c:pt>
                <c:pt idx="117">
                  <c:v>238.7851682157058</c:v>
                </c:pt>
                <c:pt idx="118">
                  <c:v>239.22835734896043</c:v>
                </c:pt>
                <c:pt idx="119">
                  <c:v>239.67184776636017</c:v>
                </c:pt>
                <c:pt idx="120">
                  <c:v>240.1156370418002</c:v>
                </c:pt>
                <c:pt idx="121">
                  <c:v>240.55972277541312</c:v>
                </c:pt>
                <c:pt idx="122">
                  <c:v>241.00410259321166</c:v>
                </c:pt>
                <c:pt idx="123">
                  <c:v>241.44877414673812</c:v>
                </c:pt>
                <c:pt idx="124">
                  <c:v>241.89373511271947</c:v>
                </c:pt>
                <c:pt idx="125">
                  <c:v>242.33898319272703</c:v>
                </c:pt>
                <c:pt idx="126">
                  <c:v>242.78451611284331</c:v>
                </c:pt>
                <c:pt idx="127">
                  <c:v>243.23033162333232</c:v>
                </c:pt>
                <c:pt idx="128">
                  <c:v>243.67642749831748</c:v>
                </c:pt>
                <c:pt idx="129">
                  <c:v>244.12280153546268</c:v>
                </c:pt>
                <c:pt idx="130">
                  <c:v>244.56945155565944</c:v>
                </c:pt>
                <c:pt idx="131">
                  <c:v>245.01637540271886</c:v>
                </c:pt>
                <c:pt idx="132">
                  <c:v>245.46357094306916</c:v>
                </c:pt>
                <c:pt idx="133">
                  <c:v>245.91103606545656</c:v>
                </c:pt>
                <c:pt idx="134">
                  <c:v>246.35876868065239</c:v>
                </c:pt>
                <c:pt idx="135">
                  <c:v>246.80676672116408</c:v>
                </c:pt>
                <c:pt idx="136">
                  <c:v>247.25502814095097</c:v>
                </c:pt>
                <c:pt idx="137">
                  <c:v>247.7035509151444</c:v>
                </c:pt>
                <c:pt idx="138">
                  <c:v>248.1523330397724</c:v>
                </c:pt>
                <c:pt idx="139">
                  <c:v>248.60137253148852</c:v>
                </c:pt>
                <c:pt idx="140">
                  <c:v>249.05066742730509</c:v>
                </c:pt>
                <c:pt idx="141">
                  <c:v>249.50021578433061</c:v>
                </c:pt>
                <c:pt idx="142">
                  <c:v>249.95001567951093</c:v>
                </c:pt>
                <c:pt idx="143">
                  <c:v>250.40006520937499</c:v>
                </c:pt>
                <c:pt idx="144">
                  <c:v>250.85036248978383</c:v>
                </c:pt>
                <c:pt idx="145">
                  <c:v>251.30090565568389</c:v>
                </c:pt>
                <c:pt idx="146">
                  <c:v>251.75169286086452</c:v>
                </c:pt>
                <c:pt idx="147">
                  <c:v>252.20272227771801</c:v>
                </c:pt>
                <c:pt idx="148">
                  <c:v>252.65399209700422</c:v>
                </c:pt>
                <c:pt idx="149">
                  <c:v>253.105500527619</c:v>
                </c:pt>
                <c:pt idx="150">
                  <c:v>253.55724579636518</c:v>
                </c:pt>
                <c:pt idx="151">
                  <c:v>254.00922614772787</c:v>
                </c:pt>
                <c:pt idx="152">
                  <c:v>254.46143984365287</c:v>
                </c:pt>
                <c:pt idx="153">
                  <c:v>254.91388516332822</c:v>
                </c:pt>
                <c:pt idx="154">
                  <c:v>255.36656040296941</c:v>
                </c:pt>
                <c:pt idx="155">
                  <c:v>255.81946387560779</c:v>
                </c:pt>
                <c:pt idx="156">
                  <c:v>256.2725939108816</c:v>
                </c:pt>
                <c:pt idx="157">
                  <c:v>256.72594885483107</c:v>
                </c:pt>
                <c:pt idx="158">
                  <c:v>257.17952706969555</c:v>
                </c:pt>
                <c:pt idx="159">
                  <c:v>257.63332693371433</c:v>
                </c:pt>
                <c:pt idx="160">
                  <c:v>258.08734684093048</c:v>
                </c:pt>
                <c:pt idx="161">
                  <c:v>258.54158520099691</c:v>
                </c:pt>
                <c:pt idx="162">
                  <c:v>258.99604043898609</c:v>
                </c:pt>
                <c:pt idx="163">
                  <c:v>259.45071099520197</c:v>
                </c:pt>
                <c:pt idx="164">
                  <c:v>259.90559532499503</c:v>
                </c:pt>
                <c:pt idx="165">
                  <c:v>260.36069189857977</c:v>
                </c:pt>
                <c:pt idx="166">
                  <c:v>260.81599920085517</c:v>
                </c:pt>
                <c:pt idx="167">
                  <c:v>261.27151573122757</c:v>
                </c:pt>
                <c:pt idx="168">
                  <c:v>261.7272400034359</c:v>
                </c:pt>
                <c:pt idx="169">
                  <c:v>262.18317054537999</c:v>
                </c:pt>
                <c:pt idx="170">
                  <c:v>262.63930589895091</c:v>
                </c:pt>
                <c:pt idx="171">
                  <c:v>263.09564461986406</c:v>
                </c:pt>
                <c:pt idx="172">
                  <c:v>263.55218527749446</c:v>
                </c:pt>
                <c:pt idx="173">
                  <c:v>264.00892645471401</c:v>
                </c:pt>
                <c:pt idx="174">
                  <c:v>264.46586674773243</c:v>
                </c:pt>
                <c:pt idx="175">
                  <c:v>264.92300476593886</c:v>
                </c:pt>
                <c:pt idx="176">
                  <c:v>265.38033913174644</c:v>
                </c:pt>
                <c:pt idx="177">
                  <c:v>265.83786848043945</c:v>
                </c:pt>
                <c:pt idx="178">
                  <c:v>266.29559146002208</c:v>
                </c:pt>
                <c:pt idx="179">
                  <c:v>266.75350673106954</c:v>
                </c:pt>
                <c:pt idx="180">
                  <c:v>267.21161296658113</c:v>
                </c:pt>
                <c:pt idx="181">
                  <c:v>267.66990885183532</c:v>
                </c:pt>
                <c:pt idx="182">
                  <c:v>268.12839308424759</c:v>
                </c:pt>
                <c:pt idx="183">
                  <c:v>268.58706437322928</c:v>
                </c:pt>
                <c:pt idx="184">
                  <c:v>269.0459214400488</c:v>
                </c:pt>
                <c:pt idx="185">
                  <c:v>269.50496301769516</c:v>
                </c:pt>
                <c:pt idx="186">
                  <c:v>269.96418785074229</c:v>
                </c:pt>
                <c:pt idx="187">
                  <c:v>270.42359469521728</c:v>
                </c:pt>
                <c:pt idx="188">
                  <c:v>270.88318231846773</c:v>
                </c:pt>
                <c:pt idx="189">
                  <c:v>271.3429494990333</c:v>
                </c:pt>
                <c:pt idx="190">
                  <c:v>271.80289502651789</c:v>
                </c:pt>
                <c:pt idx="191">
                  <c:v>272.26301770146347</c:v>
                </c:pt>
                <c:pt idx="192">
                  <c:v>272.72331633522623</c:v>
                </c:pt>
                <c:pt idx="193">
                  <c:v>273.18378974985433</c:v>
                </c:pt>
                <c:pt idx="194">
                  <c:v>273.64443677796623</c:v>
                </c:pt>
                <c:pt idx="195">
                  <c:v>274.10525626263291</c:v>
                </c:pt>
                <c:pt idx="196">
                  <c:v>274.5662470572592</c:v>
                </c:pt>
                <c:pt idx="197">
                  <c:v>275.02740802546839</c:v>
                </c:pt>
                <c:pt idx="198">
                  <c:v>275.48873804098787</c:v>
                </c:pt>
                <c:pt idx="199">
                  <c:v>275.95023598753602</c:v>
                </c:pt>
                <c:pt idx="200">
                  <c:v>276.41190075871157</c:v>
                </c:pt>
              </c:numCache>
            </c:numRef>
          </c:yVal>
          <c:smooth val="0"/>
          <c:extLst>
            <c:ext xmlns:c16="http://schemas.microsoft.com/office/drawing/2014/chart" uri="{C3380CC4-5D6E-409C-BE32-E72D297353CC}">
              <c16:uniqueId val="{00000000-9C39-475F-94ED-BBFF43B330D6}"/>
            </c:ext>
          </c:extLst>
        </c:ser>
        <c:ser>
          <c:idx val="1"/>
          <c:order val="1"/>
          <c:tx>
            <c:v>Low-side MOSFET</c:v>
          </c:tx>
          <c:spPr>
            <a:ln w="25400">
              <a:solidFill>
                <a:srgbClr val="FF0000"/>
              </a:solidFill>
              <a:prstDash val="solid"/>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Calculations'!$BM$9:$BM$209</c:f>
              <c:numCache>
                <c:formatCode>0.0</c:formatCode>
                <c:ptCount val="201"/>
                <c:pt idx="0">
                  <c:v>46.009735789109051</c:v>
                </c:pt>
                <c:pt idx="1">
                  <c:v>46.125611957920732</c:v>
                </c:pt>
                <c:pt idx="2">
                  <c:v>46.240797079842999</c:v>
                </c:pt>
                <c:pt idx="3">
                  <c:v>46.355297528089643</c:v>
                </c:pt>
                <c:pt idx="4">
                  <c:v>46.469119594784459</c:v>
                </c:pt>
                <c:pt idx="5">
                  <c:v>46.582269492295765</c:v>
                </c:pt>
                <c:pt idx="6">
                  <c:v>46.69475335454382</c:v>
                </c:pt>
                <c:pt idx="7">
                  <c:v>46.806577238281683</c:v>
                </c:pt>
                <c:pt idx="8">
                  <c:v>46.917747124350271</c:v>
                </c:pt>
                <c:pt idx="9">
                  <c:v>47.028268918908061</c:v>
                </c:pt>
                <c:pt idx="10">
                  <c:v>47.138148454636259</c:v>
                </c:pt>
                <c:pt idx="11">
                  <c:v>47.247391491919821</c:v>
                </c:pt>
                <c:pt idx="12">
                  <c:v>47.356003720005099</c:v>
                </c:pt>
                <c:pt idx="13">
                  <c:v>47.463990758134479</c:v>
                </c:pt>
                <c:pt idx="14">
                  <c:v>47.571358156658697</c:v>
                </c:pt>
                <c:pt idx="15">
                  <c:v>47.678111398127285</c:v>
                </c:pt>
                <c:pt idx="16">
                  <c:v>47.784255898357692</c:v>
                </c:pt>
                <c:pt idx="17">
                  <c:v>47.889797007483558</c:v>
                </c:pt>
                <c:pt idx="18">
                  <c:v>47.994740010982618</c:v>
                </c:pt>
                <c:pt idx="19">
                  <c:v>48.099090130684807</c:v>
                </c:pt>
                <c:pt idx="20">
                  <c:v>48.202852525760861</c:v>
                </c:pt>
                <c:pt idx="21">
                  <c:v>48.306032293691956</c:v>
                </c:pt>
                <c:pt idx="22">
                  <c:v>48.40863447122085</c:v>
                </c:pt>
                <c:pt idx="23">
                  <c:v>48.510664035284876</c:v>
                </c:pt>
                <c:pt idx="24">
                  <c:v>48.6121259039313</c:v>
                </c:pt>
                <c:pt idx="25">
                  <c:v>48.713024937215238</c:v>
                </c:pt>
                <c:pt idx="26">
                  <c:v>48.813365938080857</c:v>
                </c:pt>
                <c:pt idx="27">
                  <c:v>48.913153653225862</c:v>
                </c:pt>
                <c:pt idx="28">
                  <c:v>49.012392773949962</c:v>
                </c:pt>
                <c:pt idx="29">
                  <c:v>49.111087936987481</c:v>
                </c:pt>
                <c:pt idx="30">
                  <c:v>49.209243725324455</c:v>
                </c:pt>
                <c:pt idx="31">
                  <c:v>49.306864669000859</c:v>
                </c:pt>
                <c:pt idx="32">
                  <c:v>49.403955245897734</c:v>
                </c:pt>
                <c:pt idx="33">
                  <c:v>49.500519882510169</c:v>
                </c:pt>
                <c:pt idx="34">
                  <c:v>49.596562954705938</c:v>
                </c:pt>
                <c:pt idx="35">
                  <c:v>49.692088788470485</c:v>
                </c:pt>
                <c:pt idx="36">
                  <c:v>49.787101660638271</c:v>
                </c:pt>
                <c:pt idx="37">
                  <c:v>49.881605799610924</c:v>
                </c:pt>
                <c:pt idx="38">
                  <c:v>49.975605386062526</c:v>
                </c:pt>
                <c:pt idx="39">
                  <c:v>50.069104553632108</c:v>
                </c:pt>
                <c:pt idx="40">
                  <c:v>50.162107389603875</c:v>
                </c:pt>
                <c:pt idx="41">
                  <c:v>50.25461793557524</c:v>
                </c:pt>
                <c:pt idx="42">
                  <c:v>50.346640188112993</c:v>
                </c:pt>
                <c:pt idx="43">
                  <c:v>50.438178099397888</c:v>
                </c:pt>
                <c:pt idx="44">
                  <c:v>50.529235577857854</c:v>
                </c:pt>
                <c:pt idx="45">
                  <c:v>50.619816488790043</c:v>
                </c:pt>
                <c:pt idx="46">
                  <c:v>50.709924654972014</c:v>
                </c:pt>
                <c:pt idx="47">
                  <c:v>50.799563857262207</c:v>
                </c:pt>
                <c:pt idx="48">
                  <c:v>50.888737835190092</c:v>
                </c:pt>
                <c:pt idx="49">
                  <c:v>50.977450287535895</c:v>
                </c:pt>
                <c:pt idx="50">
                  <c:v>51.065704872900469</c:v>
                </c:pt>
                <c:pt idx="51">
                  <c:v>51.153505210265308</c:v>
                </c:pt>
                <c:pt idx="52">
                  <c:v>51.240854879542916</c:v>
                </c:pt>
                <c:pt idx="53">
                  <c:v>51.327757422117749</c:v>
                </c:pt>
                <c:pt idx="54">
                  <c:v>51.414216341378115</c:v>
                </c:pt>
                <c:pt idx="55">
                  <c:v>51.500235103238751</c:v>
                </c:pt>
                <c:pt idx="56">
                  <c:v>51.585817136654789</c:v>
                </c:pt>
                <c:pt idx="57">
                  <c:v>51.670965834126932</c:v>
                </c:pt>
                <c:pt idx="58">
                  <c:v>51.755684552198218</c:v>
                </c:pt>
                <c:pt idx="59">
                  <c:v>51.839976611942355</c:v>
                </c:pt>
                <c:pt idx="60">
                  <c:v>51.923845299443968</c:v>
                </c:pt>
                <c:pt idx="61">
                  <c:v>52.007293866270842</c:v>
                </c:pt>
                <c:pt idx="62">
                  <c:v>52.090325529938347</c:v>
                </c:pt>
                <c:pt idx="63">
                  <c:v>52.172943474366093</c:v>
                </c:pt>
                <c:pt idx="64">
                  <c:v>52.255150850327162</c:v>
                </c:pt>
                <c:pt idx="65">
                  <c:v>52.336950775889882</c:v>
                </c:pt>
                <c:pt idx="66">
                  <c:v>52.418346336852416</c:v>
                </c:pt>
                <c:pt idx="67">
                  <c:v>52.499340587170202</c:v>
                </c:pt>
                <c:pt idx="68">
                  <c:v>52.579936549376505</c:v>
                </c:pt>
                <c:pt idx="69">
                  <c:v>52.660137214996062</c:v>
                </c:pt>
                <c:pt idx="70">
                  <c:v>52.739945544952093</c:v>
                </c:pt>
                <c:pt idx="71">
                  <c:v>52.819364469966757</c:v>
                </c:pt>
                <c:pt idx="72">
                  <c:v>52.898396890955127</c:v>
                </c:pt>
                <c:pt idx="73">
                  <c:v>52.977045679412853</c:v>
                </c:pt>
                <c:pt idx="74">
                  <c:v>53.05531367779772</c:v>
                </c:pt>
                <c:pt idx="75">
                  <c:v>53.13320369990501</c:v>
                </c:pt>
                <c:pt idx="76">
                  <c:v>53.210718531236964</c:v>
                </c:pt>
                <c:pt idx="77">
                  <c:v>53.287860929366474</c:v>
                </c:pt>
                <c:pt idx="78">
                  <c:v>53.364633624294854</c:v>
                </c:pt>
                <c:pt idx="79">
                  <c:v>53.441039318804165</c:v>
                </c:pt>
                <c:pt idx="80">
                  <c:v>53.517080688803937</c:v>
                </c:pt>
                <c:pt idx="81">
                  <c:v>53.592760383672406</c:v>
                </c:pt>
                <c:pt idx="82">
                  <c:v>53.668081026592631</c:v>
                </c:pt>
                <c:pt idx="83">
                  <c:v>53.743045214883168</c:v>
                </c:pt>
                <c:pt idx="84">
                  <c:v>53.817655520323726</c:v>
                </c:pt>
                <c:pt idx="85">
                  <c:v>53.891914489475852</c:v>
                </c:pt>
                <c:pt idx="86">
                  <c:v>53.965824643998502</c:v>
                </c:pt>
                <c:pt idx="87">
                  <c:v>54.039388480959012</c:v>
                </c:pt>
                <c:pt idx="88">
                  <c:v>54.112608473139105</c:v>
                </c:pt>
                <c:pt idx="89">
                  <c:v>54.185487069336268</c:v>
                </c:pt>
                <c:pt idx="90">
                  <c:v>54.25802669466065</c:v>
                </c:pt>
                <c:pt idx="91">
                  <c:v>54.330229750827364</c:v>
                </c:pt>
                <c:pt idx="92">
                  <c:v>54.402098616444349</c:v>
                </c:pt>
                <c:pt idx="93">
                  <c:v>54.473635647295978</c:v>
                </c:pt>
                <c:pt idx="94">
                  <c:v>54.544843176622329</c:v>
                </c:pt>
                <c:pt idx="95">
                  <c:v>54.615723515394308</c:v>
                </c:pt>
                <c:pt idx="96">
                  <c:v>54.686278952584651</c:v>
                </c:pt>
                <c:pt idx="97">
                  <c:v>54.756511755434843</c:v>
                </c:pt>
                <c:pt idx="98">
                  <c:v>54.82642416971813</c:v>
                </c:pt>
                <c:pt idx="99">
                  <c:v>54.896018419998668</c:v>
                </c:pt>
                <c:pt idx="100">
                  <c:v>54.965296709886658</c:v>
                </c:pt>
                <c:pt idx="101">
                  <c:v>55.034261222290027</c:v>
                </c:pt>
                <c:pt idx="102">
                  <c:v>55.102914119661989</c:v>
                </c:pt>
                <c:pt idx="103">
                  <c:v>55.171257544245492</c:v>
                </c:pt>
                <c:pt idx="104">
                  <c:v>55.239293618313631</c:v>
                </c:pt>
                <c:pt idx="105">
                  <c:v>55.307024444406842</c:v>
                </c:pt>
                <c:pt idx="106">
                  <c:v>55.374452105566519</c:v>
                </c:pt>
                <c:pt idx="107">
                  <c:v>55.441578665565281</c:v>
                </c:pt>
                <c:pt idx="108">
                  <c:v>55.508406169133963</c:v>
                </c:pt>
                <c:pt idx="109">
                  <c:v>55.57493664218525</c:v>
                </c:pt>
                <c:pt idx="110">
                  <c:v>55.641172092034139</c:v>
                </c:pt>
                <c:pt idx="111">
                  <c:v>55.707114507615266</c:v>
                </c:pt>
                <c:pt idx="112">
                  <c:v>55.772765859697074</c:v>
                </c:pt>
                <c:pt idx="113">
                  <c:v>55.838128101092998</c:v>
                </c:pt>
                <c:pt idx="114">
                  <c:v>55.903203166869545</c:v>
                </c:pt>
                <c:pt idx="115">
                  <c:v>55.967992974551521</c:v>
                </c:pt>
                <c:pt idx="116">
                  <c:v>56.032499424324357</c:v>
                </c:pt>
                <c:pt idx="117">
                  <c:v>56.096724399233516</c:v>
                </c:pt>
                <c:pt idx="118">
                  <c:v>56.160669765381094</c:v>
                </c:pt>
                <c:pt idx="119">
                  <c:v>56.224337372119734</c:v>
                </c:pt>
                <c:pt idx="120">
                  <c:v>56.287729052243861</c:v>
                </c:pt>
                <c:pt idx="121">
                  <c:v>56.350846622178096</c:v>
                </c:pt>
                <c:pt idx="122">
                  <c:v>56.413691882163121</c:v>
                </c:pt>
                <c:pt idx="123">
                  <c:v>56.476266616439077</c:v>
                </c:pt>
                <c:pt idx="124">
                  <c:v>56.538572593426238</c:v>
                </c:pt>
                <c:pt idx="125">
                  <c:v>56.600611565903336</c:v>
                </c:pt>
                <c:pt idx="126">
                  <c:v>56.662385271183396</c:v>
                </c:pt>
                <c:pt idx="127">
                  <c:v>56.723895431287062</c:v>
                </c:pt>
                <c:pt idx="128">
                  <c:v>56.785143753113694</c:v>
                </c:pt>
                <c:pt idx="129">
                  <c:v>56.846131928610042</c:v>
                </c:pt>
                <c:pt idx="130">
                  <c:v>56.906861634936661</c:v>
                </c:pt>
                <c:pt idx="131">
                  <c:v>56.967334534631966</c:v>
                </c:pt>
                <c:pt idx="132">
                  <c:v>57.027552275774312</c:v>
                </c:pt>
                <c:pt idx="133">
                  <c:v>57.087516492141511</c:v>
                </c:pt>
                <c:pt idx="134">
                  <c:v>57.147228803368598</c:v>
                </c:pt>
                <c:pt idx="135">
                  <c:v>57.206690815103116</c:v>
                </c:pt>
                <c:pt idx="136">
                  <c:v>57.265904119158606</c:v>
                </c:pt>
                <c:pt idx="137">
                  <c:v>57.324870293665846</c:v>
                </c:pt>
                <c:pt idx="138">
                  <c:v>57.383590903222213</c:v>
                </c:pt>
                <c:pt idx="139">
                  <c:v>57.442067499038934</c:v>
                </c:pt>
                <c:pt idx="140">
                  <c:v>57.50030161908645</c:v>
                </c:pt>
                <c:pt idx="141">
                  <c:v>57.558294788237859</c:v>
                </c:pt>
                <c:pt idx="142">
                  <c:v>57.616048518410466</c:v>
                </c:pt>
                <c:pt idx="143">
                  <c:v>57.673564308705394</c:v>
                </c:pt>
                <c:pt idx="144">
                  <c:v>57.730843645545477</c:v>
                </c:pt>
                <c:pt idx="145">
                  <c:v>57.787888002811243</c:v>
                </c:pt>
                <c:pt idx="146">
                  <c:v>57.844698841975166</c:v>
                </c:pt>
                <c:pt idx="147">
                  <c:v>57.901277612234217</c:v>
                </c:pt>
                <c:pt idx="148">
                  <c:v>57.95762575064051</c:v>
                </c:pt>
                <c:pt idx="149">
                  <c:v>58.013744682230495</c:v>
                </c:pt>
                <c:pt idx="150">
                  <c:v>58.069635820152307</c:v>
                </c:pt>
                <c:pt idx="151">
                  <c:v>58.125300565791498</c:v>
                </c:pt>
                <c:pt idx="152">
                  <c:v>58.180740308895196</c:v>
                </c:pt>
                <c:pt idx="153">
                  <c:v>58.235956427694624</c:v>
                </c:pt>
                <c:pt idx="154">
                  <c:v>58.290950289026114</c:v>
                </c:pt>
                <c:pt idx="155">
                  <c:v>58.345723248450454</c:v>
                </c:pt>
                <c:pt idx="156">
                  <c:v>58.400276650370806</c:v>
                </c:pt>
                <c:pt idx="157">
                  <c:v>58.454611828149126</c:v>
                </c:pt>
                <c:pt idx="158">
                  <c:v>58.508730104220994</c:v>
                </c:pt>
                <c:pt idx="159">
                  <c:v>58.562632790209214</c:v>
                </c:pt>
                <c:pt idx="160">
                  <c:v>58.616321187035624</c:v>
                </c:pt>
                <c:pt idx="161">
                  <c:v>58.669796585031932</c:v>
                </c:pt>
                <c:pt idx="162">
                  <c:v>58.723060264048733</c:v>
                </c:pt>
                <c:pt idx="163">
                  <c:v>58.7761134935635</c:v>
                </c:pt>
                <c:pt idx="164">
                  <c:v>58.828957532786973</c:v>
                </c:pt>
                <c:pt idx="165">
                  <c:v>58.881593630768386</c:v>
                </c:pt>
                <c:pt idx="166">
                  <c:v>58.93402302649929</c:v>
                </c:pt>
                <c:pt idx="167">
                  <c:v>58.986246949016106</c:v>
                </c:pt>
                <c:pt idx="168">
                  <c:v>59.038266617501421</c:v>
                </c:pt>
                <c:pt idx="169">
                  <c:v>59.090083241384058</c:v>
                </c:pt>
                <c:pt idx="170">
                  <c:v>59.141698020437723</c:v>
                </c:pt>
                <c:pt idx="171">
                  <c:v>59.193112144878832</c:v>
                </c:pt>
                <c:pt idx="172">
                  <c:v>59.244326795462634</c:v>
                </c:pt>
                <c:pt idx="173">
                  <c:v>59.295343143578606</c:v>
                </c:pt>
                <c:pt idx="174">
                  <c:v>59.34616235134434</c:v>
                </c:pt>
                <c:pt idx="175">
                  <c:v>59.396785571698516</c:v>
                </c:pt>
                <c:pt idx="176">
                  <c:v>59.447213948492596</c:v>
                </c:pt>
                <c:pt idx="177">
                  <c:v>59.497448616581529</c:v>
                </c:pt>
                <c:pt idx="178">
                  <c:v>59.547490701913169</c:v>
                </c:pt>
                <c:pt idx="179">
                  <c:v>59.597341321616859</c:v>
                </c:pt>
                <c:pt idx="180">
                  <c:v>59.647001584090752</c:v>
                </c:pt>
                <c:pt idx="181">
                  <c:v>59.696472589088081</c:v>
                </c:pt>
                <c:pt idx="182">
                  <c:v>59.745755427802621</c:v>
                </c:pt>
                <c:pt idx="183">
                  <c:v>59.794851182952755</c:v>
                </c:pt>
                <c:pt idx="184">
                  <c:v>59.843760928864839</c:v>
                </c:pt>
                <c:pt idx="185">
                  <c:v>59.892485731555567</c:v>
                </c:pt>
                <c:pt idx="186">
                  <c:v>59.941026648813015</c:v>
                </c:pt>
                <c:pt idx="187">
                  <c:v>59.989384730277216</c:v>
                </c:pt>
                <c:pt idx="188">
                  <c:v>60.037561017519309</c:v>
                </c:pt>
                <c:pt idx="189">
                  <c:v>60.085556544120145</c:v>
                </c:pt>
                <c:pt idx="190">
                  <c:v>60.133372335747708</c:v>
                </c:pt>
                <c:pt idx="191">
                  <c:v>60.181009410233635</c:v>
                </c:pt>
                <c:pt idx="192">
                  <c:v>60.228468777649049</c:v>
                </c:pt>
                <c:pt idx="193">
                  <c:v>60.275751440379231</c:v>
                </c:pt>
                <c:pt idx="194">
                  <c:v>60.322858393197684</c:v>
                </c:pt>
                <c:pt idx="195">
                  <c:v>60.369790623338979</c:v>
                </c:pt>
                <c:pt idx="196">
                  <c:v>60.416549110571182</c:v>
                </c:pt>
                <c:pt idx="197">
                  <c:v>60.463134827267091</c:v>
                </c:pt>
                <c:pt idx="198">
                  <c:v>60.50954873847482</c:v>
                </c:pt>
                <c:pt idx="199">
                  <c:v>60.55579180198751</c:v>
                </c:pt>
                <c:pt idx="200">
                  <c:v>60.601864968412265</c:v>
                </c:pt>
              </c:numCache>
            </c:numRef>
          </c:yVal>
          <c:smooth val="0"/>
          <c:extLst>
            <c:ext xmlns:c16="http://schemas.microsoft.com/office/drawing/2014/chart" uri="{C3380CC4-5D6E-409C-BE32-E72D297353CC}">
              <c16:uniqueId val="{00000001-9C39-475F-94ED-BBFF43B330D6}"/>
            </c:ext>
          </c:extLst>
        </c:ser>
        <c:dLbls>
          <c:showLegendKey val="0"/>
          <c:showVal val="0"/>
          <c:showCatName val="0"/>
          <c:showSerName val="0"/>
          <c:showPercent val="0"/>
          <c:showBubbleSize val="0"/>
        </c:dLbls>
        <c:axId val="198858624"/>
        <c:axId val="198864896"/>
      </c:scatterChart>
      <c:valAx>
        <c:axId val="19885862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8864896"/>
        <c:crosses val="autoZero"/>
        <c:crossBetween val="midCat"/>
      </c:valAx>
      <c:valAx>
        <c:axId val="19886489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885862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76235382341913138"/>
          <c:y val="3.6399592062826468E-2"/>
          <c:w val="0.19862061359977062"/>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3164215172691891"/>
          <c:y val="3.5618279569892476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v>High-side MOSFET</c:v>
          </c:tx>
          <c:spPr>
            <a:ln w="25400">
              <a:solidFill>
                <a:srgbClr val="000080"/>
              </a:solidFill>
              <a:prstDash val="dash"/>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Calculations'!$AK$9:$AK$209</c:f>
              <c:numCache>
                <c:formatCode>0.000</c:formatCode>
                <c:ptCount val="201"/>
                <c:pt idx="0">
                  <c:v>3.1666385121192331</c:v>
                </c:pt>
                <c:pt idx="1">
                  <c:v>3.1729581350464509</c:v>
                </c:pt>
                <c:pt idx="2">
                  <c:v>3.1792936199445592</c:v>
                </c:pt>
                <c:pt idx="3">
                  <c:v>3.1856447761917663</c:v>
                </c:pt>
                <c:pt idx="4">
                  <c:v>3.1920114162546822</c:v>
                </c:pt>
                <c:pt idx="5">
                  <c:v>3.1983933556253223</c:v>
                </c:pt>
                <c:pt idx="6">
                  <c:v>3.2047904127596665</c:v>
                </c:pt>
                <c:pt idx="7">
                  <c:v>3.2112024090177109</c:v>
                </c:pt>
                <c:pt idx="8">
                  <c:v>3.2176291686049869</c:v>
                </c:pt>
                <c:pt idx="9">
                  <c:v>3.2240705185155027</c:v>
                </c:pt>
                <c:pt idx="10">
                  <c:v>3.2305262884760442</c:v>
                </c:pt>
                <c:pt idx="11">
                  <c:v>3.2369963108918434</c:v>
                </c:pt>
                <c:pt idx="12">
                  <c:v>3.2434804207935253</c:v>
                </c:pt>
                <c:pt idx="13">
                  <c:v>3.2499784557853326</c:v>
                </c:pt>
                <c:pt idx="14">
                  <c:v>3.2564902559945779</c:v>
                </c:pt>
                <c:pt idx="15">
                  <c:v>3.2630156640222894</c:v>
                </c:pt>
                <c:pt idx="16">
                  <c:v>3.2695545248950224</c:v>
                </c:pt>
                <c:pt idx="17">
                  <c:v>3.2761066860178043</c:v>
                </c:pt>
                <c:pt idx="18">
                  <c:v>3.282671997128169</c:v>
                </c:pt>
                <c:pt idx="19">
                  <c:v>3.2892503102512789</c:v>
                </c:pt>
                <c:pt idx="20">
                  <c:v>3.2958414796560689</c:v>
                </c:pt>
                <c:pt idx="21">
                  <c:v>3.3024453618124179</c:v>
                </c:pt>
                <c:pt idx="22">
                  <c:v>3.3090618153492928</c:v>
                </c:pt>
                <c:pt idx="23">
                  <c:v>3.3156907010138652</c:v>
                </c:pt>
                <c:pt idx="24">
                  <c:v>3.3223318816315497</c:v>
                </c:pt>
                <c:pt idx="25">
                  <c:v>3.3289852220669585</c:v>
                </c:pt>
                <c:pt idx="26">
                  <c:v>3.3356505891857298</c:v>
                </c:pt>
                <c:pt idx="27">
                  <c:v>3.3423278518172301</c:v>
                </c:pt>
                <c:pt idx="28">
                  <c:v>3.3490168807180889</c:v>
                </c:pt>
                <c:pt idx="29">
                  <c:v>3.355717548536544</c:v>
                </c:pt>
                <c:pt idx="30">
                  <c:v>3.3624297297775882</c:v>
                </c:pt>
                <c:pt idx="31">
                  <c:v>3.3691533007688865</c:v>
                </c:pt>
                <c:pt idx="32">
                  <c:v>3.3758881396274552</c:v>
                </c:pt>
                <c:pt idx="33">
                  <c:v>3.3826341262270612</c:v>
                </c:pt>
                <c:pt idx="34">
                  <c:v>3.3893911421663523</c:v>
                </c:pt>
                <c:pt idx="35">
                  <c:v>3.3961590707376645</c:v>
                </c:pt>
                <c:pt idx="36">
                  <c:v>3.4029377968965386</c:v>
                </c:pt>
                <c:pt idx="37">
                  <c:v>3.409727207231867</c:v>
                </c:pt>
                <c:pt idx="38">
                  <c:v>3.4165271899367062</c:v>
                </c:pt>
                <c:pt idx="39">
                  <c:v>3.423337634779712</c:v>
                </c:pt>
                <c:pt idx="40">
                  <c:v>3.4301584330771866</c:v>
                </c:pt>
                <c:pt idx="41">
                  <c:v>3.4369894776657279</c:v>
                </c:pt>
                <c:pt idx="42">
                  <c:v>3.4438306628754507</c:v>
                </c:pt>
                <c:pt idx="43">
                  <c:v>3.4506818845037914</c:v>
                </c:pt>
                <c:pt idx="44">
                  <c:v>3.4575430397898574</c:v>
                </c:pt>
                <c:pt idx="45">
                  <c:v>3.4644140273893167</c:v>
                </c:pt>
                <c:pt idx="46">
                  <c:v>3.4712947473498188</c:v>
                </c:pt>
                <c:pt idx="47">
                  <c:v>3.4781851010869258</c:v>
                </c:pt>
                <c:pt idx="48">
                  <c:v>3.4850849913605462</c:v>
                </c:pt>
                <c:pt idx="49">
                  <c:v>3.4919943222518639</c:v>
                </c:pt>
                <c:pt idx="50">
                  <c:v>3.4989129991407326</c:v>
                </c:pt>
                <c:pt idx="51">
                  <c:v>3.5058409286835497</c:v>
                </c:pt>
                <c:pt idx="52">
                  <c:v>3.5127780187915696</c:v>
                </c:pt>
                <c:pt idx="53">
                  <c:v>3.5197241786096805</c:v>
                </c:pt>
                <c:pt idx="54">
                  <c:v>3.5266793184955949</c:v>
                </c:pt>
                <c:pt idx="55">
                  <c:v>3.5336433499994766</c:v>
                </c:pt>
                <c:pt idx="56">
                  <c:v>3.5406161858439678</c:v>
                </c:pt>
                <c:pt idx="57">
                  <c:v>3.5475977399046381</c:v>
                </c:pt>
                <c:pt idx="58">
                  <c:v>3.5545879271908016</c:v>
                </c:pt>
                <c:pt idx="59">
                  <c:v>3.5615866638267466</c:v>
                </c:pt>
                <c:pt idx="60">
                  <c:v>3.5685938670333135</c:v>
                </c:pt>
                <c:pt idx="61">
                  <c:v>3.5756094551098587</c:v>
                </c:pt>
                <c:pt idx="62">
                  <c:v>3.5826333474165679</c:v>
                </c:pt>
                <c:pt idx="63">
                  <c:v>3.5896654643571195</c:v>
                </c:pt>
                <c:pt idx="64">
                  <c:v>3.5967057273616909</c:v>
                </c:pt>
                <c:pt idx="65">
                  <c:v>3.603754058870297</c:v>
                </c:pt>
                <c:pt idx="66">
                  <c:v>3.6108103823164601</c:v>
                </c:pt>
                <c:pt idx="67">
                  <c:v>3.6178746221111888</c:v>
                </c:pt>
                <c:pt idx="68">
                  <c:v>3.6249467036272716</c:v>
                </c:pt>
                <c:pt idx="69">
                  <c:v>3.6320265531838873</c:v>
                </c:pt>
                <c:pt idx="70">
                  <c:v>3.639114098031488</c:v>
                </c:pt>
                <c:pt idx="71">
                  <c:v>3.646209266336998</c:v>
                </c:pt>
                <c:pt idx="72">
                  <c:v>3.6533119871692743</c:v>
                </c:pt>
                <c:pt idx="73">
                  <c:v>3.6604221904848666</c:v>
                </c:pt>
                <c:pt idx="74">
                  <c:v>3.667539807114029</c:v>
                </c:pt>
                <c:pt idx="75">
                  <c:v>3.6746647687470135</c:v>
                </c:pt>
                <c:pt idx="76">
                  <c:v>3.681797007920609</c:v>
                </c:pt>
                <c:pt idx="77">
                  <c:v>3.6889364580049406</c:v>
                </c:pt>
                <c:pt idx="78">
                  <c:v>3.6960830531905251</c:v>
                </c:pt>
                <c:pt idx="79">
                  <c:v>3.7032367284755527</c:v>
                </c:pt>
                <c:pt idx="80">
                  <c:v>3.710397419653416</c:v>
                </c:pt>
                <c:pt idx="81">
                  <c:v>3.7175650633004715</c:v>
                </c:pt>
                <c:pt idx="82">
                  <c:v>3.724739596764028</c:v>
                </c:pt>
                <c:pt idx="83">
                  <c:v>3.7319209581505515</c:v>
                </c:pt>
                <c:pt idx="84">
                  <c:v>3.7391090863140954</c:v>
                </c:pt>
                <c:pt idx="85">
                  <c:v>3.7463039208449347</c:v>
                </c:pt>
                <c:pt idx="86">
                  <c:v>3.7535054020584204</c:v>
                </c:pt>
                <c:pt idx="87">
                  <c:v>3.7607134709840238</c:v>
                </c:pt>
                <c:pt idx="88">
                  <c:v>3.7679280693545913</c:v>
                </c:pt>
                <c:pt idx="89">
                  <c:v>3.7751491395957881</c:v>
                </c:pt>
                <c:pt idx="90">
                  <c:v>3.782376624815734</c:v>
                </c:pt>
                <c:pt idx="91">
                  <c:v>3.7896104687948258</c:v>
                </c:pt>
                <c:pt idx="92">
                  <c:v>3.7968506159757478</c:v>
                </c:pt>
                <c:pt idx="93">
                  <c:v>3.8040970114536514</c:v>
                </c:pt>
                <c:pt idx="94">
                  <c:v>3.8113496009665213</c:v>
                </c:pt>
                <c:pt idx="95">
                  <c:v>3.8186083308857022</c:v>
                </c:pt>
                <c:pt idx="96">
                  <c:v>3.8258731482066044</c:v>
                </c:pt>
                <c:pt idx="97">
                  <c:v>3.8331440005395625</c:v>
                </c:pt>
                <c:pt idx="98">
                  <c:v>3.8404208361008707</c:v>
                </c:pt>
                <c:pt idx="99">
                  <c:v>3.8477036037039567</c:v>
                </c:pt>
                <c:pt idx="100">
                  <c:v>3.8549922527507312</c:v>
                </c:pt>
                <c:pt idx="101">
                  <c:v>3.862286733223065</c:v>
                </c:pt>
                <c:pt idx="102">
                  <c:v>3.8695869956744389</c:v>
                </c:pt>
                <c:pt idx="103">
                  <c:v>3.876892991221724</c:v>
                </c:pt>
                <c:pt idx="104">
                  <c:v>3.8842046715371072</c:v>
                </c:pt>
                <c:pt idx="105">
                  <c:v>3.8915219888401547</c:v>
                </c:pt>
                <c:pt idx="106">
                  <c:v>3.8988448958900173</c:v>
                </c:pt>
                <c:pt idx="107">
                  <c:v>3.9061733459777677</c:v>
                </c:pt>
                <c:pt idx="108">
                  <c:v>3.9135072929188652</c:v>
                </c:pt>
                <c:pt idx="109">
                  <c:v>3.9208466910457518</c:v>
                </c:pt>
                <c:pt idx="110">
                  <c:v>3.9281914952005765</c:v>
                </c:pt>
                <c:pt idx="111">
                  <c:v>3.9355416607280378</c:v>
                </c:pt>
                <c:pt idx="112">
                  <c:v>3.9428971434683557</c:v>
                </c:pt>
                <c:pt idx="113">
                  <c:v>3.9502578997503512</c:v>
                </c:pt>
                <c:pt idx="114">
                  <c:v>3.9576238863846478</c:v>
                </c:pt>
                <c:pt idx="115">
                  <c:v>3.9649950606569937</c:v>
                </c:pt>
                <c:pt idx="116">
                  <c:v>3.9723713803216838</c:v>
                </c:pt>
                <c:pt idx="117">
                  <c:v>3.9797528035950966</c:v>
                </c:pt>
                <c:pt idx="118">
                  <c:v>3.9871392891493405</c:v>
                </c:pt>
                <c:pt idx="119">
                  <c:v>3.994530796106003</c:v>
                </c:pt>
                <c:pt idx="120">
                  <c:v>4.0019272840300033</c:v>
                </c:pt>
                <c:pt idx="121">
                  <c:v>4.0093287129235522</c:v>
                </c:pt>
                <c:pt idx="122">
                  <c:v>4.0167350432201943</c:v>
                </c:pt>
                <c:pt idx="123">
                  <c:v>4.0241462357789688</c:v>
                </c:pt>
                <c:pt idx="124">
                  <c:v>4.0315622518786576</c:v>
                </c:pt>
                <c:pt idx="125">
                  <c:v>4.0389830532121174</c:v>
                </c:pt>
                <c:pt idx="126">
                  <c:v>4.0464086018807217</c:v>
                </c:pt>
                <c:pt idx="127">
                  <c:v>4.053838860388872</c:v>
                </c:pt>
                <c:pt idx="128">
                  <c:v>4.0612737916386248</c:v>
                </c:pt>
                <c:pt idx="129">
                  <c:v>4.068713358924378</c:v>
                </c:pt>
                <c:pt idx="130">
                  <c:v>4.0761575259276572</c:v>
                </c:pt>
                <c:pt idx="131">
                  <c:v>4.0836062567119811</c:v>
                </c:pt>
                <c:pt idx="132">
                  <c:v>4.0910595157178191</c:v>
                </c:pt>
                <c:pt idx="133">
                  <c:v>4.0985172677576092</c:v>
                </c:pt>
                <c:pt idx="134">
                  <c:v>4.1059794780108732</c:v>
                </c:pt>
                <c:pt idx="135">
                  <c:v>4.1134461120194015</c:v>
                </c:pt>
                <c:pt idx="136">
                  <c:v>4.1209171356825163</c:v>
                </c:pt>
                <c:pt idx="137">
                  <c:v>4.1283925152524068</c:v>
                </c:pt>
                <c:pt idx="138">
                  <c:v>4.1358722173295401</c:v>
                </c:pt>
                <c:pt idx="139">
                  <c:v>4.1433562088581422</c:v>
                </c:pt>
                <c:pt idx="140">
                  <c:v>4.1508444571217513</c:v>
                </c:pt>
                <c:pt idx="141">
                  <c:v>4.1583369297388435</c:v>
                </c:pt>
                <c:pt idx="142">
                  <c:v>4.1658335946585154</c:v>
                </c:pt>
                <c:pt idx="143">
                  <c:v>4.1733344201562499</c:v>
                </c:pt>
                <c:pt idx="144">
                  <c:v>4.1808393748297306</c:v>
                </c:pt>
                <c:pt idx="145">
                  <c:v>4.1883484275947316</c:v>
                </c:pt>
                <c:pt idx="146">
                  <c:v>4.1958615476810754</c:v>
                </c:pt>
                <c:pt idx="147">
                  <c:v>4.2033787046286335</c:v>
                </c:pt>
                <c:pt idx="148">
                  <c:v>4.2108998682834038</c:v>
                </c:pt>
                <c:pt idx="149">
                  <c:v>4.2184250087936501</c:v>
                </c:pt>
                <c:pt idx="150">
                  <c:v>4.2259540966060865</c:v>
                </c:pt>
                <c:pt idx="151">
                  <c:v>4.2334871024621314</c:v>
                </c:pt>
                <c:pt idx="152">
                  <c:v>4.2410239973942145</c:v>
                </c:pt>
                <c:pt idx="153">
                  <c:v>4.2485647527221371</c:v>
                </c:pt>
                <c:pt idx="154">
                  <c:v>4.2561093400494903</c:v>
                </c:pt>
                <c:pt idx="155">
                  <c:v>4.26365773126013</c:v>
                </c:pt>
                <c:pt idx="156">
                  <c:v>4.2712098985146936</c:v>
                </c:pt>
                <c:pt idx="157">
                  <c:v>4.2787658142471843</c:v>
                </c:pt>
                <c:pt idx="158">
                  <c:v>4.2863254511615922</c:v>
                </c:pt>
                <c:pt idx="159">
                  <c:v>4.2938887822285725</c:v>
                </c:pt>
                <c:pt idx="160">
                  <c:v>4.3014557806821747</c:v>
                </c:pt>
                <c:pt idx="161">
                  <c:v>4.3090264200166155</c:v>
                </c:pt>
                <c:pt idx="162">
                  <c:v>4.3166006739831015</c:v>
                </c:pt>
                <c:pt idx="163">
                  <c:v>4.3241785165866995</c:v>
                </c:pt>
                <c:pt idx="164">
                  <c:v>4.3317599220832506</c:v>
                </c:pt>
                <c:pt idx="165">
                  <c:v>4.3393448649763293</c:v>
                </c:pt>
                <c:pt idx="166">
                  <c:v>4.3469333200142533</c:v>
                </c:pt>
                <c:pt idx="167">
                  <c:v>4.354525262187126</c:v>
                </c:pt>
                <c:pt idx="168">
                  <c:v>4.3621206667239312</c:v>
                </c:pt>
                <c:pt idx="169">
                  <c:v>4.3697195090896663</c:v>
                </c:pt>
                <c:pt idx="170">
                  <c:v>4.3773217649825149</c:v>
                </c:pt>
                <c:pt idx="171">
                  <c:v>4.384927410331068</c:v>
                </c:pt>
                <c:pt idx="172">
                  <c:v>4.3925364212915738</c:v>
                </c:pt>
                <c:pt idx="173">
                  <c:v>4.4001487742452339</c:v>
                </c:pt>
                <c:pt idx="174">
                  <c:v>4.4077644457955403</c:v>
                </c:pt>
                <c:pt idx="175">
                  <c:v>4.4153834127656477</c:v>
                </c:pt>
                <c:pt idx="176">
                  <c:v>4.4230056521957737</c:v>
                </c:pt>
                <c:pt idx="177">
                  <c:v>4.4306311413406574</c:v>
                </c:pt>
                <c:pt idx="178">
                  <c:v>4.4382598576670347</c:v>
                </c:pt>
                <c:pt idx="179">
                  <c:v>4.4458917788511592</c:v>
                </c:pt>
                <c:pt idx="180">
                  <c:v>4.4535268827763517</c:v>
                </c:pt>
                <c:pt idx="181">
                  <c:v>4.4611651475305889</c:v>
                </c:pt>
                <c:pt idx="182">
                  <c:v>4.4688065514041266</c:v>
                </c:pt>
                <c:pt idx="183">
                  <c:v>4.4764510728871549</c:v>
                </c:pt>
                <c:pt idx="184">
                  <c:v>4.48409869066748</c:v>
                </c:pt>
                <c:pt idx="185">
                  <c:v>4.4917493836282523</c:v>
                </c:pt>
                <c:pt idx="186">
                  <c:v>4.499403130845705</c:v>
                </c:pt>
                <c:pt idx="187">
                  <c:v>4.5070599115869543</c:v>
                </c:pt>
                <c:pt idx="188">
                  <c:v>4.5147197053077956</c:v>
                </c:pt>
                <c:pt idx="189">
                  <c:v>4.5223824916505553</c:v>
                </c:pt>
                <c:pt idx="190">
                  <c:v>4.5300482504419648</c:v>
                </c:pt>
                <c:pt idx="191">
                  <c:v>4.537716961691058</c:v>
                </c:pt>
                <c:pt idx="192">
                  <c:v>4.545388605587104</c:v>
                </c:pt>
                <c:pt idx="193">
                  <c:v>4.5530631624975717</c:v>
                </c:pt>
                <c:pt idx="194">
                  <c:v>4.5607406129661037</c:v>
                </c:pt>
                <c:pt idx="195">
                  <c:v>4.568420937710548</c:v>
                </c:pt>
                <c:pt idx="196">
                  <c:v>4.5761041176209867</c:v>
                </c:pt>
                <c:pt idx="197">
                  <c:v>4.5837901337578062</c:v>
                </c:pt>
                <c:pt idx="198">
                  <c:v>4.591478967349798</c:v>
                </c:pt>
                <c:pt idx="199">
                  <c:v>4.5991705997922674</c:v>
                </c:pt>
                <c:pt idx="200">
                  <c:v>4.6068650126451924</c:v>
                </c:pt>
              </c:numCache>
            </c:numRef>
          </c:yVal>
          <c:smooth val="0"/>
          <c:extLst>
            <c:ext xmlns:c16="http://schemas.microsoft.com/office/drawing/2014/chart" uri="{C3380CC4-5D6E-409C-BE32-E72D297353CC}">
              <c16:uniqueId val="{00000000-30B5-471E-8AC8-389631F29193}"/>
            </c:ext>
          </c:extLst>
        </c:ser>
        <c:ser>
          <c:idx val="3"/>
          <c:order val="1"/>
          <c:tx>
            <c:v>Low-side MOSFET</c:v>
          </c:tx>
          <c:spPr>
            <a:ln w="25400">
              <a:solidFill>
                <a:srgbClr val="FF0000"/>
              </a:solidFill>
              <a:prstDash val="solid"/>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Calculations'!$AO$9:$AO$209</c:f>
              <c:numCache>
                <c:formatCode>0.000</c:formatCode>
                <c:ptCount val="201"/>
                <c:pt idx="0">
                  <c:v>0.76682892981848416</c:v>
                </c:pt>
                <c:pt idx="1">
                  <c:v>0.76876019929867889</c:v>
                </c:pt>
                <c:pt idx="2">
                  <c:v>0.77067995133071665</c:v>
                </c:pt>
                <c:pt idx="3">
                  <c:v>0.77258829213482738</c:v>
                </c:pt>
                <c:pt idx="4">
                  <c:v>0.77448532657974101</c:v>
                </c:pt>
                <c:pt idx="5">
                  <c:v>0.77637115820492941</c:v>
                </c:pt>
                <c:pt idx="6">
                  <c:v>0.77824588924239702</c:v>
                </c:pt>
                <c:pt idx="7">
                  <c:v>0.78010962063802802</c:v>
                </c:pt>
                <c:pt idx="8">
                  <c:v>0.78196245207250448</c:v>
                </c:pt>
                <c:pt idx="9">
                  <c:v>0.78380448198180097</c:v>
                </c:pt>
                <c:pt idx="10">
                  <c:v>0.78563580757727103</c:v>
                </c:pt>
                <c:pt idx="11">
                  <c:v>0.78745652486533035</c:v>
                </c:pt>
                <c:pt idx="12">
                  <c:v>0.78926672866675163</c:v>
                </c:pt>
                <c:pt idx="13">
                  <c:v>0.79106651263557459</c:v>
                </c:pt>
                <c:pt idx="14">
                  <c:v>0.7928559692776449</c:v>
                </c:pt>
                <c:pt idx="15">
                  <c:v>0.79463518996878812</c:v>
                </c:pt>
                <c:pt idx="16">
                  <c:v>0.79640426497262817</c:v>
                </c:pt>
                <c:pt idx="17">
                  <c:v>0.79816328345805931</c:v>
                </c:pt>
                <c:pt idx="18">
                  <c:v>0.79991233351637692</c:v>
                </c:pt>
                <c:pt idx="19">
                  <c:v>0.80165150217808012</c:v>
                </c:pt>
                <c:pt idx="20">
                  <c:v>0.80338087542934766</c:v>
                </c:pt>
                <c:pt idx="21">
                  <c:v>0.80510053822819927</c:v>
                </c:pt>
                <c:pt idx="22">
                  <c:v>0.80681057452034755</c:v>
                </c:pt>
                <c:pt idx="23">
                  <c:v>0.80851106725474797</c:v>
                </c:pt>
                <c:pt idx="24">
                  <c:v>0.81020209839885504</c:v>
                </c:pt>
                <c:pt idx="25">
                  <c:v>0.81188374895358728</c:v>
                </c:pt>
                <c:pt idx="26">
                  <c:v>0.81355609896801429</c:v>
                </c:pt>
                <c:pt idx="27">
                  <c:v>0.81521922755376441</c:v>
                </c:pt>
                <c:pt idx="28">
                  <c:v>0.81687321289916603</c:v>
                </c:pt>
                <c:pt idx="29">
                  <c:v>0.81851813228312464</c:v>
                </c:pt>
                <c:pt idx="30">
                  <c:v>0.82015406208874098</c:v>
                </c:pt>
                <c:pt idx="31">
                  <c:v>0.82178107781668097</c:v>
                </c:pt>
                <c:pt idx="32">
                  <c:v>0.82339925409829551</c:v>
                </c:pt>
                <c:pt idx="33">
                  <c:v>0.82500866470850276</c:v>
                </c:pt>
                <c:pt idx="34">
                  <c:v>0.82660938257843231</c:v>
                </c:pt>
                <c:pt idx="35">
                  <c:v>0.82820147980784142</c:v>
                </c:pt>
                <c:pt idx="36">
                  <c:v>0.82978502767730455</c:v>
                </c:pt>
                <c:pt idx="37">
                  <c:v>0.83136009666018207</c:v>
                </c:pt>
                <c:pt idx="38">
                  <c:v>0.83292675643437541</c:v>
                </c:pt>
                <c:pt idx="39">
                  <c:v>0.83448507589386844</c:v>
                </c:pt>
                <c:pt idx="40">
                  <c:v>0.83603512316006456</c:v>
                </c:pt>
                <c:pt idx="41">
                  <c:v>0.83757696559292061</c:v>
                </c:pt>
                <c:pt idx="42">
                  <c:v>0.8391106698018832</c:v>
                </c:pt>
                <c:pt idx="43">
                  <c:v>0.8406363016566315</c:v>
                </c:pt>
                <c:pt idx="44">
                  <c:v>0.84215392629763086</c:v>
                </c:pt>
                <c:pt idx="45">
                  <c:v>0.84366360814650077</c:v>
                </c:pt>
                <c:pt idx="46">
                  <c:v>0.84516541091620023</c:v>
                </c:pt>
                <c:pt idx="47">
                  <c:v>0.84665939762103681</c:v>
                </c:pt>
                <c:pt idx="48">
                  <c:v>0.8481456305865015</c:v>
                </c:pt>
                <c:pt idx="49">
                  <c:v>0.84962417145893154</c:v>
                </c:pt>
                <c:pt idx="50">
                  <c:v>0.85109508121500776</c:v>
                </c:pt>
                <c:pt idx="51">
                  <c:v>0.85255842017108852</c:v>
                </c:pt>
                <c:pt idx="52">
                  <c:v>0.8540142479923819</c:v>
                </c:pt>
                <c:pt idx="53">
                  <c:v>0.85546262370196247</c:v>
                </c:pt>
                <c:pt idx="54">
                  <c:v>0.85690360568963519</c:v>
                </c:pt>
                <c:pt idx="55">
                  <c:v>0.8583372517206459</c:v>
                </c:pt>
                <c:pt idx="56">
                  <c:v>0.85976361894424647</c:v>
                </c:pt>
                <c:pt idx="57">
                  <c:v>0.86118276390211557</c:v>
                </c:pt>
                <c:pt idx="58">
                  <c:v>0.86259474253663693</c:v>
                </c:pt>
                <c:pt idx="59">
                  <c:v>0.86399961019903926</c:v>
                </c:pt>
                <c:pt idx="60">
                  <c:v>0.86539742165739941</c:v>
                </c:pt>
                <c:pt idx="61">
                  <c:v>0.86678823110451408</c:v>
                </c:pt>
                <c:pt idx="62">
                  <c:v>0.86817209216563918</c:v>
                </c:pt>
                <c:pt idx="63">
                  <c:v>0.8695490579061016</c:v>
                </c:pt>
                <c:pt idx="64">
                  <c:v>0.87091918083878606</c:v>
                </c:pt>
                <c:pt idx="65">
                  <c:v>0.87228251293149806</c:v>
                </c:pt>
                <c:pt idx="66">
                  <c:v>0.87363910561420688</c:v>
                </c:pt>
                <c:pt idx="67">
                  <c:v>0.87498900978617</c:v>
                </c:pt>
                <c:pt idx="68">
                  <c:v>0.87633227582294171</c:v>
                </c:pt>
                <c:pt idx="69">
                  <c:v>0.87766895358326769</c:v>
                </c:pt>
                <c:pt idx="70">
                  <c:v>0.87899909241586827</c:v>
                </c:pt>
                <c:pt idx="71">
                  <c:v>0.88032274116611264</c:v>
                </c:pt>
                <c:pt idx="72">
                  <c:v>0.8816399481825854</c:v>
                </c:pt>
                <c:pt idx="73">
                  <c:v>0.88295076132354755</c:v>
                </c:pt>
                <c:pt idx="74">
                  <c:v>0.88425522796329536</c:v>
                </c:pt>
                <c:pt idx="75">
                  <c:v>0.88555339499841679</c:v>
                </c:pt>
                <c:pt idx="76">
                  <c:v>0.88684530885394941</c:v>
                </c:pt>
                <c:pt idx="77">
                  <c:v>0.88813101548944129</c:v>
                </c:pt>
                <c:pt idx="78">
                  <c:v>0.88941056040491417</c:v>
                </c:pt>
                <c:pt idx="79">
                  <c:v>0.89068398864673604</c:v>
                </c:pt>
                <c:pt idx="80">
                  <c:v>0.89195134481339899</c:v>
                </c:pt>
                <c:pt idx="81">
                  <c:v>0.89321267306120677</c:v>
                </c:pt>
                <c:pt idx="82">
                  <c:v>0.89446801710987722</c:v>
                </c:pt>
                <c:pt idx="83">
                  <c:v>0.89571742024805279</c:v>
                </c:pt>
                <c:pt idx="84">
                  <c:v>0.89696092533872873</c:v>
                </c:pt>
                <c:pt idx="85">
                  <c:v>0.89819857482459753</c:v>
                </c:pt>
                <c:pt idx="86">
                  <c:v>0.89943041073330832</c:v>
                </c:pt>
                <c:pt idx="87">
                  <c:v>0.9006564746826502</c:v>
                </c:pt>
                <c:pt idx="88">
                  <c:v>0.90187680788565172</c:v>
                </c:pt>
                <c:pt idx="89">
                  <c:v>0.90309145115560452</c:v>
                </c:pt>
                <c:pt idx="90">
                  <c:v>0.9043004449110108</c:v>
                </c:pt>
                <c:pt idx="91">
                  <c:v>0.90550382918045602</c:v>
                </c:pt>
                <c:pt idx="92">
                  <c:v>0.90670164360740579</c:v>
                </c:pt>
                <c:pt idx="93">
                  <c:v>0.90789392745493303</c:v>
                </c:pt>
                <c:pt idx="94">
                  <c:v>0.90908071961037218</c:v>
                </c:pt>
                <c:pt idx="95">
                  <c:v>0.91026205858990517</c:v>
                </c:pt>
                <c:pt idx="96">
                  <c:v>0.91143798254307751</c:v>
                </c:pt>
                <c:pt idx="97">
                  <c:v>0.91260852925724734</c:v>
                </c:pt>
                <c:pt idx="98">
                  <c:v>0.91377373616196889</c:v>
                </c:pt>
                <c:pt idx="99">
                  <c:v>0.91493364033331115</c:v>
                </c:pt>
                <c:pt idx="100">
                  <c:v>0.91608827849811103</c:v>
                </c:pt>
                <c:pt idx="101">
                  <c:v>0.9172376870381671</c:v>
                </c:pt>
                <c:pt idx="102">
                  <c:v>0.91838190199436642</c:v>
                </c:pt>
                <c:pt idx="103">
                  <c:v>0.91952095907075815</c:v>
                </c:pt>
                <c:pt idx="104">
                  <c:v>0.92065489363856057</c:v>
                </c:pt>
                <c:pt idx="105">
                  <c:v>0.92178374074011404</c:v>
                </c:pt>
                <c:pt idx="106">
                  <c:v>0.92290753509277534</c:v>
                </c:pt>
                <c:pt idx="107">
                  <c:v>0.92402631109275468</c:v>
                </c:pt>
                <c:pt idx="108">
                  <c:v>0.92514010281889936</c:v>
                </c:pt>
                <c:pt idx="109">
                  <c:v>0.92624894403642088</c:v>
                </c:pt>
                <c:pt idx="110">
                  <c:v>0.92735286820056895</c:v>
                </c:pt>
                <c:pt idx="111">
                  <c:v>0.92845190846025438</c:v>
                </c:pt>
                <c:pt idx="112">
                  <c:v>0.92954609766161789</c:v>
                </c:pt>
                <c:pt idx="113">
                  <c:v>0.93063546835154998</c:v>
                </c:pt>
                <c:pt idx="114">
                  <c:v>0.9317200527811591</c:v>
                </c:pt>
                <c:pt idx="115">
                  <c:v>0.93279988290919202</c:v>
                </c:pt>
                <c:pt idx="116">
                  <c:v>0.933874990405406</c:v>
                </c:pt>
                <c:pt idx="117">
                  <c:v>0.93494540665389192</c:v>
                </c:pt>
                <c:pt idx="118">
                  <c:v>0.93601116275635154</c:v>
                </c:pt>
                <c:pt idx="119">
                  <c:v>0.93707228953532895</c:v>
                </c:pt>
                <c:pt idx="120">
                  <c:v>0.93812881753739774</c:v>
                </c:pt>
                <c:pt idx="121">
                  <c:v>0.93918077703630165</c:v>
                </c:pt>
                <c:pt idx="122">
                  <c:v>0.94022819803605207</c:v>
                </c:pt>
                <c:pt idx="123">
                  <c:v>0.94127111027398458</c:v>
                </c:pt>
                <c:pt idx="124">
                  <c:v>0.94230954322377058</c:v>
                </c:pt>
                <c:pt idx="125">
                  <c:v>0.9433435260983889</c:v>
                </c:pt>
                <c:pt idx="126">
                  <c:v>0.94437308785305663</c:v>
                </c:pt>
                <c:pt idx="127">
                  <c:v>0.94539825718811765</c:v>
                </c:pt>
                <c:pt idx="128">
                  <c:v>0.9464190625518949</c:v>
                </c:pt>
                <c:pt idx="129">
                  <c:v>0.94743553214350074</c:v>
                </c:pt>
                <c:pt idx="130">
                  <c:v>0.94844769391561101</c:v>
                </c:pt>
                <c:pt idx="131">
                  <c:v>0.9494555755771994</c:v>
                </c:pt>
                <c:pt idx="132">
                  <c:v>0.95045920459623856</c:v>
                </c:pt>
                <c:pt idx="133">
                  <c:v>0.9514586082023585</c:v>
                </c:pt>
                <c:pt idx="134">
                  <c:v>0.95245381338947666</c:v>
                </c:pt>
                <c:pt idx="135">
                  <c:v>0.95344484691838527</c:v>
                </c:pt>
                <c:pt idx="136">
                  <c:v>0.95443173531931014</c:v>
                </c:pt>
                <c:pt idx="137">
                  <c:v>0.9554145048944308</c:v>
                </c:pt>
                <c:pt idx="138">
                  <c:v>0.95639318172037024</c:v>
                </c:pt>
                <c:pt idx="139">
                  <c:v>0.95736779165064889</c:v>
                </c:pt>
                <c:pt idx="140">
                  <c:v>0.95833836031810749</c:v>
                </c:pt>
                <c:pt idx="141">
                  <c:v>0.9593049131372976</c:v>
                </c:pt>
                <c:pt idx="142">
                  <c:v>0.96026747530684109</c:v>
                </c:pt>
                <c:pt idx="143">
                  <c:v>0.96122607181175657</c:v>
                </c:pt>
                <c:pt idx="144">
                  <c:v>0.962180727425758</c:v>
                </c:pt>
                <c:pt idx="145">
                  <c:v>0.96313146671352068</c:v>
                </c:pt>
                <c:pt idx="146">
                  <c:v>0.96407831403291944</c:v>
                </c:pt>
                <c:pt idx="147">
                  <c:v>0.96502129353723698</c:v>
                </c:pt>
                <c:pt idx="148">
                  <c:v>0.96596042917734182</c:v>
                </c:pt>
                <c:pt idx="149">
                  <c:v>0.96689574470384154</c:v>
                </c:pt>
                <c:pt idx="150">
                  <c:v>0.96782726366920513</c:v>
                </c:pt>
                <c:pt idx="151">
                  <c:v>0.96875500942985826</c:v>
                </c:pt>
                <c:pt idx="152">
                  <c:v>0.96967900514825323</c:v>
                </c:pt>
                <c:pt idx="153">
                  <c:v>0.9705992737949104</c:v>
                </c:pt>
                <c:pt idx="154">
                  <c:v>0.97151583815043518</c:v>
                </c:pt>
                <c:pt idx="155">
                  <c:v>0.97242872080750753</c:v>
                </c:pt>
                <c:pt idx="156">
                  <c:v>0.9733379441728468</c:v>
                </c:pt>
                <c:pt idx="157">
                  <c:v>0.97424353046915213</c:v>
                </c:pt>
                <c:pt idx="158">
                  <c:v>0.97514550173701653</c:v>
                </c:pt>
                <c:pt idx="159">
                  <c:v>0.97604387983682028</c:v>
                </c:pt>
                <c:pt idx="160">
                  <c:v>0.97693868645059367</c:v>
                </c:pt>
                <c:pt idx="161">
                  <c:v>0.9778299430838655</c:v>
                </c:pt>
                <c:pt idx="162">
                  <c:v>0.97871767106747887</c:v>
                </c:pt>
                <c:pt idx="163">
                  <c:v>0.9796018915593917</c:v>
                </c:pt>
                <c:pt idx="164">
                  <c:v>0.9804826255464496</c:v>
                </c:pt>
                <c:pt idx="165">
                  <c:v>0.98135989384613975</c:v>
                </c:pt>
                <c:pt idx="166">
                  <c:v>0.98223371710832152</c:v>
                </c:pt>
                <c:pt idx="167">
                  <c:v>0.98310411581693513</c:v>
                </c:pt>
                <c:pt idx="168">
                  <c:v>0.98397111029169038</c:v>
                </c:pt>
                <c:pt idx="169">
                  <c:v>0.98483472068973432</c:v>
                </c:pt>
                <c:pt idx="170">
                  <c:v>0.98569496700729542</c:v>
                </c:pt>
                <c:pt idx="171">
                  <c:v>0.98655186908131387</c:v>
                </c:pt>
                <c:pt idx="172">
                  <c:v>0.9874054465910439</c:v>
                </c:pt>
                <c:pt idx="173">
                  <c:v>0.98825571905964349</c:v>
                </c:pt>
                <c:pt idx="174">
                  <c:v>0.98910270585573901</c:v>
                </c:pt>
                <c:pt idx="175">
                  <c:v>0.9899464261949753</c:v>
                </c:pt>
                <c:pt idx="176">
                  <c:v>0.99078689914154328</c:v>
                </c:pt>
                <c:pt idx="177">
                  <c:v>0.9916241436096922</c:v>
                </c:pt>
                <c:pt idx="178">
                  <c:v>0.99245817836521943</c:v>
                </c:pt>
                <c:pt idx="179">
                  <c:v>0.99328902202694769</c:v>
                </c:pt>
                <c:pt idx="180">
                  <c:v>0.99411669306817918</c:v>
                </c:pt>
                <c:pt idx="181">
                  <c:v>0.99494120981813472</c:v>
                </c:pt>
                <c:pt idx="182">
                  <c:v>0.99576259046337701</c:v>
                </c:pt>
                <c:pt idx="183">
                  <c:v>0.99658085304921262</c:v>
                </c:pt>
                <c:pt idx="184">
                  <c:v>0.9973960154810807</c:v>
                </c:pt>
                <c:pt idx="185">
                  <c:v>0.99820809552592615</c:v>
                </c:pt>
                <c:pt idx="186">
                  <c:v>0.99901711081355027</c:v>
                </c:pt>
                <c:pt idx="187">
                  <c:v>0.99982307883795363</c:v>
                </c:pt>
                <c:pt idx="188">
                  <c:v>1.0006260169586552</c:v>
                </c:pt>
                <c:pt idx="189">
                  <c:v>1.0014259424020024</c:v>
                </c:pt>
                <c:pt idx="190">
                  <c:v>1.0022228722624618</c:v>
                </c:pt>
                <c:pt idx="191">
                  <c:v>1.0030168235038939</c:v>
                </c:pt>
                <c:pt idx="192">
                  <c:v>1.0038078129608174</c:v>
                </c:pt>
                <c:pt idx="193">
                  <c:v>1.0045958573396538</c:v>
                </c:pt>
                <c:pt idx="194">
                  <c:v>1.0053809732199614</c:v>
                </c:pt>
                <c:pt idx="195">
                  <c:v>1.0061631770556496</c:v>
                </c:pt>
                <c:pt idx="196">
                  <c:v>1.0069424851761863</c:v>
                </c:pt>
                <c:pt idx="197">
                  <c:v>1.0077189137877849</c:v>
                </c:pt>
                <c:pt idx="198">
                  <c:v>1.0084924789745804</c:v>
                </c:pt>
                <c:pt idx="199">
                  <c:v>1.0092631966997918</c:v>
                </c:pt>
                <c:pt idx="200">
                  <c:v>1.010031082806871</c:v>
                </c:pt>
              </c:numCache>
            </c:numRef>
          </c:yVal>
          <c:smooth val="0"/>
          <c:extLst>
            <c:ext xmlns:c16="http://schemas.microsoft.com/office/drawing/2014/chart" uri="{C3380CC4-5D6E-409C-BE32-E72D297353CC}">
              <c16:uniqueId val="{00000001-30B5-471E-8AC8-389631F29193}"/>
            </c:ext>
          </c:extLst>
        </c:ser>
        <c:ser>
          <c:idx val="0"/>
          <c:order val="2"/>
          <c:tx>
            <c:v>Inductor Loss</c:v>
          </c:tx>
          <c:spPr>
            <a:ln w="31750">
              <a:solidFill>
                <a:srgbClr val="FF6600"/>
              </a:solidFill>
              <a:prstDash val="lgDash"/>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Calculations'!$Z$9:$Z$209</c:f>
              <c:numCache>
                <c:formatCode>0.000</c:formatCode>
                <c:ptCount val="201"/>
                <c:pt idx="0">
                  <c:v>1.1664963483138355</c:v>
                </c:pt>
                <c:pt idx="1">
                  <c:v>1.1724245056423757</c:v>
                </c:pt>
                <c:pt idx="2">
                  <c:v>1.1783832701555945</c:v>
                </c:pt>
                <c:pt idx="3">
                  <c:v>1.1843717797329916</c:v>
                </c:pt>
                <c:pt idx="4">
                  <c:v>1.1903891876899488</c:v>
                </c:pt>
                <c:pt idx="5">
                  <c:v>1.1964346625581173</c:v>
                </c:pt>
                <c:pt idx="6">
                  <c:v>1.2025073878656187</c:v>
                </c:pt>
                <c:pt idx="7">
                  <c:v>1.2086065619173552</c:v>
                </c:pt>
                <c:pt idx="8">
                  <c:v>1.2147313975756808</c:v>
                </c:pt>
                <c:pt idx="9">
                  <c:v>1.2208811220416802</c:v>
                </c:pt>
                <c:pt idx="10">
                  <c:v>1.2270549766372592</c:v>
                </c:pt>
                <c:pt idx="11">
                  <c:v>1.2332522165882602</c:v>
                </c:pt>
                <c:pt idx="12">
                  <c:v>1.2394721108087612</c:v>
                </c:pt>
                <c:pt idx="13">
                  <c:v>1.2457139416867364</c:v>
                </c:pt>
                <c:pt idx="14">
                  <c:v>1.2519770048712224</c:v>
                </c:pt>
                <c:pt idx="15">
                  <c:v>1.258260609061113</c:v>
                </c:pt>
                <c:pt idx="16">
                  <c:v>1.2645640757957135</c:v>
                </c:pt>
                <c:pt idx="17">
                  <c:v>1.270886739247159</c:v>
                </c:pt>
                <c:pt idx="18">
                  <c:v>1.2772279460147808</c:v>
                </c:pt>
                <c:pt idx="19">
                  <c:v>1.2835870549215331</c:v>
                </c:pt>
                <c:pt idx="20">
                  <c:v>1.2899634368125192</c:v>
                </c:pt>
                <c:pt idx="21">
                  <c:v>1.2963564743557268</c:v>
                </c:pt>
                <c:pt idx="22">
                  <c:v>1.3027655618449869</c:v>
                </c:pt>
                <c:pt idx="23">
                  <c:v>1.3091901050052479</c:v>
                </c:pt>
                <c:pt idx="24">
                  <c:v>1.3156295208001829</c:v>
                </c:pt>
                <c:pt idx="25">
                  <c:v>1.3220832372421718</c:v>
                </c:pt>
                <c:pt idx="26">
                  <c:v>1.3285506932047102</c:v>
                </c:pt>
                <c:pt idx="27">
                  <c:v>1.3350313382372367</c:v>
                </c:pt>
                <c:pt idx="28">
                  <c:v>1.3415246323824344</c:v>
                </c:pt>
                <c:pt idx="29">
                  <c:v>1.3480300459960002</c:v>
                </c:pt>
                <c:pt idx="30">
                  <c:v>1.3545470595689051</c:v>
                </c:pt>
                <c:pt idx="31">
                  <c:v>1.3610751635521507</c:v>
                </c:pt>
                <c:pt idx="32">
                  <c:v>1.3676138581840214</c:v>
                </c:pt>
                <c:pt idx="33">
                  <c:v>1.3741626533198497</c:v>
                </c:pt>
                <c:pt idx="34">
                  <c:v>1.3807210682642745</c:v>
                </c:pt>
                <c:pt idx="35">
                  <c:v>1.3872886316059887</c:v>
                </c:pt>
                <c:pt idx="36">
                  <c:v>1.3938648810549974</c:v>
                </c:pt>
                <c:pt idx="37">
                  <c:v>1.4004493632823283</c:v>
                </c:pt>
                <c:pt idx="38">
                  <c:v>1.4070416337622322</c:v>
                </c:pt>
                <c:pt idx="39">
                  <c:v>1.4136412566168222</c:v>
                </c:pt>
                <c:pt idx="40">
                  <c:v>1.4202478044631612</c:v>
                </c:pt>
                <c:pt idx="41">
                  <c:v>1.4268608582627682</c:v>
                </c:pt>
                <c:pt idx="42">
                  <c:v>1.4334800071735168</c:v>
                </c:pt>
                <c:pt idx="43">
                  <c:v>1.440104848403934</c:v>
                </c:pt>
                <c:pt idx="44">
                  <c:v>1.4467349870698509</c:v>
                </c:pt>
                <c:pt idx="45">
                  <c:v>1.453370036053391</c:v>
                </c:pt>
                <c:pt idx="46">
                  <c:v>1.4600096158642786</c:v>
                </c:pt>
                <c:pt idx="47">
                  <c:v>1.4666533545034381</c:v>
                </c:pt>
                <c:pt idx="48">
                  <c:v>1.4733008873288647</c:v>
                </c:pt>
                <c:pt idx="49">
                  <c:v>1.4799518569237242</c:v>
                </c:pt>
                <c:pt idx="50">
                  <c:v>1.4866059129666853</c:v>
                </c:pt>
                <c:pt idx="51">
                  <c:v>1.4932627121044315</c:v>
                </c:pt>
                <c:pt idx="52">
                  <c:v>1.4999219178263286</c:v>
                </c:pt>
                <c:pt idx="53">
                  <c:v>1.5065832003412454</c:v>
                </c:pt>
                <c:pt idx="54">
                  <c:v>1.5132462364564618</c:v>
                </c:pt>
                <c:pt idx="55">
                  <c:v>1.5199107094586699</c:v>
                </c:pt>
                <c:pt idx="56">
                  <c:v>1.5265763089970132</c:v>
                </c:pt>
                <c:pt idx="57">
                  <c:v>1.5332427309681569</c:v>
                </c:pt>
                <c:pt idx="58">
                  <c:v>1.5399096774033554</c:v>
                </c:pt>
                <c:pt idx="59">
                  <c:v>1.5465768563574689</c:v>
                </c:pt>
                <c:pt idx="60">
                  <c:v>1.5532439817999366</c:v>
                </c:pt>
                <c:pt idx="61">
                  <c:v>1.559910773507637</c:v>
                </c:pt>
                <c:pt idx="62">
                  <c:v>1.5665769569596513</c:v>
                </c:pt>
                <c:pt idx="63">
                  <c:v>1.5732422632338536</c:v>
                </c:pt>
                <c:pt idx="64">
                  <c:v>1.5799064289053455</c:v>
                </c:pt>
                <c:pt idx="65">
                  <c:v>1.5865691959466677</c:v>
                </c:pt>
                <c:pt idx="66">
                  <c:v>1.5932303116297901</c:v>
                </c:pt>
                <c:pt idx="67">
                  <c:v>1.599889528429836</c:v>
                </c:pt>
                <c:pt idx="68">
                  <c:v>1.6065466039305125</c:v>
                </c:pt>
                <c:pt idx="69">
                  <c:v>1.6132013007312356</c:v>
                </c:pt>
                <c:pt idx="70">
                  <c:v>1.6198533863558988</c:v>
                </c:pt>
                <c:pt idx="71">
                  <c:v>1.6265026331632804</c:v>
                </c:pt>
                <c:pt idx="72">
                  <c:v>1.6331488182590457</c:v>
                </c:pt>
                <c:pt idx="73">
                  <c:v>1.63979172340933</c:v>
                </c:pt>
                <c:pt idx="74">
                  <c:v>1.6464311349558671</c:v>
                </c:pt>
                <c:pt idx="75">
                  <c:v>1.6530668437326472</c:v>
                </c:pt>
                <c:pt idx="76">
                  <c:v>1.6596986449840616</c:v>
                </c:pt>
                <c:pt idx="77">
                  <c:v>1.6663263382845317</c:v>
                </c:pt>
                <c:pt idx="78">
                  <c:v>1.6729497274595779</c:v>
                </c:pt>
                <c:pt idx="79">
                  <c:v>1.6795686205083085</c:v>
                </c:pt>
                <c:pt idx="80">
                  <c:v>1.6861828295273189</c:v>
                </c:pt>
                <c:pt idx="81">
                  <c:v>1.6927921706359452</c:v>
                </c:pt>
                <c:pt idx="82">
                  <c:v>1.6993964639028876</c:v>
                </c:pt>
                <c:pt idx="83">
                  <c:v>1.7059955332741452</c:v>
                </c:pt>
                <c:pt idx="84">
                  <c:v>1.7125892065022597</c:v>
                </c:pt>
                <c:pt idx="85">
                  <c:v>1.7191773150768386</c:v>
                </c:pt>
                <c:pt idx="86">
                  <c:v>1.7257596941563396</c:v>
                </c:pt>
                <c:pt idx="87">
                  <c:v>1.7323361825010837</c:v>
                </c:pt>
                <c:pt idx="88">
                  <c:v>1.7389066224074852</c:v>
                </c:pt>
                <c:pt idx="89">
                  <c:v>1.7454708596434698</c:v>
                </c:pt>
                <c:pt idx="90">
                  <c:v>1.7520287433850754</c:v>
                </c:pt>
                <c:pt idx="91">
                  <c:v>1.758580126154186</c:v>
                </c:pt>
                <c:pt idx="92">
                  <c:v>1.7651248637574086</c:v>
                </c:pt>
                <c:pt idx="93">
                  <c:v>1.7716628152260474</c:v>
                </c:pt>
                <c:pt idx="94">
                  <c:v>1.778193842757178</c:v>
                </c:pt>
                <c:pt idx="95">
                  <c:v>1.7847178116557807</c:v>
                </c:pt>
                <c:pt idx="96">
                  <c:v>1.7912345902779312</c:v>
                </c:pt>
                <c:pt idx="97">
                  <c:v>1.7977440499750235</c:v>
                </c:pt>
                <c:pt idx="98">
                  <c:v>1.8042460650389902</c:v>
                </c:pt>
                <c:pt idx="99">
                  <c:v>1.810740512648539</c:v>
                </c:pt>
                <c:pt idx="100">
                  <c:v>1.8172272728163485</c:v>
                </c:pt>
                <c:pt idx="101">
                  <c:v>1.8237062283372278</c:v>
                </c:pt>
                <c:pt idx="102">
                  <c:v>1.8301772647372176</c:v>
                </c:pt>
                <c:pt idx="103">
                  <c:v>1.8366402702236102</c:v>
                </c:pt>
                <c:pt idx="104">
                  <c:v>1.8430951356358847</c:v>
                </c:pt>
                <c:pt idx="105">
                  <c:v>1.8495417543975248</c:v>
                </c:pt>
                <c:pt idx="106">
                  <c:v>1.855980022468706</c:v>
                </c:pt>
                <c:pt idx="107">
                  <c:v>1.8624098382998597</c:v>
                </c:pt>
                <c:pt idx="108">
                  <c:v>1.8688311027860562</c:v>
                </c:pt>
                <c:pt idx="109">
                  <c:v>1.8752437192222251</c:v>
                </c:pt>
                <c:pt idx="110">
                  <c:v>1.8816475932591961</c:v>
                </c:pt>
                <c:pt idx="111">
                  <c:v>1.888042632860514</c:v>
                </c:pt>
                <c:pt idx="112">
                  <c:v>1.894428748260059</c:v>
                </c:pt>
                <c:pt idx="113">
                  <c:v>1.9008058519204145</c:v>
                </c:pt>
                <c:pt idx="114">
                  <c:v>1.9071738584920055</c:v>
                </c:pt>
                <c:pt idx="115">
                  <c:v>1.9135326847729641</c:v>
                </c:pt>
                <c:pt idx="116">
                  <c:v>1.919882249669723</c:v>
                </c:pt>
                <c:pt idx="117">
                  <c:v>1.9262224741583323</c:v>
                </c:pt>
                <c:pt idx="118">
                  <c:v>1.932553281246455</c:v>
                </c:pt>
                <c:pt idx="119">
                  <c:v>1.9388745959360705</c:v>
                </c:pt>
                <c:pt idx="120">
                  <c:v>1.9451863451868334</c:v>
                </c:pt>
                <c:pt idx="121">
                  <c:v>1.9514884578801168</c:v>
                </c:pt>
                <c:pt idx="122">
                  <c:v>1.9577808647836685</c:v>
                </c:pt>
                <c:pt idx="123">
                  <c:v>1.9640634985169503</c:v>
                </c:pt>
                <c:pt idx="124">
                  <c:v>1.9703362935170581</c:v>
                </c:pt>
                <c:pt idx="125">
                  <c:v>1.9765991860052898</c:v>
                </c:pt>
                <c:pt idx="126">
                  <c:v>1.9828521139542974</c:v>
                </c:pt>
                <c:pt idx="127">
                  <c:v>1.9890950170558341</c:v>
                </c:pt>
                <c:pt idx="128">
                  <c:v>1.9953278366890872</c:v>
                </c:pt>
                <c:pt idx="129">
                  <c:v>2.0015505158895746</c:v>
                </c:pt>
                <c:pt idx="130">
                  <c:v>2.0077629993186012</c:v>
                </c:pt>
                <c:pt idx="131">
                  <c:v>2.013965233233268</c:v>
                </c:pt>
                <c:pt idx="132">
                  <c:v>2.0201571654570234</c:v>
                </c:pt>
                <c:pt idx="133">
                  <c:v>2.0263387453507304</c:v>
                </c:pt>
                <c:pt idx="134">
                  <c:v>2.0325099237842568</c:v>
                </c:pt>
                <c:pt idx="135">
                  <c:v>2.038670653108599</c:v>
                </c:pt>
                <c:pt idx="136">
                  <c:v>2.0448208871284654</c:v>
                </c:pt>
                <c:pt idx="137">
                  <c:v>2.0509605810753735</c:v>
                </c:pt>
                <c:pt idx="138">
                  <c:v>2.0570896915812473</c:v>
                </c:pt>
                <c:pt idx="139">
                  <c:v>2.0632081766524379</c:v>
                </c:pt>
                <c:pt idx="140">
                  <c:v>2.0693159956442653</c:v>
                </c:pt>
                <c:pt idx="141">
                  <c:v>2.0754131092359689</c:v>
                </c:pt>
                <c:pt idx="142">
                  <c:v>2.0814994794061419</c:v>
                </c:pt>
                <c:pt idx="143">
                  <c:v>2.0875750694085728</c:v>
                </c:pt>
                <c:pt idx="144">
                  <c:v>2.0936398437485524</c:v>
                </c:pt>
                <c:pt idx="145">
                  <c:v>2.0996937681595611</c:v>
                </c:pt>
                <c:pt idx="146">
                  <c:v>2.1057368095804256</c:v>
                </c:pt>
                <c:pt idx="147">
                  <c:v>2.1117689361328331</c:v>
                </c:pt>
                <c:pt idx="148">
                  <c:v>2.1177901170992759</c:v>
                </c:pt>
                <c:pt idx="149">
                  <c:v>2.1238003229013795</c:v>
                </c:pt>
                <c:pt idx="150">
                  <c:v>2.1297995250786137</c:v>
                </c:pt>
                <c:pt idx="151">
                  <c:v>2.1357876962673945</c:v>
                </c:pt>
                <c:pt idx="152">
                  <c:v>2.1417648101805451</c:v>
                </c:pt>
                <c:pt idx="153">
                  <c:v>2.1477308415871255</c:v>
                </c:pt>
                <c:pt idx="154">
                  <c:v>2.1536857662926252</c:v>
                </c:pt>
                <c:pt idx="155">
                  <c:v>2.1596295611195027</c:v>
                </c:pt>
                <c:pt idx="156">
                  <c:v>2.1655622038880722</c:v>
                </c:pt>
                <c:pt idx="157">
                  <c:v>2.1714836733977365</c:v>
                </c:pt>
                <c:pt idx="158">
                  <c:v>2.1773939494085326</c:v>
                </c:pt>
                <c:pt idx="159">
                  <c:v>2.183293012623035</c:v>
                </c:pt>
                <c:pt idx="160">
                  <c:v>2.1891808446685435</c:v>
                </c:pt>
                <c:pt idx="161">
                  <c:v>2.1950574280796267</c:v>
                </c:pt>
                <c:pt idx="162">
                  <c:v>2.2009227462809351</c:v>
                </c:pt>
                <c:pt idx="163">
                  <c:v>2.2067767835703456</c:v>
                </c:pt>
                <c:pt idx="164">
                  <c:v>2.2126195251023999</c:v>
                </c:pt>
                <c:pt idx="165">
                  <c:v>2.2184509568720223</c:v>
                </c:pt>
                <c:pt idx="166">
                  <c:v>2.2242710656985385</c:v>
                </c:pt>
                <c:pt idx="167">
                  <c:v>2.2300798392099739</c:v>
                </c:pt>
                <c:pt idx="168">
                  <c:v>2.2358772658276242</c:v>
                </c:pt>
                <c:pt idx="169">
                  <c:v>2.2416633347509056</c:v>
                </c:pt>
                <c:pt idx="170">
                  <c:v>2.2474380359424622</c:v>
                </c:pt>
                <c:pt idx="171">
                  <c:v>2.2532013601135525</c:v>
                </c:pt>
                <c:pt idx="172">
                  <c:v>2.2589532987096708</c:v>
                </c:pt>
                <c:pt idx="173">
                  <c:v>2.2646938438964526</c:v>
                </c:pt>
                <c:pt idx="174">
                  <c:v>2.2704229885457834</c:v>
                </c:pt>
                <c:pt idx="175">
                  <c:v>2.2761407262222084</c:v>
                </c:pt>
                <c:pt idx="176">
                  <c:v>2.2818470511695303</c:v>
                </c:pt>
                <c:pt idx="177">
                  <c:v>2.287541958297671</c:v>
                </c:pt>
                <c:pt idx="178">
                  <c:v>2.2932254431697614</c:v>
                </c:pt>
                <c:pt idx="179">
                  <c:v>2.2988975019894511</c:v>
                </c:pt>
                <c:pt idx="180">
                  <c:v>2.3045581315884411</c:v>
                </c:pt>
                <c:pt idx="181">
                  <c:v>2.3102073294142462</c:v>
                </c:pt>
                <c:pt idx="182">
                  <c:v>2.315845093518158</c:v>
                </c:pt>
                <c:pt idx="183">
                  <c:v>2.3214714225434321</c:v>
                </c:pt>
                <c:pt idx="184">
                  <c:v>2.3270863157136645</c:v>
                </c:pt>
                <c:pt idx="185">
                  <c:v>2.3326897728214071</c:v>
                </c:pt>
                <c:pt idx="186">
                  <c:v>2.3382817942169294</c:v>
                </c:pt>
                <c:pt idx="187">
                  <c:v>2.3438623807972383</c:v>
                </c:pt>
                <c:pt idx="188">
                  <c:v>2.3494315339952312</c:v>
                </c:pt>
                <c:pt idx="189">
                  <c:v>2.3549892557690839</c:v>
                </c:pt>
                <c:pt idx="190">
                  <c:v>2.3605355485918111</c:v>
                </c:pt>
                <c:pt idx="191">
                  <c:v>2.3660704154409897</c:v>
                </c:pt>
                <c:pt idx="192">
                  <c:v>2.371593859788693</c:v>
                </c:pt>
                <c:pt idx="193">
                  <c:v>2.3771058855915816</c:v>
                </c:pt>
                <c:pt idx="194">
                  <c:v>2.3826064972811754</c:v>
                </c:pt>
                <c:pt idx="195">
                  <c:v>2.3880956997542855</c:v>
                </c:pt>
                <c:pt idx="196">
                  <c:v>2.3935734983636308</c:v>
                </c:pt>
                <c:pt idx="197">
                  <c:v>2.3990398989085988</c:v>
                </c:pt>
                <c:pt idx="198">
                  <c:v>2.4044949076261926</c:v>
                </c:pt>
                <c:pt idx="199">
                  <c:v>2.4099385311821035</c:v>
                </c:pt>
                <c:pt idx="200">
                  <c:v>2.4153707766619683</c:v>
                </c:pt>
              </c:numCache>
            </c:numRef>
          </c:yVal>
          <c:smooth val="0"/>
          <c:extLst>
            <c:ext xmlns:c16="http://schemas.microsoft.com/office/drawing/2014/chart" uri="{C3380CC4-5D6E-409C-BE32-E72D297353CC}">
              <c16:uniqueId val="{00000002-30B5-471E-8AC8-389631F29193}"/>
            </c:ext>
          </c:extLst>
        </c:ser>
        <c:dLbls>
          <c:showLegendKey val="0"/>
          <c:showVal val="0"/>
          <c:showCatName val="0"/>
          <c:showSerName val="0"/>
          <c:showPercent val="0"/>
          <c:showBubbleSize val="0"/>
        </c:dLbls>
        <c:axId val="195434752"/>
        <c:axId val="195453312"/>
      </c:scatterChart>
      <c:valAx>
        <c:axId val="19543475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5453312"/>
        <c:crosses val="autoZero"/>
        <c:crossBetween val="midCat"/>
      </c:valAx>
      <c:valAx>
        <c:axId val="19545331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543475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7115673503774995"/>
          <c:y val="1.0080645161290322E-2"/>
          <c:w val="0.20336554227017919"/>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Calculations'!$BK$9:$BK$209</c:f>
              <c:numCache>
                <c:formatCode>0.0%</c:formatCode>
                <c:ptCount val="201"/>
                <c:pt idx="0">
                  <c:v>0.95549377136149716</c:v>
                </c:pt>
                <c:pt idx="1">
                  <c:v>0.95540825683655395</c:v>
                </c:pt>
                <c:pt idx="2">
                  <c:v>0.95532263889966729</c:v>
                </c:pt>
                <c:pt idx="3">
                  <c:v>0.95523692174009167</c:v>
                </c:pt>
                <c:pt idx="4">
                  <c:v>0.95515110946792703</c:v>
                </c:pt>
                <c:pt idx="5">
                  <c:v>0.95506520611526924</c:v>
                </c:pt>
                <c:pt idx="6">
                  <c:v>0.95497921563735777</c:v>
                </c:pt>
                <c:pt idx="7">
                  <c:v>0.95489314191372643</c:v>
                </c:pt>
                <c:pt idx="8">
                  <c:v>0.95480698874935022</c:v>
                </c:pt>
                <c:pt idx="9">
                  <c:v>0.95472075987579041</c:v>
                </c:pt>
                <c:pt idx="10">
                  <c:v>0.95463445895233423</c:v>
                </c:pt>
                <c:pt idx="11">
                  <c:v>0.95454808956712967</c:v>
                </c:pt>
                <c:pt idx="12">
                  <c:v>0.95446165523831439</c:v>
                </c:pt>
                <c:pt idx="13">
                  <c:v>0.95437515941513718</c:v>
                </c:pt>
                <c:pt idx="14">
                  <c:v>0.95428860547907202</c:v>
                </c:pt>
                <c:pt idx="15">
                  <c:v>0.95420199674492201</c:v>
                </c:pt>
                <c:pt idx="16">
                  <c:v>0.9541153364619166</c:v>
                </c:pt>
                <c:pt idx="17">
                  <c:v>0.95402862781479636</c:v>
                </c:pt>
                <c:pt idx="18">
                  <c:v>0.95394187392488905</c:v>
                </c:pt>
                <c:pt idx="19">
                  <c:v>0.95385507785117485</c:v>
                </c:pt>
                <c:pt idx="20">
                  <c:v>0.95376824259133941</c:v>
                </c:pt>
                <c:pt idx="21">
                  <c:v>0.9536813710828167</c:v>
                </c:pt>
                <c:pt idx="22">
                  <c:v>0.95359446620381871</c:v>
                </c:pt>
                <c:pt idx="23">
                  <c:v>0.95350753077435357</c:v>
                </c:pt>
                <c:pt idx="24">
                  <c:v>0.95342056755723192</c:v>
                </c:pt>
                <c:pt idx="25">
                  <c:v>0.95333357925905959</c:v>
                </c:pt>
                <c:pt idx="26">
                  <c:v>0.95324656853121759</c:v>
                </c:pt>
                <c:pt idx="27">
                  <c:v>0.95315953797083097</c:v>
                </c:pt>
                <c:pt idx="28">
                  <c:v>0.9530724901217219</c:v>
                </c:pt>
                <c:pt idx="29">
                  <c:v>0.95298542747535264</c:v>
                </c:pt>
                <c:pt idx="30">
                  <c:v>0.95289835247175225</c:v>
                </c:pt>
                <c:pt idx="31">
                  <c:v>0.95281126750043244</c:v>
                </c:pt>
                <c:pt idx="32">
                  <c:v>0.95272417490129013</c:v>
                </c:pt>
                <c:pt idx="33">
                  <c:v>0.95263707696549449</c:v>
                </c:pt>
                <c:pt idx="34">
                  <c:v>0.9525499759363637</c:v>
                </c:pt>
                <c:pt idx="35">
                  <c:v>0.95246287401022645</c:v>
                </c:pt>
                <c:pt idx="36">
                  <c:v>0.95237577333727097</c:v>
                </c:pt>
                <c:pt idx="37">
                  <c:v>0.95228867602238154</c:v>
                </c:pt>
                <c:pt idx="38">
                  <c:v>0.95220158412596012</c:v>
                </c:pt>
                <c:pt idx="39">
                  <c:v>0.95211449966473782</c:v>
                </c:pt>
                <c:pt idx="40">
                  <c:v>0.95202742461257039</c:v>
                </c:pt>
                <c:pt idx="41">
                  <c:v>0.95194036090122325</c:v>
                </c:pt>
                <c:pt idx="42">
                  <c:v>0.95185331042114263</c:v>
                </c:pt>
                <c:pt idx="43">
                  <c:v>0.95176627502221445</c:v>
                </c:pt>
                <c:pt idx="44">
                  <c:v>0.95167925651451057</c:v>
                </c:pt>
                <c:pt idx="45">
                  <c:v>0.95159225666902325</c:v>
                </c:pt>
                <c:pt idx="46">
                  <c:v>0.95150527721838607</c:v>
                </c:pt>
                <c:pt idx="47">
                  <c:v>0.95141831985758429</c:v>
                </c:pt>
                <c:pt idx="48">
                  <c:v>0.95133138624465197</c:v>
                </c:pt>
                <c:pt idx="49">
                  <c:v>0.95124447800135814</c:v>
                </c:pt>
                <c:pt idx="50">
                  <c:v>0.95115759671388023</c:v>
                </c:pt>
                <c:pt idx="51">
                  <c:v>0.95107074393346747</c:v>
                </c:pt>
                <c:pt idx="52">
                  <c:v>0.95098392117709107</c:v>
                </c:pt>
                <c:pt idx="53">
                  <c:v>0.95089712992808451</c:v>
                </c:pt>
                <c:pt idx="54">
                  <c:v>0.95081037163677207</c:v>
                </c:pt>
                <c:pt idx="55">
                  <c:v>0.9507236477210862</c:v>
                </c:pt>
                <c:pt idx="56">
                  <c:v>0.95063695956717487</c:v>
                </c:pt>
                <c:pt idx="57">
                  <c:v>0.95055030852999722</c:v>
                </c:pt>
                <c:pt idx="58">
                  <c:v>0.95046369593390956</c:v>
                </c:pt>
                <c:pt idx="59">
                  <c:v>0.95037712307324018</c:v>
                </c:pt>
                <c:pt idx="60">
                  <c:v>0.95029059121285475</c:v>
                </c:pt>
                <c:pt idx="61">
                  <c:v>0.95020410158871094</c:v>
                </c:pt>
                <c:pt idx="62">
                  <c:v>0.95011765540840387</c:v>
                </c:pt>
                <c:pt idx="63">
                  <c:v>0.95003125385170073</c:v>
                </c:pt>
                <c:pt idx="64">
                  <c:v>0.94994489807106663</c:v>
                </c:pt>
                <c:pt idx="65">
                  <c:v>0.94985858919218114</c:v>
                </c:pt>
                <c:pt idx="66">
                  <c:v>0.94977232831444458</c:v>
                </c:pt>
                <c:pt idx="67">
                  <c:v>0.94968611651147605</c:v>
                </c:pt>
                <c:pt idx="68">
                  <c:v>0.94959995483160176</c:v>
                </c:pt>
                <c:pt idx="69">
                  <c:v>0.94951384429833519</c:v>
                </c:pt>
                <c:pt idx="70">
                  <c:v>0.94942778591084731</c:v>
                </c:pt>
                <c:pt idx="71">
                  <c:v>0.9493417806444302</c:v>
                </c:pt>
                <c:pt idx="72">
                  <c:v>0.94925582945095022</c:v>
                </c:pt>
                <c:pt idx="73">
                  <c:v>0.94916993325929377</c:v>
                </c:pt>
                <c:pt idx="74">
                  <c:v>0.94908409297580509</c:v>
                </c:pt>
                <c:pt idx="75">
                  <c:v>0.94899830948471553</c:v>
                </c:pt>
                <c:pt idx="76">
                  <c:v>0.94891258364856546</c:v>
                </c:pt>
                <c:pt idx="77">
                  <c:v>0.9488269163086176</c:v>
                </c:pt>
                <c:pt idx="78">
                  <c:v>0.94874130828526404</c:v>
                </c:pt>
                <c:pt idx="79">
                  <c:v>0.94865576037842425</c:v>
                </c:pt>
                <c:pt idx="80">
                  <c:v>0.9485702733679372</c:v>
                </c:pt>
                <c:pt idx="81">
                  <c:v>0.94848484801394484</c:v>
                </c:pt>
                <c:pt idx="82">
                  <c:v>0.94839948505726968</c:v>
                </c:pt>
                <c:pt idx="83">
                  <c:v>0.94831418521978461</c:v>
                </c:pt>
                <c:pt idx="84">
                  <c:v>0.94822894920477652</c:v>
                </c:pt>
                <c:pt idx="85">
                  <c:v>0.94814377769730251</c:v>
                </c:pt>
                <c:pt idx="86">
                  <c:v>0.94805867136453981</c:v>
                </c:pt>
                <c:pt idx="87">
                  <c:v>0.9479736308561294</c:v>
                </c:pt>
                <c:pt idx="88">
                  <c:v>0.94788865680451295</c:v>
                </c:pt>
                <c:pt idx="89">
                  <c:v>0.94780374982526383</c:v>
                </c:pt>
                <c:pt idx="90">
                  <c:v>0.94771891051741131</c:v>
                </c:pt>
                <c:pt idx="91">
                  <c:v>0.94763413946375963</c:v>
                </c:pt>
                <c:pt idx="92">
                  <c:v>0.94754943723120022</c:v>
                </c:pt>
                <c:pt idx="93">
                  <c:v>0.94746480437101965</c:v>
                </c:pt>
                <c:pt idx="94">
                  <c:v>0.9473802414191993</c:v>
                </c:pt>
                <c:pt idx="95">
                  <c:v>0.94729574889671175</c:v>
                </c:pt>
                <c:pt idx="96">
                  <c:v>0.94721132730981106</c:v>
                </c:pt>
                <c:pt idx="97">
                  <c:v>0.9471269771503168</c:v>
                </c:pt>
                <c:pt idx="98">
                  <c:v>0.94704269889589376</c:v>
                </c:pt>
                <c:pt idx="99">
                  <c:v>0.94695849301032631</c:v>
                </c:pt>
                <c:pt idx="100">
                  <c:v>0.94687435994378677</c:v>
                </c:pt>
                <c:pt idx="101">
                  <c:v>0.94679030013309995</c:v>
                </c:pt>
                <c:pt idx="102">
                  <c:v>0.94670631400200222</c:v>
                </c:pt>
                <c:pt idx="103">
                  <c:v>0.94662240196139558</c:v>
                </c:pt>
                <c:pt idx="104">
                  <c:v>0.94653856440959738</c:v>
                </c:pt>
                <c:pt idx="105">
                  <c:v>0.94645480173258489</c:v>
                </c:pt>
                <c:pt idx="106">
                  <c:v>0.94637111430423582</c:v>
                </c:pt>
                <c:pt idx="107">
                  <c:v>0.94628750248656412</c:v>
                </c:pt>
                <c:pt idx="108">
                  <c:v>0.94620396662995154</c:v>
                </c:pt>
                <c:pt idx="109">
                  <c:v>0.94612050707337447</c:v>
                </c:pt>
                <c:pt idx="110">
                  <c:v>0.94603712414462682</c:v>
                </c:pt>
                <c:pt idx="111">
                  <c:v>0.94595381816053881</c:v>
                </c:pt>
                <c:pt idx="112">
                  <c:v>0.94587058942719171</c:v>
                </c:pt>
                <c:pt idx="113">
                  <c:v>0.94578743824012834</c:v>
                </c:pt>
                <c:pt idx="114">
                  <c:v>0.94570436488455978</c:v>
                </c:pt>
                <c:pt idx="115">
                  <c:v>0.94562136963556809</c:v>
                </c:pt>
                <c:pt idx="116">
                  <c:v>0.94553845275830573</c:v>
                </c:pt>
                <c:pt idx="117">
                  <c:v>0.94545561450819038</c:v>
                </c:pt>
                <c:pt idx="118">
                  <c:v>0.94537285513109726</c:v>
                </c:pt>
                <c:pt idx="119">
                  <c:v>0.9452901748635465</c:v>
                </c:pt>
                <c:pt idx="120">
                  <c:v>0.94520757393288857</c:v>
                </c:pt>
                <c:pt idx="121">
                  <c:v>0.94512505255748502</c:v>
                </c:pt>
                <c:pt idx="122">
                  <c:v>0.94504261094688613</c:v>
                </c:pt>
                <c:pt idx="123">
                  <c:v>0.94496024930200584</c:v>
                </c:pt>
                <c:pt idx="124">
                  <c:v>0.94487796781529265</c:v>
                </c:pt>
                <c:pt idx="125">
                  <c:v>0.94479576667089804</c:v>
                </c:pt>
                <c:pt idx="126">
                  <c:v>0.94471364604484054</c:v>
                </c:pt>
                <c:pt idx="127">
                  <c:v>0.94463160610516894</c:v>
                </c:pt>
                <c:pt idx="128">
                  <c:v>0.94454964701211996</c:v>
                </c:pt>
                <c:pt idx="129">
                  <c:v>0.94446776891827444</c:v>
                </c:pt>
                <c:pt idx="130">
                  <c:v>0.94438597196871088</c:v>
                </c:pt>
                <c:pt idx="131">
                  <c:v>0.94430425630115444</c:v>
                </c:pt>
                <c:pt idx="132">
                  <c:v>0.9442226220461255</c:v>
                </c:pt>
                <c:pt idx="133">
                  <c:v>0.94414106932708364</c:v>
                </c:pt>
                <c:pt idx="134">
                  <c:v>0.94405959826056929</c:v>
                </c:pt>
                <c:pt idx="135">
                  <c:v>0.94397820895634355</c:v>
                </c:pt>
                <c:pt idx="136">
                  <c:v>0.94389690151752492</c:v>
                </c:pt>
                <c:pt idx="137">
                  <c:v>0.94381567604072247</c:v>
                </c:pt>
                <c:pt idx="138">
                  <c:v>0.9437345326161688</c:v>
                </c:pt>
                <c:pt idx="139">
                  <c:v>0.94365347132784827</c:v>
                </c:pt>
                <c:pt idx="140">
                  <c:v>0.9435724922536245</c:v>
                </c:pt>
                <c:pt idx="141">
                  <c:v>0.9434915954653641</c:v>
                </c:pt>
                <c:pt idx="142">
                  <c:v>0.94341078102905962</c:v>
                </c:pt>
                <c:pt idx="143">
                  <c:v>0.94333004900494821</c:v>
                </c:pt>
                <c:pt idx="144">
                  <c:v>0.94324939944763087</c:v>
                </c:pt>
                <c:pt idx="145">
                  <c:v>0.94316883240618654</c:v>
                </c:pt>
                <c:pt idx="146">
                  <c:v>0.94308834792428609</c:v>
                </c:pt>
                <c:pt idx="147">
                  <c:v>0.94300794604030336</c:v>
                </c:pt>
                <c:pt idx="148">
                  <c:v>0.94292762678742448</c:v>
                </c:pt>
                <c:pt idx="149">
                  <c:v>0.94284739019375452</c:v>
                </c:pt>
                <c:pt idx="150">
                  <c:v>0.94276723628242343</c:v>
                </c:pt>
                <c:pt idx="151">
                  <c:v>0.94268716507168815</c:v>
                </c:pt>
                <c:pt idx="152">
                  <c:v>0.94260717657503501</c:v>
                </c:pt>
                <c:pt idx="153">
                  <c:v>0.94252727080127841</c:v>
                </c:pt>
                <c:pt idx="154">
                  <c:v>0.9424474477546585</c:v>
                </c:pt>
                <c:pt idx="155">
                  <c:v>0.94236770743493714</c:v>
                </c:pt>
                <c:pt idx="156">
                  <c:v>0.94228804983749181</c:v>
                </c:pt>
                <c:pt idx="157">
                  <c:v>0.94220847495340754</c:v>
                </c:pt>
                <c:pt idx="158">
                  <c:v>0.9421289827695678</c:v>
                </c:pt>
                <c:pt idx="159">
                  <c:v>0.94204957326874339</c:v>
                </c:pt>
                <c:pt idx="160">
                  <c:v>0.94197024642967919</c:v>
                </c:pt>
                <c:pt idx="161">
                  <c:v>0.94189100222718014</c:v>
                </c:pt>
                <c:pt idx="162">
                  <c:v>0.94181184063219547</c:v>
                </c:pt>
                <c:pt idx="163">
                  <c:v>0.94173276161190023</c:v>
                </c:pt>
                <c:pt idx="164">
                  <c:v>0.94165376512977739</c:v>
                </c:pt>
                <c:pt idx="165">
                  <c:v>0.94157485114569617</c:v>
                </c:pt>
                <c:pt idx="166">
                  <c:v>0.94149601961599116</c:v>
                </c:pt>
                <c:pt idx="167">
                  <c:v>0.94141727049353741</c:v>
                </c:pt>
                <c:pt idx="168">
                  <c:v>0.94133860372782674</c:v>
                </c:pt>
                <c:pt idx="169">
                  <c:v>0.94126001926504133</c:v>
                </c:pt>
                <c:pt idx="170">
                  <c:v>0.9411815170481248</c:v>
                </c:pt>
                <c:pt idx="171">
                  <c:v>0.94110309701685524</c:v>
                </c:pt>
                <c:pt idx="172">
                  <c:v>0.94102475910791317</c:v>
                </c:pt>
                <c:pt idx="173">
                  <c:v>0.94094650325495055</c:v>
                </c:pt>
                <c:pt idx="174">
                  <c:v>0.94086832938865828</c:v>
                </c:pt>
                <c:pt idx="175">
                  <c:v>0.94079023743683166</c:v>
                </c:pt>
                <c:pt idx="176">
                  <c:v>0.94071222732443505</c:v>
                </c:pt>
                <c:pt idx="177">
                  <c:v>0.94063429897366557</c:v>
                </c:pt>
                <c:pt idx="178">
                  <c:v>0.9405564523040153</c:v>
                </c:pt>
                <c:pt idx="179">
                  <c:v>0.94047868723233241</c:v>
                </c:pt>
                <c:pt idx="180">
                  <c:v>0.94040100367288104</c:v>
                </c:pt>
                <c:pt idx="181">
                  <c:v>0.94032340153740079</c:v>
                </c:pt>
                <c:pt idx="182">
                  <c:v>0.94024588073516358</c:v>
                </c:pt>
                <c:pt idx="183">
                  <c:v>0.94016844117303111</c:v>
                </c:pt>
                <c:pt idx="184">
                  <c:v>0.94009108275551068</c:v>
                </c:pt>
                <c:pt idx="185">
                  <c:v>0.94001380538480905</c:v>
                </c:pt>
                <c:pt idx="186">
                  <c:v>0.93993660896088682</c:v>
                </c:pt>
                <c:pt idx="187">
                  <c:v>0.93985949338151087</c:v>
                </c:pt>
                <c:pt idx="188">
                  <c:v>0.9397824585423058</c:v>
                </c:pt>
                <c:pt idx="189">
                  <c:v>0.93970550433680511</c:v>
                </c:pt>
                <c:pt idx="190">
                  <c:v>0.93962863065650049</c:v>
                </c:pt>
                <c:pt idx="191">
                  <c:v>0.93955183739089132</c:v>
                </c:pt>
                <c:pt idx="192">
                  <c:v>0.93947512442753167</c:v>
                </c:pt>
                <c:pt idx="193">
                  <c:v>0.93939849165207812</c:v>
                </c:pt>
                <c:pt idx="194">
                  <c:v>0.93932193894833615</c:v>
                </c:pt>
                <c:pt idx="195">
                  <c:v>0.93924546619830462</c:v>
                </c:pt>
                <c:pt idx="196">
                  <c:v>0.93916907328222066</c:v>
                </c:pt>
                <c:pt idx="197">
                  <c:v>0.93909276007860365</c:v>
                </c:pt>
                <c:pt idx="198">
                  <c:v>0.93901652646429778</c:v>
                </c:pt>
                <c:pt idx="199">
                  <c:v>0.93894037231451399</c:v>
                </c:pt>
                <c:pt idx="200">
                  <c:v>0.93886429750287148</c:v>
                </c:pt>
              </c:numCache>
            </c:numRef>
          </c:yVal>
          <c:smooth val="0"/>
          <c:extLst>
            <c:ext xmlns:c16="http://schemas.microsoft.com/office/drawing/2014/chart" uri="{C3380CC4-5D6E-409C-BE32-E72D297353CC}">
              <c16:uniqueId val="{00000000-B19F-4F8A-9FC4-100C23F5816C}"/>
            </c:ext>
          </c:extLst>
        </c:ser>
        <c:dLbls>
          <c:showLegendKey val="0"/>
          <c:showVal val="0"/>
          <c:showCatName val="0"/>
          <c:showSerName val="0"/>
          <c:showPercent val="0"/>
          <c:showBubbleSize val="0"/>
        </c:dLbls>
        <c:axId val="195464192"/>
        <c:axId val="195478656"/>
      </c:scatterChart>
      <c:valAx>
        <c:axId val="195464192"/>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5478656"/>
        <c:crosses val="autoZero"/>
        <c:crossBetween val="midCat"/>
      </c:valAx>
      <c:valAx>
        <c:axId val="1954786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546419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97037571498782"/>
          <c:y val="5.9812039624079237E-2"/>
          <c:w val="0.80603751224324049"/>
          <c:h val="0.81048450596901189"/>
        </c:manualLayout>
      </c:layout>
      <c:scatterChart>
        <c:scatterStyle val="lineMarker"/>
        <c:varyColors val="0"/>
        <c:ser>
          <c:idx val="1"/>
          <c:order val="1"/>
          <c:tx>
            <c:v>Boost D</c:v>
          </c:tx>
          <c:spPr>
            <a:ln>
              <a:solidFill>
                <a:srgbClr val="FF0000"/>
              </a:solidFill>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Calculations'!$U$9:$U$209</c:f>
              <c:numCache>
                <c:formatCode>0.000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0-2302-4046-8B7A-DAF7DA6A9068}"/>
            </c:ext>
          </c:extLst>
        </c:ser>
        <c:dLbls>
          <c:showLegendKey val="0"/>
          <c:showVal val="0"/>
          <c:showCatName val="0"/>
          <c:showSerName val="0"/>
          <c:showPercent val="0"/>
          <c:showBubbleSize val="0"/>
        </c:dLbls>
        <c:axId val="198908928"/>
        <c:axId val="198919296"/>
      </c:scatterChart>
      <c:scatterChart>
        <c:scatterStyle val="lineMarker"/>
        <c:varyColors val="0"/>
        <c:ser>
          <c:idx val="0"/>
          <c:order val="0"/>
          <c:tx>
            <c:v>Buck D</c:v>
          </c:tx>
          <c:spPr>
            <a:ln w="31750">
              <a:solidFill>
                <a:srgbClr val="0000FF"/>
              </a:solidFill>
              <a:prstDash val="sysDash"/>
            </a:ln>
          </c:spPr>
          <c:marker>
            <c:symbol val="none"/>
          </c:marker>
          <c:xVal>
            <c:numRef>
              <c:f>'Efficiency vs VIN Calculations'!$H$9:$H$209</c:f>
              <c:numCache>
                <c:formatCode>0.00</c:formatCode>
                <c:ptCount val="201"/>
                <c:pt idx="0">
                  <c:v>20</c:v>
                </c:pt>
                <c:pt idx="1">
                  <c:v>20.07</c:v>
                </c:pt>
                <c:pt idx="2">
                  <c:v>20.14</c:v>
                </c:pt>
                <c:pt idx="3">
                  <c:v>20.21</c:v>
                </c:pt>
                <c:pt idx="4">
                  <c:v>20.28</c:v>
                </c:pt>
                <c:pt idx="5">
                  <c:v>20.350000000000001</c:v>
                </c:pt>
                <c:pt idx="6">
                  <c:v>20.420000000000002</c:v>
                </c:pt>
                <c:pt idx="7">
                  <c:v>20.49</c:v>
                </c:pt>
                <c:pt idx="8">
                  <c:v>20.56</c:v>
                </c:pt>
                <c:pt idx="9">
                  <c:v>20.63</c:v>
                </c:pt>
                <c:pt idx="10">
                  <c:v>20.7</c:v>
                </c:pt>
                <c:pt idx="11">
                  <c:v>20.77</c:v>
                </c:pt>
                <c:pt idx="12">
                  <c:v>20.84</c:v>
                </c:pt>
                <c:pt idx="13">
                  <c:v>20.91</c:v>
                </c:pt>
                <c:pt idx="14">
                  <c:v>20.98</c:v>
                </c:pt>
                <c:pt idx="15">
                  <c:v>21.05</c:v>
                </c:pt>
                <c:pt idx="16">
                  <c:v>21.12</c:v>
                </c:pt>
                <c:pt idx="17">
                  <c:v>21.19</c:v>
                </c:pt>
                <c:pt idx="18">
                  <c:v>21.26</c:v>
                </c:pt>
                <c:pt idx="19">
                  <c:v>21.33</c:v>
                </c:pt>
                <c:pt idx="20">
                  <c:v>21.4</c:v>
                </c:pt>
                <c:pt idx="21">
                  <c:v>21.47</c:v>
                </c:pt>
                <c:pt idx="22">
                  <c:v>21.54</c:v>
                </c:pt>
                <c:pt idx="23">
                  <c:v>21.61</c:v>
                </c:pt>
                <c:pt idx="24">
                  <c:v>21.68</c:v>
                </c:pt>
                <c:pt idx="25">
                  <c:v>21.75</c:v>
                </c:pt>
                <c:pt idx="26">
                  <c:v>21.82</c:v>
                </c:pt>
                <c:pt idx="27">
                  <c:v>21.89</c:v>
                </c:pt>
                <c:pt idx="28">
                  <c:v>21.96</c:v>
                </c:pt>
                <c:pt idx="29">
                  <c:v>22.03</c:v>
                </c:pt>
                <c:pt idx="30">
                  <c:v>22.1</c:v>
                </c:pt>
                <c:pt idx="31">
                  <c:v>22.17</c:v>
                </c:pt>
                <c:pt idx="32">
                  <c:v>22.240000000000002</c:v>
                </c:pt>
                <c:pt idx="33">
                  <c:v>22.31</c:v>
                </c:pt>
                <c:pt idx="34">
                  <c:v>22.38</c:v>
                </c:pt>
                <c:pt idx="35">
                  <c:v>22.45</c:v>
                </c:pt>
                <c:pt idx="36">
                  <c:v>22.52</c:v>
                </c:pt>
                <c:pt idx="37">
                  <c:v>22.59</c:v>
                </c:pt>
                <c:pt idx="38">
                  <c:v>22.66</c:v>
                </c:pt>
                <c:pt idx="39">
                  <c:v>22.73</c:v>
                </c:pt>
                <c:pt idx="40">
                  <c:v>22.8</c:v>
                </c:pt>
                <c:pt idx="41">
                  <c:v>22.87</c:v>
                </c:pt>
                <c:pt idx="42">
                  <c:v>22.94</c:v>
                </c:pt>
                <c:pt idx="43">
                  <c:v>23.009999999999998</c:v>
                </c:pt>
                <c:pt idx="44">
                  <c:v>23.08</c:v>
                </c:pt>
                <c:pt idx="45">
                  <c:v>23.15</c:v>
                </c:pt>
                <c:pt idx="46">
                  <c:v>23.22</c:v>
                </c:pt>
                <c:pt idx="47">
                  <c:v>23.29</c:v>
                </c:pt>
                <c:pt idx="48">
                  <c:v>23.36</c:v>
                </c:pt>
                <c:pt idx="49">
                  <c:v>23.43</c:v>
                </c:pt>
                <c:pt idx="50">
                  <c:v>23.5</c:v>
                </c:pt>
                <c:pt idx="51">
                  <c:v>23.57</c:v>
                </c:pt>
                <c:pt idx="52">
                  <c:v>23.64</c:v>
                </c:pt>
                <c:pt idx="53">
                  <c:v>23.71</c:v>
                </c:pt>
                <c:pt idx="54">
                  <c:v>23.78</c:v>
                </c:pt>
                <c:pt idx="55">
                  <c:v>23.85</c:v>
                </c:pt>
                <c:pt idx="56">
                  <c:v>23.92</c:v>
                </c:pt>
                <c:pt idx="57">
                  <c:v>23.99</c:v>
                </c:pt>
                <c:pt idx="58">
                  <c:v>24.06</c:v>
                </c:pt>
                <c:pt idx="59">
                  <c:v>24.13</c:v>
                </c:pt>
                <c:pt idx="60">
                  <c:v>24.2</c:v>
                </c:pt>
                <c:pt idx="61">
                  <c:v>24.27</c:v>
                </c:pt>
                <c:pt idx="62">
                  <c:v>24.34</c:v>
                </c:pt>
                <c:pt idx="63">
                  <c:v>24.41</c:v>
                </c:pt>
                <c:pt idx="64">
                  <c:v>24.48</c:v>
                </c:pt>
                <c:pt idx="65">
                  <c:v>24.55</c:v>
                </c:pt>
                <c:pt idx="66">
                  <c:v>24.62</c:v>
                </c:pt>
                <c:pt idx="67">
                  <c:v>24.69</c:v>
                </c:pt>
                <c:pt idx="68">
                  <c:v>24.76</c:v>
                </c:pt>
                <c:pt idx="69">
                  <c:v>24.83</c:v>
                </c:pt>
                <c:pt idx="70">
                  <c:v>24.9</c:v>
                </c:pt>
                <c:pt idx="71">
                  <c:v>24.97</c:v>
                </c:pt>
                <c:pt idx="72">
                  <c:v>25.04</c:v>
                </c:pt>
                <c:pt idx="73">
                  <c:v>25.11</c:v>
                </c:pt>
                <c:pt idx="74">
                  <c:v>25.18</c:v>
                </c:pt>
                <c:pt idx="75">
                  <c:v>25.25</c:v>
                </c:pt>
                <c:pt idx="76">
                  <c:v>25.32</c:v>
                </c:pt>
                <c:pt idx="77">
                  <c:v>25.39</c:v>
                </c:pt>
                <c:pt idx="78">
                  <c:v>25.46</c:v>
                </c:pt>
                <c:pt idx="79">
                  <c:v>25.53</c:v>
                </c:pt>
                <c:pt idx="80">
                  <c:v>25.6</c:v>
                </c:pt>
                <c:pt idx="81">
                  <c:v>25.67</c:v>
                </c:pt>
                <c:pt idx="82">
                  <c:v>25.74</c:v>
                </c:pt>
                <c:pt idx="83">
                  <c:v>25.81</c:v>
                </c:pt>
                <c:pt idx="84">
                  <c:v>25.88</c:v>
                </c:pt>
                <c:pt idx="85">
                  <c:v>25.95</c:v>
                </c:pt>
                <c:pt idx="86">
                  <c:v>26.02</c:v>
                </c:pt>
                <c:pt idx="87">
                  <c:v>26.09</c:v>
                </c:pt>
                <c:pt idx="88">
                  <c:v>26.16</c:v>
                </c:pt>
                <c:pt idx="89">
                  <c:v>26.23</c:v>
                </c:pt>
                <c:pt idx="90">
                  <c:v>26.3</c:v>
                </c:pt>
                <c:pt idx="91">
                  <c:v>26.37</c:v>
                </c:pt>
                <c:pt idx="92">
                  <c:v>26.44</c:v>
                </c:pt>
                <c:pt idx="93">
                  <c:v>26.51</c:v>
                </c:pt>
                <c:pt idx="94">
                  <c:v>26.58</c:v>
                </c:pt>
                <c:pt idx="95">
                  <c:v>26.65</c:v>
                </c:pt>
                <c:pt idx="96">
                  <c:v>26.72</c:v>
                </c:pt>
                <c:pt idx="97">
                  <c:v>26.79</c:v>
                </c:pt>
                <c:pt idx="98">
                  <c:v>26.86</c:v>
                </c:pt>
                <c:pt idx="99">
                  <c:v>26.93</c:v>
                </c:pt>
                <c:pt idx="100">
                  <c:v>27</c:v>
                </c:pt>
                <c:pt idx="101">
                  <c:v>27.07</c:v>
                </c:pt>
                <c:pt idx="102">
                  <c:v>27.14</c:v>
                </c:pt>
                <c:pt idx="103">
                  <c:v>27.21</c:v>
                </c:pt>
                <c:pt idx="104">
                  <c:v>27.28</c:v>
                </c:pt>
                <c:pt idx="105">
                  <c:v>27.35</c:v>
                </c:pt>
                <c:pt idx="106">
                  <c:v>27.42</c:v>
                </c:pt>
                <c:pt idx="107">
                  <c:v>27.490000000000002</c:v>
                </c:pt>
                <c:pt idx="108">
                  <c:v>27.560000000000002</c:v>
                </c:pt>
                <c:pt idx="109">
                  <c:v>27.630000000000003</c:v>
                </c:pt>
                <c:pt idx="110">
                  <c:v>27.700000000000003</c:v>
                </c:pt>
                <c:pt idx="111">
                  <c:v>27.77</c:v>
                </c:pt>
                <c:pt idx="112">
                  <c:v>27.84</c:v>
                </c:pt>
                <c:pt idx="113">
                  <c:v>27.91</c:v>
                </c:pt>
                <c:pt idx="114">
                  <c:v>27.98</c:v>
                </c:pt>
                <c:pt idx="115">
                  <c:v>28.049999999999997</c:v>
                </c:pt>
                <c:pt idx="116">
                  <c:v>28.119999999999997</c:v>
                </c:pt>
                <c:pt idx="117">
                  <c:v>28.189999999999998</c:v>
                </c:pt>
                <c:pt idx="118">
                  <c:v>28.259999999999998</c:v>
                </c:pt>
                <c:pt idx="119">
                  <c:v>28.33</c:v>
                </c:pt>
                <c:pt idx="120">
                  <c:v>28.4</c:v>
                </c:pt>
                <c:pt idx="121">
                  <c:v>28.47</c:v>
                </c:pt>
                <c:pt idx="122">
                  <c:v>28.54</c:v>
                </c:pt>
                <c:pt idx="123">
                  <c:v>28.61</c:v>
                </c:pt>
                <c:pt idx="124">
                  <c:v>28.68</c:v>
                </c:pt>
                <c:pt idx="125">
                  <c:v>28.75</c:v>
                </c:pt>
                <c:pt idx="126">
                  <c:v>28.82</c:v>
                </c:pt>
                <c:pt idx="127">
                  <c:v>28.89</c:v>
                </c:pt>
                <c:pt idx="128">
                  <c:v>28.96</c:v>
                </c:pt>
                <c:pt idx="129">
                  <c:v>29.03</c:v>
                </c:pt>
                <c:pt idx="130">
                  <c:v>29.1</c:v>
                </c:pt>
                <c:pt idx="131">
                  <c:v>29.17</c:v>
                </c:pt>
                <c:pt idx="132">
                  <c:v>29.240000000000002</c:v>
                </c:pt>
                <c:pt idx="133">
                  <c:v>29.310000000000002</c:v>
                </c:pt>
                <c:pt idx="134">
                  <c:v>29.380000000000003</c:v>
                </c:pt>
                <c:pt idx="135">
                  <c:v>29.450000000000003</c:v>
                </c:pt>
                <c:pt idx="136">
                  <c:v>29.520000000000003</c:v>
                </c:pt>
                <c:pt idx="137">
                  <c:v>29.59</c:v>
                </c:pt>
                <c:pt idx="138">
                  <c:v>29.66</c:v>
                </c:pt>
                <c:pt idx="139">
                  <c:v>29.729999999999997</c:v>
                </c:pt>
                <c:pt idx="140">
                  <c:v>29.799999999999997</c:v>
                </c:pt>
                <c:pt idx="141">
                  <c:v>29.869999999999997</c:v>
                </c:pt>
                <c:pt idx="142">
                  <c:v>29.939999999999998</c:v>
                </c:pt>
                <c:pt idx="143">
                  <c:v>30.009999999999998</c:v>
                </c:pt>
                <c:pt idx="144">
                  <c:v>30.08</c:v>
                </c:pt>
                <c:pt idx="145">
                  <c:v>30.15</c:v>
                </c:pt>
                <c:pt idx="146">
                  <c:v>30.22</c:v>
                </c:pt>
                <c:pt idx="147">
                  <c:v>30.29</c:v>
                </c:pt>
                <c:pt idx="148">
                  <c:v>30.36</c:v>
                </c:pt>
                <c:pt idx="149">
                  <c:v>30.43</c:v>
                </c:pt>
                <c:pt idx="150">
                  <c:v>30.5</c:v>
                </c:pt>
                <c:pt idx="151">
                  <c:v>30.57</c:v>
                </c:pt>
                <c:pt idx="152">
                  <c:v>30.64</c:v>
                </c:pt>
                <c:pt idx="153">
                  <c:v>30.71</c:v>
                </c:pt>
                <c:pt idx="154">
                  <c:v>30.78</c:v>
                </c:pt>
                <c:pt idx="155">
                  <c:v>30.85</c:v>
                </c:pt>
                <c:pt idx="156">
                  <c:v>30.92</c:v>
                </c:pt>
                <c:pt idx="157">
                  <c:v>30.990000000000002</c:v>
                </c:pt>
                <c:pt idx="158">
                  <c:v>31.060000000000002</c:v>
                </c:pt>
                <c:pt idx="159">
                  <c:v>31.130000000000003</c:v>
                </c:pt>
                <c:pt idx="160">
                  <c:v>31.200000000000003</c:v>
                </c:pt>
                <c:pt idx="161">
                  <c:v>31.270000000000003</c:v>
                </c:pt>
                <c:pt idx="162">
                  <c:v>31.34</c:v>
                </c:pt>
                <c:pt idx="163">
                  <c:v>31.41</c:v>
                </c:pt>
                <c:pt idx="164">
                  <c:v>31.479999999999997</c:v>
                </c:pt>
                <c:pt idx="165">
                  <c:v>31.549999999999997</c:v>
                </c:pt>
                <c:pt idx="166">
                  <c:v>31.619999999999997</c:v>
                </c:pt>
                <c:pt idx="167">
                  <c:v>31.689999999999998</c:v>
                </c:pt>
                <c:pt idx="168">
                  <c:v>31.759999999999998</c:v>
                </c:pt>
                <c:pt idx="169">
                  <c:v>31.83</c:v>
                </c:pt>
                <c:pt idx="170">
                  <c:v>31.9</c:v>
                </c:pt>
                <c:pt idx="171">
                  <c:v>31.97</c:v>
                </c:pt>
                <c:pt idx="172">
                  <c:v>32.04</c:v>
                </c:pt>
                <c:pt idx="173">
                  <c:v>32.11</c:v>
                </c:pt>
                <c:pt idx="174">
                  <c:v>32.18</c:v>
                </c:pt>
                <c:pt idx="175">
                  <c:v>32.25</c:v>
                </c:pt>
                <c:pt idx="176">
                  <c:v>32.32</c:v>
                </c:pt>
                <c:pt idx="177">
                  <c:v>32.39</c:v>
                </c:pt>
                <c:pt idx="178">
                  <c:v>32.46</c:v>
                </c:pt>
                <c:pt idx="179">
                  <c:v>32.53</c:v>
                </c:pt>
                <c:pt idx="180">
                  <c:v>32.6</c:v>
                </c:pt>
                <c:pt idx="181">
                  <c:v>32.67</c:v>
                </c:pt>
                <c:pt idx="182">
                  <c:v>32.74</c:v>
                </c:pt>
                <c:pt idx="183">
                  <c:v>32.81</c:v>
                </c:pt>
                <c:pt idx="184">
                  <c:v>32.880000000000003</c:v>
                </c:pt>
                <c:pt idx="185">
                  <c:v>32.950000000000003</c:v>
                </c:pt>
                <c:pt idx="186">
                  <c:v>33.020000000000003</c:v>
                </c:pt>
                <c:pt idx="187">
                  <c:v>33.090000000000003</c:v>
                </c:pt>
                <c:pt idx="188">
                  <c:v>33.159999999999997</c:v>
                </c:pt>
                <c:pt idx="189">
                  <c:v>33.229999999999997</c:v>
                </c:pt>
                <c:pt idx="190">
                  <c:v>33.299999999999997</c:v>
                </c:pt>
                <c:pt idx="191">
                  <c:v>33.369999999999997</c:v>
                </c:pt>
                <c:pt idx="192">
                  <c:v>33.44</c:v>
                </c:pt>
                <c:pt idx="193">
                  <c:v>33.51</c:v>
                </c:pt>
                <c:pt idx="194">
                  <c:v>33.58</c:v>
                </c:pt>
                <c:pt idx="195">
                  <c:v>33.65</c:v>
                </c:pt>
                <c:pt idx="196">
                  <c:v>33.72</c:v>
                </c:pt>
                <c:pt idx="197">
                  <c:v>33.79</c:v>
                </c:pt>
                <c:pt idx="198">
                  <c:v>33.86</c:v>
                </c:pt>
                <c:pt idx="199">
                  <c:v>33.93</c:v>
                </c:pt>
                <c:pt idx="200">
                  <c:v>34</c:v>
                </c:pt>
              </c:numCache>
            </c:numRef>
          </c:xVal>
          <c:yVal>
            <c:numRef>
              <c:f>'Efficiency vs VIN Calculations'!$T$9:$T$209</c:f>
              <c:numCache>
                <c:formatCode>0.000</c:formatCode>
                <c:ptCount val="201"/>
                <c:pt idx="0">
                  <c:v>0.73639540688966543</c:v>
                </c:pt>
                <c:pt idx="1">
                  <c:v>0.73383084577114421</c:v>
                </c:pt>
                <c:pt idx="2">
                  <c:v>0.73128408527516109</c:v>
                </c:pt>
                <c:pt idx="3">
                  <c:v>0.72875494071146241</c:v>
                </c:pt>
                <c:pt idx="4">
                  <c:v>0.726243229935992</c:v>
                </c:pt>
                <c:pt idx="5">
                  <c:v>0.72374877330716381</c:v>
                </c:pt>
                <c:pt idx="6">
                  <c:v>0.72127139364303172</c:v>
                </c:pt>
                <c:pt idx="7">
                  <c:v>0.71881091617933723</c:v>
                </c:pt>
                <c:pt idx="8">
                  <c:v>0.71636716852841187</c:v>
                </c:pt>
                <c:pt idx="9">
                  <c:v>0.71393998063891573</c:v>
                </c:pt>
                <c:pt idx="10">
                  <c:v>0.71152918475639171</c:v>
                </c:pt>
                <c:pt idx="11">
                  <c:v>0.70913461538461531</c:v>
                </c:pt>
                <c:pt idx="12">
                  <c:v>0.70675610924772392</c:v>
                </c:pt>
                <c:pt idx="13">
                  <c:v>0.70439350525310407</c:v>
                </c:pt>
                <c:pt idx="14">
                  <c:v>0.70204664445502141</c:v>
                </c:pt>
                <c:pt idx="15">
                  <c:v>0.69971537001897532</c:v>
                </c:pt>
                <c:pt idx="16">
                  <c:v>0.69739952718676113</c:v>
                </c:pt>
                <c:pt idx="17">
                  <c:v>0.6950989632422242</c:v>
                </c:pt>
                <c:pt idx="18">
                  <c:v>0.69281352747768898</c:v>
                </c:pt>
                <c:pt idx="19">
                  <c:v>0.69054307116104874</c:v>
                </c:pt>
                <c:pt idx="20">
                  <c:v>0.68828744750349979</c:v>
                </c:pt>
                <c:pt idx="21">
                  <c:v>0.68604651162790697</c:v>
                </c:pt>
                <c:pt idx="22">
                  <c:v>0.68382012053778396</c:v>
                </c:pt>
                <c:pt idx="23">
                  <c:v>0.68160813308687618</c:v>
                </c:pt>
                <c:pt idx="24">
                  <c:v>0.67941040994933211</c:v>
                </c:pt>
                <c:pt idx="25">
                  <c:v>0.67722681359044989</c:v>
                </c:pt>
                <c:pt idx="26">
                  <c:v>0.67505720823798621</c:v>
                </c:pt>
                <c:pt idx="27">
                  <c:v>0.67290145985401451</c:v>
                </c:pt>
                <c:pt idx="28">
                  <c:v>0.67075943610732147</c:v>
                </c:pt>
                <c:pt idx="29">
                  <c:v>0.66863100634632811</c:v>
                </c:pt>
                <c:pt idx="30">
                  <c:v>0.66651604157252586</c:v>
                </c:pt>
                <c:pt idx="31">
                  <c:v>0.66441441441441429</c:v>
                </c:pt>
                <c:pt idx="32">
                  <c:v>0.6623259991019308</c:v>
                </c:pt>
                <c:pt idx="33">
                  <c:v>0.66025067144136074</c:v>
                </c:pt>
                <c:pt idx="34">
                  <c:v>0.65818830879071843</c:v>
                </c:pt>
                <c:pt idx="35">
                  <c:v>0.65613879003558717</c:v>
                </c:pt>
                <c:pt idx="36">
                  <c:v>0.65410199556541015</c:v>
                </c:pt>
                <c:pt idx="37">
                  <c:v>0.65207780725022102</c:v>
                </c:pt>
                <c:pt idx="38">
                  <c:v>0.65006610841780521</c:v>
                </c:pt>
                <c:pt idx="39">
                  <c:v>0.64806678383128291</c:v>
                </c:pt>
                <c:pt idx="40">
                  <c:v>0.64607971966710465</c:v>
                </c:pt>
                <c:pt idx="41">
                  <c:v>0.64410480349344967</c:v>
                </c:pt>
                <c:pt idx="42">
                  <c:v>0.64214192424902039</c:v>
                </c:pt>
                <c:pt idx="43">
                  <c:v>0.64019097222222221</c:v>
                </c:pt>
                <c:pt idx="44">
                  <c:v>0.63825183903072269</c:v>
                </c:pt>
                <c:pt idx="45">
                  <c:v>0.63632441760138048</c:v>
                </c:pt>
                <c:pt idx="46">
                  <c:v>0.63440860215053763</c:v>
                </c:pt>
                <c:pt idx="47">
                  <c:v>0.63250428816466553</c:v>
                </c:pt>
                <c:pt idx="48">
                  <c:v>0.63061137238135956</c:v>
                </c:pt>
                <c:pt idx="49">
                  <c:v>0.62872975277067344</c:v>
                </c:pt>
                <c:pt idx="50">
                  <c:v>0.62685932851678705</c:v>
                </c:pt>
                <c:pt idx="51">
                  <c:v>0.625</c:v>
                </c:pt>
                <c:pt idx="52">
                  <c:v>0.62315166877904515</c:v>
                </c:pt>
                <c:pt idx="53">
                  <c:v>0.62131423757371518</c:v>
                </c:pt>
                <c:pt idx="54">
                  <c:v>0.61948761024779497</c:v>
                </c:pt>
                <c:pt idx="55">
                  <c:v>0.61767169179229475</c:v>
                </c:pt>
                <c:pt idx="56">
                  <c:v>0.615866388308977</c:v>
                </c:pt>
                <c:pt idx="57">
                  <c:v>0.61407160699417151</c:v>
                </c:pt>
                <c:pt idx="58">
                  <c:v>0.6122872561228726</c:v>
                </c:pt>
                <c:pt idx="59">
                  <c:v>0.61051324503311255</c:v>
                </c:pt>
                <c:pt idx="60">
                  <c:v>0.6087494841106067</c:v>
                </c:pt>
                <c:pt idx="61">
                  <c:v>0.60699588477366251</c:v>
                </c:pt>
                <c:pt idx="62">
                  <c:v>0.60525235945835043</c:v>
                </c:pt>
                <c:pt idx="63">
                  <c:v>0.603518821603928</c:v>
                </c:pt>
                <c:pt idx="64">
                  <c:v>0.60179518563851486</c:v>
                </c:pt>
                <c:pt idx="65">
                  <c:v>0.60008136696501213</c:v>
                </c:pt>
                <c:pt idx="66">
                  <c:v>0.59837728194726159</c:v>
                </c:pt>
                <c:pt idx="67">
                  <c:v>0.59668284789644011</c:v>
                </c:pt>
                <c:pt idx="68">
                  <c:v>0.59499798305768448</c:v>
                </c:pt>
                <c:pt idx="69">
                  <c:v>0.59332260659694291</c:v>
                </c:pt>
                <c:pt idx="70">
                  <c:v>0.59165663858804651</c:v>
                </c:pt>
                <c:pt idx="71">
                  <c:v>0.59</c:v>
                </c:pt>
                <c:pt idx="72">
                  <c:v>0.58835261268448347</c:v>
                </c:pt>
                <c:pt idx="73">
                  <c:v>0.58671439936356407</c:v>
                </c:pt>
                <c:pt idx="74">
                  <c:v>0.58508528361761203</c:v>
                </c:pt>
                <c:pt idx="75">
                  <c:v>0.58346518987341767</c:v>
                </c:pt>
                <c:pt idx="76">
                  <c:v>0.5818540433925049</c:v>
                </c:pt>
                <c:pt idx="77">
                  <c:v>0.58025177025963803</c:v>
                </c:pt>
                <c:pt idx="78">
                  <c:v>0.57865829737151819</c:v>
                </c:pt>
                <c:pt idx="79">
                  <c:v>0.57707355242566505</c:v>
                </c:pt>
                <c:pt idx="80">
                  <c:v>0.57549746390948098</c:v>
                </c:pt>
                <c:pt idx="81">
                  <c:v>0.57392996108949412</c:v>
                </c:pt>
                <c:pt idx="82">
                  <c:v>0.57237097400077608</c:v>
                </c:pt>
                <c:pt idx="83">
                  <c:v>0.57082043343653255</c:v>
                </c:pt>
                <c:pt idx="84">
                  <c:v>0.56927827093786187</c:v>
                </c:pt>
                <c:pt idx="85">
                  <c:v>0.56774441878367976</c:v>
                </c:pt>
                <c:pt idx="86">
                  <c:v>0.56621880998080609</c:v>
                </c:pt>
                <c:pt idx="87">
                  <c:v>0.56470137825421129</c:v>
                </c:pt>
                <c:pt idx="88">
                  <c:v>0.56319205803741879</c:v>
                </c:pt>
                <c:pt idx="89">
                  <c:v>0.56169078446306164</c:v>
                </c:pt>
                <c:pt idx="90">
                  <c:v>0.56019749335358904</c:v>
                </c:pt>
                <c:pt idx="91">
                  <c:v>0.55871212121212122</c:v>
                </c:pt>
                <c:pt idx="92">
                  <c:v>0.55723460521344914</c:v>
                </c:pt>
                <c:pt idx="93">
                  <c:v>0.55576488319517703</c:v>
                </c:pt>
                <c:pt idx="94">
                  <c:v>0.55430289364900409</c:v>
                </c:pt>
                <c:pt idx="95">
                  <c:v>0.55284857571214396</c:v>
                </c:pt>
                <c:pt idx="96">
                  <c:v>0.55140186915887845</c:v>
                </c:pt>
                <c:pt idx="97">
                  <c:v>0.54996271439224453</c:v>
                </c:pt>
                <c:pt idx="98">
                  <c:v>0.54853105243584976</c:v>
                </c:pt>
                <c:pt idx="99">
                  <c:v>0.54710682492581597</c:v>
                </c:pt>
                <c:pt idx="100">
                  <c:v>0.5456899741028487</c:v>
                </c:pt>
                <c:pt idx="101">
                  <c:v>0.544280442804428</c:v>
                </c:pt>
                <c:pt idx="102">
                  <c:v>0.54287817445712183</c:v>
                </c:pt>
                <c:pt idx="103">
                  <c:v>0.54148311306901609</c:v>
                </c:pt>
                <c:pt idx="104">
                  <c:v>0.5400952032222629</c:v>
                </c:pt>
                <c:pt idx="105">
                  <c:v>0.5387143900657414</c:v>
                </c:pt>
                <c:pt idx="106">
                  <c:v>0.53734061930783239</c:v>
                </c:pt>
                <c:pt idx="107">
                  <c:v>0.53597383720930225</c:v>
                </c:pt>
                <c:pt idx="108">
                  <c:v>0.53461399057629566</c:v>
                </c:pt>
                <c:pt idx="109">
                  <c:v>0.53326102675343445</c:v>
                </c:pt>
                <c:pt idx="110">
                  <c:v>0.53191489361702116</c:v>
                </c:pt>
                <c:pt idx="111">
                  <c:v>0.53057553956834536</c:v>
                </c:pt>
                <c:pt idx="112">
                  <c:v>0.52924291352709008</c:v>
                </c:pt>
                <c:pt idx="113">
                  <c:v>0.52791696492483897</c:v>
                </c:pt>
                <c:pt idx="114">
                  <c:v>0.52659764369867901</c:v>
                </c:pt>
                <c:pt idx="115">
                  <c:v>0.52528490028490027</c:v>
                </c:pt>
                <c:pt idx="116">
                  <c:v>0.52397868561278871</c:v>
                </c:pt>
                <c:pt idx="117">
                  <c:v>0.5226789510985117</c:v>
                </c:pt>
                <c:pt idx="118">
                  <c:v>0.52138564863909509</c:v>
                </c:pt>
                <c:pt idx="119">
                  <c:v>0.52009873060648804</c:v>
                </c:pt>
                <c:pt idx="120">
                  <c:v>0.51881814984171648</c:v>
                </c:pt>
                <c:pt idx="121">
                  <c:v>0.51754385964912286</c:v>
                </c:pt>
                <c:pt idx="122">
                  <c:v>0.51627581379068954</c:v>
                </c:pt>
                <c:pt idx="123">
                  <c:v>0.51501396648044695</c:v>
                </c:pt>
                <c:pt idx="124">
                  <c:v>0.51375827237896199</c:v>
                </c:pt>
                <c:pt idx="125">
                  <c:v>0.51250868658790827</c:v>
                </c:pt>
                <c:pt idx="126">
                  <c:v>0.51126516464471405</c:v>
                </c:pt>
                <c:pt idx="127">
                  <c:v>0.51002766251728904</c:v>
                </c:pt>
                <c:pt idx="128">
                  <c:v>0.50879613659882716</c:v>
                </c:pt>
                <c:pt idx="129">
                  <c:v>0.50757054370268406</c:v>
                </c:pt>
                <c:pt idx="130">
                  <c:v>0.50635084105732919</c:v>
                </c:pt>
                <c:pt idx="131">
                  <c:v>0.50513698630136983</c:v>
                </c:pt>
                <c:pt idx="132">
                  <c:v>0.50392893747864698</c:v>
                </c:pt>
                <c:pt idx="133">
                  <c:v>0.50272665303340147</c:v>
                </c:pt>
                <c:pt idx="134">
                  <c:v>0.50153009180550823</c:v>
                </c:pt>
                <c:pt idx="135">
                  <c:v>0.50033921302578011</c:v>
                </c:pt>
                <c:pt idx="136">
                  <c:v>0.49915397631133662</c:v>
                </c:pt>
                <c:pt idx="137">
                  <c:v>0.49797434166103982</c:v>
                </c:pt>
                <c:pt idx="138">
                  <c:v>0.49680026945099359</c:v>
                </c:pt>
                <c:pt idx="139">
                  <c:v>0.49563172043010756</c:v>
                </c:pt>
                <c:pt idx="140">
                  <c:v>0.49446865571572246</c:v>
                </c:pt>
                <c:pt idx="141">
                  <c:v>0.49331103678929766</c:v>
                </c:pt>
                <c:pt idx="142">
                  <c:v>0.49215882549215884</c:v>
                </c:pt>
                <c:pt idx="143">
                  <c:v>0.49101198402130491</c:v>
                </c:pt>
                <c:pt idx="144">
                  <c:v>0.48987047492527402</c:v>
                </c:pt>
                <c:pt idx="145">
                  <c:v>0.48873426110006629</c:v>
                </c:pt>
                <c:pt idx="146">
                  <c:v>0.48760330578512395</c:v>
                </c:pt>
                <c:pt idx="147">
                  <c:v>0.48647757255936674</c:v>
                </c:pt>
                <c:pt idx="148">
                  <c:v>0.48535702533728198</c:v>
                </c:pt>
                <c:pt idx="149">
                  <c:v>0.48424162836506895</c:v>
                </c:pt>
                <c:pt idx="150">
                  <c:v>0.4831313462168359</c:v>
                </c:pt>
                <c:pt idx="151">
                  <c:v>0.48202614379084963</c:v>
                </c:pt>
                <c:pt idx="152">
                  <c:v>0.48092598630583627</c:v>
                </c:pt>
                <c:pt idx="153">
                  <c:v>0.47983083929733245</c:v>
                </c:pt>
                <c:pt idx="154">
                  <c:v>0.47874066861408632</c:v>
                </c:pt>
                <c:pt idx="155">
                  <c:v>0.47765544041450775</c:v>
                </c:pt>
                <c:pt idx="156">
                  <c:v>0.47657512116316636</c:v>
                </c:pt>
                <c:pt idx="157">
                  <c:v>0.47549967762733714</c:v>
                </c:pt>
                <c:pt idx="158">
                  <c:v>0.47442907687359276</c:v>
                </c:pt>
                <c:pt idx="159">
                  <c:v>0.47336328626444152</c:v>
                </c:pt>
                <c:pt idx="160">
                  <c:v>0.47230227345501113</c:v>
                </c:pt>
                <c:pt idx="161">
                  <c:v>0.47124600638977632</c:v>
                </c:pt>
                <c:pt idx="162">
                  <c:v>0.47019445329933057</c:v>
                </c:pt>
                <c:pt idx="163">
                  <c:v>0.46914758269720097</c:v>
                </c:pt>
                <c:pt idx="164">
                  <c:v>0.46810536337670583</c:v>
                </c:pt>
                <c:pt idx="165">
                  <c:v>0.46706776440785308</c:v>
                </c:pt>
                <c:pt idx="166">
                  <c:v>0.46603475513428122</c:v>
                </c:pt>
                <c:pt idx="167">
                  <c:v>0.46500630517023961</c:v>
                </c:pt>
                <c:pt idx="168">
                  <c:v>0.4639823843976093</c:v>
                </c:pt>
                <c:pt idx="169">
                  <c:v>0.46296296296296297</c:v>
                </c:pt>
                <c:pt idx="170">
                  <c:v>0.46194801127466334</c:v>
                </c:pt>
                <c:pt idx="171">
                  <c:v>0.4609375</c:v>
                </c:pt>
                <c:pt idx="172">
                  <c:v>0.45993140006236355</c:v>
                </c:pt>
                <c:pt idx="173">
                  <c:v>0.45892968263845674</c:v>
                </c:pt>
                <c:pt idx="174">
                  <c:v>0.45793231915554172</c:v>
                </c:pt>
                <c:pt idx="175">
                  <c:v>0.45693928128872363</c:v>
                </c:pt>
                <c:pt idx="176">
                  <c:v>0.45595054095826892</c:v>
                </c:pt>
                <c:pt idx="177">
                  <c:v>0.45496607032695863</c:v>
                </c:pt>
                <c:pt idx="178">
                  <c:v>0.45398584179747614</c:v>
                </c:pt>
                <c:pt idx="179">
                  <c:v>0.45300982800982798</c:v>
                </c:pt>
                <c:pt idx="180">
                  <c:v>0.45203800183879861</c:v>
                </c:pt>
                <c:pt idx="181">
                  <c:v>0.45107033639143729</c:v>
                </c:pt>
                <c:pt idx="182">
                  <c:v>0.45010680500457734</c:v>
                </c:pt>
                <c:pt idx="183">
                  <c:v>0.44914738124238729</c:v>
                </c:pt>
                <c:pt idx="184">
                  <c:v>0.44819203889395315</c:v>
                </c:pt>
                <c:pt idx="185">
                  <c:v>0.44724075197089141</c:v>
                </c:pt>
                <c:pt idx="186">
                  <c:v>0.44629349470499236</c:v>
                </c:pt>
                <c:pt idx="187">
                  <c:v>0.44535024154589364</c:v>
                </c:pt>
                <c:pt idx="188">
                  <c:v>0.44441096715878281</c:v>
                </c:pt>
                <c:pt idx="189">
                  <c:v>0.44347564642212872</c:v>
                </c:pt>
                <c:pt idx="190">
                  <c:v>0.44254425442544254</c:v>
                </c:pt>
                <c:pt idx="191">
                  <c:v>0.44161676646706588</c:v>
                </c:pt>
                <c:pt idx="192">
                  <c:v>0.44069315805198689</c:v>
                </c:pt>
                <c:pt idx="193">
                  <c:v>0.43977340488968397</c:v>
                </c:pt>
                <c:pt idx="194">
                  <c:v>0.43885748289199644</c:v>
                </c:pt>
                <c:pt idx="195">
                  <c:v>0.43794536817102137</c:v>
                </c:pt>
                <c:pt idx="196">
                  <c:v>0.43703703703703706</c:v>
                </c:pt>
                <c:pt idx="197">
                  <c:v>0.43613246599645178</c:v>
                </c:pt>
                <c:pt idx="198">
                  <c:v>0.43523163174977869</c:v>
                </c:pt>
                <c:pt idx="199">
                  <c:v>0.43433451118963484</c:v>
                </c:pt>
                <c:pt idx="200">
                  <c:v>0.4334410813987658</c:v>
                </c:pt>
              </c:numCache>
            </c:numRef>
          </c:yVal>
          <c:smooth val="0"/>
          <c:extLst>
            <c:ext xmlns:c16="http://schemas.microsoft.com/office/drawing/2014/chart" uri="{C3380CC4-5D6E-409C-BE32-E72D297353CC}">
              <c16:uniqueId val="{00000001-2302-4046-8B7A-DAF7DA6A9068}"/>
            </c:ext>
          </c:extLst>
        </c:ser>
        <c:dLbls>
          <c:showLegendKey val="0"/>
          <c:showVal val="0"/>
          <c:showCatName val="0"/>
          <c:showSerName val="0"/>
          <c:showPercent val="0"/>
          <c:showBubbleSize val="0"/>
        </c:dLbls>
        <c:axId val="198923392"/>
        <c:axId val="198921216"/>
      </c:scatterChart>
      <c:valAx>
        <c:axId val="198908928"/>
        <c:scaling>
          <c:orientation val="minMax"/>
          <c:max val="18"/>
          <c:min val="6"/>
        </c:scaling>
        <c:delete val="0"/>
        <c:axPos val="b"/>
        <c:majorGridlines/>
        <c:title>
          <c:tx>
            <c:rich>
              <a:bodyPr/>
              <a:lstStyle/>
              <a:p>
                <a:pPr>
                  <a:defRPr sz="1200" b="1" i="0" u="none" strike="noStrike" baseline="0">
                    <a:solidFill>
                      <a:srgbClr val="000000"/>
                    </a:solidFill>
                    <a:latin typeface="Arial"/>
                    <a:ea typeface="Arial"/>
                    <a:cs typeface="Arial"/>
                  </a:defRPr>
                </a:pPr>
                <a:r>
                  <a:rPr lang="en-US" sz="1200"/>
                  <a:t>Input</a:t>
                </a:r>
                <a:r>
                  <a:rPr lang="en-US" sz="1200" baseline="0"/>
                  <a:t> Voltage (V)</a:t>
                </a:r>
                <a:endParaRPr lang="en-US" sz="1200"/>
              </a:p>
            </c:rich>
          </c:tx>
          <c:layout>
            <c:manualLayout>
              <c:xMode val="edge"/>
              <c:yMode val="edge"/>
              <c:x val="0.42044692620593743"/>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Arial"/>
                <a:ea typeface="Arial"/>
                <a:cs typeface="Arial"/>
              </a:defRPr>
            </a:pPr>
            <a:endParaRPr lang="en-US"/>
          </a:p>
        </c:txPr>
        <c:crossAx val="198919296"/>
        <c:crosses val="autoZero"/>
        <c:crossBetween val="midCat"/>
      </c:valAx>
      <c:valAx>
        <c:axId val="198919296"/>
        <c:scaling>
          <c:orientation val="minMax"/>
          <c:max val="0.55000000000000004"/>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sz="1200">
                    <a:solidFill>
                      <a:srgbClr val="FF0000"/>
                    </a:solidFill>
                  </a:rPr>
                  <a:t>Boost Duty Cycle</a:t>
                </a:r>
              </a:p>
            </c:rich>
          </c:tx>
          <c:layout>
            <c:manualLayout>
              <c:xMode val="edge"/>
              <c:yMode val="edge"/>
              <c:x val="1.7399239437699769E-2"/>
              <c:y val="0.3629036491406316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a:ea typeface="Arial"/>
                <a:cs typeface="Arial"/>
              </a:defRPr>
            </a:pPr>
            <a:endParaRPr lang="en-US"/>
          </a:p>
        </c:txPr>
        <c:crossAx val="198908928"/>
        <c:crosses val="autoZero"/>
        <c:crossBetween val="midCat"/>
        <c:majorUnit val="0.1"/>
        <c:minorUnit val="5.000000000000001E-2"/>
      </c:valAx>
      <c:valAx>
        <c:axId val="198921216"/>
        <c:scaling>
          <c:orientation val="minMax"/>
          <c:max val="1.05"/>
          <c:min val="0.5"/>
        </c:scaling>
        <c:delete val="0"/>
        <c:axPos val="r"/>
        <c:title>
          <c:tx>
            <c:rich>
              <a:bodyPr rot="-5400000" vert="horz"/>
              <a:lstStyle/>
              <a:p>
                <a:pPr>
                  <a:defRPr sz="1200" b="1">
                    <a:solidFill>
                      <a:srgbClr val="0000FF"/>
                    </a:solidFill>
                  </a:defRPr>
                </a:pPr>
                <a:r>
                  <a:rPr lang="en-US" sz="1200" b="1">
                    <a:solidFill>
                      <a:srgbClr val="0000FF"/>
                    </a:solidFill>
                  </a:rPr>
                  <a:t>Buck Duty Cycle</a:t>
                </a:r>
              </a:p>
            </c:rich>
          </c:tx>
          <c:overlay val="0"/>
        </c:title>
        <c:numFmt formatCode="General" sourceLinked="0"/>
        <c:majorTickMark val="out"/>
        <c:minorTickMark val="none"/>
        <c:tickLblPos val="nextTo"/>
        <c:txPr>
          <a:bodyPr/>
          <a:lstStyle/>
          <a:p>
            <a:pPr>
              <a:defRPr sz="1050" b="1">
                <a:solidFill>
                  <a:srgbClr val="0000FF"/>
                </a:solidFill>
              </a:defRPr>
            </a:pPr>
            <a:endParaRPr lang="en-US"/>
          </a:p>
        </c:txPr>
        <c:crossAx val="198923392"/>
        <c:crosses val="max"/>
        <c:crossBetween val="midCat"/>
        <c:majorUnit val="0.1"/>
      </c:valAx>
      <c:valAx>
        <c:axId val="198923392"/>
        <c:scaling>
          <c:orientation val="minMax"/>
        </c:scaling>
        <c:delete val="1"/>
        <c:axPos val="b"/>
        <c:numFmt formatCode="0.00" sourceLinked="1"/>
        <c:majorTickMark val="out"/>
        <c:minorTickMark val="none"/>
        <c:tickLblPos val="nextTo"/>
        <c:crossAx val="19892121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73773316184082571"/>
          <c:y val="0.14112903225806453"/>
          <c:w val="0.15360806990759621"/>
          <c:h val="0.10786681906697147"/>
        </c:manualLayout>
      </c:layout>
      <c:overlay val="0"/>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no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vs Load Calculations'!$BL$8</c:f>
              <c:strCache>
                <c:ptCount val="1"/>
                <c:pt idx="0">
                  <c:v>'CONTROL'' MOSFET Temp Rise</c:v>
                </c:pt>
              </c:strCache>
            </c:strRef>
          </c:tx>
          <c:spPr>
            <a:ln w="31750">
              <a:solidFill>
                <a:srgbClr val="000080"/>
              </a:solidFill>
              <a:prstDash val="dash"/>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Calculations'!$BL$9:$BL$109</c:f>
              <c:numCache>
                <c:formatCode>0.0</c:formatCode>
                <c:ptCount val="101"/>
                <c:pt idx="0">
                  <c:v>2.6990907072248054</c:v>
                </c:pt>
                <c:pt idx="1">
                  <c:v>4.4864468325810609</c:v>
                </c:pt>
                <c:pt idx="2">
                  <c:v>6.1811554793735404</c:v>
                </c:pt>
                <c:pt idx="3">
                  <c:v>7.883470574915572</c:v>
                </c:pt>
                <c:pt idx="4">
                  <c:v>9.5935274128936818</c:v>
                </c:pt>
                <c:pt idx="5">
                  <c:v>11.311462685927927</c:v>
                </c:pt>
                <c:pt idx="6">
                  <c:v>13.037414526029499</c:v>
                </c:pt>
                <c:pt idx="7">
                  <c:v>14.77152254571453</c:v>
                </c:pt>
                <c:pt idx="8">
                  <c:v>16.513927879799752</c:v>
                </c:pt>
                <c:pt idx="9">
                  <c:v>18.264773227906392</c:v>
                </c:pt>
                <c:pt idx="10">
                  <c:v>20.024202897699134</c:v>
                </c:pt>
                <c:pt idx="11">
                  <c:v>21.79236284888777</c:v>
                </c:pt>
                <c:pt idx="12">
                  <c:v>23.569400738019723</c:v>
                </c:pt>
                <c:pt idx="13">
                  <c:v>25.35546596409247</c:v>
                </c:pt>
                <c:pt idx="14">
                  <c:v>27.150709715015353</c:v>
                </c:pt>
                <c:pt idx="15">
                  <c:v>29.013439350410092</c:v>
                </c:pt>
                <c:pt idx="16">
                  <c:v>31.001337311526186</c:v>
                </c:pt>
                <c:pt idx="17">
                  <c:v>32.999047753240333</c:v>
                </c:pt>
                <c:pt idx="18">
                  <c:v>35.006744988309705</c:v>
                </c:pt>
                <c:pt idx="19">
                  <c:v>37.024605427695178</c:v>
                </c:pt>
                <c:pt idx="20">
                  <c:v>39.052807637495718</c:v>
                </c:pt>
                <c:pt idx="21">
                  <c:v>41.091532397008251</c:v>
                </c:pt>
                <c:pt idx="22">
                  <c:v>43.140962757952863</c:v>
                </c:pt>
                <c:pt idx="23">
                  <c:v>45.201284104904445</c:v>
                </c:pt>
                <c:pt idx="24">
                  <c:v>47.272684216973119</c:v>
                </c:pt>
                <c:pt idx="25">
                  <c:v>49.355353330776786</c:v>
                </c:pt>
                <c:pt idx="26">
                  <c:v>51.449484204750668</c:v>
                </c:pt>
                <c:pt idx="27">
                  <c:v>53.555272184840163</c:v>
                </c:pt>
                <c:pt idx="28">
                  <c:v>55.672915271624063</c:v>
                </c:pt>
                <c:pt idx="29">
                  <c:v>57.802614188917708</c:v>
                </c:pt>
                <c:pt idx="30">
                  <c:v>59.944572453906055</c:v>
                </c:pt>
                <c:pt idx="31">
                  <c:v>62.09899644885914</c:v>
                </c:pt>
                <c:pt idx="32">
                  <c:v>64.266095494483423</c:v>
                </c:pt>
                <c:pt idx="33">
                  <c:v>66.446081924964673</c:v>
                </c:pt>
                <c:pt idx="34">
                  <c:v>68.639171164759418</c:v>
                </c:pt>
                <c:pt idx="35">
                  <c:v>70.845581807194293</c:v>
                </c:pt>
                <c:pt idx="36">
                  <c:v>73.065535694934368</c:v>
                </c:pt>
                <c:pt idx="37">
                  <c:v>75.29925800238324</c:v>
                </c:pt>
                <c:pt idx="38">
                  <c:v>77.546977320080515</c:v>
                </c:pt>
                <c:pt idx="39">
                  <c:v>79.808925741164003</c:v>
                </c:pt>
                <c:pt idx="40">
                  <c:v>82.085338949965958</c:v>
                </c:pt>
                <c:pt idx="41">
                  <c:v>84.376456312816032</c:v>
                </c:pt>
                <c:pt idx="42">
                  <c:v>86.682520971125285</c:v>
                </c:pt>
                <c:pt idx="43">
                  <c:v>89.00377993682838</c:v>
                </c:pt>
                <c:pt idx="44">
                  <c:v>91.340484190264121</c:v>
                </c:pt>
                <c:pt idx="45">
                  <c:v>93.692888780576752</c:v>
                </c:pt>
                <c:pt idx="46">
                  <c:v>96.061252928724286</c:v>
                </c:pt>
                <c:pt idx="47">
                  <c:v>98.445840133182017</c:v>
                </c:pt>
                <c:pt idx="48">
                  <c:v>100.84691827843339</c:v>
                </c:pt>
                <c:pt idx="49">
                  <c:v>103.26475974634421</c:v>
                </c:pt>
                <c:pt idx="50">
                  <c:v>105.69964153051772</c:v>
                </c:pt>
                <c:pt idx="51">
                  <c:v>108.15184535373439</c:v>
                </c:pt>
                <c:pt idx="52">
                  <c:v>110.6216577885819</c:v>
                </c:pt>
                <c:pt idx="53">
                  <c:v>113.10937038138557</c:v>
                </c:pt>
                <c:pt idx="54">
                  <c:v>115.61527977955417</c:v>
                </c:pt>
                <c:pt idx="55">
                  <c:v>118.13968786245901</c:v>
                </c:pt>
                <c:pt idx="56">
                  <c:v>120.68290187597054</c:v>
                </c:pt>
                <c:pt idx="57">
                  <c:v>123.2452345707793</c:v>
                </c:pt>
                <c:pt idx="58">
                  <c:v>125.82700434463526</c:v>
                </c:pt>
                <c:pt idx="59">
                  <c:v>128.4285353886423</c:v>
                </c:pt>
                <c:pt idx="60">
                  <c:v>131.05015783775266</c:v>
                </c:pt>
                <c:pt idx="61">
                  <c:v>133.69220792560904</c:v>
                </c:pt>
                <c:pt idx="62">
                  <c:v>136.35502814389014</c:v>
                </c:pt>
                <c:pt idx="63">
                  <c:v>139.03896740632027</c:v>
                </c:pt>
                <c:pt idx="64">
                  <c:v>141.74438121751083</c:v>
                </c:pt>
                <c:pt idx="65">
                  <c:v>144.47163184680738</c:v>
                </c:pt>
                <c:pt idx="66">
                  <c:v>147.22108850732386</c:v>
                </c:pt>
                <c:pt idx="67">
                  <c:v>149.99312754035262</c:v>
                </c:pt>
                <c:pt idx="68">
                  <c:v>152.78813260534602</c:v>
                </c:pt>
                <c:pt idx="69">
                  <c:v>155.60649487567471</c:v>
                </c:pt>
                <c:pt idx="70">
                  <c:v>158.44861324037461</c:v>
                </c:pt>
                <c:pt idx="71">
                  <c:v>161.31489451210425</c:v>
                </c:pt>
                <c:pt idx="72">
                  <c:v>164.20575364154439</c:v>
                </c:pt>
                <c:pt idx="73">
                  <c:v>167.12161393847853</c:v>
                </c:pt>
                <c:pt idx="74">
                  <c:v>170.06290729980734</c:v>
                </c:pt>
                <c:pt idx="75">
                  <c:v>173.03007444475588</c:v>
                </c:pt>
                <c:pt idx="76">
                  <c:v>176.02356515754872</c:v>
                </c:pt>
                <c:pt idx="77">
                  <c:v>179.04383853783466</c:v>
                </c:pt>
                <c:pt idx="78">
                  <c:v>182.09136325915981</c:v>
                </c:pt>
                <c:pt idx="79">
                  <c:v>185.16661783579679</c:v>
                </c:pt>
                <c:pt idx="80">
                  <c:v>188.27009089825378</c:v>
                </c:pt>
                <c:pt idx="81">
                  <c:v>191.40228147780078</c:v>
                </c:pt>
                <c:pt idx="82">
                  <c:v>194.56369930036405</c:v>
                </c:pt>
                <c:pt idx="83">
                  <c:v>197.75486509015764</c:v>
                </c:pt>
                <c:pt idx="84">
                  <c:v>200.97631088343519</c:v>
                </c:pt>
                <c:pt idx="85">
                  <c:v>204.22858035276454</c:v>
                </c:pt>
                <c:pt idx="86">
                  <c:v>207.51222914224326</c:v>
                </c:pt>
                <c:pt idx="87">
                  <c:v>210.82782521409501</c:v>
                </c:pt>
                <c:pt idx="88">
                  <c:v>214.17594920710533</c:v>
                </c:pt>
                <c:pt idx="89">
                  <c:v>217.55719480737559</c:v>
                </c:pt>
                <c:pt idx="90">
                  <c:v>220.97216913189988</c:v>
                </c:pt>
                <c:pt idx="91">
                  <c:v>224.42149312548705</c:v>
                </c:pt>
                <c:pt idx="92">
                  <c:v>227.90580197158064</c:v>
                </c:pt>
                <c:pt idx="93">
                  <c:v>231.42574551755223</c:v>
                </c:pt>
                <c:pt idx="94">
                  <c:v>234.98198871507068</c:v>
                </c:pt>
                <c:pt idx="95">
                  <c:v>238.57521207618157</c:v>
                </c:pt>
                <c:pt idx="96">
                  <c:v>242.20611214575712</c:v>
                </c:pt>
                <c:pt idx="97">
                  <c:v>245.8754019910138</c:v>
                </c:pt>
                <c:pt idx="98">
                  <c:v>249.5838117088237</c:v>
                </c:pt>
                <c:pt idx="99">
                  <c:v>253.33208895158663</c:v>
                </c:pt>
                <c:pt idx="100">
                  <c:v>257.12099947246105</c:v>
                </c:pt>
              </c:numCache>
            </c:numRef>
          </c:yVal>
          <c:smooth val="0"/>
          <c:extLst>
            <c:ext xmlns:c16="http://schemas.microsoft.com/office/drawing/2014/chart" uri="{C3380CC4-5D6E-409C-BE32-E72D297353CC}">
              <c16:uniqueId val="{00000000-8164-4FC0-AFF0-37847C988E03}"/>
            </c:ext>
          </c:extLst>
        </c:ser>
        <c:ser>
          <c:idx val="1"/>
          <c:order val="1"/>
          <c:tx>
            <c:strRef>
              <c:f>'Efficiency vs Load Calculations'!$BM$8</c:f>
              <c:strCache>
                <c:ptCount val="1"/>
                <c:pt idx="0">
                  <c:v>'SYNC'' MOSFET Temp Rise</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Calculations'!$BM$9:$BM$109</c:f>
              <c:numCache>
                <c:formatCode>0.0</c:formatCode>
                <c:ptCount val="101"/>
                <c:pt idx="0">
                  <c:v>2.6368338371144029</c:v>
                </c:pt>
                <c:pt idx="1">
                  <c:v>2.9765538490187549</c:v>
                </c:pt>
                <c:pt idx="2">
                  <c:v>3.1612594401959511</c:v>
                </c:pt>
                <c:pt idx="3">
                  <c:v>3.3533445456202706</c:v>
                </c:pt>
                <c:pt idx="4">
                  <c:v>3.5528275284222119</c:v>
                </c:pt>
                <c:pt idx="5">
                  <c:v>3.759728048541334</c:v>
                </c:pt>
                <c:pt idx="6">
                  <c:v>3.974067069103612</c:v>
                </c:pt>
                <c:pt idx="7">
                  <c:v>4.1958668633717258</c:v>
                </c:pt>
                <c:pt idx="8">
                  <c:v>4.4251510222730417</c:v>
                </c:pt>
                <c:pt idx="9">
                  <c:v>4.6619444625105677</c:v>
                </c:pt>
                <c:pt idx="10">
                  <c:v>4.9062734352625714</c:v>
                </c:pt>
                <c:pt idx="11">
                  <c:v>5.1581655354771119</c:v>
                </c:pt>
                <c:pt idx="12">
                  <c:v>5.4176497117681812</c:v>
                </c:pt>
                <c:pt idx="13">
                  <c:v>5.6847562769206892</c:v>
                </c:pt>
                <c:pt idx="14">
                  <c:v>5.9595169190120103</c:v>
                </c:pt>
                <c:pt idx="15">
                  <c:v>6.3001190486170149</c:v>
                </c:pt>
                <c:pt idx="16">
                  <c:v>6.7641246728504463</c:v>
                </c:pt>
                <c:pt idx="17">
                  <c:v>7.2360569911929922</c:v>
                </c:pt>
                <c:pt idx="18">
                  <c:v>7.7159688032478631</c:v>
                </c:pt>
                <c:pt idx="19">
                  <c:v>8.2039144122203922</c:v>
                </c:pt>
                <c:pt idx="20">
                  <c:v>8.6999496446383393</c:v>
                </c:pt>
                <c:pt idx="21">
                  <c:v>9.2041318708027635</c:v>
                </c:pt>
                <c:pt idx="22">
                  <c:v>9.7165200259849254</c:v>
                </c:pt>
                <c:pt idx="23">
                  <c:v>10.237174632385138</c:v>
                </c:pt>
                <c:pt idx="24">
                  <c:v>10.766157821870348</c:v>
                </c:pt>
                <c:pt idx="25">
                  <c:v>11.303533359507833</c:v>
                </c:pt>
                <c:pt idx="26">
                  <c:v>11.84936666791328</c:v>
                </c:pt>
                <c:pt idx="27">
                  <c:v>12.403724852432102</c:v>
                </c:pt>
                <c:pt idx="28">
                  <c:v>12.966676727173819</c:v>
                </c:pt>
                <c:pt idx="29">
                  <c:v>13.538292841920047</c:v>
                </c:pt>
                <c:pt idx="30">
                  <c:v>14.118645509927452</c:v>
                </c:pt>
                <c:pt idx="31">
                  <c:v>14.707808836648066</c:v>
                </c:pt>
                <c:pt idx="32">
                  <c:v>15.305858749390028</c:v>
                </c:pt>
                <c:pt idx="33">
                  <c:v>15.912873027943014</c:v>
                </c:pt>
                <c:pt idx="34">
                  <c:v>16.528931336193306</c:v>
                </c:pt>
                <c:pt idx="35">
                  <c:v>17.154115254754743</c:v>
                </c:pt>
                <c:pt idx="36">
                  <c:v>17.788508314642598</c:v>
                </c:pt>
                <c:pt idx="37">
                  <c:v>18.432196032018627</c:v>
                </c:pt>
                <c:pt idx="38">
                  <c:v>19.085265944036703</c:v>
                </c:pt>
                <c:pt idx="39">
                  <c:v>19.747807645819371</c:v>
                </c:pt>
                <c:pt idx="40">
                  <c:v>20.419912828597194</c:v>
                </c:pt>
                <c:pt idx="41">
                  <c:v>21.101675319043721</c:v>
                </c:pt>
                <c:pt idx="42">
                  <c:v>21.793191119840472</c:v>
                </c:pt>
                <c:pt idx="43">
                  <c:v>22.494558451507299</c:v>
                </c:pt>
                <c:pt idx="44">
                  <c:v>23.205877795535368</c:v>
                </c:pt>
                <c:pt idx="45">
                  <c:v>23.927251938861076</c:v>
                </c:pt>
                <c:pt idx="46">
                  <c:v>24.658786019720917</c:v>
                </c:pt>
                <c:pt idx="47">
                  <c:v>25.400587574928768</c:v>
                </c:pt>
                <c:pt idx="48">
                  <c:v>26.152766588618874</c:v>
                </c:pt>
                <c:pt idx="49">
                  <c:v>26.915435542499356</c:v>
                </c:pt>
                <c:pt idx="50">
                  <c:v>27.688709467662861</c:v>
                </c:pt>
                <c:pt idx="51">
                  <c:v>28.472705998002965</c:v>
                </c:pt>
                <c:pt idx="52">
                  <c:v>29.267545425286592</c:v>
                </c:pt>
                <c:pt idx="53">
                  <c:v>30.073350755935063</c:v>
                </c:pt>
                <c:pt idx="54">
                  <c:v>30.890247769568138</c:v>
                </c:pt>
                <c:pt idx="55">
                  <c:v>31.718365079367775</c:v>
                </c:pt>
                <c:pt idx="56">
                  <c:v>32.557834194320712</c:v>
                </c:pt>
                <c:pt idx="57">
                  <c:v>33.408789583400917</c:v>
                </c:pt>
                <c:pt idx="58">
                  <c:v>34.271368741756028</c:v>
                </c:pt>
                <c:pt idx="59">
                  <c:v>35.145712258963911</c:v>
                </c:pt>
                <c:pt idx="60">
                  <c:v>36.031963889428518</c:v>
                </c:pt>
                <c:pt idx="61">
                  <c:v>36.93027062498691</c:v>
                </c:pt>
                <c:pt idx="62">
                  <c:v>37.840782769802203</c:v>
                </c:pt>
                <c:pt idx="63">
                  <c:v>38.763654017620368</c:v>
                </c:pt>
                <c:pt idx="64">
                  <c:v>39.69904153147192</c:v>
                </c:pt>
                <c:pt idx="65">
                  <c:v>40.64710602590285</c:v>
                </c:pt>
                <c:pt idx="66">
                  <c:v>41.608011851822852</c:v>
                </c:pt>
                <c:pt idx="67">
                  <c:v>42.581927084062308</c:v>
                </c:pt>
                <c:pt idx="68">
                  <c:v>43.569023611733378</c:v>
                </c:pt>
                <c:pt idx="69">
                  <c:v>44.569477231494751</c:v>
                </c:pt>
                <c:pt idx="70">
                  <c:v>45.583467743823469</c:v>
                </c:pt>
                <c:pt idx="71">
                  <c:v>46.611179052401717</c:v>
                </c:pt>
                <c:pt idx="72">
                  <c:v>47.652799266731584</c:v>
                </c:pt>
                <c:pt idx="73">
                  <c:v>48.708520808094363</c:v>
                </c:pt>
                <c:pt idx="74">
                  <c:v>49.7785405189776</c:v>
                </c:pt>
                <c:pt idx="75">
                  <c:v>50.86305977609689</c:v>
                </c:pt>
                <c:pt idx="76">
                  <c:v>51.962284607145918</c:v>
                </c:pt>
                <c:pt idx="77">
                  <c:v>53.076425811413806</c:v>
                </c:pt>
                <c:pt idx="78">
                  <c:v>54.205699084414441</c:v>
                </c:pt>
                <c:pt idx="79">
                  <c:v>55.350325146679594</c:v>
                </c:pt>
                <c:pt idx="80">
                  <c:v>56.510529876873633</c:v>
                </c:pt>
                <c:pt idx="81">
                  <c:v>57.686544449395228</c:v>
                </c:pt>
                <c:pt idx="82">
                  <c:v>58.87860547663827</c:v>
                </c:pt>
                <c:pt idx="83">
                  <c:v>60.086955156092358</c:v>
                </c:pt>
                <c:pt idx="84">
                  <c:v>61.311841422471176</c:v>
                </c:pt>
                <c:pt idx="85">
                  <c:v>62.55351810506567</c:v>
                </c:pt>
                <c:pt idx="86">
                  <c:v>63.812245090527895</c:v>
                </c:pt>
                <c:pt idx="87">
                  <c:v>65.088288491300432</c:v>
                </c:pt>
                <c:pt idx="88">
                  <c:v>66.381920819917312</c:v>
                </c:pt>
                <c:pt idx="89">
                  <c:v>67.693421169411238</c:v>
                </c:pt>
                <c:pt idx="90">
                  <c:v>69.023075400074418</c:v>
                </c:pt>
                <c:pt idx="91">
                  <c:v>70.371176332830387</c:v>
                </c:pt>
                <c:pt idx="92">
                  <c:v>71.738023949487939</c:v>
                </c:pt>
                <c:pt idx="93">
                  <c:v>73.123925600159566</c:v>
                </c:pt>
                <c:pt idx="94">
                  <c:v>74.529196218141351</c:v>
                </c:pt>
                <c:pt idx="95">
                  <c:v>75.954158542564969</c:v>
                </c:pt>
                <c:pt idx="96">
                  <c:v>77.399143349147536</c:v>
                </c:pt>
                <c:pt idx="97">
                  <c:v>78.86448968938123</c:v>
                </c:pt>
                <c:pt idx="98">
                  <c:v>80.350545138520104</c:v>
                </c:pt>
                <c:pt idx="99">
                  <c:v>81.857666052740754</c:v>
                </c:pt>
                <c:pt idx="100">
                  <c:v>83.386217835870511</c:v>
                </c:pt>
              </c:numCache>
            </c:numRef>
          </c:yVal>
          <c:smooth val="0"/>
          <c:extLst>
            <c:ext xmlns:c16="http://schemas.microsoft.com/office/drawing/2014/chart" uri="{C3380CC4-5D6E-409C-BE32-E72D297353CC}">
              <c16:uniqueId val="{00000001-8164-4FC0-AFF0-37847C988E03}"/>
            </c:ext>
          </c:extLst>
        </c:ser>
        <c:dLbls>
          <c:showLegendKey val="0"/>
          <c:showVal val="0"/>
          <c:showCatName val="0"/>
          <c:showSerName val="0"/>
          <c:showPercent val="0"/>
          <c:showBubbleSize val="0"/>
        </c:dLbls>
        <c:axId val="199431680"/>
        <c:axId val="199433600"/>
      </c:scatterChart>
      <c:valAx>
        <c:axId val="19943168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9433600"/>
        <c:crosses val="autoZero"/>
        <c:crossBetween val="midCat"/>
      </c:valAx>
      <c:valAx>
        <c:axId val="19943360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943168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vs Load Calculations'!$BR$8</c:f>
              <c:strCache>
                <c:ptCount val="1"/>
                <c:pt idx="0">
                  <c:v>Buck ''Control'' MOSFET Loss</c:v>
                </c:pt>
              </c:strCache>
            </c:strRef>
          </c:tx>
          <c:spPr>
            <a:ln w="25400">
              <a:solidFill>
                <a:srgbClr val="000080"/>
              </a:solidFill>
              <a:prstDash val="dash"/>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Calculations'!$BR$9:$BR$109</c:f>
              <c:numCache>
                <c:formatCode>0.000</c:formatCode>
                <c:ptCount val="101"/>
                <c:pt idx="0">
                  <c:v>4.4984845120413425E-2</c:v>
                </c:pt>
                <c:pt idx="1">
                  <c:v>7.3811254439551013E-2</c:v>
                </c:pt>
                <c:pt idx="2">
                  <c:v>0.10109358024235901</c:v>
                </c:pt>
                <c:pt idx="3">
                  <c:v>0.12850272131739288</c:v>
                </c:pt>
                <c:pt idx="4">
                  <c:v>0.15604093255942802</c:v>
                </c:pt>
                <c:pt idx="5">
                  <c:v>0.18371049217879878</c:v>
                </c:pt>
                <c:pt idx="6">
                  <c:v>0.21151370237569167</c:v>
                </c:pt>
                <c:pt idx="7">
                  <c:v>0.23945289002537551</c:v>
                </c:pt>
                <c:pt idx="8">
                  <c:v>0.26753040737479589</c:v>
                </c:pt>
                <c:pt idx="9">
                  <c:v>0.29574863275097318</c:v>
                </c:pt>
                <c:pt idx="10">
                  <c:v>0.3241099712816522</c:v>
                </c:pt>
                <c:pt idx="11">
                  <c:v>0.35261685562866285</c:v>
                </c:pt>
                <c:pt idx="12">
                  <c:v>0.38127174673446207</c:v>
                </c:pt>
                <c:pt idx="13">
                  <c:v>0.41007713458234113</c:v>
                </c:pt>
                <c:pt idx="14">
                  <c:v>0.43903553897078917</c:v>
                </c:pt>
                <c:pt idx="15">
                  <c:v>0.46911874922683483</c:v>
                </c:pt>
                <c:pt idx="16">
                  <c:v>0.50128813937130312</c:v>
                </c:pt>
                <c:pt idx="17">
                  <c:v>0.53362111198547213</c:v>
                </c:pt>
                <c:pt idx="18">
                  <c:v>0.56612057228196166</c:v>
                </c:pt>
                <c:pt idx="19">
                  <c:v>0.59878946044345294</c:v>
                </c:pt>
                <c:pt idx="20">
                  <c:v>0.63163075257159529</c:v>
                </c:pt>
                <c:pt idx="21">
                  <c:v>0.66464746165467081</c:v>
                </c:pt>
                <c:pt idx="22">
                  <c:v>0.69784263855468109</c:v>
                </c:pt>
                <c:pt idx="23">
                  <c:v>0.73121937301454076</c:v>
                </c:pt>
                <c:pt idx="24">
                  <c:v>0.7647807946860854</c:v>
                </c:pt>
                <c:pt idx="25">
                  <c:v>0.79853007417961308</c:v>
                </c:pt>
                <c:pt idx="26">
                  <c:v>0.83247042413571126</c:v>
                </c:pt>
                <c:pt idx="27">
                  <c:v>0.86660510032013605</c:v>
                </c:pt>
                <c:pt idx="28">
                  <c:v>0.90093740274253442</c:v>
                </c:pt>
                <c:pt idx="29">
                  <c:v>0.93547067679982843</c:v>
                </c:pt>
                <c:pt idx="30">
                  <c:v>0.97020831444510092</c:v>
                </c:pt>
                <c:pt idx="31">
                  <c:v>1.0051537553828525</c:v>
                </c:pt>
                <c:pt idx="32">
                  <c:v>1.0403104882915237</c:v>
                </c:pt>
                <c:pt idx="33">
                  <c:v>1.0756820520742114</c:v>
                </c:pt>
                <c:pt idx="34">
                  <c:v>1.1112720371385236</c:v>
                </c:pt>
                <c:pt idx="35">
                  <c:v>1.1470840867065717</c:v>
                </c:pt>
                <c:pt idx="36">
                  <c:v>1.1831218981561062</c:v>
                </c:pt>
                <c:pt idx="37">
                  <c:v>1.219389224393854</c:v>
                </c:pt>
                <c:pt idx="38">
                  <c:v>1.2558898752621419</c:v>
                </c:pt>
                <c:pt idx="39">
                  <c:v>1.2926277189799333</c:v>
                </c:pt>
                <c:pt idx="40">
                  <c:v>1.3296066836194327</c:v>
                </c:pt>
                <c:pt idx="41">
                  <c:v>1.3668307586194672</c:v>
                </c:pt>
                <c:pt idx="42">
                  <c:v>1.4043039963368882</c:v>
                </c:pt>
                <c:pt idx="43">
                  <c:v>1.4420305136372731</c:v>
                </c:pt>
                <c:pt idx="44">
                  <c:v>1.4800144935262687</c:v>
                </c:pt>
                <c:pt idx="45">
                  <c:v>1.5182601868229459</c:v>
                </c:pt>
                <c:pt idx="46">
                  <c:v>1.5567719138766047</c:v>
                </c:pt>
                <c:pt idx="47">
                  <c:v>1.5955540663285004</c:v>
                </c:pt>
                <c:pt idx="48">
                  <c:v>1.6346111089200233</c:v>
                </c:pt>
                <c:pt idx="49">
                  <c:v>1.6739475813489368</c:v>
                </c:pt>
                <c:pt idx="50">
                  <c:v>1.7135681001752954</c:v>
                </c:pt>
                <c:pt idx="51">
                  <c:v>1.7534773607787733</c:v>
                </c:pt>
                <c:pt idx="52">
                  <c:v>1.7936801393691648</c:v>
                </c:pt>
                <c:pt idx="53">
                  <c:v>1.834181295051893</c:v>
                </c:pt>
                <c:pt idx="54">
                  <c:v>1.8749857719504364</c:v>
                </c:pt>
                <c:pt idx="55">
                  <c:v>1.9160986013876502</c:v>
                </c:pt>
                <c:pt idx="56">
                  <c:v>1.9575249041280425</c:v>
                </c:pt>
                <c:pt idx="57">
                  <c:v>1.9992698926831218</c:v>
                </c:pt>
                <c:pt idx="58">
                  <c:v>2.0413388736820544</c:v>
                </c:pt>
                <c:pt idx="59">
                  <c:v>2.083737250309905</c:v>
                </c:pt>
                <c:pt idx="60">
                  <c:v>2.1264705248158782</c:v>
                </c:pt>
                <c:pt idx="61">
                  <c:v>2.1695443010940174</c:v>
                </c:pt>
                <c:pt idx="62">
                  <c:v>2.212964287338969</c:v>
                </c:pt>
                <c:pt idx="63">
                  <c:v>2.2567362987794715</c:v>
                </c:pt>
                <c:pt idx="64">
                  <c:v>2.3008662604923806</c:v>
                </c:pt>
                <c:pt idx="65">
                  <c:v>2.3453602103001234</c:v>
                </c:pt>
                <c:pt idx="66">
                  <c:v>2.3902243017545977</c:v>
                </c:pt>
                <c:pt idx="67">
                  <c:v>2.435464807210677</c:v>
                </c:pt>
                <c:pt idx="68">
                  <c:v>2.4810881209925673</c:v>
                </c:pt>
                <c:pt idx="69">
                  <c:v>2.5271007626564455</c:v>
                </c:pt>
                <c:pt idx="70">
                  <c:v>2.5735093803529105</c:v>
                </c:pt>
                <c:pt idx="71">
                  <c:v>2.6203207542929374</c:v>
                </c:pt>
                <c:pt idx="72">
                  <c:v>2.6675418003212061</c:v>
                </c:pt>
                <c:pt idx="73">
                  <c:v>2.7151795736007753</c:v>
                </c:pt>
                <c:pt idx="74">
                  <c:v>2.7632412724133224</c:v>
                </c:pt>
                <c:pt idx="75">
                  <c:v>2.8117342420792646</c:v>
                </c:pt>
                <c:pt idx="76">
                  <c:v>2.8606659790023454</c:v>
                </c:pt>
                <c:pt idx="77">
                  <c:v>2.9100441348433774</c:v>
                </c:pt>
                <c:pt idx="78">
                  <c:v>2.9598765208281299</c:v>
                </c:pt>
                <c:pt idx="79">
                  <c:v>3.0101711121944796</c:v>
                </c:pt>
                <c:pt idx="80">
                  <c:v>3.0609360527842298</c:v>
                </c:pt>
                <c:pt idx="81">
                  <c:v>3.1121796597852129</c:v>
                </c:pt>
                <c:pt idx="82">
                  <c:v>3.1639104286295345</c:v>
                </c:pt>
                <c:pt idx="83">
                  <c:v>3.2161370380540943</c:v>
                </c:pt>
                <c:pt idx="84">
                  <c:v>3.2688683553297864</c:v>
                </c:pt>
                <c:pt idx="85">
                  <c:v>3.3221134416660751</c:v>
                </c:pt>
                <c:pt idx="86">
                  <c:v>3.3758815577979213</c:v>
                </c:pt>
                <c:pt idx="87">
                  <c:v>3.4301821697623835</c:v>
                </c:pt>
                <c:pt idx="88">
                  <c:v>3.4850249548725554</c:v>
                </c:pt>
                <c:pt idx="89">
                  <c:v>3.540419807896793</c:v>
                </c:pt>
                <c:pt idx="90">
                  <c:v>3.5963768474516651</c:v>
                </c:pt>
                <c:pt idx="91">
                  <c:v>3.6529064226173174</c:v>
                </c:pt>
                <c:pt idx="92">
                  <c:v>3.7100191197844774</c:v>
                </c:pt>
                <c:pt idx="93">
                  <c:v>3.76772576974267</c:v>
                </c:pt>
                <c:pt idx="94">
                  <c:v>3.8260374550197116</c:v>
                </c:pt>
                <c:pt idx="95">
                  <c:v>3.884965517483026</c:v>
                </c:pt>
                <c:pt idx="96">
                  <c:v>3.9445215662138189</c:v>
                </c:pt>
                <c:pt idx="97">
                  <c:v>4.0047174856656973</c:v>
                </c:pt>
                <c:pt idx="98">
                  <c:v>4.0655654441198621</c:v>
                </c:pt>
                <c:pt idx="99">
                  <c:v>4.1270779024496438</c:v>
                </c:pt>
                <c:pt idx="100">
                  <c:v>4.1892676232076838</c:v>
                </c:pt>
              </c:numCache>
            </c:numRef>
          </c:yVal>
          <c:smooth val="0"/>
          <c:extLst>
            <c:ext xmlns:c16="http://schemas.microsoft.com/office/drawing/2014/chart" uri="{C3380CC4-5D6E-409C-BE32-E72D297353CC}">
              <c16:uniqueId val="{00000000-D4F2-47EC-8EFC-A65639BE5AF5}"/>
            </c:ext>
          </c:extLst>
        </c:ser>
        <c:ser>
          <c:idx val="3"/>
          <c:order val="1"/>
          <c:tx>
            <c:strRef>
              <c:f>'Efficiency vs Load Calculations'!$BS$8</c:f>
              <c:strCache>
                <c:ptCount val="1"/>
                <c:pt idx="0">
                  <c:v>Buck ''SYNC'' MOSFET Loss</c:v>
                </c:pt>
              </c:strCache>
            </c:strRef>
          </c:tx>
          <c:spPr>
            <a:ln w="25400">
              <a:solidFill>
                <a:srgbClr val="FF0000"/>
              </a:solidFill>
              <a:prstDash val="solid"/>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Calculations'!$BS$9:$BS$109</c:f>
              <c:numCache>
                <c:formatCode>0.000</c:formatCode>
                <c:ptCount val="101"/>
                <c:pt idx="0">
                  <c:v>4.3947230618573384E-2</c:v>
                </c:pt>
                <c:pt idx="1">
                  <c:v>5.0543770858579244E-2</c:v>
                </c:pt>
                <c:pt idx="2">
                  <c:v>5.4556697502999185E-2</c:v>
                </c:pt>
                <c:pt idx="3">
                  <c:v>5.8692576134737842E-2</c:v>
                </c:pt>
                <c:pt idx="4">
                  <c:v>6.29517128059702E-2</c:v>
                </c:pt>
                <c:pt idx="5">
                  <c:v>6.7334435182355573E-2</c:v>
                </c:pt>
                <c:pt idx="6">
                  <c:v>7.1841092649326865E-2</c:v>
                </c:pt>
                <c:pt idx="7">
                  <c:v>7.6472056427928758E-2</c:v>
                </c:pt>
                <c:pt idx="8">
                  <c:v>8.1227719700284029E-2</c:v>
                </c:pt>
                <c:pt idx="9">
                  <c:v>8.6108497744776136E-2</c:v>
                </c:pt>
                <c:pt idx="10">
                  <c:v>9.1114828081042862E-2</c:v>
                </c:pt>
                <c:pt idx="11">
                  <c:v>9.6247170624885206E-2</c:v>
                </c:pt>
                <c:pt idx="12">
                  <c:v>0.10150600785320302</c:v>
                </c:pt>
                <c:pt idx="13">
                  <c:v>0.10689184497907815</c:v>
                </c:pt>
                <c:pt idx="14">
                  <c:v>0.1124052101371335</c:v>
                </c:pt>
                <c:pt idx="15">
                  <c:v>0.11901589350361692</c:v>
                </c:pt>
                <c:pt idx="16">
                  <c:v>0.1276832618637741</c:v>
                </c:pt>
                <c:pt idx="17">
                  <c:v>0.13648270187561654</c:v>
                </c:pt>
                <c:pt idx="18">
                  <c:v>0.14541509353253104</c:v>
                </c:pt>
                <c:pt idx="19">
                  <c:v>0.15448134188793988</c:v>
                </c:pt>
                <c:pt idx="20">
                  <c:v>0.16368237738397232</c:v>
                </c:pt>
                <c:pt idx="21">
                  <c:v>0.17301915619231273</c:v>
                </c:pt>
                <c:pt idx="22">
                  <c:v>0.18249266056748209</c:v>
                </c:pt>
                <c:pt idx="23">
                  <c:v>0.19210389921281895</c:v>
                </c:pt>
                <c:pt idx="24">
                  <c:v>0.20185390765943911</c:v>
                </c:pt>
                <c:pt idx="25">
                  <c:v>0.2117437486584639</c:v>
                </c:pt>
                <c:pt idx="26">
                  <c:v>0.22177451258682135</c:v>
                </c:pt>
                <c:pt idx="27">
                  <c:v>0.23194731786693504</c:v>
                </c:pt>
                <c:pt idx="28">
                  <c:v>0.24226331140063032</c:v>
                </c:pt>
                <c:pt idx="29">
                  <c:v>0.25272366901760079</c:v>
                </c:pt>
                <c:pt idx="30">
                  <c:v>0.26332959593879091</c:v>
                </c:pt>
                <c:pt idx="31">
                  <c:v>0.27408232725506776</c:v>
                </c:pt>
                <c:pt idx="32">
                  <c:v>0.28498312842156714</c:v>
                </c:pt>
                <c:pt idx="33">
                  <c:v>0.29603329576811688</c:v>
                </c:pt>
                <c:pt idx="34">
                  <c:v>0.30723415702615514</c:v>
                </c:pt>
                <c:pt idx="35">
                  <c:v>0.31858707187257906</c:v>
                </c:pt>
                <c:pt idx="36">
                  <c:v>0.33009343249097661</c:v>
                </c:pt>
                <c:pt idx="37">
                  <c:v>0.34175466415071043</c:v>
                </c:pt>
                <c:pt idx="38">
                  <c:v>0.35357222580434505</c:v>
                </c:pt>
                <c:pt idx="39">
                  <c:v>0.36554761070392289</c:v>
                </c:pt>
                <c:pt idx="40">
                  <c:v>0.3776823470366199</c:v>
                </c:pt>
                <c:pt idx="41">
                  <c:v>0.38997799858032867</c:v>
                </c:pt>
                <c:pt idx="42">
                  <c:v>0.4024361653797412</c:v>
                </c:pt>
                <c:pt idx="43">
                  <c:v>0.41505848444352167</c:v>
                </c:pt>
                <c:pt idx="44">
                  <c:v>0.42784663046318949</c:v>
                </c:pt>
                <c:pt idx="45">
                  <c:v>0.44080231655435126</c:v>
                </c:pt>
                <c:pt idx="46">
                  <c:v>0.45392729502094858</c:v>
                </c:pt>
                <c:pt idx="47">
                  <c:v>0.46722335814321281</c:v>
                </c:pt>
                <c:pt idx="48">
                  <c:v>0.48069233899004793</c:v>
                </c:pt>
                <c:pt idx="49">
                  <c:v>0.4943361122565893</c:v>
                </c:pt>
                <c:pt idx="50">
                  <c:v>0.50815659512771438</c:v>
                </c:pt>
                <c:pt idx="51">
                  <c:v>0.52215574816831611</c:v>
                </c:pt>
                <c:pt idx="52">
                  <c:v>0.53633557624117656</c:v>
                </c:pt>
                <c:pt idx="53">
                  <c:v>0.55069812945331775</c:v>
                </c:pt>
                <c:pt idx="54">
                  <c:v>0.56524550413173569</c:v>
                </c:pt>
                <c:pt idx="55">
                  <c:v>0.57997984382946288</c:v>
                </c:pt>
                <c:pt idx="56">
                  <c:v>0.59490334036294523</c:v>
                </c:pt>
                <c:pt idx="57">
                  <c:v>0.61001823488174867</c:v>
                </c:pt>
                <c:pt idx="58">
                  <c:v>0.62532681897166709</c:v>
                </c:pt>
                <c:pt idx="59">
                  <c:v>0.64083143579233193</c:v>
                </c:pt>
                <c:pt idx="60">
                  <c:v>0.65653448125047531</c:v>
                </c:pt>
                <c:pt idx="61">
                  <c:v>0.6724384052100485</c:v>
                </c:pt>
                <c:pt idx="62">
                  <c:v>0.68854571274043674</c:v>
                </c:pt>
                <c:pt idx="63">
                  <c:v>0.70485896540407278</c:v>
                </c:pt>
                <c:pt idx="64">
                  <c:v>0.72138078258479865</c:v>
                </c:pt>
                <c:pt idx="65">
                  <c:v>0.73811384285838089</c:v>
                </c:pt>
                <c:pt idx="66">
                  <c:v>0.75506088540664751</c:v>
                </c:pt>
                <c:pt idx="67">
                  <c:v>0.77222471147677174</c:v>
                </c:pt>
                <c:pt idx="68">
                  <c:v>0.78960818588728965</c:v>
                </c:pt>
                <c:pt idx="69">
                  <c:v>0.80721423858251251</c:v>
                </c:pt>
                <c:pt idx="70">
                  <c:v>0.82504586623705789</c:v>
                </c:pt>
                <c:pt idx="71">
                  <c:v>0.84310613391229527</c:v>
                </c:pt>
                <c:pt idx="72">
                  <c:v>0.86139817676659314</c:v>
                </c:pt>
                <c:pt idx="73">
                  <c:v>0.87992520182130607</c:v>
                </c:pt>
                <c:pt idx="74">
                  <c:v>0.89869048978456001</c:v>
                </c:pt>
                <c:pt idx="75">
                  <c:v>0.91769739693494812</c:v>
                </c:pt>
                <c:pt idx="76">
                  <c:v>0.93694935706736526</c:v>
                </c:pt>
                <c:pt idx="77">
                  <c:v>0.95644988350329674</c:v>
                </c:pt>
                <c:pt idx="78">
                  <c:v>0.97620257116797404</c:v>
                </c:pt>
                <c:pt idx="79">
                  <c:v>0.99621109873692659</c:v>
                </c:pt>
                <c:pt idx="80">
                  <c:v>1.0164792308545605</c:v>
                </c:pt>
                <c:pt idx="81">
                  <c:v>1.0370108204275206</c:v>
                </c:pt>
                <c:pt idx="82">
                  <c:v>1.0578098109957046</c:v>
                </c:pt>
                <c:pt idx="83">
                  <c:v>1.0788802391839394</c:v>
                </c:pt>
                <c:pt idx="84">
                  <c:v>1.1002262372374529</c:v>
                </c:pt>
                <c:pt idx="85">
                  <c:v>1.1218520356444279</c:v>
                </c:pt>
                <c:pt idx="86">
                  <c:v>1.143761965849065</c:v>
                </c:pt>
                <c:pt idx="87">
                  <c:v>1.1659604630587406</c:v>
                </c:pt>
                <c:pt idx="88">
                  <c:v>1.1884520691490219</c:v>
                </c:pt>
                <c:pt idx="89">
                  <c:v>1.2112414356704539</c:v>
                </c:pt>
                <c:pt idx="90">
                  <c:v>1.2343333269612404</c:v>
                </c:pt>
                <c:pt idx="91">
                  <c:v>1.2577326233701065</c:v>
                </c:pt>
                <c:pt idx="92">
                  <c:v>1.2814443245938656</c:v>
                </c:pt>
                <c:pt idx="93">
                  <c:v>1.3054735531343928</c:v>
                </c:pt>
                <c:pt idx="94">
                  <c:v>1.3298255578799558</c:v>
                </c:pt>
                <c:pt idx="95">
                  <c:v>1.3545057178160829</c:v>
                </c:pt>
                <c:pt idx="96">
                  <c:v>1.3795195458713922</c:v>
                </c:pt>
                <c:pt idx="97">
                  <c:v>1.4048726929040871</c:v>
                </c:pt>
                <c:pt idx="98">
                  <c:v>1.4305709518350684</c:v>
                </c:pt>
                <c:pt idx="99">
                  <c:v>1.4566202619339461</c:v>
                </c:pt>
                <c:pt idx="100">
                  <c:v>1.4830267132645085</c:v>
                </c:pt>
              </c:numCache>
            </c:numRef>
          </c:yVal>
          <c:smooth val="0"/>
          <c:extLst>
            <c:ext xmlns:c16="http://schemas.microsoft.com/office/drawing/2014/chart" uri="{C3380CC4-5D6E-409C-BE32-E72D297353CC}">
              <c16:uniqueId val="{00000001-D4F2-47EC-8EFC-A65639BE5AF5}"/>
            </c:ext>
          </c:extLst>
        </c:ser>
        <c:ser>
          <c:idx val="0"/>
          <c:order val="2"/>
          <c:tx>
            <c:v>Inductor Loss</c:v>
          </c:tx>
          <c:spPr>
            <a:ln w="31750">
              <a:solidFill>
                <a:srgbClr val="FF6600"/>
              </a:solidFill>
              <a:prstDash val="lgDash"/>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Calculations'!$Z$9:$Z$109</c:f>
              <c:numCache>
                <c:formatCode>0.000</c:formatCode>
                <c:ptCount val="101"/>
                <c:pt idx="0">
                  <c:v>0.58797803073057131</c:v>
                </c:pt>
                <c:pt idx="1">
                  <c:v>0.58818343461577127</c:v>
                </c:pt>
                <c:pt idx="2">
                  <c:v>0.58855605730201044</c:v>
                </c:pt>
                <c:pt idx="3">
                  <c:v>0.58909591899561842</c:v>
                </c:pt>
                <c:pt idx="4">
                  <c:v>0.58980305332115146</c:v>
                </c:pt>
                <c:pt idx="5">
                  <c:v>0.59067750732812641</c:v>
                </c:pt>
                <c:pt idx="6">
                  <c:v>0.59171934150047079</c:v>
                </c:pt>
                <c:pt idx="7">
                  <c:v>0.59292862976865324</c:v>
                </c:pt>
                <c:pt idx="8">
                  <c:v>0.59430545952453029</c:v>
                </c:pt>
                <c:pt idx="9">
                  <c:v>0.595849931638887</c:v>
                </c:pt>
                <c:pt idx="10">
                  <c:v>0.59756216048170685</c:v>
                </c:pt>
                <c:pt idx="11">
                  <c:v>0.59944227394515426</c:v>
                </c:pt>
                <c:pt idx="12">
                  <c:v>0.60149041346929066</c:v>
                </c:pt>
                <c:pt idx="13">
                  <c:v>0.60370673407053554</c:v>
                </c:pt>
                <c:pt idx="14">
                  <c:v>0.60609140437286846</c:v>
                </c:pt>
                <c:pt idx="15">
                  <c:v>0.60864460664181097</c:v>
                </c:pt>
                <c:pt idx="16">
                  <c:v>0.61136653682116215</c:v>
                </c:pt>
                <c:pt idx="17">
                  <c:v>0.61425740457254829</c:v>
                </c:pt>
                <c:pt idx="18">
                  <c:v>0.61731743331775746</c:v>
                </c:pt>
                <c:pt idx="19">
                  <c:v>0.62054686028390282</c:v>
                </c:pt>
                <c:pt idx="20">
                  <c:v>0.62394593655142661</c:v>
                </c:pt>
                <c:pt idx="21">
                  <c:v>0.62751492710495649</c:v>
                </c:pt>
                <c:pt idx="22">
                  <c:v>0.63125411088703409</c:v>
                </c:pt>
                <c:pt idx="23">
                  <c:v>0.63516378085474712</c:v>
                </c:pt>
                <c:pt idx="24">
                  <c:v>0.6392442440392726</c:v>
                </c:pt>
                <c:pt idx="25">
                  <c:v>0.64349582160835672</c:v>
                </c:pt>
                <c:pt idx="26">
                  <c:v>0.64791884893177076</c:v>
                </c:pt>
                <c:pt idx="27">
                  <c:v>0.65251367564974583</c:v>
                </c:pt>
                <c:pt idx="28">
                  <c:v>0.65728066574442157</c:v>
                </c:pt>
                <c:pt idx="29">
                  <c:v>0.66222019761434636</c:v>
                </c:pt>
                <c:pt idx="30">
                  <c:v>0.66733266415203496</c:v>
                </c:pt>
                <c:pt idx="31">
                  <c:v>0.67261847282464393</c:v>
                </c:pt>
                <c:pt idx="32">
                  <c:v>0.67807804575776165</c:v>
                </c:pt>
                <c:pt idx="33">
                  <c:v>0.68371181982237883</c:v>
                </c:pt>
                <c:pt idx="34">
                  <c:v>0.68952024672504098</c:v>
                </c:pt>
                <c:pt idx="35">
                  <c:v>0.69550379310124866</c:v>
                </c:pt>
                <c:pt idx="36">
                  <c:v>0.70166294061212142</c:v>
                </c:pt>
                <c:pt idx="37">
                  <c:v>0.70799818604436049</c:v>
                </c:pt>
                <c:pt idx="38">
                  <c:v>0.71451004141357721</c:v>
                </c:pt>
                <c:pt idx="39">
                  <c:v>0.72119903407098851</c:v>
                </c:pt>
                <c:pt idx="40">
                  <c:v>0.72806570681355354</c:v>
                </c:pt>
                <c:pt idx="41">
                  <c:v>0.7351106179975766</c:v>
                </c:pt>
                <c:pt idx="42">
                  <c:v>0.74233434165583789</c:v>
                </c:pt>
                <c:pt idx="43">
                  <c:v>0.74973746761826554</c:v>
                </c:pt>
                <c:pt idx="44">
                  <c:v>0.75732060163624593</c:v>
                </c:pt>
                <c:pt idx="45">
                  <c:v>0.76508436551057946</c:v>
                </c:pt>
                <c:pt idx="46">
                  <c:v>0.77302939722315034</c:v>
                </c:pt>
                <c:pt idx="47">
                  <c:v>0.78115635107236892</c:v>
                </c:pt>
                <c:pt idx="48">
                  <c:v>0.7894658978124226</c:v>
                </c:pt>
                <c:pt idx="49">
                  <c:v>0.7979587247964175</c:v>
                </c:pt>
                <c:pt idx="50">
                  <c:v>0.80663553612343974</c:v>
                </c:pt>
                <c:pt idx="51">
                  <c:v>0.81549705278962326</c:v>
                </c:pt>
                <c:pt idx="52">
                  <c:v>0.82454401284326095</c:v>
                </c:pt>
                <c:pt idx="53">
                  <c:v>0.83377717154404907</c:v>
                </c:pt>
                <c:pt idx="54">
                  <c:v>0.84319730152650907</c:v>
                </c:pt>
                <c:pt idx="55">
                  <c:v>0.852805192967654</c:v>
                </c:pt>
                <c:pt idx="56">
                  <c:v>0.862601653758995</c:v>
                </c:pt>
                <c:pt idx="57">
                  <c:v>0.87258750968292031</c:v>
                </c:pt>
                <c:pt idx="58">
                  <c:v>0.8827636045935594</c:v>
                </c:pt>
                <c:pt idx="59">
                  <c:v>0.89313080060217631</c:v>
                </c:pt>
                <c:pt idx="60">
                  <c:v>0.90368997826718966</c:v>
                </c:pt>
                <c:pt idx="61">
                  <c:v>0.91444203678889124</c:v>
                </c:pt>
                <c:pt idx="62">
                  <c:v>0.92538789420894907</c:v>
                </c:pt>
                <c:pt idx="63">
                  <c:v>0.93652848761477636</c:v>
                </c:pt>
                <c:pt idx="64">
                  <c:v>0.94786477334885899</c:v>
                </c:pt>
                <c:pt idx="65">
                  <c:v>0.95939772722312477</c:v>
                </c:pt>
                <c:pt idx="66">
                  <c:v>0.971128344738453</c:v>
                </c:pt>
                <c:pt idx="67">
                  <c:v>0.98305764130941364</c:v>
                </c:pt>
                <c:pt idx="68">
                  <c:v>0.99518665249434202</c:v>
                </c:pt>
                <c:pt idx="69">
                  <c:v>1.0075164342308351</c:v>
                </c:pt>
                <c:pt idx="70">
                  <c:v>1.0200480630767987</c:v>
                </c:pt>
                <c:pt idx="71">
                  <c:v>1.0327826364571071</c:v>
                </c:pt>
                <c:pt idx="72">
                  <c:v>1.0457212729160472</c:v>
                </c:pt>
                <c:pt idx="73">
                  <c:v>1.0588651123755906</c:v>
                </c:pt>
                <c:pt idx="74">
                  <c:v>1.0722153163996722</c:v>
                </c:pt>
                <c:pt idx="75">
                  <c:v>1.0857730684645426</c:v>
                </c:pt>
                <c:pt idx="76">
                  <c:v>1.0995395742353458</c:v>
                </c:pt>
                <c:pt idx="77">
                  <c:v>1.1135160618490469</c:v>
                </c:pt>
                <c:pt idx="78">
                  <c:v>1.1277037822038256</c:v>
                </c:pt>
                <c:pt idx="79">
                  <c:v>1.1421040092550681</c:v>
                </c:pt>
                <c:pt idx="80">
                  <c:v>1.1567180403181148</c:v>
                </c:pt>
                <c:pt idx="81">
                  <c:v>1.1715471963778761</c:v>
                </c:pt>
                <c:pt idx="82">
                  <c:v>1.1865928224054787</c:v>
                </c:pt>
                <c:pt idx="83">
                  <c:v>1.2018562876820895</c:v>
                </c:pt>
                <c:pt idx="84">
                  <c:v>1.2173389861300468</c:v>
                </c:pt>
                <c:pt idx="85">
                  <c:v>1.2330423366514949</c:v>
                </c:pt>
                <c:pt idx="86">
                  <c:v>1.2489677834746504</c:v>
                </c:pt>
                <c:pt idx="87">
                  <c:v>1.2651167965078729</c:v>
                </c:pt>
                <c:pt idx="88">
                  <c:v>1.2814908717017168</c:v>
                </c:pt>
                <c:pt idx="89">
                  <c:v>1.2980915314191397</c:v>
                </c:pt>
                <c:pt idx="90">
                  <c:v>1.3149203248140346</c:v>
                </c:pt>
                <c:pt idx="91">
                  <c:v>1.331978828218281</c:v>
                </c:pt>
                <c:pt idx="92">
                  <c:v>1.3492686455375122</c:v>
                </c:pt>
                <c:pt idx="93">
                  <c:v>1.3667914086557662</c:v>
                </c:pt>
                <c:pt idx="94">
                  <c:v>1.384548777849256</c:v>
                </c:pt>
                <c:pt idx="95">
                  <c:v>1.4025424422094392</c:v>
                </c:pt>
                <c:pt idx="96">
                  <c:v>1.4207741200756181</c:v>
                </c:pt>
                <c:pt idx="97">
                  <c:v>1.4392455594772695</c:v>
                </c:pt>
                <c:pt idx="98">
                  <c:v>1.4579585385863476</c:v>
                </c:pt>
                <c:pt idx="99">
                  <c:v>1.4769148661797844</c:v>
                </c:pt>
                <c:pt idx="100">
                  <c:v>1.4961163821124126</c:v>
                </c:pt>
              </c:numCache>
            </c:numRef>
          </c:yVal>
          <c:smooth val="0"/>
          <c:extLst>
            <c:ext xmlns:c16="http://schemas.microsoft.com/office/drawing/2014/chart" uri="{C3380CC4-5D6E-409C-BE32-E72D297353CC}">
              <c16:uniqueId val="{00000002-D4F2-47EC-8EFC-A65639BE5AF5}"/>
            </c:ext>
          </c:extLst>
        </c:ser>
        <c:dLbls>
          <c:showLegendKey val="0"/>
          <c:showVal val="0"/>
          <c:showCatName val="0"/>
          <c:showSerName val="0"/>
          <c:showPercent val="0"/>
          <c:showBubbleSize val="0"/>
        </c:dLbls>
        <c:axId val="199480832"/>
        <c:axId val="199482752"/>
      </c:scatterChart>
      <c:valAx>
        <c:axId val="199480832"/>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9482752"/>
        <c:crosses val="autoZero"/>
        <c:crossBetween val="midCat"/>
      </c:valAx>
      <c:valAx>
        <c:axId val="199482752"/>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9480832"/>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vs Load Calculations'!$K$9:$K$109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'Efficiency vs Load Calculations'!$BK$9:$BK$109</c:f>
              <c:numCache>
                <c:formatCode>0.0%</c:formatCode>
                <c:ptCount val="101"/>
                <c:pt idx="0">
                  <c:v>0</c:v>
                </c:pt>
                <c:pt idx="1">
                  <c:v>0.39448163134226522</c:v>
                </c:pt>
                <c:pt idx="2">
                  <c:v>0.56259382098437383</c:v>
                </c:pt>
                <c:pt idx="3">
                  <c:v>0.65568350682646859</c:v>
                </c:pt>
                <c:pt idx="4">
                  <c:v>0.71476812236597453</c:v>
                </c:pt>
                <c:pt idx="5">
                  <c:v>0.7555733580381937</c:v>
                </c:pt>
                <c:pt idx="6">
                  <c:v>0.78542339931254257</c:v>
                </c:pt>
                <c:pt idx="7">
                  <c:v>0.80819050654560509</c:v>
                </c:pt>
                <c:pt idx="8">
                  <c:v>0.82611429013221371</c:v>
                </c:pt>
                <c:pt idx="9">
                  <c:v>0.84058011998037563</c:v>
                </c:pt>
                <c:pt idx="10">
                  <c:v>0.8524909518307322</c:v>
                </c:pt>
                <c:pt idx="11">
                  <c:v>0.86246049240461486</c:v>
                </c:pt>
                <c:pt idx="12">
                  <c:v>0.87092043118907836</c:v>
                </c:pt>
                <c:pt idx="13">
                  <c:v>0.87818326090264631</c:v>
                </c:pt>
                <c:pt idx="14">
                  <c:v>0.88448076008719123</c:v>
                </c:pt>
                <c:pt idx="15">
                  <c:v>0.88993004916253238</c:v>
                </c:pt>
                <c:pt idx="16">
                  <c:v>0.89462093801013476</c:v>
                </c:pt>
                <c:pt idx="17">
                  <c:v>0.89877957529597852</c:v>
                </c:pt>
                <c:pt idx="18">
                  <c:v>0.9024880039080343</c:v>
                </c:pt>
                <c:pt idx="19">
                  <c:v>0.90581220452770683</c:v>
                </c:pt>
                <c:pt idx="20">
                  <c:v>0.90880584231613049</c:v>
                </c:pt>
                <c:pt idx="21">
                  <c:v>0.91151301158914133</c:v>
                </c:pt>
                <c:pt idx="22">
                  <c:v>0.91397027777996165</c:v>
                </c:pt>
                <c:pt idx="23">
                  <c:v>0.91620821799843655</c:v>
                </c:pt>
                <c:pt idx="24">
                  <c:v>0.91825259817860161</c:v>
                </c:pt>
                <c:pt idx="25">
                  <c:v>0.92012528304606289</c:v>
                </c:pt>
                <c:pt idx="26">
                  <c:v>0.92184494707575115</c:v>
                </c:pt>
                <c:pt idx="27">
                  <c:v>0.92342763543128537</c:v>
                </c:pt>
                <c:pt idx="28">
                  <c:v>0.92488721056209322</c:v>
                </c:pt>
                <c:pt idx="29">
                  <c:v>0.92623571075677569</c:v>
                </c:pt>
                <c:pt idx="30">
                  <c:v>0.92748364025841834</c:v>
                </c:pt>
                <c:pt idx="31">
                  <c:v>0.92864020571185768</c:v>
                </c:pt>
                <c:pt idx="32">
                  <c:v>0.92971351017889658</c:v>
                </c:pt>
                <c:pt idx="33">
                  <c:v>0.93071071334709077</c:v>
                </c:pt>
                <c:pt idx="34">
                  <c:v>0.93163816461036331</c:v>
                </c:pt>
                <c:pt idx="35">
                  <c:v>0.93250151423336725</c:v>
                </c:pt>
                <c:pt idx="36">
                  <c:v>0.93330580669770502</c:v>
                </c:pt>
                <c:pt idx="37">
                  <c:v>0.93405555947512109</c:v>
                </c:pt>
                <c:pt idx="38">
                  <c:v>0.93475482981446023</c:v>
                </c:pt>
                <c:pt idx="39">
                  <c:v>0.93540727161739068</c:v>
                </c:pt>
                <c:pt idx="40">
                  <c:v>0.93601618407726284</c:v>
                </c:pt>
                <c:pt idx="41">
                  <c:v>0.93658455343981617</c:v>
                </c:pt>
                <c:pt idx="42">
                  <c:v>0.93711508899419216</c:v>
                </c:pt>
                <c:pt idx="43">
                  <c:v>0.93761025420314836</c:v>
                </c:pt>
                <c:pt idx="44">
                  <c:v>0.93807229372132894</c:v>
                </c:pt>
                <c:pt idx="45">
                  <c:v>0.93850325692143588</c:v>
                </c:pt>
                <c:pt idx="46">
                  <c:v>0.93890501844360075</c:v>
                </c:pt>
                <c:pt idx="47">
                  <c:v>0.93927929619814943</c:v>
                </c:pt>
                <c:pt idx="48">
                  <c:v>0.93962766718232771</c:v>
                </c:pt>
                <c:pt idx="49">
                  <c:v>0.93995158141436752</c:v>
                </c:pt>
                <c:pt idx="50">
                  <c:v>0.9402523742410811</c:v>
                </c:pt>
                <c:pt idx="51">
                  <c:v>0.94053127723608543</c:v>
                </c:pt>
                <c:pt idx="52">
                  <c:v>0.94078942787325393</c:v>
                </c:pt>
                <c:pt idx="53">
                  <c:v>0.94102787813286204</c:v>
                </c:pt>
                <c:pt idx="54">
                  <c:v>0.94124760217516901</c:v>
                </c:pt>
                <c:pt idx="55">
                  <c:v>0.9414495031970741</c:v>
                </c:pt>
                <c:pt idx="56">
                  <c:v>0.9416344195713785</c:v>
                </c:pt>
                <c:pt idx="57">
                  <c:v>0.94180313035455687</c:v>
                </c:pt>
                <c:pt idx="58">
                  <c:v>0.94195636023737972</c:v>
                </c:pt>
                <c:pt idx="59">
                  <c:v>0.94209478400288149</c:v>
                </c:pt>
                <c:pt idx="60">
                  <c:v>0.94221903054777356</c:v>
                </c:pt>
                <c:pt idx="61">
                  <c:v>0.94232968651621185</c:v>
                </c:pt>
                <c:pt idx="62">
                  <c:v>0.9424272995886539</c:v>
                </c:pt>
                <c:pt idx="63">
                  <c:v>0.94251238146324057</c:v>
                </c:pt>
                <c:pt idx="64">
                  <c:v>0.94258541056255429</c:v>
                </c:pt>
                <c:pt idx="65">
                  <c:v>0.94264683449464726</c:v>
                </c:pt>
                <c:pt idx="66">
                  <c:v>0.94269707229381006</c:v>
                </c:pt>
                <c:pt idx="67">
                  <c:v>0.94273651646356416</c:v>
                </c:pt>
                <c:pt idx="68">
                  <c:v>0.94276553484177494</c:v>
                </c:pt>
                <c:pt idx="69">
                  <c:v>0.94278447230552032</c:v>
                </c:pt>
                <c:pt idx="70">
                  <c:v>0.94279365233136725</c:v>
                </c:pt>
                <c:pt idx="71">
                  <c:v>0.94279337842498845</c:v>
                </c:pt>
                <c:pt idx="72">
                  <c:v>0.94278393543252037</c:v>
                </c:pt>
                <c:pt idx="73">
                  <c:v>0.94276559074473765</c:v>
                </c:pt>
                <c:pt idx="74">
                  <c:v>0.94273859540393801</c:v>
                </c:pt>
                <c:pt idx="75">
                  <c:v>0.94270318512239637</c:v>
                </c:pt>
                <c:pt idx="76">
                  <c:v>0.94265958122032623</c:v>
                </c:pt>
                <c:pt idx="77">
                  <c:v>0.94260799149047902</c:v>
                </c:pt>
                <c:pt idx="78">
                  <c:v>0.94254861099578902</c:v>
                </c:pt>
                <c:pt idx="79">
                  <c:v>0.94248162280583125</c:v>
                </c:pt>
                <c:pt idx="80">
                  <c:v>0.94240719867729261</c:v>
                </c:pt>
                <c:pt idx="81">
                  <c:v>0.94232549968314738</c:v>
                </c:pt>
                <c:pt idx="82">
                  <c:v>0.94223667679477918</c:v>
                </c:pt>
                <c:pt idx="83">
                  <c:v>0.94214087142088154</c:v>
                </c:pt>
                <c:pt idx="84">
                  <c:v>0.94203821590661219</c:v>
                </c:pt>
                <c:pt idx="85">
                  <c:v>0.94192883399615035</c:v>
                </c:pt>
                <c:pt idx="86">
                  <c:v>0.94181284126151332</c:v>
                </c:pt>
                <c:pt idx="87">
                  <c:v>0.9416903455002309</c:v>
                </c:pt>
                <c:pt idx="88">
                  <c:v>0.94156144710423517</c:v>
                </c:pt>
                <c:pt idx="89">
                  <c:v>0.94142623940211789</c:v>
                </c:pt>
                <c:pt idx="90">
                  <c:v>0.94128480897670852</c:v>
                </c:pt>
                <c:pt idx="91">
                  <c:v>0.94113723595976073</c:v>
                </c:pt>
                <c:pt idx="92">
                  <c:v>0.94098359430537259</c:v>
                </c:pt>
                <c:pt idx="93">
                  <c:v>0.94082395204362601</c:v>
                </c:pt>
                <c:pt idx="94">
                  <c:v>0.94065837151580445</c:v>
                </c:pt>
                <c:pt idx="95">
                  <c:v>0.94048690959242731</c:v>
                </c:pt>
                <c:pt idx="96">
                  <c:v>0.94030961787523537</c:v>
                </c:pt>
                <c:pt idx="97">
                  <c:v>0.94012654288416608</c:v>
                </c:pt>
                <c:pt idx="98">
                  <c:v>0.93993772623026461</c:v>
                </c:pt>
                <c:pt idx="99">
                  <c:v>0.93974320477540296</c:v>
                </c:pt>
                <c:pt idx="100">
                  <c:v>0.93954301077959879</c:v>
                </c:pt>
              </c:numCache>
            </c:numRef>
          </c:yVal>
          <c:smooth val="0"/>
          <c:extLst>
            <c:ext xmlns:c16="http://schemas.microsoft.com/office/drawing/2014/chart" uri="{C3380CC4-5D6E-409C-BE32-E72D297353CC}">
              <c16:uniqueId val="{00000000-48BA-4235-B5A7-01C0A78965E7}"/>
            </c:ext>
          </c:extLst>
        </c:ser>
        <c:dLbls>
          <c:showLegendKey val="0"/>
          <c:showVal val="0"/>
          <c:showCatName val="0"/>
          <c:showSerName val="0"/>
          <c:showPercent val="0"/>
          <c:showBubbleSize val="0"/>
        </c:dLbls>
        <c:axId val="199520256"/>
        <c:axId val="199522176"/>
      </c:scatterChart>
      <c:valAx>
        <c:axId val="1995202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a:t>Input</a:t>
                </a:r>
                <a:r>
                  <a:rPr lang="en-US" sz="1100" baseline="0"/>
                  <a:t> Voltage (V)</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9522176"/>
        <c:crosses val="autoZero"/>
        <c:crossBetween val="midCat"/>
      </c:valAx>
      <c:valAx>
        <c:axId val="19952217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95202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5636970175475957"/>
          <c:y val="3.6290322580645726E-2"/>
          <c:w val="0.11788632112042907"/>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Range="$1:$1048576" noThreeD="1" sel="0" val="0"/>
</file>

<file path=xl/ctrlProps/ctrlProp4.xml><?xml version="1.0" encoding="utf-8"?>
<formControlPr xmlns="http://schemas.microsoft.com/office/spreadsheetml/2009/9/main" objectType="Spin" dx="16" fmlaLink="$E$76" max="100" min="1" page="10" val="13"/>
</file>

<file path=xl/ctrlProps/ctrlProp5.xml><?xml version="1.0" encoding="utf-8"?>
<formControlPr xmlns="http://schemas.microsoft.com/office/spreadsheetml/2009/9/main" objectType="Spin" dx="16" fmlaLink="$E$8" max="58" page="10" val="23"/>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Spin" dx="16" fmlaLink="$E$8" max="58" page="10" val="23"/>
</file>

<file path=xl/ctrlProps/ctrlProp8.xml><?xml version="1.0" encoding="utf-8"?>
<formControlPr xmlns="http://schemas.microsoft.com/office/spreadsheetml/2009/9/main" objectType="Spin" dx="16" fmlaLink="$E$8" max="58" page="10" val="23"/>
</file>

<file path=xl/ctrlProps/ctrlProp9.xml><?xml version="1.0" encoding="utf-8"?>
<formControlPr xmlns="http://schemas.microsoft.com/office/spreadsheetml/2009/9/main" objectType="Drop" dropLines="16" dropStyle="combo" dx="16" fmlaLink="'CFG Setting'!$C$56" fmlaRange="'CFG Setting'!$L$33:$L$48" noThreeD="1" sel="1" val="0"/>
</file>

<file path=xl/ctrlProps/ctrlProp10.xml><?xml version="1.0" encoding="utf-8"?>
<formControlPr xmlns="http://schemas.microsoft.com/office/spreadsheetml/2009/9/main" objectType="Drop" dropLines="0" dropStyle="combo" dx="16" fmlaLink="'CFG Setting'!$C$56" fmlaRange="'CFG Setting'!$M$33:$M$48" noThreeD="1" sel="1" val="6"/>
</file>

<file path=xl/ctrlProps/ctrlProp11.xml><?xml version="1.0" encoding="utf-8"?>
<formControlPr xmlns="http://schemas.microsoft.com/office/spreadsheetml/2009/9/main" objectType="Drop" dropLines="2" dropStyle="combo" dx="16" fmlaLink="'CFG Setting'!$C$85" fmlaRange="'CFG Setting'!$C$80:$C$81" noThreeD="1" sel="1" val="0"/>
</file>

<file path=xl/ctrlProps/ctrlProp12.xml><?xml version="1.0" encoding="utf-8"?>
<formControlPr xmlns="http://schemas.microsoft.com/office/spreadsheetml/2009/9/main" objectType="Drop" dropLines="2" dropStyle="combo" dx="16" fmlaLink="'CFG Setting'!$D$85" fmlaRange="'CFG Setting'!$D$80:$D$81" noThreeD="1" sel="1" val="0"/>
</file>

<file path=xl/ctrlProps/ctrlProp13.xml><?xml version="1.0" encoding="utf-8"?>
<formControlPr xmlns="http://schemas.microsoft.com/office/spreadsheetml/2009/9/main" objectType="Drop" dropLines="2" dropStyle="combo" dx="16" fmlaLink="'CFG Setting'!$E$85" fmlaRange="'CFG Setting'!$E$80:$E$81" noThreeD="1" sel="1" val="0"/>
</file>

<file path=xl/ctrlProps/ctrlProp14.xml><?xml version="1.0" encoding="utf-8"?>
<formControlPr xmlns="http://schemas.microsoft.com/office/spreadsheetml/2009/9/main" objectType="Drop" dropLines="2" dropStyle="combo" dx="16" fmlaLink="'CFG Setting'!$F$85" fmlaRange="'CFG Setting'!$F$80:$F$81" noThreeD="1" sel="2" val="0"/>
</file>

<file path=xl/ctrlProps/ctrlProp15.xml><?xml version="1.0" encoding="utf-8"?>
<formControlPr xmlns="http://schemas.microsoft.com/office/spreadsheetml/2009/9/main" objectType="Drop" dropLines="2" dropStyle="combo" dx="16" fmlaLink="'CFG Setting'!$C$115" fmlaRange="'CFG Setting'!$C$110:$C$111" noThreeD="1" sel="2" val="0"/>
</file>

<file path=xl/ctrlProps/ctrlProp16.xml><?xml version="1.0" encoding="utf-8"?>
<formControlPr xmlns="http://schemas.microsoft.com/office/spreadsheetml/2009/9/main" objectType="Drop" dropLines="2" dropStyle="combo" dx="16" fmlaLink="'CFG Setting'!$D$115" fmlaRange="'CFG Setting'!$D$110:$D$111" noThreeD="1" sel="2" val="0"/>
</file>

<file path=xl/ctrlProps/ctrlProp17.xml><?xml version="1.0" encoding="utf-8"?>
<formControlPr xmlns="http://schemas.microsoft.com/office/spreadsheetml/2009/9/main" objectType="Drop" dropLines="2" dropStyle="combo" dx="16" fmlaLink="'CFG Setting'!$E$115" fmlaRange="'CFG Setting'!$E$110:$E$111" noThreeD="1" sel="1" val="0"/>
</file>

<file path=xl/ctrlProps/ctrlProp18.xml><?xml version="1.0" encoding="utf-8"?>
<formControlPr xmlns="http://schemas.microsoft.com/office/spreadsheetml/2009/9/main" objectType="Drop" dropLines="2" dropStyle="combo" dx="16" fmlaLink="'CFG Setting'!$F$115" fmlaRange="'CFG Setting'!$F$110:$F$111" noThreeD="1" sel="1" val="0"/>
</file>

<file path=xl/ctrlProps/ctrlProp19.xml><?xml version="1.0" encoding="utf-8"?>
<formControlPr xmlns="http://schemas.microsoft.com/office/spreadsheetml/2009/9/main" objectType="Drop" dropLines="2" dropStyle="combo" dx="16" fmlaLink="'CFG Setting'!$C$145" fmlaRange="'CFG Setting'!$C$140:$C$141" noThreeD="1" sel="1" val="0"/>
</file>

<file path=xl/ctrlProps/ctrlProp20.xml><?xml version="1.0" encoding="utf-8"?>
<formControlPr xmlns="http://schemas.microsoft.com/office/spreadsheetml/2009/9/main" objectType="Drop" dropLines="2" dropStyle="combo" dx="16" fmlaLink="'CFG Setting'!$D$145" fmlaRange="'CFG Setting'!$D$140:$D$141" noThreeD="1" sel="1" val="0"/>
</file>

<file path=xl/ctrlProps/ctrlProp21.xml><?xml version="1.0" encoding="utf-8"?>
<formControlPr xmlns="http://schemas.microsoft.com/office/spreadsheetml/2009/9/main" objectType="Drop" dropLines="2" dropStyle="combo" dx="16" fmlaLink="'CFG Setting'!$E$145" fmlaRange="'CFG Setting'!$E$140:$E$141" noThreeD="1" sel="1" val="0"/>
</file>

<file path=xl/ctrlProps/ctrlProp22.xml><?xml version="1.0" encoding="utf-8"?>
<formControlPr xmlns="http://schemas.microsoft.com/office/spreadsheetml/2009/9/main" objectType="Drop" dropLines="3" dropStyle="combo" dx="16" fmlaLink="'CFG Setting'!$F$145" fmlaRange="'CFG Setting'!$F$140:$F$142" noThreeD="1" sel="3" val="0"/>
</file>

<file path=xl/ctrlProps/ctrlProp23.xml><?xml version="1.0" encoding="utf-8"?>
<formControlPr xmlns="http://schemas.microsoft.com/office/spreadsheetml/2009/9/main" objectType="Drop" dropLines="2" dropStyle="combo" dx="16" fmlaLink="'CFG Setting'!$B$159" fmlaRange="'CFG Setting'!$A$159:$A$160" noThreeD="1" sel="1" val="0"/>
</file>

<file path=xl/ctrlProps/ctrlProp24.xml><?xml version="1.0" encoding="utf-8"?>
<formControlPr xmlns="http://schemas.microsoft.com/office/spreadsheetml/2009/9/main" objectType="CheckBox" fmlaLink="'Variable Management'!$L$11" lockText="1" noThreeD="1"/>
</file>

<file path=xl/ctrlProps/ctrlProp25.xml><?xml version="1.0" encoding="utf-8"?>
<formControlPr xmlns="http://schemas.microsoft.com/office/spreadsheetml/2009/9/main" objectType="Drop" dropLines="23" dropStyle="combo" dx="16" fmlaLink="'CFG Setting'!$B$162" fmlaRange="'CFG Setting'!$A$162:$A$164" noThreeD="1" sel="1" val="0"/>
</file>

<file path=xl/ctrlProps/ctrlProp26.xml><?xml version="1.0" encoding="utf-8"?>
<formControlPr xmlns="http://schemas.microsoft.com/office/spreadsheetml/2009/9/main" objectType="Drop" dropLines="2" dropStyle="combo" dx="22" fmlaLink="'Variable Management'!$D$29" fmlaRange="'Variable Management'!$L$30:$L$31" noThreeD="1" sel="1" val="0"/>
</file>

<file path=xl/ctrlProps/ctrlProp27.xml><?xml version="1.0" encoding="utf-8"?>
<formControlPr xmlns="http://schemas.microsoft.com/office/spreadsheetml/2009/9/main" objectType="CheckBox" fmlaLink="'Variable Management'!$L$1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jpg"/><Relationship Id="rId1" Type="http://schemas.openxmlformats.org/officeDocument/2006/relationships/image" Target="../media/image1.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9.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drawing4.xml.rels><?xml version="1.0" encoding="UTF-8" standalone="yes"?>
<Relationships xmlns="http://schemas.openxmlformats.org/package/2006/relationships"><Relationship Id="rId8" Type="http://schemas.openxmlformats.org/officeDocument/2006/relationships/image" Target="../media/image19.jpg"/><Relationship Id="rId3" Type="http://schemas.openxmlformats.org/officeDocument/2006/relationships/image" Target="../media/image14.jpg"/><Relationship Id="rId7" Type="http://schemas.openxmlformats.org/officeDocument/2006/relationships/image" Target="../media/image18.jpg"/><Relationship Id="rId12" Type="http://schemas.openxmlformats.org/officeDocument/2006/relationships/image" Target="../media/image23.jpg"/><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jpg"/><Relationship Id="rId11" Type="http://schemas.openxmlformats.org/officeDocument/2006/relationships/image" Target="../media/image22.jpg"/><Relationship Id="rId5" Type="http://schemas.openxmlformats.org/officeDocument/2006/relationships/image" Target="../media/image16.jpg"/><Relationship Id="rId10" Type="http://schemas.openxmlformats.org/officeDocument/2006/relationships/image" Target="../media/image21.jpg"/><Relationship Id="rId4" Type="http://schemas.openxmlformats.org/officeDocument/2006/relationships/image" Target="../media/image15.jpg"/><Relationship Id="rId9" Type="http://schemas.openxmlformats.org/officeDocument/2006/relationships/image" Target="../media/image20.jp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image" Target="../media/image34.png"/><Relationship Id="rId7" Type="http://schemas.openxmlformats.org/officeDocument/2006/relationships/image" Target="../media/image38.png"/><Relationship Id="rId2" Type="http://schemas.openxmlformats.org/officeDocument/2006/relationships/image" Target="../media/image33.png"/><Relationship Id="rId1" Type="http://schemas.openxmlformats.org/officeDocument/2006/relationships/image" Target="../media/image32.png"/><Relationship Id="rId6" Type="http://schemas.openxmlformats.org/officeDocument/2006/relationships/image" Target="../media/image37.png"/><Relationship Id="rId11" Type="http://schemas.openxmlformats.org/officeDocument/2006/relationships/chart" Target="../charts/chart20.xml"/><Relationship Id="rId5" Type="http://schemas.openxmlformats.org/officeDocument/2006/relationships/image" Target="../media/image36.png"/><Relationship Id="rId10" Type="http://schemas.openxmlformats.org/officeDocument/2006/relationships/image" Target="../media/image41.png"/><Relationship Id="rId4" Type="http://schemas.openxmlformats.org/officeDocument/2006/relationships/image" Target="../media/image35.png"/><Relationship Id="rId9" Type="http://schemas.openxmlformats.org/officeDocument/2006/relationships/image" Target="../media/image40.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4.vml.rels><?xml version="1.0" encoding="UTF-8" standalone="yes"?>
<Relationships xmlns="http://schemas.openxmlformats.org/package/2006/relationships"><Relationship Id="rId8" Type="http://schemas.openxmlformats.org/officeDocument/2006/relationships/image" Target="../media/image49.emf"/><Relationship Id="rId3" Type="http://schemas.openxmlformats.org/officeDocument/2006/relationships/image" Target="../media/image44.emf"/><Relationship Id="rId7" Type="http://schemas.openxmlformats.org/officeDocument/2006/relationships/image" Target="../media/image48.emf"/><Relationship Id="rId2" Type="http://schemas.openxmlformats.org/officeDocument/2006/relationships/image" Target="../media/image43.emf"/><Relationship Id="rId1" Type="http://schemas.openxmlformats.org/officeDocument/2006/relationships/image" Target="../media/image42.emf"/><Relationship Id="rId6" Type="http://schemas.openxmlformats.org/officeDocument/2006/relationships/image" Target="../media/image47.emf"/><Relationship Id="rId5" Type="http://schemas.openxmlformats.org/officeDocument/2006/relationships/image" Target="../media/image46.emf"/><Relationship Id="rId4"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742950</xdr:colOff>
          <xdr:row>89</xdr:row>
          <xdr:rowOff>95250</xdr:rowOff>
        </xdr:from>
        <xdr:to>
          <xdr:col>3</xdr:col>
          <xdr:colOff>447675</xdr:colOff>
          <xdr:row>91</xdr:row>
          <xdr:rowOff>171450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742950</xdr:colOff>
          <xdr:row>89</xdr:row>
          <xdr:rowOff>95250</xdr:rowOff>
        </xdr:from>
        <xdr:to>
          <xdr:col>3</xdr:col>
          <xdr:colOff>447675</xdr:colOff>
          <xdr:row>91</xdr:row>
          <xdr:rowOff>171450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59</xdr:row>
          <xdr:rowOff>95250</xdr:rowOff>
        </xdr:from>
        <xdr:to>
          <xdr:col>16</xdr:col>
          <xdr:colOff>1291318</xdr:colOff>
          <xdr:row>87</xdr:row>
          <xdr:rowOff>34882</xdr:rowOff>
        </xdr:to>
        <xdr:pic>
          <xdr:nvPicPr>
            <xdr:cNvPr id="42" name="Picture 41">
              <a:extLst>
                <a:ext uri="{FF2B5EF4-FFF2-40B4-BE49-F238E27FC236}">
                  <a16:creationId xmlns:a16="http://schemas.microsoft.com/office/drawing/2014/main" id="{00000000-0008-0000-0000-00002A000000}"/>
                </a:ext>
              </a:extLst>
            </xdr:cNvPr>
            <xdr:cNvPicPr>
              <a:picLocks noChangeAspect="1" noChangeArrowheads="1"/>
              <a:extLst>
                <a:ext uri="{84589F7E-364E-4C9E-8A38-B11213B215E9}">
                  <a14:cameraTool cellRange="Picture_Bode" spid="_x0000_s772612"/>
                </a:ext>
              </a:extLst>
            </xdr:cNvPicPr>
          </xdr:nvPicPr>
          <xdr:blipFill>
            <a:blip xmlns:r="http://schemas.openxmlformats.org/officeDocument/2006/relationships" r:embed="rId1"/>
            <a:srcRect/>
            <a:stretch>
              <a:fillRect/>
            </a:stretch>
          </xdr:blipFill>
          <xdr:spPr bwMode="auto">
            <a:xfrm>
              <a:off x="3743325" y="11201400"/>
              <a:ext cx="8863693" cy="520695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11</xdr:row>
          <xdr:rowOff>190500</xdr:rowOff>
        </xdr:from>
        <xdr:to>
          <xdr:col>8</xdr:col>
          <xdr:colOff>533400</xdr:colOff>
          <xdr:row>14</xdr:row>
          <xdr:rowOff>9525</xdr:rowOff>
        </xdr:to>
        <xdr:sp macro="" textlink="">
          <xdr:nvSpPr>
            <xdr:cNvPr id="673664" name="Drop Down 896" descr="used to fix comment show issue on excel" hidden="1">
              <a:extLst>
                <a:ext uri="{63B3BB69-23CF-44E3-9099-C40C66FF867C}">
                  <a14:compatExt spid="_x0000_s673664"/>
                </a:ext>
                <a:ext uri="{FF2B5EF4-FFF2-40B4-BE49-F238E27FC236}">
                  <a16:creationId xmlns:a16="http://schemas.microsoft.com/office/drawing/2014/main" id="{00000000-0008-0000-0000-0000804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75</xdr:row>
          <xdr:rowOff>0</xdr:rowOff>
        </xdr:from>
        <xdr:to>
          <xdr:col>5</xdr:col>
          <xdr:colOff>180975</xdr:colOff>
          <xdr:row>76</xdr:row>
          <xdr:rowOff>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152400</xdr:colOff>
          <xdr:row>7</xdr:row>
          <xdr:rowOff>9525</xdr:rowOff>
        </xdr:from>
        <xdr:to>
          <xdr:col>5</xdr:col>
          <xdr:colOff>304800</xdr:colOff>
          <xdr:row>8</xdr:row>
          <xdr:rowOff>28575</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58613</xdr:colOff>
      <xdr:row>0</xdr:row>
      <xdr:rowOff>29308</xdr:rowOff>
    </xdr:from>
    <xdr:to>
      <xdr:col>3</xdr:col>
      <xdr:colOff>339529</xdr:colOff>
      <xdr:row>0</xdr:row>
      <xdr:rowOff>567964</xdr:rowOff>
    </xdr:to>
    <xdr:pic macro="[0]!OpenLM27403ProductFolder">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896" b="8304"/>
        <a:stretch/>
      </xdr:blipFill>
      <xdr:spPr>
        <a:xfrm>
          <a:off x="58613" y="29308"/>
          <a:ext cx="2283071" cy="538656"/>
        </a:xfrm>
        <a:prstGeom prst="rect">
          <a:avLst/>
        </a:prstGeom>
      </xdr:spPr>
    </xdr:pic>
    <xdr:clientData/>
  </xdr:twoCellAnchor>
  <xdr:twoCellAnchor>
    <xdr:from>
      <xdr:col>12</xdr:col>
      <xdr:colOff>580465</xdr:colOff>
      <xdr:row>100</xdr:row>
      <xdr:rowOff>24932</xdr:rowOff>
    </xdr:from>
    <xdr:to>
      <xdr:col>13</xdr:col>
      <xdr:colOff>392808</xdr:colOff>
      <xdr:row>101</xdr:row>
      <xdr:rowOff>72557</xdr:rowOff>
    </xdr:to>
    <xdr:sp macro="" textlink="'Variable Management'!$B$509">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8562415"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8</xdr:col>
      <xdr:colOff>151840</xdr:colOff>
      <xdr:row>100</xdr:row>
      <xdr:rowOff>24932</xdr:rowOff>
    </xdr:from>
    <xdr:to>
      <xdr:col>8</xdr:col>
      <xdr:colOff>573783</xdr:colOff>
      <xdr:row>101</xdr:row>
      <xdr:rowOff>72557</xdr:rowOff>
    </xdr:to>
    <xdr:sp macro="" textlink="'Variable Management'!$B$507">
      <xdr:nvSpPr>
        <xdr:cNvPr id="89" name="Text Box 24">
          <a:extLst>
            <a:ext uri="{FF2B5EF4-FFF2-40B4-BE49-F238E27FC236}">
              <a16:creationId xmlns:a16="http://schemas.microsoft.com/office/drawing/2014/main" id="{00000000-0008-0000-0000-000059000000}"/>
            </a:ext>
          </a:extLst>
        </xdr:cNvPr>
        <xdr:cNvSpPr txBox="1">
          <a:spLocks noChangeArrowheads="1" noTextEdit="1"/>
        </xdr:cNvSpPr>
      </xdr:nvSpPr>
      <xdr:spPr bwMode="auto">
        <a:xfrm>
          <a:off x="5257240" y="16922282"/>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432ED2DE-3BD0-4309-A8FE-05B28CC10D2D}" type="TxLink">
            <a:rPr lang="en-US" sz="1000" b="0" i="0" u="none" strike="noStrike" baseline="0">
              <a:solidFill>
                <a:srgbClr val="000000"/>
              </a:solidFill>
              <a:latin typeface="Arial"/>
              <a:cs typeface="Arial"/>
            </a:rPr>
            <a:pPr algn="l" rtl="0">
              <a:defRPr sz="1000"/>
            </a:pPr>
            <a:t> </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13</xdr:col>
          <xdr:colOff>533400</xdr:colOff>
          <xdr:row>59</xdr:row>
          <xdr:rowOff>247650</xdr:rowOff>
        </xdr:from>
        <xdr:to>
          <xdr:col>14</xdr:col>
          <xdr:colOff>76200</xdr:colOff>
          <xdr:row>61</xdr:row>
          <xdr:rowOff>0</xdr:rowOff>
        </xdr:to>
        <xdr:sp macro="" textlink="">
          <xdr:nvSpPr>
            <xdr:cNvPr id="673295" name="Spinner 527" hidden="1">
              <a:extLst>
                <a:ext uri="{63B3BB69-23CF-44E3-9099-C40C66FF867C}">
                  <a14:compatExt spid="_x0000_s673295"/>
                </a:ext>
                <a:ext uri="{FF2B5EF4-FFF2-40B4-BE49-F238E27FC236}">
                  <a16:creationId xmlns:a16="http://schemas.microsoft.com/office/drawing/2014/main" id="{00000000-0008-0000-0000-00000F46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9</xdr:col>
      <xdr:colOff>822960</xdr:colOff>
      <xdr:row>24</xdr:row>
      <xdr:rowOff>167640</xdr:rowOff>
    </xdr:from>
    <xdr:to>
      <xdr:col>11</xdr:col>
      <xdr:colOff>205740</xdr:colOff>
      <xdr:row>29</xdr:row>
      <xdr:rowOff>68580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bwMode="auto">
        <a:xfrm>
          <a:off x="6713220" y="4579620"/>
          <a:ext cx="861060" cy="525780"/>
        </a:xfrm>
        <a:prstGeom prst="rect">
          <a:avLst/>
        </a:prstGeom>
        <a:solidFill>
          <a:srgbClr val="CCFFFF"/>
        </a:solidFill>
        <a:ln w="9525">
          <a:noFill/>
          <a:miter lim="800000"/>
          <a:headEnd/>
          <a:tailEnd/>
        </a:ln>
      </xdr:spPr>
      <xdr:txBody>
        <a:bodyPr vertOverflow="clip" horzOverflow="clip" wrap="square" lIns="27432" tIns="27432" rIns="0" bIns="0" rtlCol="0" anchor="ctr" upright="1"/>
        <a:lstStyle/>
        <a:p>
          <a:pPr algn="ctr" rtl="0"/>
          <a:r>
            <a:rPr lang="en-US" sz="1100" b="1" i="0" strike="noStrike">
              <a:solidFill>
                <a:srgbClr val="000000"/>
              </a:solidFill>
              <a:latin typeface="Calibri"/>
            </a:rPr>
            <a:t>LM5176</a:t>
          </a:r>
        </a:p>
      </xdr:txBody>
    </xdr:sp>
    <xdr:clientData/>
  </xdr:twoCellAnchor>
  <mc:AlternateContent xmlns:mc="http://schemas.openxmlformats.org/markup-compatibility/2006">
    <mc:Choice xmlns:a14="http://schemas.microsoft.com/office/drawing/2010/main" Requires="a14">
      <xdr:twoCellAnchor editAs="oneCell">
        <xdr:from>
          <xdr:col>6</xdr:col>
          <xdr:colOff>309563</xdr:colOff>
          <xdr:row>8</xdr:row>
          <xdr:rowOff>100014</xdr:rowOff>
        </xdr:from>
        <xdr:to>
          <xdr:col>16</xdr:col>
          <xdr:colOff>1100421</xdr:colOff>
          <xdr:row>35</xdr:row>
          <xdr:rowOff>148590</xdr:rowOff>
        </xdr:to>
        <xdr:pic>
          <xdr:nvPicPr>
            <xdr:cNvPr id="22" name="Picture 21">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2" spid="_x0000_s772613"/>
                </a:ext>
              </a:extLst>
            </xdr:cNvPicPr>
          </xdr:nvPicPr>
          <xdr:blipFill>
            <a:blip xmlns:r="http://schemas.openxmlformats.org/officeDocument/2006/relationships" r:embed="rId3"/>
            <a:srcRect/>
            <a:stretch>
              <a:fillRect/>
            </a:stretch>
          </xdr:blipFill>
          <xdr:spPr bwMode="auto">
            <a:xfrm>
              <a:off x="3833813" y="1833564"/>
              <a:ext cx="8557543" cy="4986336"/>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95</xdr:row>
          <xdr:rowOff>0</xdr:rowOff>
        </xdr:from>
        <xdr:to>
          <xdr:col>14</xdr:col>
          <xdr:colOff>190500</xdr:colOff>
          <xdr:row>96</xdr:row>
          <xdr:rowOff>0</xdr:rowOff>
        </xdr:to>
        <xdr:sp macro="" textlink="">
          <xdr:nvSpPr>
            <xdr:cNvPr id="701838" name="Spinner 2446" hidden="1">
              <a:extLst>
                <a:ext uri="{63B3BB69-23CF-44E3-9099-C40C66FF867C}">
                  <a14:compatExt spid="_x0000_s701838"/>
                </a:ext>
                <a:ext uri="{FF2B5EF4-FFF2-40B4-BE49-F238E27FC236}">
                  <a16:creationId xmlns:a16="http://schemas.microsoft.com/office/drawing/2014/main" id="{00000000-0008-0000-0000-00008EB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377190</xdr:colOff>
          <xdr:row>95</xdr:row>
          <xdr:rowOff>117237</xdr:rowOff>
        </xdr:from>
        <xdr:to>
          <xdr:col>16</xdr:col>
          <xdr:colOff>1101859</xdr:colOff>
          <xdr:row>122</xdr:row>
          <xdr:rowOff>80394</xdr:rowOff>
        </xdr:to>
        <xdr:pic>
          <xdr:nvPicPr>
            <xdr:cNvPr id="72" name="Picture 8888">
              <a:extLst>
                <a:ext uri="{FF2B5EF4-FFF2-40B4-BE49-F238E27FC236}">
                  <a16:creationId xmlns:a16="http://schemas.microsoft.com/office/drawing/2014/main" id="{00000000-0008-0000-0000-000048000000}"/>
                </a:ext>
              </a:extLst>
            </xdr:cNvPr>
            <xdr:cNvPicPr>
              <a:picLocks noChangeAspect="1" noChangeArrowheads="1"/>
              <a:extLst>
                <a:ext uri="{84589F7E-364E-4C9E-8A38-B11213B215E9}">
                  <a14:cameraTool cellRange="PICTURE" spid="_x0000_s772614"/>
                </a:ext>
              </a:extLst>
            </xdr:cNvPicPr>
          </xdr:nvPicPr>
          <xdr:blipFill>
            <a:blip xmlns:r="http://schemas.openxmlformats.org/officeDocument/2006/relationships" r:embed="rId4"/>
            <a:srcRect/>
            <a:stretch>
              <a:fillRect/>
            </a:stretch>
          </xdr:blipFill>
          <xdr:spPr bwMode="auto">
            <a:xfrm>
              <a:off x="4320540" y="18272384"/>
              <a:ext cx="8074159" cy="4992357"/>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95</xdr:row>
          <xdr:rowOff>133350</xdr:rowOff>
        </xdr:from>
        <xdr:to>
          <xdr:col>9</xdr:col>
          <xdr:colOff>371475</xdr:colOff>
          <xdr:row>96</xdr:row>
          <xdr:rowOff>85725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45</xdr:row>
          <xdr:rowOff>28575</xdr:rowOff>
        </xdr:from>
        <xdr:to>
          <xdr:col>8</xdr:col>
          <xdr:colOff>561975</xdr:colOff>
          <xdr:row>46</xdr:row>
          <xdr:rowOff>0</xdr:rowOff>
        </xdr:to>
        <xdr:sp macro="" textlink="">
          <xdr:nvSpPr>
            <xdr:cNvPr id="716937" name="Drop Down 3209" hidden="1">
              <a:extLst>
                <a:ext uri="{63B3BB69-23CF-44E3-9099-C40C66FF867C}">
                  <a14:compatExt spid="_x0000_s716937"/>
                </a:ext>
                <a:ext uri="{FF2B5EF4-FFF2-40B4-BE49-F238E27FC236}">
                  <a16:creationId xmlns:a16="http://schemas.microsoft.com/office/drawing/2014/main" id="{00000000-0008-0000-0000-000089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45</xdr:row>
          <xdr:rowOff>28575</xdr:rowOff>
        </xdr:from>
        <xdr:to>
          <xdr:col>10</xdr:col>
          <xdr:colOff>552450</xdr:colOff>
          <xdr:row>46</xdr:row>
          <xdr:rowOff>0</xdr:rowOff>
        </xdr:to>
        <xdr:sp macro="" textlink="">
          <xdr:nvSpPr>
            <xdr:cNvPr id="716938" name="Drop Down 3210" hidden="1">
              <a:extLst>
                <a:ext uri="{63B3BB69-23CF-44E3-9099-C40C66FF867C}">
                  <a14:compatExt spid="_x0000_s716938"/>
                </a:ext>
                <a:ext uri="{FF2B5EF4-FFF2-40B4-BE49-F238E27FC236}">
                  <a16:creationId xmlns:a16="http://schemas.microsoft.com/office/drawing/2014/main" id="{00000000-0008-0000-0000-00008A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46</xdr:row>
          <xdr:rowOff>38100</xdr:rowOff>
        </xdr:from>
        <xdr:to>
          <xdr:col>8</xdr:col>
          <xdr:colOff>561975</xdr:colOff>
          <xdr:row>47</xdr:row>
          <xdr:rowOff>9525</xdr:rowOff>
        </xdr:to>
        <xdr:sp macro="" textlink="">
          <xdr:nvSpPr>
            <xdr:cNvPr id="716941" name="Drop Down 3213" hidden="1">
              <a:extLst>
                <a:ext uri="{63B3BB69-23CF-44E3-9099-C40C66FF867C}">
                  <a14:compatExt spid="_x0000_s716941"/>
                </a:ext>
                <a:ext uri="{FF2B5EF4-FFF2-40B4-BE49-F238E27FC236}">
                  <a16:creationId xmlns:a16="http://schemas.microsoft.com/office/drawing/2014/main" id="{00000000-0008-0000-0000-00008D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46</xdr:row>
          <xdr:rowOff>38100</xdr:rowOff>
        </xdr:from>
        <xdr:to>
          <xdr:col>10</xdr:col>
          <xdr:colOff>571500</xdr:colOff>
          <xdr:row>47</xdr:row>
          <xdr:rowOff>9525</xdr:rowOff>
        </xdr:to>
        <xdr:sp macro="" textlink="">
          <xdr:nvSpPr>
            <xdr:cNvPr id="716942" name="Drop Down 3214" hidden="1">
              <a:extLst>
                <a:ext uri="{63B3BB69-23CF-44E3-9099-C40C66FF867C}">
                  <a14:compatExt spid="_x0000_s716942"/>
                </a:ext>
                <a:ext uri="{FF2B5EF4-FFF2-40B4-BE49-F238E27FC236}">
                  <a16:creationId xmlns:a16="http://schemas.microsoft.com/office/drawing/2014/main" id="{00000000-0008-0000-0000-00008E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46</xdr:row>
          <xdr:rowOff>38100</xdr:rowOff>
        </xdr:from>
        <xdr:to>
          <xdr:col>12</xdr:col>
          <xdr:colOff>600075</xdr:colOff>
          <xdr:row>47</xdr:row>
          <xdr:rowOff>0</xdr:rowOff>
        </xdr:to>
        <xdr:sp macro="" textlink="">
          <xdr:nvSpPr>
            <xdr:cNvPr id="716943" name="Drop Down 3215" hidden="1">
              <a:extLst>
                <a:ext uri="{63B3BB69-23CF-44E3-9099-C40C66FF867C}">
                  <a14:compatExt spid="_x0000_s716943"/>
                </a:ext>
                <a:ext uri="{FF2B5EF4-FFF2-40B4-BE49-F238E27FC236}">
                  <a16:creationId xmlns:a16="http://schemas.microsoft.com/office/drawing/2014/main" id="{00000000-0008-0000-0000-00008F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46</xdr:row>
          <xdr:rowOff>38100</xdr:rowOff>
        </xdr:from>
        <xdr:to>
          <xdr:col>12</xdr:col>
          <xdr:colOff>2009775</xdr:colOff>
          <xdr:row>47</xdr:row>
          <xdr:rowOff>9525</xdr:rowOff>
        </xdr:to>
        <xdr:sp macro="" textlink="">
          <xdr:nvSpPr>
            <xdr:cNvPr id="716944" name="Drop Down 3216" hidden="1">
              <a:extLst>
                <a:ext uri="{63B3BB69-23CF-44E3-9099-C40C66FF867C}">
                  <a14:compatExt spid="_x0000_s716944"/>
                </a:ext>
                <a:ext uri="{FF2B5EF4-FFF2-40B4-BE49-F238E27FC236}">
                  <a16:creationId xmlns:a16="http://schemas.microsoft.com/office/drawing/2014/main" id="{00000000-0008-0000-0000-000090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47</xdr:row>
          <xdr:rowOff>57150</xdr:rowOff>
        </xdr:from>
        <xdr:to>
          <xdr:col>8</xdr:col>
          <xdr:colOff>561975</xdr:colOff>
          <xdr:row>48</xdr:row>
          <xdr:rowOff>28575</xdr:rowOff>
        </xdr:to>
        <xdr:sp macro="" textlink="">
          <xdr:nvSpPr>
            <xdr:cNvPr id="716955" name="Drop Down 3227" hidden="1">
              <a:extLst>
                <a:ext uri="{63B3BB69-23CF-44E3-9099-C40C66FF867C}">
                  <a14:compatExt spid="_x0000_s716955"/>
                </a:ext>
                <a:ext uri="{FF2B5EF4-FFF2-40B4-BE49-F238E27FC236}">
                  <a16:creationId xmlns:a16="http://schemas.microsoft.com/office/drawing/2014/main" id="{00000000-0008-0000-0000-00009B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47</xdr:row>
          <xdr:rowOff>57150</xdr:rowOff>
        </xdr:from>
        <xdr:to>
          <xdr:col>10</xdr:col>
          <xdr:colOff>552450</xdr:colOff>
          <xdr:row>48</xdr:row>
          <xdr:rowOff>28575</xdr:rowOff>
        </xdr:to>
        <xdr:sp macro="" textlink="">
          <xdr:nvSpPr>
            <xdr:cNvPr id="716956" name="Drop Down 3228" hidden="1">
              <a:extLst>
                <a:ext uri="{63B3BB69-23CF-44E3-9099-C40C66FF867C}">
                  <a14:compatExt spid="_x0000_s716956"/>
                </a:ext>
                <a:ext uri="{FF2B5EF4-FFF2-40B4-BE49-F238E27FC236}">
                  <a16:creationId xmlns:a16="http://schemas.microsoft.com/office/drawing/2014/main" id="{00000000-0008-0000-0000-00009C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47</xdr:row>
          <xdr:rowOff>47625</xdr:rowOff>
        </xdr:from>
        <xdr:to>
          <xdr:col>12</xdr:col>
          <xdr:colOff>600075</xdr:colOff>
          <xdr:row>48</xdr:row>
          <xdr:rowOff>38100</xdr:rowOff>
        </xdr:to>
        <xdr:sp macro="" textlink="">
          <xdr:nvSpPr>
            <xdr:cNvPr id="716957" name="Drop Down 3229" hidden="1">
              <a:extLst>
                <a:ext uri="{63B3BB69-23CF-44E3-9099-C40C66FF867C}">
                  <a14:compatExt spid="_x0000_s716957"/>
                </a:ext>
                <a:ext uri="{FF2B5EF4-FFF2-40B4-BE49-F238E27FC236}">
                  <a16:creationId xmlns:a16="http://schemas.microsoft.com/office/drawing/2014/main" id="{00000000-0008-0000-0000-00009D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47</xdr:row>
          <xdr:rowOff>47625</xdr:rowOff>
        </xdr:from>
        <xdr:to>
          <xdr:col>12</xdr:col>
          <xdr:colOff>2009775</xdr:colOff>
          <xdr:row>48</xdr:row>
          <xdr:rowOff>38100</xdr:rowOff>
        </xdr:to>
        <xdr:sp macro="" textlink="">
          <xdr:nvSpPr>
            <xdr:cNvPr id="716958" name="Drop Down 3230" hidden="1">
              <a:extLst>
                <a:ext uri="{63B3BB69-23CF-44E3-9099-C40C66FF867C}">
                  <a14:compatExt spid="_x0000_s716958"/>
                </a:ext>
                <a:ext uri="{FF2B5EF4-FFF2-40B4-BE49-F238E27FC236}">
                  <a16:creationId xmlns:a16="http://schemas.microsoft.com/office/drawing/2014/main" id="{00000000-0008-0000-0000-00009E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48</xdr:row>
          <xdr:rowOff>85725</xdr:rowOff>
        </xdr:from>
        <xdr:to>
          <xdr:col>8</xdr:col>
          <xdr:colOff>571500</xdr:colOff>
          <xdr:row>49</xdr:row>
          <xdr:rowOff>76200</xdr:rowOff>
        </xdr:to>
        <xdr:sp macro="" textlink="">
          <xdr:nvSpPr>
            <xdr:cNvPr id="716963" name="Drop Down 3235" hidden="1">
              <a:extLst>
                <a:ext uri="{63B3BB69-23CF-44E3-9099-C40C66FF867C}">
                  <a14:compatExt spid="_x0000_s716963"/>
                </a:ext>
                <a:ext uri="{FF2B5EF4-FFF2-40B4-BE49-F238E27FC236}">
                  <a16:creationId xmlns:a16="http://schemas.microsoft.com/office/drawing/2014/main" id="{00000000-0008-0000-0000-0000A3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48</xdr:row>
          <xdr:rowOff>85725</xdr:rowOff>
        </xdr:from>
        <xdr:to>
          <xdr:col>10</xdr:col>
          <xdr:colOff>571500</xdr:colOff>
          <xdr:row>49</xdr:row>
          <xdr:rowOff>76200</xdr:rowOff>
        </xdr:to>
        <xdr:sp macro="" textlink="">
          <xdr:nvSpPr>
            <xdr:cNvPr id="716964" name="Drop Down 3236" hidden="1">
              <a:extLst>
                <a:ext uri="{63B3BB69-23CF-44E3-9099-C40C66FF867C}">
                  <a14:compatExt spid="_x0000_s716964"/>
                </a:ext>
                <a:ext uri="{FF2B5EF4-FFF2-40B4-BE49-F238E27FC236}">
                  <a16:creationId xmlns:a16="http://schemas.microsoft.com/office/drawing/2014/main" id="{00000000-0008-0000-0000-0000A4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48</xdr:row>
          <xdr:rowOff>85725</xdr:rowOff>
        </xdr:from>
        <xdr:to>
          <xdr:col>12</xdr:col>
          <xdr:colOff>600075</xdr:colOff>
          <xdr:row>49</xdr:row>
          <xdr:rowOff>76200</xdr:rowOff>
        </xdr:to>
        <xdr:sp macro="" textlink="">
          <xdr:nvSpPr>
            <xdr:cNvPr id="716965" name="Drop Down 3237" hidden="1">
              <a:extLst>
                <a:ext uri="{63B3BB69-23CF-44E3-9099-C40C66FF867C}">
                  <a14:compatExt spid="_x0000_s716965"/>
                </a:ext>
                <a:ext uri="{FF2B5EF4-FFF2-40B4-BE49-F238E27FC236}">
                  <a16:creationId xmlns:a16="http://schemas.microsoft.com/office/drawing/2014/main" id="{00000000-0008-0000-0000-0000A5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666750</xdr:colOff>
          <xdr:row>48</xdr:row>
          <xdr:rowOff>85725</xdr:rowOff>
        </xdr:from>
        <xdr:to>
          <xdr:col>12</xdr:col>
          <xdr:colOff>2009775</xdr:colOff>
          <xdr:row>49</xdr:row>
          <xdr:rowOff>76200</xdr:rowOff>
        </xdr:to>
        <xdr:sp macro="" textlink="">
          <xdr:nvSpPr>
            <xdr:cNvPr id="716966" name="Drop Down 3238" hidden="1">
              <a:extLst>
                <a:ext uri="{63B3BB69-23CF-44E3-9099-C40C66FF867C}">
                  <a14:compatExt spid="_x0000_s716966"/>
                </a:ext>
                <a:ext uri="{FF2B5EF4-FFF2-40B4-BE49-F238E27FC236}">
                  <a16:creationId xmlns:a16="http://schemas.microsoft.com/office/drawing/2014/main" id="{00000000-0008-0000-0000-0000A6F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571500</xdr:colOff>
      <xdr:row>81</xdr:row>
      <xdr:rowOff>28575</xdr:rowOff>
    </xdr:from>
    <xdr:to>
      <xdr:col>10</xdr:col>
      <xdr:colOff>538323</xdr:colOff>
      <xdr:row>82</xdr:row>
      <xdr:rowOff>62544</xdr:rowOff>
    </xdr:to>
    <xdr:sp macro="" textlink="'Variable Management'!$A$504">
      <xdr:nvSpPr>
        <xdr:cNvPr id="32" name="Text Box 23">
          <a:extLst>
            <a:ext uri="{FF2B5EF4-FFF2-40B4-BE49-F238E27FC236}">
              <a16:creationId xmlns:a16="http://schemas.microsoft.com/office/drawing/2014/main" id="{00000000-0008-0000-0000-000020000000}"/>
            </a:ext>
          </a:extLst>
        </xdr:cNvPr>
        <xdr:cNvSpPr txBox="1">
          <a:spLocks noChangeArrowheads="1" noTextEdit="1"/>
        </xdr:cNvSpPr>
      </xdr:nvSpPr>
      <xdr:spPr bwMode="auto">
        <a:xfrm>
          <a:off x="4533900" y="15278100"/>
          <a:ext cx="2367123" cy="224469"/>
        </a:xfrm>
        <a:prstGeom prst="rect">
          <a:avLst/>
        </a:prstGeom>
        <a:solidFill>
          <a:schemeClr val="bg1"/>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C975F0C-C3FF-4A48-B082-A40A1AF939C2}" type="TxLink">
            <a:rPr lang="en-US" sz="1050" b="1" i="0" u="none" strike="noStrike" baseline="0">
              <a:solidFill>
                <a:srgbClr val="FF0000"/>
              </a:solidFill>
              <a:latin typeface="Arial"/>
              <a:cs typeface="Arial"/>
            </a:rPr>
            <a:pPr algn="l" rtl="0">
              <a:defRPr sz="1000"/>
            </a:pPr>
            <a:t>Crossover Frequency = 16 kHz</a:t>
          </a:fld>
          <a:endParaRPr lang="en-US" sz="1050" b="1" i="0" u="none" strike="noStrike" baseline="0">
            <a:solidFill>
              <a:srgbClr val="FF0000"/>
            </a:solidFill>
            <a:latin typeface="Arial"/>
            <a:cs typeface="Arial"/>
          </a:endParaRPr>
        </a:p>
      </xdr:txBody>
    </xdr:sp>
    <xdr:clientData/>
  </xdr:twoCellAnchor>
  <xdr:twoCellAnchor>
    <xdr:from>
      <xdr:col>7</xdr:col>
      <xdr:colOff>571500</xdr:colOff>
      <xdr:row>82</xdr:row>
      <xdr:rowOff>38283</xdr:rowOff>
    </xdr:from>
    <xdr:to>
      <xdr:col>9</xdr:col>
      <xdr:colOff>604376</xdr:colOff>
      <xdr:row>83</xdr:row>
      <xdr:rowOff>47625</xdr:rowOff>
    </xdr:to>
    <xdr:sp macro="" textlink="'Variable Management'!$A$505">
      <xdr:nvSpPr>
        <xdr:cNvPr id="33" name="Text Box 24">
          <a:extLst>
            <a:ext uri="{FF2B5EF4-FFF2-40B4-BE49-F238E27FC236}">
              <a16:creationId xmlns:a16="http://schemas.microsoft.com/office/drawing/2014/main" id="{00000000-0008-0000-0000-000021000000}"/>
            </a:ext>
          </a:extLst>
        </xdr:cNvPr>
        <xdr:cNvSpPr txBox="1">
          <a:spLocks noChangeArrowheads="1" noTextEdit="1"/>
        </xdr:cNvSpPr>
      </xdr:nvSpPr>
      <xdr:spPr bwMode="auto">
        <a:xfrm>
          <a:off x="4533900" y="15478308"/>
          <a:ext cx="1433051" cy="199842"/>
        </a:xfrm>
        <a:prstGeom prst="rect">
          <a:avLst/>
        </a:prstGeom>
        <a:solidFill>
          <a:schemeClr val="bg1"/>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668E2548-86E3-4832-875F-358A4B8D46AF}" type="TxLink">
            <a:rPr lang="en-US" sz="1050" b="1" i="0" u="none" strike="noStrike" baseline="0">
              <a:solidFill>
                <a:srgbClr val="002060"/>
              </a:solidFill>
              <a:latin typeface="Arial"/>
              <a:cs typeface="Arial"/>
            </a:rPr>
            <a:pPr algn="l" rtl="0">
              <a:defRPr sz="1000"/>
            </a:pPr>
            <a:t>Phase Margin = 0°</a:t>
          </a:fld>
          <a:endParaRPr lang="en-US" sz="105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10</xdr:col>
          <xdr:colOff>247650</xdr:colOff>
          <xdr:row>51</xdr:row>
          <xdr:rowOff>19050</xdr:rowOff>
        </xdr:from>
        <xdr:to>
          <xdr:col>11</xdr:col>
          <xdr:colOff>819150</xdr:colOff>
          <xdr:row>51</xdr:row>
          <xdr:rowOff>161925</xdr:rowOff>
        </xdr:to>
        <xdr:sp macro="" textlink="">
          <xdr:nvSpPr>
            <xdr:cNvPr id="733873" name="Drop Down 4785" hidden="1">
              <a:extLst>
                <a:ext uri="{63B3BB69-23CF-44E3-9099-C40C66FF867C}">
                  <a14:compatExt spid="_x0000_s733873"/>
                </a:ext>
                <a:ext uri="{FF2B5EF4-FFF2-40B4-BE49-F238E27FC236}">
                  <a16:creationId xmlns:a16="http://schemas.microsoft.com/office/drawing/2014/main" id="{00000000-0008-0000-0000-0000B132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69</xdr:row>
          <xdr:rowOff>19050</xdr:rowOff>
        </xdr:from>
        <xdr:to>
          <xdr:col>6</xdr:col>
          <xdr:colOff>9525</xdr:colOff>
          <xdr:row>69</xdr:row>
          <xdr:rowOff>171450</xdr:rowOff>
        </xdr:to>
        <xdr:sp macro="" textlink="">
          <xdr:nvSpPr>
            <xdr:cNvPr id="733907" name="Drop Down 4819" hidden="1">
              <a:extLst>
                <a:ext uri="{63B3BB69-23CF-44E3-9099-C40C66FF867C}">
                  <a14:compatExt spid="_x0000_s733907"/>
                </a:ext>
                <a:ext uri="{FF2B5EF4-FFF2-40B4-BE49-F238E27FC236}">
                  <a16:creationId xmlns:a16="http://schemas.microsoft.com/office/drawing/2014/main" id="{00000000-0008-0000-0000-0000D332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59</xdr:row>
          <xdr:rowOff>228600</xdr:rowOff>
        </xdr:from>
        <xdr:to>
          <xdr:col>16</xdr:col>
          <xdr:colOff>1104900</xdr:colOff>
          <xdr:row>61</xdr:row>
          <xdr:rowOff>19050</xdr:rowOff>
        </xdr:to>
        <xdr:sp macro="" textlink="">
          <xdr:nvSpPr>
            <xdr:cNvPr id="751970" name="Check Box 5474" hidden="1">
              <a:extLst>
                <a:ext uri="{63B3BB69-23CF-44E3-9099-C40C66FF867C}">
                  <a14:compatExt spid="_x0000_s751970"/>
                </a:ext>
                <a:ext uri="{FF2B5EF4-FFF2-40B4-BE49-F238E27FC236}">
                  <a16:creationId xmlns:a16="http://schemas.microsoft.com/office/drawing/2014/main" id="{00000000-0008-0000-0000-00006279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I_Limit Transf. Function</a:t>
              </a:r>
            </a:p>
          </xdr:txBody>
        </xdr:sp>
        <xdr:clientData/>
      </xdr:twoCellAnchor>
    </mc:Choice>
    <mc:Fallback/>
  </mc:AlternateContent>
  <xdr:twoCellAnchor>
    <xdr:from>
      <xdr:col>6</xdr:col>
      <xdr:colOff>154782</xdr:colOff>
      <xdr:row>35</xdr:row>
      <xdr:rowOff>65483</xdr:rowOff>
    </xdr:from>
    <xdr:to>
      <xdr:col>7</xdr:col>
      <xdr:colOff>57151</xdr:colOff>
      <xdr:row>45</xdr:row>
      <xdr:rowOff>100606</xdr:rowOff>
    </xdr:to>
    <xdr:cxnSp macro="">
      <xdr:nvCxnSpPr>
        <xdr:cNvPr id="9" name="Connector: Elbow 8">
          <a:extLst>
            <a:ext uri="{FF2B5EF4-FFF2-40B4-BE49-F238E27FC236}">
              <a16:creationId xmlns:a16="http://schemas.microsoft.com/office/drawing/2014/main" id="{00000000-0008-0000-0000-000009000000}"/>
            </a:ext>
          </a:extLst>
        </xdr:cNvPr>
        <xdr:cNvCxnSpPr/>
      </xdr:nvCxnSpPr>
      <xdr:spPr>
        <a:xfrm rot="16200000" flipH="1">
          <a:off x="2898279" y="7620892"/>
          <a:ext cx="1916311" cy="3429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503464</xdr:colOff>
      <xdr:row>35</xdr:row>
      <xdr:rowOff>57830</xdr:rowOff>
    </xdr:from>
    <xdr:to>
      <xdr:col>6</xdr:col>
      <xdr:colOff>156701</xdr:colOff>
      <xdr:row>35</xdr:row>
      <xdr:rowOff>61452</xdr:rowOff>
    </xdr:to>
    <xdr:cxnSp macro="">
      <xdr:nvCxnSpPr>
        <xdr:cNvPr id="12" name="Straight Connector 11">
          <a:extLst>
            <a:ext uri="{FF2B5EF4-FFF2-40B4-BE49-F238E27FC236}">
              <a16:creationId xmlns:a16="http://schemas.microsoft.com/office/drawing/2014/main" id="{00000000-0008-0000-0000-00000C000000}"/>
            </a:ext>
          </a:extLst>
        </xdr:cNvPr>
        <xdr:cNvCxnSpPr/>
      </xdr:nvCxnSpPr>
      <xdr:spPr>
        <a:xfrm>
          <a:off x="3526883" y="6795999"/>
          <a:ext cx="157141" cy="362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552450</xdr:colOff>
          <xdr:row>5</xdr:row>
          <xdr:rowOff>0</xdr:rowOff>
        </xdr:from>
        <xdr:to>
          <xdr:col>5</xdr:col>
          <xdr:colOff>485775</xdr:colOff>
          <xdr:row>6</xdr:row>
          <xdr:rowOff>0</xdr:rowOff>
        </xdr:to>
        <xdr:sp macro="" textlink="">
          <xdr:nvSpPr>
            <xdr:cNvPr id="772540" name="Drop Down 6588" hidden="1">
              <a:extLst>
                <a:ext uri="{63B3BB69-23CF-44E3-9099-C40C66FF867C}">
                  <a14:compatExt spid="_x0000_s772540"/>
                </a:ext>
                <a:ext uri="{FF2B5EF4-FFF2-40B4-BE49-F238E27FC236}">
                  <a16:creationId xmlns:a16="http://schemas.microsoft.com/office/drawing/2014/main" id="{00000000-0008-0000-0000-0000BCC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519112</xdr:colOff>
      <xdr:row>18</xdr:row>
      <xdr:rowOff>47626</xdr:rowOff>
    </xdr:from>
    <xdr:to>
      <xdr:col>10</xdr:col>
      <xdr:colOff>381952</xdr:colOff>
      <xdr:row>19</xdr:row>
      <xdr:rowOff>24765</xdr:rowOff>
    </xdr:to>
    <xdr:sp macro="" textlink="Device">
      <xdr:nvSpPr>
        <xdr:cNvPr id="2" name="TextBox 1">
          <a:extLst>
            <a:ext uri="{FF2B5EF4-FFF2-40B4-BE49-F238E27FC236}">
              <a16:creationId xmlns:a16="http://schemas.microsoft.com/office/drawing/2014/main" id="{00000000-0008-0000-0000-000002000000}"/>
            </a:ext>
          </a:extLst>
        </xdr:cNvPr>
        <xdr:cNvSpPr txBox="1"/>
      </xdr:nvSpPr>
      <xdr:spPr bwMode="auto">
        <a:xfrm>
          <a:off x="5900737" y="3862389"/>
          <a:ext cx="862965" cy="153351"/>
        </a:xfrm>
        <a:prstGeom prst="rect">
          <a:avLst/>
        </a:prstGeom>
        <a:solidFill>
          <a:schemeClr val="bg1"/>
        </a:solidFill>
        <a:ln w="9525">
          <a:noFill/>
          <a:miter lim="800000"/>
          <a:headEnd/>
          <a:tailEnd/>
        </a:ln>
      </xdr:spPr>
      <xdr:txBody>
        <a:bodyPr vertOverflow="clip" horzOverflow="clip" wrap="square" lIns="27432" tIns="27432" rIns="0" bIns="0" rtlCol="0" anchor="ctr" upright="1"/>
        <a:lstStyle/>
        <a:p>
          <a:pPr algn="ctr" rtl="0"/>
          <a:fld id="{1B7041C5-685E-4B71-9140-20DCC171B3E5}" type="TxLink">
            <a:rPr lang="en-US" sz="1000" b="0" i="0" u="none" strike="noStrike">
              <a:solidFill>
                <a:srgbClr val="000000"/>
              </a:solidFill>
              <a:latin typeface="Arial"/>
              <a:cs typeface="Arial"/>
            </a:rPr>
            <a:pPr algn="ctr" rtl="0"/>
            <a:t>LM51772</a:t>
          </a:fld>
          <a:endParaRPr lang="en-US" sz="900" b="1" i="0" strike="noStrike">
            <a:solidFill>
              <a:srgbClr val="000000"/>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152400</xdr:rowOff>
    </xdr:from>
    <xdr:to>
      <xdr:col>1</xdr:col>
      <xdr:colOff>600075</xdr:colOff>
      <xdr:row>2</xdr:row>
      <xdr:rowOff>85676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200025</xdr:colOff>
      <xdr:row>0</xdr:row>
      <xdr:rowOff>114300</xdr:rowOff>
    </xdr:from>
    <xdr:ext cx="3752850" cy="381708"/>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914525" y="114300"/>
          <a:ext cx="37528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About this tool...</a:t>
          </a:r>
        </a:p>
      </xdr:txBody>
    </xdr:sp>
    <xdr:clientData/>
  </xdr:oneCellAnchor>
  <xdr:oneCellAnchor>
    <xdr:from>
      <xdr:col>3</xdr:col>
      <xdr:colOff>323850</xdr:colOff>
      <xdr:row>1</xdr:row>
      <xdr:rowOff>28575</xdr:rowOff>
    </xdr:from>
    <xdr:ext cx="4719497" cy="254557"/>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200-000004000000}"/>
            </a:ext>
          </a:extLst>
        </xdr:cNvPr>
        <xdr:cNvSpPr txBox="1"/>
      </xdr:nvSpPr>
      <xdr:spPr>
        <a:xfrm>
          <a:off x="6419850" y="209550"/>
          <a:ext cx="471949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Arial" panose="020B0604020202020204" pitchFamily="34" charset="0"/>
              <a:ea typeface="+mn-ea"/>
              <a:cs typeface="Arial" panose="020B0604020202020204" pitchFamily="34" charset="0"/>
              <a:hlinkClick xmlns:r="http://schemas.openxmlformats.org/officeDocument/2006/relationships" r:id=""/>
            </a:rPr>
            <a:t>© Copyright 2025</a:t>
          </a:r>
          <a:r>
            <a:rPr lang="en-US" sz="1100" b="0" i="0">
              <a:solidFill>
                <a:schemeClr val="tx1"/>
              </a:solidFill>
              <a:effectLst/>
              <a:latin typeface="Arial" panose="020B0604020202020204" pitchFamily="34" charset="0"/>
              <a:ea typeface="+mn-ea"/>
              <a:cs typeface="Arial" panose="020B0604020202020204" pitchFamily="34" charset="0"/>
            </a:rPr>
            <a:t> Texas Instruments Incorporated. All rights reserved.</a:t>
          </a:r>
          <a:endParaRPr lang="en-US" sz="1100" b="0">
            <a:latin typeface="Arial" panose="020B0604020202020204" pitchFamily="34" charset="0"/>
            <a:cs typeface="Arial" panose="020B0604020202020204" pitchFamily="34" charset="0"/>
          </a:endParaRPr>
        </a:p>
      </xdr:txBody>
    </xdr:sp>
    <xdr:clientData/>
  </xdr:oneCellAnchor>
  <xdr:oneCellAnchor>
    <xdr:from>
      <xdr:col>0</xdr:col>
      <xdr:colOff>95247</xdr:colOff>
      <xdr:row>6</xdr:row>
      <xdr:rowOff>47623</xdr:rowOff>
    </xdr:from>
    <xdr:ext cx="11229977" cy="4200527"/>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95247" y="1114423"/>
          <a:ext cx="11229977" cy="4200527"/>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sysClr val="windowText" lastClr="000000"/>
              </a:solidFill>
              <a:effectLst/>
              <a:uLnTx/>
              <a:uFillTx/>
              <a:latin typeface="+mn-lt"/>
              <a:ea typeface="+mn-ea"/>
              <a:cs typeface="+mn-cs"/>
            </a:rPr>
            <a:t>IMPORTANT NOTICE AND DISCLAIMER</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10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PROVIDES TECHNICAL AND RELIABILITY DATA (INCLUDING DATA SHEETS), DESIGN RESOURCES (INCLUDING REFERENCE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DESIGNS), APPLICATION OR OTHER DESIGN ADVICE, WEB TOOLS, SAFETY INFORMATION, AND OTHER RESOURCES “AS IS”</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AND WITH ALL FAULTS, AND DISCLAIMS ALL WARRANTIES, EXPRESS AND IMPLIED, INCLUDING WITHOUT LIMITATION ANY</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IMPLIED WARRANTIES OF MERCHANTABILITY, FITNESS FOR A PARTICULAR PURPOSE OR NON-INFRINGEMENT OF THIRD</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PARTY INTELLECTUAL PROPERTY RIGHTS.</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These resources are intended for skilled developers designing with TI products. You are solely responsible for (1) selecting the appropriate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products for your application, (2) designing, validating and testing your application, and (3) ensuring your application meets applicable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standards, and any other safety, security, regulatory or other requirements.</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These resources are subject to change without notice. TI grants you permission to use these resources only for development of an</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application that uses the TI products described in the resource. Other reproduction and display of these resources is prohibited. No license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is granted to any other TI intellectual property right or to any third party intellectual property right. TI disclaims responsibility for, and you</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will fully indemnify TI and its representatives against, any claims, damages, costs, losses, and liabilities arising out of your use of these</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resources.</a:t>
          </a:r>
        </a:p>
        <a:p>
          <a:pPr marL="0" marR="0" lvl="0" indent="0"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TI’s products are provided subject to TI’s Terms of Sale or other applicable terms available either on ti.com or provided in conjunction with</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such TI products. TI’s provision of these resources does not expand or otherwise alter TI’s applicable warranties or warranty disclaimers for</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products.</a:t>
          </a:r>
        </a:p>
        <a:p>
          <a:pPr marL="0" marR="0" lvl="0" indent="0" algn="l"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TI objects to and rejects any additional or different terms you may have proposed. IMPORTANT NOTICE</a:t>
          </a:r>
        </a:p>
        <a:p>
          <a:pPr marL="0" marR="0" lvl="0" indent="0" algn="ctr" defTabSz="914400" eaLnBrk="1" fontAlgn="auto" latinLnBrk="0" hangingPunct="1">
            <a:lnSpc>
              <a:spcPct val="100000"/>
            </a:lnSpc>
            <a:spcBef>
              <a:spcPts val="0"/>
            </a:spcBef>
            <a:spcAft>
              <a:spcPts val="0"/>
            </a:spcAft>
            <a:buClrTx/>
            <a:buSzTx/>
            <a:buFontTx/>
            <a:buNone/>
            <a:tabLst/>
            <a:defRPr/>
          </a:pP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Mailing Address: Texas Instruments, Post Office Box 655303, Dallas, Texas 75265</a:t>
          </a:r>
          <a:br>
            <a:rPr kumimoji="0" lang="en-US" sz="900" b="0" i="0" u="none" strike="noStrike" kern="0" cap="none" spc="0" normalizeH="0" baseline="0" noProof="0">
              <a:ln>
                <a:noFill/>
              </a:ln>
              <a:solidFill>
                <a:sysClr val="windowText" lastClr="000000"/>
              </a:solidFill>
              <a:effectLst/>
              <a:uLnTx/>
              <a:uFillTx/>
              <a:latin typeface="+mn-lt"/>
              <a:ea typeface="+mn-ea"/>
              <a:cs typeface="+mn-cs"/>
            </a:rPr>
          </a:br>
          <a:r>
            <a:rPr kumimoji="0" lang="en-US" sz="1050" b="0" i="0" u="none" strike="noStrike" kern="0" cap="none" spc="0" normalizeH="0" baseline="0" noProof="0">
              <a:ln>
                <a:noFill/>
              </a:ln>
              <a:solidFill>
                <a:sysClr val="windowText" lastClr="000000"/>
              </a:solidFill>
              <a:effectLst/>
              <a:uLnTx/>
              <a:uFillTx/>
              <a:latin typeface="+mn-lt"/>
              <a:ea typeface="+mn-ea"/>
              <a:cs typeface="+mn-cs"/>
            </a:rPr>
            <a:t>Copyright © 2025, Texas Instruments Incorporated</a:t>
          </a:r>
          <a:endParaRPr kumimoji="0" lang="en-US" sz="7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xdr:txBody>
    </xdr:sp>
    <xdr:clientData/>
  </xdr:oneCellAnchor>
  <xdr:oneCellAnchor>
    <xdr:from>
      <xdr:col>0</xdr:col>
      <xdr:colOff>99057</xdr:colOff>
      <xdr:row>30</xdr:row>
      <xdr:rowOff>16998</xdr:rowOff>
    </xdr:from>
    <xdr:ext cx="11229977" cy="634512"/>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99057" y="5150973"/>
          <a:ext cx="11229977" cy="634512"/>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latin typeface="+mn-lt"/>
              <a:ea typeface="+mn-ea"/>
              <a:cs typeface="+mn-cs"/>
            </a:rPr>
            <a:t>IMPORTANT</a:t>
          </a:r>
          <a:r>
            <a:rPr lang="en-US" sz="1100" b="1" baseline="0">
              <a:solidFill>
                <a:schemeClr val="tx1"/>
              </a:solidFill>
              <a:effectLst/>
              <a:latin typeface="+mn-lt"/>
              <a:ea typeface="+mn-ea"/>
              <a:cs typeface="+mn-cs"/>
            </a:rPr>
            <a:t>:   </a:t>
          </a:r>
          <a:endParaRPr lang="en-US" sz="800">
            <a:effectLst/>
          </a:endParaRPr>
        </a:p>
        <a:p>
          <a:r>
            <a:rPr lang="en-US" sz="1100" baseline="0">
              <a:solidFill>
                <a:schemeClr val="tx1"/>
              </a:solidFill>
              <a:effectLst/>
              <a:latin typeface="+mn-lt"/>
              <a:ea typeface="+mn-ea"/>
              <a:cs typeface="+mn-cs"/>
            </a:rPr>
            <a:t>1.  Do not delete this worksheet!</a:t>
          </a:r>
          <a:endParaRPr lang="en-US" sz="800">
            <a:effectLst/>
          </a:endParaRPr>
        </a:p>
        <a:p>
          <a:pPr eaLnBrk="1" fontAlgn="auto" latinLnBrk="0" hangingPunct="1"/>
          <a:r>
            <a:rPr lang="en-US" sz="1100" baseline="0">
              <a:solidFill>
                <a:schemeClr val="tx1"/>
              </a:solidFill>
              <a:effectLst/>
              <a:latin typeface="+mn-lt"/>
              <a:ea typeface="+mn-ea"/>
              <a:cs typeface="+mn-cs"/>
            </a:rPr>
            <a:t>2.  Redistributions must retain the above copyright and the following disclaimer.</a:t>
          </a:r>
          <a:endParaRPr lang="en-US" sz="800">
            <a:effectLst/>
          </a:endParaRPr>
        </a:p>
        <a:p>
          <a:endParaRPr lang="en-US" sz="800" baseline="0">
            <a:latin typeface="Arial" panose="020B0604020202020204" pitchFamily="34" charset="0"/>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1</xdr:row>
      <xdr:rowOff>9524</xdr:rowOff>
    </xdr:from>
    <xdr:to>
      <xdr:col>9</xdr:col>
      <xdr:colOff>849406</xdr:colOff>
      <xdr:row>44</xdr:row>
      <xdr:rowOff>85725</xdr:rowOff>
    </xdr:to>
    <xdr:pic>
      <xdr:nvPicPr>
        <xdr:cNvPr id="108" name="Picture 107">
          <a:extLst>
            <a:ext uri="{FF2B5EF4-FFF2-40B4-BE49-F238E27FC236}">
              <a16:creationId xmlns:a16="http://schemas.microsoft.com/office/drawing/2014/main" id="{00000000-0008-0000-03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71449"/>
          <a:ext cx="10734675" cy="70770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3</xdr:row>
      <xdr:rowOff>47624</xdr:rowOff>
    </xdr:from>
    <xdr:to>
      <xdr:col>9</xdr:col>
      <xdr:colOff>830356</xdr:colOff>
      <xdr:row>42</xdr:row>
      <xdr:rowOff>81752</xdr:rowOff>
    </xdr:to>
    <xdr:pic>
      <xdr:nvPicPr>
        <xdr:cNvPr id="74" name="Picture 73">
          <a:extLst>
            <a:ext uri="{FF2B5EF4-FFF2-40B4-BE49-F238E27FC236}">
              <a16:creationId xmlns:a16="http://schemas.microsoft.com/office/drawing/2014/main" id="{00000000-0008-0000-0300-00004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8625" y="533399"/>
          <a:ext cx="10410825" cy="6349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742225</xdr:colOff>
      <xdr:row>11</xdr:row>
      <xdr:rowOff>54039</xdr:rowOff>
    </xdr:from>
    <xdr:to>
      <xdr:col>10</xdr:col>
      <xdr:colOff>113596</xdr:colOff>
      <xdr:row>12</xdr:row>
      <xdr:rowOff>137902</xdr:rowOff>
    </xdr:to>
    <xdr:sp macro="" textlink="'Variable Management'!B482">
      <xdr:nvSpPr>
        <xdr:cNvPr id="23" name="Text Box 285">
          <a:extLst>
            <a:ext uri="{FF2B5EF4-FFF2-40B4-BE49-F238E27FC236}">
              <a16:creationId xmlns:a16="http://schemas.microsoft.com/office/drawing/2014/main" id="{00000000-0008-0000-0300-000017000000}"/>
            </a:ext>
          </a:extLst>
        </xdr:cNvPr>
        <xdr:cNvSpPr txBox="1">
          <a:spLocks noChangeArrowheads="1" noTextEdit="1"/>
        </xdr:cNvSpPr>
      </xdr:nvSpPr>
      <xdr:spPr bwMode="auto">
        <a:xfrm>
          <a:off x="10376082" y="1850182"/>
          <a:ext cx="521175" cy="247149"/>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14.6V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9</xdr:col>
      <xdr:colOff>611176</xdr:colOff>
      <xdr:row>12</xdr:row>
      <xdr:rowOff>116821</xdr:rowOff>
    </xdr:from>
    <xdr:to>
      <xdr:col>9</xdr:col>
      <xdr:colOff>1171576</xdr:colOff>
      <xdr:row>14</xdr:row>
      <xdr:rowOff>29271</xdr:rowOff>
    </xdr:to>
    <xdr:sp macro="" textlink="'Variable Management'!B524">
      <xdr:nvSpPr>
        <xdr:cNvPr id="24" name="Text Box 286">
          <a:extLst>
            <a:ext uri="{FF2B5EF4-FFF2-40B4-BE49-F238E27FC236}">
              <a16:creationId xmlns:a16="http://schemas.microsoft.com/office/drawing/2014/main" id="{00000000-0008-0000-0300-000018000000}"/>
            </a:ext>
          </a:extLst>
        </xdr:cNvPr>
        <xdr:cNvSpPr txBox="1">
          <a:spLocks noChangeArrowheads="1" noTextEdit="1"/>
        </xdr:cNvSpPr>
      </xdr:nvSpPr>
      <xdr:spPr bwMode="auto">
        <a:xfrm>
          <a:off x="10250476" y="2059921"/>
          <a:ext cx="560400" cy="236300"/>
        </a:xfrm>
        <a:prstGeom prst="rect">
          <a:avLst/>
        </a:prstGeom>
        <a:noFill/>
        <a:ln w="9525">
          <a:noFill/>
          <a:miter lim="800000"/>
          <a:headEnd/>
          <a:tailEnd/>
        </a:ln>
      </xdr:spPr>
      <xdr:txBody>
        <a:bodyPr vertOverflow="clip" wrap="square" lIns="27432" tIns="22860" rIns="0" bIns="0" anchor="t" upright="1"/>
        <a:lstStyle/>
        <a:p>
          <a:pPr algn="ctr" rtl="0">
            <a:defRPr sz="1000"/>
          </a:pPr>
          <a:fld id="{E0FB88FA-F39E-4ACF-AB5E-DCB628763AAE}" type="TxLink">
            <a:rPr lang="en-US" sz="1200" b="1" i="0" u="none" strike="noStrike">
              <a:solidFill>
                <a:srgbClr val="FF0000"/>
              </a:solidFill>
              <a:latin typeface="Arial" pitchFamily="34" charset="0"/>
              <a:cs typeface="Arial" pitchFamily="34" charset="0"/>
            </a:rPr>
            <a:pPr algn="ctr" rtl="0">
              <a:defRPr sz="1000"/>
            </a:pPr>
            <a:t>12A</a:t>
          </a:fld>
          <a:endParaRPr lang="en-US" sz="1200" b="1" i="0" strike="noStrike">
            <a:solidFill>
              <a:srgbClr val="FF0000"/>
            </a:solidFill>
            <a:latin typeface="Arial" pitchFamily="34" charset="0"/>
            <a:cs typeface="Arial" pitchFamily="34" charset="0"/>
          </a:endParaRPr>
        </a:p>
      </xdr:txBody>
    </xdr:sp>
    <xdr:clientData/>
  </xdr:twoCellAnchor>
  <xdr:twoCellAnchor>
    <xdr:from>
      <xdr:col>7</xdr:col>
      <xdr:colOff>215765</xdr:colOff>
      <xdr:row>21</xdr:row>
      <xdr:rowOff>138591</xdr:rowOff>
    </xdr:from>
    <xdr:to>
      <xdr:col>7</xdr:col>
      <xdr:colOff>621919</xdr:colOff>
      <xdr:row>23</xdr:row>
      <xdr:rowOff>25832</xdr:rowOff>
    </xdr:to>
    <xdr:sp macro="" textlink="'Variable Management'!B489">
      <xdr:nvSpPr>
        <xdr:cNvPr id="26" name="Text Box 276">
          <a:extLst>
            <a:ext uri="{FF2B5EF4-FFF2-40B4-BE49-F238E27FC236}">
              <a16:creationId xmlns:a16="http://schemas.microsoft.com/office/drawing/2014/main" id="{00000000-0008-0000-0300-00001A000000}"/>
            </a:ext>
          </a:extLst>
        </xdr:cNvPr>
        <xdr:cNvSpPr txBox="1">
          <a:spLocks noChangeArrowheads="1" noTextEdit="1"/>
        </xdr:cNvSpPr>
      </xdr:nvSpPr>
      <xdr:spPr bwMode="auto">
        <a:xfrm>
          <a:off x="7796351" y="3587298"/>
          <a:ext cx="406154" cy="215689"/>
        </a:xfrm>
        <a:prstGeom prst="rect">
          <a:avLst/>
        </a:prstGeom>
        <a:noFill/>
        <a:ln w="9525">
          <a:noFill/>
          <a:miter lim="800000"/>
          <a:headEnd/>
          <a:tailEnd/>
        </a:ln>
      </xdr:spPr>
      <xdr:txBody>
        <a:bodyPr vertOverflow="clip" wrap="square" lIns="27432" tIns="22860" rIns="0" bIns="0" anchor="ctr" upright="1"/>
        <a:lstStyle/>
        <a:p>
          <a:pPr algn="l" rtl="0">
            <a:defRPr sz="1000"/>
          </a:pPr>
          <a:fld id="{8EC17DC9-9599-436B-83BE-CF5CE4344793}" type="TxLink">
            <a:rPr lang="en-US" sz="1000" b="0" i="0" u="none" strike="noStrike" baseline="0">
              <a:solidFill>
                <a:srgbClr val="000000"/>
              </a:solidFill>
              <a:latin typeface="Arialri"/>
              <a:cs typeface="Arial" pitchFamily="34" charset="0"/>
            </a:rPr>
            <a:pPr algn="l" rtl="0">
              <a:defRPr sz="1000"/>
            </a:pPr>
            <a:t>10µF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365389</xdr:colOff>
      <xdr:row>21</xdr:row>
      <xdr:rowOff>135869</xdr:rowOff>
    </xdr:from>
    <xdr:to>
      <xdr:col>1</xdr:col>
      <xdr:colOff>230978</xdr:colOff>
      <xdr:row>23</xdr:row>
      <xdr:rowOff>26451</xdr:rowOff>
    </xdr:to>
    <xdr:sp macro="" textlink="">
      <xdr:nvSpPr>
        <xdr:cNvPr id="30" name="Text Box 224">
          <a:extLst>
            <a:ext uri="{FF2B5EF4-FFF2-40B4-BE49-F238E27FC236}">
              <a16:creationId xmlns:a16="http://schemas.microsoft.com/office/drawing/2014/main" id="{00000000-0008-0000-0300-00001E000000}"/>
            </a:ext>
          </a:extLst>
        </xdr:cNvPr>
        <xdr:cNvSpPr txBox="1">
          <a:spLocks noChangeArrowheads="1"/>
        </xdr:cNvSpPr>
      </xdr:nvSpPr>
      <xdr:spPr bwMode="auto">
        <a:xfrm>
          <a:off x="365389" y="3614565"/>
          <a:ext cx="503350" cy="22188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SLOPE</a:t>
          </a:r>
        </a:p>
      </xdr:txBody>
    </xdr:sp>
    <xdr:clientData/>
  </xdr:twoCellAnchor>
  <xdr:twoCellAnchor>
    <xdr:from>
      <xdr:col>2</xdr:col>
      <xdr:colOff>159713</xdr:colOff>
      <xdr:row>37</xdr:row>
      <xdr:rowOff>159333</xdr:rowOff>
    </xdr:from>
    <xdr:to>
      <xdr:col>2</xdr:col>
      <xdr:colOff>479651</xdr:colOff>
      <xdr:row>39</xdr:row>
      <xdr:rowOff>38653</xdr:rowOff>
    </xdr:to>
    <xdr:sp macro="" textlink="">
      <xdr:nvSpPr>
        <xdr:cNvPr id="31" name="Text Box 225">
          <a:extLst>
            <a:ext uri="{FF2B5EF4-FFF2-40B4-BE49-F238E27FC236}">
              <a16:creationId xmlns:a16="http://schemas.microsoft.com/office/drawing/2014/main" id="{00000000-0008-0000-0300-00001F000000}"/>
            </a:ext>
          </a:extLst>
        </xdr:cNvPr>
        <xdr:cNvSpPr txBox="1">
          <a:spLocks noChangeArrowheads="1"/>
        </xdr:cNvSpPr>
      </xdr:nvSpPr>
      <xdr:spPr bwMode="auto">
        <a:xfrm>
          <a:off x="2150438" y="6150558"/>
          <a:ext cx="319938" cy="203170"/>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1034941</xdr:colOff>
      <xdr:row>19</xdr:row>
      <xdr:rowOff>127711</xdr:rowOff>
    </xdr:from>
    <xdr:to>
      <xdr:col>8</xdr:col>
      <xdr:colOff>381857</xdr:colOff>
      <xdr:row>20</xdr:row>
      <xdr:rowOff>159098</xdr:rowOff>
    </xdr:to>
    <xdr:sp macro="" textlink="">
      <xdr:nvSpPr>
        <xdr:cNvPr id="33" name="Text Box 228">
          <a:extLst>
            <a:ext uri="{FF2B5EF4-FFF2-40B4-BE49-F238E27FC236}">
              <a16:creationId xmlns:a16="http://schemas.microsoft.com/office/drawing/2014/main" id="{00000000-0008-0000-0300-000021000000}"/>
            </a:ext>
          </a:extLst>
        </xdr:cNvPr>
        <xdr:cNvSpPr txBox="1">
          <a:spLocks noChangeArrowheads="1"/>
        </xdr:cNvSpPr>
      </xdr:nvSpPr>
      <xdr:spPr bwMode="auto">
        <a:xfrm>
          <a:off x="8615527" y="3247970"/>
          <a:ext cx="424227" cy="19561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9</xdr:col>
      <xdr:colOff>141502</xdr:colOff>
      <xdr:row>11</xdr:row>
      <xdr:rowOff>18316</xdr:rowOff>
    </xdr:from>
    <xdr:to>
      <xdr:col>9</xdr:col>
      <xdr:colOff>606793</xdr:colOff>
      <xdr:row>12</xdr:row>
      <xdr:rowOff>78135</xdr:rowOff>
    </xdr:to>
    <xdr:sp macro="" textlink="">
      <xdr:nvSpPr>
        <xdr:cNvPr id="34" name="Text Box 231">
          <a:extLst>
            <a:ext uri="{FF2B5EF4-FFF2-40B4-BE49-F238E27FC236}">
              <a16:creationId xmlns:a16="http://schemas.microsoft.com/office/drawing/2014/main" id="{00000000-0008-0000-0300-000022000000}"/>
            </a:ext>
          </a:extLst>
        </xdr:cNvPr>
        <xdr:cNvSpPr txBox="1">
          <a:spLocks noChangeArrowheads="1"/>
        </xdr:cNvSpPr>
      </xdr:nvSpPr>
      <xdr:spPr bwMode="auto">
        <a:xfrm>
          <a:off x="9775359" y="1814459"/>
          <a:ext cx="465291" cy="223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CS(out)</a:t>
          </a:r>
        </a:p>
      </xdr:txBody>
    </xdr:sp>
    <xdr:clientData/>
  </xdr:twoCellAnchor>
  <xdr:twoCellAnchor>
    <xdr:from>
      <xdr:col>1</xdr:col>
      <xdr:colOff>575103</xdr:colOff>
      <xdr:row>15</xdr:row>
      <xdr:rowOff>71293</xdr:rowOff>
    </xdr:from>
    <xdr:to>
      <xdr:col>1</xdr:col>
      <xdr:colOff>1033728</xdr:colOff>
      <xdr:row>16</xdr:row>
      <xdr:rowOff>121097</xdr:rowOff>
    </xdr:to>
    <xdr:sp macro="" textlink="">
      <xdr:nvSpPr>
        <xdr:cNvPr id="35" name="Text Box 233">
          <a:extLst>
            <a:ext uri="{FF2B5EF4-FFF2-40B4-BE49-F238E27FC236}">
              <a16:creationId xmlns:a16="http://schemas.microsoft.com/office/drawing/2014/main" id="{00000000-0008-0000-0300-000023000000}"/>
            </a:ext>
          </a:extLst>
        </xdr:cNvPr>
        <xdr:cNvSpPr txBox="1">
          <a:spLocks noChangeArrowheads="1"/>
        </xdr:cNvSpPr>
      </xdr:nvSpPr>
      <xdr:spPr bwMode="auto">
        <a:xfrm>
          <a:off x="1213278" y="2500168"/>
          <a:ext cx="458625" cy="21172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DITH</a:t>
          </a:r>
        </a:p>
      </xdr:txBody>
    </xdr:sp>
    <xdr:clientData/>
  </xdr:twoCellAnchor>
  <xdr:twoCellAnchor>
    <xdr:from>
      <xdr:col>7</xdr:col>
      <xdr:colOff>920230</xdr:colOff>
      <xdr:row>27</xdr:row>
      <xdr:rowOff>76146</xdr:rowOff>
    </xdr:from>
    <xdr:to>
      <xdr:col>8</xdr:col>
      <xdr:colOff>33391</xdr:colOff>
      <xdr:row>28</xdr:row>
      <xdr:rowOff>131403</xdr:rowOff>
    </xdr:to>
    <xdr:sp macro="" textlink="">
      <xdr:nvSpPr>
        <xdr:cNvPr id="36" name="Text Box 234">
          <a:extLst>
            <a:ext uri="{FF2B5EF4-FFF2-40B4-BE49-F238E27FC236}">
              <a16:creationId xmlns:a16="http://schemas.microsoft.com/office/drawing/2014/main" id="{00000000-0008-0000-0300-000024000000}"/>
            </a:ext>
          </a:extLst>
        </xdr:cNvPr>
        <xdr:cNvSpPr txBox="1">
          <a:spLocks noChangeArrowheads="1"/>
        </xdr:cNvSpPr>
      </xdr:nvSpPr>
      <xdr:spPr bwMode="auto">
        <a:xfrm>
          <a:off x="8502130" y="4448121"/>
          <a:ext cx="189486" cy="21718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a:t>
          </a:r>
        </a:p>
      </xdr:txBody>
    </xdr:sp>
    <xdr:clientData/>
  </xdr:twoCellAnchor>
  <xdr:twoCellAnchor>
    <xdr:from>
      <xdr:col>7</xdr:col>
      <xdr:colOff>423180</xdr:colOff>
      <xdr:row>14</xdr:row>
      <xdr:rowOff>151191</xdr:rowOff>
    </xdr:from>
    <xdr:to>
      <xdr:col>7</xdr:col>
      <xdr:colOff>765561</xdr:colOff>
      <xdr:row>16</xdr:row>
      <xdr:rowOff>38470</xdr:rowOff>
    </xdr:to>
    <xdr:sp macro="" textlink="">
      <xdr:nvSpPr>
        <xdr:cNvPr id="37" name="Text Box 235">
          <a:extLst>
            <a:ext uri="{FF2B5EF4-FFF2-40B4-BE49-F238E27FC236}">
              <a16:creationId xmlns:a16="http://schemas.microsoft.com/office/drawing/2014/main" id="{00000000-0008-0000-0300-000025000000}"/>
            </a:ext>
          </a:extLst>
        </xdr:cNvPr>
        <xdr:cNvSpPr txBox="1">
          <a:spLocks noChangeArrowheads="1"/>
        </xdr:cNvSpPr>
      </xdr:nvSpPr>
      <xdr:spPr bwMode="auto">
        <a:xfrm>
          <a:off x="8005080" y="2418141"/>
          <a:ext cx="342381" cy="2111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4</xdr:col>
      <xdr:colOff>120315</xdr:colOff>
      <xdr:row>40</xdr:row>
      <xdr:rowOff>73324</xdr:rowOff>
    </xdr:from>
    <xdr:to>
      <xdr:col>4</xdr:col>
      <xdr:colOff>524058</xdr:colOff>
      <xdr:row>41</xdr:row>
      <xdr:rowOff>126640</xdr:rowOff>
    </xdr:to>
    <xdr:sp macro="" textlink="">
      <xdr:nvSpPr>
        <xdr:cNvPr id="38" name="Text Box 243">
          <a:extLst>
            <a:ext uri="{FF2B5EF4-FFF2-40B4-BE49-F238E27FC236}">
              <a16:creationId xmlns:a16="http://schemas.microsoft.com/office/drawing/2014/main" id="{00000000-0008-0000-0300-000026000000}"/>
            </a:ext>
          </a:extLst>
        </xdr:cNvPr>
        <xdr:cNvSpPr txBox="1">
          <a:spLocks noChangeArrowheads="1"/>
        </xdr:cNvSpPr>
      </xdr:nvSpPr>
      <xdr:spPr bwMode="auto">
        <a:xfrm>
          <a:off x="4530390" y="6550324"/>
          <a:ext cx="403743" cy="2152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100pF</a:t>
          </a:r>
        </a:p>
      </xdr:txBody>
    </xdr:sp>
    <xdr:clientData/>
  </xdr:twoCellAnchor>
  <xdr:twoCellAnchor>
    <xdr:from>
      <xdr:col>7</xdr:col>
      <xdr:colOff>230281</xdr:colOff>
      <xdr:row>19</xdr:row>
      <xdr:rowOff>118899</xdr:rowOff>
    </xdr:from>
    <xdr:to>
      <xdr:col>7</xdr:col>
      <xdr:colOff>481762</xdr:colOff>
      <xdr:row>20</xdr:row>
      <xdr:rowOff>159567</xdr:rowOff>
    </xdr:to>
    <xdr:sp macro="" textlink="">
      <xdr:nvSpPr>
        <xdr:cNvPr id="39" name="Text Box 244">
          <a:extLst>
            <a:ext uri="{FF2B5EF4-FFF2-40B4-BE49-F238E27FC236}">
              <a16:creationId xmlns:a16="http://schemas.microsoft.com/office/drawing/2014/main" id="{00000000-0008-0000-0300-000027000000}"/>
            </a:ext>
          </a:extLst>
        </xdr:cNvPr>
        <xdr:cNvSpPr txBox="1">
          <a:spLocks noChangeArrowheads="1"/>
        </xdr:cNvSpPr>
      </xdr:nvSpPr>
      <xdr:spPr bwMode="auto">
        <a:xfrm>
          <a:off x="7810867" y="3239158"/>
          <a:ext cx="251481" cy="2048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2</xdr:col>
      <xdr:colOff>690613</xdr:colOff>
      <xdr:row>7</xdr:row>
      <xdr:rowOff>112069</xdr:rowOff>
    </xdr:from>
    <xdr:to>
      <xdr:col>2</xdr:col>
      <xdr:colOff>1019019</xdr:colOff>
      <xdr:row>9</xdr:row>
      <xdr:rowOff>13359</xdr:rowOff>
    </xdr:to>
    <xdr:sp macro="" textlink="">
      <xdr:nvSpPr>
        <xdr:cNvPr id="40" name="Text Box 245">
          <a:extLst>
            <a:ext uri="{FF2B5EF4-FFF2-40B4-BE49-F238E27FC236}">
              <a16:creationId xmlns:a16="http://schemas.microsoft.com/office/drawing/2014/main" id="{00000000-0008-0000-0300-000028000000}"/>
            </a:ext>
          </a:extLst>
        </xdr:cNvPr>
        <xdr:cNvSpPr txBox="1">
          <a:spLocks noChangeArrowheads="1"/>
        </xdr:cNvSpPr>
      </xdr:nvSpPr>
      <xdr:spPr bwMode="auto">
        <a:xfrm>
          <a:off x="2681338" y="1245544"/>
          <a:ext cx="328406" cy="22514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2</xdr:col>
      <xdr:colOff>604626</xdr:colOff>
      <xdr:row>4</xdr:row>
      <xdr:rowOff>101811</xdr:rowOff>
    </xdr:from>
    <xdr:to>
      <xdr:col>2</xdr:col>
      <xdr:colOff>930926</xdr:colOff>
      <xdr:row>5</xdr:row>
      <xdr:rowOff>137577</xdr:rowOff>
    </xdr:to>
    <xdr:sp macro="" textlink="">
      <xdr:nvSpPr>
        <xdr:cNvPr id="41" name="Text Box 246">
          <a:extLst>
            <a:ext uri="{FF2B5EF4-FFF2-40B4-BE49-F238E27FC236}">
              <a16:creationId xmlns:a16="http://schemas.microsoft.com/office/drawing/2014/main" id="{00000000-0008-0000-0300-000029000000}"/>
            </a:ext>
          </a:extLst>
        </xdr:cNvPr>
        <xdr:cNvSpPr txBox="1">
          <a:spLocks noChangeArrowheads="1"/>
        </xdr:cNvSpPr>
      </xdr:nvSpPr>
      <xdr:spPr bwMode="auto">
        <a:xfrm>
          <a:off x="2595351" y="749511"/>
          <a:ext cx="326300" cy="197691"/>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420809</xdr:colOff>
      <xdr:row>5</xdr:row>
      <xdr:rowOff>36340</xdr:rowOff>
    </xdr:from>
    <xdr:to>
      <xdr:col>4</xdr:col>
      <xdr:colOff>941827</xdr:colOff>
      <xdr:row>6</xdr:row>
      <xdr:rowOff>104790</xdr:rowOff>
    </xdr:to>
    <xdr:sp macro="" textlink="">
      <xdr:nvSpPr>
        <xdr:cNvPr id="42" name="Text Box 248">
          <a:extLst>
            <a:ext uri="{FF2B5EF4-FFF2-40B4-BE49-F238E27FC236}">
              <a16:creationId xmlns:a16="http://schemas.microsoft.com/office/drawing/2014/main" id="{00000000-0008-0000-0300-00002A000000}"/>
            </a:ext>
          </a:extLst>
        </xdr:cNvPr>
        <xdr:cNvSpPr txBox="1">
          <a:spLocks noChangeArrowheads="1"/>
        </xdr:cNvSpPr>
      </xdr:nvSpPr>
      <xdr:spPr bwMode="auto">
        <a:xfrm>
          <a:off x="4830884" y="845965"/>
          <a:ext cx="521018" cy="23037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681590</xdr:colOff>
      <xdr:row>20</xdr:row>
      <xdr:rowOff>92429</xdr:rowOff>
    </xdr:from>
    <xdr:to>
      <xdr:col>5</xdr:col>
      <xdr:colOff>1050728</xdr:colOff>
      <xdr:row>21</xdr:row>
      <xdr:rowOff>132267</xdr:rowOff>
    </xdr:to>
    <xdr:sp macro="" textlink="">
      <xdr:nvSpPr>
        <xdr:cNvPr id="43" name="Text Box 249">
          <a:extLst>
            <a:ext uri="{FF2B5EF4-FFF2-40B4-BE49-F238E27FC236}">
              <a16:creationId xmlns:a16="http://schemas.microsoft.com/office/drawing/2014/main" id="{00000000-0008-0000-0300-00002B000000}"/>
            </a:ext>
          </a:extLst>
        </xdr:cNvPr>
        <xdr:cNvSpPr txBox="1">
          <a:spLocks noChangeArrowheads="1"/>
        </xdr:cNvSpPr>
      </xdr:nvSpPr>
      <xdr:spPr bwMode="auto">
        <a:xfrm>
          <a:off x="6239220" y="3405472"/>
          <a:ext cx="369138" cy="20549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1</xdr:col>
      <xdr:colOff>615609</xdr:colOff>
      <xdr:row>25</xdr:row>
      <xdr:rowOff>16697</xdr:rowOff>
    </xdr:from>
    <xdr:to>
      <xdr:col>1</xdr:col>
      <xdr:colOff>941178</xdr:colOff>
      <xdr:row>26</xdr:row>
      <xdr:rowOff>87108</xdr:rowOff>
    </xdr:to>
    <xdr:sp macro="" textlink="">
      <xdr:nvSpPr>
        <xdr:cNvPr id="45" name="Text Box 251">
          <a:extLst>
            <a:ext uri="{FF2B5EF4-FFF2-40B4-BE49-F238E27FC236}">
              <a16:creationId xmlns:a16="http://schemas.microsoft.com/office/drawing/2014/main" id="{00000000-0008-0000-0300-00002D000000}"/>
            </a:ext>
          </a:extLst>
        </xdr:cNvPr>
        <xdr:cNvSpPr txBox="1">
          <a:spLocks noChangeArrowheads="1"/>
        </xdr:cNvSpPr>
      </xdr:nvSpPr>
      <xdr:spPr bwMode="auto">
        <a:xfrm>
          <a:off x="1253370" y="4158001"/>
          <a:ext cx="325569" cy="2360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1</xdr:col>
      <xdr:colOff>620109</xdr:colOff>
      <xdr:row>35</xdr:row>
      <xdr:rowOff>18502</xdr:rowOff>
    </xdr:from>
    <xdr:to>
      <xdr:col>1</xdr:col>
      <xdr:colOff>975998</xdr:colOff>
      <xdr:row>36</xdr:row>
      <xdr:rowOff>58189</xdr:rowOff>
    </xdr:to>
    <xdr:sp macro="" textlink="">
      <xdr:nvSpPr>
        <xdr:cNvPr id="46" name="Text Box 255">
          <a:extLst>
            <a:ext uri="{FF2B5EF4-FFF2-40B4-BE49-F238E27FC236}">
              <a16:creationId xmlns:a16="http://schemas.microsoft.com/office/drawing/2014/main" id="{00000000-0008-0000-0300-00002E000000}"/>
            </a:ext>
          </a:extLst>
        </xdr:cNvPr>
        <xdr:cNvSpPr txBox="1">
          <a:spLocks noChangeArrowheads="1"/>
        </xdr:cNvSpPr>
      </xdr:nvSpPr>
      <xdr:spPr bwMode="auto">
        <a:xfrm>
          <a:off x="1258284" y="5685877"/>
          <a:ext cx="355889" cy="20161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0</xdr:col>
      <xdr:colOff>248672</xdr:colOff>
      <xdr:row>28</xdr:row>
      <xdr:rowOff>99817</xdr:rowOff>
    </xdr:from>
    <xdr:to>
      <xdr:col>0</xdr:col>
      <xdr:colOff>496177</xdr:colOff>
      <xdr:row>29</xdr:row>
      <xdr:rowOff>147296</xdr:rowOff>
    </xdr:to>
    <xdr:sp macro="" textlink="">
      <xdr:nvSpPr>
        <xdr:cNvPr id="47" name="Text Box 256">
          <a:extLst>
            <a:ext uri="{FF2B5EF4-FFF2-40B4-BE49-F238E27FC236}">
              <a16:creationId xmlns:a16="http://schemas.microsoft.com/office/drawing/2014/main" id="{00000000-0008-0000-0300-00002F000000}"/>
            </a:ext>
          </a:extLst>
        </xdr:cNvPr>
        <xdr:cNvSpPr txBox="1">
          <a:spLocks noChangeArrowheads="1"/>
        </xdr:cNvSpPr>
      </xdr:nvSpPr>
      <xdr:spPr bwMode="auto">
        <a:xfrm>
          <a:off x="248672" y="4633717"/>
          <a:ext cx="247505" cy="20940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xdr:col>
      <xdr:colOff>513058</xdr:colOff>
      <xdr:row>32</xdr:row>
      <xdr:rowOff>14364</xdr:rowOff>
    </xdr:from>
    <xdr:to>
      <xdr:col>1</xdr:col>
      <xdr:colOff>826519</xdr:colOff>
      <xdr:row>33</xdr:row>
      <xdr:rowOff>80087</xdr:rowOff>
    </xdr:to>
    <xdr:sp macro="" textlink="">
      <xdr:nvSpPr>
        <xdr:cNvPr id="48" name="Text Box 257">
          <a:extLst>
            <a:ext uri="{FF2B5EF4-FFF2-40B4-BE49-F238E27FC236}">
              <a16:creationId xmlns:a16="http://schemas.microsoft.com/office/drawing/2014/main" id="{00000000-0008-0000-0300-000030000000}"/>
            </a:ext>
          </a:extLst>
        </xdr:cNvPr>
        <xdr:cNvSpPr txBox="1">
          <a:spLocks noChangeArrowheads="1"/>
        </xdr:cNvSpPr>
      </xdr:nvSpPr>
      <xdr:spPr bwMode="auto">
        <a:xfrm>
          <a:off x="1151233" y="5195964"/>
          <a:ext cx="313461" cy="2276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373551</xdr:colOff>
      <xdr:row>29</xdr:row>
      <xdr:rowOff>70727</xdr:rowOff>
    </xdr:from>
    <xdr:to>
      <xdr:col>1</xdr:col>
      <xdr:colOff>865344</xdr:colOff>
      <xdr:row>30</xdr:row>
      <xdr:rowOff>141637</xdr:rowOff>
    </xdr:to>
    <xdr:sp macro="" textlink="">
      <xdr:nvSpPr>
        <xdr:cNvPr id="49" name="Text Box 258">
          <a:extLst>
            <a:ext uri="{FF2B5EF4-FFF2-40B4-BE49-F238E27FC236}">
              <a16:creationId xmlns:a16="http://schemas.microsoft.com/office/drawing/2014/main" id="{00000000-0008-0000-0300-000031000000}"/>
            </a:ext>
          </a:extLst>
        </xdr:cNvPr>
        <xdr:cNvSpPr txBox="1">
          <a:spLocks noChangeArrowheads="1"/>
        </xdr:cNvSpPr>
      </xdr:nvSpPr>
      <xdr:spPr bwMode="auto">
        <a:xfrm>
          <a:off x="1011726" y="4766552"/>
          <a:ext cx="491793" cy="23283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3</xdr:col>
      <xdr:colOff>995933</xdr:colOff>
      <xdr:row>40</xdr:row>
      <xdr:rowOff>24379</xdr:rowOff>
    </xdr:from>
    <xdr:to>
      <xdr:col>4</xdr:col>
      <xdr:colOff>8382</xdr:colOff>
      <xdr:row>41</xdr:row>
      <xdr:rowOff>74707</xdr:rowOff>
    </xdr:to>
    <xdr:sp macro="" textlink="">
      <xdr:nvSpPr>
        <xdr:cNvPr id="50" name="Text Box 259">
          <a:extLst>
            <a:ext uri="{FF2B5EF4-FFF2-40B4-BE49-F238E27FC236}">
              <a16:creationId xmlns:a16="http://schemas.microsoft.com/office/drawing/2014/main" id="{00000000-0008-0000-0300-000032000000}"/>
            </a:ext>
          </a:extLst>
        </xdr:cNvPr>
        <xdr:cNvSpPr txBox="1">
          <a:spLocks noChangeArrowheads="1"/>
        </xdr:cNvSpPr>
      </xdr:nvSpPr>
      <xdr:spPr bwMode="auto">
        <a:xfrm>
          <a:off x="4062983" y="6501379"/>
          <a:ext cx="355474" cy="21225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5</xdr:col>
      <xdr:colOff>680852</xdr:colOff>
      <xdr:row>22</xdr:row>
      <xdr:rowOff>30506</xdr:rowOff>
    </xdr:from>
    <xdr:to>
      <xdr:col>5</xdr:col>
      <xdr:colOff>1092245</xdr:colOff>
      <xdr:row>23</xdr:row>
      <xdr:rowOff>102262</xdr:rowOff>
    </xdr:to>
    <xdr:sp macro="" textlink="">
      <xdr:nvSpPr>
        <xdr:cNvPr id="51" name="Text Box 260">
          <a:extLst>
            <a:ext uri="{FF2B5EF4-FFF2-40B4-BE49-F238E27FC236}">
              <a16:creationId xmlns:a16="http://schemas.microsoft.com/office/drawing/2014/main" id="{00000000-0008-0000-0300-000033000000}"/>
            </a:ext>
          </a:extLst>
        </xdr:cNvPr>
        <xdr:cNvSpPr txBox="1">
          <a:spLocks noChangeArrowheads="1"/>
        </xdr:cNvSpPr>
      </xdr:nvSpPr>
      <xdr:spPr bwMode="auto">
        <a:xfrm>
          <a:off x="6238197" y="3643437"/>
          <a:ext cx="411393" cy="2359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1</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475307</xdr:colOff>
      <xdr:row>33</xdr:row>
      <xdr:rowOff>47050</xdr:rowOff>
    </xdr:from>
    <xdr:to>
      <xdr:col>1</xdr:col>
      <xdr:colOff>976607</xdr:colOff>
      <xdr:row>34</xdr:row>
      <xdr:rowOff>93389</xdr:rowOff>
    </xdr:to>
    <xdr:sp macro="" textlink="'Variable Management'!B493">
      <xdr:nvSpPr>
        <xdr:cNvPr id="52" name="Text Box 261">
          <a:extLst>
            <a:ext uri="{FF2B5EF4-FFF2-40B4-BE49-F238E27FC236}">
              <a16:creationId xmlns:a16="http://schemas.microsoft.com/office/drawing/2014/main" id="{00000000-0008-0000-0300-000034000000}"/>
            </a:ext>
          </a:extLst>
        </xdr:cNvPr>
        <xdr:cNvSpPr txBox="1">
          <a:spLocks noChangeArrowheads="1" noTextEdit="1"/>
        </xdr:cNvSpPr>
      </xdr:nvSpPr>
      <xdr:spPr bwMode="auto">
        <a:xfrm>
          <a:off x="1113482" y="5390575"/>
          <a:ext cx="501300" cy="208264"/>
        </a:xfrm>
        <a:prstGeom prst="rect">
          <a:avLst/>
        </a:prstGeom>
        <a:noFill/>
        <a:ln w="9525">
          <a:noFill/>
          <a:miter lim="800000"/>
          <a:headEnd/>
          <a:tailEnd/>
        </a:ln>
      </xdr:spPr>
      <xdr:txBody>
        <a:bodyPr vertOverflow="clip" wrap="square" lIns="27432" tIns="22860" rIns="0" bIns="0" anchor="t" upright="1"/>
        <a:lstStyle/>
        <a:p>
          <a:pPr algn="l" rtl="0">
            <a:defRPr sz="1000"/>
          </a:pPr>
          <a:fld id="{491934A6-59AB-480F-A883-A2630DEA4784}" type="TxLink">
            <a:rPr lang="en-US" sz="1000" b="0" i="0" u="none" strike="noStrike" baseline="0">
              <a:solidFill>
                <a:srgbClr val="000000"/>
              </a:solidFill>
              <a:latin typeface="Arial" pitchFamily="34" charset="0"/>
              <a:cs typeface="Arial" pitchFamily="34" charset="0"/>
            </a:rPr>
            <a:pPr algn="l" rtl="0">
              <a:defRPr sz="1000"/>
            </a:pPr>
            <a:t>100nF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65780</xdr:colOff>
      <xdr:row>29</xdr:row>
      <xdr:rowOff>152907</xdr:rowOff>
    </xdr:from>
    <xdr:to>
      <xdr:col>0</xdr:col>
      <xdr:colOff>493109</xdr:colOff>
      <xdr:row>31</xdr:row>
      <xdr:rowOff>28938</xdr:rowOff>
    </xdr:to>
    <xdr:sp macro="" textlink="'Variable Management'!B494">
      <xdr:nvSpPr>
        <xdr:cNvPr id="53" name="Text Box 262">
          <a:extLst>
            <a:ext uri="{FF2B5EF4-FFF2-40B4-BE49-F238E27FC236}">
              <a16:creationId xmlns:a16="http://schemas.microsoft.com/office/drawing/2014/main" id="{00000000-0008-0000-0300-000035000000}"/>
            </a:ext>
          </a:extLst>
        </xdr:cNvPr>
        <xdr:cNvSpPr txBox="1">
          <a:spLocks noChangeArrowheads="1" noTextEdit="1"/>
        </xdr:cNvSpPr>
      </xdr:nvSpPr>
      <xdr:spPr bwMode="auto">
        <a:xfrm>
          <a:off x="65780" y="4848732"/>
          <a:ext cx="427329" cy="199881"/>
        </a:xfrm>
        <a:prstGeom prst="rect">
          <a:avLst/>
        </a:prstGeom>
        <a:noFill/>
        <a:ln w="9525">
          <a:noFill/>
          <a:miter lim="800000"/>
          <a:headEnd/>
          <a:tailEnd/>
        </a:ln>
      </xdr:spPr>
      <xdr:txBody>
        <a:bodyPr vertOverflow="clip" wrap="square" lIns="27432" tIns="22860" rIns="0" bIns="0" anchor="t"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308705</xdr:colOff>
      <xdr:row>36</xdr:row>
      <xdr:rowOff>59874</xdr:rowOff>
    </xdr:from>
    <xdr:to>
      <xdr:col>1</xdr:col>
      <xdr:colOff>915457</xdr:colOff>
      <xdr:row>37</xdr:row>
      <xdr:rowOff>101302</xdr:rowOff>
    </xdr:to>
    <xdr:sp macro="" textlink="'Variable Management'!B503">
      <xdr:nvSpPr>
        <xdr:cNvPr id="54" name="Text Box 264">
          <a:extLst>
            <a:ext uri="{FF2B5EF4-FFF2-40B4-BE49-F238E27FC236}">
              <a16:creationId xmlns:a16="http://schemas.microsoft.com/office/drawing/2014/main" id="{00000000-0008-0000-0300-000036000000}"/>
            </a:ext>
          </a:extLst>
        </xdr:cNvPr>
        <xdr:cNvSpPr txBox="1">
          <a:spLocks noChangeArrowheads="1" noTextEdit="1"/>
        </xdr:cNvSpPr>
      </xdr:nvSpPr>
      <xdr:spPr bwMode="auto">
        <a:xfrm>
          <a:off x="946880" y="5889174"/>
          <a:ext cx="606752" cy="203353"/>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6.04kΩ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331510</xdr:colOff>
      <xdr:row>6</xdr:row>
      <xdr:rowOff>15898</xdr:rowOff>
    </xdr:from>
    <xdr:to>
      <xdr:col>1</xdr:col>
      <xdr:colOff>150224</xdr:colOff>
      <xdr:row>7</xdr:row>
      <xdr:rowOff>105957</xdr:rowOff>
    </xdr:to>
    <xdr:sp macro="" textlink="'Variable Management'!B495">
      <xdr:nvSpPr>
        <xdr:cNvPr id="55" name="Text Box 265">
          <a:extLst>
            <a:ext uri="{FF2B5EF4-FFF2-40B4-BE49-F238E27FC236}">
              <a16:creationId xmlns:a16="http://schemas.microsoft.com/office/drawing/2014/main" id="{00000000-0008-0000-0300-000037000000}"/>
            </a:ext>
          </a:extLst>
        </xdr:cNvPr>
        <xdr:cNvSpPr txBox="1">
          <a:spLocks noChangeArrowheads="1" noTextEdit="1"/>
        </xdr:cNvSpPr>
      </xdr:nvSpPr>
      <xdr:spPr bwMode="auto">
        <a:xfrm>
          <a:off x="331510" y="987448"/>
          <a:ext cx="399739" cy="251984"/>
        </a:xfrm>
        <a:prstGeom prst="rect">
          <a:avLst/>
        </a:prstGeom>
        <a:noFill/>
        <a:ln w="9525">
          <a:noFill/>
          <a:miter lim="800000"/>
          <a:headEnd/>
          <a:tailEnd/>
        </a:ln>
      </xdr:spPr>
      <xdr:txBody>
        <a:bodyPr vertOverflow="clip" wrap="square" lIns="27432" tIns="22860" rIns="0" bIns="0" anchor="t" upright="1"/>
        <a:lstStyle/>
        <a:p>
          <a:pPr algn="ctr" rtl="0">
            <a:defRPr sz="1000"/>
          </a:pPr>
          <a:fld id="{8A5847E3-10F5-4FFF-8A55-57AE8AD8F48A}" type="TxLink">
            <a:rPr lang="el-GR" sz="1000" b="0" i="0" u="none" strike="noStrike" baseline="0">
              <a:solidFill>
                <a:srgbClr val="000000"/>
              </a:solidFill>
              <a:latin typeface="Arial" pitchFamily="34" charset="0"/>
              <a:cs typeface="Arial" pitchFamily="34" charset="0"/>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342427</xdr:colOff>
      <xdr:row>23</xdr:row>
      <xdr:rowOff>11119</xdr:rowOff>
    </xdr:from>
    <xdr:to>
      <xdr:col>1</xdr:col>
      <xdr:colOff>241897</xdr:colOff>
      <xdr:row>24</xdr:row>
      <xdr:rowOff>30597</xdr:rowOff>
    </xdr:to>
    <xdr:sp macro="" textlink="'Variable Management'!B500">
      <xdr:nvSpPr>
        <xdr:cNvPr id="56" name="Text Box 266">
          <a:extLst>
            <a:ext uri="{FF2B5EF4-FFF2-40B4-BE49-F238E27FC236}">
              <a16:creationId xmlns:a16="http://schemas.microsoft.com/office/drawing/2014/main" id="{00000000-0008-0000-0300-000038000000}"/>
            </a:ext>
          </a:extLst>
        </xdr:cNvPr>
        <xdr:cNvSpPr txBox="1">
          <a:spLocks noChangeArrowheads="1" noTextEdit="1"/>
        </xdr:cNvSpPr>
      </xdr:nvSpPr>
      <xdr:spPr bwMode="auto">
        <a:xfrm>
          <a:off x="342427" y="3821119"/>
          <a:ext cx="537231" cy="185130"/>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138114</xdr:colOff>
      <xdr:row>39</xdr:row>
      <xdr:rowOff>24182</xdr:rowOff>
    </xdr:from>
    <xdr:to>
      <xdr:col>2</xdr:col>
      <xdr:colOff>737223</xdr:colOff>
      <xdr:row>40</xdr:row>
      <xdr:rowOff>100589</xdr:rowOff>
    </xdr:to>
    <xdr:sp macro="" textlink="'Variable Management'!B502">
      <xdr:nvSpPr>
        <xdr:cNvPr id="58" name="Text Box 268">
          <a:extLst>
            <a:ext uri="{FF2B5EF4-FFF2-40B4-BE49-F238E27FC236}">
              <a16:creationId xmlns:a16="http://schemas.microsoft.com/office/drawing/2014/main" id="{00000000-0008-0000-0300-00003A000000}"/>
            </a:ext>
          </a:extLst>
        </xdr:cNvPr>
        <xdr:cNvSpPr txBox="1">
          <a:spLocks noChangeArrowheads="1" noTextEdit="1"/>
        </xdr:cNvSpPr>
      </xdr:nvSpPr>
      <xdr:spPr bwMode="auto">
        <a:xfrm>
          <a:off x="2128839" y="6339257"/>
          <a:ext cx="599109" cy="238332"/>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82kΩ</a:t>
          </a:fld>
          <a:endParaRPr lang="el-GR" sz="1000" b="0" i="0" strike="noStrike">
            <a:solidFill>
              <a:srgbClr val="000000"/>
            </a:solidFill>
            <a:latin typeface="Arial" pitchFamily="34" charset="0"/>
            <a:cs typeface="Arial" pitchFamily="34" charset="0"/>
          </a:endParaRPr>
        </a:p>
      </xdr:txBody>
    </xdr:sp>
    <xdr:clientData/>
  </xdr:twoCellAnchor>
  <xdr:twoCellAnchor>
    <xdr:from>
      <xdr:col>7</xdr:col>
      <xdr:colOff>871333</xdr:colOff>
      <xdr:row>28</xdr:row>
      <xdr:rowOff>94989</xdr:rowOff>
    </xdr:from>
    <xdr:to>
      <xdr:col>8</xdr:col>
      <xdr:colOff>238953</xdr:colOff>
      <xdr:row>29</xdr:row>
      <xdr:rowOff>153991</xdr:rowOff>
    </xdr:to>
    <xdr:sp macro="" textlink="'Variable Management'!B479">
      <xdr:nvSpPr>
        <xdr:cNvPr id="59" name="Text Box 269">
          <a:extLst>
            <a:ext uri="{FF2B5EF4-FFF2-40B4-BE49-F238E27FC236}">
              <a16:creationId xmlns:a16="http://schemas.microsoft.com/office/drawing/2014/main" id="{00000000-0008-0000-0300-00003B000000}"/>
            </a:ext>
          </a:extLst>
        </xdr:cNvPr>
        <xdr:cNvSpPr txBox="1">
          <a:spLocks noChangeArrowheads="1" noTextEdit="1"/>
        </xdr:cNvSpPr>
      </xdr:nvSpPr>
      <xdr:spPr bwMode="auto">
        <a:xfrm>
          <a:off x="8453233" y="4628889"/>
          <a:ext cx="443945" cy="220927"/>
        </a:xfrm>
        <a:prstGeom prst="rect">
          <a:avLst/>
        </a:prstGeom>
        <a:noFill/>
        <a:ln w="9525">
          <a:noFill/>
          <a:miter lim="800000"/>
          <a:headEnd/>
          <a:tailEnd/>
        </a:ln>
      </xdr:spPr>
      <xdr:txBody>
        <a:bodyPr vertOverflow="clip" wrap="square" lIns="27432" tIns="22860" rIns="0" bIns="0" anchor="t" upright="1"/>
        <a:lstStyle/>
        <a:p>
          <a:pPr algn="l" rtl="0">
            <a:defRPr sz="1000"/>
          </a:pPr>
          <a:fld id="{93CAFF9C-D0F9-46B6-B2B7-EF65E2F3688F}" type="TxLink">
            <a:rPr lang="en-US" sz="1000" b="0" i="0" u="none" strike="noStrike" baseline="0">
              <a:solidFill>
                <a:srgbClr val="000000"/>
              </a:solidFill>
              <a:latin typeface="Arialri"/>
              <a:cs typeface="Arial" pitchFamily="34" charset="0"/>
            </a:rPr>
            <a:pPr algn="l" rtl="0">
              <a:defRPr sz="1000"/>
            </a:pPr>
            <a:t>2.5mΩ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9</xdr:col>
      <xdr:colOff>152402</xdr:colOff>
      <xdr:row>12</xdr:row>
      <xdr:rowOff>50107</xdr:rowOff>
    </xdr:from>
    <xdr:to>
      <xdr:col>9</xdr:col>
      <xdr:colOff>720245</xdr:colOff>
      <xdr:row>13</xdr:row>
      <xdr:rowOff>96840</xdr:rowOff>
    </xdr:to>
    <xdr:sp macro="" textlink="'Variable Management'!B515">
      <xdr:nvSpPr>
        <xdr:cNvPr id="60" name="Text Box 270">
          <a:extLst>
            <a:ext uri="{FF2B5EF4-FFF2-40B4-BE49-F238E27FC236}">
              <a16:creationId xmlns:a16="http://schemas.microsoft.com/office/drawing/2014/main" id="{00000000-0008-0000-0300-00003C000000}"/>
            </a:ext>
          </a:extLst>
        </xdr:cNvPr>
        <xdr:cNvSpPr txBox="1">
          <a:spLocks noChangeArrowheads="1" noTextEdit="1"/>
        </xdr:cNvSpPr>
      </xdr:nvSpPr>
      <xdr:spPr bwMode="auto">
        <a:xfrm>
          <a:off x="9791702" y="1993207"/>
          <a:ext cx="567843" cy="208658"/>
        </a:xfrm>
        <a:prstGeom prst="rect">
          <a:avLst/>
        </a:prstGeom>
        <a:noFill/>
        <a:ln w="9525">
          <a:noFill/>
          <a:miter lim="800000"/>
          <a:headEnd/>
          <a:tailEnd/>
        </a:ln>
      </xdr:spPr>
      <xdr:txBody>
        <a:bodyPr vertOverflow="clip" wrap="square" lIns="27432" tIns="22860" rIns="0" bIns="0" anchor="t" upright="1"/>
        <a:lstStyle/>
        <a:p>
          <a:pPr algn="l" rtl="0">
            <a:defRPr sz="1000"/>
          </a:pPr>
          <a:fld id="{7B92BB06-DA54-414A-9DCD-8FA61A7BAA13}" type="TxLink">
            <a:rPr lang="en-US" sz="1000" b="0" i="0" u="none" strike="noStrike" baseline="0">
              <a:solidFill>
                <a:srgbClr val="000000"/>
              </a:solidFill>
              <a:latin typeface="Arialri"/>
              <a:cs typeface="Arial" pitchFamily="34" charset="0"/>
            </a:rPr>
            <a:pPr algn="l" rtl="0">
              <a:defRPr sz="1000"/>
            </a:pPr>
            <a:t>10mΩ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429021</xdr:colOff>
      <xdr:row>16</xdr:row>
      <xdr:rowOff>76214</xdr:rowOff>
    </xdr:from>
    <xdr:to>
      <xdr:col>1</xdr:col>
      <xdr:colOff>907105</xdr:colOff>
      <xdr:row>18</xdr:row>
      <xdr:rowOff>1354</xdr:rowOff>
    </xdr:to>
    <xdr:sp macro="" textlink="'Variable Management'!B511">
      <xdr:nvSpPr>
        <xdr:cNvPr id="61" name="Text Box 274">
          <a:extLst>
            <a:ext uri="{FF2B5EF4-FFF2-40B4-BE49-F238E27FC236}">
              <a16:creationId xmlns:a16="http://schemas.microsoft.com/office/drawing/2014/main" id="{00000000-0008-0000-0300-00003D000000}"/>
            </a:ext>
          </a:extLst>
        </xdr:cNvPr>
        <xdr:cNvSpPr txBox="1">
          <a:spLocks noChangeArrowheads="1" noTextEdit="1"/>
        </xdr:cNvSpPr>
      </xdr:nvSpPr>
      <xdr:spPr bwMode="auto">
        <a:xfrm>
          <a:off x="1067196" y="2667014"/>
          <a:ext cx="478084" cy="248990"/>
        </a:xfrm>
        <a:prstGeom prst="rect">
          <a:avLst/>
        </a:prstGeom>
        <a:noFill/>
        <a:ln w="9525">
          <a:noFill/>
          <a:miter lim="800000"/>
          <a:headEnd/>
          <a:tailEnd/>
        </a:ln>
      </xdr:spPr>
      <xdr:txBody>
        <a:bodyPr vertOverflow="clip" wrap="square" lIns="27432" tIns="22860" rIns="0" bIns="0" anchor="ctr" upright="1"/>
        <a:lstStyle/>
        <a:p>
          <a:pPr algn="r" rtl="0">
            <a:defRPr sz="1000"/>
          </a:pPr>
          <a:fld id="{0DC16DAA-59E9-44C1-A2D2-01ECF4509AE4}" type="TxLink">
            <a:rPr lang="en-US" sz="1000" b="0" i="0" u="none" strike="noStrike">
              <a:solidFill>
                <a:srgbClr val="000000"/>
              </a:solidFill>
              <a:latin typeface="Arial" pitchFamily="34" charset="0"/>
              <a:cs typeface="Arial" pitchFamily="34" charset="0"/>
            </a:rPr>
            <a:pPr algn="r" rtl="0">
              <a:defRPr sz="1000"/>
            </a:pPr>
            <a:t>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716970</xdr:colOff>
      <xdr:row>14</xdr:row>
      <xdr:rowOff>56268</xdr:rowOff>
    </xdr:from>
    <xdr:to>
      <xdr:col>8</xdr:col>
      <xdr:colOff>89785</xdr:colOff>
      <xdr:row>15</xdr:row>
      <xdr:rowOff>135004</xdr:rowOff>
    </xdr:to>
    <xdr:sp macro="" textlink="'Variable Management'!B477">
      <xdr:nvSpPr>
        <xdr:cNvPr id="62" name="Text Box 275">
          <a:extLst>
            <a:ext uri="{FF2B5EF4-FFF2-40B4-BE49-F238E27FC236}">
              <a16:creationId xmlns:a16="http://schemas.microsoft.com/office/drawing/2014/main" id="{00000000-0008-0000-0300-00003E000000}"/>
            </a:ext>
          </a:extLst>
        </xdr:cNvPr>
        <xdr:cNvSpPr txBox="1">
          <a:spLocks noChangeArrowheads="1" noTextEdit="1"/>
        </xdr:cNvSpPr>
      </xdr:nvSpPr>
      <xdr:spPr bwMode="auto">
        <a:xfrm>
          <a:off x="8298870" y="2323218"/>
          <a:ext cx="449140" cy="240661"/>
        </a:xfrm>
        <a:prstGeom prst="rect">
          <a:avLst/>
        </a:prstGeom>
        <a:noFill/>
        <a:ln w="9525">
          <a:noFill/>
          <a:miter lim="800000"/>
          <a:headEnd/>
          <a:tailEnd/>
        </a:ln>
      </xdr:spPr>
      <xdr:txBody>
        <a:bodyPr vertOverflow="clip" wrap="square" lIns="27432" tIns="22860" rIns="0" bIns="0" anchor="ctr" upright="1"/>
        <a:lstStyle/>
        <a:p>
          <a:pPr algn="l" rtl="0">
            <a:defRPr sz="1000"/>
          </a:pPr>
          <a:fld id="{ED0F9337-3E5A-436B-8905-45EE6C1A24BF}" type="TxLink">
            <a:rPr lang="en-US" sz="1000" b="0" i="0" u="none" strike="noStrike" baseline="0">
              <a:solidFill>
                <a:srgbClr val="000000"/>
              </a:solidFill>
              <a:latin typeface="Arialri"/>
              <a:cs typeface="Arial" pitchFamily="34" charset="0"/>
            </a:rPr>
            <a:pPr algn="l" rtl="0">
              <a:defRPr sz="1000"/>
            </a:pPr>
            <a:t>2.64µH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980756</xdr:colOff>
      <xdr:row>7</xdr:row>
      <xdr:rowOff>136396</xdr:rowOff>
    </xdr:from>
    <xdr:to>
      <xdr:col>3</xdr:col>
      <xdr:colOff>278958</xdr:colOff>
      <xdr:row>9</xdr:row>
      <xdr:rowOff>33148</xdr:rowOff>
    </xdr:to>
    <xdr:sp macro="" textlink="">
      <xdr:nvSpPr>
        <xdr:cNvPr id="64" name="Text Box 277">
          <a:extLst>
            <a:ext uri="{FF2B5EF4-FFF2-40B4-BE49-F238E27FC236}">
              <a16:creationId xmlns:a16="http://schemas.microsoft.com/office/drawing/2014/main" id="{00000000-0008-0000-0300-000040000000}"/>
            </a:ext>
          </a:extLst>
        </xdr:cNvPr>
        <xdr:cNvSpPr txBox="1">
          <a:spLocks noChangeArrowheads="1"/>
        </xdr:cNvSpPr>
      </xdr:nvSpPr>
      <xdr:spPr bwMode="auto">
        <a:xfrm>
          <a:off x="2971481" y="1269871"/>
          <a:ext cx="374527" cy="220602"/>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strike="noStrike">
              <a:solidFill>
                <a:srgbClr val="000000"/>
              </a:solidFill>
              <a:latin typeface="Arial" pitchFamily="34" charset="0"/>
              <a:cs typeface="Arial" pitchFamily="34" charset="0"/>
            </a:rPr>
            <a:t>2.2Ω</a:t>
          </a:r>
        </a:p>
      </xdr:txBody>
    </xdr:sp>
    <xdr:clientData/>
  </xdr:twoCellAnchor>
  <xdr:twoCellAnchor>
    <xdr:from>
      <xdr:col>2</xdr:col>
      <xdr:colOff>997828</xdr:colOff>
      <xdr:row>4</xdr:row>
      <xdr:rowOff>118970</xdr:rowOff>
    </xdr:from>
    <xdr:to>
      <xdr:col>3</xdr:col>
      <xdr:colOff>294718</xdr:colOff>
      <xdr:row>6</xdr:row>
      <xdr:rowOff>1420</xdr:rowOff>
    </xdr:to>
    <xdr:sp macro="" textlink="">
      <xdr:nvSpPr>
        <xdr:cNvPr id="65" name="Text Box 278">
          <a:extLst>
            <a:ext uri="{FF2B5EF4-FFF2-40B4-BE49-F238E27FC236}">
              <a16:creationId xmlns:a16="http://schemas.microsoft.com/office/drawing/2014/main" id="{00000000-0008-0000-0300-000041000000}"/>
            </a:ext>
          </a:extLst>
        </xdr:cNvPr>
        <xdr:cNvSpPr txBox="1">
          <a:spLocks noChangeArrowheads="1"/>
        </xdr:cNvSpPr>
      </xdr:nvSpPr>
      <xdr:spPr bwMode="auto">
        <a:xfrm>
          <a:off x="2988553" y="766670"/>
          <a:ext cx="373215" cy="206300"/>
        </a:xfrm>
        <a:prstGeom prst="rect">
          <a:avLst/>
        </a:prstGeom>
        <a:noFill/>
        <a:ln w="9525">
          <a:noFill/>
          <a:miter lim="800000"/>
          <a:headEnd/>
          <a:tailEnd/>
        </a:ln>
      </xdr:spPr>
      <xdr:txBody>
        <a:bodyPr vertOverflow="clip" wrap="square" lIns="27432" tIns="22860" rIns="0" bIns="0" anchor="ctr" upright="1"/>
        <a:lstStyle/>
        <a:p>
          <a:pPr algn="ctr" rtl="0">
            <a:defRPr sz="1000"/>
          </a:pPr>
          <a:r>
            <a:rPr lang="en-US" sz="1000" b="0" i="0" strike="noStrike">
              <a:solidFill>
                <a:srgbClr val="000000"/>
              </a:solidFill>
              <a:latin typeface="Arial" pitchFamily="34" charset="0"/>
              <a:cs typeface="Arial" pitchFamily="34" charset="0"/>
            </a:rPr>
            <a:t>0.1µF</a:t>
          </a:r>
        </a:p>
      </xdr:txBody>
    </xdr:sp>
    <xdr:clientData/>
  </xdr:twoCellAnchor>
  <xdr:twoCellAnchor>
    <xdr:from>
      <xdr:col>3</xdr:col>
      <xdr:colOff>869838</xdr:colOff>
      <xdr:row>5</xdr:row>
      <xdr:rowOff>157620</xdr:rowOff>
    </xdr:from>
    <xdr:to>
      <xdr:col>3</xdr:col>
      <xdr:colOff>1237172</xdr:colOff>
      <xdr:row>7</xdr:row>
      <xdr:rowOff>51606</xdr:rowOff>
    </xdr:to>
    <xdr:sp macro="" textlink="">
      <xdr:nvSpPr>
        <xdr:cNvPr id="66" name="Text Box 279">
          <a:extLst>
            <a:ext uri="{FF2B5EF4-FFF2-40B4-BE49-F238E27FC236}">
              <a16:creationId xmlns:a16="http://schemas.microsoft.com/office/drawing/2014/main" id="{00000000-0008-0000-0300-000042000000}"/>
            </a:ext>
          </a:extLst>
        </xdr:cNvPr>
        <xdr:cNvSpPr txBox="1">
          <a:spLocks noChangeArrowheads="1"/>
        </xdr:cNvSpPr>
      </xdr:nvSpPr>
      <xdr:spPr bwMode="auto">
        <a:xfrm>
          <a:off x="3936888" y="967245"/>
          <a:ext cx="367334" cy="217836"/>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1</xdr:col>
      <xdr:colOff>554935</xdr:colOff>
      <xdr:row>26</xdr:row>
      <xdr:rowOff>53675</xdr:rowOff>
    </xdr:from>
    <xdr:to>
      <xdr:col>1</xdr:col>
      <xdr:colOff>982330</xdr:colOff>
      <xdr:row>27</xdr:row>
      <xdr:rowOff>107675</xdr:rowOff>
    </xdr:to>
    <xdr:sp macro="" textlink="'Variable Management'!B521">
      <xdr:nvSpPr>
        <xdr:cNvPr id="67" name="Text Box 281">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192696" y="4360632"/>
          <a:ext cx="427395" cy="21965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2700nF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183342</xdr:colOff>
      <xdr:row>11</xdr:row>
      <xdr:rowOff>45280</xdr:rowOff>
    </xdr:from>
    <xdr:to>
      <xdr:col>7</xdr:col>
      <xdr:colOff>1038225</xdr:colOff>
      <xdr:row>12</xdr:row>
      <xdr:rowOff>122378</xdr:rowOff>
    </xdr:to>
    <xdr:sp macro="" textlink="'Variable Management'!B526">
      <xdr:nvSpPr>
        <xdr:cNvPr id="68" name="Text Box 283">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7765242" y="1826455"/>
          <a:ext cx="854883" cy="239023"/>
        </a:xfrm>
        <a:prstGeom prst="rect">
          <a:avLst/>
        </a:prstGeom>
        <a:noFill/>
        <a:ln w="9525">
          <a:noFill/>
          <a:miter lim="800000"/>
          <a:headEnd/>
          <a:tailEnd/>
        </a:ln>
      </xdr:spPr>
      <xdr:txBody>
        <a:bodyPr vertOverflow="clip" wrap="square" lIns="27432" tIns="22860" rIns="0" bIns="0" anchor="t" upright="1"/>
        <a:lstStyle/>
        <a:p>
          <a:pPr algn="l" rtl="0">
            <a:defRPr sz="1000"/>
          </a:pPr>
          <a:fld id="{CF96CF7C-BD7E-4CCA-B5EE-051D5ECE3C3A}" type="TxLink">
            <a:rPr lang="en-US" sz="1200" b="1" i="0" u="none" strike="noStrike">
              <a:solidFill>
                <a:srgbClr val="FF0000"/>
              </a:solidFill>
              <a:latin typeface="Arial"/>
              <a:cs typeface="Arial"/>
            </a:rPr>
            <a:pPr algn="l" rtl="0">
              <a:defRPr sz="1000"/>
            </a:pPr>
            <a:t>20V...34V</a:t>
          </a:fld>
          <a:endParaRPr lang="en-US" sz="1200" b="1" i="0" strike="noStrike">
            <a:solidFill>
              <a:srgbClr val="FF0000"/>
            </a:solidFill>
            <a:latin typeface="Arial" pitchFamily="34" charset="0"/>
            <a:cs typeface="Arial" pitchFamily="34" charset="0"/>
          </a:endParaRPr>
        </a:p>
      </xdr:txBody>
    </xdr:sp>
    <xdr:clientData/>
  </xdr:twoCellAnchor>
  <xdr:twoCellAnchor>
    <xdr:from>
      <xdr:col>0</xdr:col>
      <xdr:colOff>496011</xdr:colOff>
      <xdr:row>19</xdr:row>
      <xdr:rowOff>38863</xdr:rowOff>
    </xdr:from>
    <xdr:to>
      <xdr:col>1</xdr:col>
      <xdr:colOff>159316</xdr:colOff>
      <xdr:row>20</xdr:row>
      <xdr:rowOff>104749</xdr:rowOff>
    </xdr:to>
    <xdr:sp macro="" textlink="">
      <xdr:nvSpPr>
        <xdr:cNvPr id="69" name="Text Box 251">
          <a:extLst>
            <a:ext uri="{FF2B5EF4-FFF2-40B4-BE49-F238E27FC236}">
              <a16:creationId xmlns:a16="http://schemas.microsoft.com/office/drawing/2014/main" id="{00000000-0008-0000-0300-000045000000}"/>
            </a:ext>
          </a:extLst>
        </xdr:cNvPr>
        <xdr:cNvSpPr txBox="1">
          <a:spLocks noChangeArrowheads="1"/>
        </xdr:cNvSpPr>
      </xdr:nvSpPr>
      <xdr:spPr bwMode="auto">
        <a:xfrm>
          <a:off x="496011" y="3186254"/>
          <a:ext cx="301066" cy="231538"/>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xdr:from>
      <xdr:col>0</xdr:col>
      <xdr:colOff>377770</xdr:colOff>
      <xdr:row>20</xdr:row>
      <xdr:rowOff>80751</xdr:rowOff>
    </xdr:from>
    <xdr:to>
      <xdr:col>1</xdr:col>
      <xdr:colOff>252241</xdr:colOff>
      <xdr:row>21</xdr:row>
      <xdr:rowOff>137042</xdr:rowOff>
    </xdr:to>
    <xdr:sp macro="" textlink="'Variable Management'!B520">
      <xdr:nvSpPr>
        <xdr:cNvPr id="70" name="Text Box 281">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377770" y="3393794"/>
          <a:ext cx="512232" cy="221944"/>
        </a:xfrm>
        <a:prstGeom prst="rect">
          <a:avLst/>
        </a:prstGeom>
        <a:noFill/>
        <a:ln w="9525">
          <a:noFill/>
          <a:miter lim="800000"/>
          <a:headEnd/>
          <a:tailEnd/>
        </a:ln>
      </xdr:spPr>
      <xdr:txBody>
        <a:bodyPr vertOverflow="clip" wrap="square" lIns="27432" tIns="22860" rIns="0" bIns="0" anchor="t" upright="1"/>
        <a:lstStyle/>
        <a:p>
          <a:pPr algn="r" rtl="0">
            <a:defRPr sz="1000"/>
          </a:pPr>
          <a:fld id="{84EB9262-B954-486D-9975-AAB24967BDAC}" type="TxLink">
            <a:rPr lang="en-US" sz="1000" b="0" i="0" u="none" strike="noStrike">
              <a:solidFill>
                <a:srgbClr val="000000"/>
              </a:solidFill>
              <a:latin typeface="Arial" pitchFamily="34" charset="0"/>
              <a:cs typeface="Arial" pitchFamily="34" charset="0"/>
            </a:rPr>
            <a:pPr algn="r" rtl="0">
              <a:defRPr sz="1000"/>
            </a:pPr>
            <a:t>52.3kΩ</a:t>
          </a:fld>
          <a:endParaRPr lang="en-US" sz="1000" b="0" i="0" strike="noStrike">
            <a:solidFill>
              <a:srgbClr val="000000"/>
            </a:solidFill>
            <a:latin typeface="Arial" pitchFamily="34" charset="0"/>
            <a:cs typeface="Arial" pitchFamily="34" charset="0"/>
          </a:endParaRPr>
        </a:p>
      </xdr:txBody>
    </xdr:sp>
    <xdr:clientData/>
  </xdr:twoCellAnchor>
  <xdr:twoCellAnchor>
    <xdr:from>
      <xdr:col>3</xdr:col>
      <xdr:colOff>796942</xdr:colOff>
      <xdr:row>4</xdr:row>
      <xdr:rowOff>118318</xdr:rowOff>
    </xdr:from>
    <xdr:to>
      <xdr:col>3</xdr:col>
      <xdr:colOff>1286666</xdr:colOff>
      <xdr:row>6</xdr:row>
      <xdr:rowOff>13165</xdr:rowOff>
    </xdr:to>
    <xdr:sp macro="" textlink="">
      <xdr:nvSpPr>
        <xdr:cNvPr id="71" name="Text Box 247">
          <a:extLst>
            <a:ext uri="{FF2B5EF4-FFF2-40B4-BE49-F238E27FC236}">
              <a16:creationId xmlns:a16="http://schemas.microsoft.com/office/drawing/2014/main" id="{00000000-0008-0000-0300-000047000000}"/>
            </a:ext>
          </a:extLst>
        </xdr:cNvPr>
        <xdr:cNvSpPr txBox="1">
          <a:spLocks noChangeArrowheads="1"/>
        </xdr:cNvSpPr>
      </xdr:nvSpPr>
      <xdr:spPr bwMode="auto">
        <a:xfrm>
          <a:off x="3863992" y="766018"/>
          <a:ext cx="489724" cy="21869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xdr:from>
      <xdr:col>5</xdr:col>
      <xdr:colOff>76508</xdr:colOff>
      <xdr:row>34</xdr:row>
      <xdr:rowOff>63521</xdr:rowOff>
    </xdr:from>
    <xdr:to>
      <xdr:col>5</xdr:col>
      <xdr:colOff>561776</xdr:colOff>
      <xdr:row>35</xdr:row>
      <xdr:rowOff>131086</xdr:rowOff>
    </xdr:to>
    <xdr:sp macro="" textlink="">
      <xdr:nvSpPr>
        <xdr:cNvPr id="72" name="Text Box 251">
          <a:extLst>
            <a:ext uri="{FF2B5EF4-FFF2-40B4-BE49-F238E27FC236}">
              <a16:creationId xmlns:a16="http://schemas.microsoft.com/office/drawing/2014/main" id="{00000000-0008-0000-0300-000048000000}"/>
            </a:ext>
          </a:extLst>
        </xdr:cNvPr>
        <xdr:cNvSpPr txBox="1">
          <a:spLocks noChangeArrowheads="1"/>
        </xdr:cNvSpPr>
      </xdr:nvSpPr>
      <xdr:spPr bwMode="auto">
        <a:xfrm>
          <a:off x="5639108" y="5568971"/>
          <a:ext cx="485268" cy="2294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5</xdr:col>
      <xdr:colOff>138771</xdr:colOff>
      <xdr:row>35</xdr:row>
      <xdr:rowOff>74703</xdr:rowOff>
    </xdr:from>
    <xdr:to>
      <xdr:col>5</xdr:col>
      <xdr:colOff>737568</xdr:colOff>
      <xdr:row>36</xdr:row>
      <xdr:rowOff>137829</xdr:rowOff>
    </xdr:to>
    <xdr:sp macro="" textlink="'Variable Management'!B517">
      <xdr:nvSpPr>
        <xdr:cNvPr id="75" name="Text Box 281">
          <a:extLst>
            <a:ext uri="{FF2B5EF4-FFF2-40B4-BE49-F238E27FC236}">
              <a16:creationId xmlns:a16="http://schemas.microsoft.com/office/drawing/2014/main" id="{00000000-0008-0000-0300-00004B000000}"/>
            </a:ext>
          </a:extLst>
        </xdr:cNvPr>
        <xdr:cNvSpPr txBox="1">
          <a:spLocks noChangeArrowheads="1" noTextEdit="1"/>
        </xdr:cNvSpPr>
      </xdr:nvSpPr>
      <xdr:spPr bwMode="auto">
        <a:xfrm>
          <a:off x="5701371" y="5742078"/>
          <a:ext cx="598797" cy="225051"/>
        </a:xfrm>
        <a:prstGeom prst="rect">
          <a:avLst/>
        </a:prstGeom>
        <a:noFill/>
        <a:ln w="9525">
          <a:noFill/>
          <a:miter lim="800000"/>
          <a:headEnd/>
          <a:tailEnd/>
        </a:ln>
      </xdr:spPr>
      <xdr:txBody>
        <a:bodyPr vertOverflow="clip" wrap="square" lIns="27432" tIns="22860" rIns="0" bIns="0" anchor="ctr" upright="1"/>
        <a:lstStyle/>
        <a:p>
          <a:pPr algn="l" rtl="0">
            <a:defRPr sz="1000"/>
          </a:pPr>
          <a:fld id="{2B60B3D7-A35E-42EC-ADCF-A28C0EEDE92A}"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2</xdr:col>
      <xdr:colOff>660744</xdr:colOff>
      <xdr:row>2</xdr:row>
      <xdr:rowOff>83758</xdr:rowOff>
    </xdr:from>
    <xdr:to>
      <xdr:col>3</xdr:col>
      <xdr:colOff>142704</xdr:colOff>
      <xdr:row>3</xdr:row>
      <xdr:rowOff>137564</xdr:rowOff>
    </xdr:to>
    <xdr:sp macro="" textlink="'Variable Management'!H221">
      <xdr:nvSpPr>
        <xdr:cNvPr id="77" name="Text Box 264">
          <a:extLst>
            <a:ext uri="{FF2B5EF4-FFF2-40B4-BE49-F238E27FC236}">
              <a16:creationId xmlns:a16="http://schemas.microsoft.com/office/drawing/2014/main" id="{00000000-0008-0000-0300-00004D000000}"/>
            </a:ext>
          </a:extLst>
        </xdr:cNvPr>
        <xdr:cNvSpPr txBox="1">
          <a:spLocks noChangeArrowheads="1" noTextEdit="1"/>
        </xdr:cNvSpPr>
      </xdr:nvSpPr>
      <xdr:spPr bwMode="auto">
        <a:xfrm>
          <a:off x="2651469" y="407608"/>
          <a:ext cx="558285" cy="215731"/>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N/A</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742259</xdr:colOff>
      <xdr:row>1</xdr:row>
      <xdr:rowOff>51892</xdr:rowOff>
    </xdr:from>
    <xdr:to>
      <xdr:col>3</xdr:col>
      <xdr:colOff>72733</xdr:colOff>
      <xdr:row>2</xdr:row>
      <xdr:rowOff>84849</xdr:rowOff>
    </xdr:to>
    <xdr:sp macro="" textlink="">
      <xdr:nvSpPr>
        <xdr:cNvPr id="78" name="Text Box 255">
          <a:extLst>
            <a:ext uri="{FF2B5EF4-FFF2-40B4-BE49-F238E27FC236}">
              <a16:creationId xmlns:a16="http://schemas.microsoft.com/office/drawing/2014/main" id="{00000000-0008-0000-0300-00004E000000}"/>
            </a:ext>
          </a:extLst>
        </xdr:cNvPr>
        <xdr:cNvSpPr txBox="1">
          <a:spLocks noChangeArrowheads="1"/>
        </xdr:cNvSpPr>
      </xdr:nvSpPr>
      <xdr:spPr bwMode="auto">
        <a:xfrm>
          <a:off x="2732984" y="213817"/>
          <a:ext cx="406799" cy="1948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767565</xdr:colOff>
      <xdr:row>2</xdr:row>
      <xdr:rowOff>104846</xdr:rowOff>
    </xdr:from>
    <xdr:to>
      <xdr:col>3</xdr:col>
      <xdr:colOff>1320774</xdr:colOff>
      <xdr:row>3</xdr:row>
      <xdr:rowOff>146368</xdr:rowOff>
    </xdr:to>
    <xdr:sp macro="" textlink="'Variable Management'!H220">
      <xdr:nvSpPr>
        <xdr:cNvPr id="79" name="Text Box 264">
          <a:extLst>
            <a:ext uri="{FF2B5EF4-FFF2-40B4-BE49-F238E27FC236}">
              <a16:creationId xmlns:a16="http://schemas.microsoft.com/office/drawing/2014/main" id="{00000000-0008-0000-0300-00004F000000}"/>
            </a:ext>
          </a:extLst>
        </xdr:cNvPr>
        <xdr:cNvSpPr txBox="1">
          <a:spLocks noChangeArrowheads="1" noTextEdit="1"/>
        </xdr:cNvSpPr>
      </xdr:nvSpPr>
      <xdr:spPr bwMode="auto">
        <a:xfrm>
          <a:off x="3834615" y="428696"/>
          <a:ext cx="553209" cy="20344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N/A</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907336</xdr:colOff>
      <xdr:row>1</xdr:row>
      <xdr:rowOff>55949</xdr:rowOff>
    </xdr:from>
    <xdr:to>
      <xdr:col>3</xdr:col>
      <xdr:colOff>1310539</xdr:colOff>
      <xdr:row>2</xdr:row>
      <xdr:rowOff>90786</xdr:rowOff>
    </xdr:to>
    <xdr:sp macro="" textlink="">
      <xdr:nvSpPr>
        <xdr:cNvPr id="80" name="Text Box 255">
          <a:extLst>
            <a:ext uri="{FF2B5EF4-FFF2-40B4-BE49-F238E27FC236}">
              <a16:creationId xmlns:a16="http://schemas.microsoft.com/office/drawing/2014/main" id="{00000000-0008-0000-0300-000050000000}"/>
            </a:ext>
          </a:extLst>
        </xdr:cNvPr>
        <xdr:cNvSpPr txBox="1">
          <a:spLocks noChangeArrowheads="1"/>
        </xdr:cNvSpPr>
      </xdr:nvSpPr>
      <xdr:spPr bwMode="auto">
        <a:xfrm>
          <a:off x="3974386" y="217874"/>
          <a:ext cx="403203" cy="19676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736760</xdr:colOff>
      <xdr:row>15</xdr:row>
      <xdr:rowOff>71843</xdr:rowOff>
    </xdr:from>
    <xdr:to>
      <xdr:col>8</xdr:col>
      <xdr:colOff>170918</xdr:colOff>
      <xdr:row>16</xdr:row>
      <xdr:rowOff>150126</xdr:rowOff>
    </xdr:to>
    <xdr:sp macro="" textlink="'Variable Management'!B478">
      <xdr:nvSpPr>
        <xdr:cNvPr id="81" name="Text Box 275">
          <a:extLst>
            <a:ext uri="{FF2B5EF4-FFF2-40B4-BE49-F238E27FC236}">
              <a16:creationId xmlns:a16="http://schemas.microsoft.com/office/drawing/2014/main" id="{00000000-0008-0000-0300-000051000000}"/>
            </a:ext>
          </a:extLst>
        </xdr:cNvPr>
        <xdr:cNvSpPr txBox="1">
          <a:spLocks noChangeArrowheads="1" noTextEdit="1"/>
        </xdr:cNvSpPr>
      </xdr:nvSpPr>
      <xdr:spPr bwMode="auto">
        <a:xfrm>
          <a:off x="8318660" y="2500718"/>
          <a:ext cx="510483" cy="240208"/>
        </a:xfrm>
        <a:prstGeom prst="rect">
          <a:avLst/>
        </a:prstGeom>
        <a:noFill/>
        <a:ln w="9525">
          <a:noFill/>
          <a:miter lim="800000"/>
          <a:headEnd/>
          <a:tailEnd/>
        </a:ln>
      </xdr:spPr>
      <xdr:txBody>
        <a:bodyPr vertOverflow="clip" wrap="square" lIns="27432" tIns="22860" rIns="0" bIns="0" anchor="ctr" upright="1"/>
        <a:lstStyle/>
        <a:p>
          <a:pPr algn="l" rtl="0">
            <a:defRPr sz="1000"/>
          </a:pPr>
          <a:fld id="{8F944446-DDAD-4884-A5E8-09BF985C0BDC}" type="TxLink">
            <a:rPr lang="en-US" sz="1000" b="0" i="0" u="none" strike="noStrike" baseline="0">
              <a:solidFill>
                <a:srgbClr val="000000"/>
              </a:solidFill>
              <a:latin typeface="Arialri"/>
              <a:cs typeface="Arial" pitchFamily="34" charset="0"/>
            </a:rPr>
            <a:pPr algn="l" rtl="0">
              <a:defRPr sz="1000"/>
            </a:pPr>
            <a:t>5.8mΩ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955380</xdr:colOff>
      <xdr:row>37</xdr:row>
      <xdr:rowOff>90714</xdr:rowOff>
    </xdr:from>
    <xdr:to>
      <xdr:col>5</xdr:col>
      <xdr:colOff>134259</xdr:colOff>
      <xdr:row>38</xdr:row>
      <xdr:rowOff>146676</xdr:rowOff>
    </xdr:to>
    <xdr:sp macro="" textlink="">
      <xdr:nvSpPr>
        <xdr:cNvPr id="82" name="Text Box 245">
          <a:extLst>
            <a:ext uri="{FF2B5EF4-FFF2-40B4-BE49-F238E27FC236}">
              <a16:creationId xmlns:a16="http://schemas.microsoft.com/office/drawing/2014/main" id="{00000000-0008-0000-0300-000052000000}"/>
            </a:ext>
          </a:extLst>
        </xdr:cNvPr>
        <xdr:cNvSpPr txBox="1">
          <a:spLocks noChangeArrowheads="1"/>
        </xdr:cNvSpPr>
      </xdr:nvSpPr>
      <xdr:spPr bwMode="auto">
        <a:xfrm>
          <a:off x="5365455" y="6081939"/>
          <a:ext cx="331404" cy="21788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a:t>
          </a:r>
        </a:p>
      </xdr:txBody>
    </xdr:sp>
    <xdr:clientData/>
  </xdr:twoCellAnchor>
  <xdr:twoCellAnchor>
    <xdr:from>
      <xdr:col>1</xdr:col>
      <xdr:colOff>379931</xdr:colOff>
      <xdr:row>30</xdr:row>
      <xdr:rowOff>84193</xdr:rowOff>
    </xdr:from>
    <xdr:to>
      <xdr:col>1</xdr:col>
      <xdr:colOff>939469</xdr:colOff>
      <xdr:row>31</xdr:row>
      <xdr:rowOff>120656</xdr:rowOff>
    </xdr:to>
    <xdr:sp macro="" textlink="'Variable Management'!B492">
      <xdr:nvSpPr>
        <xdr:cNvPr id="85" name="Text Box 268">
          <a:extLst>
            <a:ext uri="{FF2B5EF4-FFF2-40B4-BE49-F238E27FC236}">
              <a16:creationId xmlns:a16="http://schemas.microsoft.com/office/drawing/2014/main" id="{00000000-0008-0000-0300-000055000000}"/>
            </a:ext>
          </a:extLst>
        </xdr:cNvPr>
        <xdr:cNvSpPr txBox="1">
          <a:spLocks noChangeArrowheads="1" noTextEdit="1"/>
        </xdr:cNvSpPr>
      </xdr:nvSpPr>
      <xdr:spPr bwMode="auto">
        <a:xfrm>
          <a:off x="1018106" y="4941943"/>
          <a:ext cx="559538" cy="198388"/>
        </a:xfrm>
        <a:prstGeom prst="rect">
          <a:avLst/>
        </a:prstGeom>
        <a:noFill/>
        <a:ln w="9525">
          <a:noFill/>
          <a:miter lim="800000"/>
          <a:headEnd/>
          <a:tailEnd/>
        </a:ln>
      </xdr:spPr>
      <xdr:txBody>
        <a:bodyPr vertOverflow="clip" wrap="square" lIns="27432" tIns="22860" rIns="0" bIns="0" anchor="ctr" upright="1"/>
        <a:lstStyle/>
        <a:p>
          <a:pPr algn="ctr" rtl="0">
            <a:defRPr sz="1000"/>
          </a:pPr>
          <a:fld id="{4B33C4C3-0115-4071-92DE-EA7C9B86DB41}" type="TxLink">
            <a:rPr lang="en-US" sz="1000" b="0" i="0" u="none" strike="noStrike">
              <a:solidFill>
                <a:srgbClr val="000000"/>
              </a:solidFill>
              <a:latin typeface="Arialri"/>
              <a:cs typeface="Arial" pitchFamily="34" charset="0"/>
            </a:rPr>
            <a:pPr algn="ctr"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xdr:from>
      <xdr:col>6</xdr:col>
      <xdr:colOff>398601</xdr:colOff>
      <xdr:row>14</xdr:row>
      <xdr:rowOff>62329</xdr:rowOff>
    </xdr:from>
    <xdr:to>
      <xdr:col>6</xdr:col>
      <xdr:colOff>586155</xdr:colOff>
      <xdr:row>15</xdr:row>
      <xdr:rowOff>117096</xdr:rowOff>
    </xdr:to>
    <xdr:sp macro="" textlink="">
      <xdr:nvSpPr>
        <xdr:cNvPr id="87" name="Text Box 234">
          <a:extLst>
            <a:ext uri="{FF2B5EF4-FFF2-40B4-BE49-F238E27FC236}">
              <a16:creationId xmlns:a16="http://schemas.microsoft.com/office/drawing/2014/main" id="{00000000-0008-0000-0300-000057000000}"/>
            </a:ext>
          </a:extLst>
        </xdr:cNvPr>
        <xdr:cNvSpPr txBox="1">
          <a:spLocks noChangeArrowheads="1"/>
        </xdr:cNvSpPr>
      </xdr:nvSpPr>
      <xdr:spPr bwMode="auto">
        <a:xfrm>
          <a:off x="7328860" y="2361467"/>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6</xdr:col>
      <xdr:colOff>382198</xdr:colOff>
      <xdr:row>21</xdr:row>
      <xdr:rowOff>60849</xdr:rowOff>
    </xdr:from>
    <xdr:to>
      <xdr:col>6</xdr:col>
      <xdr:colOff>569752</xdr:colOff>
      <xdr:row>22</xdr:row>
      <xdr:rowOff>118648</xdr:rowOff>
    </xdr:to>
    <xdr:sp macro="" textlink="">
      <xdr:nvSpPr>
        <xdr:cNvPr id="88" name="Text Box 234">
          <a:extLst>
            <a:ext uri="{FF2B5EF4-FFF2-40B4-BE49-F238E27FC236}">
              <a16:creationId xmlns:a16="http://schemas.microsoft.com/office/drawing/2014/main" id="{00000000-0008-0000-0300-000058000000}"/>
            </a:ext>
          </a:extLst>
        </xdr:cNvPr>
        <xdr:cNvSpPr txBox="1">
          <a:spLocks noChangeArrowheads="1"/>
        </xdr:cNvSpPr>
      </xdr:nvSpPr>
      <xdr:spPr bwMode="auto">
        <a:xfrm>
          <a:off x="7312457" y="3509556"/>
          <a:ext cx="187554" cy="2220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7</xdr:col>
      <xdr:colOff>236598</xdr:colOff>
      <xdr:row>20</xdr:row>
      <xdr:rowOff>126296</xdr:rowOff>
    </xdr:from>
    <xdr:to>
      <xdr:col>7</xdr:col>
      <xdr:colOff>642752</xdr:colOff>
      <xdr:row>22</xdr:row>
      <xdr:rowOff>11441</xdr:rowOff>
    </xdr:to>
    <xdr:sp macro="" textlink="'Variable Management'!B490">
      <xdr:nvSpPr>
        <xdr:cNvPr id="92" name="Text Box 276">
          <a:extLst>
            <a:ext uri="{FF2B5EF4-FFF2-40B4-BE49-F238E27FC236}">
              <a16:creationId xmlns:a16="http://schemas.microsoft.com/office/drawing/2014/main" id="{00000000-0008-0000-0300-00005C000000}"/>
            </a:ext>
          </a:extLst>
        </xdr:cNvPr>
        <xdr:cNvSpPr txBox="1">
          <a:spLocks noChangeArrowheads="1" noTextEdit="1"/>
        </xdr:cNvSpPr>
      </xdr:nvSpPr>
      <xdr:spPr bwMode="auto">
        <a:xfrm>
          <a:off x="7817184" y="3410779"/>
          <a:ext cx="406154" cy="213593"/>
        </a:xfrm>
        <a:prstGeom prst="rect">
          <a:avLst/>
        </a:prstGeom>
        <a:noFill/>
        <a:ln w="9525">
          <a:noFill/>
          <a:miter lim="800000"/>
          <a:headEnd/>
          <a:tailEnd/>
        </a:ln>
      </xdr:spPr>
      <xdr:txBody>
        <a:bodyPr vertOverflow="clip" wrap="square" lIns="27432" tIns="22860" rIns="0" bIns="0" anchor="ctr" upright="1"/>
        <a:lstStyle/>
        <a:p>
          <a:pPr algn="l" rtl="0">
            <a:defRPr sz="1000"/>
          </a:pPr>
          <a:fld id="{F7819C42-9D73-4A1D-B514-80CDFD54256D}" type="TxLink">
            <a:rPr lang="en-US" sz="1000" b="0" i="0" u="none" strike="noStrike" baseline="0">
              <a:solidFill>
                <a:srgbClr val="000000"/>
              </a:solidFill>
              <a:latin typeface="Arialri"/>
              <a:cs typeface="Arial" pitchFamily="34" charset="0"/>
            </a:rPr>
            <a:pPr algn="l" rtl="0">
              <a:defRPr sz="1000"/>
            </a:pPr>
            <a:t>10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1246665</xdr:colOff>
      <xdr:row>12</xdr:row>
      <xdr:rowOff>149462</xdr:rowOff>
    </xdr:from>
    <xdr:to>
      <xdr:col>2</xdr:col>
      <xdr:colOff>157529</xdr:colOff>
      <xdr:row>14</xdr:row>
      <xdr:rowOff>35568</xdr:rowOff>
    </xdr:to>
    <xdr:sp macro="" textlink="">
      <xdr:nvSpPr>
        <xdr:cNvPr id="94" name="Text Box 259">
          <a:extLst>
            <a:ext uri="{FF2B5EF4-FFF2-40B4-BE49-F238E27FC236}">
              <a16:creationId xmlns:a16="http://schemas.microsoft.com/office/drawing/2014/main" id="{00000000-0008-0000-0300-00005E000000}"/>
            </a:ext>
          </a:extLst>
        </xdr:cNvPr>
        <xdr:cNvSpPr txBox="1">
          <a:spLocks noChangeArrowheads="1"/>
        </xdr:cNvSpPr>
      </xdr:nvSpPr>
      <xdr:spPr bwMode="auto">
        <a:xfrm>
          <a:off x="1884840" y="2092562"/>
          <a:ext cx="263414" cy="209956"/>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U</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7</xdr:col>
      <xdr:colOff>1063737</xdr:colOff>
      <xdr:row>21</xdr:row>
      <xdr:rowOff>145566</xdr:rowOff>
    </xdr:from>
    <xdr:to>
      <xdr:col>8</xdr:col>
      <xdr:colOff>391049</xdr:colOff>
      <xdr:row>23</xdr:row>
      <xdr:rowOff>33474</xdr:rowOff>
    </xdr:to>
    <xdr:sp macro="" textlink="'Variable Management'!B485">
      <xdr:nvSpPr>
        <xdr:cNvPr id="95" name="Text Box 276">
          <a:extLst>
            <a:ext uri="{FF2B5EF4-FFF2-40B4-BE49-F238E27FC236}">
              <a16:creationId xmlns:a16="http://schemas.microsoft.com/office/drawing/2014/main" id="{00000000-0008-0000-0300-00005F000000}"/>
            </a:ext>
          </a:extLst>
        </xdr:cNvPr>
        <xdr:cNvSpPr txBox="1">
          <a:spLocks noChangeArrowheads="1" noTextEdit="1"/>
        </xdr:cNvSpPr>
      </xdr:nvSpPr>
      <xdr:spPr bwMode="auto">
        <a:xfrm>
          <a:off x="8644323" y="3594273"/>
          <a:ext cx="404623" cy="216356"/>
        </a:xfrm>
        <a:prstGeom prst="rect">
          <a:avLst/>
        </a:prstGeom>
        <a:noFill/>
        <a:ln w="9525">
          <a:noFill/>
          <a:miter lim="800000"/>
          <a:headEnd/>
          <a:tailEnd/>
        </a:ln>
      </xdr:spPr>
      <xdr:txBody>
        <a:bodyPr vertOverflow="clip" wrap="square" lIns="27432" tIns="22860" rIns="0" bIns="0" anchor="ctr" upright="1"/>
        <a:lstStyle/>
        <a:p>
          <a:pPr algn="l" rtl="0">
            <a:defRPr sz="1000"/>
          </a:pPr>
          <a:fld id="{685D3738-5ABE-4B4E-B06A-00C3820FCB43}" type="TxLink">
            <a:rPr lang="en-US" sz="1000" b="0" i="0" u="none" strike="noStrike" baseline="0">
              <a:solidFill>
                <a:srgbClr val="000000"/>
              </a:solidFill>
              <a:latin typeface="Arialri"/>
              <a:cs typeface="Arial" pitchFamily="34" charset="0"/>
            </a:rPr>
            <a:pPr algn="l" rtl="0">
              <a:defRPr sz="1000"/>
            </a:pPr>
            <a:t>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1055995</xdr:colOff>
      <xdr:row>20</xdr:row>
      <xdr:rowOff>136150</xdr:rowOff>
    </xdr:from>
    <xdr:to>
      <xdr:col>8</xdr:col>
      <xdr:colOff>383307</xdr:colOff>
      <xdr:row>22</xdr:row>
      <xdr:rowOff>22694</xdr:rowOff>
    </xdr:to>
    <xdr:sp macro="" textlink="'Variable Management'!B486">
      <xdr:nvSpPr>
        <xdr:cNvPr id="96" name="Text Box 276">
          <a:extLst>
            <a:ext uri="{FF2B5EF4-FFF2-40B4-BE49-F238E27FC236}">
              <a16:creationId xmlns:a16="http://schemas.microsoft.com/office/drawing/2014/main" id="{00000000-0008-0000-0300-000060000000}"/>
            </a:ext>
          </a:extLst>
        </xdr:cNvPr>
        <xdr:cNvSpPr txBox="1">
          <a:spLocks noChangeArrowheads="1" noTextEdit="1"/>
        </xdr:cNvSpPr>
      </xdr:nvSpPr>
      <xdr:spPr bwMode="auto">
        <a:xfrm>
          <a:off x="8636581" y="3420633"/>
          <a:ext cx="404623" cy="214992"/>
        </a:xfrm>
        <a:prstGeom prst="rect">
          <a:avLst/>
        </a:prstGeom>
        <a:noFill/>
        <a:ln w="9525">
          <a:noFill/>
          <a:miter lim="800000"/>
          <a:headEnd/>
          <a:tailEnd/>
        </a:ln>
      </xdr:spPr>
      <xdr:txBody>
        <a:bodyPr vertOverflow="clip" wrap="square" lIns="27432" tIns="22860" rIns="0" bIns="0" anchor="ctr" upright="1"/>
        <a:lstStyle/>
        <a:p>
          <a:pPr algn="l" rtl="0">
            <a:defRPr sz="1000"/>
          </a:pPr>
          <a:fld id="{55A5E480-A149-4617-A245-D5E398CDA407}" type="TxLink">
            <a:rPr lang="en-US" sz="1000" b="0" i="0" u="none" strike="noStrike" baseline="0">
              <a:solidFill>
                <a:srgbClr val="000000"/>
              </a:solidFill>
              <a:latin typeface="Arialri"/>
              <a:cs typeface="Arial" pitchFamily="34" charset="0"/>
            </a:rPr>
            <a:pPr algn="l" rtl="0">
              <a:defRPr sz="1000"/>
            </a:pPr>
            <a:t>5 x</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714753</xdr:colOff>
      <xdr:row>24</xdr:row>
      <xdr:rowOff>130910</xdr:rowOff>
    </xdr:from>
    <xdr:to>
      <xdr:col>5</xdr:col>
      <xdr:colOff>1237179</xdr:colOff>
      <xdr:row>26</xdr:row>
      <xdr:rowOff>38166</xdr:rowOff>
    </xdr:to>
    <xdr:sp macro="" textlink="">
      <xdr:nvSpPr>
        <xdr:cNvPr id="93" name="Text Box 248">
          <a:extLst>
            <a:ext uri="{FF2B5EF4-FFF2-40B4-BE49-F238E27FC236}">
              <a16:creationId xmlns:a16="http://schemas.microsoft.com/office/drawing/2014/main" id="{00000000-0008-0000-0300-00005D000000}"/>
            </a:ext>
          </a:extLst>
        </xdr:cNvPr>
        <xdr:cNvSpPr txBox="1">
          <a:spLocks noChangeArrowheads="1"/>
        </xdr:cNvSpPr>
      </xdr:nvSpPr>
      <xdr:spPr bwMode="auto">
        <a:xfrm>
          <a:off x="6273271" y="4049767"/>
          <a:ext cx="522426" cy="23382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8</xdr:col>
      <xdr:colOff>534347</xdr:colOff>
      <xdr:row>14</xdr:row>
      <xdr:rowOff>72993</xdr:rowOff>
    </xdr:from>
    <xdr:to>
      <xdr:col>8</xdr:col>
      <xdr:colOff>721901</xdr:colOff>
      <xdr:row>15</xdr:row>
      <xdr:rowOff>127760</xdr:rowOff>
    </xdr:to>
    <xdr:sp macro="" textlink="">
      <xdr:nvSpPr>
        <xdr:cNvPr id="97" name="Text Box 234">
          <a:extLst>
            <a:ext uri="{FF2B5EF4-FFF2-40B4-BE49-F238E27FC236}">
              <a16:creationId xmlns:a16="http://schemas.microsoft.com/office/drawing/2014/main" id="{00000000-0008-0000-0300-000061000000}"/>
            </a:ext>
          </a:extLst>
        </xdr:cNvPr>
        <xdr:cNvSpPr txBox="1">
          <a:spLocks noChangeArrowheads="1"/>
        </xdr:cNvSpPr>
      </xdr:nvSpPr>
      <xdr:spPr bwMode="auto">
        <a:xfrm>
          <a:off x="9192244" y="2372131"/>
          <a:ext cx="187554" cy="2189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xdr:from>
      <xdr:col>8</xdr:col>
      <xdr:colOff>545862</xdr:colOff>
      <xdr:row>21</xdr:row>
      <xdr:rowOff>55234</xdr:rowOff>
    </xdr:from>
    <xdr:to>
      <xdr:col>8</xdr:col>
      <xdr:colOff>733416</xdr:colOff>
      <xdr:row>22</xdr:row>
      <xdr:rowOff>113033</xdr:rowOff>
    </xdr:to>
    <xdr:sp macro="" textlink="">
      <xdr:nvSpPr>
        <xdr:cNvPr id="98" name="Text Box 234">
          <a:extLst>
            <a:ext uri="{FF2B5EF4-FFF2-40B4-BE49-F238E27FC236}">
              <a16:creationId xmlns:a16="http://schemas.microsoft.com/office/drawing/2014/main" id="{00000000-0008-0000-0300-000062000000}"/>
            </a:ext>
          </a:extLst>
        </xdr:cNvPr>
        <xdr:cNvSpPr txBox="1">
          <a:spLocks noChangeArrowheads="1"/>
        </xdr:cNvSpPr>
      </xdr:nvSpPr>
      <xdr:spPr bwMode="auto">
        <a:xfrm>
          <a:off x="9201188" y="3533930"/>
          <a:ext cx="187554" cy="2234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xdr:from>
      <xdr:col>5</xdr:col>
      <xdr:colOff>770091</xdr:colOff>
      <xdr:row>29</xdr:row>
      <xdr:rowOff>48773</xdr:rowOff>
    </xdr:from>
    <xdr:to>
      <xdr:col>5</xdr:col>
      <xdr:colOff>1136667</xdr:colOff>
      <xdr:row>30</xdr:row>
      <xdr:rowOff>110312</xdr:rowOff>
    </xdr:to>
    <xdr:sp macro="" textlink="">
      <xdr:nvSpPr>
        <xdr:cNvPr id="99" name="Text Box 279">
          <a:extLst>
            <a:ext uri="{FF2B5EF4-FFF2-40B4-BE49-F238E27FC236}">
              <a16:creationId xmlns:a16="http://schemas.microsoft.com/office/drawing/2014/main" id="{00000000-0008-0000-0300-000063000000}"/>
            </a:ext>
          </a:extLst>
        </xdr:cNvPr>
        <xdr:cNvSpPr txBox="1">
          <a:spLocks noChangeArrowheads="1"/>
        </xdr:cNvSpPr>
      </xdr:nvSpPr>
      <xdr:spPr bwMode="auto">
        <a:xfrm>
          <a:off x="6332691" y="4744598"/>
          <a:ext cx="366576" cy="22346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5</xdr:col>
      <xdr:colOff>739057</xdr:colOff>
      <xdr:row>28</xdr:row>
      <xdr:rowOff>10125</xdr:rowOff>
    </xdr:from>
    <xdr:to>
      <xdr:col>5</xdr:col>
      <xdr:colOff>1228023</xdr:colOff>
      <xdr:row>29</xdr:row>
      <xdr:rowOff>64929</xdr:rowOff>
    </xdr:to>
    <xdr:sp macro="" textlink="">
      <xdr:nvSpPr>
        <xdr:cNvPr id="100" name="Text Box 247">
          <a:extLst>
            <a:ext uri="{FF2B5EF4-FFF2-40B4-BE49-F238E27FC236}">
              <a16:creationId xmlns:a16="http://schemas.microsoft.com/office/drawing/2014/main" id="{00000000-0008-0000-0300-000064000000}"/>
            </a:ext>
          </a:extLst>
        </xdr:cNvPr>
        <xdr:cNvSpPr txBox="1">
          <a:spLocks noChangeArrowheads="1"/>
        </xdr:cNvSpPr>
      </xdr:nvSpPr>
      <xdr:spPr bwMode="auto">
        <a:xfrm>
          <a:off x="6301657" y="4544025"/>
          <a:ext cx="488966" cy="21672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xdr:from>
      <xdr:col>4</xdr:col>
      <xdr:colOff>956346</xdr:colOff>
      <xdr:row>42</xdr:row>
      <xdr:rowOff>10652</xdr:rowOff>
    </xdr:from>
    <xdr:to>
      <xdr:col>5</xdr:col>
      <xdr:colOff>168728</xdr:colOff>
      <xdr:row>43</xdr:row>
      <xdr:rowOff>69644</xdr:rowOff>
    </xdr:to>
    <xdr:sp macro="" textlink="">
      <xdr:nvSpPr>
        <xdr:cNvPr id="101" name="Text Box 245">
          <a:extLst>
            <a:ext uri="{FF2B5EF4-FFF2-40B4-BE49-F238E27FC236}">
              <a16:creationId xmlns:a16="http://schemas.microsoft.com/office/drawing/2014/main" id="{00000000-0008-0000-0300-000065000000}"/>
            </a:ext>
          </a:extLst>
        </xdr:cNvPr>
        <xdr:cNvSpPr txBox="1">
          <a:spLocks noChangeArrowheads="1"/>
        </xdr:cNvSpPr>
      </xdr:nvSpPr>
      <xdr:spPr bwMode="auto">
        <a:xfrm>
          <a:off x="5366421" y="6811502"/>
          <a:ext cx="364907" cy="2209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CSG</a:t>
          </a:r>
        </a:p>
      </xdr:txBody>
    </xdr:sp>
    <xdr:clientData/>
  </xdr:twoCellAnchor>
  <xdr:twoCellAnchor>
    <xdr:from>
      <xdr:col>4</xdr:col>
      <xdr:colOff>938047</xdr:colOff>
      <xdr:row>43</xdr:row>
      <xdr:rowOff>43495</xdr:rowOff>
    </xdr:from>
    <xdr:to>
      <xdr:col>5</xdr:col>
      <xdr:colOff>158314</xdr:colOff>
      <xdr:row>44</xdr:row>
      <xdr:rowOff>66371</xdr:rowOff>
    </xdr:to>
    <xdr:sp macro="" textlink="">
      <xdr:nvSpPr>
        <xdr:cNvPr id="103" name="Text Box 277">
          <a:extLst>
            <a:ext uri="{FF2B5EF4-FFF2-40B4-BE49-F238E27FC236}">
              <a16:creationId xmlns:a16="http://schemas.microsoft.com/office/drawing/2014/main" id="{00000000-0008-0000-0300-000067000000}"/>
            </a:ext>
          </a:extLst>
        </xdr:cNvPr>
        <xdr:cNvSpPr txBox="1">
          <a:spLocks noChangeArrowheads="1"/>
        </xdr:cNvSpPr>
      </xdr:nvSpPr>
      <xdr:spPr bwMode="auto">
        <a:xfrm>
          <a:off x="5348122" y="7006270"/>
          <a:ext cx="372792" cy="22290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twoCellAnchor>
    <xdr:from>
      <xdr:col>2</xdr:col>
      <xdr:colOff>127802</xdr:colOff>
      <xdr:row>7</xdr:row>
      <xdr:rowOff>69925</xdr:rowOff>
    </xdr:from>
    <xdr:to>
      <xdr:col>2</xdr:col>
      <xdr:colOff>561808</xdr:colOff>
      <xdr:row>8</xdr:row>
      <xdr:rowOff>143499</xdr:rowOff>
    </xdr:to>
    <xdr:sp macro="" textlink="">
      <xdr:nvSpPr>
        <xdr:cNvPr id="104" name="Text Box 248">
          <a:extLst>
            <a:ext uri="{FF2B5EF4-FFF2-40B4-BE49-F238E27FC236}">
              <a16:creationId xmlns:a16="http://schemas.microsoft.com/office/drawing/2014/main" id="{00000000-0008-0000-0300-000068000000}"/>
            </a:ext>
          </a:extLst>
        </xdr:cNvPr>
        <xdr:cNvSpPr txBox="1">
          <a:spLocks noChangeArrowheads="1"/>
        </xdr:cNvSpPr>
      </xdr:nvSpPr>
      <xdr:spPr bwMode="auto">
        <a:xfrm>
          <a:off x="2118527" y="1203400"/>
          <a:ext cx="434006" cy="23549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VIN</a:t>
          </a:r>
        </a:p>
      </xdr:txBody>
    </xdr:sp>
    <xdr:clientData/>
  </xdr:twoCellAnchor>
  <xdr:twoCellAnchor>
    <xdr:from>
      <xdr:col>4</xdr:col>
      <xdr:colOff>903979</xdr:colOff>
      <xdr:row>39</xdr:row>
      <xdr:rowOff>8956</xdr:rowOff>
    </xdr:from>
    <xdr:to>
      <xdr:col>5</xdr:col>
      <xdr:colOff>123188</xdr:colOff>
      <xdr:row>40</xdr:row>
      <xdr:rowOff>72374</xdr:rowOff>
    </xdr:to>
    <xdr:sp macro="" textlink="">
      <xdr:nvSpPr>
        <xdr:cNvPr id="73" name="Text Box 277">
          <a:extLst>
            <a:ext uri="{FF2B5EF4-FFF2-40B4-BE49-F238E27FC236}">
              <a16:creationId xmlns:a16="http://schemas.microsoft.com/office/drawing/2014/main" id="{00000000-0008-0000-0300-000049000000}"/>
            </a:ext>
          </a:extLst>
        </xdr:cNvPr>
        <xdr:cNvSpPr txBox="1">
          <a:spLocks noChangeArrowheads="1"/>
        </xdr:cNvSpPr>
      </xdr:nvSpPr>
      <xdr:spPr bwMode="auto">
        <a:xfrm>
          <a:off x="5314054" y="6324031"/>
          <a:ext cx="371734" cy="225343"/>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pitchFamily="34" charset="0"/>
              <a:cs typeface="Arial" pitchFamily="34" charset="0"/>
            </a:rPr>
            <a:t>100</a:t>
          </a:r>
          <a:r>
            <a:rPr lang="el-GR" sz="1000" b="0" i="0" strike="noStrike">
              <a:solidFill>
                <a:srgbClr val="000000"/>
              </a:solidFill>
              <a:latin typeface="Arial" pitchFamily="34" charset="0"/>
              <a:cs typeface="Arial" pitchFamily="34" charset="0"/>
            </a:rPr>
            <a:t>Ω</a:t>
          </a:r>
        </a:p>
      </xdr:txBody>
    </xdr:sp>
    <xdr:clientData/>
  </xdr:twoCellAnchor>
  <xdr:twoCellAnchor>
    <xdr:from>
      <xdr:col>3</xdr:col>
      <xdr:colOff>190500</xdr:colOff>
      <xdr:row>22</xdr:row>
      <xdr:rowOff>15240</xdr:rowOff>
    </xdr:from>
    <xdr:to>
      <xdr:col>4</xdr:col>
      <xdr:colOff>38100</xdr:colOff>
      <xdr:row>25</xdr:row>
      <xdr:rowOff>38100</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bwMode="auto">
        <a:xfrm>
          <a:off x="3345180" y="3703320"/>
          <a:ext cx="1226820" cy="525780"/>
        </a:xfrm>
        <a:prstGeom prst="rect">
          <a:avLst/>
        </a:prstGeom>
        <a:solidFill>
          <a:srgbClr val="CCFFFF"/>
        </a:solidFill>
        <a:ln w="9525">
          <a:noFill/>
          <a:miter lim="800000"/>
          <a:headEnd/>
          <a:tailEnd/>
        </a:ln>
      </xdr:spPr>
      <xdr:txBody>
        <a:bodyPr vertOverflow="clip" horzOverflow="clip" wrap="square" lIns="27432" tIns="27432" rIns="0" bIns="0" rtlCol="0" anchor="ctr" upright="1"/>
        <a:lstStyle/>
        <a:p>
          <a:pPr algn="ctr" rtl="0"/>
          <a:r>
            <a:rPr lang="en-US" sz="2000" b="1" i="0" strike="noStrike">
              <a:solidFill>
                <a:srgbClr val="FF0000"/>
              </a:solidFill>
              <a:latin typeface="Calibri"/>
            </a:rPr>
            <a:t>LM5177</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564696</xdr:colOff>
      <xdr:row>107</xdr:row>
      <xdr:rowOff>123652</xdr:rowOff>
    </xdr:from>
    <xdr:to>
      <xdr:col>9</xdr:col>
      <xdr:colOff>564696</xdr:colOff>
      <xdr:row>136</xdr:row>
      <xdr:rowOff>141527</xdr:rowOff>
    </xdr:to>
    <xdr:pic>
      <xdr:nvPicPr>
        <xdr:cNvPr id="10" name="Picture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4696" y="18125902"/>
          <a:ext cx="5510893" cy="475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137</xdr:row>
      <xdr:rowOff>138794</xdr:rowOff>
    </xdr:from>
    <xdr:to>
      <xdr:col>9</xdr:col>
      <xdr:colOff>564696</xdr:colOff>
      <xdr:row>166</xdr:row>
      <xdr:rowOff>136279</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696" y="23039615"/>
          <a:ext cx="5510893" cy="4732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564696</xdr:colOff>
      <xdr:row>34</xdr:row>
      <xdr:rowOff>51297</xdr:rowOff>
    </xdr:from>
    <xdr:to>
      <xdr:col>9</xdr:col>
      <xdr:colOff>540203</xdr:colOff>
      <xdr:row>56</xdr:row>
      <xdr:rowOff>136448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64696" y="6133690"/>
          <a:ext cx="5486400" cy="3677437"/>
        </a:xfrm>
        <a:prstGeom prst="rect">
          <a:avLst/>
        </a:prstGeom>
      </xdr:spPr>
    </xdr:pic>
    <xdr:clientData/>
  </xdr:twoCellAnchor>
  <xdr:twoCellAnchor editAs="oneCell">
    <xdr:from>
      <xdr:col>0</xdr:col>
      <xdr:colOff>564696</xdr:colOff>
      <xdr:row>82</xdr:row>
      <xdr:rowOff>128683</xdr:rowOff>
    </xdr:from>
    <xdr:to>
      <xdr:col>9</xdr:col>
      <xdr:colOff>540203</xdr:colOff>
      <xdr:row>106</xdr:row>
      <xdr:rowOff>126387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4696" y="14048790"/>
          <a:ext cx="5486400" cy="3916561"/>
        </a:xfrm>
        <a:prstGeom prst="rect">
          <a:avLst/>
        </a:prstGeom>
      </xdr:spPr>
    </xdr:pic>
    <xdr:clientData/>
  </xdr:twoCellAnchor>
  <xdr:twoCellAnchor editAs="oneCell">
    <xdr:from>
      <xdr:col>12</xdr:col>
      <xdr:colOff>63500</xdr:colOff>
      <xdr:row>9</xdr:row>
      <xdr:rowOff>12307</xdr:rowOff>
    </xdr:from>
    <xdr:to>
      <xdr:col>20</xdr:col>
      <xdr:colOff>88900</xdr:colOff>
      <xdr:row>34</xdr:row>
      <xdr:rowOff>139706</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6384" t="7673" r="5497" b="7948"/>
        <a:stretch/>
      </xdr:blipFill>
      <xdr:spPr>
        <a:xfrm>
          <a:off x="7302500" y="1980807"/>
          <a:ext cx="5486400" cy="4096149"/>
        </a:xfrm>
        <a:prstGeom prst="rect">
          <a:avLst/>
        </a:prstGeom>
      </xdr:spPr>
    </xdr:pic>
    <xdr:clientData/>
  </xdr:twoCellAnchor>
  <xdr:twoCellAnchor editAs="oneCell">
    <xdr:from>
      <xdr:col>12</xdr:col>
      <xdr:colOff>57150</xdr:colOff>
      <xdr:row>35</xdr:row>
      <xdr:rowOff>153607</xdr:rowOff>
    </xdr:from>
    <xdr:to>
      <xdr:col>20</xdr:col>
      <xdr:colOff>63873</xdr:colOff>
      <xdr:row>68</xdr:row>
      <xdr:rowOff>64167</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3204" t="3892" r="994" b="4124"/>
        <a:stretch/>
      </xdr:blipFill>
      <xdr:spPr>
        <a:xfrm>
          <a:off x="7296150" y="6249607"/>
          <a:ext cx="5467723" cy="5149310"/>
        </a:xfrm>
        <a:prstGeom prst="rect">
          <a:avLst/>
        </a:prstGeom>
      </xdr:spPr>
    </xdr:pic>
    <xdr:clientData/>
  </xdr:twoCellAnchor>
  <xdr:twoCellAnchor editAs="oneCell">
    <xdr:from>
      <xdr:col>12</xdr:col>
      <xdr:colOff>57150</xdr:colOff>
      <xdr:row>69</xdr:row>
      <xdr:rowOff>78068</xdr:rowOff>
    </xdr:from>
    <xdr:to>
      <xdr:col>20</xdr:col>
      <xdr:colOff>63873</xdr:colOff>
      <xdr:row>100</xdr:row>
      <xdr:rowOff>62923</xdr:rowOff>
    </xdr:to>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658" t="6200" r="277" b="3403"/>
        <a:stretch/>
      </xdr:blipFill>
      <xdr:spPr>
        <a:xfrm>
          <a:off x="7296150" y="11571568"/>
          <a:ext cx="5467723" cy="4906105"/>
        </a:xfrm>
        <a:prstGeom prst="rect">
          <a:avLst/>
        </a:prstGeom>
      </xdr:spPr>
    </xdr:pic>
    <xdr:clientData/>
  </xdr:twoCellAnchor>
  <xdr:twoCellAnchor editAs="oneCell">
    <xdr:from>
      <xdr:col>22</xdr:col>
      <xdr:colOff>69271</xdr:colOff>
      <xdr:row>9</xdr:row>
      <xdr:rowOff>10102</xdr:rowOff>
    </xdr:from>
    <xdr:to>
      <xdr:col>33</xdr:col>
      <xdr:colOff>259771</xdr:colOff>
      <xdr:row>38</xdr:row>
      <xdr:rowOff>14251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3951" t="3176" r="2120" b="4976"/>
        <a:stretch/>
      </xdr:blipFill>
      <xdr:spPr>
        <a:xfrm>
          <a:off x="13975771" y="1978602"/>
          <a:ext cx="6826250" cy="4607899"/>
        </a:xfrm>
        <a:prstGeom prst="rect">
          <a:avLst/>
        </a:prstGeom>
      </xdr:spPr>
    </xdr:pic>
    <xdr:clientData/>
  </xdr:twoCellAnchor>
  <xdr:twoCellAnchor editAs="oneCell">
    <xdr:from>
      <xdr:col>22</xdr:col>
      <xdr:colOff>69271</xdr:colOff>
      <xdr:row>38</xdr:row>
      <xdr:rowOff>153610</xdr:rowOff>
    </xdr:from>
    <xdr:to>
      <xdr:col>33</xdr:col>
      <xdr:colOff>252695</xdr:colOff>
      <xdr:row>68</xdr:row>
      <xdr:rowOff>49701</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4667" t="10113" r="4940" b="8223"/>
        <a:stretch/>
      </xdr:blipFill>
      <xdr:spPr>
        <a:xfrm>
          <a:off x="13975771" y="6725860"/>
          <a:ext cx="6819174" cy="4658591"/>
        </a:xfrm>
        <a:prstGeom prst="rect">
          <a:avLst/>
        </a:prstGeom>
      </xdr:spPr>
    </xdr:pic>
    <xdr:clientData/>
  </xdr:twoCellAnchor>
  <xdr:twoCellAnchor editAs="oneCell">
    <xdr:from>
      <xdr:col>22</xdr:col>
      <xdr:colOff>69271</xdr:colOff>
      <xdr:row>69</xdr:row>
      <xdr:rowOff>27423</xdr:rowOff>
    </xdr:from>
    <xdr:to>
      <xdr:col>33</xdr:col>
      <xdr:colOff>259771</xdr:colOff>
      <xdr:row>98</xdr:row>
      <xdr:rowOff>109158</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2042" t="8673" r="3293" b="4723"/>
        <a:stretch/>
      </xdr:blipFill>
      <xdr:spPr>
        <a:xfrm>
          <a:off x="13975771" y="11520923"/>
          <a:ext cx="6826250" cy="4685485"/>
        </a:xfrm>
        <a:prstGeom prst="rect">
          <a:avLst/>
        </a:prstGeom>
      </xdr:spPr>
    </xdr:pic>
    <xdr:clientData/>
  </xdr:twoCellAnchor>
  <xdr:twoCellAnchor editAs="oneCell">
    <xdr:from>
      <xdr:col>0</xdr:col>
      <xdr:colOff>559596</xdr:colOff>
      <xdr:row>9</xdr:row>
      <xdr:rowOff>83343</xdr:rowOff>
    </xdr:from>
    <xdr:to>
      <xdr:col>9</xdr:col>
      <xdr:colOff>500062</xdr:colOff>
      <xdr:row>33</xdr:row>
      <xdr:rowOff>35718</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l="3258" t="7197" r="4310" b="7455"/>
        <a:stretch/>
      </xdr:blipFill>
      <xdr:spPr>
        <a:xfrm>
          <a:off x="559596" y="2107406"/>
          <a:ext cx="5405435" cy="3952875"/>
        </a:xfrm>
        <a:prstGeom prst="rect">
          <a:avLst/>
        </a:prstGeom>
      </xdr:spPr>
    </xdr:pic>
    <xdr:clientData/>
  </xdr:twoCellAnchor>
  <xdr:twoCellAnchor editAs="oneCell">
    <xdr:from>
      <xdr:col>0</xdr:col>
      <xdr:colOff>567877</xdr:colOff>
      <xdr:row>58</xdr:row>
      <xdr:rowOff>59530</xdr:rowOff>
    </xdr:from>
    <xdr:to>
      <xdr:col>9</xdr:col>
      <xdr:colOff>521805</xdr:colOff>
      <xdr:row>81</xdr:row>
      <xdr:rowOff>113822</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7016" t="10975" r="8251" b="10033"/>
        <a:stretch/>
      </xdr:blipFill>
      <xdr:spPr>
        <a:xfrm>
          <a:off x="567877" y="10189160"/>
          <a:ext cx="5470145" cy="38642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14</xdr:col>
      <xdr:colOff>200025</xdr:colOff>
      <xdr:row>32</xdr:row>
      <xdr:rowOff>133350</xdr:rowOff>
    </xdr:to>
    <xdr:graphicFrame macro="">
      <xdr:nvGraphicFramePr>
        <xdr:cNvPr id="3" name="Chart 253">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25400</xdr:colOff>
      <xdr:row>4</xdr:row>
      <xdr:rowOff>12700</xdr:rowOff>
    </xdr:from>
    <xdr:to>
      <xdr:col>1</xdr:col>
      <xdr:colOff>8150225</xdr:colOff>
      <xdr:row>4</xdr:row>
      <xdr:rowOff>5165725</xdr:rowOff>
    </xdr:to>
    <xdr:graphicFrame macro="">
      <xdr:nvGraphicFramePr>
        <xdr:cNvPr id="2" name="Chart 253">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3" name="Chart 25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4</xdr:row>
      <xdr:rowOff>0</xdr:rowOff>
    </xdr:from>
    <xdr:to>
      <xdr:col>30</xdr:col>
      <xdr:colOff>164647</xdr:colOff>
      <xdr:row>4</xdr:row>
      <xdr:rowOff>5153025</xdr:rowOff>
    </xdr:to>
    <xdr:graphicFrame macro="">
      <xdr:nvGraphicFramePr>
        <xdr:cNvPr id="4" name="Chart 25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4</xdr:row>
      <xdr:rowOff>0</xdr:rowOff>
    </xdr:from>
    <xdr:to>
      <xdr:col>15</xdr:col>
      <xdr:colOff>164646</xdr:colOff>
      <xdr:row>4</xdr:row>
      <xdr:rowOff>5153025</xdr:rowOff>
    </xdr:to>
    <xdr:graphicFrame macro="">
      <xdr:nvGraphicFramePr>
        <xdr:cNvPr id="5" name="Chart 253">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0</xdr:colOff>
      <xdr:row>4</xdr:row>
      <xdr:rowOff>0</xdr:rowOff>
    </xdr:from>
    <xdr:to>
      <xdr:col>44</xdr:col>
      <xdr:colOff>164647</xdr:colOff>
      <xdr:row>4</xdr:row>
      <xdr:rowOff>5153025</xdr:rowOff>
    </xdr:to>
    <xdr:graphicFrame macro="">
      <xdr:nvGraphicFramePr>
        <xdr:cNvPr id="6" name="Chart 253">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45</xdr:col>
      <xdr:colOff>0</xdr:colOff>
      <xdr:row>4</xdr:row>
      <xdr:rowOff>0</xdr:rowOff>
    </xdr:from>
    <xdr:to>
      <xdr:col>58</xdr:col>
      <xdr:colOff>164647</xdr:colOff>
      <xdr:row>4</xdr:row>
      <xdr:rowOff>5153025</xdr:rowOff>
    </xdr:to>
    <xdr:graphicFrame macro="">
      <xdr:nvGraphicFramePr>
        <xdr:cNvPr id="7" name="Chart 253">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6</xdr:row>
      <xdr:rowOff>0</xdr:rowOff>
    </xdr:from>
    <xdr:to>
      <xdr:col>15</xdr:col>
      <xdr:colOff>164646</xdr:colOff>
      <xdr:row>6</xdr:row>
      <xdr:rowOff>5153025</xdr:rowOff>
    </xdr:to>
    <xdr:graphicFrame macro="">
      <xdr:nvGraphicFramePr>
        <xdr:cNvPr id="8" name="Chart 253">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6</xdr:row>
      <xdr:rowOff>0</xdr:rowOff>
    </xdr:from>
    <xdr:to>
      <xdr:col>30</xdr:col>
      <xdr:colOff>164647</xdr:colOff>
      <xdr:row>6</xdr:row>
      <xdr:rowOff>5153025</xdr:rowOff>
    </xdr:to>
    <xdr:graphicFrame macro="">
      <xdr:nvGraphicFramePr>
        <xdr:cNvPr id="9" name="Chart 25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6</xdr:row>
      <xdr:rowOff>0</xdr:rowOff>
    </xdr:from>
    <xdr:to>
      <xdr:col>44</xdr:col>
      <xdr:colOff>164647</xdr:colOff>
      <xdr:row>6</xdr:row>
      <xdr:rowOff>5153025</xdr:rowOff>
    </xdr:to>
    <xdr:graphicFrame macro="">
      <xdr:nvGraphicFramePr>
        <xdr:cNvPr id="10" name="Chart 253">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45</xdr:col>
      <xdr:colOff>0</xdr:colOff>
      <xdr:row>6</xdr:row>
      <xdr:rowOff>0</xdr:rowOff>
    </xdr:from>
    <xdr:to>
      <xdr:col>58</xdr:col>
      <xdr:colOff>164647</xdr:colOff>
      <xdr:row>6</xdr:row>
      <xdr:rowOff>5153025</xdr:rowOff>
    </xdr:to>
    <xdr:graphicFrame macro="">
      <xdr:nvGraphicFramePr>
        <xdr:cNvPr id="11" name="Chart 253">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0</xdr:colOff>
      <xdr:row>9</xdr:row>
      <xdr:rowOff>0</xdr:rowOff>
    </xdr:from>
    <xdr:to>
      <xdr:col>30</xdr:col>
      <xdr:colOff>164647</xdr:colOff>
      <xdr:row>9</xdr:row>
      <xdr:rowOff>5153025</xdr:rowOff>
    </xdr:to>
    <xdr:graphicFrame macro="">
      <xdr:nvGraphicFramePr>
        <xdr:cNvPr id="12" name="Chart 253">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0</xdr:colOff>
      <xdr:row>9</xdr:row>
      <xdr:rowOff>0</xdr:rowOff>
    </xdr:from>
    <xdr:to>
      <xdr:col>44</xdr:col>
      <xdr:colOff>164647</xdr:colOff>
      <xdr:row>9</xdr:row>
      <xdr:rowOff>5153025</xdr:rowOff>
    </xdr:to>
    <xdr:graphicFrame macro="">
      <xdr:nvGraphicFramePr>
        <xdr:cNvPr id="13" name="Chart 253">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0</xdr:colOff>
      <xdr:row>9</xdr:row>
      <xdr:rowOff>0</xdr:rowOff>
    </xdr:from>
    <xdr:to>
      <xdr:col>58</xdr:col>
      <xdr:colOff>164647</xdr:colOff>
      <xdr:row>9</xdr:row>
      <xdr:rowOff>5153025</xdr:rowOff>
    </xdr:to>
    <xdr:graphicFrame macro="">
      <xdr:nvGraphicFramePr>
        <xdr:cNvPr id="14" name="Chart 25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59</xdr:col>
      <xdr:colOff>0</xdr:colOff>
      <xdr:row>9</xdr:row>
      <xdr:rowOff>0</xdr:rowOff>
    </xdr:from>
    <xdr:to>
      <xdr:col>72</xdr:col>
      <xdr:colOff>164647</xdr:colOff>
      <xdr:row>9</xdr:row>
      <xdr:rowOff>5153025</xdr:rowOff>
    </xdr:to>
    <xdr:graphicFrame macro="">
      <xdr:nvGraphicFramePr>
        <xdr:cNvPr id="15" name="Chart 253">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104775</xdr:colOff>
      <xdr:row>24</xdr:row>
      <xdr:rowOff>95250</xdr:rowOff>
    </xdr:from>
    <xdr:to>
      <xdr:col>24</xdr:col>
      <xdr:colOff>295275</xdr:colOff>
      <xdr:row>59</xdr:row>
      <xdr:rowOff>28575</xdr:rowOff>
    </xdr:to>
    <xdr:grpSp>
      <xdr:nvGrpSpPr>
        <xdr:cNvPr id="2" name="Group 14">
          <a:extLst>
            <a:ext uri="{FF2B5EF4-FFF2-40B4-BE49-F238E27FC236}">
              <a16:creationId xmlns:a16="http://schemas.microsoft.com/office/drawing/2014/main" id="{00000000-0008-0000-0800-000002000000}"/>
            </a:ext>
          </a:extLst>
        </xdr:cNvPr>
        <xdr:cNvGrpSpPr>
          <a:grpSpLocks/>
        </xdr:cNvGrpSpPr>
      </xdr:nvGrpSpPr>
      <xdr:grpSpPr bwMode="auto">
        <a:xfrm>
          <a:off x="14049375" y="4210050"/>
          <a:ext cx="6448425" cy="56197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93">
        <xdr:nvSpPr>
          <xdr:cNvPr id="4" name="Text Box 5">
            <a:extLst>
              <a:ext uri="{FF2B5EF4-FFF2-40B4-BE49-F238E27FC236}">
                <a16:creationId xmlns:a16="http://schemas.microsoft.com/office/drawing/2014/main" id="{00000000-0008-0000-08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100nF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8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502">
        <xdr:nvSpPr>
          <xdr:cNvPr id="6" name="Text Box 9">
            <a:extLst>
              <a:ext uri="{FF2B5EF4-FFF2-40B4-BE49-F238E27FC236}">
                <a16:creationId xmlns:a16="http://schemas.microsoft.com/office/drawing/2014/main" id="{00000000-0008-0000-08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82kΩ</a:t>
            </a:fld>
            <a:endParaRPr lang="el-GR" sz="1000" b="1" i="0" u="none" strike="noStrike" baseline="0">
              <a:solidFill>
                <a:srgbClr val="000000"/>
              </a:solidFill>
              <a:latin typeface="Arial"/>
              <a:cs typeface="Arial"/>
            </a:endParaRPr>
          </a:p>
        </xdr:txBody>
      </xdr:sp>
      <xdr:sp macro="" textlink="$A$503">
        <xdr:nvSpPr>
          <xdr:cNvPr id="7" name="Text Box 10">
            <a:extLst>
              <a:ext uri="{FF2B5EF4-FFF2-40B4-BE49-F238E27FC236}">
                <a16:creationId xmlns:a16="http://schemas.microsoft.com/office/drawing/2014/main" id="{00000000-0008-0000-08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6.04kΩ</a:t>
            </a:fld>
            <a:endParaRPr lang="el-GR" sz="1000" b="1" i="0" u="none" strike="noStrike" baseline="0">
              <a:solidFill>
                <a:srgbClr val="000000"/>
              </a:solidFill>
              <a:latin typeface="Arial"/>
              <a:cs typeface="Arial"/>
            </a:endParaRPr>
          </a:p>
        </xdr:txBody>
      </xdr:sp>
      <xdr:sp macro="" textlink="$A$492">
        <xdr:nvSpPr>
          <xdr:cNvPr id="8" name="Text Box 4">
            <a:extLst>
              <a:ext uri="{FF2B5EF4-FFF2-40B4-BE49-F238E27FC236}">
                <a16:creationId xmlns:a16="http://schemas.microsoft.com/office/drawing/2014/main" id="{00000000-0008-0000-08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100kΩ</a:t>
            </a:fld>
            <a:endParaRPr lang="el-GR" sz="1000" b="1" i="0" u="none" strike="noStrike" baseline="0">
              <a:solidFill>
                <a:srgbClr val="000000"/>
              </a:solidFill>
              <a:latin typeface="Arial"/>
              <a:cs typeface="Arial"/>
            </a:endParaRPr>
          </a:p>
        </xdr:txBody>
      </xdr:sp>
      <xdr:sp macro="" textlink="$A$482">
        <xdr:nvSpPr>
          <xdr:cNvPr id="9" name="Text Box 9">
            <a:extLst>
              <a:ext uri="{FF2B5EF4-FFF2-40B4-BE49-F238E27FC236}">
                <a16:creationId xmlns:a16="http://schemas.microsoft.com/office/drawing/2014/main" id="{00000000-0008-0000-08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14.6V</a:t>
            </a:fld>
            <a:endParaRPr lang="el-GR" sz="1000" b="1" i="0" u="none" strike="noStrike" baseline="0">
              <a:solidFill>
                <a:srgbClr val="000000"/>
              </a:solidFill>
              <a:latin typeface="Arial"/>
              <a:cs typeface="Arial"/>
            </a:endParaRPr>
          </a:p>
        </xdr:txBody>
      </xdr:sp>
    </xdr:grpSp>
    <xdr:clientData/>
  </xdr:twoCellAnchor>
  <xdr:twoCellAnchor>
    <xdr:from>
      <xdr:col>13</xdr:col>
      <xdr:colOff>66675</xdr:colOff>
      <xdr:row>16</xdr:row>
      <xdr:rowOff>152401</xdr:rowOff>
    </xdr:from>
    <xdr:to>
      <xdr:col>14</xdr:col>
      <xdr:colOff>504825</xdr:colOff>
      <xdr:row>18</xdr:row>
      <xdr:rowOff>95251</xdr:rowOff>
    </xdr:to>
    <xdr:sp macro="" textlink="$A$496">
      <xdr:nvSpPr>
        <xdr:cNvPr id="10" name="Text Box 4">
          <a:extLst>
            <a:ext uri="{FF2B5EF4-FFF2-40B4-BE49-F238E27FC236}">
              <a16:creationId xmlns:a16="http://schemas.microsoft.com/office/drawing/2014/main" id="{00000000-0008-0000-0800-00000A000000}"/>
            </a:ext>
          </a:extLst>
        </xdr:cNvPr>
        <xdr:cNvSpPr txBox="1">
          <a:spLocks noChangeArrowheads="1" noTextEdit="1"/>
        </xdr:cNvSpPr>
      </xdr:nvSpPr>
      <xdr:spPr bwMode="auto">
        <a:xfrm>
          <a:off x="13173075" y="2647951"/>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0.6mS</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21</xdr:row>
      <xdr:rowOff>0</xdr:rowOff>
    </xdr:from>
    <xdr:to>
      <xdr:col>14</xdr:col>
      <xdr:colOff>533400</xdr:colOff>
      <xdr:row>23</xdr:row>
      <xdr:rowOff>104775</xdr:rowOff>
    </xdr:to>
    <xdr:sp macro="" textlink="$A$497">
      <xdr:nvSpPr>
        <xdr:cNvPr id="11" name="Text Box 4">
          <a:extLst>
            <a:ext uri="{FF2B5EF4-FFF2-40B4-BE49-F238E27FC236}">
              <a16:creationId xmlns:a16="http://schemas.microsoft.com/office/drawing/2014/main" id="{00000000-0008-0000-0800-00000B000000}"/>
            </a:ext>
          </a:extLst>
        </xdr:cNvPr>
        <xdr:cNvSpPr txBox="1">
          <a:spLocks noChangeArrowheads="1" noTextEdit="1"/>
        </xdr:cNvSpPr>
      </xdr:nvSpPr>
      <xdr:spPr bwMode="auto">
        <a:xfrm>
          <a:off x="13201650" y="326707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10MΩ</a:t>
          </a:fld>
          <a:endParaRPr lang="el-GR" sz="1000" b="1" i="0" u="none" strike="noStrike" baseline="0">
            <a:solidFill>
              <a:srgbClr val="000000"/>
            </a:solidFill>
            <a:latin typeface="Arial"/>
            <a:cs typeface="Arial"/>
          </a:endParaRPr>
        </a:p>
      </xdr:txBody>
    </xdr:sp>
    <xdr:clientData/>
  </xdr:twoCellAnchor>
  <xdr:twoCellAnchor>
    <xdr:from>
      <xdr:col>13</xdr:col>
      <xdr:colOff>95250</xdr:colOff>
      <xdr:row>19</xdr:row>
      <xdr:rowOff>0</xdr:rowOff>
    </xdr:from>
    <xdr:to>
      <xdr:col>14</xdr:col>
      <xdr:colOff>533400</xdr:colOff>
      <xdr:row>20</xdr:row>
      <xdr:rowOff>104775</xdr:rowOff>
    </xdr:to>
    <xdr:sp macro="" textlink="$A$498">
      <xdr:nvSpPr>
        <xdr:cNvPr id="12" name="Text Box 4">
          <a:extLst>
            <a:ext uri="{FF2B5EF4-FFF2-40B4-BE49-F238E27FC236}">
              <a16:creationId xmlns:a16="http://schemas.microsoft.com/office/drawing/2014/main" id="{00000000-0008-0000-0800-00000C000000}"/>
            </a:ext>
          </a:extLst>
        </xdr:cNvPr>
        <xdr:cNvSpPr txBox="1">
          <a:spLocks noChangeArrowheads="1" noTextEdit="1"/>
        </xdr:cNvSpPr>
      </xdr:nvSpPr>
      <xdr:spPr bwMode="auto">
        <a:xfrm>
          <a:off x="13201650" y="2981325"/>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13MHz</a:t>
          </a:fld>
          <a:endParaRPr lang="el-GR" sz="1000" b="1" i="0" u="none" strike="noStrike" baseline="0">
            <a:solidFill>
              <a:srgbClr val="000000"/>
            </a:solidFill>
            <a:latin typeface="Arial"/>
            <a:cs typeface="Arial"/>
          </a:endParaRPr>
        </a:p>
      </xdr:txBody>
    </xdr:sp>
    <xdr:clientData/>
  </xdr:twoCellAnchor>
  <xdr:twoCellAnchor editAs="oneCell">
    <xdr:from>
      <xdr:col>2</xdr:col>
      <xdr:colOff>352425</xdr:colOff>
      <xdr:row>39</xdr:row>
      <xdr:rowOff>123825</xdr:rowOff>
    </xdr:from>
    <xdr:to>
      <xdr:col>5</xdr:col>
      <xdr:colOff>376897</xdr:colOff>
      <xdr:row>43</xdr:row>
      <xdr:rowOff>34222</xdr:rowOff>
    </xdr:to>
    <xdr:pic>
      <xdr:nvPicPr>
        <xdr:cNvPr id="13" name="Pictur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2"/>
        <a:stretch>
          <a:fillRect/>
        </a:stretch>
      </xdr:blipFill>
      <xdr:spPr>
        <a:xfrm>
          <a:off x="3743325" y="5857875"/>
          <a:ext cx="2342857" cy="542857"/>
        </a:xfrm>
        <a:prstGeom prst="rect">
          <a:avLst/>
        </a:prstGeom>
      </xdr:spPr>
    </xdr:pic>
    <xdr:clientData/>
  </xdr:twoCellAnchor>
  <xdr:twoCellAnchor editAs="oneCell">
    <xdr:from>
      <xdr:col>6</xdr:col>
      <xdr:colOff>28575</xdr:colOff>
      <xdr:row>39</xdr:row>
      <xdr:rowOff>28575</xdr:rowOff>
    </xdr:from>
    <xdr:to>
      <xdr:col>7</xdr:col>
      <xdr:colOff>719902</xdr:colOff>
      <xdr:row>43</xdr:row>
      <xdr:rowOff>34210</xdr:rowOff>
    </xdr:to>
    <xdr:pic>
      <xdr:nvPicPr>
        <xdr:cNvPr id="15" name="Picture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3"/>
        <a:stretch>
          <a:fillRect/>
        </a:stretch>
      </xdr:blipFill>
      <xdr:spPr>
        <a:xfrm>
          <a:off x="6362700" y="5762625"/>
          <a:ext cx="1504762" cy="638095"/>
        </a:xfrm>
        <a:prstGeom prst="rect">
          <a:avLst/>
        </a:prstGeom>
      </xdr:spPr>
    </xdr:pic>
    <xdr:clientData/>
  </xdr:twoCellAnchor>
  <xdr:twoCellAnchor editAs="oneCell">
    <xdr:from>
      <xdr:col>2</xdr:col>
      <xdr:colOff>361950</xdr:colOff>
      <xdr:row>43</xdr:row>
      <xdr:rowOff>114300</xdr:rowOff>
    </xdr:from>
    <xdr:to>
      <xdr:col>4</xdr:col>
      <xdr:colOff>415089</xdr:colOff>
      <xdr:row>47</xdr:row>
      <xdr:rowOff>3742</xdr:rowOff>
    </xdr:to>
    <xdr:pic>
      <xdr:nvPicPr>
        <xdr:cNvPr id="16" name="Picture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4"/>
        <a:stretch>
          <a:fillRect/>
        </a:stretch>
      </xdr:blipFill>
      <xdr:spPr>
        <a:xfrm>
          <a:off x="3752850" y="6496050"/>
          <a:ext cx="1609524" cy="542857"/>
        </a:xfrm>
        <a:prstGeom prst="rect">
          <a:avLst/>
        </a:prstGeom>
      </xdr:spPr>
    </xdr:pic>
    <xdr:clientData/>
  </xdr:twoCellAnchor>
  <xdr:twoCellAnchor editAs="oneCell">
    <xdr:from>
      <xdr:col>4</xdr:col>
      <xdr:colOff>752475</xdr:colOff>
      <xdr:row>43</xdr:row>
      <xdr:rowOff>85725</xdr:rowOff>
    </xdr:from>
    <xdr:to>
      <xdr:col>7</xdr:col>
      <xdr:colOff>1062676</xdr:colOff>
      <xdr:row>46</xdr:row>
      <xdr:rowOff>148522</xdr:rowOff>
    </xdr:to>
    <xdr:pic>
      <xdr:nvPicPr>
        <xdr:cNvPr id="17" name="Picture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5"/>
        <a:stretch>
          <a:fillRect/>
        </a:stretch>
      </xdr:blipFill>
      <xdr:spPr>
        <a:xfrm>
          <a:off x="5705475" y="6467475"/>
          <a:ext cx="2514286" cy="542857"/>
        </a:xfrm>
        <a:prstGeom prst="rect">
          <a:avLst/>
        </a:prstGeom>
      </xdr:spPr>
    </xdr:pic>
    <xdr:clientData/>
  </xdr:twoCellAnchor>
  <xdr:twoCellAnchor>
    <xdr:from>
      <xdr:col>17</xdr:col>
      <xdr:colOff>0</xdr:colOff>
      <xdr:row>62</xdr:row>
      <xdr:rowOff>0</xdr:rowOff>
    </xdr:from>
    <xdr:to>
      <xdr:col>23</xdr:col>
      <xdr:colOff>238125</xdr:colOff>
      <xdr:row>78</xdr:row>
      <xdr:rowOff>47625</xdr:rowOff>
    </xdr:to>
    <xdr:pic>
      <xdr:nvPicPr>
        <xdr:cNvPr id="18" name="Picture 2" descr="image001">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716250" y="10287000"/>
          <a:ext cx="3895725"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0</xdr:colOff>
      <xdr:row>79</xdr:row>
      <xdr:rowOff>0</xdr:rowOff>
    </xdr:from>
    <xdr:to>
      <xdr:col>23</xdr:col>
      <xdr:colOff>571500</xdr:colOff>
      <xdr:row>96</xdr:row>
      <xdr:rowOff>76200</xdr:rowOff>
    </xdr:to>
    <xdr:pic>
      <xdr:nvPicPr>
        <xdr:cNvPr id="19" name="Picture 1" descr="image002">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935325" y="13192125"/>
          <a:ext cx="4229100" cy="2828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304800</xdr:colOff>
      <xdr:row>213</xdr:row>
      <xdr:rowOff>142875</xdr:rowOff>
    </xdr:from>
    <xdr:to>
      <xdr:col>16</xdr:col>
      <xdr:colOff>193898</xdr:colOff>
      <xdr:row>217</xdr:row>
      <xdr:rowOff>72363</xdr:rowOff>
    </xdr:to>
    <xdr:pic>
      <xdr:nvPicPr>
        <xdr:cNvPr id="14" name="Picture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8"/>
        <a:stretch>
          <a:fillRect/>
        </a:stretch>
      </xdr:blipFill>
      <xdr:spPr>
        <a:xfrm>
          <a:off x="11220450" y="35375850"/>
          <a:ext cx="4299173" cy="63433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19</xdr:col>
      <xdr:colOff>28575</xdr:colOff>
      <xdr:row>43</xdr:row>
      <xdr:rowOff>142875</xdr:rowOff>
    </xdr:from>
    <xdr:to>
      <xdr:col>26</xdr:col>
      <xdr:colOff>333375</xdr:colOff>
      <xdr:row>60</xdr:row>
      <xdr:rowOff>133350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604837</xdr:colOff>
      <xdr:row>60</xdr:row>
      <xdr:rowOff>152400</xdr:rowOff>
    </xdr:from>
    <xdr:to>
      <xdr:col>26</xdr:col>
      <xdr:colOff>300037</xdr:colOff>
      <xdr:row>77</xdr:row>
      <xdr:rowOff>142875</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44</xdr:row>
      <xdr:rowOff>0</xdr:rowOff>
    </xdr:from>
    <xdr:to>
      <xdr:col>34</xdr:col>
      <xdr:colOff>304800</xdr:colOff>
      <xdr:row>60</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61</xdr:row>
      <xdr:rowOff>0</xdr:rowOff>
    </xdr:from>
    <xdr:to>
      <xdr:col>34</xdr:col>
      <xdr:colOff>304800</xdr:colOff>
      <xdr:row>77</xdr:row>
      <xdr:rowOff>152400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19</xdr:col>
      <xdr:colOff>0</xdr:colOff>
      <xdr:row>22</xdr:row>
      <xdr:rowOff>0</xdr:rowOff>
    </xdr:from>
    <xdr:to>
      <xdr:col>23</xdr:col>
      <xdr:colOff>805614</xdr:colOff>
      <xdr:row>26</xdr:row>
      <xdr:rowOff>152528</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706475" y="4191000"/>
          <a:ext cx="3372321" cy="914528"/>
        </a:xfrm>
        <a:prstGeom prst="rect">
          <a:avLst/>
        </a:prstGeom>
      </xdr:spPr>
    </xdr:pic>
    <xdr:clientData/>
  </xdr:twoCellAnchor>
  <xdr:twoCellAnchor editAs="oneCell">
    <xdr:from>
      <xdr:col>19</xdr:col>
      <xdr:colOff>0</xdr:colOff>
      <xdr:row>28</xdr:row>
      <xdr:rowOff>0</xdr:rowOff>
    </xdr:from>
    <xdr:to>
      <xdr:col>23</xdr:col>
      <xdr:colOff>305200</xdr:colOff>
      <xdr:row>36</xdr:row>
      <xdr:rowOff>213</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3706475" y="5334000"/>
          <a:ext cx="2867425" cy="1524213"/>
        </a:xfrm>
        <a:prstGeom prst="rect">
          <a:avLst/>
        </a:prstGeom>
      </xdr:spPr>
    </xdr:pic>
    <xdr:clientData/>
  </xdr:twoCellAnchor>
  <xdr:twoCellAnchor editAs="oneCell">
    <xdr:from>
      <xdr:col>19</xdr:col>
      <xdr:colOff>219075</xdr:colOff>
      <xdr:row>52</xdr:row>
      <xdr:rowOff>0</xdr:rowOff>
    </xdr:from>
    <xdr:to>
      <xdr:col>23</xdr:col>
      <xdr:colOff>429012</xdr:colOff>
      <xdr:row>59</xdr:row>
      <xdr:rowOff>186</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3925550" y="9906000"/>
          <a:ext cx="2772162" cy="1333686"/>
        </a:xfrm>
        <a:prstGeom prst="rect">
          <a:avLst/>
        </a:prstGeom>
      </xdr:spPr>
    </xdr:pic>
    <xdr:clientData/>
  </xdr:twoCellAnchor>
  <xdr:twoCellAnchor editAs="oneCell">
    <xdr:from>
      <xdr:col>19</xdr:col>
      <xdr:colOff>104775</xdr:colOff>
      <xdr:row>61</xdr:row>
      <xdr:rowOff>0</xdr:rowOff>
    </xdr:from>
    <xdr:to>
      <xdr:col>24</xdr:col>
      <xdr:colOff>526686</xdr:colOff>
      <xdr:row>68</xdr:row>
      <xdr:rowOff>133555</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a:stretch>
          <a:fillRect/>
        </a:stretch>
      </xdr:blipFill>
      <xdr:spPr>
        <a:xfrm>
          <a:off x="13811250" y="11620500"/>
          <a:ext cx="4086795" cy="1467055"/>
        </a:xfrm>
        <a:prstGeom prst="rect">
          <a:avLst/>
        </a:prstGeom>
      </xdr:spPr>
    </xdr:pic>
    <xdr:clientData/>
  </xdr:twoCellAnchor>
  <xdr:twoCellAnchor editAs="oneCell">
    <xdr:from>
      <xdr:col>2</xdr:col>
      <xdr:colOff>400050</xdr:colOff>
      <xdr:row>21</xdr:row>
      <xdr:rowOff>142875</xdr:rowOff>
    </xdr:from>
    <xdr:to>
      <xdr:col>8</xdr:col>
      <xdr:colOff>286391</xdr:colOff>
      <xdr:row>32</xdr:row>
      <xdr:rowOff>28852</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a:stretch>
          <a:fillRect/>
        </a:stretch>
      </xdr:blipFill>
      <xdr:spPr>
        <a:xfrm>
          <a:off x="1638300" y="4143375"/>
          <a:ext cx="4591691" cy="1981477"/>
        </a:xfrm>
        <a:prstGeom prst="rect">
          <a:avLst/>
        </a:prstGeom>
      </xdr:spPr>
    </xdr:pic>
    <xdr:clientData/>
  </xdr:twoCellAnchor>
  <xdr:twoCellAnchor editAs="oneCell">
    <xdr:from>
      <xdr:col>2</xdr:col>
      <xdr:colOff>400050</xdr:colOff>
      <xdr:row>33</xdr:row>
      <xdr:rowOff>38100</xdr:rowOff>
    </xdr:from>
    <xdr:to>
      <xdr:col>8</xdr:col>
      <xdr:colOff>334022</xdr:colOff>
      <xdr:row>41</xdr:row>
      <xdr:rowOff>152629</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a:stretch>
          <a:fillRect/>
        </a:stretch>
      </xdr:blipFill>
      <xdr:spPr>
        <a:xfrm>
          <a:off x="1638300" y="6324600"/>
          <a:ext cx="4639322" cy="1638529"/>
        </a:xfrm>
        <a:prstGeom prst="rect">
          <a:avLst/>
        </a:prstGeom>
      </xdr:spPr>
    </xdr:pic>
    <xdr:clientData/>
  </xdr:twoCellAnchor>
  <xdr:twoCellAnchor editAs="oneCell">
    <xdr:from>
      <xdr:col>19</xdr:col>
      <xdr:colOff>0</xdr:colOff>
      <xdr:row>38</xdr:row>
      <xdr:rowOff>0</xdr:rowOff>
    </xdr:from>
    <xdr:to>
      <xdr:col>22</xdr:col>
      <xdr:colOff>514694</xdr:colOff>
      <xdr:row>46</xdr:row>
      <xdr:rowOff>76423</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a:stretch>
          <a:fillRect/>
        </a:stretch>
      </xdr:blipFill>
      <xdr:spPr>
        <a:xfrm>
          <a:off x="13706475" y="7239000"/>
          <a:ext cx="2467319" cy="1600423"/>
        </a:xfrm>
        <a:prstGeom prst="rect">
          <a:avLst/>
        </a:prstGeom>
      </xdr:spPr>
    </xdr:pic>
    <xdr:clientData/>
  </xdr:twoCellAnchor>
  <xdr:twoCellAnchor editAs="oneCell">
    <xdr:from>
      <xdr:col>5</xdr:col>
      <xdr:colOff>0</xdr:colOff>
      <xdr:row>88</xdr:row>
      <xdr:rowOff>0</xdr:rowOff>
    </xdr:from>
    <xdr:to>
      <xdr:col>10</xdr:col>
      <xdr:colOff>19531</xdr:colOff>
      <xdr:row>90</xdr:row>
      <xdr:rowOff>123895</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743325" y="16764000"/>
          <a:ext cx="3448531" cy="504895"/>
        </a:xfrm>
        <a:prstGeom prst="rect">
          <a:avLst/>
        </a:prstGeom>
      </xdr:spPr>
    </xdr:pic>
    <xdr:clientData/>
  </xdr:twoCellAnchor>
  <xdr:twoCellAnchor editAs="oneCell">
    <xdr:from>
      <xdr:col>11</xdr:col>
      <xdr:colOff>0</xdr:colOff>
      <xdr:row>88</xdr:row>
      <xdr:rowOff>0</xdr:rowOff>
    </xdr:from>
    <xdr:to>
      <xdr:col>13</xdr:col>
      <xdr:colOff>857584</xdr:colOff>
      <xdr:row>96</xdr:row>
      <xdr:rowOff>9739</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7972425" y="16764000"/>
          <a:ext cx="2391109" cy="1533739"/>
        </a:xfrm>
        <a:prstGeom prst="rect">
          <a:avLst/>
        </a:prstGeom>
      </xdr:spPr>
    </xdr:pic>
    <xdr:clientData/>
  </xdr:twoCellAnchor>
  <xdr:twoCellAnchor editAs="oneCell">
    <xdr:from>
      <xdr:col>3</xdr:col>
      <xdr:colOff>0</xdr:colOff>
      <xdr:row>45</xdr:row>
      <xdr:rowOff>190499</xdr:rowOff>
    </xdr:from>
    <xdr:to>
      <xdr:col>8</xdr:col>
      <xdr:colOff>15225</xdr:colOff>
      <xdr:row>62</xdr:row>
      <xdr:rowOff>7326</xdr:rowOff>
    </xdr:to>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10"/>
        <a:stretch>
          <a:fillRect/>
        </a:stretch>
      </xdr:blipFill>
      <xdr:spPr>
        <a:xfrm>
          <a:off x="1857375" y="8762999"/>
          <a:ext cx="4101450" cy="3055327"/>
        </a:xfrm>
        <a:prstGeom prst="rect">
          <a:avLst/>
        </a:prstGeom>
      </xdr:spPr>
    </xdr:pic>
    <xdr:clientData/>
  </xdr:twoCellAnchor>
  <xdr:twoCellAnchor>
    <xdr:from>
      <xdr:col>24</xdr:col>
      <xdr:colOff>65689</xdr:colOff>
      <xdr:row>31</xdr:row>
      <xdr:rowOff>114300</xdr:rowOff>
    </xdr:from>
    <xdr:to>
      <xdr:col>33</xdr:col>
      <xdr:colOff>319087</xdr:colOff>
      <xdr:row>45</xdr:row>
      <xdr:rowOff>32845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8743950</xdr:colOff>
          <xdr:row>10</xdr:row>
          <xdr:rowOff>5143500</xdr:rowOff>
        </xdr:to>
        <xdr:sp macro="" textlink="">
          <xdr:nvSpPr>
            <xdr:cNvPr id="676970" name="Object 106" hidden="1">
              <a:extLst>
                <a:ext uri="{63B3BB69-23CF-44E3-9099-C40C66FF867C}">
                  <a14:compatExt spid="_x0000_s676970"/>
                </a:ext>
                <a:ext uri="{FF2B5EF4-FFF2-40B4-BE49-F238E27FC236}">
                  <a16:creationId xmlns:a16="http://schemas.microsoft.com/office/drawing/2014/main" id="{00000000-0008-0000-0C00-00006A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8743950</xdr:colOff>
          <xdr:row>10</xdr:row>
          <xdr:rowOff>5143500</xdr:rowOff>
        </xdr:to>
        <xdr:sp macro="" textlink="">
          <xdr:nvSpPr>
            <xdr:cNvPr id="676971" name="Object 107" hidden="1">
              <a:extLst>
                <a:ext uri="{63B3BB69-23CF-44E3-9099-C40C66FF867C}">
                  <a14:compatExt spid="_x0000_s676971"/>
                </a:ext>
                <a:ext uri="{FF2B5EF4-FFF2-40B4-BE49-F238E27FC236}">
                  <a16:creationId xmlns:a16="http://schemas.microsoft.com/office/drawing/2014/main" id="{00000000-0008-0000-0C00-00006B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5</xdr:col>
          <xdr:colOff>8743950</xdr:colOff>
          <xdr:row>10</xdr:row>
          <xdr:rowOff>5143500</xdr:rowOff>
        </xdr:to>
        <xdr:sp macro="" textlink="">
          <xdr:nvSpPr>
            <xdr:cNvPr id="676972" name="Object 108" hidden="1">
              <a:extLst>
                <a:ext uri="{63B3BB69-23CF-44E3-9099-C40C66FF867C}">
                  <a14:compatExt spid="_x0000_s676972"/>
                </a:ext>
                <a:ext uri="{FF2B5EF4-FFF2-40B4-BE49-F238E27FC236}">
                  <a16:creationId xmlns:a16="http://schemas.microsoft.com/office/drawing/2014/main" id="{00000000-0008-0000-0C00-00006C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8743950</xdr:colOff>
          <xdr:row>21</xdr:row>
          <xdr:rowOff>5143500</xdr:rowOff>
        </xdr:to>
        <xdr:sp macro="" textlink="">
          <xdr:nvSpPr>
            <xdr:cNvPr id="676973" name="Object 109" hidden="1">
              <a:extLst>
                <a:ext uri="{63B3BB69-23CF-44E3-9099-C40C66FF867C}">
                  <a14:compatExt spid="_x0000_s676973"/>
                </a:ext>
                <a:ext uri="{FF2B5EF4-FFF2-40B4-BE49-F238E27FC236}">
                  <a16:creationId xmlns:a16="http://schemas.microsoft.com/office/drawing/2014/main" id="{00000000-0008-0000-0C00-00006D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3</xdr:col>
          <xdr:colOff>8743950</xdr:colOff>
          <xdr:row>21</xdr:row>
          <xdr:rowOff>5143500</xdr:rowOff>
        </xdr:to>
        <xdr:sp macro="" textlink="">
          <xdr:nvSpPr>
            <xdr:cNvPr id="676974" name="Object 110" hidden="1">
              <a:extLst>
                <a:ext uri="{63B3BB69-23CF-44E3-9099-C40C66FF867C}">
                  <a14:compatExt spid="_x0000_s676974"/>
                </a:ext>
                <a:ext uri="{FF2B5EF4-FFF2-40B4-BE49-F238E27FC236}">
                  <a16:creationId xmlns:a16="http://schemas.microsoft.com/office/drawing/2014/main" id="{00000000-0008-0000-0C00-00006E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21</xdr:row>
          <xdr:rowOff>0</xdr:rowOff>
        </xdr:from>
        <xdr:to>
          <xdr:col>5</xdr:col>
          <xdr:colOff>8782050</xdr:colOff>
          <xdr:row>21</xdr:row>
          <xdr:rowOff>5143500</xdr:rowOff>
        </xdr:to>
        <xdr:sp macro="" textlink="">
          <xdr:nvSpPr>
            <xdr:cNvPr id="676975" name="Object 111" hidden="1">
              <a:extLst>
                <a:ext uri="{63B3BB69-23CF-44E3-9099-C40C66FF867C}">
                  <a14:compatExt spid="_x0000_s676975"/>
                </a:ext>
                <a:ext uri="{FF2B5EF4-FFF2-40B4-BE49-F238E27FC236}">
                  <a16:creationId xmlns:a16="http://schemas.microsoft.com/office/drawing/2014/main" id="{00000000-0008-0000-0C00-00006F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7</xdr:col>
          <xdr:colOff>8743950</xdr:colOff>
          <xdr:row>21</xdr:row>
          <xdr:rowOff>5143500</xdr:rowOff>
        </xdr:to>
        <xdr:sp macro="" textlink="">
          <xdr:nvSpPr>
            <xdr:cNvPr id="676976" name="Object 112" hidden="1">
              <a:extLst>
                <a:ext uri="{63B3BB69-23CF-44E3-9099-C40C66FF867C}">
                  <a14:compatExt spid="_x0000_s676976"/>
                </a:ext>
                <a:ext uri="{FF2B5EF4-FFF2-40B4-BE49-F238E27FC236}">
                  <a16:creationId xmlns:a16="http://schemas.microsoft.com/office/drawing/2014/main" id="{00000000-0008-0000-0C00-000070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8743950</xdr:colOff>
          <xdr:row>10</xdr:row>
          <xdr:rowOff>5143500</xdr:rowOff>
        </xdr:to>
        <xdr:sp macro="" textlink="">
          <xdr:nvSpPr>
            <xdr:cNvPr id="676977" name="Object 113" hidden="1">
              <a:extLst>
                <a:ext uri="{63B3BB69-23CF-44E3-9099-C40C66FF867C}">
                  <a14:compatExt spid="_x0000_s676977"/>
                </a:ext>
                <a:ext uri="{FF2B5EF4-FFF2-40B4-BE49-F238E27FC236}">
                  <a16:creationId xmlns:a16="http://schemas.microsoft.com/office/drawing/2014/main" id="{00000000-0008-0000-0C00-000071540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49</xdr:col>
      <xdr:colOff>345099</xdr:colOff>
      <xdr:row>71</xdr:row>
      <xdr:rowOff>142875</xdr:rowOff>
    </xdr:from>
    <xdr:to>
      <xdr:col>60</xdr:col>
      <xdr:colOff>172916</xdr:colOff>
      <xdr:row>97</xdr:row>
      <xdr:rowOff>65942</xdr:rowOff>
    </xdr:to>
    <xdr:graphicFrame macro="">
      <xdr:nvGraphicFramePr>
        <xdr:cNvPr id="2" name="Chart 1029">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49</xdr:col>
      <xdr:colOff>342900</xdr:colOff>
      <xdr:row>18</xdr:row>
      <xdr:rowOff>123825</xdr:rowOff>
    </xdr:from>
    <xdr:to>
      <xdr:col>60</xdr:col>
      <xdr:colOff>170717</xdr:colOff>
      <xdr:row>44</xdr:row>
      <xdr:rowOff>46892</xdr:rowOff>
    </xdr:to>
    <xdr:graphicFrame macro="">
      <xdr:nvGraphicFramePr>
        <xdr:cNvPr id="3" name="Chart 1029">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342900</xdr:colOff>
      <xdr:row>45</xdr:row>
      <xdr:rowOff>38100</xdr:rowOff>
    </xdr:from>
    <xdr:to>
      <xdr:col>60</xdr:col>
      <xdr:colOff>170717</xdr:colOff>
      <xdr:row>70</xdr:row>
      <xdr:rowOff>123092</xdr:rowOff>
    </xdr:to>
    <xdr:graphicFrame macro="">
      <xdr:nvGraphicFramePr>
        <xdr:cNvPr id="4" name="Chart 1029">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65</xdr:col>
      <xdr:colOff>345099</xdr:colOff>
      <xdr:row>71</xdr:row>
      <xdr:rowOff>142875</xdr:rowOff>
    </xdr:from>
    <xdr:to>
      <xdr:col>74</xdr:col>
      <xdr:colOff>172916</xdr:colOff>
      <xdr:row>97</xdr:row>
      <xdr:rowOff>65942</xdr:rowOff>
    </xdr:to>
    <xdr:graphicFrame macro="">
      <xdr:nvGraphicFramePr>
        <xdr:cNvPr id="2" name="Chart 1029">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65</xdr:col>
      <xdr:colOff>342900</xdr:colOff>
      <xdr:row>18</xdr:row>
      <xdr:rowOff>123825</xdr:rowOff>
    </xdr:from>
    <xdr:to>
      <xdr:col>74</xdr:col>
      <xdr:colOff>170717</xdr:colOff>
      <xdr:row>44</xdr:row>
      <xdr:rowOff>46892</xdr:rowOff>
    </xdr:to>
    <xdr:graphicFrame macro="">
      <xdr:nvGraphicFramePr>
        <xdr:cNvPr id="3" name="Chart 1029">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65</xdr:col>
      <xdr:colOff>342900</xdr:colOff>
      <xdr:row>45</xdr:row>
      <xdr:rowOff>38100</xdr:rowOff>
    </xdr:from>
    <xdr:to>
      <xdr:col>74</xdr:col>
      <xdr:colOff>170717</xdr:colOff>
      <xdr:row>70</xdr:row>
      <xdr:rowOff>123092</xdr:rowOff>
    </xdr:to>
    <xdr:graphicFrame macro="">
      <xdr:nvGraphicFramePr>
        <xdr:cNvPr id="4" name="Chart 1029">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428625</xdr:colOff>
      <xdr:row>4</xdr:row>
      <xdr:rowOff>1009650</xdr:rowOff>
    </xdr:from>
    <xdr:to>
      <xdr:col>5</xdr:col>
      <xdr:colOff>240968</xdr:colOff>
      <xdr:row>4</xdr:row>
      <xdr:rowOff>1238250</xdr:rowOff>
    </xdr:to>
    <xdr:sp macro="" textlink="'Variable Management'!$B$508">
      <xdr:nvSpPr>
        <xdr:cNvPr id="5" name="Text Box 24">
          <a:extLst>
            <a:ext uri="{FF2B5EF4-FFF2-40B4-BE49-F238E27FC236}">
              <a16:creationId xmlns:a16="http://schemas.microsoft.com/office/drawing/2014/main" id="{00000000-0008-0000-0F00-000005000000}"/>
            </a:ext>
          </a:extLst>
        </xdr:cNvPr>
        <xdr:cNvSpPr txBox="1">
          <a:spLocks noChangeArrowheads="1" noTextEdit="1"/>
        </xdr:cNvSpPr>
      </xdr:nvSpPr>
      <xdr:spPr bwMode="auto">
        <a:xfrm>
          <a:off x="10753725" y="16573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3</xdr:col>
      <xdr:colOff>419100</xdr:colOff>
      <xdr:row>4</xdr:row>
      <xdr:rowOff>1000125</xdr:rowOff>
    </xdr:from>
    <xdr:to>
      <xdr:col>4</xdr:col>
      <xdr:colOff>231443</xdr:colOff>
      <xdr:row>4</xdr:row>
      <xdr:rowOff>1228725</xdr:rowOff>
    </xdr:to>
    <xdr:sp macro="" textlink="'Variable Management'!$B$509">
      <xdr:nvSpPr>
        <xdr:cNvPr id="7" name="Text Box 24">
          <a:extLst>
            <a:ext uri="{FF2B5EF4-FFF2-40B4-BE49-F238E27FC236}">
              <a16:creationId xmlns:a16="http://schemas.microsoft.com/office/drawing/2014/main" id="{00000000-0008-0000-0F00-000007000000}"/>
            </a:ext>
          </a:extLst>
        </xdr:cNvPr>
        <xdr:cNvSpPr txBox="1">
          <a:spLocks noChangeArrowheads="1" noTextEdit="1"/>
        </xdr:cNvSpPr>
      </xdr:nvSpPr>
      <xdr:spPr bwMode="auto">
        <a:xfrm>
          <a:off x="10134600" y="16478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xdr:col>
      <xdr:colOff>25400</xdr:colOff>
      <xdr:row>4</xdr:row>
      <xdr:rowOff>12700</xdr:rowOff>
    </xdr:from>
    <xdr:to>
      <xdr:col>1</xdr:col>
      <xdr:colOff>8150225</xdr:colOff>
      <xdr:row>4</xdr:row>
      <xdr:rowOff>5165725</xdr:rowOff>
    </xdr:to>
    <xdr:graphicFrame macro="">
      <xdr:nvGraphicFramePr>
        <xdr:cNvPr id="8" name="Chart 25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6</xdr:row>
      <xdr:rowOff>6350</xdr:rowOff>
    </xdr:from>
    <xdr:to>
      <xdr:col>1</xdr:col>
      <xdr:colOff>8162925</xdr:colOff>
      <xdr:row>6</xdr:row>
      <xdr:rowOff>5159375</xdr:rowOff>
    </xdr:to>
    <xdr:graphicFrame macro="">
      <xdr:nvGraphicFramePr>
        <xdr:cNvPr id="9" name="Chart 253">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276225</xdr:colOff>
          <xdr:row>9</xdr:row>
          <xdr:rowOff>161925</xdr:rowOff>
        </xdr:from>
        <xdr:to>
          <xdr:col>4</xdr:col>
          <xdr:colOff>276225</xdr:colOff>
          <xdr:row>9</xdr:row>
          <xdr:rowOff>381000</xdr:rowOff>
        </xdr:to>
        <xdr:sp macro="" textlink="">
          <xdr:nvSpPr>
            <xdr:cNvPr id="723969" name="Check Box 1" hidden="1">
              <a:extLst>
                <a:ext uri="{63B3BB69-23CF-44E3-9099-C40C66FF867C}">
                  <a14:compatExt spid="_x0000_s723969"/>
                </a:ext>
                <a:ext uri="{FF2B5EF4-FFF2-40B4-BE49-F238E27FC236}">
                  <a16:creationId xmlns:a16="http://schemas.microsoft.com/office/drawing/2014/main" id="{00000000-0008-0000-0F00-0000010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I_Limit Gain</a:t>
              </a:r>
            </a:p>
          </xdr:txBody>
        </xdr:sp>
        <xdr:clientData/>
      </xdr:twoCellAnchor>
    </mc:Choice>
    <mc:Fallback/>
  </mc:AlternateContent>
  <xdr:twoCellAnchor editAs="absolute">
    <xdr:from>
      <xdr:col>1</xdr:col>
      <xdr:colOff>0</xdr:colOff>
      <xdr:row>9</xdr:row>
      <xdr:rowOff>0</xdr:rowOff>
    </xdr:from>
    <xdr:to>
      <xdr:col>1</xdr:col>
      <xdr:colOff>8705735</xdr:colOff>
      <xdr:row>9</xdr:row>
      <xdr:rowOff>5184048</xdr:rowOff>
    </xdr:to>
    <xdr:graphicFrame macro="">
      <xdr:nvGraphicFramePr>
        <xdr:cNvPr id="11" name="Chart 12">
          <a:extLst>
            <a:ext uri="{FF2B5EF4-FFF2-40B4-BE49-F238E27FC236}">
              <a16:creationId xmlns:a16="http://schemas.microsoft.com/office/drawing/2014/main" id="{00000000-0008-0000-0F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0</xdr:colOff>
      <xdr:row>11</xdr:row>
      <xdr:rowOff>0</xdr:rowOff>
    </xdr:from>
    <xdr:to>
      <xdr:col>1</xdr:col>
      <xdr:colOff>8709272</xdr:colOff>
      <xdr:row>11</xdr:row>
      <xdr:rowOff>5160644</xdr:rowOff>
    </xdr:to>
    <xdr:graphicFrame macro="">
      <xdr:nvGraphicFramePr>
        <xdr:cNvPr id="12" name="Chart 12">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43</xdr:col>
      <xdr:colOff>209550</xdr:colOff>
      <xdr:row>122</xdr:row>
      <xdr:rowOff>114300</xdr:rowOff>
    </xdr:from>
    <xdr:to>
      <xdr:col>54</xdr:col>
      <xdr:colOff>76200</xdr:colOff>
      <xdr:row>152</xdr:row>
      <xdr:rowOff>85725</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552450</xdr:colOff>
      <xdr:row>122</xdr:row>
      <xdr:rowOff>95250</xdr:rowOff>
    </xdr:from>
    <xdr:to>
      <xdr:col>43</xdr:col>
      <xdr:colOff>38100</xdr:colOff>
      <xdr:row>151</xdr:row>
      <xdr:rowOff>123825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28575</xdr:colOff>
      <xdr:row>122</xdr:row>
      <xdr:rowOff>79132</xdr:rowOff>
    </xdr:from>
    <xdr:to>
      <xdr:col>31</xdr:col>
      <xdr:colOff>384662</xdr:colOff>
      <xdr:row>151</xdr:row>
      <xdr:rowOff>107707</xdr:rowOff>
    </xdr:to>
    <xdr:graphicFrame macro="">
      <xdr:nvGraphicFramePr>
        <xdr:cNvPr id="4" name="Chart 4">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180974</xdr:colOff>
      <xdr:row>92</xdr:row>
      <xdr:rowOff>0</xdr:rowOff>
    </xdr:from>
    <xdr:to>
      <xdr:col>34</xdr:col>
      <xdr:colOff>352424</xdr:colOff>
      <xdr:row>121</xdr:row>
      <xdr:rowOff>28575</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36</xdr:col>
      <xdr:colOff>474519</xdr:colOff>
      <xdr:row>40</xdr:row>
      <xdr:rowOff>122959</xdr:rowOff>
    </xdr:from>
    <xdr:to>
      <xdr:col>43</xdr:col>
      <xdr:colOff>762001</xdr:colOff>
      <xdr:row>69</xdr:row>
      <xdr:rowOff>121227</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352425</xdr:colOff>
      <xdr:row>41</xdr:row>
      <xdr:rowOff>9525</xdr:rowOff>
    </xdr:from>
    <xdr:to>
      <xdr:col>36</xdr:col>
      <xdr:colOff>103909</xdr:colOff>
      <xdr:row>69</xdr:row>
      <xdr:rowOff>69273</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40</xdr:row>
      <xdr:rowOff>128489</xdr:rowOff>
    </xdr:from>
    <xdr:to>
      <xdr:col>29</xdr:col>
      <xdr:colOff>51953</xdr:colOff>
      <xdr:row>69</xdr:row>
      <xdr:rowOff>34637</xdr:rowOff>
    </xdr:to>
    <xdr:graphicFrame macro="">
      <xdr:nvGraphicFramePr>
        <xdr:cNvPr id="4" name="Chart 4">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7988F5-3391-46B0-AE01-7E5A47D89932}" name="Table1" displayName="Table1" ref="G8:BV209" totalsRowShown="0" headerRowDxfId="134">
  <autoFilter ref="G8:BV209" xr:uid="{E2929490-3442-45A6-BF09-9D53420916D4}">
    <filterColumn colId="0" hiddenButton="1"/>
    <filterColumn colId="1" hiddenButton="1"/>
    <filterColumn colId="2" hiddenButton="1"/>
    <filterColumn colId="3" hiddenButton="1"/>
    <filterColumn colId="4" hiddenButton="1"/>
    <filterColumn colId="5"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7" hiddenButton="1"/>
  </autoFilter>
  <tableColumns count="68">
    <tableColumn id="1" xr3:uid="{9121E692-53EE-4049-90F7-B3E6977432DC}" name="Step"/>
    <tableColumn id="2" xr3:uid="{E975150F-23C7-41FE-9650-60890D5F3F88}" name="Vin" dataDxfId="133">
      <calculatedColumnFormula>VIN_min+(VIN_max-VIN_min)*(Table1[[#This Row],[Step]]/200)</calculatedColumnFormula>
    </tableColumn>
    <tableColumn id="3" xr3:uid="{D9ACF969-D15E-4989-BD46-FF1E34DAEA5F}" name="Mode" dataDxfId="132">
      <calculatedColumnFormula>IF(Mode = 2,IF(Table1[[#This Row],[Vin]]&gt;Vout, "BUCK","BOOST"),IF(Table1[[#This Row],[Vin]]&gt;VIN_BB_to_buck, "BUCK", IF(Table1[[#This Row],[Vin]]&lt;=VIN_boost_to_BB,"BOOST","BUCK-BST")))</calculatedColumnFormula>
    </tableColumn>
    <tableColumn id="4" xr3:uid="{8C96FA94-01BE-4699-9CE7-B90336277C63}" name="Mode Digit" dataDxfId="131">
      <calculatedColumnFormula>IF(Table1[[#This Row],[Mode]]="BOOST",2, IF(Table1[[#This Row],[Mode]]="BUCK", 1,3))</calculatedColumnFormula>
    </tableColumn>
    <tableColumn id="5" xr3:uid="{8A8860C9-E956-47F0-8284-81122F1AB1BD}" name="Iout">
      <calculatedColumnFormula>Iout</calculatedColumnFormula>
    </tableColumn>
    <tableColumn id="6" xr3:uid="{67577E2A-8580-478F-8FAD-C6DF2C67A674}" name="Iin" dataDxfId="130">
      <calculatedColumnFormula>Vout*Table1[[#This Row],[Iout]]/(Table1[[#This Row],[Vin]]*Efficiency)</calculatedColumnFormula>
    </tableColumn>
    <tableColumn id="67" xr3:uid="{B21D64A5-0ED1-41E3-94C2-BC8F552481B1}" name="t1_Ph_II" dataDxfId="129">
      <calculatedColumnFormula>MIN(1/Fsw,CHOOSE(Table1[[#This Row],[Mode Digit]],(Vout+(Rdson2+Rs+Rdcr)*Table1[[#This Row],[Iout]])/(Table1[[#This Row],[Vin]]+(Rs+Rdson2-Rdson1)*Table1[[#This Row],[Iout]])/Fsw,(Vout+(Rdson3+Rdcr)*Table1[[#This Row],[Iin]]-Table1[[#This Row],[Vin]])/(Vout+(Rdson3-Rdson4-Rs)*Table1[[#This Row],[Iin]])/Fsw,t1_Ph_II))</calculatedColumnFormula>
    </tableColumn>
    <tableColumn id="66" xr3:uid="{0D7CD09D-E318-43F8-BBC6-2B243690B64D}" name="t2_Ph_I" dataDxfId="128">
      <calculatedColumnFormula>CHOOSE(Table1[[#This Row],[Mode Digit]],1/Fsw-Table1[[#This Row],[t1_Ph_II]],1/Fsw-Table1[[#This Row],[t1_Ph_II]],(Vout/Fsw-Table1[[#This Row],[Vin]]*t1_Ph_II)/(Table1[[#This Row],[Vin]]+Vout))</calculatedColumnFormula>
    </tableColumn>
    <tableColumn id="65" xr3:uid="{067FE5BC-65AF-4C10-89D7-A5EC9B1A6151}" name="t3_Ph_III" dataDxfId="127">
      <calculatedColumnFormula>1/Fsw-(Table1[[#This Row],[t1_Ph_II]]+Table1[[#This Row],[t2_Ph_I]])</calculatedColumnFormula>
    </tableColumn>
    <tableColumn id="64" xr3:uid="{934B657A-D006-4E40-90C4-B00A99AD6CB6}" name="I_0" dataDxfId="126">
      <calculatedColumnFormula>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calculatedColumnFormula>
    </tableColumn>
    <tableColumn id="63" xr3:uid="{BA9BBA57-C40F-4358-ACC0-ECB353E3727C}" name="I_1" dataDxfId="125">
      <calculatedColumnFormula>CHOOSE(Table1[[#This Row],[Mode Digit]],Table1[[#This Row],[I_0]]+1/Lf*(Table1[[#This Row],[Vin]]-Vout)*Table1[[#This Row],[t1_Ph_II]],Table1[[#This Row],[I_0]]+1/Lf*Table1[[#This Row],[Vin]]*Table1[[#This Row],[t1_Ph_II]],Table1[[#This Row],[I_0]]+(Table1[[#This Row],[Vin]]-Vout)/L*Table1[[#This Row],[t1_Ph_II]])</calculatedColumnFormula>
    </tableColumn>
    <tableColumn id="10" xr3:uid="{CE044F8C-66D2-4E83-BAB4-E4A213233ABB}" name="I_2" dataDxfId="124">
      <calculatedColumnFormula>CHOOSE(Table1[[#This Row],[Mode Digit]],0,0,Table1[[#This Row],[I_1]]+Table1[[#This Row],[Vin]]/L*Table1[[#This Row],[t2_Ph_I]])</calculatedColumnFormula>
    </tableColumn>
    <tableColumn id="7" xr3:uid="{9D40E471-813C-4272-A8DA-520CAD470D9A}" name="Avg IL" dataDxfId="123">
      <calculatedColumnFormula>Fsw*(Table1[[#This Row],[I_0]]*Table1[[#This Row],[t1_Ph_II]]+Table1[[#This Row],[I_1]]*Table1[[#This Row],[t2_Ph_I]]+Table1[[#This Row],[I_2]]*Table1[[#This Row],[t3_Ph_III]])</calculatedColumnFormula>
    </tableColumn>
    <tableColumn id="8" xr3:uid="{D5399895-F423-459B-87DC-B4308F9A221C}" name="Duty Cycle BUCK Leg" dataDxfId="122">
      <calculatedColumnFormula>MIN(1,CHOOSE(Table1[[#This Row],[Mode Digit]],(Vout+(Rdson2+Rs+Rdcr)*Table1[[#This Row],[Iout]])/(Table1[[#This Row],[Vin]]+(Rs+Rdson2-Rdson1)*Table1[[#This Row],[Iout]]),1,Fsw*Table1[[#This Row],[t2_Ph_I]]+Table1[[#This Row],[t1_Ph_II]]))</calculatedColumnFormula>
    </tableColumn>
    <tableColumn id="9" xr3:uid="{C145599D-ADE0-4279-9EB0-7B569B836F99}" name="Duty Cycle BOOST Leg" dataDxfId="121">
      <calculatedColumnFormula>MIN(1,CHOOSE(Table1[[#This Row],[Mode Digit]],0,(Vout+(Rdson3+Rdcr)*Table1[[#This Row],[Iin]]-Table1[[#This Row],[Vin]])/(Vout+(Rdson3-Rdson4-Rs)*Table1[[#This Row],[Iin]]),Fsw*Table1[[#This Row],[t1_Ph_II]]+Table1[[#This Row],[t3_Ph_III]]))</calculatedColumnFormula>
    </tableColumn>
    <tableColumn id="14" xr3:uid="{D978C834-AC83-4EF9-AE10-521918065BC4}" name="Ripple Current pk-pk" dataDxfId="120">
      <calculatedColumnFormula>MAX(Table1[[#This Row],[I_0]:[I_2]])-MIN(Table1[[#This Row],[I_0]:[I_1]])</calculatedColumnFormula>
    </tableColumn>
    <tableColumn id="15" xr3:uid="{1453C8D2-4FA2-4F77-B108-1FF2B8201CFB}" name="Irms Lf" dataDxfId="119">
      <calculatedColumnFormula>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calculatedColumnFormula>
    </tableColumn>
    <tableColumn id="16" xr3:uid="{D43C2C0F-9B28-41FB-AD94-69FA09367E8C}" name="DCR    Loss" dataDxfId="118">
      <calculatedColumnFormula>(Table1[[#This Row],[Irms Lf]]^2*Rdcr*(1+Ltc*Ta-Ltc*25))/(1-Table1[[#This Row],[Irms Lf]]^2*Rdcr*Ltc*ThetaCa)</calculatedColumnFormula>
    </tableColumn>
    <tableColumn id="17" xr3:uid="{BBEFE59F-C3FE-4719-B373-CAE028B7D1B2}" name="Core Loss" dataDxfId="117">
      <calculatedColumnFormula>ABS(7.759*10^-3*Fsw^0.9458*(0.00787*Table1[[#This Row],[Ripple Current pk-pk]])^2.304)</calculatedColumnFormula>
    </tableColumn>
    <tableColumn id="18" xr3:uid="{63B994F0-E7FD-44A5-BE26-6B30ECD0A3D3}" name="Total Inductor Loss" dataDxfId="116">
      <calculatedColumnFormula>Table1[[#This Row],[DCR    Loss]]+Table1[[#This Row],[Core Loss]]</calculatedColumnFormula>
    </tableColumn>
    <tableColumn id="19" xr3:uid="{1B65E42A-DD7C-416C-85C1-C5C397A56489}" name="Irms Cout" dataDxfId="115">
      <calculatedColumnFormula>IF(Table1[[#This Row],[Vin]]&gt;Vout, Table1[[#This Row],[Ripple Current pk-pk]]/SQRT(12), SQRT(Table1[[#This Row],[Duty Cycle BOOST Leg]]/(1-Table1[[#This Row],[Duty Cycle BOOST Leg]]))*SQRT(Table1[[#This Row],[Iout]]^2+(Table1[[#This Row],[Ripple Current pk-pk]]^2)/12))</calculatedColumnFormula>
    </tableColumn>
    <tableColumn id="20" xr3:uid="{2CA158C7-15F1-4269-95F0-CE759244C6FE}" name="Cout ESR Loss" dataDxfId="114">
      <calculatedColumnFormula>RCoutEsr*Table1[[#This Row],[Irms Cout]]^2</calculatedColumnFormula>
    </tableColumn>
    <tableColumn id="21" xr3:uid="{77863D6B-9CFF-4B68-8199-F7F78FC58084}" name="Total Cout Loss" dataDxfId="113">
      <calculatedColumnFormula>Table1[[#This Row],[Cout ESR Loss]]</calculatedColumnFormula>
    </tableColumn>
    <tableColumn id="22" xr3:uid="{BC556C13-5CAB-45EE-8997-6BE810718797}" name="Irms Cin" dataDxfId="112">
      <calculatedColumnFormula>IF(Table1[[#This Row],[Vin]]&gt;Vout, SQRT(Table1[[#This Row],[Duty Cycle BUCK Leg]]*(1-Table1[[#This Row],[Duty Cycle BUCK Leg]]))*SQRT(Table1[[#This Row],[Iout]]^2+(Table1[[#This Row],[Ripple Current pk-pk]]^2)/12), Table1[[#This Row],[Ripple Current pk-pk]]/SQRT(12))</calculatedColumnFormula>
    </tableColumn>
    <tableColumn id="23" xr3:uid="{4A675B30-1D2F-43D1-84EA-664F589F01D2}" name="Cin ESR Loss" dataDxfId="111">
      <calculatedColumnFormula>RCinEsr*Table1[[#This Row],[Irms Cin]]^2</calculatedColumnFormula>
    </tableColumn>
    <tableColumn id="24" xr3:uid="{4F0585AA-6FEA-4C4B-A579-F5F2D7F5D028}" name="Total Cin Loss" dataDxfId="110">
      <calculatedColumnFormula>Table1[[#This Row],[Cin ESR Loss]]</calculatedColumnFormula>
    </tableColumn>
    <tableColumn id="25" xr3:uid="{75B1B8BE-831A-4FD5-A882-2DC506CD71C0}" name="Irms BuCtrl" dataDxfId="109">
      <calculatedColumnFormula>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calculatedColumnFormula>
    </tableColumn>
    <tableColumn id="26" xr3:uid="{C21CFAF7-2A14-406E-B09D-7C6860992618}" name="RDS(on) Loss BuCtrl" dataDxfId="108">
      <calculatedColumnFormula>Rdson1*Table1[[#This Row],[Irms BuCtrl]]^2</calculatedColumnFormula>
    </tableColumn>
    <tableColumn id="27" xr3:uid="{AA70B901-04FF-47C2-9C72-74EBE002B37D}" name="Transition Loss BuCtrl" dataDxfId="107">
      <calculatedColumnFormula>CHOOSE(Table1[[#This Row],[Mode Digit]], (Table1[[#This Row],[Vin]]*Table1[[#This Row],[Iout]]/2)*(Fsw)*(Tr_buck+Tf_buck), 0, (Table1[[#This Row],[Vin]]*Table1[[#This Row],[Avg IL]]/2)*(Fsw/1)*(Tr_buck+Tf_buck))</calculatedColumnFormula>
    </tableColumn>
    <tableColumn id="28" xr3:uid="{0266DD1C-08A1-4D59-A904-3DD652D7CD9B}" name="Dead Time Loss BuCtrl" dataDxfId="106">
      <calculatedColumnFormula>IF(Table1[[#This Row],[Vin]]&gt;Vout, IF(Table1[[#This Row],[Iout]]&gt;Table1[[#This Row],[Ripple Current pk-pk]]/2,0,ABS(Table1[[#This Row],[Iout]]-Table1[[#This Row],[Ripple Current pk-pk]]/2)*Vsd_Q1*Deadtime*Fsw),0)</calculatedColumnFormula>
    </tableColumn>
    <tableColumn id="29" xr3:uid="{0BA75274-2FDD-4C91-9B4F-3FF9BE73CDA0}" name="Total Control Bu MOSFET Loss" dataDxfId="105">
      <calculatedColumnFormula>(Table1[[#This Row],[Dead Time Loss BuCtrl]]+Table1[[#This Row],[Transition Loss BuCtrl]]+Table1[[#This Row],[RDS(on) Loss BuCtrl]]*(1+RdsonTopTc*Ta-RdsonTopTc*25))/(1-Table1[[#This Row],[RDS(on) Loss BuCtrl]]*RdsonTopTc*ThetaJA_Q1)</calculatedColumnFormula>
    </tableColumn>
    <tableColumn id="30" xr3:uid="{A13A40D1-C6C0-41AA-B316-D3C158575AF4}" name="Irms BuSync" dataDxfId="104">
      <calculatedColumnFormula>CHOOSE(Table1[[#This Row],[Mode Digit]],SQRT((Fsw*(Table1[[#This Row],[t2_Ph_I]]+0))*((Table1[[#This Row],[I_0]]*Table1[[#This Row],[I_1]]+((Table1[[#This Row],[I_0]]-Table1[[#This Row],[I_1]])^2)/3))),0,SQRT((Fsw*(Table1[[#This Row],[t3_Ph_III]]+0))*((Table1[[#This Row],[I_0]]*Table1[[#This Row],[I_2]]+((Table1[[#This Row],[I_0]]-Table1[[#This Row],[I_2]])^2)/3))))</calculatedColumnFormula>
    </tableColumn>
    <tableColumn id="31" xr3:uid="{F7516B13-02FC-4E88-9EEA-4D32FEC1EA87}" name="RDS(on) Loss BuSync" dataDxfId="103">
      <calculatedColumnFormula>Rdson2*Table1[[#This Row],[Irms BuSync]]^2</calculatedColumnFormula>
    </tableColumn>
    <tableColumn id="32" xr3:uid="{4DE1C4D4-4467-4753-A922-C6ADD3F5B27E}" name="Deadtime Loss BuSync" dataDxfId="102">
      <calculatedColumnFormula>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calculatedColumnFormula>
    </tableColumn>
    <tableColumn id="33" xr3:uid="{67046D36-15C0-4060-82AF-C911C49B0F22}" name="Total Sync Bu MOSFET Loss" dataDxfId="101">
      <calculatedColumnFormula>(Table1[[#This Row],[Deadtime Loss BuSync]]+Table1[[#This Row],[RDS(on) Loss BuSync]]*(1+RdsonBotTc*Ta-RdsonBotTc*25))/(1-Table1[[#This Row],[RDS(on) Loss BuSync]]*RdsonBotTc*ThetaJA_Q2)</calculatedColumnFormula>
    </tableColumn>
    <tableColumn id="34" xr3:uid="{78B6D18E-3DF7-406B-A245-B0FDEC633048}" name="Irms BoCtlr" dataDxfId="100">
      <calculatedColumnFormula>CHOOSE(Table1[[#This Row],[Mode Digit]],0,SQRT((Fsw*(Table1[[#This Row],[t1_Ph_II]]+0))*((Table1[[#This Row],[I_0]]*Table1[[#This Row],[I_1]]+((Table1[[#This Row],[I_0]]-Table1[[#This Row],[I_1]])^2)/3))),SQRT((Fsw*(Table1[[#This Row],[t2_Ph_I]]+0))*((Table1[[#This Row],[I_1]]*Table1[[#This Row],[I_2]]+((Table1[[#This Row],[I_1]]-Table1[[#This Row],[I_2]])^2)/3))))</calculatedColumnFormula>
    </tableColumn>
    <tableColumn id="35" xr3:uid="{4276B9B1-D3EA-4CE9-A12B-B1ECCE5C7E8D}" name="RDS(on) Loss BoCtlr" dataDxfId="99">
      <calculatedColumnFormula>Rdson4*Table1[[#This Row],[Irms BoCtlr]]^2</calculatedColumnFormula>
    </tableColumn>
    <tableColumn id="36" xr3:uid="{F0F66459-10BC-4AE7-9863-DDD03247D137}" name="Transition Loss BoCtlr" dataDxfId="98">
      <calculatedColumnFormula>CHOOSE(Table1[[#This Row],[Mode Digit]], 0, (Vout*Table1[[#This Row],[Iin]]/2)*(Fsw)*(Tr_boost+Tf_boost), (Vout*Iout/2)*(Fsw/1)*(Tr_boost+Tf_boost))</calculatedColumnFormula>
    </tableColumn>
    <tableColumn id="37" xr3:uid="{77B8DCC1-70A4-49D0-BEBD-94F7167FFA43}" name="Dead Time Loss BoCtlr" dataDxfId="97">
      <calculatedColumnFormula>IF(Table1[[#This Row],[Vin]]&gt;Vout, 0, IF(Table1[[#This Row],[Iin]]&gt;Table1[[#This Row],[Ripple Current pk-pk]]/2,0,ABS(Table1[[#This Row],[Iin]]-Table1[[#This Row],[Ripple Current pk-pk]]/2)*Vsd_Q4*Deadtime*Fsw))</calculatedColumnFormula>
    </tableColumn>
    <tableColumn id="38" xr3:uid="{2195575D-2D8B-4952-80A1-9481F7F9B146}" name="Total Control Bo MOSFET Loss" dataDxfId="96">
      <calculatedColumnFormula>(Table1[[#This Row],[Dead Time Loss BoCtlr]]+Table1[[#This Row],[Transition Loss BoCtlr]]+Table1[[#This Row],[RDS(on) Loss BoCtlr]]*(1+RdsonTopTc*Ta-RdsonTopTc*25))/(1-Table1[[#This Row],[RDS(on) Loss BoCtlr]]*RdsonTopTc*ThetaJA_Q4)</calculatedColumnFormula>
    </tableColumn>
    <tableColumn id="39" xr3:uid="{FF1C528F-E4B7-4D67-9E12-EF65274CD505}" name="Irms BoSync" dataDxfId="95">
      <calculatedColumnFormula>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calculatedColumnFormula>
    </tableColumn>
    <tableColumn id="40" xr3:uid="{43539418-9D0B-40E4-B586-9F6494A84493}" name="RDS(on) Loss BoSync" dataDxfId="94">
      <calculatedColumnFormula>Rdson3*Table1[[#This Row],[Irms BoSync]]^2</calculatedColumnFormula>
    </tableColumn>
    <tableColumn id="41" xr3:uid="{D513EED5-A231-48C8-96A4-0A6FA05CAB4D}" name="Deadtime Loss BoSync" dataDxfId="93">
      <calculatedColumnFormula>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calculatedColumnFormula>
    </tableColumn>
    <tableColumn id="42" xr3:uid="{FBFC6A62-2DF4-4E86-9792-8C7BBA2C0C7B}" name="Total Sync Bo MOSFET Loss" dataDxfId="92">
      <calculatedColumnFormula>(Table1[[#This Row],[Deadtime Loss BoSync]]+Table1[[#This Row],[RDS(on) Loss BoSync]]*(1+RdsonBotTc*Ta-RdsonBotTc*25))/(1-Table1[[#This Row],[RDS(on) Loss BoSync]]*RdsonBotTc*ThetaJA_Q3)</calculatedColumnFormula>
    </tableColumn>
    <tableColumn id="43" xr3:uid="{B8D70B98-C930-41BC-82F2-850B4A9ED47C}" name="Q1/Q3 RDS(on) Loss @ D = 100%" dataDxfId="91">
      <calculatedColumnFormula>CHOOSE(Table1[[#This Row],[Mode Digit]], Rdson3*Table1[[#This Row],[Irms Lf]]^2, Rdson1*Table1[[#This Row],[Irms Lf]]^2, 0)</calculatedColumnFormula>
    </tableColumn>
    <tableColumn id="44" xr3:uid="{ABD1224E-AB67-4271-81C0-7605B9180A53}" name="Deadtime Loss ext D" dataDxfId="90">
      <calculatedColumnFormula>CHOOSE(Table1[[#This Row],[Mode Digit]], 2*Deadtime*Fsw*IF(VfdSky_Q2&gt;0,VfdSky_Q2,0)*Table1[[#This Row],[Iout]], 2*Deadtime*Fsw*IF(VfdSky_Q3&gt;0,VfdSky_Q3,0)*Table1[[#This Row],[Iin]], 2*Deadtime*Fsw*IF(VfdSky_Q2&gt;0,VfdSky_Q2,0)*Table1[[#This Row],[Iout]]+2*Deadtime*Fsw*IF(VfdSky_Q3&gt;0,VfdSky_Q3,0)*Table1[[#This Row],[Iin]])</calculatedColumnFormula>
    </tableColumn>
    <tableColumn id="11" xr3:uid="{754E2EE9-F34E-40D7-AE3A-920095E2BC90}" name="Reverse Recovery Loss MOSFET D BUCK" dataDxfId="89">
      <calculatedColumnFormula>CHOOSE(Table1[[#This Row],[Mode Digit]], IF(QrrSky_Q2&gt;0,QrrSky_Q2,Qrr_Q2)*Fsw*(Table1[[#This Row],[Vin]]-Table1[[#This Row],[Iout]]*Rdson1),0,  IF(QrrSky_Q2&gt;0,QrrSky_Q2,Qrr_Q2)*Fsw*(Table1[[#This Row],[Vin]]-Table1[[#This Row],[Iout]]*Rdson1)+IF(QrrSky_Q3&gt;0,QrrSky_Q3,Qrr_Q3)*Fsw*Vout)</calculatedColumnFormula>
    </tableColumn>
    <tableColumn id="45" xr3:uid="{C052C785-8F9C-4106-98E0-EA969678E1E7}" name="Reverse Recovery Loss MOSFET D BOOST" dataDxfId="88">
      <calculatedColumnFormula>CHOOSE(Table1[[#This Row],[Mode Digit]],0, IF(QrrSky_Q3&gt;0,QrrSky_Q3,Qrr_Q3)*Fsw*Vout,  IF(QrrSky_Q2&gt;0,QrrSky_Q2,Qrr_Q2)*Fsw*(Table1[[#This Row],[Vin]]-Table1[[#This Row],[Iout]]*Rdson1)+IF(QrrSky_Q3&gt;0,QrrSky_Q3,Qrr_Q3)*Fsw*Vout)</calculatedColumnFormula>
    </tableColumn>
    <tableColumn id="46" xr3:uid="{311DDB6C-72A5-4B0B-9CAE-6A0DFC3E18BC}" name="Isense Shunt Loss" dataDxfId="87">
      <calculatedColumnFormula>CHOOSE(Table1[[#This Row],[Mode Digit]], Rs*Table1[[#This Row],[Irms BuSync]]^2, Rs*Table1[[#This Row],[Irms BoCtlr]]^2, Rs*(Table1[[#This Row],[Irms BuSync]]^2+Table1[[#This Row],[Irms BoCtlr]]^2))</calculatedColumnFormula>
    </tableColumn>
    <tableColumn id="47" xr3:uid="{99F4E969-2EB5-423C-963D-16EFE55B2FD1}" name="Iout Shunt Loss" dataDxfId="86">
      <calculatedColumnFormula>Rshunt/1000*Iout^2</calculatedColumnFormula>
    </tableColumn>
    <tableColumn id="48" xr3:uid="{45DBA10C-E8F8-45DE-9D72-72DEBEDFEF32}" name="IQ Loss" dataDxfId="85">
      <calculatedColumnFormula>IF(Vout&gt;8, Iq*Vout, Iq*Table1[[#This Row],[Vin]])</calculatedColumnFormula>
    </tableColumn>
    <tableColumn id="49" xr3:uid="{FF1ABC71-40B2-470E-9B25-2F1CD703AFE6}" name="Switching Current Loss" dataDxfId="84">
      <calculatedColumnFormula>CHOOSE(Table1[[#This Row],[Mode Digit]], (Qg_Q1+Qg_Q2)*Fsw, (Qg_Q3+Qg_Q4)*Fsw, (Qg_Q1+Qg_Q2+Qg_Q3+Qg_Q4)*Fsw)*IF(Vout&gt;8, Vout, Table1[[#This Row],[Vin]])</calculatedColumnFormula>
    </tableColumn>
    <tableColumn id="50" xr3:uid="{7AA6E847-C1D5-4D0C-A622-8E42290A3A5C}" name="Switching Current Diss" dataDxfId="83">
      <calculatedColumnFormula>(Vin-Vdd)*Fsw*(Qg_Q1+Qg_Q2)+(RdsonDRT+RdsonDRT2)*Fsw*Qg_Q1*Vdd/(RdsonDRT+2*Rgate1+RdsonDRT2)+(RdsonDRB+RdsonDRB2)*Fsw*Qg_Q2*Vdd/(RdsonDRB+2*Rgate2+RdsonDRB2)</calculatedColumnFormula>
    </tableColumn>
    <tableColumn id="51" xr3:uid="{956E85BF-4D6E-4B2F-930D-D7FD02AE0A40}" name="Total IC Loss" dataDxfId="82">
      <calculatedColumnFormula>Table1[[#This Row],[IQ Loss]]+Table1[[#This Row],[Switching Current Loss]]</calculatedColumnFormula>
    </tableColumn>
    <tableColumn id="52" xr3:uid="{3E2C200F-A22F-4C19-861A-5B46A252BE7E}" name="Total Loss" dataDxfId="81">
      <calculatedColumnFormula>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calculatedColumnFormula>
    </tableColumn>
    <tableColumn id="53" xr3:uid="{1947163D-2DAB-450D-8DA7-C5E1BC7C0EB8}" name="Pout" dataDxfId="80">
      <calculatedColumnFormula>Vout*Table1[[#This Row],[Iout]]</calculatedColumnFormula>
    </tableColumn>
    <tableColumn id="54" xr3:uid="{A2A0E537-8711-4BC5-9492-140502BE5D7D}" name="EFF, h" dataDxfId="79">
      <calculatedColumnFormula>Table1[[#This Row],[Pout]]/(Table1[[#This Row],[Pout]]+Table1[[#This Row],[Total Loss]])</calculatedColumnFormula>
    </tableColumn>
    <tableColumn id="55" xr3:uid="{04B86087-8464-4D7F-A9AC-CF7F70BAF7A6}" name="Control FET Temp Rise" dataDxfId="78">
      <calculatedColumnFormula>IF(Table1[[#This Row],[Vin]]&gt;Vout,ThetaJA_Q1*(Table1[[#This Row],[Total Control Bu MOSFET Loss]]+Table1[[#This Row],[Reverse Recovery Loss MOSFET D BOOST]]),ThetaJA_Q4*(Table1[[#This Row],[Total Control Bo MOSFET Loss]]+Table1[[#This Row],[Reverse Recovery Loss MOSFET D BUCK]]+Table1[[#This Row],[Reverse Recovery Loss MOSFET D BOOST]]))</calculatedColumnFormula>
    </tableColumn>
    <tableColumn id="56" xr3:uid="{EF378B9E-75D3-47DB-98A8-C77CD337726B}" name="Sync FET Temp Rise" dataDxfId="77">
      <calculatedColumnFormula>IF(Table1[[#This Row],[Vin]]&gt;Vout, Table1[[#This Row],[Total Sync Bu MOSFET Loss]]*ThetaJA_Q2, ThetaJA_Q3*Table1[[#This Row],[Total Sync Bo MOSFET Loss]])</calculatedColumnFormula>
    </tableColumn>
    <tableColumn id="57" xr3:uid="{DF8380F5-40D3-4602-B4AB-ADD5AB27DBEA}" name="Column1" dataDxfId="76"/>
    <tableColumn id="58" xr3:uid="{61F99BC7-2C3F-4FDA-8D9A-82D0FB100562}" name="h" dataDxfId="75">
      <calculatedColumnFormula>Table1[[#This Row],[EFF, h]]*100</calculatedColumnFormula>
    </tableColumn>
    <tableColumn id="59" xr3:uid="{3DAD211D-584B-40B7-B7E1-86EF4F43FAED}" name="Inductor Cu &amp; Core Loss" dataDxfId="74">
      <calculatedColumnFormula>Table1[[#This Row],[Total Inductor Loss]]</calculatedColumnFormula>
    </tableColumn>
    <tableColumn id="60" xr3:uid="{48239052-6648-45E2-A012-76140AB34B7D}" name="Total MOSFET Loss" dataDxfId="73">
      <calculatedColumnFormula>Table1[[#This Row],[Total Control Bu MOSFET Loss]]+Table1[[#This Row],[Total Sync Bu MOSFET Loss]]+Table1[[#This Row],[Total Control Bo MOSFET Loss]]+Table1[[#This Row],[Total Sync Bo MOSFET Loss]]+Table1[[#This Row],[Reverse Recovery Loss MOSFET D BUCK]]+Table1[[#This Row],[Reverse Recovery Loss MOSFET D BOOST]]</calculatedColumnFormula>
    </tableColumn>
    <tableColumn id="61" xr3:uid="{83A9FE45-D8DF-4885-AAC7-580F15254217}" name="Buck ''Control'' MOSFET Loss" dataDxfId="72">
      <calculatedColumnFormula>Table1[[#This Row],[Total Control Bu MOSFET Loss]]+Table1[[#This Row],[Reverse Recovery Loss MOSFET D BUCK]]*0.66</calculatedColumnFormula>
    </tableColumn>
    <tableColumn id="69" xr3:uid="{437246D9-FC87-4C11-B9E0-C57AA3741B1E}" name="Buck ''SYNC'' MOSFET Loss" dataDxfId="71">
      <calculatedColumnFormula>Table1[[#This Row],[Total Sync Bu MOSFET Loss]]+Table1[[#This Row],[Reverse Recovery Loss MOSFET D BUCK]]*0.33</calculatedColumnFormula>
    </tableColumn>
    <tableColumn id="68" xr3:uid="{28141934-F33B-4DB9-8C76-9FAC00DC5A01}" name="Boost ''Control'' MOSFET Loss" dataDxfId="70">
      <calculatedColumnFormula xml:space="preserve"> Table1[[#This Row],[Total Control Bo MOSFET Loss]]+Table1[[#This Row],[Reverse Recovery Loss MOSFET D BOOST]]*0.66</calculatedColumnFormula>
    </tableColumn>
    <tableColumn id="70" xr3:uid="{1C96CA9A-6037-4064-9BBA-7C304B4335B9}" name="Boost ''SYNC'' MOSFET Loss" dataDxfId="69">
      <calculatedColumnFormula xml:space="preserve"> Table1[[#This Row],[Total Sync Bo MOSFET Loss]]+Table1[[#This Row],[Reverse Recovery Loss MOSFET D BOOST]]*0.33</calculatedColumnFormula>
    </tableColumn>
    <tableColumn id="62" xr3:uid="{D9583505-7D38-4B50-967B-48D6181D7FC0}" name="Shunt Loss" dataDxfId="68">
      <calculatedColumnFormula>Table1[[#This Row],[Isense Shunt Loss]]</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8C7A1-BA20-49EF-A166-676508DFFE00}" name="Table2" displayName="Table2" ref="G8:BV109" totalsRowShown="0" headerRowDxfId="67">
  <autoFilter ref="G8:BV109" xr:uid="{0781F152-903E-43E6-B9F0-B3524499DF20}">
    <filterColumn colId="0" hiddenButton="1"/>
    <filterColumn colId="1" hiddenButton="1"/>
    <filterColumn colId="2" hiddenButton="1"/>
    <filterColumn colId="3" hiddenButton="1"/>
    <filterColumn colId="4" hiddenButton="1"/>
    <filterColumn colId="5"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7" hiddenButton="1"/>
  </autoFilter>
  <tableColumns count="68">
    <tableColumn id="1" xr3:uid="{34C3A69C-35D8-4A57-BA70-918DA2D69AFA}" name="Step"/>
    <tableColumn id="2" xr3:uid="{0C2AA3EA-0133-45A8-A686-8BA6D149C2B1}" name="Vin" dataDxfId="66">
      <calculatedColumnFormula>Vin</calculatedColumnFormula>
    </tableColumn>
    <tableColumn id="3" xr3:uid="{C40E81CD-1658-42BC-9279-472CD8215E7E}" name="Mode" dataDxfId="65">
      <calculatedColumnFormula>IF(Mode = 2,IF(Table2[[#This Row],[Vin]]&gt;Vout, "BUCK","BOOST"),IF(Table2[[#This Row],[Vin]]&gt;VIN_BB_to_buck, "BUCK", IF(Table2[[#This Row],[Vin]]&lt;=VIN_boost_to_BB,"BOOST","BUCK-BST")))</calculatedColumnFormula>
    </tableColumn>
    <tableColumn id="4" xr3:uid="{918F4473-EC49-4B32-A641-5015807B1B5E}" name="Mode Digit" dataDxfId="64">
      <calculatedColumnFormula>IF(Table2[[#This Row],[Mode]]="BOOST",2, IF(Table2[[#This Row],[Mode]]="BUCK", 1,3))</calculatedColumnFormula>
    </tableColumn>
    <tableColumn id="5" xr3:uid="{24A0BB7B-6C3A-4E00-801A-595F65870479}" name="Iout" dataDxfId="63">
      <calculatedColumnFormula>Iout*G9/100</calculatedColumnFormula>
    </tableColumn>
    <tableColumn id="6" xr3:uid="{E9720739-F4C6-4E72-8C1B-11C50B30969F}" name="Iin" dataDxfId="62">
      <calculatedColumnFormula>Vout*Table2[[#This Row],[Iout]]/(Table2[[#This Row],[Vin]]*Efficiency)</calculatedColumnFormula>
    </tableColumn>
    <tableColumn id="69" xr3:uid="{F303E149-8296-4B2F-9E54-567212B975FB}" name="t1_Ph_II" dataDxfId="61">
      <calculatedColumnFormula>MIN(1/Fsw,CHOOSE(Table2[[#This Row],[Mode Digit]],(Vout+(Rdson2+Rs+Rdcr)*Table2[[#This Row],[Iout]])/(Table2[[#This Row],[Vin]]+(Rs+Rdson2-Rdson1)*Table2[[#This Row],[Iout]])/Fsw,(Vout+(Rdson3+Rdcr)*Table2[[#This Row],[Iin]]-Table2[[#This Row],[Vin]])/(Vout+(Rdson3-Rdson4-Rs)*Table2[[#This Row],[Iin]])/Fsw,t1_Ph_II))</calculatedColumnFormula>
    </tableColumn>
    <tableColumn id="68" xr3:uid="{218ECE90-FA8A-4FC2-8081-90AA250C1F90}" name="t2_Ph_I" dataDxfId="60">
      <calculatedColumnFormula>CHOOSE(Table1[[#This Row],[Mode Digit]],1/Fsw-Table1[[#This Row],[t1_Ph_II]],1/Fsw-Table1[[#This Row],[t1_Ph_II]],(Vout/Fsw-Table1[[#This Row],[Vin]]*t1_Ph_II)/(Table1[[#This Row],[Vin]]+Vout))</calculatedColumnFormula>
    </tableColumn>
    <tableColumn id="67" xr3:uid="{7CC8C8E4-488A-4BA5-9A54-5BC5C4B97EB9}" name="t3_Ph_III" dataDxfId="59">
      <calculatedColumnFormula>1/Fsw-(Table1[[#This Row],[t1_Ph_II]]+Table1[[#This Row],[t2_Ph_I]])</calculatedColumnFormula>
    </tableColumn>
    <tableColumn id="66" xr3:uid="{307215AF-EEBE-4C01-A612-CD616E535224}" name="I_0" dataDxfId="58">
      <calculatedColumnFormula>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calculatedColumnFormula>
    </tableColumn>
    <tableColumn id="65" xr3:uid="{A7CCED91-2B00-4DF7-8C51-C417C01C299E}" name="I_1" dataDxfId="57">
      <calculatedColumnFormula>CHOOSE(Table1[[#This Row],[Mode Digit]],Table1[[#This Row],[I_0]]+1/Lf*(Table1[[#This Row],[Vin]]-Vout)*Table1[[#This Row],[t1_Ph_II]],Table1[[#This Row],[I_0]]+1/Lf*Table1[[#This Row],[Vin]]*Table1[[#This Row],[t1_Ph_II]],Table1[[#This Row],[I_0]]+(Table1[[#This Row],[Vin]]-Vout)/L*Table1[[#This Row],[t1_Ph_II]])</calculatedColumnFormula>
    </tableColumn>
    <tableColumn id="64" xr3:uid="{29650B43-79A1-4D7D-8BDF-D931084C4A45}" name="I_2" dataDxfId="56">
      <calculatedColumnFormula>CHOOSE(Table1[[#This Row],[Mode Digit]],0,0,Table1[[#This Row],[I_1]]+Table1[[#This Row],[Vin]]/L*Table1[[#This Row],[t2_Ph_I]])</calculatedColumnFormula>
    </tableColumn>
    <tableColumn id="10" xr3:uid="{18955705-EB16-4C59-BDED-D861C64E27EA}" name="Avg IL" dataDxfId="55">
      <calculatedColumnFormula>Fsw*(Table1[[#This Row],[I_0]]*Table1[[#This Row],[t1_Ph_II]]+Table1[[#This Row],[I_1]]*Table1[[#This Row],[t2_Ph_I]]+Table1[[#This Row],[I_2]]*Table1[[#This Row],[t3_Ph_III]])</calculatedColumnFormula>
    </tableColumn>
    <tableColumn id="8" xr3:uid="{6429F886-5CE8-49F5-8F04-6A937E99FA77}" name="Duty Cycle BUCK Leg" dataDxfId="54">
      <calculatedColumnFormula>MIN(1,CHOOSE(Table2[[#This Row],[Mode Digit]],(Vout+(Rdson2+Rs+Rdcr)*Table2[[#This Row],[Iout]])/(Table2[[#This Row],[Vin]]+(Rs+Rdson2-Rdson1)*Table2[[#This Row],[Iout]]),1,Fsw*Table2[[#This Row],[t2_Ph_I]]+Table2[[#This Row],[t1_Ph_II]]))</calculatedColumnFormula>
    </tableColumn>
    <tableColumn id="9" xr3:uid="{7A3777A6-7AC5-4923-A0F7-248CBBE3F0E6}" name="Duty Cycle BOOST Leg" dataDxfId="53">
      <calculatedColumnFormula>MIN(1,CHOOSE(Table2[[#This Row],[Mode Digit]],0,(Vout+(Rdson3+Rdcr)*Table2[[#This Row],[Iin]]-Table2[[#This Row],[Vin]])/(Vout+(Rdson3-Rdson4-Rs)*Table2[[#This Row],[Iin]]),Fsw*Table2[[#This Row],[t1_Ph_II]]+Table2[[#This Row],[t3_Ph_III]]))</calculatedColumnFormula>
    </tableColumn>
    <tableColumn id="14" xr3:uid="{442A66AD-DCF3-4FC3-AF2A-9FBC99F53897}" name="Ripple Current pk-pk" dataDxfId="52">
      <calculatedColumnFormula>MAX(Table1[[#This Row],[I_0]:[I_2]])-MIN(Table1[[#This Row],[I_0]:[I_1]])</calculatedColumnFormula>
    </tableColumn>
    <tableColumn id="15" xr3:uid="{C517068C-A74C-4D2D-8639-E6DDF0DA316F}" name="Irms Lf" dataDxfId="51">
      <calculatedColumnFormula>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calculatedColumnFormula>
    </tableColumn>
    <tableColumn id="16" xr3:uid="{46765DA0-CD55-4345-AC81-76ECFBE97162}" name="DCR    Loss" dataDxfId="50">
      <calculatedColumnFormula>(Table1[[#This Row],[Irms Lf]]^2*Rdcr*(1+Ltc*Ta-Ltc*25))/(1-Table1[[#This Row],[Irms Lf]]^2*Rdcr*Ltc*ThetaCa)</calculatedColumnFormula>
    </tableColumn>
    <tableColumn id="17" xr3:uid="{18EE1D63-8B67-484D-96F9-20501E013B5B}" name="Core Loss" dataDxfId="49">
      <calculatedColumnFormula>ABS(7.759*10^-3*Fsw^0.9458*(0.00787*Table1[[#This Row],[Ripple Current pk-pk]])^2.304)</calculatedColumnFormula>
    </tableColumn>
    <tableColumn id="18" xr3:uid="{ECC085B4-37C5-4BEF-B4D5-1FA51CFB4B64}" name="Total Inductor Loss" dataDxfId="48">
      <calculatedColumnFormula>Table1[[#This Row],[DCR    Loss]]+Table1[[#This Row],[Core Loss]]</calculatedColumnFormula>
    </tableColumn>
    <tableColumn id="19" xr3:uid="{76ADB736-66E1-4BF5-8F7C-96286D64A83E}" name="Irms Cout" dataDxfId="47">
      <calculatedColumnFormula>IF(Table1[[#This Row],[Vin]]&gt;Vout, Table1[[#This Row],[Ripple Current pk-pk]]/SQRT(12), SQRT(Table1[[#This Row],[Duty Cycle BOOST Leg]]/(1-Table1[[#This Row],[Duty Cycle BOOST Leg]]))*SQRT(Table1[[#This Row],[Iout]]^2+(Table1[[#This Row],[Ripple Current pk-pk]]^2)/12))</calculatedColumnFormula>
    </tableColumn>
    <tableColumn id="20" xr3:uid="{10DB5A8A-40EF-49C5-9DD4-1604029D9F9C}" name="Cout ESR Loss" dataDxfId="46">
      <calculatedColumnFormula>RCoutEsr*Table1[[#This Row],[Irms Cout]]^2</calculatedColumnFormula>
    </tableColumn>
    <tableColumn id="21" xr3:uid="{C8576C70-5D98-42E2-8699-FABB50E0F71C}" name="Total Cout Loss" dataDxfId="45">
      <calculatedColumnFormula>Table1[[#This Row],[Cout ESR Loss]]</calculatedColumnFormula>
    </tableColumn>
    <tableColumn id="22" xr3:uid="{A76C3B92-60A2-4D8F-83B5-BEE30B8782A2}" name="Irms Cin" dataDxfId="44">
      <calculatedColumnFormula>IF(Table1[[#This Row],[Vin]]&gt;Vout, SQRT(Table1[[#This Row],[Duty Cycle BUCK Leg]]*(1-Table1[[#This Row],[Duty Cycle BUCK Leg]]))*SQRT(Table1[[#This Row],[Iout]]^2+(Table1[[#This Row],[Ripple Current pk-pk]]^2)/12), Table1[[#This Row],[Ripple Current pk-pk]]/SQRT(12))</calculatedColumnFormula>
    </tableColumn>
    <tableColumn id="23" xr3:uid="{A2BA70BF-F6DD-4326-94F6-1A0307C9421C}" name="Cin ESR Loss" dataDxfId="43">
      <calculatedColumnFormula>RCinEsr*Table1[[#This Row],[Irms Cin]]^2</calculatedColumnFormula>
    </tableColumn>
    <tableColumn id="24" xr3:uid="{C50270F7-E0F4-4F75-BF80-EDEE659B0E28}" name="Total Cin Loss" dataDxfId="42">
      <calculatedColumnFormula>Table1[[#This Row],[Cin ESR Loss]]</calculatedColumnFormula>
    </tableColumn>
    <tableColumn id="25" xr3:uid="{C274173A-A80A-4BCD-A34F-B78CB7008381}" name="Irms BuCtrl" dataDxfId="41">
      <calculatedColumnFormula>Table1[[#This Row],[Irms Lf]]</calculatedColumnFormula>
    </tableColumn>
    <tableColumn id="26" xr3:uid="{09142631-A34E-49A6-A0EA-92E3D14054D2}" name="RDS(on) Loss BuCtrl" dataDxfId="40">
      <calculatedColumnFormula>Rdson1*Table1[[#This Row],[Irms BuCtrl]]^2</calculatedColumnFormula>
    </tableColumn>
    <tableColumn id="27" xr3:uid="{1C5AD079-CAAA-476A-B2EC-ED7A9BFF86C9}" name="Transition Loss BuCtrl" dataDxfId="39">
      <calculatedColumnFormula>CHOOSE(Table1[[#This Row],[Mode Digit]], (Table1[[#This Row],[Vin]]*Table1[[#This Row],[Iout]]/2)*(Fsw)*(Tr_buck+Tf_buck), 0, (Table1[[#This Row],[Vin]]*Table1[[#This Row],[Avg IL]]/2)*(Fsw/1)*(Tr_buck+Tf_buck))</calculatedColumnFormula>
    </tableColumn>
    <tableColumn id="28" xr3:uid="{065B4589-6BF4-40CA-B683-69ED9CFAA158}" name="Dead Time Loss BuCtrl" dataDxfId="38">
      <calculatedColumnFormula>IF(Table1[[#This Row],[Vin]]&gt;Vout, IF(Table1[[#This Row],[Iout]]&gt;Table1[[#This Row],[Ripple Current pk-pk]]/2,0,ABS(Table1[[#This Row],[Iout]]-Table1[[#This Row],[Ripple Current pk-pk]]/2)*Vsd_Q1*Deadtime*Fsw),0)</calculatedColumnFormula>
    </tableColumn>
    <tableColumn id="29" xr3:uid="{95444383-D2E1-4B3F-9DEF-F3BED8DDA7BC}" name="Total Control Bu MOSFET Loss" dataDxfId="37">
      <calculatedColumnFormula>(Table1[[#This Row],[Dead Time Loss BuCtrl]]+Table1[[#This Row],[Transition Loss BuCtrl]]+Table1[[#This Row],[RDS(on) Loss BuCtrl]]*(1+RdsonTopTc*Ta-RdsonTopTc*25))/(1-Table1[[#This Row],[RDS(on) Loss BuCtrl]]*RdsonTopTc*ThetaJA_Q1)</calculatedColumnFormula>
    </tableColumn>
    <tableColumn id="30" xr3:uid="{D3792F07-1524-4AA8-9283-7A8C59D5F217}" name="Irms BuSync" dataDxfId="36">
      <calculatedColumnFormula>Table1[[#This Row],[Irms Lf]]</calculatedColumnFormula>
    </tableColumn>
    <tableColumn id="31" xr3:uid="{FC4CDBC6-A037-40B1-8F9C-82C42FC7B1B4}" name="RDS(on) Loss BuSync" dataDxfId="35">
      <calculatedColumnFormula>Rdson2*Table1[[#This Row],[Irms BuSync]]^2</calculatedColumnFormula>
    </tableColumn>
    <tableColumn id="32" xr3:uid="{45D60338-9062-4697-9171-0B6403C4EB08}" name="Deadtime Loss BuSync" dataDxfId="34">
      <calculatedColumnFormula>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calculatedColumnFormula>
    </tableColumn>
    <tableColumn id="33" xr3:uid="{6207C2F6-EC74-48A5-8E40-0C312F2336CD}" name="Total Sync Bu MOSFET Loss" dataDxfId="33">
      <calculatedColumnFormula>(Table1[[#This Row],[Deadtime Loss BuSync]]+Table1[[#This Row],[RDS(on) Loss BuSync]]*(1+RdsonBotTc*Ta-RdsonBotTc*25))/(1-Table1[[#This Row],[RDS(on) Loss BuSync]]*RdsonBotTc*ThetaJA_Q2)</calculatedColumnFormula>
    </tableColumn>
    <tableColumn id="34" xr3:uid="{87F48C49-12B9-4910-B98E-65FB5785B929}" name="Irms BoCtlr" dataDxfId="32">
      <calculatedColumnFormula>Table1[[#This Row],[Irms Lf]]</calculatedColumnFormula>
    </tableColumn>
    <tableColumn id="35" xr3:uid="{86C49C32-B2A4-4500-93C6-514DD9143BF3}" name="RDS(on) Loss BoCtlr" dataDxfId="31">
      <calculatedColumnFormula>Rdson4*Table1[[#This Row],[Irms BoCtlr]]^2</calculatedColumnFormula>
    </tableColumn>
    <tableColumn id="36" xr3:uid="{C21ACEE4-D3F7-43AE-A181-6D60BCA62C36}" name="Transition Loss BoCtlr" dataDxfId="30">
      <calculatedColumnFormula>CHOOSE(Table1[[#This Row],[Mode Digit]], 0, (Vout*Table1[[#This Row],[Iin]]/2)*(Fsw)*(Tr_boost+Tf_boost), (Vout*Iout/2)*(Fsw/1)*(Tr_boost+Tf_boost))</calculatedColumnFormula>
    </tableColumn>
    <tableColumn id="37" xr3:uid="{28D6A006-7F76-4047-8DE7-7A9F1B46D5CA}" name="Dead Time Loss BoCtlr" dataDxfId="29">
      <calculatedColumnFormula>IF(Table1[[#This Row],[Vin]]&gt;Vout, 0, IF(Table1[[#This Row],[Iin]]&gt;Table1[[#This Row],[Ripple Current pk-pk]]/2,0,ABS(Table1[[#This Row],[Iin]]-Table1[[#This Row],[Ripple Current pk-pk]]/2)*Vsd_Q4*Deadtime*Fsw))</calculatedColumnFormula>
    </tableColumn>
    <tableColumn id="38" xr3:uid="{215571B6-5EF5-4592-B738-1F24561041C0}" name="Total Control Bo MOSFET Loss" dataDxfId="28">
      <calculatedColumnFormula>(Table1[[#This Row],[Dead Time Loss BoCtlr]]+Table1[[#This Row],[Transition Loss BoCtlr]]+Table1[[#This Row],[RDS(on) Loss BoCtlr]]*(1+RdsonTopTc*Ta-RdsonTopTc*25))/(1-Table1[[#This Row],[RDS(on) Loss BoCtlr]]*RdsonTopTc*ThetaJA_Q4)</calculatedColumnFormula>
    </tableColumn>
    <tableColumn id="39" xr3:uid="{7FDD5825-CC30-4A92-9438-1B977BCB2347}" name="Irms BoSync" dataDxfId="27">
      <calculatedColumnFormula>Table1[[#This Row],[Irms Lf]]</calculatedColumnFormula>
    </tableColumn>
    <tableColumn id="40" xr3:uid="{B22A1301-7E9B-4A96-8709-96AEF3913C85}" name="RDS(on) Loss BoSync" dataDxfId="26">
      <calculatedColumnFormula>Rdson3*Table1[[#This Row],[Irms BoSync]]^2</calculatedColumnFormula>
    </tableColumn>
    <tableColumn id="41" xr3:uid="{DD4BD58D-3E19-4174-BBAF-B5D320FBA3D3}" name="Deadtime Loss BoSync" dataDxfId="25">
      <calculatedColumnFormula>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calculatedColumnFormula>
    </tableColumn>
    <tableColumn id="42" xr3:uid="{B1A577E8-D80B-4B4A-9C33-38929C46773C}" name="Total Sync Bo MOSFET Loss" dataDxfId="24">
      <calculatedColumnFormula>(Table1[[#This Row],[Deadtime Loss BoSync]]+Table1[[#This Row],[RDS(on) Loss BoSync]]*(1+RdsonBotTc*Ta-RdsonBotTc*25))/(1-Table1[[#This Row],[RDS(on) Loss BoSync]]*RdsonBotTc*ThetaJA_Q3)</calculatedColumnFormula>
    </tableColumn>
    <tableColumn id="43" xr3:uid="{AFF2D1D2-4364-4BDD-9D67-DE7BF68B84E0}" name="Q1/Q3 RDS(on) Loss @ D = 100%" dataDxfId="23">
      <calculatedColumnFormula>CHOOSE(Table1[[#This Row],[Mode Digit]], Rdson3*Table1[[#This Row],[Irms Lf]]^2, Rdson1*Table1[[#This Row],[Irms Lf]]^2, 0)</calculatedColumnFormula>
    </tableColumn>
    <tableColumn id="44" xr3:uid="{530440A0-E1C0-4365-9308-04C04F564AF4}" name="Deadtime Loss ext D" dataDxfId="22">
      <calculatedColumnFormula>CHOOSE(Table1[[#This Row],[Mode Digit]], 2*Deadtime*Fsw*IF(VfdSky_Q2&gt;0,VfdSky_Q2,0)*Table1[[#This Row],[Iout]], 2*Deadtime*Fsw*IF(VfdSky_Q3&gt;0,VfdSky_Q3,0)*Table1[[#This Row],[Iin]], 2*Deadtime*Fsw*IF(VfdSky_Q2&gt;0,VfdSky_Q2,0)*Table1[[#This Row],[Iout]]+2*Deadtime*Fsw*IF(VfdSky_Q3&gt;0,VfdSky_Q3,0)*Table1[[#This Row],[Iin]])</calculatedColumnFormula>
    </tableColumn>
    <tableColumn id="7" xr3:uid="{22F6EF9D-00D7-4602-9BEB-045D831549DB}" name="Reverse Recovery Loss MOSFET D BUCK" dataDxfId="21">
      <calculatedColumnFormula>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calculatedColumnFormula>
    </tableColumn>
    <tableColumn id="45" xr3:uid="{65C34663-9EE5-4A6E-AE57-557921814271}" name="Reverse Recovery Loss MOSFET D BOOST" dataDxfId="20">
      <calculatedColumnFormula>CHOOSE(Table1[[#This Row],[Mode Digit]], IF(QrrSky_Q2&gt;0,QrrSky_Q2,Qrr_Q2)*Fsw*(Table1[[#This Row],[Vin]]-Table1[[#This Row],[Iout]]*Rdson1), IF(QrrSky_Q3&gt;0,QrrSky_Q3,Qrr_Q3)*Fsw*Vout,  IF(QrrSky_Q2&gt;0,QrrSky_Q2,Qrr_Q2)*Fsw*(Table1[[#This Row],[Vin]]-Table1[[#This Row],[Iout]]*Rdson1)+IF(QrrSky_Q3&gt;0,QrrSky_Q3,Qrr_Q3)*Fsw*Vout)</calculatedColumnFormula>
    </tableColumn>
    <tableColumn id="46" xr3:uid="{8018EA1E-CEEC-4189-8B07-D385A920F79B}" name="Isense Shunt Loss" dataDxfId="19">
      <calculatedColumnFormula>CHOOSE(Table1[[#This Row],[Mode Digit]], Rs*Table1[[#This Row],[Irms BuSync]]^2, Rs*Table1[[#This Row],[Irms BoCtlr]]^2, Rs*(Table1[[#This Row],[Irms BuSync]]^2+Table1[[#This Row],[Irms BoCtlr]]^2))</calculatedColumnFormula>
    </tableColumn>
    <tableColumn id="47" xr3:uid="{21511C8E-23C8-44FC-A893-F65B249CA06F}" name="Iout Shunt Loss" dataDxfId="18">
      <calculatedColumnFormula>Rshunt/1000*Iout^2</calculatedColumnFormula>
    </tableColumn>
    <tableColumn id="48" xr3:uid="{78B3EB63-85AE-4AC8-BA78-A57D6209FF83}" name="IQ Loss" dataDxfId="17">
      <calculatedColumnFormula>IF(Vout&gt;8, Iq*Vout, Iq*Table1[[#This Row],[Vin]])</calculatedColumnFormula>
    </tableColumn>
    <tableColumn id="49" xr3:uid="{41195AF3-5C2F-4B94-B165-B7D0706B8376}" name="Switching Current Loss" dataDxfId="16">
      <calculatedColumnFormula>CHOOSE(Table1[[#This Row],[Mode Digit]], (Qg_Q1+Qg_Q2)*Fsw, (Qg_Q3+Qg_Q4)*Fsw, (Qg_Q1+Qg_Q2+Qg_Q3+Qg_Q4)*Fsw)*IF(Vout&gt;8, Vout, Table1[[#This Row],[Vin]])</calculatedColumnFormula>
    </tableColumn>
    <tableColumn id="50" xr3:uid="{58A3FC17-80A4-41DB-9AFB-E7AABB876961}" name="Switching Current Diss" dataDxfId="15">
      <calculatedColumnFormula>(Vin-Vdd)*Fsw*(Qg_Q1+Qg_Q2)+(RdsonDRT+RdsonDRT2)*Fsw*Qg_Q1*Vdd/(RdsonDRT+2*Rgate1+RdsonDRT2)+(RdsonDRB+RdsonDRB2)*Fsw*Qg_Q2*Vdd/(RdsonDRB+2*Rgate2+RdsonDRB2)</calculatedColumnFormula>
    </tableColumn>
    <tableColumn id="51" xr3:uid="{45D2CF34-0DB7-4111-8658-601955EF7C8A}" name="Total IC Loss" dataDxfId="14">
      <calculatedColumnFormula>Table1[[#This Row],[IQ Loss]]+Table1[[#This Row],[Switching Current Loss]]</calculatedColumnFormula>
    </tableColumn>
    <tableColumn id="52" xr3:uid="{19715C49-B082-4E5C-BF70-87075A31D2B0}" name="Total Loss" dataDxfId="13">
      <calculatedColumnFormula>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calculatedColumnFormula>
    </tableColumn>
    <tableColumn id="53" xr3:uid="{40066BAD-F16C-44B1-9DE7-1432443BE9A0}" name="Pout" dataDxfId="12">
      <calculatedColumnFormula>Vout*Table1[[#This Row],[Iout]]</calculatedColumnFormula>
    </tableColumn>
    <tableColumn id="54" xr3:uid="{3FA61767-C5F8-48AA-A505-15A440A837CD}" name="EFF, h" dataDxfId="11">
      <calculatedColumnFormula>Table1[[#This Row],[Pout]]/(Table1[[#This Row],[Pout]]+Table1[[#This Row],[Total Loss]])</calculatedColumnFormula>
    </tableColumn>
    <tableColumn id="55" xr3:uid="{57006526-3919-4C93-A161-984E805C2DEA}" name="'CONTROL'' MOSFET Temp Rise" dataDxfId="10">
      <calculatedColumnFormula>IF(Table2[[#This Row],[Vin]]&gt;Vout,ThetaJA_Q1*(Table2[[#This Row],[Total Control Bu MOSFET Loss]]+Table2[[#This Row],[Reverse Recovery Loss MOSFET D BUCK]]),ThetaJA_Q4*(Table2[[#This Row],[Total Control Bo MOSFET Loss]]+Table2[[#This Row],[Reverse Recovery Loss MOSFET D BOOST]]))</calculatedColumnFormula>
    </tableColumn>
    <tableColumn id="56" xr3:uid="{762DB393-CE2C-40D8-8525-09C866A66A01}" name="'SYNC'' MOSFET Temp Rise" dataDxfId="9">
      <calculatedColumnFormula>IF(Table1[[#This Row],[Vin]]&gt;Vout, Table1[[#This Row],[Total Sync Bu MOSFET Loss]]*ThetaJA_Q2, ThetaJA_Q3*Table1[[#This Row],[Total Sync Bo MOSFET Loss]])</calculatedColumnFormula>
    </tableColumn>
    <tableColumn id="57" xr3:uid="{C318B8D6-9CF0-4AEE-B28C-77F48DA9E156}" name="Column14" dataDxfId="8"/>
    <tableColumn id="58" xr3:uid="{46ADF269-31F8-4FC8-BB3B-DDC1D2A7B702}" name="h" dataDxfId="7">
      <calculatedColumnFormula>Table1[[#This Row],[EFF, h]]*100</calculatedColumnFormula>
    </tableColumn>
    <tableColumn id="59" xr3:uid="{EE530E80-C1DB-4449-B093-EC8534B85807}" name="Inductor Cu &amp; Core Loss" dataDxfId="6">
      <calculatedColumnFormula>Table1[[#This Row],[Total Inductor Loss]]</calculatedColumnFormula>
    </tableColumn>
    <tableColumn id="60" xr3:uid="{39829479-D023-41E8-8B0E-080EF447E0F4}" name="Total MOSFET Loss" dataDxfId="5">
      <calculatedColumnFormula>Table2[[#This Row],[Total Control Bu MOSFET Loss]]+Table2[[#This Row],[Total Sync Bu MOSFET Loss]]+Table2[[#This Row],[Total Control Bo MOSFET Loss]]+Table2[[#This Row],[Total Sync Bo MOSFET Loss]]+Table2[[#This Row],[Reverse Recovery Loss MOSFET D BUCK]]+Table2[[#This Row],[Reverse Recovery Loss MOSFET D BOOST]]</calculatedColumnFormula>
    </tableColumn>
    <tableColumn id="61" xr3:uid="{AF7E7C35-251F-4B39-B788-370A8841B76E}" name="Buck ''Control'' MOSFET Loss" dataDxfId="4">
      <calculatedColumnFormula xml:space="preserve"> Table2[[#This Row],[Total Control Bu MOSFET Loss]]+Table2[[#This Row],[Reverse Recovery Loss MOSFET D BUCK]]*0.66</calculatedColumnFormula>
    </tableColumn>
    <tableColumn id="62" xr3:uid="{F0A51E30-89DB-49C1-876B-FA8DA9B7F813}" name="Buck ''SYNC'' MOSFET Loss" dataDxfId="3">
      <calculatedColumnFormula>Table2[[#This Row],[Total Sync Bu MOSFET Loss]]+Table2[[#This Row],[Reverse Recovery Loss MOSFET D BUCK]]*0.33</calculatedColumnFormula>
    </tableColumn>
    <tableColumn id="71" xr3:uid="{2FE192E1-261C-45D7-9D8A-DE64899B74CB}" name="Boost ''Control'' MOSFET Loss" dataDxfId="2">
      <calculatedColumnFormula xml:space="preserve"> Table2[[#This Row],[Total Control Bo MOSFET Loss]]+Table2[[#This Row],[Reverse Recovery Loss MOSFET D BOOST]]*0.66</calculatedColumnFormula>
    </tableColumn>
    <tableColumn id="70" xr3:uid="{79CC21FA-A2FA-423B-99F5-781582EFF581}" name="Boost ''SYNC'' MOSFET Loss" dataDxfId="1">
      <calculatedColumnFormula xml:space="preserve"> Table2[[#This Row],[Total Sync Bo MOSFET Loss]]+Table2[[#This Row],[Reverse Recovery Loss MOSFET D BOOST]]*0.33</calculatedColumnFormula>
    </tableColumn>
    <tableColumn id="63" xr3:uid="{3B2E41AF-2DFF-44EB-BABD-8EA498DA61EA}" name="Shunt Loss" dataDxfId="0">
      <calculatedColumnFormula>Table2[[#This Row],[Isense Shunt Loss]]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printerSettings" Target="../printerSettings/printerSettings1.bin"/><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omments" Target="../comments1.xml"/><Relationship Id="rId2" Type="http://schemas.openxmlformats.org/officeDocument/2006/relationships/hyperlink" Target="http://www.ti.com/product/lm5177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29" Type="http://schemas.openxmlformats.org/officeDocument/2006/relationships/ctrlProp" Target="../ctrlProps/ctrlProp23.xml"/><Relationship Id="rId1" Type="http://schemas.openxmlformats.org/officeDocument/2006/relationships/hyperlink" Target="http://www.ti.com/pol" TargetMode="External"/><Relationship Id="rId6" Type="http://schemas.openxmlformats.org/officeDocument/2006/relationships/vmlDrawing" Target="../drawings/vmlDrawing2.v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8"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www.ti.com/nexfet"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package" Target="../embeddings/Microsoft_Visio_Drawing2.vsdx"/><Relationship Id="rId13" Type="http://schemas.openxmlformats.org/officeDocument/2006/relationships/image" Target="../media/image46.emf"/><Relationship Id="rId18" Type="http://schemas.openxmlformats.org/officeDocument/2006/relationships/package" Target="../embeddings/Microsoft_Visio_Drawing7.vsdx"/><Relationship Id="rId3" Type="http://schemas.openxmlformats.org/officeDocument/2006/relationships/vmlDrawing" Target="../drawings/vmlDrawing4.vml"/><Relationship Id="rId7" Type="http://schemas.openxmlformats.org/officeDocument/2006/relationships/image" Target="../media/image43.emf"/><Relationship Id="rId12" Type="http://schemas.openxmlformats.org/officeDocument/2006/relationships/package" Target="../embeddings/Microsoft_Visio_Drawing4.vsdx"/><Relationship Id="rId17" Type="http://schemas.openxmlformats.org/officeDocument/2006/relationships/image" Target="../media/image48.emf"/><Relationship Id="rId2" Type="http://schemas.openxmlformats.org/officeDocument/2006/relationships/drawing" Target="../drawings/drawing10.xml"/><Relationship Id="rId16" Type="http://schemas.openxmlformats.org/officeDocument/2006/relationships/package" Target="../embeddings/Microsoft_Visio_Drawing6.vsdx"/><Relationship Id="rId1" Type="http://schemas.openxmlformats.org/officeDocument/2006/relationships/printerSettings" Target="../printerSettings/printerSettings13.bin"/><Relationship Id="rId6" Type="http://schemas.openxmlformats.org/officeDocument/2006/relationships/package" Target="../embeddings/Microsoft_Visio_Drawing1.vsdx"/><Relationship Id="rId11" Type="http://schemas.openxmlformats.org/officeDocument/2006/relationships/image" Target="../media/image45.emf"/><Relationship Id="rId5" Type="http://schemas.openxmlformats.org/officeDocument/2006/relationships/image" Target="../media/image42.emf"/><Relationship Id="rId15" Type="http://schemas.openxmlformats.org/officeDocument/2006/relationships/image" Target="../media/image47.emf"/><Relationship Id="rId10" Type="http://schemas.openxmlformats.org/officeDocument/2006/relationships/package" Target="../embeddings/Microsoft_Visio_Drawing3.vsdx"/><Relationship Id="rId19" Type="http://schemas.openxmlformats.org/officeDocument/2006/relationships/image" Target="../media/image49.emf"/><Relationship Id="rId4" Type="http://schemas.openxmlformats.org/officeDocument/2006/relationships/package" Target="../embeddings/Microsoft_Visio_Drawing.vsdx"/><Relationship Id="rId9" Type="http://schemas.openxmlformats.org/officeDocument/2006/relationships/image" Target="../media/image44.emf"/><Relationship Id="rId14" Type="http://schemas.openxmlformats.org/officeDocument/2006/relationships/package" Target="../embeddings/Microsoft_Visio_Drawing5.vsdx"/></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trlProp" Target="../ctrlProps/ctrlProp27.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74"/>
  <sheetViews>
    <sheetView tabSelected="1" zoomScaleNormal="100" zoomScaleSheetLayoutView="100" workbookViewId="0">
      <selection activeCell="O56" sqref="O56"/>
    </sheetView>
  </sheetViews>
  <sheetFormatPr defaultColWidth="9.140625" defaultRowHeight="12.75" x14ac:dyDescent="0.2"/>
  <cols>
    <col min="1" max="1" width="8.28515625" style="191" customWidth="1"/>
    <col min="2" max="2" width="8.28515625" style="80" customWidth="1"/>
    <col min="3" max="3" width="13.5703125" style="80" customWidth="1"/>
    <col min="4" max="4" width="8.28515625" style="80" customWidth="1"/>
    <col min="5" max="5" width="6.85546875" style="80" customWidth="1"/>
    <col min="6" max="6" width="7.5703125" style="80" customWidth="1"/>
    <col min="7" max="7" width="6.5703125" style="80" customWidth="1"/>
    <col min="8" max="8" width="11.85546875" style="80" customWidth="1"/>
    <col min="9" max="9" width="9.140625" style="80"/>
    <col min="10" max="10" width="15" style="80" customWidth="1"/>
    <col min="11" max="11" width="9.140625" style="80"/>
    <col min="12" max="12" width="12.42578125" style="80" bestFit="1" customWidth="1"/>
    <col min="13" max="13" width="31.85546875" style="80" customWidth="1"/>
    <col min="14" max="14" width="9" style="80" customWidth="1"/>
    <col min="15" max="15" width="6.5703125" style="80" customWidth="1"/>
    <col min="16" max="16" width="5.28515625" style="80" customWidth="1"/>
    <col min="17" max="17" width="22.140625" style="80" customWidth="1"/>
    <col min="18" max="18" width="3.140625" style="80" customWidth="1"/>
    <col min="19" max="19" width="10" style="80" bestFit="1" customWidth="1"/>
    <col min="20" max="16384" width="9.140625" style="80"/>
  </cols>
  <sheetData>
    <row r="1" spans="1:18" ht="47.25" customHeight="1" x14ac:dyDescent="0.2">
      <c r="A1" s="834" t="str">
        <f>CONCATENATE(Device, " DC/DC Controller Design Tool")</f>
        <v>LM51772 DC/DC Controller Design Tool</v>
      </c>
      <c r="B1" s="835"/>
      <c r="C1" s="835"/>
      <c r="D1" s="835"/>
      <c r="E1" s="835"/>
      <c r="F1" s="835"/>
      <c r="G1" s="835"/>
      <c r="H1" s="835"/>
      <c r="I1" s="835"/>
      <c r="J1" s="835"/>
      <c r="K1" s="835"/>
      <c r="L1" s="835"/>
      <c r="M1" s="835"/>
      <c r="N1" s="835"/>
      <c r="O1" s="835"/>
      <c r="P1" s="835"/>
      <c r="Q1" s="835"/>
      <c r="R1" s="507"/>
    </row>
    <row r="2" spans="1:18" ht="14.1" customHeight="1" x14ac:dyDescent="0.45">
      <c r="A2" s="510"/>
      <c r="B2" s="511"/>
      <c r="C2" s="511"/>
      <c r="D2" s="511"/>
      <c r="E2" s="511"/>
      <c r="F2" s="511"/>
      <c r="G2" s="511"/>
      <c r="H2" s="511"/>
      <c r="I2" s="511"/>
      <c r="J2" s="511"/>
      <c r="K2" s="511"/>
      <c r="L2" s="511"/>
      <c r="M2" s="511"/>
      <c r="N2" s="511"/>
      <c r="O2" s="606"/>
      <c r="P2" s="606"/>
      <c r="Q2" s="511"/>
      <c r="R2" s="507"/>
    </row>
    <row r="3" spans="1:18" ht="15.95" customHeight="1" x14ac:dyDescent="0.45">
      <c r="A3" s="512" t="s">
        <v>292</v>
      </c>
      <c r="B3" s="513"/>
      <c r="C3" s="521" t="s">
        <v>293</v>
      </c>
      <c r="D3" s="514"/>
      <c r="E3" s="120"/>
      <c r="F3" s="516" t="s">
        <v>175</v>
      </c>
      <c r="G3" s="517"/>
      <c r="H3" s="511"/>
      <c r="I3" s="511"/>
      <c r="J3" s="660" t="str">
        <f>HYPERLINK(CONCATENATE("http://www.ti.com/product/",LOWER(Device)))</f>
        <v>http://www.ti.com/product/lm51772</v>
      </c>
      <c r="K3" s="518"/>
      <c r="L3" s="507"/>
      <c r="M3" s="507"/>
      <c r="N3" s="607" t="s">
        <v>55</v>
      </c>
      <c r="O3" s="607"/>
      <c r="P3" s="607"/>
      <c r="Q3" s="507" t="s">
        <v>198</v>
      </c>
      <c r="R3" s="507"/>
    </row>
    <row r="4" spans="1:18" ht="13.5" customHeight="1" thickBot="1" x14ac:dyDescent="0.25">
      <c r="A4" s="655"/>
      <c r="B4" s="656"/>
      <c r="C4" s="515"/>
      <c r="D4" s="515"/>
      <c r="E4" s="515"/>
      <c r="F4" s="515"/>
      <c r="G4" s="515"/>
      <c r="H4" s="515"/>
      <c r="I4" s="515"/>
      <c r="J4" s="751" t="str">
        <f>CONCATENATE("Version: ",Licenses!$B$5)</f>
        <v>Version: 1.2.0</v>
      </c>
      <c r="K4" s="515"/>
      <c r="L4" s="515"/>
      <c r="M4" s="519"/>
      <c r="N4" s="519"/>
      <c r="O4" s="519"/>
      <c r="P4" s="519"/>
      <c r="Q4" s="520"/>
      <c r="R4" s="507"/>
    </row>
    <row r="5" spans="1:18" ht="20.100000000000001" customHeight="1" thickBot="1" x14ac:dyDescent="0.35">
      <c r="A5" s="187" t="s">
        <v>277</v>
      </c>
      <c r="B5" s="119"/>
      <c r="C5" s="81"/>
      <c r="D5" s="81"/>
      <c r="E5" s="83"/>
      <c r="F5" s="81"/>
      <c r="G5" s="110"/>
      <c r="H5" s="84"/>
      <c r="I5" s="84"/>
      <c r="J5" s="84"/>
      <c r="K5" s="84"/>
      <c r="L5" s="84"/>
      <c r="M5" s="84"/>
      <c r="N5" s="84"/>
      <c r="O5" s="84"/>
      <c r="P5" s="84"/>
      <c r="Q5" s="109"/>
      <c r="R5" s="507"/>
    </row>
    <row r="6" spans="1:18" s="830" customFormat="1" ht="13.5" customHeight="1" x14ac:dyDescent="0.2">
      <c r="A6" s="804"/>
      <c r="B6" s="805"/>
      <c r="C6" s="806"/>
      <c r="D6" s="807" t="s">
        <v>957</v>
      </c>
      <c r="E6" s="831"/>
      <c r="F6" s="827"/>
      <c r="G6" s="828"/>
      <c r="H6" s="752"/>
      <c r="I6" s="752"/>
      <c r="J6" s="752"/>
      <c r="K6" s="752"/>
      <c r="L6" s="752"/>
      <c r="M6" s="752"/>
      <c r="N6" s="752"/>
      <c r="O6" s="752"/>
      <c r="P6" s="752"/>
      <c r="Q6" s="765"/>
      <c r="R6" s="829"/>
    </row>
    <row r="7" spans="1:18" ht="13.5" customHeight="1" x14ac:dyDescent="0.2">
      <c r="A7" s="832"/>
      <c r="B7" s="259"/>
      <c r="C7" s="261"/>
      <c r="D7" s="272" t="s">
        <v>689</v>
      </c>
      <c r="E7" s="273">
        <v>20</v>
      </c>
      <c r="F7" s="274" t="s">
        <v>0</v>
      </c>
      <c r="G7" s="272"/>
      <c r="H7" s="128"/>
      <c r="I7" s="84"/>
      <c r="J7" s="84"/>
      <c r="K7" s="84"/>
      <c r="L7" s="84"/>
      <c r="M7" s="84"/>
      <c r="N7" s="84"/>
      <c r="O7" s="84"/>
      <c r="P7" s="84"/>
      <c r="Q7" s="109"/>
      <c r="R7" s="507"/>
    </row>
    <row r="8" spans="1:18" ht="13.5" customHeight="1" x14ac:dyDescent="0.2">
      <c r="A8" s="260"/>
      <c r="B8" s="259"/>
      <c r="C8" s="261"/>
      <c r="D8" s="272" t="s">
        <v>690</v>
      </c>
      <c r="E8" s="273">
        <v>23.6</v>
      </c>
      <c r="F8" s="287" t="s">
        <v>0</v>
      </c>
      <c r="G8" s="130"/>
      <c r="H8" s="128"/>
      <c r="I8" s="84"/>
      <c r="J8" s="84"/>
      <c r="K8" s="84"/>
      <c r="L8" s="84"/>
      <c r="M8" s="84"/>
      <c r="N8" s="84"/>
      <c r="O8" s="84"/>
      <c r="P8" s="84"/>
      <c r="Q8" s="109"/>
      <c r="R8" s="507"/>
    </row>
    <row r="9" spans="1:18" ht="13.5" customHeight="1" x14ac:dyDescent="0.2">
      <c r="A9" s="260"/>
      <c r="B9" s="259"/>
      <c r="C9" s="261"/>
      <c r="D9" s="272" t="s">
        <v>691</v>
      </c>
      <c r="E9" s="273">
        <v>34</v>
      </c>
      <c r="F9" s="274" t="s">
        <v>0</v>
      </c>
      <c r="G9" s="130"/>
      <c r="H9" s="128"/>
      <c r="I9" s="84"/>
      <c r="J9" s="84"/>
      <c r="K9" s="84"/>
      <c r="L9" s="84"/>
      <c r="M9" s="84"/>
      <c r="N9" s="84"/>
      <c r="O9" s="84"/>
      <c r="P9" s="84"/>
      <c r="Q9" s="109"/>
      <c r="R9" s="507"/>
    </row>
    <row r="10" spans="1:18" ht="13.5" customHeight="1" x14ac:dyDescent="0.2">
      <c r="A10" s="260"/>
      <c r="B10" s="259"/>
      <c r="C10" s="261"/>
      <c r="D10" s="272" t="s">
        <v>352</v>
      </c>
      <c r="E10" s="273">
        <v>14.6</v>
      </c>
      <c r="F10" s="274" t="s">
        <v>0</v>
      </c>
      <c r="G10" s="130"/>
      <c r="H10" s="128"/>
      <c r="I10" s="84"/>
      <c r="J10" s="84"/>
      <c r="K10" s="84"/>
      <c r="L10" s="84"/>
      <c r="M10" s="84"/>
      <c r="N10" s="84"/>
      <c r="O10" s="84"/>
      <c r="P10" s="84"/>
      <c r="Q10" s="109"/>
      <c r="R10" s="507"/>
    </row>
    <row r="11" spans="1:18" ht="13.5" customHeight="1" x14ac:dyDescent="0.2">
      <c r="A11" s="260"/>
      <c r="B11" s="259"/>
      <c r="C11" s="261"/>
      <c r="D11" s="272" t="s">
        <v>816</v>
      </c>
      <c r="E11" s="273">
        <v>12</v>
      </c>
      <c r="F11" s="274" t="s">
        <v>2</v>
      </c>
      <c r="G11" s="130"/>
      <c r="H11" s="128"/>
      <c r="I11" s="84"/>
      <c r="J11" s="84"/>
      <c r="K11" s="84"/>
      <c r="L11" s="84"/>
      <c r="M11" s="84"/>
      <c r="N11" s="84"/>
      <c r="O11" s="84"/>
      <c r="P11" s="84"/>
      <c r="Q11" s="109"/>
      <c r="R11" s="507"/>
    </row>
    <row r="12" spans="1:18" ht="13.5" customHeight="1" x14ac:dyDescent="0.2">
      <c r="A12" s="260"/>
      <c r="B12" s="259"/>
      <c r="C12" s="261"/>
      <c r="D12" s="272" t="s">
        <v>96</v>
      </c>
      <c r="E12" s="275">
        <v>600</v>
      </c>
      <c r="F12" s="274" t="s">
        <v>3</v>
      </c>
      <c r="G12" s="130"/>
      <c r="H12" s="128"/>
      <c r="I12" s="84"/>
      <c r="J12" s="84"/>
      <c r="K12" s="84"/>
      <c r="L12" s="84"/>
      <c r="M12" s="84"/>
      <c r="N12" s="84"/>
      <c r="O12" s="84"/>
      <c r="P12" s="84"/>
      <c r="Q12" s="109"/>
      <c r="R12" s="507"/>
    </row>
    <row r="13" spans="1:18" ht="17.25" customHeight="1" thickBot="1" x14ac:dyDescent="0.25">
      <c r="A13" s="265"/>
      <c r="B13" s="266"/>
      <c r="C13" s="267"/>
      <c r="D13" s="267" t="s">
        <v>354</v>
      </c>
      <c r="E13" s="267">
        <f>IF('Standard Value Calculator'!R4/1000&gt;288, "N/A",'Standard Value Calculator'!R4/1000)</f>
        <v>52.3</v>
      </c>
      <c r="F13" s="268" t="s">
        <v>54</v>
      </c>
      <c r="G13" s="130"/>
      <c r="H13" s="128"/>
      <c r="I13" s="84"/>
      <c r="J13" s="84"/>
      <c r="K13" s="84"/>
      <c r="L13" s="84"/>
      <c r="M13" s="84"/>
      <c r="N13" s="84"/>
      <c r="O13" s="84"/>
      <c r="P13" s="84"/>
      <c r="Q13" s="109"/>
      <c r="R13" s="507"/>
    </row>
    <row r="14" spans="1:18" ht="14.1" customHeight="1" x14ac:dyDescent="0.2">
      <c r="A14" s="127"/>
      <c r="B14" s="128"/>
      <c r="C14" s="128"/>
      <c r="D14" s="133"/>
      <c r="E14" s="134"/>
      <c r="F14" s="128"/>
      <c r="G14" s="130"/>
      <c r="H14" s="128"/>
      <c r="I14" s="84"/>
      <c r="J14" s="84"/>
      <c r="K14" s="84"/>
      <c r="L14" s="84"/>
      <c r="M14" s="84"/>
      <c r="N14" s="84"/>
      <c r="O14" s="84"/>
      <c r="P14" s="84"/>
      <c r="Q14" s="109"/>
      <c r="R14" s="507"/>
    </row>
    <row r="15" spans="1:18" ht="19.5" customHeight="1" thickBot="1" x14ac:dyDescent="0.35">
      <c r="A15" s="187" t="s">
        <v>276</v>
      </c>
      <c r="B15" s="135"/>
      <c r="C15" s="136"/>
      <c r="D15" s="136"/>
      <c r="E15" s="137"/>
      <c r="F15" s="136"/>
      <c r="G15" s="130"/>
      <c r="H15" s="128"/>
      <c r="I15" s="84"/>
      <c r="J15" s="84"/>
      <c r="K15" s="84"/>
      <c r="L15" s="84"/>
      <c r="M15" s="84"/>
      <c r="N15" s="84"/>
      <c r="O15" s="84"/>
      <c r="P15" s="84"/>
      <c r="Q15" s="109"/>
      <c r="R15" s="507"/>
    </row>
    <row r="16" spans="1:18" ht="13.5" customHeight="1" x14ac:dyDescent="0.2">
      <c r="A16" s="188"/>
      <c r="B16" s="155"/>
      <c r="C16" s="156"/>
      <c r="D16" s="156" t="s">
        <v>287</v>
      </c>
      <c r="E16" s="413">
        <f>Lopt_Limit*1000000</f>
        <v>4.2468471406827577</v>
      </c>
      <c r="F16" s="474" t="s">
        <v>266</v>
      </c>
      <c r="G16" s="130"/>
      <c r="H16" s="128"/>
      <c r="I16" s="84"/>
      <c r="J16" s="84"/>
      <c r="K16" s="84"/>
      <c r="L16" s="84"/>
      <c r="M16" s="84"/>
      <c r="N16" s="84"/>
      <c r="O16" s="84"/>
      <c r="P16" s="84"/>
      <c r="Q16" s="109"/>
      <c r="R16" s="507"/>
    </row>
    <row r="17" spans="1:18" ht="13.5" customHeight="1" x14ac:dyDescent="0.25">
      <c r="A17" s="712"/>
      <c r="B17" s="128"/>
      <c r="C17" s="125"/>
      <c r="D17" s="154" t="s">
        <v>353</v>
      </c>
      <c r="E17" s="129">
        <v>3.3</v>
      </c>
      <c r="F17" s="159" t="s">
        <v>266</v>
      </c>
      <c r="G17" s="130"/>
      <c r="H17" s="128"/>
      <c r="I17" s="84"/>
      <c r="J17" s="84"/>
      <c r="K17" s="84"/>
      <c r="L17" s="84"/>
      <c r="M17" s="84"/>
      <c r="N17" s="84"/>
      <c r="O17" s="84"/>
      <c r="P17" s="84"/>
      <c r="Q17" s="109"/>
      <c r="R17" s="507"/>
    </row>
    <row r="18" spans="1:18" ht="13.5" customHeight="1" x14ac:dyDescent="0.25">
      <c r="A18" s="127"/>
      <c r="B18" s="128"/>
      <c r="C18" s="125"/>
      <c r="D18" s="154" t="s">
        <v>1188</v>
      </c>
      <c r="E18" s="129">
        <v>2.64</v>
      </c>
      <c r="F18" s="159" t="s">
        <v>266</v>
      </c>
      <c r="G18" s="130"/>
      <c r="H18" s="128"/>
      <c r="I18" s="84"/>
      <c r="J18" s="84"/>
      <c r="K18" s="84"/>
      <c r="L18" s="84"/>
      <c r="M18" s="84"/>
      <c r="N18" s="84"/>
      <c r="O18" s="84"/>
      <c r="P18" s="84"/>
      <c r="Q18" s="109"/>
      <c r="R18" s="507"/>
    </row>
    <row r="19" spans="1:18" ht="13.5" customHeight="1" x14ac:dyDescent="0.2">
      <c r="A19" s="127"/>
      <c r="B19" s="128"/>
      <c r="C19" s="125"/>
      <c r="D19" s="154" t="s">
        <v>288</v>
      </c>
      <c r="E19" s="129">
        <v>5.8</v>
      </c>
      <c r="F19" s="159" t="s">
        <v>53</v>
      </c>
      <c r="G19" s="130"/>
      <c r="H19" s="128"/>
      <c r="I19" s="84"/>
      <c r="J19" s="84"/>
      <c r="K19" s="84"/>
      <c r="L19" s="84"/>
      <c r="M19" s="84"/>
      <c r="N19" s="84"/>
      <c r="O19" s="84"/>
      <c r="P19" s="84"/>
      <c r="Q19" s="109"/>
      <c r="R19" s="507"/>
    </row>
    <row r="20" spans="1:18" ht="13.5" customHeight="1" x14ac:dyDescent="0.2">
      <c r="A20" s="260"/>
      <c r="B20" s="259"/>
      <c r="C20" s="261"/>
      <c r="D20" s="261" t="s">
        <v>692</v>
      </c>
      <c r="E20" s="262">
        <f>'Variable Management'!B84</f>
        <v>2.5018608450959925</v>
      </c>
      <c r="F20" s="263" t="s">
        <v>281</v>
      </c>
      <c r="G20" s="130"/>
      <c r="H20" s="128"/>
      <c r="I20" s="84"/>
      <c r="J20" s="84"/>
      <c r="K20" s="84"/>
      <c r="L20" s="84"/>
      <c r="M20" s="84"/>
      <c r="N20" s="84"/>
      <c r="O20" s="84"/>
      <c r="P20" s="84"/>
      <c r="Q20" s="109"/>
      <c r="R20" s="507"/>
    </row>
    <row r="21" spans="1:18" ht="13.5" customHeight="1" x14ac:dyDescent="0.2">
      <c r="A21" s="260"/>
      <c r="B21" s="259"/>
      <c r="C21" s="261"/>
      <c r="D21" s="261" t="s">
        <v>693</v>
      </c>
      <c r="E21" s="262">
        <f>'Variable Management'!B85</f>
        <v>3.5345092909629523</v>
      </c>
      <c r="F21" s="263" t="s">
        <v>281</v>
      </c>
      <c r="G21" s="130"/>
      <c r="H21" s="128"/>
      <c r="I21" s="84"/>
      <c r="J21" s="84"/>
      <c r="K21" s="84"/>
      <c r="L21" s="84"/>
      <c r="M21" s="84"/>
      <c r="N21" s="84"/>
      <c r="O21" s="84"/>
      <c r="P21" s="84"/>
      <c r="Q21" s="109"/>
      <c r="R21" s="507"/>
    </row>
    <row r="22" spans="1:18" ht="13.5" customHeight="1" x14ac:dyDescent="0.2">
      <c r="A22" s="260"/>
      <c r="B22" s="259"/>
      <c r="C22" s="261"/>
      <c r="D22" s="261" t="s">
        <v>694</v>
      </c>
      <c r="E22" s="262">
        <f>'Variable Management'!B86</f>
        <v>5.2904196238019328</v>
      </c>
      <c r="F22" s="263" t="s">
        <v>281</v>
      </c>
      <c r="G22" s="130"/>
      <c r="H22" s="128"/>
      <c r="I22" s="84"/>
      <c r="J22" s="84"/>
      <c r="K22" s="84"/>
      <c r="L22" s="84"/>
      <c r="M22" s="84"/>
      <c r="N22" s="84"/>
      <c r="O22" s="84"/>
      <c r="P22" s="84"/>
      <c r="Q22" s="109"/>
      <c r="R22" s="507"/>
    </row>
    <row r="23" spans="1:18" ht="15" customHeight="1" x14ac:dyDescent="0.2">
      <c r="A23" s="260"/>
      <c r="B23" s="259"/>
      <c r="C23" s="261"/>
      <c r="D23" s="261" t="s">
        <v>403</v>
      </c>
      <c r="E23" s="264">
        <f>'Variable Management'!B96*100</f>
        <v>20.848840375799938</v>
      </c>
      <c r="F23" s="263" t="s">
        <v>185</v>
      </c>
      <c r="G23" s="130"/>
      <c r="H23" s="128"/>
      <c r="I23" s="84"/>
      <c r="J23" s="84"/>
      <c r="K23" s="84"/>
      <c r="L23" s="84"/>
      <c r="M23" s="84"/>
      <c r="N23" s="84"/>
      <c r="O23" s="84"/>
      <c r="P23" s="84"/>
      <c r="Q23" s="109"/>
      <c r="R23" s="507"/>
    </row>
    <row r="24" spans="1:18" ht="15" customHeight="1" x14ac:dyDescent="0.2">
      <c r="A24" s="260"/>
      <c r="B24" s="259"/>
      <c r="C24" s="261"/>
      <c r="D24" s="261" t="s">
        <v>404</v>
      </c>
      <c r="E24" s="264">
        <f>'Variable Management'!B97*100</f>
        <v>29.454244091357936</v>
      </c>
      <c r="F24" s="263" t="s">
        <v>185</v>
      </c>
      <c r="G24" s="130"/>
      <c r="H24" s="128"/>
      <c r="I24" s="84"/>
      <c r="J24" s="84"/>
      <c r="K24" s="84"/>
      <c r="L24" s="84"/>
      <c r="M24" s="84"/>
      <c r="N24" s="84"/>
      <c r="O24" s="84"/>
      <c r="P24" s="84"/>
      <c r="Q24" s="109"/>
      <c r="R24" s="507"/>
    </row>
    <row r="25" spans="1:18" ht="15.75" customHeight="1" x14ac:dyDescent="0.2">
      <c r="A25" s="260"/>
      <c r="B25" s="259"/>
      <c r="C25" s="261"/>
      <c r="D25" s="261" t="s">
        <v>405</v>
      </c>
      <c r="E25" s="687">
        <f>'Variable Management'!B98*100</f>
        <v>44.086830198349439</v>
      </c>
      <c r="F25" s="263" t="s">
        <v>185</v>
      </c>
      <c r="G25" s="130"/>
      <c r="H25" s="128"/>
      <c r="I25" s="84"/>
      <c r="J25" s="84"/>
      <c r="K25" s="84"/>
      <c r="L25" s="84"/>
      <c r="M25" s="84"/>
      <c r="N25" s="84"/>
      <c r="O25" s="84"/>
      <c r="P25" s="84"/>
      <c r="Q25" s="109"/>
      <c r="R25" s="507"/>
    </row>
    <row r="26" spans="1:18" ht="15.75" customHeight="1" x14ac:dyDescent="0.2">
      <c r="A26" s="260"/>
      <c r="B26" s="259"/>
      <c r="C26" s="261"/>
      <c r="D26" s="571" t="s">
        <v>1103</v>
      </c>
      <c r="E26" s="687">
        <f>R_CS</f>
        <v>10</v>
      </c>
      <c r="F26" s="683" t="s">
        <v>167</v>
      </c>
      <c r="G26" s="130"/>
      <c r="H26" s="128"/>
      <c r="I26" s="84"/>
      <c r="J26" s="84"/>
      <c r="K26" s="84"/>
      <c r="L26" s="84"/>
      <c r="M26" s="84"/>
      <c r="N26" s="84"/>
      <c r="O26" s="84"/>
      <c r="P26" s="84"/>
      <c r="Q26" s="109"/>
      <c r="R26" s="507"/>
    </row>
    <row r="27" spans="1:18" ht="15.75" customHeight="1" thickBot="1" x14ac:dyDescent="0.25">
      <c r="A27" s="282"/>
      <c r="B27" s="283"/>
      <c r="C27" s="281"/>
      <c r="D27" s="682" t="s">
        <v>1104</v>
      </c>
      <c r="E27" s="688">
        <f>C_CS_ideal*1000000000000</f>
        <v>180</v>
      </c>
      <c r="F27" s="684" t="s">
        <v>32</v>
      </c>
      <c r="G27" s="130"/>
      <c r="H27" s="128"/>
      <c r="I27" s="84"/>
      <c r="J27" s="84"/>
      <c r="K27" s="84"/>
      <c r="L27" s="84"/>
      <c r="M27" s="84"/>
      <c r="N27" s="84"/>
      <c r="O27" s="84"/>
      <c r="P27" s="84"/>
      <c r="Q27" s="109"/>
      <c r="R27" s="507"/>
    </row>
    <row r="28" spans="1:18" ht="14.1" customHeight="1" x14ac:dyDescent="0.2">
      <c r="A28" s="127"/>
      <c r="B28" s="128"/>
      <c r="C28" s="128"/>
      <c r="D28" s="128"/>
      <c r="E28" s="128"/>
      <c r="F28" s="128"/>
      <c r="G28" s="130"/>
      <c r="H28" s="128"/>
      <c r="I28" s="84"/>
      <c r="J28" s="84"/>
      <c r="K28" s="84"/>
      <c r="L28" s="84"/>
      <c r="M28" s="84"/>
      <c r="N28" s="84"/>
      <c r="O28" s="84"/>
      <c r="P28" s="84"/>
      <c r="Q28" s="109"/>
      <c r="R28" s="507"/>
    </row>
    <row r="29" spans="1:18" ht="20.100000000000001" customHeight="1" thickBot="1" x14ac:dyDescent="0.35">
      <c r="A29" s="187" t="s">
        <v>635</v>
      </c>
      <c r="B29" s="135"/>
      <c r="C29" s="128"/>
      <c r="D29" s="128"/>
      <c r="E29" s="128"/>
      <c r="F29" s="128"/>
      <c r="G29" s="130"/>
      <c r="H29" s="128"/>
      <c r="I29" s="84"/>
      <c r="J29" s="84"/>
      <c r="K29" s="84"/>
      <c r="L29" s="84"/>
      <c r="M29" s="84"/>
      <c r="N29" s="84"/>
      <c r="O29" s="84"/>
      <c r="P29" s="84"/>
      <c r="Q29" s="109"/>
      <c r="R29" s="507"/>
    </row>
    <row r="30" spans="1:18" ht="15" customHeight="1" x14ac:dyDescent="0.2">
      <c r="A30" s="269"/>
      <c r="B30" s="155"/>
      <c r="C30" s="155"/>
      <c r="D30" s="653" t="s">
        <v>996</v>
      </c>
      <c r="E30" s="654">
        <v>20</v>
      </c>
      <c r="F30" s="474" t="s">
        <v>185</v>
      </c>
      <c r="G30" s="130"/>
      <c r="H30" s="128"/>
      <c r="I30" s="84"/>
      <c r="J30" s="84"/>
      <c r="K30" s="84"/>
      <c r="L30" s="84"/>
      <c r="M30" s="84"/>
      <c r="N30" s="84"/>
      <c r="O30" s="84"/>
      <c r="P30" s="84"/>
      <c r="Q30" s="109"/>
      <c r="R30" s="507"/>
    </row>
    <row r="31" spans="1:18" ht="15" customHeight="1" x14ac:dyDescent="0.2">
      <c r="A31" s="260"/>
      <c r="B31" s="128"/>
      <c r="C31" s="128"/>
      <c r="D31" s="125" t="s">
        <v>407</v>
      </c>
      <c r="E31" s="304">
        <f>Rs_ideal*1000</f>
        <v>2.7274492907670065</v>
      </c>
      <c r="F31" s="163" t="s">
        <v>53</v>
      </c>
      <c r="G31" s="130"/>
      <c r="H31" s="128"/>
      <c r="I31" s="84"/>
      <c r="J31" s="84"/>
      <c r="K31" s="84"/>
      <c r="L31" s="84"/>
      <c r="M31" s="84"/>
      <c r="N31" s="84"/>
      <c r="O31" s="84"/>
      <c r="P31" s="84"/>
      <c r="Q31" s="109"/>
      <c r="R31" s="507"/>
    </row>
    <row r="32" spans="1:18" ht="13.7" customHeight="1" x14ac:dyDescent="0.25">
      <c r="A32" s="260"/>
      <c r="B32" s="128"/>
      <c r="C32" s="128"/>
      <c r="D32" s="154" t="s">
        <v>406</v>
      </c>
      <c r="E32" s="129">
        <v>2.5</v>
      </c>
      <c r="F32" s="159" t="s">
        <v>53</v>
      </c>
      <c r="G32" s="130"/>
      <c r="H32" s="128"/>
      <c r="I32" s="84"/>
      <c r="J32" s="84"/>
      <c r="K32" s="84"/>
      <c r="L32" s="84"/>
      <c r="M32" s="84"/>
      <c r="N32" s="84"/>
      <c r="O32" s="84"/>
      <c r="P32" s="84"/>
      <c r="Q32" s="109"/>
      <c r="R32" s="507"/>
    </row>
    <row r="33" spans="1:18" ht="13.5" customHeight="1" x14ac:dyDescent="0.3">
      <c r="A33" s="260"/>
      <c r="B33" s="128"/>
      <c r="C33" s="128"/>
      <c r="D33" s="537" t="s">
        <v>1016</v>
      </c>
      <c r="E33" s="563">
        <f>'Variable Management'!B143</f>
        <v>22</v>
      </c>
      <c r="F33" s="163" t="s">
        <v>2</v>
      </c>
      <c r="G33" s="130"/>
      <c r="H33" s="128"/>
      <c r="I33" s="84"/>
      <c r="J33" s="84"/>
      <c r="K33" s="84"/>
      <c r="L33" s="84"/>
      <c r="M33" s="84"/>
      <c r="N33" s="84"/>
      <c r="O33" s="84"/>
      <c r="P33" s="84"/>
      <c r="Q33" s="109"/>
      <c r="R33" s="507"/>
    </row>
    <row r="34" spans="1:18" ht="13.5" customHeight="1" x14ac:dyDescent="0.3">
      <c r="A34" s="260"/>
      <c r="B34" s="128"/>
      <c r="C34" s="128"/>
      <c r="D34" s="537" t="s">
        <v>1017</v>
      </c>
      <c r="E34" s="563">
        <f>Ipeak_inductor_max</f>
        <v>15.276788759269387</v>
      </c>
      <c r="F34" s="163" t="s">
        <v>2</v>
      </c>
      <c r="G34" s="130"/>
      <c r="H34" s="128"/>
      <c r="I34" s="84"/>
      <c r="J34" s="84"/>
      <c r="K34" s="84"/>
      <c r="L34" s="84"/>
      <c r="M34" s="84"/>
      <c r="N34" s="84"/>
      <c r="O34" s="84"/>
      <c r="P34" s="84"/>
      <c r="Q34" s="109"/>
      <c r="R34" s="507"/>
    </row>
    <row r="35" spans="1:18" ht="13.7" customHeight="1" x14ac:dyDescent="0.2">
      <c r="A35" s="260"/>
      <c r="B35" s="128"/>
      <c r="C35" s="128"/>
      <c r="D35" s="537" t="str">
        <f>IF('Variable Management'!B91&gt;'Variable Management'!B89, "Power Loss in Rs at Full Load (Max VIN)", "Power Loss in Rs at Full Load (Min VIN)")</f>
        <v>Power Loss in Rs at Full Load (Max VIN)</v>
      </c>
      <c r="E35" s="538">
        <f>'Variable Management'!B92</f>
        <v>0.20780659754671621</v>
      </c>
      <c r="F35" s="163" t="s">
        <v>118</v>
      </c>
      <c r="G35" s="130"/>
      <c r="H35" s="128"/>
      <c r="I35" s="84"/>
      <c r="J35" s="84"/>
      <c r="K35" s="84"/>
      <c r="L35" s="84"/>
      <c r="M35" s="84"/>
      <c r="N35" s="84"/>
      <c r="O35" s="84"/>
      <c r="P35" s="84"/>
      <c r="Q35" s="109"/>
      <c r="R35" s="507"/>
    </row>
    <row r="36" spans="1:18" ht="13.7" customHeight="1" x14ac:dyDescent="0.2">
      <c r="A36" s="260"/>
      <c r="B36" s="128"/>
      <c r="C36" s="125"/>
      <c r="D36" s="647" t="s">
        <v>1021</v>
      </c>
      <c r="E36" s="639">
        <f>'Variable Management'!B148</f>
        <v>1</v>
      </c>
      <c r="F36" s="648"/>
      <c r="G36" s="130"/>
      <c r="H36" s="128"/>
      <c r="I36" s="84"/>
      <c r="J36" s="84"/>
      <c r="K36" s="84"/>
      <c r="L36" s="84"/>
      <c r="M36" s="84"/>
      <c r="N36" s="84"/>
      <c r="O36" s="84"/>
      <c r="P36" s="84"/>
      <c r="Q36" s="109"/>
      <c r="R36" s="507"/>
    </row>
    <row r="37" spans="1:18" ht="13.7" customHeight="1" x14ac:dyDescent="0.2">
      <c r="A37" s="260"/>
      <c r="B37" s="128"/>
      <c r="C37" s="128"/>
      <c r="D37" s="647" t="s">
        <v>1189</v>
      </c>
      <c r="E37" s="713">
        <f>(E17-E18)/E17*100</f>
        <v>19.999999999999993</v>
      </c>
      <c r="F37" s="648" t="s">
        <v>185</v>
      </c>
      <c r="G37" s="130"/>
      <c r="H37" s="128"/>
      <c r="I37" s="84"/>
      <c r="J37" s="84"/>
      <c r="K37" s="84"/>
      <c r="L37" s="84"/>
      <c r="M37" s="84"/>
      <c r="N37" s="84"/>
      <c r="O37" s="84"/>
      <c r="P37" s="84"/>
      <c r="Q37" s="109"/>
      <c r="R37" s="507"/>
    </row>
    <row r="38" spans="1:18" ht="13.5" customHeight="1" x14ac:dyDescent="0.3">
      <c r="A38" s="260"/>
      <c r="B38" s="128"/>
      <c r="C38" s="113"/>
      <c r="D38" s="303" t="s">
        <v>359</v>
      </c>
      <c r="E38" s="262">
        <f>'Variable Management'!B135</f>
        <v>18.749069577452005</v>
      </c>
      <c r="F38" s="263" t="s">
        <v>2</v>
      </c>
      <c r="G38" s="130"/>
      <c r="H38" s="128"/>
      <c r="I38" s="84"/>
      <c r="J38" s="84"/>
      <c r="K38" s="84"/>
      <c r="L38" s="84"/>
      <c r="M38" s="84"/>
      <c r="N38" s="84"/>
      <c r="O38" s="84"/>
      <c r="P38" s="84"/>
      <c r="Q38" s="109"/>
      <c r="R38" s="507"/>
    </row>
    <row r="39" spans="1:18" ht="15" customHeight="1" x14ac:dyDescent="0.3">
      <c r="A39" s="260"/>
      <c r="B39" s="128"/>
      <c r="C39" s="125" t="s">
        <v>698</v>
      </c>
      <c r="D39" s="303" t="s">
        <v>360</v>
      </c>
      <c r="E39" s="262">
        <f>'Variable Management'!B136</f>
        <v>18.232745354518524</v>
      </c>
      <c r="F39" s="263" t="s">
        <v>2</v>
      </c>
      <c r="G39" s="130"/>
      <c r="H39" s="128"/>
      <c r="I39" s="84"/>
      <c r="J39" s="84"/>
      <c r="K39" s="84"/>
      <c r="L39" s="84"/>
      <c r="M39" s="84"/>
      <c r="N39" s="84"/>
      <c r="O39" s="84"/>
      <c r="P39" s="84"/>
      <c r="Q39" s="109"/>
      <c r="R39" s="507"/>
    </row>
    <row r="40" spans="1:18" ht="15.75" customHeight="1" thickBot="1" x14ac:dyDescent="0.35">
      <c r="A40" s="282"/>
      <c r="B40" s="179"/>
      <c r="C40" s="179"/>
      <c r="D40" s="626" t="s">
        <v>361</v>
      </c>
      <c r="E40" s="627">
        <f>'Variable Management'!B137</f>
        <v>17.354790188099035</v>
      </c>
      <c r="F40" s="284" t="s">
        <v>2</v>
      </c>
      <c r="G40" s="130"/>
      <c r="H40" s="128"/>
      <c r="I40" s="84"/>
      <c r="J40" s="84"/>
      <c r="K40" s="84"/>
      <c r="L40" s="84"/>
      <c r="M40" s="84"/>
      <c r="N40" s="84"/>
      <c r="O40" s="84"/>
      <c r="P40" s="84"/>
      <c r="Q40" s="109"/>
      <c r="R40" s="507"/>
    </row>
    <row r="41" spans="1:18" ht="14.1" customHeight="1" x14ac:dyDescent="0.2">
      <c r="A41" s="127"/>
      <c r="B41" s="128"/>
      <c r="C41" s="138"/>
      <c r="D41" s="138"/>
      <c r="E41" s="138"/>
      <c r="F41" s="138"/>
      <c r="G41" s="128"/>
      <c r="H41" s="128"/>
      <c r="I41" s="84"/>
      <c r="J41" s="84"/>
      <c r="K41" s="84"/>
      <c r="L41" s="84"/>
      <c r="M41" s="84"/>
      <c r="N41" s="84"/>
      <c r="O41" s="84"/>
      <c r="P41" s="84"/>
      <c r="Q41" s="109"/>
      <c r="R41" s="507"/>
    </row>
    <row r="42" spans="1:18" ht="19.5" thickBot="1" x14ac:dyDescent="0.35">
      <c r="A42" s="187" t="s">
        <v>168</v>
      </c>
      <c r="B42" s="135"/>
      <c r="C42" s="136"/>
      <c r="D42" s="136"/>
      <c r="E42" s="137"/>
      <c r="F42" s="136"/>
      <c r="G42" s="128"/>
      <c r="H42" s="128"/>
      <c r="I42" s="84"/>
      <c r="J42" s="84"/>
      <c r="K42" s="84"/>
      <c r="L42" s="84"/>
      <c r="M42" s="84"/>
      <c r="N42" s="84"/>
      <c r="O42" s="84"/>
      <c r="P42" s="84"/>
      <c r="Q42" s="109"/>
      <c r="R42" s="507"/>
    </row>
    <row r="43" spans="1:18" ht="15.75" customHeight="1" x14ac:dyDescent="0.25">
      <c r="A43" s="174"/>
      <c r="B43" s="165"/>
      <c r="C43" s="156"/>
      <c r="D43" s="166" t="s">
        <v>786</v>
      </c>
      <c r="E43" s="167">
        <v>150</v>
      </c>
      <c r="F43" s="158" t="s">
        <v>282</v>
      </c>
      <c r="G43" s="128"/>
      <c r="H43" s="128"/>
      <c r="I43" s="128"/>
      <c r="J43" s="128"/>
      <c r="K43" s="128"/>
      <c r="L43" s="128"/>
      <c r="M43" s="128"/>
      <c r="N43" s="128"/>
      <c r="O43" s="128"/>
      <c r="P43" s="128"/>
      <c r="Q43" s="109"/>
      <c r="R43" s="507"/>
    </row>
    <row r="44" spans="1:18" ht="14.1" customHeight="1" thickBot="1" x14ac:dyDescent="0.25">
      <c r="A44" s="127"/>
      <c r="B44" s="128"/>
      <c r="C44" s="125"/>
      <c r="D44" s="125" t="s">
        <v>571</v>
      </c>
      <c r="E44" s="533">
        <f>'Variable Management'!B176</f>
        <v>3.4748067292999898</v>
      </c>
      <c r="F44" s="163" t="s">
        <v>267</v>
      </c>
      <c r="G44" s="128"/>
      <c r="H44" s="128"/>
      <c r="I44" s="128"/>
      <c r="J44" s="128"/>
      <c r="K44" s="128"/>
      <c r="L44" s="128"/>
      <c r="M44" s="128"/>
      <c r="N44" s="128"/>
      <c r="O44" s="128"/>
      <c r="P44" s="128"/>
      <c r="Q44" s="109"/>
      <c r="R44" s="507"/>
    </row>
    <row r="45" spans="1:18" ht="14.1" customHeight="1" x14ac:dyDescent="0.25">
      <c r="A45" s="127"/>
      <c r="B45" s="128"/>
      <c r="C45" s="125"/>
      <c r="D45" s="124" t="s">
        <v>355</v>
      </c>
      <c r="E45" s="131">
        <v>100</v>
      </c>
      <c r="F45" s="159" t="s">
        <v>267</v>
      </c>
      <c r="G45" s="130"/>
      <c r="H45" s="664" t="str">
        <f>Device</f>
        <v>LM51772</v>
      </c>
      <c r="I45" s="661"/>
      <c r="J45" s="661"/>
      <c r="K45" s="661"/>
      <c r="L45" s="661"/>
      <c r="M45" s="661"/>
      <c r="N45" s="661"/>
      <c r="O45" s="661"/>
      <c r="P45" s="662"/>
      <c r="Q45" s="109"/>
      <c r="R45" s="507"/>
    </row>
    <row r="46" spans="1:18" ht="14.1" customHeight="1" x14ac:dyDescent="0.2">
      <c r="A46" s="127"/>
      <c r="B46" s="128"/>
      <c r="C46" s="125"/>
      <c r="D46" s="125" t="s">
        <v>289</v>
      </c>
      <c r="E46" s="532">
        <f>'Variable Management'!B180</f>
        <v>59.919166099298145</v>
      </c>
      <c r="F46" s="163" t="s">
        <v>53</v>
      </c>
      <c r="G46" s="130"/>
      <c r="H46" s="638"/>
      <c r="I46" s="84"/>
      <c r="J46" s="84"/>
      <c r="K46" s="84"/>
      <c r="L46" s="84"/>
      <c r="M46" s="84"/>
      <c r="N46" s="84" t="str">
        <f>'CFG Setting'!H56</f>
        <v>R_CFG1</v>
      </c>
      <c r="O46" s="89">
        <f>'CFG Setting'!H57</f>
        <v>0</v>
      </c>
      <c r="P46" s="263" t="s">
        <v>54</v>
      </c>
      <c r="Q46" s="109" t="str">
        <f>IF(useI2C=1,"Set Slope Comp. via I2C","")</f>
        <v>Set Slope Comp. via I2C</v>
      </c>
      <c r="R46" s="507"/>
    </row>
    <row r="47" spans="1:18" ht="14.1" customHeight="1" x14ac:dyDescent="0.2">
      <c r="A47" s="127"/>
      <c r="B47" s="128"/>
      <c r="C47" s="125"/>
      <c r="D47" s="124" t="s">
        <v>290</v>
      </c>
      <c r="E47" s="131">
        <v>5</v>
      </c>
      <c r="F47" s="159" t="s">
        <v>53</v>
      </c>
      <c r="G47" s="130"/>
      <c r="H47" s="638"/>
      <c r="I47" s="84"/>
      <c r="J47" s="84"/>
      <c r="K47" s="84"/>
      <c r="L47" s="84"/>
      <c r="M47" s="84"/>
      <c r="N47" s="84" t="str">
        <f>'CFG Setting'!H85</f>
        <v>R_CFG2</v>
      </c>
      <c r="O47" s="89">
        <f>'CFG Setting'!H86</f>
        <v>8.3000000000000007</v>
      </c>
      <c r="P47" s="263" t="s">
        <v>54</v>
      </c>
      <c r="Q47" s="109"/>
      <c r="R47" s="507"/>
    </row>
    <row r="48" spans="1:18" ht="14.1" customHeight="1" x14ac:dyDescent="0.3">
      <c r="A48" s="127"/>
      <c r="B48" s="128"/>
      <c r="C48" s="128"/>
      <c r="D48" s="125" t="s">
        <v>780</v>
      </c>
      <c r="E48" s="153">
        <f>Vripple2*1000</f>
        <v>28.656439628927139</v>
      </c>
      <c r="F48" s="163" t="s">
        <v>283</v>
      </c>
      <c r="G48" s="130"/>
      <c r="H48" s="638"/>
      <c r="I48" s="84"/>
      <c r="J48" s="84"/>
      <c r="K48" s="84"/>
      <c r="L48" s="84"/>
      <c r="M48" s="84"/>
      <c r="N48" s="84" t="str">
        <f>IF(useI2C=1,"",'CFG Setting'!H115)</f>
        <v/>
      </c>
      <c r="O48" s="89" t="str">
        <f>IF(useI2C=1,"",'CFG Setting'!H116)</f>
        <v/>
      </c>
      <c r="P48" s="263" t="str">
        <f>IF(useI2C=1,"","kΩ")</f>
        <v/>
      </c>
      <c r="Q48" s="109" t="str">
        <f>IF(useI2C=1,"Set Config via I2C","")</f>
        <v>Set Config via I2C</v>
      </c>
      <c r="R48" s="507"/>
    </row>
    <row r="49" spans="1:18" ht="14.1" customHeight="1" thickBot="1" x14ac:dyDescent="0.25">
      <c r="A49" s="160"/>
      <c r="B49" s="161"/>
      <c r="C49" s="161"/>
      <c r="D49" s="126" t="s">
        <v>781</v>
      </c>
      <c r="E49" s="164">
        <f>'Variable Management'!B171</f>
        <v>1.5272125969640624</v>
      </c>
      <c r="F49" s="162" t="s">
        <v>174</v>
      </c>
      <c r="G49" s="132"/>
      <c r="H49" s="127"/>
      <c r="I49" s="84"/>
      <c r="J49" s="84"/>
      <c r="K49" s="84"/>
      <c r="L49" s="84"/>
      <c r="M49" s="84"/>
      <c r="N49" s="84" t="str">
        <f>IF(useI2C=1,"",'CFG Setting'!H145)</f>
        <v/>
      </c>
      <c r="O49" s="89" t="str">
        <f>IF(useI2C=1,"",'CFG Setting'!H146)</f>
        <v/>
      </c>
      <c r="P49" s="263" t="str">
        <f>IF(useI2C=1,"","kΩ")</f>
        <v/>
      </c>
      <c r="Q49" s="109" t="str">
        <f>IF(useI2C=1,"Set Config via I2C","")</f>
        <v>Set Config via I2C</v>
      </c>
      <c r="R49" s="507"/>
    </row>
    <row r="50" spans="1:18" ht="17.100000000000001" customHeight="1" thickBot="1" x14ac:dyDescent="0.25">
      <c r="A50" s="189"/>
      <c r="B50" s="138"/>
      <c r="C50" s="138"/>
      <c r="D50" s="138"/>
      <c r="E50" s="138"/>
      <c r="F50" s="138"/>
      <c r="G50" s="128"/>
      <c r="H50" s="196"/>
      <c r="I50" s="636"/>
      <c r="J50" s="636"/>
      <c r="K50" s="636"/>
      <c r="L50" s="636"/>
      <c r="M50" s="636"/>
      <c r="N50" s="636"/>
      <c r="O50" s="636"/>
      <c r="P50" s="637"/>
      <c r="Q50" s="109"/>
      <c r="R50" s="507"/>
    </row>
    <row r="51" spans="1:18" ht="19.5" thickBot="1" x14ac:dyDescent="0.35">
      <c r="A51" s="187" t="s">
        <v>169</v>
      </c>
      <c r="B51" s="135"/>
      <c r="C51" s="136"/>
      <c r="D51" s="136"/>
      <c r="E51" s="128"/>
      <c r="F51" s="128"/>
      <c r="G51" s="128"/>
      <c r="H51" s="128"/>
      <c r="I51" s="84"/>
      <c r="J51" s="84"/>
      <c r="K51" s="84"/>
      <c r="L51" s="111"/>
      <c r="M51" s="113"/>
      <c r="N51" s="113"/>
      <c r="O51" s="84"/>
      <c r="P51" s="84"/>
      <c r="Q51" s="109"/>
      <c r="R51" s="507"/>
    </row>
    <row r="52" spans="1:18" ht="14.1" customHeight="1" thickBot="1" x14ac:dyDescent="0.3">
      <c r="A52" s="174"/>
      <c r="B52" s="165"/>
      <c r="C52" s="155"/>
      <c r="D52" s="157" t="s">
        <v>787</v>
      </c>
      <c r="E52" s="167">
        <v>180</v>
      </c>
      <c r="F52" s="158" t="s">
        <v>282</v>
      </c>
      <c r="G52" s="128"/>
      <c r="H52" s="128"/>
      <c r="I52" s="84"/>
      <c r="J52" s="277" t="s">
        <v>1250</v>
      </c>
      <c r="K52" s="84"/>
      <c r="L52" s="84"/>
      <c r="M52" s="84"/>
      <c r="N52" s="659" t="str">
        <f>_xlfn.SWITCH(IMONLIM_select+1,1,"",2,"Current Limiter via ISET", 3,"Current Limiter via I2C",4,"Current Limiter via I2C")</f>
        <v>Current Limiter via I2C</v>
      </c>
      <c r="O52" s="84"/>
      <c r="P52" s="84"/>
      <c r="Q52" s="109"/>
      <c r="R52" s="507"/>
    </row>
    <row r="53" spans="1:18" ht="14.1" customHeight="1" x14ac:dyDescent="0.2">
      <c r="A53" s="139"/>
      <c r="B53" s="136"/>
      <c r="C53" s="128"/>
      <c r="D53" s="125" t="s">
        <v>788</v>
      </c>
      <c r="E53" s="532">
        <f>'Variable Management'!B196</f>
        <v>27.777777777777779</v>
      </c>
      <c r="F53" s="163" t="s">
        <v>267</v>
      </c>
      <c r="G53" s="128"/>
      <c r="H53" s="664"/>
      <c r="I53" s="661"/>
      <c r="J53" s="665" t="s">
        <v>366</v>
      </c>
      <c r="K53" s="666">
        <v>3</v>
      </c>
      <c r="L53" s="667" t="s">
        <v>2</v>
      </c>
      <c r="M53" s="661"/>
      <c r="N53" s="665" t="str">
        <f>CHOOSE(IMONLIM_select+1,"","Average Current Limit","Average Current Limit","Average Current Limit")</f>
        <v>Average Current Limit</v>
      </c>
      <c r="O53" s="666">
        <v>15</v>
      </c>
      <c r="P53" s="667" t="s">
        <v>2</v>
      </c>
      <c r="Q53" s="109"/>
      <c r="R53" s="507"/>
    </row>
    <row r="54" spans="1:18" ht="14.1" customHeight="1" x14ac:dyDescent="0.3">
      <c r="A54" s="127"/>
      <c r="B54" s="128"/>
      <c r="C54" s="136"/>
      <c r="D54" s="154" t="s">
        <v>356</v>
      </c>
      <c r="E54" s="129">
        <v>100</v>
      </c>
      <c r="F54" s="159" t="s">
        <v>267</v>
      </c>
      <c r="G54" s="128"/>
      <c r="H54" s="127"/>
      <c r="I54" s="84"/>
      <c r="J54" s="537" t="s">
        <v>993</v>
      </c>
      <c r="K54" s="280">
        <v>1</v>
      </c>
      <c r="L54" s="159" t="s">
        <v>0</v>
      </c>
      <c r="M54" s="84"/>
      <c r="N54" s="537" t="str">
        <f>_xlfn.SWITCH(IMONLIM_select+1,1,"",2,"", 3,"DAC ILIM_THRESHOLD",4,"DAC ILIM_THRESHOLD")</f>
        <v>DAC ILIM_THRESHOLD</v>
      </c>
      <c r="O54" s="280">
        <v>100</v>
      </c>
      <c r="P54" s="159" t="str">
        <f>_xlfn.SWITCH(IMONLIM_select+1,1,"",2,"",3,"", 4,"")</f>
        <v/>
      </c>
      <c r="Q54" s="109"/>
      <c r="R54" s="507"/>
    </row>
    <row r="55" spans="1:18" ht="14.1" customHeight="1" x14ac:dyDescent="0.3">
      <c r="A55" s="127"/>
      <c r="B55" s="128"/>
      <c r="C55" s="136"/>
      <c r="D55" s="125" t="s">
        <v>289</v>
      </c>
      <c r="E55" s="532">
        <f>'Variable Management'!B201</f>
        <v>8.8766225728196559</v>
      </c>
      <c r="F55" s="163" t="s">
        <v>53</v>
      </c>
      <c r="G55" s="128"/>
      <c r="H55" s="127"/>
      <c r="I55" s="84"/>
      <c r="J55" s="125" t="s">
        <v>1031</v>
      </c>
      <c r="K55" s="678">
        <f>CDC_Threshold/K53*1000</f>
        <v>16.666666666666668</v>
      </c>
      <c r="L55" s="163" t="s">
        <v>53</v>
      </c>
      <c r="M55" s="84"/>
      <c r="N55" s="125" t="s">
        <v>1031</v>
      </c>
      <c r="O55" s="678">
        <f>_xlfn.SWITCH(IMONLIM_select+1,1,0,2,ILIM_Threshold/O53, 3,0.05/O53, 4,0.05/O53)*1000</f>
        <v>3.3333333333333335</v>
      </c>
      <c r="P55" s="163" t="s">
        <v>53</v>
      </c>
      <c r="Q55" s="109" t="s">
        <v>211</v>
      </c>
      <c r="R55" s="507"/>
    </row>
    <row r="56" spans="1:18" ht="14.1" customHeight="1" x14ac:dyDescent="0.3">
      <c r="A56" s="127"/>
      <c r="B56" s="128"/>
      <c r="C56" s="136"/>
      <c r="D56" s="154" t="s">
        <v>291</v>
      </c>
      <c r="E56" s="129">
        <v>2</v>
      </c>
      <c r="F56" s="159" t="s">
        <v>53</v>
      </c>
      <c r="G56" s="128"/>
      <c r="H56" s="127"/>
      <c r="I56" s="84"/>
      <c r="J56" s="125" t="s">
        <v>1030</v>
      </c>
      <c r="K56" s="679">
        <v>10</v>
      </c>
      <c r="L56" s="163" t="s">
        <v>53</v>
      </c>
      <c r="M56" s="84"/>
      <c r="N56" s="125" t="s">
        <v>1030</v>
      </c>
      <c r="O56" s="679">
        <v>10</v>
      </c>
      <c r="P56" s="163" t="s">
        <v>53</v>
      </c>
      <c r="Q56" s="109"/>
      <c r="R56" s="507"/>
    </row>
    <row r="57" spans="1:18" ht="14.1" customHeight="1" x14ac:dyDescent="0.3">
      <c r="A57" s="127"/>
      <c r="B57" s="128"/>
      <c r="C57" s="136"/>
      <c r="D57" s="125" t="s">
        <v>779</v>
      </c>
      <c r="E57" s="153">
        <f>Vinripple2*1000</f>
        <v>79.290419623801924</v>
      </c>
      <c r="F57" s="163" t="s">
        <v>283</v>
      </c>
      <c r="G57" s="128"/>
      <c r="H57" s="127"/>
      <c r="I57" s="84"/>
      <c r="J57" s="125" t="s">
        <v>1007</v>
      </c>
      <c r="K57" s="625">
        <f>(K54)/(K56/1000*K53*gm_CDC)/1000</f>
        <v>66.666666666666671</v>
      </c>
      <c r="L57" s="163" t="s">
        <v>54</v>
      </c>
      <c r="M57" s="84"/>
      <c r="N57" s="125" t="str">
        <f>_xlfn.SWITCH(IMONLIM_select+1,1,"",2,"ILIMCOMP Resistance, RILIM", 3,"Effective average Current Limit",4,"Effective average Current Limit")</f>
        <v>Effective average Current Limit</v>
      </c>
      <c r="O57" s="625">
        <f>_xlfn.SWITCH(IMONLIM_select+1,1,"",2,V_Ilimit/(O56/1000*O53*gm_IL)/1000,3,O54*0.0005/(O56*0.001),4,O54*0.0005/(O56*0.001))</f>
        <v>5</v>
      </c>
      <c r="P57" s="163" t="str">
        <f>_xlfn.SWITCH(IMONLIM_select+1,1,"",2,"kΩ", 3,"A",4,"A")</f>
        <v>A</v>
      </c>
      <c r="Q57" s="109"/>
      <c r="R57" s="507"/>
    </row>
    <row r="58" spans="1:18" ht="14.1" customHeight="1" thickBot="1" x14ac:dyDescent="0.25">
      <c r="A58" s="160"/>
      <c r="B58" s="161"/>
      <c r="C58" s="161"/>
      <c r="D58" s="126" t="s">
        <v>782</v>
      </c>
      <c r="E58" s="164">
        <f>'Variable Management'!B189</f>
        <v>7.7478816078043202</v>
      </c>
      <c r="F58" s="162" t="s">
        <v>174</v>
      </c>
      <c r="G58" s="128"/>
      <c r="H58" s="712"/>
      <c r="I58" s="84"/>
      <c r="J58" s="84"/>
      <c r="K58" s="84"/>
      <c r="L58" s="109"/>
      <c r="M58" s="791"/>
      <c r="N58" s="125" t="str">
        <f>_xlfn.SWITCH(IMONLIM_select+1,1,"",2,"ILIMCOMP Capacitor, CILIM,HF", 3,"ILIMCOMP Capacitor, CILIM", 4,"ILIMCOMP Capacitor, CILIM")</f>
        <v>ILIMCOMP Capacitor, CILIM</v>
      </c>
      <c r="O58" s="792">
        <f>_xlfn.SWITCH(IMONLIM_select+1,1,"",2,C_ILimit_HF_STD*1000000000000,3,C_limitcomp_STD*1000000000,4,C_limitcomp_STD*1000000000)</f>
        <v>0.68</v>
      </c>
      <c r="P58" s="163" t="str">
        <f>_xlfn.SWITCH(IMONLIM_select+1,1,"",2,"pF", 3,"nF",4,"nF")</f>
        <v>nF</v>
      </c>
      <c r="Q58" s="109"/>
      <c r="R58" s="507"/>
    </row>
    <row r="59" spans="1:18" ht="14.1" customHeight="1" thickBot="1" x14ac:dyDescent="0.35">
      <c r="A59" s="127"/>
      <c r="B59" s="128"/>
      <c r="C59" s="128"/>
      <c r="D59" s="125"/>
      <c r="E59" s="128"/>
      <c r="F59" s="128"/>
      <c r="G59" s="128"/>
      <c r="H59" s="793"/>
      <c r="I59" s="794"/>
      <c r="J59" s="794"/>
      <c r="K59" s="794"/>
      <c r="L59" s="795"/>
      <c r="M59" s="796"/>
      <c r="N59" s="797" t="s">
        <v>1259</v>
      </c>
      <c r="O59" s="798">
        <f>Co2_u*1000000</f>
        <v>39</v>
      </c>
      <c r="P59" s="181" t="s">
        <v>267</v>
      </c>
      <c r="Q59" s="109"/>
      <c r="R59" s="507"/>
    </row>
    <row r="60" spans="1:18" ht="19.5" thickBot="1" x14ac:dyDescent="0.35">
      <c r="A60" s="187" t="s">
        <v>882</v>
      </c>
      <c r="B60" s="135"/>
      <c r="C60" s="128"/>
      <c r="D60" s="125"/>
      <c r="E60" s="128"/>
      <c r="F60" s="128"/>
      <c r="G60" s="128"/>
      <c r="H60" s="140"/>
      <c r="I60" s="113"/>
      <c r="J60" s="113"/>
      <c r="K60" s="113"/>
      <c r="L60" s="113"/>
      <c r="M60" s="113"/>
      <c r="N60" s="84"/>
      <c r="O60" s="84"/>
      <c r="P60" s="84"/>
      <c r="Q60" s="109"/>
      <c r="R60" s="507"/>
    </row>
    <row r="61" spans="1:18" ht="13.7" customHeight="1" x14ac:dyDescent="0.2">
      <c r="A61" s="269"/>
      <c r="B61" s="270"/>
      <c r="C61" s="270"/>
      <c r="D61" s="592" t="s">
        <v>902</v>
      </c>
      <c r="E61" s="593">
        <f>E45*0.000001*E10/(E30/100*E11)*1000</f>
        <v>0.60833333333333328</v>
      </c>
      <c r="F61" s="285" t="s">
        <v>178</v>
      </c>
      <c r="G61" s="128"/>
      <c r="H61" s="138"/>
      <c r="I61" s="113"/>
      <c r="J61" s="113"/>
      <c r="K61" s="113"/>
      <c r="L61" s="113"/>
      <c r="M61" s="272" t="s">
        <v>855</v>
      </c>
      <c r="N61" s="609" t="str">
        <f>VIN_nom&amp;"V"</f>
        <v>23.6V</v>
      </c>
      <c r="O61" s="84"/>
      <c r="P61" s="84"/>
      <c r="Q61" s="109"/>
      <c r="R61" s="507"/>
    </row>
    <row r="62" spans="1:18" ht="13.7" customHeight="1" x14ac:dyDescent="0.2">
      <c r="A62" s="260"/>
      <c r="B62" s="259"/>
      <c r="C62" s="259"/>
      <c r="D62" s="277" t="s">
        <v>358</v>
      </c>
      <c r="E62" s="273">
        <v>250</v>
      </c>
      <c r="F62" s="274" t="s">
        <v>178</v>
      </c>
      <c r="G62" s="128"/>
      <c r="H62" s="138"/>
      <c r="I62" s="113"/>
      <c r="J62" s="113"/>
      <c r="K62" s="113"/>
      <c r="L62" s="113"/>
      <c r="M62" s="113"/>
      <c r="N62" s="84"/>
      <c r="O62" s="84"/>
      <c r="P62" s="84"/>
      <c r="Q62" s="109"/>
      <c r="R62" s="507"/>
    </row>
    <row r="63" spans="1:18" ht="13.7" customHeight="1" x14ac:dyDescent="0.2">
      <c r="A63" s="260"/>
      <c r="B63" s="259"/>
      <c r="C63" s="259"/>
      <c r="D63" s="261" t="s">
        <v>357</v>
      </c>
      <c r="E63" s="276">
        <f>Css_u*1000000000</f>
        <v>2700</v>
      </c>
      <c r="F63" s="263" t="s">
        <v>170</v>
      </c>
      <c r="G63" s="128"/>
      <c r="H63" s="138"/>
      <c r="I63" s="113"/>
      <c r="J63" s="113"/>
      <c r="K63" s="113"/>
      <c r="L63" s="113"/>
      <c r="M63" s="113"/>
      <c r="N63" s="84"/>
      <c r="O63" s="84"/>
      <c r="P63" s="84"/>
      <c r="Q63" s="109"/>
      <c r="R63" s="507"/>
    </row>
    <row r="64" spans="1:18" ht="13.7" customHeight="1" x14ac:dyDescent="0.2">
      <c r="A64" s="260"/>
      <c r="B64" s="259"/>
      <c r="C64" s="259"/>
      <c r="D64" s="261"/>
      <c r="E64" s="571"/>
      <c r="F64" s="263"/>
      <c r="G64" s="128"/>
      <c r="H64" s="128"/>
      <c r="I64" s="84"/>
      <c r="J64" s="82"/>
      <c r="K64" s="123"/>
      <c r="L64" s="84"/>
      <c r="M64" s="113"/>
      <c r="N64" s="84"/>
      <c r="O64" s="84"/>
      <c r="P64" s="84"/>
      <c r="Q64" s="109"/>
      <c r="R64" s="507"/>
    </row>
    <row r="65" spans="1:35" ht="13.7" customHeight="1" x14ac:dyDescent="0.2">
      <c r="A65" s="260"/>
      <c r="B65" s="259"/>
      <c r="C65" s="278"/>
      <c r="D65" s="279" t="s">
        <v>374</v>
      </c>
      <c r="E65" s="280">
        <v>6.2</v>
      </c>
      <c r="F65" s="274" t="s">
        <v>0</v>
      </c>
      <c r="G65" s="128"/>
      <c r="H65" s="128"/>
      <c r="I65" s="84"/>
      <c r="J65" s="82"/>
      <c r="K65" s="123"/>
      <c r="L65" s="84"/>
      <c r="M65" s="113"/>
      <c r="N65" s="84"/>
      <c r="O65" s="84"/>
      <c r="P65" s="84"/>
      <c r="Q65" s="109"/>
      <c r="R65" s="507"/>
    </row>
    <row r="66" spans="1:35" ht="13.7" customHeight="1" x14ac:dyDescent="0.2">
      <c r="A66" s="260"/>
      <c r="B66" s="259"/>
      <c r="C66" s="259"/>
      <c r="D66" s="261" t="s">
        <v>338</v>
      </c>
      <c r="E66" s="280">
        <v>5.99</v>
      </c>
      <c r="F66" s="274" t="s">
        <v>0</v>
      </c>
      <c r="G66" s="128"/>
      <c r="H66" s="128"/>
      <c r="I66" s="84"/>
      <c r="J66" s="82"/>
      <c r="K66" s="123"/>
      <c r="L66" s="84"/>
      <c r="M66" s="113"/>
      <c r="N66" s="84"/>
      <c r="O66" s="84"/>
      <c r="P66" s="84"/>
      <c r="Q66" s="109"/>
      <c r="R66" s="507"/>
    </row>
    <row r="67" spans="1:35" ht="13.7" customHeight="1" x14ac:dyDescent="0.2">
      <c r="A67" s="260"/>
      <c r="B67" s="259"/>
      <c r="C67" s="278"/>
      <c r="D67" s="279" t="s">
        <v>373</v>
      </c>
      <c r="E67" s="261" t="str">
        <f>'Variable Management'!G220</f>
        <v>N/A</v>
      </c>
      <c r="F67" s="263" t="s">
        <v>54</v>
      </c>
      <c r="G67" s="128"/>
      <c r="H67" s="128"/>
      <c r="I67" s="84"/>
      <c r="J67" s="82"/>
      <c r="K67" s="123"/>
      <c r="L67" s="84"/>
      <c r="M67" s="113"/>
      <c r="N67" s="84"/>
      <c r="O67" s="84"/>
      <c r="P67" s="84"/>
      <c r="Q67" s="109"/>
      <c r="R67" s="507"/>
    </row>
    <row r="68" spans="1:35" ht="15" customHeight="1" thickBot="1" x14ac:dyDescent="0.25">
      <c r="A68" s="282"/>
      <c r="B68" s="283"/>
      <c r="C68" s="283"/>
      <c r="D68" s="281" t="s">
        <v>372</v>
      </c>
      <c r="E68" s="281" t="str">
        <f>'Variable Management'!G221</f>
        <v>N/A</v>
      </c>
      <c r="F68" s="284" t="s">
        <v>54</v>
      </c>
      <c r="G68" s="128"/>
      <c r="H68" s="128"/>
      <c r="I68" s="84"/>
      <c r="J68" s="82"/>
      <c r="K68" s="123"/>
      <c r="L68" s="84"/>
      <c r="M68" s="113"/>
      <c r="N68" s="84"/>
      <c r="O68" s="84"/>
      <c r="P68" s="84"/>
      <c r="Q68" s="109"/>
      <c r="R68" s="507"/>
    </row>
    <row r="69" spans="1:35" ht="15" customHeight="1" x14ac:dyDescent="0.2">
      <c r="A69" s="260"/>
      <c r="B69" s="259"/>
      <c r="C69" s="128"/>
      <c r="D69" s="624"/>
      <c r="E69" s="262"/>
      <c r="F69" s="178"/>
      <c r="G69" s="128"/>
      <c r="H69" s="128"/>
      <c r="I69" s="84"/>
      <c r="J69" s="82"/>
      <c r="K69" s="123"/>
      <c r="L69" s="84"/>
      <c r="M69" s="113"/>
      <c r="N69" s="84"/>
      <c r="O69" s="84"/>
      <c r="P69" s="84"/>
      <c r="Q69" s="109"/>
      <c r="R69" s="507"/>
    </row>
    <row r="70" spans="1:35" ht="15" customHeight="1" thickBot="1" x14ac:dyDescent="0.25">
      <c r="A70" s="187" t="s">
        <v>285</v>
      </c>
      <c r="B70" s="142"/>
      <c r="C70" s="136"/>
      <c r="D70" s="564"/>
      <c r="E70" s="137"/>
      <c r="F70" s="136"/>
      <c r="G70" s="128"/>
      <c r="H70" s="128"/>
      <c r="I70" s="84"/>
      <c r="J70" s="82"/>
      <c r="K70" s="123"/>
      <c r="L70" s="84"/>
      <c r="M70" s="113"/>
      <c r="N70" s="84"/>
      <c r="O70" s="84"/>
      <c r="P70" s="84"/>
      <c r="Q70" s="109"/>
      <c r="R70" s="507"/>
    </row>
    <row r="71" spans="1:35" ht="14.25" customHeight="1" x14ac:dyDescent="0.2">
      <c r="A71" s="269"/>
      <c r="B71" s="270"/>
      <c r="C71" s="271"/>
      <c r="D71" s="271" t="s">
        <v>376</v>
      </c>
      <c r="E71" s="361">
        <f>Fp_dominant</f>
        <v>1308.1228199333864</v>
      </c>
      <c r="F71" s="285" t="s">
        <v>10</v>
      </c>
      <c r="G71" s="128"/>
      <c r="H71" s="128"/>
      <c r="I71" s="84"/>
      <c r="J71" s="82"/>
      <c r="K71" s="123"/>
      <c r="L71" s="84"/>
      <c r="M71" s="113"/>
      <c r="N71" s="84"/>
      <c r="O71" s="84"/>
      <c r="P71" s="84"/>
      <c r="Q71" s="109"/>
      <c r="R71" s="507"/>
    </row>
    <row r="72" spans="1:35" ht="15" customHeight="1" x14ac:dyDescent="0.2">
      <c r="A72" s="260"/>
      <c r="B72" s="259"/>
      <c r="C72" s="261"/>
      <c r="D72" s="261" t="s">
        <v>375</v>
      </c>
      <c r="E72" s="264">
        <f>Fesr/1000</f>
        <v>318.3098861837907</v>
      </c>
      <c r="F72" s="263" t="s">
        <v>3</v>
      </c>
      <c r="G72" s="128"/>
      <c r="H72" s="128"/>
      <c r="I72" s="84"/>
      <c r="J72" s="82"/>
      <c r="K72" s="123"/>
      <c r="L72" s="84"/>
      <c r="M72" s="113"/>
      <c r="N72" s="84"/>
      <c r="O72" s="84"/>
      <c r="P72" s="84"/>
      <c r="Q72" s="109"/>
      <c r="R72" s="507"/>
    </row>
    <row r="73" spans="1:35" ht="15" customHeight="1" x14ac:dyDescent="0.2">
      <c r="A73" s="260"/>
      <c r="B73" s="259"/>
      <c r="C73" s="261"/>
      <c r="D73" s="261" t="s">
        <v>900</v>
      </c>
      <c r="E73" s="276" t="str">
        <f>IF(E7&lt;E10,Frhp_Vinmin/1000,"---")</f>
        <v>---</v>
      </c>
      <c r="F73" s="263" t="s">
        <v>3</v>
      </c>
      <c r="G73" s="128"/>
      <c r="H73" s="128"/>
      <c r="I73" s="84"/>
      <c r="J73" s="82"/>
      <c r="K73" s="123"/>
      <c r="L73" s="84"/>
      <c r="M73" s="113"/>
      <c r="N73" s="84"/>
      <c r="O73" s="84"/>
      <c r="P73" s="84"/>
      <c r="Q73" s="109"/>
      <c r="R73" s="507"/>
    </row>
    <row r="74" spans="1:35" ht="15" customHeight="1" x14ac:dyDescent="0.2">
      <c r="A74" s="260"/>
      <c r="B74" s="259"/>
      <c r="C74" s="261"/>
      <c r="D74" s="261" t="s">
        <v>899</v>
      </c>
      <c r="E74" s="276" t="str">
        <f>IF(E8&lt;E10,Frhp/1000,"---")</f>
        <v>---</v>
      </c>
      <c r="F74" s="263" t="s">
        <v>3</v>
      </c>
      <c r="G74" s="128"/>
      <c r="H74" s="128"/>
      <c r="I74" s="84"/>
      <c r="J74" s="82"/>
      <c r="K74" s="123"/>
      <c r="L74" s="84"/>
      <c r="M74" s="113"/>
      <c r="N74" s="84"/>
      <c r="O74" s="84"/>
      <c r="P74" s="84"/>
      <c r="Q74" s="109"/>
      <c r="R74" s="507"/>
    </row>
    <row r="75" spans="1:35" ht="15" customHeight="1" x14ac:dyDescent="0.2">
      <c r="A75" s="260"/>
      <c r="B75" s="259"/>
      <c r="C75" s="261"/>
      <c r="D75" s="261" t="s">
        <v>1274</v>
      </c>
      <c r="E75" s="276" t="e">
        <f>MIN(Fsw/1000*0.05,E73/4,IF(E74&lt;&gt;"---",E74/4,E73/4))</f>
        <v>#VALUE!</v>
      </c>
      <c r="F75" s="263" t="s">
        <v>3</v>
      </c>
      <c r="G75" s="128"/>
      <c r="H75" s="128"/>
      <c r="I75" s="84"/>
      <c r="J75" s="82"/>
      <c r="K75" s="123"/>
      <c r="L75" s="84"/>
      <c r="M75" s="113"/>
      <c r="N75" s="84"/>
      <c r="O75" s="84"/>
      <c r="P75" s="84"/>
      <c r="Q75" s="109"/>
      <c r="R75" s="507"/>
    </row>
    <row r="76" spans="1:35" ht="15" customHeight="1" x14ac:dyDescent="0.2">
      <c r="A76" s="260"/>
      <c r="B76" s="259"/>
      <c r="C76" s="261"/>
      <c r="D76" s="279" t="s">
        <v>531</v>
      </c>
      <c r="E76" s="286">
        <v>13</v>
      </c>
      <c r="F76" s="287" t="str">
        <f>"     kHz "</f>
        <v xml:space="preserve">     kHz </v>
      </c>
      <c r="G76" s="128"/>
      <c r="H76" s="128"/>
      <c r="I76" s="84"/>
      <c r="J76" s="82"/>
      <c r="K76" s="123"/>
      <c r="L76" s="84"/>
      <c r="M76" s="113"/>
      <c r="N76" s="84"/>
      <c r="O76" s="84"/>
      <c r="P76" s="84"/>
      <c r="Q76" s="109"/>
      <c r="R76" s="507"/>
    </row>
    <row r="77" spans="1:35" ht="19.5" customHeight="1" x14ac:dyDescent="0.2">
      <c r="A77" s="260"/>
      <c r="B77" s="259"/>
      <c r="C77" s="261"/>
      <c r="D77" s="261" t="s">
        <v>1275</v>
      </c>
      <c r="E77" s="264">
        <f>Fp1_u</f>
        <v>0.157579151576134</v>
      </c>
      <c r="F77" s="263" t="s">
        <v>10</v>
      </c>
      <c r="G77" s="128"/>
      <c r="H77" s="128"/>
      <c r="I77" s="128"/>
      <c r="J77" s="128"/>
      <c r="K77" s="128"/>
      <c r="L77" s="128"/>
      <c r="M77" s="128"/>
      <c r="N77" s="128"/>
      <c r="O77" s="128"/>
      <c r="P77" s="128"/>
      <c r="Q77" s="109"/>
      <c r="R77" s="506"/>
      <c r="S77" s="54"/>
      <c r="T77" s="54"/>
      <c r="W77" s="54"/>
      <c r="X77" s="54"/>
      <c r="Y77" s="54"/>
      <c r="AB77" s="54"/>
      <c r="AC77" s="54"/>
      <c r="AD77" s="54"/>
      <c r="AG77" s="54"/>
      <c r="AH77" s="54"/>
      <c r="AI77" s="54"/>
    </row>
    <row r="78" spans="1:35" ht="15" customHeight="1" x14ac:dyDescent="0.2">
      <c r="A78" s="260"/>
      <c r="B78" s="259"/>
      <c r="C78" s="261"/>
      <c r="D78" s="279" t="s">
        <v>894</v>
      </c>
      <c r="E78" s="288">
        <v>82</v>
      </c>
      <c r="F78" s="274" t="s">
        <v>54</v>
      </c>
      <c r="G78" s="128"/>
      <c r="H78" s="128"/>
      <c r="I78" s="128"/>
      <c r="J78" s="128"/>
      <c r="K78" s="128"/>
      <c r="L78" s="128"/>
      <c r="M78" s="128"/>
      <c r="N78" s="128"/>
      <c r="O78" s="128"/>
      <c r="P78" s="128"/>
      <c r="Q78" s="635"/>
      <c r="R78" s="506"/>
      <c r="S78" s="54"/>
      <c r="T78" s="54"/>
      <c r="W78" s="54"/>
      <c r="X78" s="54"/>
      <c r="Y78" s="54"/>
      <c r="AB78" s="54"/>
      <c r="AC78" s="54"/>
      <c r="AD78" s="54"/>
      <c r="AG78" s="54"/>
      <c r="AH78" s="54"/>
      <c r="AI78" s="54"/>
    </row>
    <row r="79" spans="1:35" ht="15" customHeight="1" thickBot="1" x14ac:dyDescent="0.25">
      <c r="A79" s="265"/>
      <c r="B79" s="266"/>
      <c r="C79" s="267"/>
      <c r="D79" s="267" t="s">
        <v>895</v>
      </c>
      <c r="E79" s="267">
        <f>Rfb2_u/1000</f>
        <v>6.04</v>
      </c>
      <c r="F79" s="268" t="s">
        <v>54</v>
      </c>
      <c r="G79" s="128"/>
      <c r="H79" s="128"/>
      <c r="I79" s="128"/>
      <c r="J79" s="128"/>
      <c r="K79" s="128"/>
      <c r="L79" s="128"/>
      <c r="M79" s="128"/>
      <c r="N79" s="128"/>
      <c r="O79" s="128"/>
      <c r="P79" s="128"/>
      <c r="Q79" s="109"/>
      <c r="R79" s="506"/>
      <c r="S79" s="54"/>
      <c r="T79" s="54"/>
      <c r="W79" s="54"/>
      <c r="X79" s="54"/>
      <c r="Y79" s="54"/>
      <c r="AB79" s="54"/>
      <c r="AC79" s="54"/>
      <c r="AD79" s="54"/>
      <c r="AG79" s="54"/>
      <c r="AH79" s="54"/>
      <c r="AI79" s="54"/>
    </row>
    <row r="80" spans="1:35" ht="15" customHeight="1" x14ac:dyDescent="0.2">
      <c r="A80" s="780"/>
      <c r="B80" s="781"/>
      <c r="C80" s="782"/>
      <c r="D80" s="783"/>
      <c r="E80" s="784"/>
      <c r="F80" s="785"/>
      <c r="G80" s="128"/>
      <c r="H80" s="128"/>
      <c r="I80" s="128"/>
      <c r="J80" s="128"/>
      <c r="K80" s="128"/>
      <c r="L80" s="128"/>
      <c r="M80" s="128"/>
      <c r="N80" s="128"/>
      <c r="O80" s="128"/>
      <c r="P80" s="128"/>
      <c r="Q80" s="838"/>
      <c r="R80" s="506"/>
      <c r="S80" s="54"/>
      <c r="T80" s="54"/>
      <c r="W80" s="54"/>
      <c r="X80" s="54"/>
      <c r="Y80" s="54"/>
      <c r="AB80" s="54"/>
      <c r="AC80" s="54"/>
      <c r="AD80" s="54"/>
      <c r="AG80" s="54"/>
      <c r="AH80" s="54"/>
      <c r="AI80" s="54"/>
    </row>
    <row r="81" spans="1:35" ht="13.5" customHeight="1" x14ac:dyDescent="0.2">
      <c r="A81" s="557"/>
      <c r="B81" s="557"/>
      <c r="C81" s="557"/>
      <c r="D81" s="557"/>
      <c r="E81" s="557"/>
      <c r="F81" s="557"/>
      <c r="G81" s="128"/>
      <c r="H81" s="128"/>
      <c r="I81" s="128"/>
      <c r="J81" s="128"/>
      <c r="K81" s="128"/>
      <c r="L81" s="128"/>
      <c r="M81" s="128"/>
      <c r="N81" s="128"/>
      <c r="O81" s="128"/>
      <c r="P81" s="128"/>
      <c r="Q81" s="838"/>
      <c r="R81" s="506"/>
      <c r="S81" s="54"/>
      <c r="T81" s="54"/>
      <c r="W81" s="54"/>
      <c r="X81" s="54"/>
      <c r="Y81" s="54"/>
      <c r="AB81" s="54"/>
      <c r="AC81" s="54"/>
      <c r="AD81" s="54"/>
      <c r="AG81" s="54"/>
      <c r="AH81" s="54"/>
      <c r="AI81" s="54"/>
    </row>
    <row r="82" spans="1:35" ht="15" customHeight="1" x14ac:dyDescent="0.2">
      <c r="A82" s="557"/>
      <c r="B82" s="557"/>
      <c r="C82" s="557"/>
      <c r="D82" s="557"/>
      <c r="E82" s="557"/>
      <c r="F82" s="557"/>
      <c r="G82" s="128"/>
      <c r="H82" s="128"/>
      <c r="I82" s="128"/>
      <c r="J82" s="128"/>
      <c r="K82" s="128"/>
      <c r="L82" s="128"/>
      <c r="M82" s="128"/>
      <c r="N82" s="128"/>
      <c r="O82" s="128"/>
      <c r="P82" s="128"/>
      <c r="Q82" s="838"/>
      <c r="R82" s="506"/>
      <c r="S82" s="54"/>
      <c r="T82" s="54"/>
      <c r="W82" s="54"/>
      <c r="X82" s="54"/>
      <c r="Y82" s="54"/>
      <c r="AB82" s="54"/>
      <c r="AC82" s="54"/>
      <c r="AD82" s="54"/>
      <c r="AG82" s="54"/>
      <c r="AH82" s="54"/>
      <c r="AI82" s="54"/>
    </row>
    <row r="83" spans="1:35" ht="15" customHeight="1" x14ac:dyDescent="0.2">
      <c r="A83" s="557"/>
      <c r="B83" s="557"/>
      <c r="C83" s="557"/>
      <c r="D83" s="557"/>
      <c r="E83" s="557"/>
      <c r="F83" s="557"/>
      <c r="G83" s="128"/>
      <c r="H83" s="128"/>
      <c r="I83" s="128"/>
      <c r="J83" s="128"/>
      <c r="K83" s="128"/>
      <c r="L83" s="128"/>
      <c r="M83" s="128"/>
      <c r="N83" s="128"/>
      <c r="O83" s="128"/>
      <c r="P83" s="128"/>
      <c r="Q83" s="838"/>
      <c r="R83" s="506"/>
      <c r="S83" s="54"/>
      <c r="T83" s="54"/>
      <c r="W83" s="54"/>
      <c r="X83" s="54"/>
      <c r="Y83" s="54"/>
      <c r="AB83" s="54"/>
      <c r="AC83" s="54"/>
      <c r="AD83" s="54"/>
      <c r="AG83" s="54"/>
      <c r="AH83" s="54"/>
      <c r="AI83" s="54"/>
    </row>
    <row r="84" spans="1:35" ht="15" customHeight="1" x14ac:dyDescent="0.2">
      <c r="A84" s="557"/>
      <c r="B84" s="557"/>
      <c r="C84" s="557"/>
      <c r="D84" s="557"/>
      <c r="E84" s="557"/>
      <c r="F84" s="557"/>
      <c r="G84" s="128"/>
      <c r="H84" s="128"/>
      <c r="I84" s="128"/>
      <c r="J84" s="128"/>
      <c r="K84" s="128"/>
      <c r="L84" s="128"/>
      <c r="M84" s="128"/>
      <c r="N84" s="128"/>
      <c r="O84" s="128"/>
      <c r="P84" s="128"/>
      <c r="Q84" s="838"/>
      <c r="R84" s="506"/>
      <c r="S84" s="54"/>
      <c r="T84" s="54"/>
      <c r="W84" s="54"/>
      <c r="X84" s="54"/>
      <c r="Y84" s="54"/>
      <c r="AB84" s="54"/>
      <c r="AC84" s="54"/>
      <c r="AD84" s="54"/>
      <c r="AG84" s="54"/>
      <c r="AH84" s="54"/>
      <c r="AI84" s="54"/>
    </row>
    <row r="85" spans="1:35" ht="15" customHeight="1" x14ac:dyDescent="0.2">
      <c r="A85" s="557"/>
      <c r="B85" s="557"/>
      <c r="C85" s="557"/>
      <c r="D85" s="557"/>
      <c r="E85" s="557"/>
      <c r="F85" s="557"/>
      <c r="G85" s="128"/>
      <c r="H85" s="128"/>
      <c r="I85" s="128"/>
      <c r="J85" s="128"/>
      <c r="K85" s="128"/>
      <c r="L85" s="128"/>
      <c r="M85" s="128"/>
      <c r="N85" s="128"/>
      <c r="O85" s="128"/>
      <c r="P85" s="128"/>
      <c r="Q85" s="109"/>
      <c r="R85" s="506"/>
      <c r="S85" s="54"/>
      <c r="T85" s="54"/>
      <c r="W85" s="54"/>
      <c r="X85" s="54"/>
      <c r="Y85" s="54"/>
      <c r="AB85" s="54"/>
      <c r="AC85" s="54"/>
      <c r="AD85" s="54"/>
      <c r="AG85" s="54"/>
      <c r="AH85" s="54"/>
      <c r="AI85" s="54"/>
    </row>
    <row r="86" spans="1:35" ht="15" customHeight="1" x14ac:dyDescent="0.2">
      <c r="A86" s="786"/>
      <c r="B86" s="557"/>
      <c r="C86" s="756"/>
      <c r="D86" s="787"/>
      <c r="E86" s="787"/>
      <c r="F86" s="787"/>
      <c r="G86" s="128"/>
      <c r="H86" s="128"/>
      <c r="I86" s="84"/>
      <c r="J86" s="84"/>
      <c r="K86" s="84"/>
      <c r="L86" s="84"/>
      <c r="M86" s="84"/>
      <c r="N86" s="84"/>
      <c r="O86" s="84"/>
      <c r="P86" s="84"/>
      <c r="Q86" s="109"/>
      <c r="R86" s="506"/>
      <c r="S86" s="54"/>
      <c r="T86" s="54"/>
      <c r="W86" s="54"/>
      <c r="X86" s="54"/>
      <c r="Y86" s="54"/>
      <c r="AB86" s="54"/>
      <c r="AC86" s="54"/>
      <c r="AD86" s="54"/>
      <c r="AG86" s="54"/>
      <c r="AH86" s="54"/>
      <c r="AI86" s="54"/>
    </row>
    <row r="87" spans="1:35" ht="13.5" customHeight="1" x14ac:dyDescent="0.2">
      <c r="A87" s="786"/>
      <c r="B87" s="557"/>
      <c r="C87" s="756"/>
      <c r="D87" s="787"/>
      <c r="E87" s="787"/>
      <c r="F87" s="787"/>
      <c r="G87" s="147"/>
      <c r="H87" s="146"/>
      <c r="I87" s="84"/>
      <c r="J87" s="84"/>
      <c r="K87" s="84"/>
      <c r="L87" s="84"/>
      <c r="M87" s="84"/>
      <c r="N87" s="84"/>
      <c r="O87" s="84"/>
      <c r="P87" s="84"/>
      <c r="Q87" s="109"/>
      <c r="R87" s="506"/>
      <c r="S87" s="54"/>
      <c r="T87" s="54"/>
      <c r="W87" s="54"/>
      <c r="X87" s="54"/>
      <c r="Y87" s="54"/>
      <c r="AB87" s="54"/>
      <c r="AC87" s="54"/>
      <c r="AD87" s="54"/>
      <c r="AG87" s="54"/>
      <c r="AH87" s="54"/>
      <c r="AI87" s="54"/>
    </row>
    <row r="88" spans="1:35" ht="15.75" customHeight="1" x14ac:dyDescent="0.25">
      <c r="A88" s="475" t="s">
        <v>1253</v>
      </c>
      <c r="B88" s="148"/>
      <c r="C88" s="125"/>
      <c r="D88" s="143"/>
      <c r="E88" s="144"/>
      <c r="F88" s="145"/>
      <c r="G88" s="149"/>
      <c r="H88" s="128"/>
      <c r="I88" s="752"/>
      <c r="J88" s="768" t="s">
        <v>1252</v>
      </c>
      <c r="K88" s="769"/>
      <c r="L88" s="770"/>
      <c r="M88" s="771"/>
      <c r="N88" s="772"/>
      <c r="O88" s="770"/>
      <c r="P88" s="752"/>
      <c r="Q88" s="765"/>
      <c r="R88" s="506"/>
      <c r="S88" s="192"/>
      <c r="T88" s="192"/>
      <c r="U88" s="193"/>
      <c r="V88" s="193"/>
      <c r="W88" s="192"/>
      <c r="X88" s="192"/>
      <c r="Y88" s="192"/>
      <c r="Z88" s="193"/>
      <c r="AA88" s="193"/>
      <c r="AB88" s="192"/>
      <c r="AC88" s="192"/>
      <c r="AD88" s="192"/>
      <c r="AE88" s="193"/>
      <c r="AF88" s="193"/>
      <c r="AG88" s="54"/>
      <c r="AH88" s="54"/>
      <c r="AI88" s="54"/>
    </row>
    <row r="89" spans="1:35" s="202" customFormat="1" ht="13.5" customHeight="1" thickBot="1" x14ac:dyDescent="0.25">
      <c r="A89" s="207"/>
      <c r="B89" s="208" t="s">
        <v>286</v>
      </c>
      <c r="C89" s="612" t="s">
        <v>279</v>
      </c>
      <c r="D89" s="613"/>
      <c r="E89" s="209" t="str">
        <f>"    Selected"</f>
        <v xml:space="preserve">    Selected</v>
      </c>
      <c r="F89" s="564"/>
      <c r="G89" s="611" t="s">
        <v>280</v>
      </c>
      <c r="H89" s="611"/>
      <c r="I89" s="773"/>
      <c r="J89" s="774"/>
      <c r="K89" s="775" t="s">
        <v>286</v>
      </c>
      <c r="L89" s="776" t="s">
        <v>279</v>
      </c>
      <c r="M89" s="774"/>
      <c r="N89" s="777" t="str">
        <f>"    Selected"</f>
        <v xml:space="preserve">    Selected</v>
      </c>
      <c r="O89" s="778"/>
      <c r="P89" s="773"/>
      <c r="Q89" s="779"/>
      <c r="R89" s="508"/>
      <c r="S89" s="199"/>
      <c r="T89" s="199"/>
      <c r="U89" s="200"/>
      <c r="V89" s="200"/>
      <c r="W89" s="199"/>
      <c r="X89" s="199"/>
      <c r="Y89" s="199"/>
      <c r="Z89" s="200"/>
      <c r="AA89" s="200"/>
      <c r="AB89" s="199"/>
      <c r="AC89" s="199"/>
      <c r="AD89" s="199"/>
      <c r="AE89" s="200"/>
      <c r="AF89" s="200"/>
      <c r="AG89" s="201"/>
      <c r="AH89" s="201"/>
      <c r="AI89" s="201"/>
    </row>
    <row r="90" spans="1:35" ht="15.75" x14ac:dyDescent="0.3">
      <c r="A90" s="172" t="s">
        <v>1097</v>
      </c>
      <c r="B90" s="185">
        <f>Rcea1/1000</f>
        <v>4.968952380427857</v>
      </c>
      <c r="C90" s="168">
        <f>'Standard Value Calculator'!R27</f>
        <v>4.99</v>
      </c>
      <c r="D90" s="168"/>
      <c r="E90" s="169">
        <v>100</v>
      </c>
      <c r="F90" s="170" t="s">
        <v>54</v>
      </c>
      <c r="G90" s="522">
        <f>Fp1_u</f>
        <v>0.157579151576134</v>
      </c>
      <c r="H90" s="427" t="s">
        <v>594</v>
      </c>
      <c r="I90" s="752"/>
      <c r="J90" s="753" t="s">
        <v>1237</v>
      </c>
      <c r="K90" s="754">
        <f>'Variable Management'!E275/1000</f>
        <v>54.955785844953134</v>
      </c>
      <c r="L90" s="755">
        <f>'Variable Management'!F275/1000</f>
        <v>54.9</v>
      </c>
      <c r="M90" s="756"/>
      <c r="N90" s="169">
        <v>34</v>
      </c>
      <c r="O90" s="764" t="s">
        <v>54</v>
      </c>
      <c r="P90" s="752"/>
      <c r="Q90" s="765"/>
      <c r="R90" s="506"/>
      <c r="S90" s="192"/>
      <c r="T90" s="192"/>
      <c r="U90" s="193"/>
      <c r="V90" s="193"/>
      <c r="W90" s="192"/>
      <c r="X90" s="192"/>
      <c r="Y90" s="192"/>
      <c r="Z90" s="193"/>
      <c r="AA90" s="193"/>
      <c r="AB90" s="192"/>
      <c r="AC90" s="192"/>
      <c r="AD90" s="192"/>
      <c r="AE90" s="193"/>
      <c r="AF90" s="193"/>
      <c r="AG90" s="54"/>
      <c r="AH90" s="54"/>
      <c r="AI90" s="54"/>
    </row>
    <row r="91" spans="1:35" ht="15.75" x14ac:dyDescent="0.3">
      <c r="A91" s="173" t="s">
        <v>1098</v>
      </c>
      <c r="B91" s="486">
        <f>Cc1ea*1000000000</f>
        <v>16.323583906861057</v>
      </c>
      <c r="C91" s="146">
        <f>'Standard Value Calculator'!R28</f>
        <v>14.999999999999998</v>
      </c>
      <c r="D91" s="146"/>
      <c r="E91" s="150">
        <v>100</v>
      </c>
      <c r="F91" s="171" t="s">
        <v>170</v>
      </c>
      <c r="G91" s="428">
        <f>Fz1_u/1000</f>
        <v>1.5915494309189534E-2</v>
      </c>
      <c r="H91" s="429" t="s">
        <v>684</v>
      </c>
      <c r="I91" s="752"/>
      <c r="J91" s="757" t="s">
        <v>1238</v>
      </c>
      <c r="K91" s="758">
        <f>'Variable Management'!E276/0.000000001</f>
        <v>22.139009532121889</v>
      </c>
      <c r="L91" s="759">
        <f>'Variable Management'!F276/0.000000001</f>
        <v>21.999999999999996</v>
      </c>
      <c r="M91" s="756"/>
      <c r="N91" s="150">
        <v>47</v>
      </c>
      <c r="O91" s="766" t="s">
        <v>170</v>
      </c>
      <c r="P91" s="752"/>
      <c r="Q91" s="765"/>
      <c r="R91" s="506"/>
      <c r="S91" s="192"/>
      <c r="T91" s="192"/>
      <c r="U91" s="193"/>
      <c r="V91" s="193"/>
      <c r="W91" s="192"/>
      <c r="X91" s="192"/>
      <c r="Y91" s="192"/>
      <c r="Z91" s="193"/>
      <c r="AA91" s="193"/>
      <c r="AB91" s="192"/>
      <c r="AC91" s="192"/>
      <c r="AD91" s="192"/>
      <c r="AE91" s="193"/>
      <c r="AF91" s="193"/>
      <c r="AG91" s="54"/>
      <c r="AH91" s="54"/>
      <c r="AI91" s="54"/>
    </row>
    <row r="92" spans="1:35" ht="16.5" thickBot="1" x14ac:dyDescent="0.35">
      <c r="A92" s="362" t="s">
        <v>1099</v>
      </c>
      <c r="B92" s="186">
        <f>IF(Cc2ea*1000000000000&lt;0, 0, Cc2ea*1000000000000)</f>
        <v>239.03807122263174</v>
      </c>
      <c r="C92" s="182">
        <f>'Standard Value Calculator'!R29</f>
        <v>220</v>
      </c>
      <c r="D92" s="182"/>
      <c r="E92" s="183">
        <v>1000</v>
      </c>
      <c r="F92" s="184" t="s">
        <v>32</v>
      </c>
      <c r="G92" s="434">
        <f>Fp2_u/1000</f>
        <v>1.5799437757626504</v>
      </c>
      <c r="H92" s="430" t="s">
        <v>685</v>
      </c>
      <c r="I92" s="752"/>
      <c r="J92" s="760" t="s">
        <v>1239</v>
      </c>
      <c r="K92" s="761">
        <f>'Variable Management'!E277/0.000000000001</f>
        <v>181964.46190785113</v>
      </c>
      <c r="L92" s="762">
        <f>'Variable Management'!F277/0.000000000001</f>
        <v>180000</v>
      </c>
      <c r="M92" s="763"/>
      <c r="N92" s="183">
        <v>2200</v>
      </c>
      <c r="O92" s="767" t="s">
        <v>32</v>
      </c>
      <c r="P92" s="752"/>
      <c r="Q92" s="765"/>
      <c r="R92" s="506"/>
      <c r="S92" s="192"/>
      <c r="T92" s="192"/>
      <c r="U92" s="193"/>
      <c r="V92" s="193"/>
      <c r="W92" s="192"/>
      <c r="X92" s="192"/>
      <c r="Y92" s="192"/>
      <c r="Z92" s="193"/>
      <c r="AA92" s="193"/>
      <c r="AB92" s="192"/>
      <c r="AC92" s="192"/>
      <c r="AD92" s="192"/>
      <c r="AE92" s="193"/>
      <c r="AF92" s="193"/>
      <c r="AG92" s="54"/>
      <c r="AH92" s="54"/>
      <c r="AI92" s="54"/>
    </row>
    <row r="93" spans="1:35" ht="13.5" thickBot="1" x14ac:dyDescent="0.25">
      <c r="A93" s="127"/>
      <c r="B93" s="125"/>
      <c r="C93" s="125"/>
      <c r="D93" s="128"/>
      <c r="E93" s="128"/>
      <c r="F93" s="128"/>
      <c r="G93" s="128"/>
      <c r="H93" s="128"/>
      <c r="I93" s="752"/>
      <c r="J93" s="752"/>
      <c r="K93" s="752"/>
      <c r="L93" s="752"/>
      <c r="M93" s="752"/>
      <c r="N93" s="752"/>
      <c r="O93" s="752"/>
      <c r="P93" s="752"/>
      <c r="Q93" s="765"/>
      <c r="R93" s="506"/>
      <c r="S93" s="192"/>
      <c r="T93" s="192"/>
      <c r="U93" s="193"/>
      <c r="V93" s="193"/>
      <c r="W93" s="192"/>
      <c r="X93" s="192"/>
      <c r="Y93" s="192"/>
      <c r="Z93" s="193"/>
      <c r="AA93" s="193"/>
      <c r="AB93" s="192"/>
      <c r="AC93" s="192"/>
      <c r="AD93" s="192"/>
      <c r="AE93" s="193"/>
      <c r="AF93" s="193"/>
      <c r="AG93" s="54"/>
      <c r="AH93" s="54"/>
      <c r="AI93" s="54"/>
    </row>
    <row r="94" spans="1:35" s="87" customFormat="1" ht="18.75" thickBot="1" x14ac:dyDescent="0.3">
      <c r="A94" s="190" t="s">
        <v>284</v>
      </c>
      <c r="B94" s="141"/>
      <c r="C94" s="151"/>
      <c r="D94" s="151"/>
      <c r="E94" s="151"/>
      <c r="F94" s="151"/>
      <c r="G94" s="151"/>
      <c r="H94" s="151"/>
      <c r="I94" s="85"/>
      <c r="J94" s="85"/>
      <c r="K94" s="85"/>
      <c r="L94" s="85"/>
      <c r="M94" s="85"/>
      <c r="N94" s="85"/>
      <c r="O94" s="85"/>
      <c r="P94" s="85"/>
      <c r="Q94" s="86"/>
      <c r="R94" s="509"/>
      <c r="S94" s="194"/>
      <c r="T94" s="194"/>
      <c r="U94" s="195"/>
      <c r="V94" s="195"/>
      <c r="W94" s="194"/>
      <c r="X94" s="194"/>
      <c r="Y94" s="194"/>
      <c r="Z94" s="195"/>
      <c r="AA94" s="195"/>
      <c r="AB94" s="194"/>
      <c r="AC94" s="194"/>
      <c r="AD94" s="194"/>
      <c r="AE94" s="195"/>
      <c r="AF94" s="195"/>
      <c r="AG94" s="55"/>
      <c r="AH94" s="55"/>
      <c r="AI94" s="55"/>
    </row>
    <row r="95" spans="1:35" ht="16.5" customHeight="1" x14ac:dyDescent="0.2">
      <c r="A95" s="189"/>
      <c r="B95" s="138"/>
      <c r="C95" s="128"/>
      <c r="D95" s="128"/>
      <c r="E95" s="128"/>
      <c r="F95" s="128"/>
      <c r="G95" s="128"/>
      <c r="H95" s="128"/>
      <c r="I95" s="84"/>
      <c r="J95" s="84"/>
      <c r="K95" s="84"/>
      <c r="L95" s="84"/>
      <c r="M95" s="84"/>
      <c r="N95" s="84"/>
      <c r="O95" s="84"/>
      <c r="P95" s="84"/>
      <c r="Q95" s="109"/>
      <c r="R95" s="506"/>
      <c r="S95" s="192"/>
      <c r="T95" s="192"/>
      <c r="U95" s="193"/>
      <c r="V95" s="193"/>
      <c r="W95" s="192"/>
      <c r="X95" s="192"/>
      <c r="Y95" s="192"/>
      <c r="Z95" s="193"/>
      <c r="AA95" s="193"/>
      <c r="AB95" s="192"/>
      <c r="AC95" s="192"/>
      <c r="AD95" s="192"/>
      <c r="AE95" s="193"/>
      <c r="AF95" s="193"/>
      <c r="AG95" s="54"/>
      <c r="AH95" s="54"/>
      <c r="AI95" s="54"/>
    </row>
    <row r="96" spans="1:35" ht="19.5" thickBot="1" x14ac:dyDescent="0.35">
      <c r="A96" s="152" t="s">
        <v>226</v>
      </c>
      <c r="B96" s="135"/>
      <c r="C96" s="128"/>
      <c r="D96" s="128"/>
      <c r="E96" s="128"/>
      <c r="F96" s="128"/>
      <c r="G96" s="128"/>
      <c r="H96" s="128"/>
      <c r="I96" s="84"/>
      <c r="J96" s="84"/>
      <c r="K96" s="84"/>
      <c r="L96" s="84"/>
      <c r="M96" s="272" t="s">
        <v>855</v>
      </c>
      <c r="N96" s="609" t="str">
        <f>VIN_nom&amp;"V"</f>
        <v>23.6V</v>
      </c>
      <c r="O96" s="84"/>
      <c r="P96" s="84"/>
      <c r="Q96" s="109"/>
      <c r="R96" s="506"/>
      <c r="S96" s="192"/>
      <c r="T96" s="192"/>
      <c r="U96" s="193"/>
      <c r="V96" s="193"/>
      <c r="W96" s="192"/>
      <c r="X96" s="192"/>
      <c r="Y96" s="192"/>
      <c r="Z96" s="193"/>
      <c r="AA96" s="193"/>
      <c r="AB96" s="192"/>
      <c r="AC96" s="192"/>
      <c r="AD96" s="192"/>
      <c r="AE96" s="193"/>
      <c r="AF96" s="193"/>
      <c r="AG96" s="54"/>
      <c r="AH96" s="54"/>
      <c r="AI96" s="54"/>
    </row>
    <row r="97" spans="1:35" ht="18" customHeight="1" x14ac:dyDescent="0.25">
      <c r="A97" s="174"/>
      <c r="B97" s="175"/>
      <c r="C97" s="176"/>
      <c r="D97" s="203" t="s">
        <v>751</v>
      </c>
      <c r="E97" s="257" t="s">
        <v>1270</v>
      </c>
      <c r="F97" s="176"/>
      <c r="G97" s="177"/>
      <c r="H97" s="128"/>
      <c r="I97" s="84"/>
      <c r="J97" s="84"/>
      <c r="K97" s="84"/>
      <c r="L97" s="84"/>
      <c r="M97" s="84"/>
      <c r="N97" s="84"/>
      <c r="O97" s="84"/>
      <c r="P97" s="84"/>
      <c r="Q97" s="109"/>
      <c r="R97" s="506"/>
      <c r="S97" s="192"/>
      <c r="T97" s="121"/>
      <c r="U97" s="121"/>
      <c r="V97" s="193"/>
      <c r="W97" s="192"/>
      <c r="X97" s="192"/>
      <c r="Y97" s="192"/>
      <c r="Z97" s="193"/>
      <c r="AA97" s="193"/>
      <c r="AB97" s="192"/>
      <c r="AC97" s="192"/>
      <c r="AD97" s="192"/>
      <c r="AE97" s="193"/>
      <c r="AF97" s="193"/>
      <c r="AG97" s="54"/>
      <c r="AH97" s="54"/>
      <c r="AI97" s="54"/>
    </row>
    <row r="98" spans="1:35" ht="14.45" customHeight="1" x14ac:dyDescent="0.2">
      <c r="A98" s="484"/>
      <c r="B98" s="113"/>
      <c r="C98" s="113"/>
      <c r="D98" s="113"/>
      <c r="E98" s="485" t="s">
        <v>724</v>
      </c>
      <c r="F98" s="836" t="s">
        <v>752</v>
      </c>
      <c r="G98" s="837"/>
      <c r="H98" s="128"/>
      <c r="I98" s="84"/>
      <c r="J98" s="84"/>
      <c r="K98" s="84"/>
      <c r="L98" s="84"/>
      <c r="M98" s="84"/>
      <c r="N98" s="84"/>
      <c r="O98" s="84"/>
      <c r="P98" s="84"/>
      <c r="Q98" s="109"/>
      <c r="R98" s="506"/>
      <c r="S98" s="192"/>
      <c r="T98" s="121"/>
      <c r="U98" s="121"/>
      <c r="V98" s="193"/>
      <c r="W98" s="192"/>
      <c r="X98" s="192"/>
      <c r="Y98" s="192"/>
      <c r="Z98" s="193"/>
      <c r="AA98" s="193"/>
      <c r="AB98" s="192"/>
      <c r="AC98" s="192"/>
      <c r="AD98" s="192"/>
      <c r="AE98" s="193"/>
      <c r="AF98" s="193"/>
      <c r="AG98" s="54"/>
      <c r="AH98" s="54"/>
      <c r="AI98" s="54"/>
    </row>
    <row r="99" spans="1:35" ht="14.45" customHeight="1" x14ac:dyDescent="0.25">
      <c r="A99" s="127"/>
      <c r="B99" s="128"/>
      <c r="C99" s="136"/>
      <c r="D99" s="124" t="s">
        <v>343</v>
      </c>
      <c r="E99" s="255">
        <v>4.2</v>
      </c>
      <c r="F99" s="255">
        <v>4.2</v>
      </c>
      <c r="G99" s="163" t="s">
        <v>53</v>
      </c>
      <c r="H99" s="128"/>
      <c r="I99" s="84"/>
      <c r="J99" s="84"/>
      <c r="K99" s="84"/>
      <c r="L99" s="84"/>
      <c r="M99" s="84"/>
      <c r="N99" s="84"/>
      <c r="O99" s="84"/>
      <c r="P99" s="84"/>
      <c r="Q99" s="109"/>
      <c r="R99" s="506"/>
      <c r="S99" s="192"/>
      <c r="T99" s="121"/>
      <c r="U99" s="121"/>
      <c r="V99" s="193"/>
      <c r="W99" s="192"/>
      <c r="X99" s="192"/>
      <c r="Y99" s="192"/>
      <c r="Z99" s="193"/>
      <c r="AA99" s="193"/>
      <c r="AB99" s="192"/>
      <c r="AC99" s="192"/>
      <c r="AD99" s="192"/>
      <c r="AE99" s="193"/>
      <c r="AF99" s="193"/>
      <c r="AG99" s="54"/>
      <c r="AH99" s="54"/>
      <c r="AI99" s="54"/>
    </row>
    <row r="100" spans="1:35" ht="14.45" customHeight="1" x14ac:dyDescent="0.25">
      <c r="A100" s="127"/>
      <c r="B100" s="128"/>
      <c r="C100" s="136"/>
      <c r="D100" s="124" t="s">
        <v>344</v>
      </c>
      <c r="E100" s="129">
        <v>27</v>
      </c>
      <c r="F100" s="129">
        <v>27</v>
      </c>
      <c r="G100" s="163" t="s">
        <v>69</v>
      </c>
      <c r="H100" s="128"/>
      <c r="I100" s="84"/>
      <c r="J100" s="84"/>
      <c r="K100" s="84"/>
      <c r="L100" s="84"/>
      <c r="M100" s="84"/>
      <c r="N100" s="84"/>
      <c r="O100" s="84"/>
      <c r="P100" s="84"/>
      <c r="Q100" s="109"/>
      <c r="R100" s="506"/>
      <c r="S100" s="192"/>
      <c r="T100" s="121"/>
      <c r="U100" s="121"/>
      <c r="V100" s="193"/>
      <c r="W100" s="192"/>
      <c r="X100" s="192"/>
      <c r="Y100" s="192"/>
      <c r="Z100" s="193"/>
      <c r="AA100" s="193"/>
      <c r="AB100" s="192"/>
      <c r="AC100" s="192"/>
      <c r="AD100" s="192"/>
      <c r="AE100" s="193"/>
      <c r="AF100" s="193"/>
      <c r="AG100" s="54"/>
      <c r="AH100" s="54"/>
      <c r="AI100" s="54"/>
    </row>
    <row r="101" spans="1:35" ht="14.45" customHeight="1" x14ac:dyDescent="0.25">
      <c r="A101" s="127"/>
      <c r="B101" s="128"/>
      <c r="C101" s="136"/>
      <c r="D101" s="124" t="s">
        <v>345</v>
      </c>
      <c r="E101" s="129">
        <v>6.2</v>
      </c>
      <c r="F101" s="129">
        <v>6.2</v>
      </c>
      <c r="G101" s="163" t="s">
        <v>69</v>
      </c>
      <c r="H101" s="128"/>
      <c r="I101" s="84"/>
      <c r="J101" s="84"/>
      <c r="K101" s="84"/>
      <c r="L101" s="84"/>
      <c r="M101" s="84"/>
      <c r="N101" s="84"/>
      <c r="O101" s="84"/>
      <c r="P101" s="84"/>
      <c r="Q101" s="109"/>
      <c r="R101" s="506"/>
      <c r="S101" s="192"/>
      <c r="T101" s="121"/>
      <c r="U101" s="121"/>
      <c r="V101" s="193"/>
      <c r="W101" s="192"/>
      <c r="X101" s="192"/>
      <c r="Y101" s="192"/>
      <c r="Z101" s="193"/>
      <c r="AA101" s="193"/>
      <c r="AB101" s="192"/>
      <c r="AC101" s="192"/>
      <c r="AD101" s="192"/>
      <c r="AE101" s="193"/>
      <c r="AF101" s="193"/>
      <c r="AG101" s="54"/>
      <c r="AH101" s="54"/>
      <c r="AI101" s="54"/>
    </row>
    <row r="102" spans="1:35" ht="14.45" customHeight="1" x14ac:dyDescent="0.25">
      <c r="A102" s="127"/>
      <c r="B102" s="128"/>
      <c r="C102" s="136"/>
      <c r="D102" s="124" t="s">
        <v>346</v>
      </c>
      <c r="E102" s="129">
        <v>6.2</v>
      </c>
      <c r="F102" s="129">
        <v>6.2</v>
      </c>
      <c r="G102" s="163" t="s">
        <v>69</v>
      </c>
      <c r="H102" s="128"/>
      <c r="I102" s="84"/>
      <c r="J102" s="84"/>
      <c r="K102" s="84"/>
      <c r="L102" s="84"/>
      <c r="M102" s="84"/>
      <c r="N102" s="84"/>
      <c r="O102" s="84"/>
      <c r="P102" s="84"/>
      <c r="Q102" s="109"/>
      <c r="R102" s="506"/>
      <c r="S102" s="192"/>
      <c r="T102" s="121"/>
      <c r="U102" s="121"/>
      <c r="V102" s="193"/>
      <c r="W102" s="192"/>
      <c r="X102" s="192"/>
      <c r="Y102" s="192"/>
      <c r="Z102" s="193"/>
      <c r="AA102" s="193"/>
      <c r="AB102" s="192"/>
      <c r="AC102" s="192"/>
      <c r="AD102" s="192"/>
      <c r="AE102" s="193"/>
      <c r="AF102" s="193"/>
      <c r="AG102" s="54"/>
      <c r="AH102" s="54"/>
      <c r="AI102" s="54"/>
    </row>
    <row r="103" spans="1:35" ht="14.45" customHeight="1" x14ac:dyDescent="0.25">
      <c r="A103" s="127"/>
      <c r="B103" s="128"/>
      <c r="C103" s="136"/>
      <c r="D103" s="124" t="s">
        <v>347</v>
      </c>
      <c r="E103" s="129">
        <v>4.7</v>
      </c>
      <c r="F103" s="129">
        <v>4.7</v>
      </c>
      <c r="G103" s="163" t="s">
        <v>167</v>
      </c>
      <c r="H103" s="128"/>
      <c r="I103" s="84"/>
      <c r="J103" s="84"/>
      <c r="K103" s="84"/>
      <c r="L103" s="84"/>
      <c r="M103" s="84"/>
      <c r="N103" s="84"/>
      <c r="O103" s="84"/>
      <c r="P103" s="84"/>
      <c r="Q103" s="109"/>
      <c r="R103" s="506"/>
      <c r="S103" s="192"/>
      <c r="T103" s="121"/>
      <c r="U103" s="121"/>
      <c r="V103" s="193"/>
      <c r="W103" s="192"/>
      <c r="X103" s="192"/>
      <c r="Y103" s="192"/>
      <c r="Z103" s="193"/>
      <c r="AA103" s="193"/>
      <c r="AB103" s="192"/>
      <c r="AC103" s="192"/>
      <c r="AD103" s="192"/>
      <c r="AE103" s="193"/>
      <c r="AF103" s="193"/>
      <c r="AG103" s="54"/>
      <c r="AH103" s="54"/>
      <c r="AI103" s="54"/>
    </row>
    <row r="104" spans="1:35" ht="14.45" customHeight="1" x14ac:dyDescent="0.25">
      <c r="A104" s="127"/>
      <c r="B104" s="128"/>
      <c r="C104" s="136"/>
      <c r="D104" s="124" t="s">
        <v>348</v>
      </c>
      <c r="E104" s="129">
        <v>80</v>
      </c>
      <c r="F104" s="129">
        <v>80</v>
      </c>
      <c r="G104" s="163" t="s">
        <v>70</v>
      </c>
      <c r="H104" s="128"/>
      <c r="I104" s="84"/>
      <c r="J104" s="84"/>
      <c r="K104" s="84"/>
      <c r="L104" s="84"/>
      <c r="M104" s="84"/>
      <c r="N104" s="84"/>
      <c r="O104" s="84"/>
      <c r="P104" s="84"/>
      <c r="Q104" s="109"/>
      <c r="R104" s="506"/>
      <c r="S104" s="192"/>
      <c r="T104" s="121"/>
      <c r="U104" s="121"/>
      <c r="V104" s="193"/>
      <c r="W104" s="192"/>
      <c r="X104" s="192"/>
      <c r="Y104" s="192"/>
      <c r="Z104" s="193"/>
      <c r="AA104" s="193"/>
      <c r="AB104" s="192"/>
      <c r="AC104" s="192"/>
      <c r="AD104" s="192"/>
      <c r="AE104" s="193"/>
      <c r="AF104" s="193"/>
      <c r="AG104" s="54"/>
      <c r="AH104" s="54"/>
      <c r="AI104" s="54"/>
    </row>
    <row r="105" spans="1:35" ht="14.45" customHeight="1" x14ac:dyDescent="0.25">
      <c r="A105" s="127"/>
      <c r="B105" s="128"/>
      <c r="C105" s="136"/>
      <c r="D105" s="124" t="s">
        <v>747</v>
      </c>
      <c r="E105" s="129">
        <v>2.2999999999999998</v>
      </c>
      <c r="F105" s="129">
        <v>2.2999999999999998</v>
      </c>
      <c r="G105" s="163" t="s">
        <v>0</v>
      </c>
      <c r="H105" s="128"/>
      <c r="I105" s="84"/>
      <c r="J105" s="84"/>
      <c r="K105" s="84"/>
      <c r="L105" s="84"/>
      <c r="M105" s="84"/>
      <c r="N105" s="84"/>
      <c r="O105" s="84"/>
      <c r="P105" s="84"/>
      <c r="Q105" s="109"/>
      <c r="R105" s="506"/>
      <c r="S105" s="192"/>
      <c r="T105" s="121"/>
      <c r="U105" s="121"/>
      <c r="V105" s="193"/>
      <c r="W105" s="192"/>
      <c r="X105" s="192"/>
      <c r="Y105" s="192"/>
      <c r="Z105" s="193"/>
      <c r="AA105" s="193"/>
      <c r="AB105" s="192"/>
      <c r="AC105" s="192"/>
      <c r="AD105" s="192"/>
      <c r="AE105" s="193"/>
      <c r="AF105" s="193"/>
      <c r="AG105" s="54"/>
      <c r="AH105" s="54"/>
      <c r="AI105" s="54"/>
    </row>
    <row r="106" spans="1:35" ht="14.45" customHeight="1" x14ac:dyDescent="0.25">
      <c r="A106" s="127"/>
      <c r="B106" s="128"/>
      <c r="C106" s="136"/>
      <c r="D106" s="124" t="s">
        <v>744</v>
      </c>
      <c r="E106" s="129">
        <v>1</v>
      </c>
      <c r="F106" s="129">
        <v>1</v>
      </c>
      <c r="G106" s="163" t="s">
        <v>0</v>
      </c>
      <c r="H106" s="128"/>
      <c r="I106" s="84"/>
      <c r="J106" s="84"/>
      <c r="K106" s="84"/>
      <c r="L106" s="84"/>
      <c r="M106" s="84"/>
      <c r="N106" s="84"/>
      <c r="O106" s="84"/>
      <c r="P106" s="84"/>
      <c r="Q106" s="109"/>
      <c r="R106" s="506"/>
      <c r="S106" s="192"/>
      <c r="T106" s="121"/>
      <c r="U106" s="121"/>
      <c r="V106" s="193"/>
      <c r="W106" s="192"/>
      <c r="X106" s="192"/>
      <c r="Y106" s="192"/>
      <c r="Z106" s="193"/>
      <c r="AA106" s="193"/>
      <c r="AB106" s="192"/>
      <c r="AC106" s="192"/>
      <c r="AD106" s="192"/>
      <c r="AE106" s="193"/>
      <c r="AF106" s="193"/>
      <c r="AG106" s="54"/>
      <c r="AH106" s="54"/>
      <c r="AI106" s="54"/>
    </row>
    <row r="107" spans="1:35" ht="14.45" customHeight="1" x14ac:dyDescent="0.25">
      <c r="A107" s="127"/>
      <c r="B107" s="128"/>
      <c r="C107" s="128"/>
      <c r="D107" s="124" t="s">
        <v>746</v>
      </c>
      <c r="E107" s="2"/>
      <c r="F107" s="129">
        <v>20</v>
      </c>
      <c r="G107" s="163" t="s">
        <v>69</v>
      </c>
      <c r="H107" s="128"/>
      <c r="I107" s="84"/>
      <c r="J107" s="84"/>
      <c r="K107" s="84"/>
      <c r="L107" s="84"/>
      <c r="M107" s="84"/>
      <c r="N107" s="84"/>
      <c r="O107" s="84"/>
      <c r="P107" s="84"/>
      <c r="Q107" s="109"/>
      <c r="R107" s="506"/>
      <c r="S107" s="192"/>
      <c r="T107" s="121"/>
      <c r="U107" s="121"/>
      <c r="V107" s="193"/>
      <c r="W107" s="192"/>
      <c r="X107" s="192"/>
      <c r="Y107" s="192"/>
      <c r="Z107" s="193"/>
      <c r="AA107" s="193"/>
      <c r="AB107" s="192"/>
      <c r="AC107" s="192"/>
      <c r="AD107" s="192"/>
      <c r="AE107" s="193"/>
      <c r="AF107" s="193"/>
      <c r="AG107" s="54"/>
      <c r="AH107" s="54"/>
      <c r="AI107" s="54"/>
    </row>
    <row r="108" spans="1:35" ht="14.45" customHeight="1" thickBot="1" x14ac:dyDescent="0.3">
      <c r="A108" s="196"/>
      <c r="B108" s="179"/>
      <c r="C108" s="197"/>
      <c r="D108" s="180" t="s">
        <v>349</v>
      </c>
      <c r="E108" s="251">
        <v>60</v>
      </c>
      <c r="F108" s="251">
        <v>60</v>
      </c>
      <c r="G108" s="181" t="s">
        <v>237</v>
      </c>
      <c r="H108" s="128"/>
      <c r="I108" s="84"/>
      <c r="J108" s="84"/>
      <c r="K108" s="84"/>
      <c r="L108" s="84"/>
      <c r="M108" s="84"/>
      <c r="N108" s="84"/>
      <c r="O108" s="84"/>
      <c r="P108" s="84"/>
      <c r="Q108" s="109"/>
      <c r="R108" s="506"/>
      <c r="S108" s="192"/>
      <c r="T108" s="121"/>
      <c r="U108" s="121"/>
      <c r="V108" s="193"/>
      <c r="W108" s="192"/>
      <c r="X108" s="192"/>
      <c r="Y108" s="192"/>
      <c r="Z108" s="193"/>
      <c r="AA108" s="193"/>
      <c r="AB108" s="192"/>
      <c r="AC108" s="192"/>
      <c r="AD108" s="192"/>
      <c r="AE108" s="193"/>
      <c r="AF108" s="193"/>
      <c r="AG108" s="54"/>
      <c r="AH108" s="54"/>
      <c r="AI108" s="54"/>
    </row>
    <row r="109" spans="1:35" ht="18" customHeight="1" thickBot="1" x14ac:dyDescent="0.25">
      <c r="A109" s="127"/>
      <c r="B109" s="128"/>
      <c r="C109" s="136"/>
      <c r="D109" s="124"/>
      <c r="E109" s="787"/>
      <c r="F109" s="198"/>
      <c r="G109" s="128"/>
      <c r="H109" s="128"/>
      <c r="I109" s="84"/>
      <c r="J109" s="84"/>
      <c r="K109" s="84"/>
      <c r="L109" s="84"/>
      <c r="M109" s="84"/>
      <c r="N109" s="84"/>
      <c r="O109" s="84"/>
      <c r="P109" s="84"/>
      <c r="Q109" s="109"/>
      <c r="R109" s="506"/>
      <c r="S109" s="192"/>
      <c r="T109" s="121"/>
      <c r="U109" s="121"/>
      <c r="V109" s="193"/>
      <c r="W109" s="192"/>
      <c r="X109" s="192"/>
      <c r="Y109" s="192"/>
      <c r="Z109" s="193"/>
      <c r="AA109" s="193"/>
      <c r="AB109" s="192"/>
      <c r="AC109" s="192"/>
      <c r="AD109" s="192"/>
      <c r="AE109" s="193"/>
      <c r="AF109" s="193"/>
      <c r="AG109" s="54"/>
      <c r="AH109" s="54"/>
      <c r="AI109" s="54"/>
    </row>
    <row r="110" spans="1:35" ht="14.45" customHeight="1" x14ac:dyDescent="0.25">
      <c r="A110" s="174"/>
      <c r="B110" s="175"/>
      <c r="C110" s="178"/>
      <c r="D110" s="203" t="s">
        <v>750</v>
      </c>
      <c r="E110" s="257" t="s">
        <v>1270</v>
      </c>
      <c r="F110" s="176"/>
      <c r="G110" s="177"/>
      <c r="H110" s="128"/>
      <c r="I110" s="84"/>
      <c r="J110" s="84"/>
      <c r="K110" s="84"/>
      <c r="L110" s="84"/>
      <c r="M110" s="84"/>
      <c r="N110" s="84"/>
      <c r="O110" s="84"/>
      <c r="P110" s="84"/>
      <c r="Q110" s="109"/>
      <c r="R110" s="506"/>
      <c r="S110" s="192"/>
      <c r="T110" s="121"/>
      <c r="U110" s="121"/>
      <c r="V110" s="193"/>
      <c r="W110" s="192"/>
      <c r="X110" s="192"/>
      <c r="Y110" s="192"/>
      <c r="Z110" s="193"/>
      <c r="AA110" s="193"/>
      <c r="AB110" s="192"/>
      <c r="AC110" s="192"/>
      <c r="AD110" s="192"/>
      <c r="AE110" s="193"/>
      <c r="AF110" s="193"/>
      <c r="AG110" s="54"/>
      <c r="AH110" s="54"/>
      <c r="AI110" s="54"/>
    </row>
    <row r="111" spans="1:35" ht="14.45" customHeight="1" x14ac:dyDescent="0.2">
      <c r="A111" s="484"/>
      <c r="B111" s="113"/>
      <c r="C111" s="113"/>
      <c r="D111" s="113"/>
      <c r="E111" s="495" t="s">
        <v>724</v>
      </c>
      <c r="F111" s="494" t="s">
        <v>752</v>
      </c>
      <c r="G111" s="263"/>
      <c r="H111" s="128"/>
      <c r="I111" s="84"/>
      <c r="J111" s="84"/>
      <c r="K111" s="84"/>
      <c r="L111" s="84"/>
      <c r="M111" s="84"/>
      <c r="N111" s="84"/>
      <c r="O111" s="84"/>
      <c r="P111" s="84"/>
      <c r="Q111" s="109"/>
      <c r="R111" s="506"/>
      <c r="S111" s="192"/>
      <c r="T111" s="121"/>
      <c r="U111" s="121"/>
      <c r="V111" s="193"/>
      <c r="W111" s="192"/>
      <c r="X111" s="192"/>
      <c r="Y111" s="192"/>
      <c r="Z111" s="193"/>
      <c r="AA111" s="193"/>
      <c r="AB111" s="192"/>
      <c r="AC111" s="192"/>
      <c r="AD111" s="192"/>
      <c r="AE111" s="193"/>
      <c r="AF111" s="193"/>
      <c r="AG111" s="54"/>
      <c r="AH111" s="54"/>
      <c r="AI111" s="54"/>
    </row>
    <row r="112" spans="1:35" ht="14.45" customHeight="1" x14ac:dyDescent="0.25">
      <c r="A112" s="127"/>
      <c r="B112" s="128"/>
      <c r="C112" s="128"/>
      <c r="D112" s="124" t="s">
        <v>343</v>
      </c>
      <c r="E112" s="255">
        <v>4.2</v>
      </c>
      <c r="F112" s="255">
        <v>4.2</v>
      </c>
      <c r="G112" s="163" t="s">
        <v>53</v>
      </c>
      <c r="H112" s="128"/>
      <c r="I112" s="84"/>
      <c r="J112" s="84"/>
      <c r="K112" s="84"/>
      <c r="L112" s="84"/>
      <c r="M112" s="84"/>
      <c r="N112" s="84"/>
      <c r="O112" s="84"/>
      <c r="P112" s="84"/>
      <c r="Q112" s="109"/>
      <c r="R112" s="506"/>
      <c r="S112" s="192"/>
      <c r="T112" s="121"/>
      <c r="U112" s="121"/>
      <c r="V112" s="193"/>
      <c r="W112" s="192"/>
      <c r="X112" s="192"/>
      <c r="Y112" s="192"/>
      <c r="Z112" s="193"/>
      <c r="AA112" s="193"/>
      <c r="AB112" s="192"/>
      <c r="AC112" s="192"/>
      <c r="AD112" s="192"/>
      <c r="AE112" s="193"/>
      <c r="AF112" s="193"/>
      <c r="AG112" s="54"/>
      <c r="AH112" s="54"/>
      <c r="AI112" s="54"/>
    </row>
    <row r="113" spans="1:35" ht="14.45" customHeight="1" x14ac:dyDescent="0.25">
      <c r="A113" s="127"/>
      <c r="B113" s="128"/>
      <c r="C113" s="128"/>
      <c r="D113" s="124" t="s">
        <v>344</v>
      </c>
      <c r="E113" s="129">
        <v>27</v>
      </c>
      <c r="F113" s="129">
        <v>27</v>
      </c>
      <c r="G113" s="163" t="s">
        <v>69</v>
      </c>
      <c r="H113" s="128"/>
      <c r="I113" s="84"/>
      <c r="J113" s="84"/>
      <c r="K113" s="84"/>
      <c r="L113" s="84"/>
      <c r="M113" s="84"/>
      <c r="N113" s="84"/>
      <c r="O113" s="84"/>
      <c r="P113" s="84"/>
      <c r="Q113" s="109"/>
      <c r="R113" s="506"/>
      <c r="S113" s="192"/>
      <c r="T113" s="121"/>
      <c r="U113" s="121"/>
      <c r="V113" s="193"/>
      <c r="W113" s="192"/>
      <c r="X113" s="192"/>
      <c r="Y113" s="192"/>
      <c r="Z113" s="193"/>
      <c r="AA113" s="193"/>
      <c r="AB113" s="192"/>
      <c r="AC113" s="192"/>
      <c r="AD113" s="192"/>
      <c r="AE113" s="193"/>
      <c r="AF113" s="193"/>
      <c r="AG113" s="54"/>
      <c r="AH113" s="54"/>
      <c r="AI113" s="54"/>
    </row>
    <row r="114" spans="1:35" ht="14.45" customHeight="1" x14ac:dyDescent="0.25">
      <c r="A114" s="127"/>
      <c r="B114" s="128"/>
      <c r="C114" s="136"/>
      <c r="D114" s="124" t="s">
        <v>345</v>
      </c>
      <c r="E114" s="129">
        <v>6.2</v>
      </c>
      <c r="F114" s="129">
        <v>6.2</v>
      </c>
      <c r="G114" s="163" t="s">
        <v>69</v>
      </c>
      <c r="H114" s="128"/>
      <c r="I114" s="84"/>
      <c r="J114" s="84"/>
      <c r="K114" s="84"/>
      <c r="L114" s="84"/>
      <c r="M114" s="84"/>
      <c r="N114" s="84"/>
      <c r="O114" s="84"/>
      <c r="P114" s="84"/>
      <c r="Q114" s="109"/>
      <c r="R114" s="506"/>
      <c r="S114" s="192"/>
      <c r="T114" s="121"/>
      <c r="U114" s="121"/>
      <c r="V114" s="193"/>
      <c r="W114" s="192"/>
      <c r="X114" s="192"/>
      <c r="Y114" s="192"/>
      <c r="Z114" s="193"/>
      <c r="AA114" s="193"/>
      <c r="AB114" s="192"/>
      <c r="AC114" s="192"/>
      <c r="AD114" s="192"/>
      <c r="AE114" s="193"/>
      <c r="AF114" s="193"/>
      <c r="AG114" s="54"/>
      <c r="AH114" s="54"/>
      <c r="AI114" s="54"/>
    </row>
    <row r="115" spans="1:35" ht="14.45" customHeight="1" x14ac:dyDescent="0.25">
      <c r="A115" s="127"/>
      <c r="B115" s="128"/>
      <c r="C115" s="136"/>
      <c r="D115" s="124" t="s">
        <v>346</v>
      </c>
      <c r="E115" s="129">
        <v>6.2</v>
      </c>
      <c r="F115" s="129">
        <v>6.2</v>
      </c>
      <c r="G115" s="163" t="s">
        <v>69</v>
      </c>
      <c r="H115" s="128"/>
      <c r="I115" s="84"/>
      <c r="J115" s="84"/>
      <c r="K115" s="84"/>
      <c r="L115" s="84"/>
      <c r="M115" s="84"/>
      <c r="N115" s="84"/>
      <c r="O115" s="84"/>
      <c r="P115" s="84"/>
      <c r="Q115" s="109"/>
      <c r="R115" s="506"/>
      <c r="S115" s="192"/>
      <c r="T115" s="121"/>
      <c r="U115" s="121"/>
      <c r="V115" s="193"/>
      <c r="W115" s="192"/>
      <c r="X115" s="192"/>
      <c r="Y115" s="192"/>
      <c r="Z115" s="193"/>
      <c r="AA115" s="193"/>
      <c r="AB115" s="192"/>
      <c r="AC115" s="192"/>
      <c r="AD115" s="192"/>
      <c r="AE115" s="193"/>
      <c r="AF115" s="193"/>
      <c r="AG115" s="54"/>
      <c r="AH115" s="54"/>
      <c r="AI115" s="54"/>
    </row>
    <row r="116" spans="1:35" ht="14.45" customHeight="1" x14ac:dyDescent="0.25">
      <c r="A116" s="127"/>
      <c r="B116" s="128"/>
      <c r="C116" s="136"/>
      <c r="D116" s="124" t="s">
        <v>347</v>
      </c>
      <c r="E116" s="129">
        <v>4.7</v>
      </c>
      <c r="F116" s="129">
        <v>4.7</v>
      </c>
      <c r="G116" s="163" t="s">
        <v>167</v>
      </c>
      <c r="H116" s="128"/>
      <c r="I116" s="84"/>
      <c r="J116" s="84"/>
      <c r="K116" s="84"/>
      <c r="L116" s="84"/>
      <c r="M116" s="84"/>
      <c r="N116" s="84"/>
      <c r="O116" s="84"/>
      <c r="P116" s="84"/>
      <c r="Q116" s="109"/>
      <c r="R116" s="506"/>
      <c r="S116" s="192"/>
      <c r="T116" s="121"/>
      <c r="U116" s="121"/>
      <c r="V116" s="193"/>
      <c r="W116" s="192"/>
      <c r="X116" s="192"/>
      <c r="Y116" s="192"/>
      <c r="Z116" s="193"/>
      <c r="AA116" s="193"/>
      <c r="AB116" s="192"/>
      <c r="AC116" s="192"/>
      <c r="AD116" s="192"/>
      <c r="AE116" s="193"/>
      <c r="AF116" s="193"/>
      <c r="AG116" s="54"/>
      <c r="AH116" s="54"/>
      <c r="AI116" s="54"/>
    </row>
    <row r="117" spans="1:35" ht="14.45" customHeight="1" x14ac:dyDescent="0.25">
      <c r="A117" s="127"/>
      <c r="B117" s="128"/>
      <c r="C117" s="136"/>
      <c r="D117" s="124" t="s">
        <v>348</v>
      </c>
      <c r="E117" s="129">
        <v>80</v>
      </c>
      <c r="F117" s="129">
        <v>80</v>
      </c>
      <c r="G117" s="163" t="s">
        <v>70</v>
      </c>
      <c r="H117" s="128"/>
      <c r="I117" s="84"/>
      <c r="J117" s="84"/>
      <c r="K117" s="84"/>
      <c r="L117" s="84"/>
      <c r="M117" s="84"/>
      <c r="N117" s="84"/>
      <c r="O117" s="84"/>
      <c r="P117" s="84"/>
      <c r="Q117" s="109"/>
      <c r="R117" s="506"/>
      <c r="S117" s="54"/>
      <c r="T117" s="6"/>
      <c r="U117" s="6"/>
      <c r="W117" s="54"/>
      <c r="X117" s="54"/>
      <c r="Y117" s="54"/>
      <c r="AB117" s="54"/>
      <c r="AC117" s="54"/>
      <c r="AD117" s="54"/>
      <c r="AG117" s="54"/>
      <c r="AH117" s="54"/>
      <c r="AI117" s="54"/>
    </row>
    <row r="118" spans="1:35" ht="14.45" customHeight="1" x14ac:dyDescent="0.25">
      <c r="A118" s="127"/>
      <c r="B118" s="128"/>
      <c r="C118" s="136"/>
      <c r="D118" s="124" t="s">
        <v>747</v>
      </c>
      <c r="E118" s="129">
        <v>2.2999999999999998</v>
      </c>
      <c r="F118" s="129">
        <v>2.2999999999999998</v>
      </c>
      <c r="G118" s="163" t="s">
        <v>0</v>
      </c>
      <c r="H118" s="128"/>
      <c r="I118" s="84"/>
      <c r="J118" s="84"/>
      <c r="K118" s="84"/>
      <c r="L118" s="84"/>
      <c r="M118" s="84"/>
      <c r="N118" s="84"/>
      <c r="O118" s="84"/>
      <c r="P118" s="84"/>
      <c r="Q118" s="109"/>
      <c r="R118" s="506"/>
      <c r="S118" s="54"/>
      <c r="T118" s="54"/>
      <c r="W118" s="54"/>
      <c r="X118" s="54"/>
      <c r="Y118" s="54"/>
      <c r="AB118" s="54"/>
      <c r="AC118" s="54"/>
      <c r="AD118" s="54"/>
      <c r="AG118" s="54"/>
      <c r="AH118" s="54"/>
      <c r="AI118" s="54"/>
    </row>
    <row r="119" spans="1:35" ht="14.45" customHeight="1" x14ac:dyDescent="0.25">
      <c r="A119" s="127"/>
      <c r="B119" s="128"/>
      <c r="C119" s="128"/>
      <c r="D119" s="124" t="s">
        <v>744</v>
      </c>
      <c r="E119" s="129">
        <v>1</v>
      </c>
      <c r="F119" s="129">
        <v>1</v>
      </c>
      <c r="G119" s="163" t="s">
        <v>0</v>
      </c>
      <c r="H119" s="128"/>
      <c r="I119" s="84"/>
      <c r="J119" s="84"/>
      <c r="K119" s="84"/>
      <c r="L119" s="84"/>
      <c r="M119" s="84"/>
      <c r="N119" s="84"/>
      <c r="O119" s="84"/>
      <c r="P119" s="84"/>
      <c r="Q119" s="109"/>
      <c r="R119" s="506"/>
      <c r="S119" s="54"/>
      <c r="T119" s="54"/>
      <c r="W119" s="54"/>
      <c r="X119" s="54"/>
      <c r="Y119" s="54"/>
      <c r="AB119" s="54"/>
      <c r="AC119" s="54"/>
      <c r="AD119" s="54"/>
      <c r="AG119" s="54"/>
      <c r="AH119" s="54"/>
      <c r="AI119" s="54"/>
    </row>
    <row r="120" spans="1:35" ht="14.45" customHeight="1" x14ac:dyDescent="0.25">
      <c r="A120" s="127"/>
      <c r="B120" s="128"/>
      <c r="C120" s="128"/>
      <c r="D120" s="124" t="s">
        <v>746</v>
      </c>
      <c r="E120" s="129">
        <v>20</v>
      </c>
      <c r="F120" s="2"/>
      <c r="G120" s="163" t="s">
        <v>69</v>
      </c>
      <c r="H120" s="128"/>
      <c r="I120" s="84"/>
      <c r="J120" s="84"/>
      <c r="K120" s="84"/>
      <c r="L120" s="84"/>
      <c r="M120" s="84"/>
      <c r="N120" s="84"/>
      <c r="O120" s="84"/>
      <c r="P120" s="84"/>
      <c r="Q120" s="109"/>
      <c r="R120" s="506"/>
      <c r="S120" s="54"/>
      <c r="T120" s="54"/>
      <c r="W120" s="54"/>
      <c r="X120" s="54"/>
      <c r="Y120" s="54"/>
      <c r="AB120" s="54"/>
      <c r="AC120" s="54"/>
      <c r="AD120" s="54"/>
      <c r="AG120" s="54"/>
      <c r="AH120" s="54"/>
      <c r="AI120" s="54"/>
    </row>
    <row r="121" spans="1:35" ht="14.25" customHeight="1" thickBot="1" x14ac:dyDescent="0.3">
      <c r="A121" s="196"/>
      <c r="B121" s="179"/>
      <c r="C121" s="179"/>
      <c r="D121" s="180" t="s">
        <v>349</v>
      </c>
      <c r="E121" s="251">
        <v>60</v>
      </c>
      <c r="F121" s="251">
        <v>60</v>
      </c>
      <c r="G121" s="181" t="s">
        <v>237</v>
      </c>
      <c r="H121" s="128"/>
      <c r="I121" s="84"/>
      <c r="J121" s="84"/>
      <c r="K121" s="84"/>
      <c r="L121" s="84"/>
      <c r="M121" s="84"/>
      <c r="N121" s="84"/>
      <c r="O121" s="84"/>
      <c r="P121" s="84"/>
      <c r="Q121" s="109"/>
      <c r="R121" s="506"/>
      <c r="S121" s="54"/>
      <c r="T121" s="54"/>
      <c r="W121" s="54"/>
      <c r="X121" s="54"/>
      <c r="Y121" s="54"/>
      <c r="AB121" s="54"/>
      <c r="AC121" s="54"/>
      <c r="AD121" s="54"/>
      <c r="AG121" s="54"/>
      <c r="AH121" s="54"/>
      <c r="AI121" s="54"/>
    </row>
    <row r="122" spans="1:35" ht="14.45" customHeight="1" thickBot="1" x14ac:dyDescent="0.25">
      <c r="A122" s="127"/>
      <c r="B122" s="128"/>
      <c r="C122" s="128"/>
      <c r="D122" s="124"/>
      <c r="E122" s="591"/>
      <c r="F122" s="198"/>
      <c r="G122" s="128"/>
      <c r="H122" s="128"/>
      <c r="I122" s="88"/>
      <c r="J122" s="89"/>
      <c r="K122" s="84"/>
      <c r="L122" s="84"/>
      <c r="M122" s="84"/>
      <c r="N122" s="84"/>
      <c r="O122" s="84"/>
      <c r="P122" s="84"/>
      <c r="Q122" s="109"/>
      <c r="R122" s="506"/>
      <c r="S122" s="54"/>
      <c r="T122" s="54"/>
      <c r="W122" s="54"/>
      <c r="X122" s="54"/>
      <c r="Y122" s="54"/>
      <c r="AB122" s="54"/>
      <c r="AC122" s="54"/>
      <c r="AD122" s="54"/>
      <c r="AG122" s="54"/>
      <c r="AH122" s="54"/>
      <c r="AI122" s="54"/>
    </row>
    <row r="123" spans="1:35" ht="14.45" customHeight="1" x14ac:dyDescent="0.2">
      <c r="A123" s="487" t="s">
        <v>683</v>
      </c>
      <c r="B123" s="472"/>
      <c r="C123" s="473"/>
      <c r="D123" s="487"/>
      <c r="E123" s="492" t="s">
        <v>743</v>
      </c>
      <c r="F123" s="493" t="s">
        <v>753</v>
      </c>
      <c r="G123" s="474"/>
      <c r="H123" s="128"/>
      <c r="I123" s="84"/>
      <c r="J123" s="84"/>
      <c r="K123" s="84"/>
      <c r="L123" s="84"/>
      <c r="M123" s="84"/>
      <c r="N123" s="84"/>
      <c r="O123" s="84"/>
      <c r="P123" s="84"/>
      <c r="Q123" s="109"/>
      <c r="R123" s="506"/>
      <c r="S123" s="54"/>
      <c r="T123" s="54"/>
      <c r="W123" s="54"/>
      <c r="X123" s="54"/>
      <c r="Y123" s="54"/>
      <c r="AB123" s="54"/>
      <c r="AC123" s="54"/>
      <c r="AD123" s="54"/>
      <c r="AG123" s="54"/>
      <c r="AH123" s="54"/>
      <c r="AI123" s="54"/>
    </row>
    <row r="124" spans="1:35" ht="14.45" customHeight="1" x14ac:dyDescent="0.25">
      <c r="A124" s="127"/>
      <c r="B124" s="128"/>
      <c r="C124" s="128"/>
      <c r="D124" s="124" t="s">
        <v>748</v>
      </c>
      <c r="E124" s="252">
        <v>0</v>
      </c>
      <c r="F124" s="252">
        <v>0</v>
      </c>
      <c r="G124" s="163" t="s">
        <v>0</v>
      </c>
      <c r="H124" s="128"/>
      <c r="I124" s="84"/>
      <c r="J124" s="84"/>
      <c r="K124" s="84"/>
      <c r="L124" s="84"/>
      <c r="M124" s="84"/>
      <c r="N124" s="84"/>
      <c r="O124" s="84"/>
      <c r="P124" s="84"/>
      <c r="Q124" s="109"/>
      <c r="R124" s="506"/>
      <c r="S124" s="54"/>
      <c r="T124" s="54"/>
      <c r="W124" s="54"/>
      <c r="X124" s="54"/>
      <c r="Y124" s="54"/>
      <c r="AB124" s="54"/>
      <c r="AC124" s="54"/>
      <c r="AD124" s="54"/>
      <c r="AG124" s="54"/>
      <c r="AH124" s="54"/>
      <c r="AI124" s="54"/>
    </row>
    <row r="125" spans="1:35" ht="14.45" customHeight="1" thickBot="1" x14ac:dyDescent="0.3">
      <c r="A125" s="196"/>
      <c r="B125" s="179"/>
      <c r="C125" s="179"/>
      <c r="D125" s="180" t="s">
        <v>745</v>
      </c>
      <c r="E125" s="253">
        <v>0</v>
      </c>
      <c r="F125" s="253">
        <v>0</v>
      </c>
      <c r="G125" s="181" t="s">
        <v>69</v>
      </c>
      <c r="H125" s="128"/>
      <c r="I125" s="84"/>
      <c r="J125" s="84"/>
      <c r="K125" s="84"/>
      <c r="L125" s="84"/>
      <c r="M125" s="84"/>
      <c r="N125" s="84"/>
      <c r="O125" s="84"/>
      <c r="P125" s="84"/>
      <c r="Q125" s="109"/>
      <c r="R125" s="506"/>
      <c r="S125" s="54"/>
      <c r="T125" s="54"/>
      <c r="W125" s="54"/>
      <c r="X125" s="54"/>
      <c r="Y125" s="54"/>
      <c r="AB125" s="54"/>
      <c r="AC125" s="54"/>
      <c r="AD125" s="54"/>
      <c r="AG125" s="54"/>
      <c r="AH125" s="54"/>
      <c r="AI125" s="54"/>
    </row>
    <row r="126" spans="1:35" ht="13.5" thickBot="1" x14ac:dyDescent="0.25">
      <c r="A126" s="160"/>
      <c r="B126" s="161"/>
      <c r="C126" s="161"/>
      <c r="D126" s="161"/>
      <c r="E126" s="204"/>
      <c r="F126" s="161"/>
      <c r="G126" s="161"/>
      <c r="H126" s="161"/>
      <c r="I126" s="205"/>
      <c r="J126" s="205"/>
      <c r="K126" s="205"/>
      <c r="L126" s="205"/>
      <c r="M126" s="205"/>
      <c r="N126" s="205"/>
      <c r="O126" s="205"/>
      <c r="P126" s="205"/>
      <c r="Q126" s="206"/>
      <c r="R126" s="506"/>
      <c r="S126" s="54"/>
      <c r="T126" s="54"/>
      <c r="W126" s="54"/>
      <c r="X126" s="54"/>
      <c r="Y126" s="54"/>
      <c r="AB126" s="54"/>
      <c r="AC126" s="54"/>
      <c r="AD126" s="54"/>
      <c r="AG126" s="54"/>
      <c r="AH126" s="54"/>
      <c r="AI126" s="54"/>
    </row>
    <row r="127" spans="1:35" x14ac:dyDescent="0.2">
      <c r="A127" s="503"/>
      <c r="B127" s="504"/>
      <c r="C127" s="505"/>
      <c r="D127" s="505"/>
      <c r="E127" s="505"/>
      <c r="F127" s="505"/>
      <c r="G127" s="505"/>
      <c r="H127" s="505"/>
      <c r="I127" s="505"/>
      <c r="J127" s="505"/>
      <c r="K127" s="505"/>
      <c r="L127" s="505"/>
      <c r="M127" s="505"/>
      <c r="N127" s="505"/>
      <c r="O127" s="505"/>
      <c r="P127" s="505"/>
      <c r="Q127" s="505"/>
      <c r="R127" s="506"/>
      <c r="S127" s="54"/>
      <c r="T127" s="54"/>
      <c r="W127" s="54"/>
      <c r="X127" s="54"/>
      <c r="Y127" s="54"/>
      <c r="AB127" s="54"/>
      <c r="AC127" s="54"/>
      <c r="AD127" s="54"/>
      <c r="AG127" s="54"/>
      <c r="AH127" s="54"/>
      <c r="AI127" s="54"/>
    </row>
    <row r="128" spans="1:35" x14ac:dyDescent="0.2">
      <c r="A128" s="80"/>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R457" s="54"/>
      <c r="S457" s="54"/>
      <c r="T457" s="54"/>
      <c r="W457" s="54"/>
      <c r="X457" s="54"/>
      <c r="Y457" s="54"/>
      <c r="AB457" s="54"/>
      <c r="AC457" s="54"/>
      <c r="AD457" s="54"/>
      <c r="AG457" s="54"/>
      <c r="AH457" s="54"/>
      <c r="AI457" s="54"/>
    </row>
    <row r="458" spans="18:35" x14ac:dyDescent="0.2">
      <c r="R458" s="54"/>
      <c r="S458" s="54"/>
      <c r="T458" s="54"/>
      <c r="W458" s="54"/>
      <c r="X458" s="54"/>
      <c r="Y458" s="54"/>
      <c r="AB458" s="54"/>
      <c r="AC458" s="54"/>
      <c r="AD458" s="54"/>
      <c r="AG458" s="54"/>
      <c r="AH458" s="54"/>
      <c r="AI458" s="54"/>
    </row>
    <row r="459" spans="18:35" x14ac:dyDescent="0.2">
      <c r="R459" s="54"/>
      <c r="S459" s="54"/>
      <c r="T459" s="54"/>
      <c r="W459" s="54"/>
      <c r="X459" s="54"/>
      <c r="Y459" s="54"/>
      <c r="AB459" s="54"/>
      <c r="AC459" s="54"/>
      <c r="AD459" s="54"/>
      <c r="AG459" s="54"/>
      <c r="AH459" s="54"/>
      <c r="AI459" s="54"/>
    </row>
    <row r="460" spans="18:35" x14ac:dyDescent="0.2">
      <c r="R460" s="54"/>
      <c r="S460" s="54"/>
      <c r="T460" s="54"/>
      <c r="W460" s="54"/>
      <c r="X460" s="54"/>
      <c r="Y460" s="54"/>
      <c r="AB460" s="54"/>
      <c r="AC460" s="54"/>
      <c r="AD460" s="54"/>
      <c r="AG460" s="54"/>
      <c r="AH460" s="54"/>
      <c r="AI460" s="54"/>
    </row>
    <row r="461" spans="18:35" x14ac:dyDescent="0.2">
      <c r="R461" s="54"/>
      <c r="S461" s="54"/>
      <c r="T461" s="54"/>
      <c r="W461" s="54"/>
      <c r="X461" s="54"/>
      <c r="Y461" s="54"/>
      <c r="AB461" s="54"/>
      <c r="AC461" s="54"/>
      <c r="AD461" s="54"/>
      <c r="AG461" s="54"/>
      <c r="AH461" s="54"/>
      <c r="AI461" s="54"/>
    </row>
    <row r="462" spans="18:35" x14ac:dyDescent="0.2">
      <c r="R462" s="54"/>
      <c r="S462" s="54"/>
      <c r="T462" s="54"/>
      <c r="W462" s="54"/>
      <c r="X462" s="54"/>
      <c r="Y462" s="54"/>
      <c r="AB462" s="54"/>
      <c r="AC462" s="54"/>
      <c r="AD462" s="54"/>
      <c r="AG462" s="54"/>
      <c r="AH462" s="54"/>
      <c r="AI462" s="54"/>
    </row>
    <row r="463" spans="18:35" x14ac:dyDescent="0.2">
      <c r="R463" s="54"/>
      <c r="S463" s="54"/>
      <c r="T463" s="54"/>
      <c r="W463" s="54"/>
      <c r="X463" s="54"/>
      <c r="Y463" s="54"/>
      <c r="AB463" s="54"/>
      <c r="AC463" s="54"/>
      <c r="AD463" s="54"/>
      <c r="AG463" s="54"/>
      <c r="AH463" s="54"/>
      <c r="AI463" s="54"/>
    </row>
    <row r="464" spans="18:35" x14ac:dyDescent="0.2">
      <c r="R464" s="54"/>
      <c r="S464" s="54"/>
      <c r="T464" s="54"/>
      <c r="W464" s="54"/>
      <c r="X464" s="54"/>
      <c r="Y464" s="54"/>
      <c r="AB464" s="54"/>
      <c r="AC464" s="54"/>
      <c r="AD464" s="54"/>
      <c r="AG464" s="54"/>
      <c r="AH464" s="54"/>
      <c r="AI464" s="54"/>
    </row>
    <row r="465" spans="18:35" x14ac:dyDescent="0.2">
      <c r="R465" s="54"/>
      <c r="S465" s="54"/>
      <c r="T465" s="54"/>
      <c r="W465" s="54"/>
      <c r="X465" s="54"/>
      <c r="Y465" s="54"/>
      <c r="AB465" s="54"/>
      <c r="AC465" s="54"/>
      <c r="AD465" s="54"/>
      <c r="AG465" s="54"/>
      <c r="AH465" s="54"/>
      <c r="AI465" s="54"/>
    </row>
    <row r="466" spans="18:35" x14ac:dyDescent="0.2">
      <c r="R466" s="54"/>
      <c r="S466" s="54"/>
      <c r="T466" s="54"/>
      <c r="W466" s="54"/>
      <c r="X466" s="54"/>
      <c r="Y466" s="54"/>
      <c r="AB466" s="54"/>
      <c r="AC466" s="54"/>
      <c r="AD466" s="54"/>
      <c r="AG466" s="54"/>
      <c r="AH466" s="54"/>
      <c r="AI466" s="54"/>
    </row>
    <row r="467" spans="18:35" x14ac:dyDescent="0.2">
      <c r="R467" s="54"/>
      <c r="S467" s="54"/>
      <c r="T467" s="54"/>
      <c r="W467" s="54"/>
      <c r="X467" s="54"/>
      <c r="Y467" s="54"/>
      <c r="AB467" s="54"/>
      <c r="AC467" s="54"/>
      <c r="AD467" s="54"/>
      <c r="AG467" s="54"/>
      <c r="AH467" s="54"/>
      <c r="AI467" s="54"/>
    </row>
    <row r="468" spans="18:35" x14ac:dyDescent="0.2">
      <c r="R468" s="54"/>
      <c r="S468" s="54"/>
      <c r="T468" s="54"/>
      <c r="W468" s="54"/>
      <c r="X468" s="54"/>
      <c r="Y468" s="54"/>
      <c r="AB468" s="54"/>
      <c r="AC468" s="54"/>
      <c r="AD468" s="54"/>
      <c r="AG468" s="54"/>
      <c r="AH468" s="54"/>
      <c r="AI468" s="54"/>
    </row>
    <row r="469" spans="18:35" x14ac:dyDescent="0.2">
      <c r="R469" s="54"/>
      <c r="S469" s="54"/>
      <c r="T469" s="54"/>
      <c r="W469" s="54"/>
      <c r="X469" s="54"/>
      <c r="Y469" s="54"/>
      <c r="AB469" s="54"/>
      <c r="AC469" s="54"/>
      <c r="AD469" s="54"/>
      <c r="AG469" s="54"/>
      <c r="AH469" s="54"/>
      <c r="AI469" s="54"/>
    </row>
    <row r="470" spans="18:35" x14ac:dyDescent="0.2">
      <c r="R470" s="54"/>
      <c r="S470" s="54"/>
      <c r="T470" s="54"/>
      <c r="W470" s="54"/>
      <c r="X470" s="54"/>
      <c r="Y470" s="54"/>
      <c r="AB470" s="54"/>
      <c r="AC470" s="54"/>
      <c r="AD470" s="54"/>
      <c r="AG470" s="54"/>
      <c r="AH470" s="54"/>
      <c r="AI470" s="54"/>
    </row>
    <row r="471" spans="18:35" x14ac:dyDescent="0.2">
      <c r="R471" s="54"/>
      <c r="S471" s="54"/>
      <c r="T471" s="54"/>
      <c r="W471" s="54"/>
      <c r="X471" s="54"/>
      <c r="Y471" s="54"/>
      <c r="AB471" s="54"/>
      <c r="AC471" s="54"/>
      <c r="AD471" s="54"/>
      <c r="AG471" s="54"/>
      <c r="AH471" s="54"/>
      <c r="AI471" s="54"/>
    </row>
    <row r="472" spans="18:35" x14ac:dyDescent="0.2">
      <c r="R472" s="54"/>
      <c r="S472" s="54"/>
      <c r="T472" s="54"/>
      <c r="W472" s="54"/>
      <c r="X472" s="54"/>
      <c r="Y472" s="54"/>
      <c r="AB472" s="54"/>
      <c r="AC472" s="54"/>
      <c r="AD472" s="54"/>
      <c r="AG472" s="54"/>
      <c r="AH472" s="54"/>
      <c r="AI472" s="54"/>
    </row>
    <row r="473" spans="18:35" x14ac:dyDescent="0.2">
      <c r="R473" s="54"/>
      <c r="S473" s="54"/>
      <c r="T473" s="54"/>
      <c r="W473" s="54"/>
      <c r="X473" s="54"/>
      <c r="Y473" s="54"/>
      <c r="AB473" s="54"/>
      <c r="AC473" s="54"/>
      <c r="AD473" s="54"/>
      <c r="AG473" s="54"/>
      <c r="AH473" s="54"/>
      <c r="AI473" s="54"/>
    </row>
    <row r="474" spans="18:35" x14ac:dyDescent="0.2">
      <c r="AG474" s="54"/>
      <c r="AH474" s="54"/>
      <c r="AI474" s="54"/>
    </row>
  </sheetData>
  <sheetProtection algorithmName="SHA-512" hashValue="OJEIzlAFUd/odJ4O3KnDhiOnDkDrclviLrMMWYTgYF3mycjjCG/93nMsEQikA0nQtDQElhZdsCw+0gffBRz3fQ==" saltValue="/q9iZWBxoVVCtO/35gj2kw==" spinCount="100000" sheet="1" selectLockedCells="1"/>
  <mergeCells count="3">
    <mergeCell ref="A1:Q1"/>
    <mergeCell ref="F98:G98"/>
    <mergeCell ref="Q80:Q84"/>
  </mergeCells>
  <phoneticPr fontId="10" type="noConversion"/>
  <conditionalFormatting sqref="E10">
    <cfRule type="cellIs" dxfId="179" priority="83" stopIfTrue="1" operator="notBetween">
      <formula>3.3</formula>
      <formula>78</formula>
    </cfRule>
  </conditionalFormatting>
  <conditionalFormatting sqref="E43">
    <cfRule type="cellIs" dxfId="178" priority="81" stopIfTrue="1" operator="lessThanOrEqual">
      <formula>0</formula>
    </cfRule>
  </conditionalFormatting>
  <conditionalFormatting sqref="E45">
    <cfRule type="cellIs" dxfId="177" priority="80" stopIfTrue="1" operator="lessThan">
      <formula>$E$44</formula>
    </cfRule>
  </conditionalFormatting>
  <conditionalFormatting sqref="E47">
    <cfRule type="cellIs" dxfId="176" priority="79" stopIfTrue="1" operator="greaterThan">
      <formula>$E$46</formula>
    </cfRule>
  </conditionalFormatting>
  <conditionalFormatting sqref="E52">
    <cfRule type="cellIs" dxfId="175" priority="77" stopIfTrue="1" operator="equal">
      <formula>0</formula>
    </cfRule>
  </conditionalFormatting>
  <conditionalFormatting sqref="E54">
    <cfRule type="cellIs" dxfId="174" priority="76" stopIfTrue="1" operator="lessThan">
      <formula>$E$53</formula>
    </cfRule>
  </conditionalFormatting>
  <conditionalFormatting sqref="E56">
    <cfRule type="cellIs" dxfId="173" priority="74" stopIfTrue="1" operator="greaterThan">
      <formula>$E$55</formula>
    </cfRule>
    <cfRule type="cellIs" dxfId="172" priority="75" stopIfTrue="1" operator="equal">
      <formula>0</formula>
    </cfRule>
  </conditionalFormatting>
  <conditionalFormatting sqref="E65">
    <cfRule type="cellIs" dxfId="171" priority="72" operator="notBetween">
      <formula>2.8</formula>
      <formula>78</formula>
    </cfRule>
  </conditionalFormatting>
  <conditionalFormatting sqref="E8">
    <cfRule type="cellIs" dxfId="170" priority="69" operator="notBetween">
      <formula>$E$7</formula>
      <formula>$E$9</formula>
    </cfRule>
  </conditionalFormatting>
  <conditionalFormatting sqref="E62">
    <cfRule type="cellIs" dxfId="169" priority="65" operator="lessThanOrEqual">
      <formula>$E$61</formula>
    </cfRule>
  </conditionalFormatting>
  <conditionalFormatting sqref="E66">
    <cfRule type="cellIs" dxfId="168" priority="58" operator="notBetween">
      <formula>2.8</formula>
      <formula>78</formula>
    </cfRule>
  </conditionalFormatting>
  <conditionalFormatting sqref="O54">
    <cfRule type="expression" dxfId="167" priority="2">
      <formula>$K$54&gt;1</formula>
    </cfRule>
    <cfRule type="cellIs" dxfId="166" priority="27" operator="notBetween">
      <formula>10</formula>
      <formula>140</formula>
    </cfRule>
    <cfRule type="cellIs" dxfId="165" priority="3" operator="notBetween">
      <formula>0</formula>
      <formula>255</formula>
    </cfRule>
  </conditionalFormatting>
  <conditionalFormatting sqref="E32">
    <cfRule type="expression" dxfId="164" priority="25">
      <formula>$E$32&gt;$E$31</formula>
    </cfRule>
  </conditionalFormatting>
  <hyperlinks>
    <hyperlink ref="C3" r:id="rId1" xr:uid="{00000000-0004-0000-0000-000000000000}"/>
    <hyperlink ref="J3" r:id="rId2" display="http://www.ti.com/product/lm51772" xr:uid="{00000000-0004-0000-0000-000001000000}"/>
    <hyperlink ref="N3:P3" location="Licenses!A1" display="TERMS OF USE" xr:uid="{6BC3009B-6DD9-456B-A488-EC1FBD413205}"/>
  </hyperlinks>
  <printOptions horizontalCentered="1" verticalCentered="1"/>
  <pageMargins left="0.1" right="0.1" top="0.1" bottom="0.1" header="0.25" footer="0.25"/>
  <pageSetup scale="44" orientation="portrait" r:id="rId3"/>
  <headerFooter alignWithMargins="0"/>
  <rowBreaks count="1" manualBreakCount="1">
    <brk id="126" max="16383" man="1"/>
  </rowBreaks>
  <ignoredErrors>
    <ignoredError sqref="E88 E35"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73288" r:id="rId7" name="Button 520">
              <controlPr locked="0" defaultSize="0" print="0" autoFill="0" autoPict="0" macro="[0]!FIXValues">
                <anchor moveWithCells="1" sizeWithCells="1">
                  <from>
                    <xdr:col>2</xdr:col>
                    <xdr:colOff>742950</xdr:colOff>
                    <xdr:row>89</xdr:row>
                    <xdr:rowOff>95250</xdr:rowOff>
                  </from>
                  <to>
                    <xdr:col>3</xdr:col>
                    <xdr:colOff>447675</xdr:colOff>
                    <xdr:row>91</xdr:row>
                    <xdr:rowOff>171450</xdr:rowOff>
                  </to>
                </anchor>
              </controlPr>
            </control>
          </mc:Choice>
        </mc:AlternateContent>
        <mc:AlternateContent xmlns:mc="http://schemas.openxmlformats.org/markup-compatibility/2006">
          <mc:Choice Requires="x14">
            <control shapeId="673260" r:id="rId8" name="Button 492">
              <controlPr locked="0" defaultSize="0" print="0" autoFill="0" autoPict="0" macro="[0]!RESETvalues">
                <anchor moveWithCells="1" sizeWithCells="1">
                  <from>
                    <xdr:col>2</xdr:col>
                    <xdr:colOff>742950</xdr:colOff>
                    <xdr:row>89</xdr:row>
                    <xdr:rowOff>95250</xdr:rowOff>
                  </from>
                  <to>
                    <xdr:col>3</xdr:col>
                    <xdr:colOff>447675</xdr:colOff>
                    <xdr:row>91</xdr:row>
                    <xdr:rowOff>171450</xdr:rowOff>
                  </to>
                </anchor>
              </controlPr>
            </control>
          </mc:Choice>
        </mc:AlternateContent>
        <mc:AlternateContent xmlns:mc="http://schemas.openxmlformats.org/markup-compatibility/2006">
          <mc:Choice Requires="x14">
            <control shapeId="673664" r:id="rId9" name="Drop Down 896">
              <controlPr defaultSize="0" autoLine="0" autoPict="0" altText="used to fix comment show issue on excel">
                <anchor moveWithCells="1">
                  <from>
                    <xdr:col>6</xdr:col>
                    <xdr:colOff>514350</xdr:colOff>
                    <xdr:row>11</xdr:row>
                    <xdr:rowOff>190500</xdr:rowOff>
                  </from>
                  <to>
                    <xdr:col>8</xdr:col>
                    <xdr:colOff>533400</xdr:colOff>
                    <xdr:row>14</xdr:row>
                    <xdr:rowOff>9525</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9525</xdr:colOff>
                    <xdr:row>75</xdr:row>
                    <xdr:rowOff>0</xdr:rowOff>
                  </from>
                  <to>
                    <xdr:col>5</xdr:col>
                    <xdr:colOff>180975</xdr:colOff>
                    <xdr:row>76</xdr:row>
                    <xdr:rowOff>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152400</xdr:colOff>
                    <xdr:row>7</xdr:row>
                    <xdr:rowOff>9525</xdr:rowOff>
                  </from>
                  <to>
                    <xdr:col>5</xdr:col>
                    <xdr:colOff>304800</xdr:colOff>
                    <xdr:row>8</xdr:row>
                    <xdr:rowOff>28575</xdr:rowOff>
                  </to>
                </anchor>
              </controlPr>
            </control>
          </mc:Choice>
        </mc:AlternateContent>
        <mc:AlternateContent xmlns:mc="http://schemas.openxmlformats.org/markup-compatibility/2006">
          <mc:Choice Requires="x14">
            <control shapeId="672924" r:id="rId12" name="Drop Down 156">
              <controlPr defaultSize="0" autoLine="0" autoPict="0">
                <anchor>
                  <from>
                    <xdr:col>7</xdr:col>
                    <xdr:colOff>390525</xdr:colOff>
                    <xdr:row>95</xdr:row>
                    <xdr:rowOff>133350</xdr:rowOff>
                  </from>
                  <to>
                    <xdr:col>9</xdr:col>
                    <xdr:colOff>371475</xdr:colOff>
                    <xdr:row>96</xdr:row>
                    <xdr:rowOff>85725</xdr:rowOff>
                  </to>
                </anchor>
              </controlPr>
            </control>
          </mc:Choice>
        </mc:AlternateContent>
        <mc:AlternateContent xmlns:mc="http://schemas.openxmlformats.org/markup-compatibility/2006">
          <mc:Choice Requires="x14">
            <control shapeId="673295" r:id="rId13" name="Spinner 527">
              <controlPr defaultSize="0" autoPict="0">
                <anchor moveWithCells="1" sizeWithCells="1">
                  <from>
                    <xdr:col>13</xdr:col>
                    <xdr:colOff>533400</xdr:colOff>
                    <xdr:row>59</xdr:row>
                    <xdr:rowOff>247650</xdr:rowOff>
                  </from>
                  <to>
                    <xdr:col>14</xdr:col>
                    <xdr:colOff>76200</xdr:colOff>
                    <xdr:row>61</xdr:row>
                    <xdr:rowOff>0</xdr:rowOff>
                  </to>
                </anchor>
              </controlPr>
            </control>
          </mc:Choice>
        </mc:AlternateContent>
        <mc:AlternateContent xmlns:mc="http://schemas.openxmlformats.org/markup-compatibility/2006">
          <mc:Choice Requires="x14">
            <control shapeId="701838" r:id="rId14" name="Spinner 2446">
              <controlPr defaultSize="0" autoPict="0">
                <anchor moveWithCells="1" sizeWithCells="1">
                  <from>
                    <xdr:col>14</xdr:col>
                    <xdr:colOff>0</xdr:colOff>
                    <xdr:row>95</xdr:row>
                    <xdr:rowOff>0</xdr:rowOff>
                  </from>
                  <to>
                    <xdr:col>14</xdr:col>
                    <xdr:colOff>190500</xdr:colOff>
                    <xdr:row>96</xdr:row>
                    <xdr:rowOff>0</xdr:rowOff>
                  </to>
                </anchor>
              </controlPr>
            </control>
          </mc:Choice>
        </mc:AlternateContent>
        <mc:AlternateContent xmlns:mc="http://schemas.openxmlformats.org/markup-compatibility/2006">
          <mc:Choice Requires="x14">
            <control shapeId="716937" r:id="rId15" name="Drop Down 3209">
              <controlPr defaultSize="0" autoLine="0" autoPict="0">
                <anchor moveWithCells="1">
                  <from>
                    <xdr:col>7</xdr:col>
                    <xdr:colOff>57150</xdr:colOff>
                    <xdr:row>45</xdr:row>
                    <xdr:rowOff>28575</xdr:rowOff>
                  </from>
                  <to>
                    <xdr:col>8</xdr:col>
                    <xdr:colOff>561975</xdr:colOff>
                    <xdr:row>46</xdr:row>
                    <xdr:rowOff>0</xdr:rowOff>
                  </to>
                </anchor>
              </controlPr>
            </control>
          </mc:Choice>
        </mc:AlternateContent>
        <mc:AlternateContent xmlns:mc="http://schemas.openxmlformats.org/markup-compatibility/2006">
          <mc:Choice Requires="x14">
            <control shapeId="716938" r:id="rId16" name="Drop Down 3210">
              <controlPr defaultSize="0" autoLine="0" autoPict="0">
                <anchor moveWithCells="1">
                  <from>
                    <xdr:col>9</xdr:col>
                    <xdr:colOff>38100</xdr:colOff>
                    <xdr:row>45</xdr:row>
                    <xdr:rowOff>28575</xdr:rowOff>
                  </from>
                  <to>
                    <xdr:col>10</xdr:col>
                    <xdr:colOff>552450</xdr:colOff>
                    <xdr:row>46</xdr:row>
                    <xdr:rowOff>0</xdr:rowOff>
                  </to>
                </anchor>
              </controlPr>
            </control>
          </mc:Choice>
        </mc:AlternateContent>
        <mc:AlternateContent xmlns:mc="http://schemas.openxmlformats.org/markup-compatibility/2006">
          <mc:Choice Requires="x14">
            <control shapeId="716941" r:id="rId17" name="Drop Down 3213">
              <controlPr defaultSize="0" autoLine="0" autoPict="0">
                <anchor moveWithCells="1">
                  <from>
                    <xdr:col>7</xdr:col>
                    <xdr:colOff>57150</xdr:colOff>
                    <xdr:row>46</xdr:row>
                    <xdr:rowOff>38100</xdr:rowOff>
                  </from>
                  <to>
                    <xdr:col>8</xdr:col>
                    <xdr:colOff>561975</xdr:colOff>
                    <xdr:row>47</xdr:row>
                    <xdr:rowOff>9525</xdr:rowOff>
                  </to>
                </anchor>
              </controlPr>
            </control>
          </mc:Choice>
        </mc:AlternateContent>
        <mc:AlternateContent xmlns:mc="http://schemas.openxmlformats.org/markup-compatibility/2006">
          <mc:Choice Requires="x14">
            <control shapeId="716942" r:id="rId18" name="Drop Down 3214">
              <controlPr defaultSize="0" autoLine="0" autoPict="0">
                <anchor moveWithCells="1">
                  <from>
                    <xdr:col>9</xdr:col>
                    <xdr:colOff>38100</xdr:colOff>
                    <xdr:row>46</xdr:row>
                    <xdr:rowOff>38100</xdr:rowOff>
                  </from>
                  <to>
                    <xdr:col>10</xdr:col>
                    <xdr:colOff>571500</xdr:colOff>
                    <xdr:row>47</xdr:row>
                    <xdr:rowOff>9525</xdr:rowOff>
                  </to>
                </anchor>
              </controlPr>
            </control>
          </mc:Choice>
        </mc:AlternateContent>
        <mc:AlternateContent xmlns:mc="http://schemas.openxmlformats.org/markup-compatibility/2006">
          <mc:Choice Requires="x14">
            <control shapeId="716943" r:id="rId19" name="Drop Down 3215">
              <controlPr defaultSize="0" autoLine="0" autoPict="0">
                <anchor moveWithCells="1">
                  <from>
                    <xdr:col>11</xdr:col>
                    <xdr:colOff>47625</xdr:colOff>
                    <xdr:row>46</xdr:row>
                    <xdr:rowOff>38100</xdr:rowOff>
                  </from>
                  <to>
                    <xdr:col>12</xdr:col>
                    <xdr:colOff>600075</xdr:colOff>
                    <xdr:row>47</xdr:row>
                    <xdr:rowOff>0</xdr:rowOff>
                  </to>
                </anchor>
              </controlPr>
            </control>
          </mc:Choice>
        </mc:AlternateContent>
        <mc:AlternateContent xmlns:mc="http://schemas.openxmlformats.org/markup-compatibility/2006">
          <mc:Choice Requires="x14">
            <control shapeId="716944" r:id="rId20" name="Drop Down 3216">
              <controlPr defaultSize="0" autoLine="0" autoPict="0">
                <anchor moveWithCells="1">
                  <from>
                    <xdr:col>12</xdr:col>
                    <xdr:colOff>666750</xdr:colOff>
                    <xdr:row>46</xdr:row>
                    <xdr:rowOff>38100</xdr:rowOff>
                  </from>
                  <to>
                    <xdr:col>12</xdr:col>
                    <xdr:colOff>2009775</xdr:colOff>
                    <xdr:row>47</xdr:row>
                    <xdr:rowOff>9525</xdr:rowOff>
                  </to>
                </anchor>
              </controlPr>
            </control>
          </mc:Choice>
        </mc:AlternateContent>
        <mc:AlternateContent xmlns:mc="http://schemas.openxmlformats.org/markup-compatibility/2006">
          <mc:Choice Requires="x14">
            <control shapeId="716955" r:id="rId21" name="Drop Down 3227">
              <controlPr defaultSize="0" autoLine="0" autoPict="0">
                <anchor moveWithCells="1">
                  <from>
                    <xdr:col>7</xdr:col>
                    <xdr:colOff>57150</xdr:colOff>
                    <xdr:row>47</xdr:row>
                    <xdr:rowOff>57150</xdr:rowOff>
                  </from>
                  <to>
                    <xdr:col>8</xdr:col>
                    <xdr:colOff>561975</xdr:colOff>
                    <xdr:row>48</xdr:row>
                    <xdr:rowOff>28575</xdr:rowOff>
                  </to>
                </anchor>
              </controlPr>
            </control>
          </mc:Choice>
        </mc:AlternateContent>
        <mc:AlternateContent xmlns:mc="http://schemas.openxmlformats.org/markup-compatibility/2006">
          <mc:Choice Requires="x14">
            <control shapeId="716956" r:id="rId22" name="Drop Down 3228">
              <controlPr defaultSize="0" autoLine="0" autoPict="0">
                <anchor moveWithCells="1">
                  <from>
                    <xdr:col>9</xdr:col>
                    <xdr:colOff>38100</xdr:colOff>
                    <xdr:row>47</xdr:row>
                    <xdr:rowOff>57150</xdr:rowOff>
                  </from>
                  <to>
                    <xdr:col>10</xdr:col>
                    <xdr:colOff>552450</xdr:colOff>
                    <xdr:row>48</xdr:row>
                    <xdr:rowOff>28575</xdr:rowOff>
                  </to>
                </anchor>
              </controlPr>
            </control>
          </mc:Choice>
        </mc:AlternateContent>
        <mc:AlternateContent xmlns:mc="http://schemas.openxmlformats.org/markup-compatibility/2006">
          <mc:Choice Requires="x14">
            <control shapeId="716957" r:id="rId23" name="Drop Down 3229">
              <controlPr defaultSize="0" autoLine="0" autoPict="0">
                <anchor moveWithCells="1">
                  <from>
                    <xdr:col>11</xdr:col>
                    <xdr:colOff>47625</xdr:colOff>
                    <xdr:row>47</xdr:row>
                    <xdr:rowOff>47625</xdr:rowOff>
                  </from>
                  <to>
                    <xdr:col>12</xdr:col>
                    <xdr:colOff>600075</xdr:colOff>
                    <xdr:row>48</xdr:row>
                    <xdr:rowOff>38100</xdr:rowOff>
                  </to>
                </anchor>
              </controlPr>
            </control>
          </mc:Choice>
        </mc:AlternateContent>
        <mc:AlternateContent xmlns:mc="http://schemas.openxmlformats.org/markup-compatibility/2006">
          <mc:Choice Requires="x14">
            <control shapeId="716958" r:id="rId24" name="Drop Down 3230">
              <controlPr defaultSize="0" autoLine="0" autoPict="0">
                <anchor moveWithCells="1">
                  <from>
                    <xdr:col>12</xdr:col>
                    <xdr:colOff>666750</xdr:colOff>
                    <xdr:row>47</xdr:row>
                    <xdr:rowOff>47625</xdr:rowOff>
                  </from>
                  <to>
                    <xdr:col>12</xdr:col>
                    <xdr:colOff>2009775</xdr:colOff>
                    <xdr:row>48</xdr:row>
                    <xdr:rowOff>38100</xdr:rowOff>
                  </to>
                </anchor>
              </controlPr>
            </control>
          </mc:Choice>
        </mc:AlternateContent>
        <mc:AlternateContent xmlns:mc="http://schemas.openxmlformats.org/markup-compatibility/2006">
          <mc:Choice Requires="x14">
            <control shapeId="716963" r:id="rId25" name="Drop Down 3235">
              <controlPr defaultSize="0" autoLine="0" autoPict="0">
                <anchor moveWithCells="1">
                  <from>
                    <xdr:col>7</xdr:col>
                    <xdr:colOff>57150</xdr:colOff>
                    <xdr:row>48</xdr:row>
                    <xdr:rowOff>85725</xdr:rowOff>
                  </from>
                  <to>
                    <xdr:col>8</xdr:col>
                    <xdr:colOff>571500</xdr:colOff>
                    <xdr:row>49</xdr:row>
                    <xdr:rowOff>76200</xdr:rowOff>
                  </to>
                </anchor>
              </controlPr>
            </control>
          </mc:Choice>
        </mc:AlternateContent>
        <mc:AlternateContent xmlns:mc="http://schemas.openxmlformats.org/markup-compatibility/2006">
          <mc:Choice Requires="x14">
            <control shapeId="716964" r:id="rId26" name="Drop Down 3236">
              <controlPr defaultSize="0" autoLine="0" autoPict="0">
                <anchor moveWithCells="1">
                  <from>
                    <xdr:col>9</xdr:col>
                    <xdr:colOff>38100</xdr:colOff>
                    <xdr:row>48</xdr:row>
                    <xdr:rowOff>85725</xdr:rowOff>
                  </from>
                  <to>
                    <xdr:col>10</xdr:col>
                    <xdr:colOff>571500</xdr:colOff>
                    <xdr:row>49</xdr:row>
                    <xdr:rowOff>76200</xdr:rowOff>
                  </to>
                </anchor>
              </controlPr>
            </control>
          </mc:Choice>
        </mc:AlternateContent>
        <mc:AlternateContent xmlns:mc="http://schemas.openxmlformats.org/markup-compatibility/2006">
          <mc:Choice Requires="x14">
            <control shapeId="716965" r:id="rId27" name="Drop Down 3237">
              <controlPr defaultSize="0" autoLine="0" autoPict="0">
                <anchor moveWithCells="1">
                  <from>
                    <xdr:col>11</xdr:col>
                    <xdr:colOff>47625</xdr:colOff>
                    <xdr:row>48</xdr:row>
                    <xdr:rowOff>85725</xdr:rowOff>
                  </from>
                  <to>
                    <xdr:col>12</xdr:col>
                    <xdr:colOff>600075</xdr:colOff>
                    <xdr:row>49</xdr:row>
                    <xdr:rowOff>76200</xdr:rowOff>
                  </to>
                </anchor>
              </controlPr>
            </control>
          </mc:Choice>
        </mc:AlternateContent>
        <mc:AlternateContent xmlns:mc="http://schemas.openxmlformats.org/markup-compatibility/2006">
          <mc:Choice Requires="x14">
            <control shapeId="716966" r:id="rId28" name="Drop Down 3238">
              <controlPr defaultSize="0" autoLine="0" autoPict="0">
                <anchor moveWithCells="1">
                  <from>
                    <xdr:col>12</xdr:col>
                    <xdr:colOff>666750</xdr:colOff>
                    <xdr:row>48</xdr:row>
                    <xdr:rowOff>85725</xdr:rowOff>
                  </from>
                  <to>
                    <xdr:col>12</xdr:col>
                    <xdr:colOff>2009775</xdr:colOff>
                    <xdr:row>49</xdr:row>
                    <xdr:rowOff>76200</xdr:rowOff>
                  </to>
                </anchor>
              </controlPr>
            </control>
          </mc:Choice>
        </mc:AlternateContent>
        <mc:AlternateContent xmlns:mc="http://schemas.openxmlformats.org/markup-compatibility/2006">
          <mc:Choice Requires="x14">
            <control shapeId="733873" r:id="rId29" name="Drop Down 4785">
              <controlPr defaultSize="0" autoLine="0" autoPict="0">
                <anchor moveWithCells="1">
                  <from>
                    <xdr:col>10</xdr:col>
                    <xdr:colOff>247650</xdr:colOff>
                    <xdr:row>51</xdr:row>
                    <xdr:rowOff>19050</xdr:rowOff>
                  </from>
                  <to>
                    <xdr:col>11</xdr:col>
                    <xdr:colOff>819150</xdr:colOff>
                    <xdr:row>51</xdr:row>
                    <xdr:rowOff>161925</xdr:rowOff>
                  </to>
                </anchor>
              </controlPr>
            </control>
          </mc:Choice>
        </mc:AlternateContent>
        <mc:AlternateContent xmlns:mc="http://schemas.openxmlformats.org/markup-compatibility/2006">
          <mc:Choice Requires="x14">
            <control shapeId="751970" r:id="rId30" name="Check Box 5474">
              <controlPr defaultSize="0" autoFill="0" autoLine="0" autoPict="0">
                <anchor moveWithCells="1">
                  <from>
                    <xdr:col>14</xdr:col>
                    <xdr:colOff>190500</xdr:colOff>
                    <xdr:row>59</xdr:row>
                    <xdr:rowOff>228600</xdr:rowOff>
                  </from>
                  <to>
                    <xdr:col>16</xdr:col>
                    <xdr:colOff>1104900</xdr:colOff>
                    <xdr:row>61</xdr:row>
                    <xdr:rowOff>19050</xdr:rowOff>
                  </to>
                </anchor>
              </controlPr>
            </control>
          </mc:Choice>
        </mc:AlternateContent>
        <mc:AlternateContent xmlns:mc="http://schemas.openxmlformats.org/markup-compatibility/2006">
          <mc:Choice Requires="x14">
            <control shapeId="733907" r:id="rId31" name="Drop Down 4819">
              <controlPr defaultSize="0" autoLine="0" autoPict="0">
                <anchor moveWithCells="1">
                  <from>
                    <xdr:col>3</xdr:col>
                    <xdr:colOff>247650</xdr:colOff>
                    <xdr:row>69</xdr:row>
                    <xdr:rowOff>19050</xdr:rowOff>
                  </from>
                  <to>
                    <xdr:col>6</xdr:col>
                    <xdr:colOff>9525</xdr:colOff>
                    <xdr:row>69</xdr:row>
                    <xdr:rowOff>171450</xdr:rowOff>
                  </to>
                </anchor>
              </controlPr>
            </control>
          </mc:Choice>
        </mc:AlternateContent>
        <mc:AlternateContent xmlns:mc="http://schemas.openxmlformats.org/markup-compatibility/2006">
          <mc:Choice Requires="x14">
            <control shapeId="772540" r:id="rId32" name="Drop Down 6588">
              <controlPr defaultSize="0" autoLine="0" autoPict="0">
                <anchor moveWithCells="1">
                  <from>
                    <xdr:col>3</xdr:col>
                    <xdr:colOff>552450</xdr:colOff>
                    <xdr:row>5</xdr:row>
                    <xdr:rowOff>0</xdr:rowOff>
                  </from>
                  <to>
                    <xdr:col>5</xdr:col>
                    <xdr:colOff>485775</xdr:colOff>
                    <xdr:row>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6" stopIfTrue="1" operator="notBetween" id="{62D9C4C2-E531-49B1-93A4-627035A64D4C}">
            <xm:f>DeviceParameter!$B$8</xm:f>
            <xm:f>DeviceParameter!$B$7</xm:f>
            <x14:dxf>
              <font>
                <b/>
                <i val="0"/>
                <condense val="0"/>
                <extend val="0"/>
                <color indexed="10"/>
              </font>
            </x14:dxf>
          </x14:cfRule>
          <xm:sqref>E7 E9</xm:sqref>
        </x14:conditionalFormatting>
        <x14:conditionalFormatting xmlns:xm="http://schemas.microsoft.com/office/excel/2006/main">
          <x14:cfRule type="cellIs" priority="89" stopIfTrue="1" operator="notBetween" id="{91D4B932-763E-4F6D-8B52-9DDA104D0834}">
            <xm:f>100</xm:f>
            <xm:f>DeviceParameter!$B$9</xm:f>
            <x14:dxf>
              <font>
                <b/>
                <i val="0"/>
                <condense val="0"/>
                <extend val="0"/>
                <color indexed="10"/>
              </font>
            </x14:dxf>
          </x14:cfRule>
          <xm:sqref>E12</xm:sqref>
        </x14:conditionalFormatting>
        <x14:conditionalFormatting xmlns:xm="http://schemas.microsoft.com/office/excel/2006/main">
          <x14:cfRule type="cellIs" priority="60" operator="greaterThan" id="{261B1385-33AC-41C6-9CC9-14CB02FA7EC8}">
            <xm:f>'Variable Management'!$O$65*1000000</xm:f>
            <x14:dxf>
              <font>
                <b/>
                <i val="0"/>
              </font>
              <fill>
                <patternFill>
                  <bgColor rgb="FFFF0000"/>
                </patternFill>
              </fill>
            </x14:dxf>
          </x14:cfRule>
          <x14:cfRule type="cellIs" priority="61" operator="lessThan" id="{684B9E61-D286-49CD-B4F5-79613842F5BA}">
            <xm:f>'Variable Management'!$O$64*1000000</xm:f>
            <x14:dxf>
              <font>
                <b/>
                <i val="0"/>
              </font>
              <fill>
                <patternFill>
                  <bgColor rgb="FFFF0000"/>
                </patternFill>
              </fill>
            </x14:dxf>
          </x14:cfRule>
          <xm:sqref>E18</xm:sqref>
        </x14:conditionalFormatting>
        <x14:conditionalFormatting xmlns:xm="http://schemas.microsoft.com/office/excel/2006/main">
          <x14:cfRule type="cellIs" priority="59" operator="greaterThanOrEqual" id="{346D012F-3F01-43C5-AA6F-2C80BA8F526E}">
            <xm:f>'Variable Management'!$B$384/1000</xm:f>
            <x14:dxf>
              <font>
                <b/>
                <i val="0"/>
              </font>
              <fill>
                <patternFill>
                  <bgColor rgb="FFFF0000"/>
                </patternFill>
              </fill>
            </x14:dxf>
          </x14:cfRule>
          <xm:sqref>E79</xm:sqref>
        </x14:conditionalFormatting>
        <x14:conditionalFormatting xmlns:xm="http://schemas.microsoft.com/office/excel/2006/main">
          <x14:cfRule type="expression" priority="41" id="{2886A386-301C-4848-8434-4FEEA9C2D084}">
            <xm:f>'Variable Management'!$C$29 &lt;2</xm:f>
            <x14:dxf>
              <fill>
                <patternFill>
                  <bgColor theme="0" tint="-0.499984740745262"/>
                </patternFill>
              </fill>
            </x14:dxf>
          </x14:cfRule>
          <xm:sqref>H45:P50</xm:sqref>
        </x14:conditionalFormatting>
        <x14:conditionalFormatting xmlns:xm="http://schemas.microsoft.com/office/excel/2006/main">
          <x14:cfRule type="expression" priority="31" id="{28F8545A-8D3F-4763-BBCB-9D21779E3B37}">
            <xm:f>OR('Variable Management'!$B$247=0,'Variable Management'!$B$247=0)</xm:f>
            <x14:dxf>
              <font>
                <strike val="0"/>
                <color theme="0"/>
              </font>
              <fill>
                <patternFill>
                  <bgColor theme="0"/>
                </patternFill>
              </fill>
            </x14:dxf>
          </x14:cfRule>
          <xm:sqref>N53:P53</xm:sqref>
        </x14:conditionalFormatting>
        <x14:conditionalFormatting xmlns:xm="http://schemas.microsoft.com/office/excel/2006/main">
          <x14:cfRule type="expression" priority="1" stopIfTrue="1" id="{7D08E9DB-3964-4707-BA08-692BB02B5FAC}">
            <xm:f>'Variable Management'!$B$247&lt;2</xm:f>
            <x14:dxf>
              <font>
                <color theme="0"/>
              </font>
              <fill>
                <patternFill>
                  <bgColor theme="0"/>
                </patternFill>
              </fill>
            </x14:dxf>
          </x14:cfRule>
          <xm:sqref>O54</xm:sqref>
        </x14:conditionalFormatting>
        <x14:conditionalFormatting xmlns:xm="http://schemas.microsoft.com/office/excel/2006/main">
          <x14:cfRule type="expression" priority="29" id="{29813C44-F92A-4B13-AA71-B0CD66888A40}">
            <xm:f>'Variable Management'!$B$247=0</xm:f>
            <x14:dxf>
              <font>
                <strike/>
                <color theme="0"/>
              </font>
              <fill>
                <patternFill>
                  <bgColor theme="0"/>
                </patternFill>
              </fill>
            </x14:dxf>
          </x14:cfRule>
          <xm:sqref>N55:P55</xm:sqref>
        </x14:conditionalFormatting>
        <x14:conditionalFormatting xmlns:xm="http://schemas.microsoft.com/office/excel/2006/main">
          <x14:cfRule type="expression" priority="28" id="{9D39BC90-8272-4B3E-98C1-6579773F45E9}">
            <xm:f>'Variable Management'!$B$247=0</xm:f>
            <x14:dxf>
              <font>
                <strike/>
                <color theme="0"/>
              </font>
              <fill>
                <patternFill>
                  <bgColor theme="0"/>
                </patternFill>
              </fill>
            </x14:dxf>
          </x14:cfRule>
          <xm:sqref>O57:P57</xm:sqref>
        </x14:conditionalFormatting>
        <x14:conditionalFormatting xmlns:xm="http://schemas.microsoft.com/office/excel/2006/main">
          <x14:cfRule type="expression" priority="26" id="{3600A614-2FE3-4BB9-841E-448EB68D6141}">
            <xm:f>'Variable Management'!$B$247=0</xm:f>
            <x14:dxf>
              <font>
                <strike/>
                <color theme="0"/>
              </font>
              <fill>
                <patternFill>
                  <bgColor theme="0"/>
                </patternFill>
              </fill>
            </x14:dxf>
          </x14:cfRule>
          <xm:sqref>N57:P57</xm:sqref>
        </x14:conditionalFormatting>
        <x14:conditionalFormatting xmlns:xm="http://schemas.microsoft.com/office/excel/2006/main">
          <x14:cfRule type="expression" priority="21" id="{39D4D275-0C74-4F64-80F2-F16B811BF58B}">
            <xm:f>'Variable Management'!$B$247=0</xm:f>
            <x14:dxf>
              <font>
                <strike/>
                <color theme="0"/>
              </font>
              <fill>
                <patternFill>
                  <bgColor theme="0"/>
                </patternFill>
              </fill>
            </x14:dxf>
          </x14:cfRule>
          <xm:sqref>N56:P56</xm:sqref>
        </x14:conditionalFormatting>
        <x14:conditionalFormatting xmlns:xm="http://schemas.microsoft.com/office/excel/2006/main">
          <x14:cfRule type="expression" priority="20" id="{D1B329F7-094C-479D-B6D8-FD719DA933BB}">
            <xm:f>OR('Variable Management'!$B$247&lt;1, 'Variable Management'!$B$247&gt;2)</xm:f>
            <x14:dxf>
              <font>
                <strike/>
                <color theme="0"/>
              </font>
              <fill>
                <patternFill>
                  <bgColor theme="0"/>
                </patternFill>
              </fill>
            </x14:dxf>
          </x14:cfRule>
          <xm:sqref>N58:P58</xm:sqref>
        </x14:conditionalFormatting>
        <x14:conditionalFormatting xmlns:xm="http://schemas.microsoft.com/office/excel/2006/main">
          <x14:cfRule type="expression" priority="17" id="{9BD93B70-1CDC-43D8-AD0E-52B7050E85B0}">
            <xm:f>'CFG Setting'!$B$159&lt;2</xm:f>
            <x14:dxf>
              <font>
                <color theme="0"/>
              </font>
              <fill>
                <patternFill>
                  <bgColor theme="0"/>
                </patternFill>
              </fill>
            </x14:dxf>
          </x14:cfRule>
          <xm:sqref>J53:L57</xm:sqref>
        </x14:conditionalFormatting>
        <x14:conditionalFormatting xmlns:xm="http://schemas.microsoft.com/office/excel/2006/main">
          <x14:cfRule type="expression" priority="15" id="{F3FDF775-1F09-4823-9D6E-8DDD6485BD93}">
            <xm:f>'CFG Setting'!$B$162&gt;1</xm:f>
            <x14:dxf>
              <font>
                <color theme="0"/>
              </font>
              <fill>
                <patternFill patternType="solid">
                  <bgColor theme="0"/>
                </patternFill>
              </fill>
            </x14:dxf>
          </x14:cfRule>
          <xm:sqref>D78:F79</xm:sqref>
        </x14:conditionalFormatting>
        <x14:conditionalFormatting xmlns:xm="http://schemas.microsoft.com/office/excel/2006/main">
          <x14:cfRule type="cellIs" priority="13" operator="greaterThan" id="{FD155E1F-BA31-4C44-B399-60EEA3297EBD}">
            <xm:f>'Variable Management'!$O$65*1000000</xm:f>
            <x14:dxf>
              <font>
                <b/>
                <i val="0"/>
              </font>
              <fill>
                <patternFill>
                  <bgColor rgb="FFFF0000"/>
                </patternFill>
              </fill>
            </x14:dxf>
          </x14:cfRule>
          <x14:cfRule type="cellIs" priority="14" operator="lessThan" id="{E9BE8BE6-87AF-4140-AE43-C7F34E78C460}">
            <xm:f>'Variable Management'!$O$64*1000000</xm:f>
            <x14:dxf>
              <font>
                <b/>
                <i val="0"/>
              </font>
              <fill>
                <patternFill>
                  <bgColor rgb="FFFF0000"/>
                </patternFill>
              </fill>
            </x14:dxf>
          </x14:cfRule>
          <xm:sqref>E17</xm:sqref>
        </x14:conditionalFormatting>
        <x14:conditionalFormatting xmlns:xm="http://schemas.microsoft.com/office/excel/2006/main">
          <x14:cfRule type="expression" priority="12" id="{37A1F99F-C700-40BD-9153-F2F8E3FDAB11}">
            <xm:f>'Variable Management'!$L$10=1</xm:f>
            <x14:dxf>
              <font>
                <color theme="0"/>
              </font>
              <fill>
                <patternFill patternType="none">
                  <bgColor auto="1"/>
                </patternFill>
              </fill>
              <border>
                <left/>
                <right style="thin">
                  <color theme="0"/>
                </right>
                <top style="thin">
                  <color theme="0"/>
                </top>
                <bottom style="thin">
                  <color theme="0"/>
                </bottom>
              </border>
            </x14:dxf>
          </x14:cfRule>
          <xm:sqref>M96:O96</xm:sqref>
        </x14:conditionalFormatting>
        <x14:conditionalFormatting xmlns:xm="http://schemas.microsoft.com/office/excel/2006/main">
          <x14:cfRule type="expression" priority="7" id="{77E40254-9067-45DC-9E4E-03702E87EFB7}">
            <xm:f>'Variable Management'!$B$247&lt;3</xm:f>
            <x14:dxf>
              <font>
                <color theme="0"/>
              </font>
              <fill>
                <patternFill>
                  <bgColor theme="0"/>
                </patternFill>
              </fill>
              <border>
                <left/>
                <right/>
                <top/>
                <bottom/>
              </border>
            </x14:dxf>
          </x14:cfRule>
          <xm:sqref>J88:O92</xm:sqref>
        </x14:conditionalFormatting>
        <x14:conditionalFormatting xmlns:xm="http://schemas.microsoft.com/office/excel/2006/main">
          <x14:cfRule type="expression" priority="6" id="{2136BD3D-32E9-4845-B611-DDB32C047CE9}">
            <xm:f>'Variable Management'!$B$247=0</xm:f>
            <x14:dxf>
              <font>
                <color theme="0"/>
              </font>
            </x14:dxf>
          </x14:cfRule>
          <xm:sqref>N59:O59</xm:sqref>
        </x14:conditionalFormatting>
        <x14:conditionalFormatting xmlns:xm="http://schemas.microsoft.com/office/excel/2006/main">
          <x14:cfRule type="expression" priority="5" id="{49187E97-3CB7-4089-966C-C2B48140AA9C}">
            <xm:f>OR('Variable Management'!$B$247&lt;1, 'Variable Management'!$B$247&gt;2)</xm:f>
            <x14:dxf>
              <font>
                <strike/>
                <color theme="0"/>
              </font>
              <fill>
                <patternFill>
                  <bgColor theme="0"/>
                </patternFill>
              </fill>
            </x14:dxf>
          </x14:cfRule>
          <xm:sqref>P59</xm:sqref>
        </x14:conditionalFormatting>
        <x14:conditionalFormatting xmlns:xm="http://schemas.microsoft.com/office/excel/2006/main">
          <x14:cfRule type="cellIs" priority="4" stopIfTrue="1" operator="notBetween" id="{18E3A449-CDEE-48CF-9550-BFD4B51DD5B1}">
            <xm:f>DeviceParameter!$B$8</xm:f>
            <xm:f>DeviceParameter!$B$7</xm:f>
            <x14:dxf>
              <font>
                <b/>
                <i val="0"/>
                <condense val="0"/>
                <extend val="0"/>
                <color indexed="10"/>
              </font>
            </x14:dxf>
          </x14:cfRule>
          <xm:sqref>E6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C887B-35BF-4FDD-BB4C-9B32B13D18D7}">
  <sheetPr codeName="Sheet21"/>
  <dimension ref="A6:F25"/>
  <sheetViews>
    <sheetView workbookViewId="0">
      <selection activeCell="F14" sqref="F14"/>
    </sheetView>
  </sheetViews>
  <sheetFormatPr defaultRowHeight="12.75" x14ac:dyDescent="0.2"/>
  <cols>
    <col min="1" max="16384" width="9.140625" style="781"/>
  </cols>
  <sheetData>
    <row r="6" spans="1:6" ht="19.5" thickBot="1" x14ac:dyDescent="0.25">
      <c r="A6" s="800" t="s">
        <v>1278</v>
      </c>
      <c r="D6" s="813"/>
    </row>
    <row r="7" spans="1:6" ht="14.25" x14ac:dyDescent="0.2">
      <c r="A7" s="814"/>
      <c r="B7" s="785"/>
      <c r="C7" s="815"/>
      <c r="D7" s="816" t="s">
        <v>1277</v>
      </c>
      <c r="E7" s="821">
        <v>4.32</v>
      </c>
      <c r="F7" s="817" t="s">
        <v>54</v>
      </c>
    </row>
    <row r="8" spans="1:6" ht="15" thickBot="1" x14ac:dyDescent="0.25">
      <c r="A8" s="809"/>
      <c r="B8" s="810"/>
      <c r="C8" s="811"/>
      <c r="D8" s="818" t="s">
        <v>894</v>
      </c>
      <c r="E8" s="811">
        <f>(Vout-Vref)/(Vref/E7)</f>
        <v>58.752000000000002</v>
      </c>
      <c r="F8" s="812" t="s">
        <v>54</v>
      </c>
    </row>
    <row r="19" spans="1:6" ht="19.5" thickBot="1" x14ac:dyDescent="0.35">
      <c r="A19" s="800" t="s">
        <v>1279</v>
      </c>
      <c r="B19" s="801"/>
      <c r="C19" s="802"/>
      <c r="D19" s="802"/>
      <c r="E19" s="803"/>
      <c r="F19" s="802"/>
    </row>
    <row r="20" spans="1:6" x14ac:dyDescent="0.2">
      <c r="A20" s="804"/>
      <c r="B20" s="805"/>
      <c r="C20" s="806"/>
      <c r="D20" s="807" t="str">
        <f>Timings!E2</f>
        <v>Buck -&gt; BuBo</v>
      </c>
      <c r="E20" s="822">
        <f>Timings!F2</f>
        <v>16.696809135219741</v>
      </c>
      <c r="F20" s="823" t="s">
        <v>0</v>
      </c>
    </row>
    <row r="21" spans="1:6" x14ac:dyDescent="0.2">
      <c r="A21" s="780"/>
      <c r="C21" s="571"/>
      <c r="D21" s="808" t="str">
        <f>Timings!E3</f>
        <v>BuBo -&gt; Buck</v>
      </c>
      <c r="E21" s="824">
        <f>Timings!F3</f>
        <v>19.92819751994363</v>
      </c>
      <c r="F21" s="825" t="s">
        <v>0</v>
      </c>
    </row>
    <row r="22" spans="1:6" x14ac:dyDescent="0.2">
      <c r="A22" s="780"/>
      <c r="C22" s="571"/>
      <c r="D22" s="808" t="str">
        <f>Timings!E4</f>
        <v>Boost -&gt; BuBo</v>
      </c>
      <c r="E22" s="824">
        <f>Timings!F4</f>
        <v>12.766511150347091</v>
      </c>
      <c r="F22" s="826" t="s">
        <v>0</v>
      </c>
    </row>
    <row r="23" spans="1:6" x14ac:dyDescent="0.2">
      <c r="A23" s="780"/>
      <c r="C23" s="571"/>
      <c r="D23" s="808" t="str">
        <f>Timings!E5</f>
        <v>BuBo -&gt; Boost</v>
      </c>
      <c r="E23" s="824">
        <f>Timings!F5</f>
        <v>10.696401407436619</v>
      </c>
      <c r="F23" s="826" t="s">
        <v>0</v>
      </c>
    </row>
    <row r="24" spans="1:6" ht="13.5" thickBot="1" x14ac:dyDescent="0.25">
      <c r="A24" s="809"/>
      <c r="B24" s="810"/>
      <c r="C24" s="811"/>
      <c r="D24" s="811"/>
      <c r="E24" s="811"/>
      <c r="F24" s="812"/>
    </row>
    <row r="25" spans="1:6" x14ac:dyDescent="0.2">
      <c r="A25" s="780"/>
      <c r="C25" s="571"/>
      <c r="D25" s="808"/>
      <c r="E25" s="819"/>
      <c r="F25" s="820"/>
    </row>
  </sheetData>
  <conditionalFormatting sqref="E23">
    <cfRule type="cellIs" dxfId="141" priority="6" stopIfTrue="1" operator="notBetween">
      <formula>3.3</formula>
      <formula>78</formula>
    </cfRule>
  </conditionalFormatting>
  <conditionalFormatting sqref="E21">
    <cfRule type="cellIs" dxfId="140" priority="5" operator="notBetween">
      <formula>$E$6</formula>
      <formula>$E$8</formula>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7" stopIfTrue="1" operator="notBetween" id="{8BA63DAC-915B-4D33-ABA7-8B4E712A9E0A}">
            <xm:f>DeviceParameter!$B$8</xm:f>
            <xm:f>DeviceParameter!$B$7</xm:f>
            <x14:dxf>
              <font>
                <b/>
                <i val="0"/>
                <condense val="0"/>
                <extend val="0"/>
                <color indexed="10"/>
              </font>
            </x14:dxf>
          </x14:cfRule>
          <xm:sqref>E20 E22</xm:sqref>
        </x14:conditionalFormatting>
        <x14:conditionalFormatting xmlns:xm="http://schemas.microsoft.com/office/excel/2006/main">
          <x14:cfRule type="cellIs" priority="8" stopIfTrue="1" operator="notBetween" id="{C3C6AE85-A2B3-4F2E-A9A6-8E48CB6ACCE4}">
            <xm:f>100</xm:f>
            <xm:f>DeviceParameter!$B$9</xm:f>
            <x14:dxf>
              <font>
                <b/>
                <i val="0"/>
                <condense val="0"/>
                <extend val="0"/>
                <color indexed="10"/>
              </font>
            </x14:dxf>
          </x14:cfRule>
          <xm:sqref>E25</xm:sqref>
        </x14:conditionalFormatting>
        <x14:conditionalFormatting xmlns:xm="http://schemas.microsoft.com/office/excel/2006/main">
          <x14:cfRule type="cellIs" priority="4" operator="greaterThanOrEqual" id="{56370B07-19DC-43C5-A151-C0DCC1545EB0}">
            <xm:f>'Variable Management'!$B$384/1000</xm:f>
            <x14:dxf>
              <font>
                <b/>
                <i val="0"/>
              </font>
              <fill>
                <patternFill>
                  <bgColor rgb="FFFF0000"/>
                </patternFill>
              </fill>
            </x14:dxf>
          </x14:cfRule>
          <xm:sqref>E8</xm:sqref>
        </x14:conditionalFormatting>
        <x14:conditionalFormatting xmlns:xm="http://schemas.microsoft.com/office/excel/2006/main">
          <x14:cfRule type="expression" priority="3" id="{A48BE0A6-D4D6-4A1A-81BD-3D9A862EF38F}">
            <xm:f>'CFG Setting'!$B$162&gt;1</xm:f>
            <x14:dxf>
              <font>
                <color theme="0"/>
              </font>
              <fill>
                <patternFill patternType="solid">
                  <bgColor theme="0"/>
                </patternFill>
              </fill>
            </x14:dxf>
          </x14:cfRule>
          <xm:sqref>E7:F8</xm:sqref>
        </x14:conditionalFormatting>
        <x14:conditionalFormatting xmlns:xm="http://schemas.microsoft.com/office/excel/2006/main">
          <x14:cfRule type="expression" priority="2" id="{73CDA68F-66A0-4DBB-A453-B573A47E208D}">
            <xm:f>'CFG Setting'!$B$162&gt;1</xm:f>
            <x14:dxf>
              <font>
                <color theme="0"/>
              </font>
              <fill>
                <patternFill patternType="solid">
                  <bgColor theme="0"/>
                </patternFill>
              </fill>
            </x14:dxf>
          </x14:cfRule>
          <xm:sqref>D6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92981-BA50-42C6-992B-8EA3E85B601A}">
  <sheetPr codeName="Sheet11"/>
  <dimension ref="A1:AM72"/>
  <sheetViews>
    <sheetView showGridLines="0" showRowColHeaders="0" zoomScaleNormal="100" workbookViewId="0">
      <selection activeCell="B6" sqref="B6"/>
    </sheetView>
  </sheetViews>
  <sheetFormatPr defaultColWidth="9.140625" defaultRowHeight="14.25" x14ac:dyDescent="0.2"/>
  <cols>
    <col min="1" max="1" width="25.7109375" style="585" bestFit="1" customWidth="1"/>
    <col min="2" max="2" width="56.5703125" style="586" customWidth="1"/>
    <col min="3" max="11" width="9.140625" style="579"/>
    <col min="12" max="12" width="20.42578125" style="579" customWidth="1"/>
    <col min="13" max="16384" width="9.140625" style="579"/>
  </cols>
  <sheetData>
    <row r="1" spans="1:12" x14ac:dyDescent="0.2">
      <c r="A1" s="840"/>
      <c r="B1" s="840"/>
      <c r="C1" s="840"/>
      <c r="D1" s="840"/>
      <c r="E1" s="840"/>
      <c r="F1" s="840"/>
      <c r="G1" s="840"/>
      <c r="H1" s="840"/>
      <c r="I1" s="840"/>
      <c r="J1" s="840"/>
      <c r="K1" s="840"/>
      <c r="L1" s="840"/>
    </row>
    <row r="2" spans="1:12" x14ac:dyDescent="0.2">
      <c r="A2" s="840"/>
      <c r="B2" s="840"/>
      <c r="C2" s="840"/>
      <c r="D2" s="840"/>
      <c r="E2" s="840"/>
      <c r="F2" s="840"/>
      <c r="G2" s="840"/>
      <c r="H2" s="840"/>
      <c r="I2" s="840"/>
      <c r="J2" s="840"/>
      <c r="K2" s="840"/>
      <c r="L2" s="840"/>
    </row>
    <row r="3" spans="1:12" x14ac:dyDescent="0.2">
      <c r="A3" s="840"/>
      <c r="B3" s="840"/>
      <c r="C3" s="840"/>
      <c r="D3" s="840"/>
      <c r="E3" s="840"/>
      <c r="F3" s="840"/>
      <c r="G3" s="840"/>
      <c r="H3" s="840"/>
      <c r="I3" s="840"/>
      <c r="J3" s="840"/>
      <c r="K3" s="840"/>
      <c r="L3" s="840"/>
    </row>
    <row r="4" spans="1:12" ht="12.75" customHeight="1" x14ac:dyDescent="0.2">
      <c r="A4" s="841"/>
      <c r="B4" s="841"/>
      <c r="C4" s="841"/>
      <c r="D4" s="841"/>
      <c r="E4" s="841"/>
      <c r="F4" s="841"/>
      <c r="G4" s="841"/>
      <c r="H4" s="841"/>
      <c r="I4" s="841"/>
      <c r="J4" s="841"/>
      <c r="K4" s="841"/>
      <c r="L4" s="841"/>
    </row>
    <row r="5" spans="1:12" x14ac:dyDescent="0.2">
      <c r="A5" s="580" t="s">
        <v>889</v>
      </c>
      <c r="B5" s="799" t="s">
        <v>1285</v>
      </c>
      <c r="C5" s="582"/>
      <c r="D5" s="582"/>
      <c r="E5" s="582"/>
      <c r="F5" s="582"/>
      <c r="G5" s="582"/>
      <c r="H5" s="582"/>
      <c r="I5" s="582"/>
      <c r="J5" s="582"/>
      <c r="K5" s="583"/>
      <c r="L5" s="584"/>
    </row>
    <row r="6" spans="1:12" x14ac:dyDescent="0.2">
      <c r="A6" s="580"/>
      <c r="B6" s="581"/>
      <c r="C6" s="582"/>
      <c r="D6" s="582"/>
      <c r="E6" s="582"/>
      <c r="F6" s="582"/>
      <c r="G6" s="582"/>
      <c r="H6" s="582"/>
      <c r="I6" s="582"/>
      <c r="J6" s="584"/>
      <c r="K6" s="584"/>
      <c r="L6" s="584"/>
    </row>
    <row r="35" spans="1:39" x14ac:dyDescent="0.2">
      <c r="A35" s="587" t="s">
        <v>890</v>
      </c>
      <c r="B35" s="588"/>
      <c r="C35" s="582"/>
      <c r="D35" s="582"/>
      <c r="E35" s="582"/>
      <c r="F35" s="582"/>
      <c r="G35" s="582"/>
      <c r="H35" s="582"/>
      <c r="I35" s="582"/>
      <c r="J35" s="582"/>
      <c r="K35" s="582"/>
    </row>
    <row r="36" spans="1:39" x14ac:dyDescent="0.2">
      <c r="A36" s="589" t="s">
        <v>891</v>
      </c>
      <c r="B36" s="842" t="s">
        <v>892</v>
      </c>
      <c r="C36" s="842"/>
      <c r="D36" s="842"/>
      <c r="E36" s="842"/>
      <c r="F36" s="842"/>
      <c r="G36" s="842"/>
      <c r="H36" s="842"/>
      <c r="I36" s="842"/>
      <c r="J36" s="842"/>
      <c r="K36" s="842"/>
    </row>
    <row r="37" spans="1:39" x14ac:dyDescent="0.2">
      <c r="A37" s="677" t="s">
        <v>906</v>
      </c>
      <c r="B37" s="843" t="s">
        <v>893</v>
      </c>
      <c r="C37" s="843"/>
      <c r="D37" s="843"/>
      <c r="E37" s="843"/>
      <c r="F37" s="843"/>
      <c r="G37" s="843"/>
      <c r="H37" s="843"/>
      <c r="I37" s="843"/>
      <c r="J37" s="843"/>
      <c r="K37" s="843"/>
    </row>
    <row r="38" spans="1:39" ht="14.25" customHeight="1" x14ac:dyDescent="0.2">
      <c r="A38" s="677" t="s">
        <v>1008</v>
      </c>
      <c r="B38" s="839" t="s">
        <v>1040</v>
      </c>
      <c r="C38" s="839"/>
      <c r="D38" s="839"/>
      <c r="E38" s="839"/>
      <c r="F38" s="839"/>
      <c r="G38" s="839"/>
      <c r="H38" s="839"/>
      <c r="I38" s="839"/>
      <c r="J38" s="839"/>
      <c r="K38" s="839"/>
    </row>
    <row r="39" spans="1:39" ht="14.25" customHeight="1" x14ac:dyDescent="0.2">
      <c r="A39" s="677" t="s">
        <v>1087</v>
      </c>
      <c r="B39" s="839" t="s">
        <v>1041</v>
      </c>
      <c r="C39" s="839"/>
      <c r="D39" s="839"/>
      <c r="E39" s="839"/>
      <c r="F39" s="839"/>
      <c r="G39" s="839"/>
      <c r="H39" s="839"/>
      <c r="I39" s="839"/>
      <c r="J39" s="839"/>
      <c r="K39" s="839"/>
    </row>
    <row r="40" spans="1:39" ht="14.25" customHeight="1" x14ac:dyDescent="0.2">
      <c r="A40" s="677"/>
      <c r="B40" s="839" t="s">
        <v>1042</v>
      </c>
      <c r="C40" s="839"/>
      <c r="D40" s="839"/>
      <c r="E40" s="839"/>
      <c r="F40" s="839"/>
      <c r="G40" s="839"/>
      <c r="H40" s="839"/>
      <c r="I40" s="839"/>
      <c r="J40" s="839"/>
      <c r="K40" s="839"/>
    </row>
    <row r="41" spans="1:39" ht="14.25" customHeight="1" x14ac:dyDescent="0.2">
      <c r="A41" s="677"/>
      <c r="B41" s="839" t="s">
        <v>1065</v>
      </c>
      <c r="C41" s="839"/>
      <c r="D41" s="839"/>
      <c r="E41" s="839"/>
      <c r="F41" s="839"/>
      <c r="G41" s="839"/>
      <c r="H41" s="839"/>
      <c r="I41" s="839"/>
      <c r="J41" s="839"/>
      <c r="K41" s="839"/>
    </row>
    <row r="42" spans="1:39" x14ac:dyDescent="0.2">
      <c r="A42" s="677"/>
      <c r="B42" s="839" t="s">
        <v>1081</v>
      </c>
      <c r="C42" s="839"/>
      <c r="D42" s="839"/>
      <c r="E42" s="839"/>
      <c r="F42" s="839"/>
      <c r="G42" s="839"/>
      <c r="H42" s="839"/>
      <c r="I42" s="839"/>
      <c r="J42" s="839"/>
      <c r="K42" s="839"/>
    </row>
    <row r="43" spans="1:39" x14ac:dyDescent="0.2">
      <c r="A43" s="677"/>
      <c r="B43" s="839" t="s">
        <v>1089</v>
      </c>
      <c r="C43" s="839"/>
      <c r="D43" s="839"/>
      <c r="E43" s="839"/>
      <c r="F43" s="839"/>
      <c r="G43" s="839"/>
      <c r="H43" s="839"/>
      <c r="I43" s="839"/>
      <c r="J43" s="839"/>
      <c r="K43" s="839"/>
    </row>
    <row r="44" spans="1:39" ht="15" x14ac:dyDescent="0.2">
      <c r="A44" s="677" t="s">
        <v>1088</v>
      </c>
      <c r="B44" s="839" t="s">
        <v>1095</v>
      </c>
      <c r="C44" s="839"/>
      <c r="D44" s="839"/>
      <c r="E44" s="839"/>
      <c r="F44" s="839"/>
      <c r="G44" s="839"/>
      <c r="H44" s="839"/>
      <c r="I44" s="839"/>
      <c r="J44" s="839"/>
      <c r="K44" s="839"/>
      <c r="L44" s="590"/>
      <c r="M44" s="590"/>
      <c r="N44" s="590"/>
      <c r="O44" s="590"/>
      <c r="P44" s="590"/>
      <c r="Q44" s="590"/>
      <c r="R44" s="590"/>
      <c r="S44" s="590"/>
      <c r="T44" s="590"/>
      <c r="U44" s="590"/>
      <c r="V44" s="590"/>
      <c r="W44" s="590"/>
      <c r="X44" s="590"/>
      <c r="Y44" s="590"/>
      <c r="Z44" s="590"/>
      <c r="AA44" s="590"/>
      <c r="AB44" s="590"/>
      <c r="AC44" s="590"/>
      <c r="AD44" s="590"/>
      <c r="AE44" s="590"/>
      <c r="AF44" s="590"/>
      <c r="AG44" s="590"/>
      <c r="AH44" s="590"/>
      <c r="AI44" s="590"/>
      <c r="AJ44" s="590"/>
      <c r="AK44" s="590"/>
      <c r="AL44" s="590"/>
      <c r="AM44" s="590"/>
    </row>
    <row r="45" spans="1:39" x14ac:dyDescent="0.2">
      <c r="A45" s="677"/>
      <c r="B45" s="839" t="s">
        <v>1101</v>
      </c>
      <c r="C45" s="839"/>
      <c r="D45" s="839"/>
      <c r="E45" s="839"/>
      <c r="F45" s="839"/>
      <c r="G45" s="839"/>
      <c r="H45" s="839"/>
      <c r="I45" s="839"/>
      <c r="J45" s="839"/>
      <c r="K45" s="839"/>
    </row>
    <row r="46" spans="1:39" x14ac:dyDescent="0.2">
      <c r="A46" s="677" t="s">
        <v>1096</v>
      </c>
      <c r="B46" s="839" t="s">
        <v>1100</v>
      </c>
      <c r="C46" s="839"/>
      <c r="D46" s="839"/>
      <c r="E46" s="839"/>
      <c r="F46" s="839"/>
      <c r="G46" s="839"/>
      <c r="H46" s="839"/>
      <c r="I46" s="839"/>
      <c r="J46" s="839"/>
      <c r="K46" s="839"/>
    </row>
    <row r="47" spans="1:39" x14ac:dyDescent="0.2">
      <c r="A47" s="677"/>
      <c r="B47" s="839" t="s">
        <v>1102</v>
      </c>
      <c r="C47" s="839"/>
      <c r="D47" s="839"/>
      <c r="E47" s="839"/>
      <c r="F47" s="839"/>
      <c r="G47" s="839"/>
      <c r="H47" s="839"/>
      <c r="I47" s="839"/>
      <c r="J47" s="839"/>
      <c r="K47" s="839"/>
    </row>
    <row r="48" spans="1:39" x14ac:dyDescent="0.2">
      <c r="A48" s="680"/>
      <c r="B48" s="839" t="s">
        <v>1108</v>
      </c>
      <c r="C48" s="839"/>
      <c r="D48" s="839"/>
      <c r="E48" s="839"/>
      <c r="F48" s="839"/>
      <c r="G48" s="839"/>
      <c r="H48" s="839"/>
      <c r="I48" s="839"/>
      <c r="J48" s="839"/>
      <c r="K48" s="839"/>
    </row>
    <row r="49" spans="1:11" ht="14.25" customHeight="1" x14ac:dyDescent="0.2">
      <c r="A49" s="677"/>
      <c r="B49" s="582" t="s">
        <v>1262</v>
      </c>
      <c r="C49" s="582"/>
      <c r="D49" s="582"/>
      <c r="E49" s="582"/>
      <c r="F49" s="582"/>
      <c r="G49" s="582"/>
      <c r="H49" s="582"/>
      <c r="I49" s="582"/>
      <c r="J49" s="582"/>
      <c r="K49" s="582"/>
    </row>
    <row r="50" spans="1:11" x14ac:dyDescent="0.2">
      <c r="A50" s="680"/>
      <c r="B50" s="582" t="s">
        <v>1109</v>
      </c>
      <c r="C50" s="582"/>
      <c r="D50" s="582"/>
      <c r="E50" s="582"/>
      <c r="F50" s="582"/>
      <c r="G50" s="582"/>
      <c r="H50" s="582"/>
      <c r="I50" s="582"/>
      <c r="J50" s="582"/>
      <c r="K50" s="582"/>
    </row>
    <row r="51" spans="1:11" x14ac:dyDescent="0.2">
      <c r="A51" s="680"/>
      <c r="B51" s="582" t="s">
        <v>1264</v>
      </c>
      <c r="C51" s="582"/>
      <c r="D51" s="582"/>
      <c r="E51" s="582"/>
      <c r="F51" s="582"/>
      <c r="G51" s="582"/>
      <c r="H51" s="582"/>
      <c r="I51" s="582"/>
      <c r="J51" s="582"/>
      <c r="K51" s="582"/>
    </row>
    <row r="52" spans="1:11" x14ac:dyDescent="0.2">
      <c r="A52" s="680"/>
      <c r="B52" s="582" t="s">
        <v>1190</v>
      </c>
      <c r="C52" s="582"/>
      <c r="D52" s="582"/>
      <c r="E52" s="582"/>
      <c r="F52" s="582"/>
      <c r="G52" s="582"/>
      <c r="H52" s="582"/>
      <c r="I52" s="582"/>
      <c r="J52" s="582"/>
      <c r="K52" s="582"/>
    </row>
    <row r="53" spans="1:11" x14ac:dyDescent="0.2">
      <c r="A53" s="680"/>
      <c r="B53" s="582" t="s">
        <v>1191</v>
      </c>
      <c r="C53" s="582"/>
      <c r="D53" s="582"/>
      <c r="E53" s="582"/>
      <c r="F53" s="582"/>
      <c r="G53" s="582"/>
      <c r="H53" s="582"/>
      <c r="I53" s="582"/>
      <c r="J53" s="582"/>
      <c r="K53" s="582"/>
    </row>
    <row r="54" spans="1:11" x14ac:dyDescent="0.2">
      <c r="A54" s="680"/>
      <c r="B54" s="582" t="s">
        <v>1251</v>
      </c>
      <c r="C54" s="582"/>
      <c r="D54" s="582"/>
      <c r="E54" s="582"/>
      <c r="F54" s="582"/>
      <c r="G54" s="582"/>
      <c r="H54" s="582"/>
      <c r="I54" s="582"/>
      <c r="J54" s="582"/>
      <c r="K54" s="582"/>
    </row>
    <row r="55" spans="1:11" x14ac:dyDescent="0.2">
      <c r="A55" s="677" t="s">
        <v>1263</v>
      </c>
      <c r="B55" s="582" t="s">
        <v>1265</v>
      </c>
      <c r="C55" s="582"/>
      <c r="D55" s="582"/>
      <c r="E55" s="582"/>
      <c r="F55" s="582"/>
      <c r="G55" s="582"/>
      <c r="H55" s="582"/>
      <c r="I55" s="582"/>
      <c r="J55" s="582"/>
      <c r="K55" s="582"/>
    </row>
    <row r="56" spans="1:11" x14ac:dyDescent="0.2">
      <c r="A56" s="680"/>
      <c r="B56" s="582" t="s">
        <v>1267</v>
      </c>
      <c r="C56" s="582"/>
      <c r="D56" s="582"/>
      <c r="E56" s="582"/>
      <c r="F56" s="582"/>
      <c r="G56" s="582"/>
      <c r="H56" s="582"/>
      <c r="I56" s="582"/>
      <c r="J56" s="582"/>
      <c r="K56" s="582"/>
    </row>
    <row r="57" spans="1:11" x14ac:dyDescent="0.2">
      <c r="A57" s="680"/>
      <c r="B57" s="582" t="s">
        <v>1276</v>
      </c>
      <c r="C57" s="582"/>
      <c r="D57" s="582"/>
      <c r="E57" s="582"/>
      <c r="F57" s="582"/>
      <c r="G57" s="582"/>
      <c r="H57" s="582"/>
      <c r="I57" s="582"/>
      <c r="J57" s="582"/>
      <c r="K57" s="582"/>
    </row>
    <row r="58" spans="1:11" x14ac:dyDescent="0.2">
      <c r="A58" s="680"/>
      <c r="B58" s="689" t="s">
        <v>1273</v>
      </c>
      <c r="C58" s="689"/>
      <c r="D58" s="689"/>
      <c r="E58" s="689"/>
      <c r="F58" s="689"/>
      <c r="G58" s="689"/>
      <c r="H58" s="689"/>
      <c r="I58" s="689"/>
      <c r="J58" s="689"/>
      <c r="K58" s="689"/>
    </row>
    <row r="59" spans="1:11" x14ac:dyDescent="0.2">
      <c r="A59" s="677" t="s">
        <v>1285</v>
      </c>
      <c r="B59" s="689" t="s">
        <v>1283</v>
      </c>
    </row>
    <row r="60" spans="1:11" x14ac:dyDescent="0.2">
      <c r="A60" s="680"/>
      <c r="B60" s="689" t="s">
        <v>1284</v>
      </c>
    </row>
    <row r="61" spans="1:11" x14ac:dyDescent="0.2">
      <c r="A61" s="680"/>
      <c r="B61" s="689"/>
    </row>
    <row r="62" spans="1:11" x14ac:dyDescent="0.2">
      <c r="A62" s="680"/>
      <c r="B62" s="689"/>
    </row>
    <row r="63" spans="1:11" x14ac:dyDescent="0.2">
      <c r="A63" s="680"/>
      <c r="B63" s="689"/>
    </row>
    <row r="64" spans="1:11" x14ac:dyDescent="0.2">
      <c r="A64" s="680"/>
      <c r="B64" s="689"/>
    </row>
    <row r="65" spans="1:2" x14ac:dyDescent="0.2">
      <c r="A65" s="680"/>
      <c r="B65" s="689"/>
    </row>
    <row r="66" spans="1:2" x14ac:dyDescent="0.2">
      <c r="A66" s="680"/>
      <c r="B66" s="689"/>
    </row>
    <row r="67" spans="1:2" x14ac:dyDescent="0.2">
      <c r="A67" s="680"/>
      <c r="B67" s="689"/>
    </row>
    <row r="68" spans="1:2" x14ac:dyDescent="0.2">
      <c r="A68" s="680"/>
      <c r="B68" s="689"/>
    </row>
    <row r="69" spans="1:2" x14ac:dyDescent="0.2">
      <c r="A69" s="680"/>
      <c r="B69" s="689"/>
    </row>
    <row r="70" spans="1:2" x14ac:dyDescent="0.2">
      <c r="A70" s="680"/>
    </row>
    <row r="71" spans="1:2" x14ac:dyDescent="0.2">
      <c r="A71" s="680"/>
    </row>
    <row r="72" spans="1:2" x14ac:dyDescent="0.2">
      <c r="A72" s="680"/>
    </row>
  </sheetData>
  <sheetProtection algorithmName="SHA-512" hashValue="/Pmpl+TaBE6zZNwn1qv5XP24k9ho6PUUNP5MoAi/W/z4JZS7qBmKx1r1X/O9fzZgDcgn2wZYgWhZe05tNw+ENA==" saltValue="QM6eVukCD2XMp1M5YM/L+g==" spinCount="100000" sheet="1" objects="1" scenarios="1" selectLockedCells="1" selectUnlockedCells="1"/>
  <mergeCells count="15">
    <mergeCell ref="B48:K48"/>
    <mergeCell ref="B40:K40"/>
    <mergeCell ref="A1:L3"/>
    <mergeCell ref="A4:L4"/>
    <mergeCell ref="B36:K36"/>
    <mergeCell ref="B37:K37"/>
    <mergeCell ref="B38:K38"/>
    <mergeCell ref="B39:K39"/>
    <mergeCell ref="B46:K46"/>
    <mergeCell ref="B47:K47"/>
    <mergeCell ref="B41:K41"/>
    <mergeCell ref="B42:K42"/>
    <mergeCell ref="B43:K43"/>
    <mergeCell ref="B44:K44"/>
    <mergeCell ref="B45:K45"/>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A49" zoomScale="85" zoomScaleNormal="85" workbookViewId="0">
      <selection activeCell="C52" sqref="C52"/>
    </sheetView>
  </sheetViews>
  <sheetFormatPr defaultRowHeight="12.75" x14ac:dyDescent="0.2"/>
  <cols>
    <col min="1" max="1" width="9.5703125" style="214" customWidth="1"/>
    <col min="2" max="2" width="20.28515625" style="214" customWidth="1"/>
    <col min="3" max="3" width="16.140625" style="214" customWidth="1"/>
    <col min="4" max="4" width="24.85546875" style="214" customWidth="1"/>
    <col min="5" max="5" width="17.28515625" style="214" customWidth="1"/>
    <col min="6" max="6" width="20.5703125" style="214" bestFit="1" customWidth="1"/>
    <col min="7" max="7" width="9.7109375" style="214" customWidth="1"/>
    <col min="8" max="8" width="16.140625" style="214" customWidth="1"/>
    <col min="9" max="9" width="15.5703125" style="214" bestFit="1" customWidth="1"/>
    <col min="10" max="10" width="18.42578125" style="214" customWidth="1"/>
    <col min="11" max="11" width="26.42578125" style="214" customWidth="1"/>
    <col min="12" max="12" width="9.140625" style="214"/>
    <col min="13" max="13" width="9.140625" style="215"/>
    <col min="14" max="256" width="9.140625" style="214"/>
    <col min="257" max="257" width="8.7109375" style="214" bestFit="1" customWidth="1"/>
    <col min="258" max="258" width="13.28515625" style="214" customWidth="1"/>
    <col min="259" max="259" width="16.140625" style="214" bestFit="1" customWidth="1"/>
    <col min="260" max="260" width="23.5703125" style="214" customWidth="1"/>
    <col min="261" max="261" width="17.28515625" style="214" customWidth="1"/>
    <col min="262" max="262" width="20.5703125" style="214" bestFit="1" customWidth="1"/>
    <col min="263" max="263" width="17.140625" style="214" customWidth="1"/>
    <col min="264" max="264" width="21.85546875" style="214" bestFit="1" customWidth="1"/>
    <col min="265" max="265" width="17.140625" style="214" bestFit="1" customWidth="1"/>
    <col min="266" max="266" width="18.140625" style="214" bestFit="1" customWidth="1"/>
    <col min="267" max="267" width="26.42578125" style="214" customWidth="1"/>
    <col min="268" max="512" width="9.140625" style="214"/>
    <col min="513" max="513" width="8.7109375" style="214" bestFit="1" customWidth="1"/>
    <col min="514" max="514" width="13.28515625" style="214" customWidth="1"/>
    <col min="515" max="515" width="16.140625" style="214" bestFit="1" customWidth="1"/>
    <col min="516" max="516" width="23.5703125" style="214" customWidth="1"/>
    <col min="517" max="517" width="17.28515625" style="214" customWidth="1"/>
    <col min="518" max="518" width="20.5703125" style="214" bestFit="1" customWidth="1"/>
    <col min="519" max="519" width="17.140625" style="214" customWidth="1"/>
    <col min="520" max="520" width="21.85546875" style="214" bestFit="1" customWidth="1"/>
    <col min="521" max="521" width="17.140625" style="214" bestFit="1" customWidth="1"/>
    <col min="522" max="522" width="18.140625" style="214" bestFit="1" customWidth="1"/>
    <col min="523" max="523" width="26.42578125" style="214" customWidth="1"/>
    <col min="524" max="768" width="9.140625" style="214"/>
    <col min="769" max="769" width="8.7109375" style="214" bestFit="1" customWidth="1"/>
    <col min="770" max="770" width="13.28515625" style="214" customWidth="1"/>
    <col min="771" max="771" width="16.140625" style="214" bestFit="1" customWidth="1"/>
    <col min="772" max="772" width="23.5703125" style="214" customWidth="1"/>
    <col min="773" max="773" width="17.28515625" style="214" customWidth="1"/>
    <col min="774" max="774" width="20.5703125" style="214" bestFit="1" customWidth="1"/>
    <col min="775" max="775" width="17.140625" style="214" customWidth="1"/>
    <col min="776" max="776" width="21.85546875" style="214" bestFit="1" customWidth="1"/>
    <col min="777" max="777" width="17.140625" style="214" bestFit="1" customWidth="1"/>
    <col min="778" max="778" width="18.140625" style="214" bestFit="1" customWidth="1"/>
    <col min="779" max="779" width="26.42578125" style="214" customWidth="1"/>
    <col min="780" max="1024" width="9.140625" style="214"/>
    <col min="1025" max="1025" width="8.7109375" style="214" bestFit="1" customWidth="1"/>
    <col min="1026" max="1026" width="13.28515625" style="214" customWidth="1"/>
    <col min="1027" max="1027" width="16.140625" style="214" bestFit="1" customWidth="1"/>
    <col min="1028" max="1028" width="23.5703125" style="214" customWidth="1"/>
    <col min="1029" max="1029" width="17.28515625" style="214" customWidth="1"/>
    <col min="1030" max="1030" width="20.5703125" style="214" bestFit="1" customWidth="1"/>
    <col min="1031" max="1031" width="17.140625" style="214" customWidth="1"/>
    <col min="1032" max="1032" width="21.85546875" style="214" bestFit="1" customWidth="1"/>
    <col min="1033" max="1033" width="17.140625" style="214" bestFit="1" customWidth="1"/>
    <col min="1034" max="1034" width="18.140625" style="214" bestFit="1" customWidth="1"/>
    <col min="1035" max="1035" width="26.42578125" style="214" customWidth="1"/>
    <col min="1036" max="1280" width="9.140625" style="214"/>
    <col min="1281" max="1281" width="8.7109375" style="214" bestFit="1" customWidth="1"/>
    <col min="1282" max="1282" width="13.28515625" style="214" customWidth="1"/>
    <col min="1283" max="1283" width="16.140625" style="214" bestFit="1" customWidth="1"/>
    <col min="1284" max="1284" width="23.5703125" style="214" customWidth="1"/>
    <col min="1285" max="1285" width="17.28515625" style="214" customWidth="1"/>
    <col min="1286" max="1286" width="20.5703125" style="214" bestFit="1" customWidth="1"/>
    <col min="1287" max="1287" width="17.140625" style="214" customWidth="1"/>
    <col min="1288" max="1288" width="21.85546875" style="214" bestFit="1" customWidth="1"/>
    <col min="1289" max="1289" width="17.140625" style="214" bestFit="1" customWidth="1"/>
    <col min="1290" max="1290" width="18.140625" style="214" bestFit="1" customWidth="1"/>
    <col min="1291" max="1291" width="26.42578125" style="214" customWidth="1"/>
    <col min="1292" max="1536" width="9.140625" style="214"/>
    <col min="1537" max="1537" width="8.7109375" style="214" bestFit="1" customWidth="1"/>
    <col min="1538" max="1538" width="13.28515625" style="214" customWidth="1"/>
    <col min="1539" max="1539" width="16.140625" style="214" bestFit="1" customWidth="1"/>
    <col min="1540" max="1540" width="23.5703125" style="214" customWidth="1"/>
    <col min="1541" max="1541" width="17.28515625" style="214" customWidth="1"/>
    <col min="1542" max="1542" width="20.5703125" style="214" bestFit="1" customWidth="1"/>
    <col min="1543" max="1543" width="17.140625" style="214" customWidth="1"/>
    <col min="1544" max="1544" width="21.85546875" style="214" bestFit="1" customWidth="1"/>
    <col min="1545" max="1545" width="17.140625" style="214" bestFit="1" customWidth="1"/>
    <col min="1546" max="1546" width="18.140625" style="214" bestFit="1" customWidth="1"/>
    <col min="1547" max="1547" width="26.42578125" style="214" customWidth="1"/>
    <col min="1548" max="1792" width="9.140625" style="214"/>
    <col min="1793" max="1793" width="8.7109375" style="214" bestFit="1" customWidth="1"/>
    <col min="1794" max="1794" width="13.28515625" style="214" customWidth="1"/>
    <col min="1795" max="1795" width="16.140625" style="214" bestFit="1" customWidth="1"/>
    <col min="1796" max="1796" width="23.5703125" style="214" customWidth="1"/>
    <col min="1797" max="1797" width="17.28515625" style="214" customWidth="1"/>
    <col min="1798" max="1798" width="20.5703125" style="214" bestFit="1" customWidth="1"/>
    <col min="1799" max="1799" width="17.140625" style="214" customWidth="1"/>
    <col min="1800" max="1800" width="21.85546875" style="214" bestFit="1" customWidth="1"/>
    <col min="1801" max="1801" width="17.140625" style="214" bestFit="1" customWidth="1"/>
    <col min="1802" max="1802" width="18.140625" style="214" bestFit="1" customWidth="1"/>
    <col min="1803" max="1803" width="26.42578125" style="214" customWidth="1"/>
    <col min="1804" max="2048" width="9.140625" style="214"/>
    <col min="2049" max="2049" width="8.7109375" style="214" bestFit="1" customWidth="1"/>
    <col min="2050" max="2050" width="13.28515625" style="214" customWidth="1"/>
    <col min="2051" max="2051" width="16.140625" style="214" bestFit="1" customWidth="1"/>
    <col min="2052" max="2052" width="23.5703125" style="214" customWidth="1"/>
    <col min="2053" max="2053" width="17.28515625" style="214" customWidth="1"/>
    <col min="2054" max="2054" width="20.5703125" style="214" bestFit="1" customWidth="1"/>
    <col min="2055" max="2055" width="17.140625" style="214" customWidth="1"/>
    <col min="2056" max="2056" width="21.85546875" style="214" bestFit="1" customWidth="1"/>
    <col min="2057" max="2057" width="17.140625" style="214" bestFit="1" customWidth="1"/>
    <col min="2058" max="2058" width="18.140625" style="214" bestFit="1" customWidth="1"/>
    <col min="2059" max="2059" width="26.42578125" style="214" customWidth="1"/>
    <col min="2060" max="2304" width="9.140625" style="214"/>
    <col min="2305" max="2305" width="8.7109375" style="214" bestFit="1" customWidth="1"/>
    <col min="2306" max="2306" width="13.28515625" style="214" customWidth="1"/>
    <col min="2307" max="2307" width="16.140625" style="214" bestFit="1" customWidth="1"/>
    <col min="2308" max="2308" width="23.5703125" style="214" customWidth="1"/>
    <col min="2309" max="2309" width="17.28515625" style="214" customWidth="1"/>
    <col min="2310" max="2310" width="20.5703125" style="214" bestFit="1" customWidth="1"/>
    <col min="2311" max="2311" width="17.140625" style="214" customWidth="1"/>
    <col min="2312" max="2312" width="21.85546875" style="214" bestFit="1" customWidth="1"/>
    <col min="2313" max="2313" width="17.140625" style="214" bestFit="1" customWidth="1"/>
    <col min="2314" max="2314" width="18.140625" style="214" bestFit="1" customWidth="1"/>
    <col min="2315" max="2315" width="26.42578125" style="214" customWidth="1"/>
    <col min="2316" max="2560" width="9.140625" style="214"/>
    <col min="2561" max="2561" width="8.7109375" style="214" bestFit="1" customWidth="1"/>
    <col min="2562" max="2562" width="13.28515625" style="214" customWidth="1"/>
    <col min="2563" max="2563" width="16.140625" style="214" bestFit="1" customWidth="1"/>
    <col min="2564" max="2564" width="23.5703125" style="214" customWidth="1"/>
    <col min="2565" max="2565" width="17.28515625" style="214" customWidth="1"/>
    <col min="2566" max="2566" width="20.5703125" style="214" bestFit="1" customWidth="1"/>
    <col min="2567" max="2567" width="17.140625" style="214" customWidth="1"/>
    <col min="2568" max="2568" width="21.85546875" style="214" bestFit="1" customWidth="1"/>
    <col min="2569" max="2569" width="17.140625" style="214" bestFit="1" customWidth="1"/>
    <col min="2570" max="2570" width="18.140625" style="214" bestFit="1" customWidth="1"/>
    <col min="2571" max="2571" width="26.42578125" style="214" customWidth="1"/>
    <col min="2572" max="2816" width="9.140625" style="214"/>
    <col min="2817" max="2817" width="8.7109375" style="214" bestFit="1" customWidth="1"/>
    <col min="2818" max="2818" width="13.28515625" style="214" customWidth="1"/>
    <col min="2819" max="2819" width="16.140625" style="214" bestFit="1" customWidth="1"/>
    <col min="2820" max="2820" width="23.5703125" style="214" customWidth="1"/>
    <col min="2821" max="2821" width="17.28515625" style="214" customWidth="1"/>
    <col min="2822" max="2822" width="20.5703125" style="214" bestFit="1" customWidth="1"/>
    <col min="2823" max="2823" width="17.140625" style="214" customWidth="1"/>
    <col min="2824" max="2824" width="21.85546875" style="214" bestFit="1" customWidth="1"/>
    <col min="2825" max="2825" width="17.140625" style="214" bestFit="1" customWidth="1"/>
    <col min="2826" max="2826" width="18.140625" style="214" bestFit="1" customWidth="1"/>
    <col min="2827" max="2827" width="26.42578125" style="214" customWidth="1"/>
    <col min="2828" max="3072" width="9.140625" style="214"/>
    <col min="3073" max="3073" width="8.7109375" style="214" bestFit="1" customWidth="1"/>
    <col min="3074" max="3074" width="13.28515625" style="214" customWidth="1"/>
    <col min="3075" max="3075" width="16.140625" style="214" bestFit="1" customWidth="1"/>
    <col min="3076" max="3076" width="23.5703125" style="214" customWidth="1"/>
    <col min="3077" max="3077" width="17.28515625" style="214" customWidth="1"/>
    <col min="3078" max="3078" width="20.5703125" style="214" bestFit="1" customWidth="1"/>
    <col min="3079" max="3079" width="17.140625" style="214" customWidth="1"/>
    <col min="3080" max="3080" width="21.85546875" style="214" bestFit="1" customWidth="1"/>
    <col min="3081" max="3081" width="17.140625" style="214" bestFit="1" customWidth="1"/>
    <col min="3082" max="3082" width="18.140625" style="214" bestFit="1" customWidth="1"/>
    <col min="3083" max="3083" width="26.42578125" style="214" customWidth="1"/>
    <col min="3084" max="3328" width="9.140625" style="214"/>
    <col min="3329" max="3329" width="8.7109375" style="214" bestFit="1" customWidth="1"/>
    <col min="3330" max="3330" width="13.28515625" style="214" customWidth="1"/>
    <col min="3331" max="3331" width="16.140625" style="214" bestFit="1" customWidth="1"/>
    <col min="3332" max="3332" width="23.5703125" style="214" customWidth="1"/>
    <col min="3333" max="3333" width="17.28515625" style="214" customWidth="1"/>
    <col min="3334" max="3334" width="20.5703125" style="214" bestFit="1" customWidth="1"/>
    <col min="3335" max="3335" width="17.140625" style="214" customWidth="1"/>
    <col min="3336" max="3336" width="21.85546875" style="214" bestFit="1" customWidth="1"/>
    <col min="3337" max="3337" width="17.140625" style="214" bestFit="1" customWidth="1"/>
    <col min="3338" max="3338" width="18.140625" style="214" bestFit="1" customWidth="1"/>
    <col min="3339" max="3339" width="26.42578125" style="214" customWidth="1"/>
    <col min="3340" max="3584" width="9.140625" style="214"/>
    <col min="3585" max="3585" width="8.7109375" style="214" bestFit="1" customWidth="1"/>
    <col min="3586" max="3586" width="13.28515625" style="214" customWidth="1"/>
    <col min="3587" max="3587" width="16.140625" style="214" bestFit="1" customWidth="1"/>
    <col min="3588" max="3588" width="23.5703125" style="214" customWidth="1"/>
    <col min="3589" max="3589" width="17.28515625" style="214" customWidth="1"/>
    <col min="3590" max="3590" width="20.5703125" style="214" bestFit="1" customWidth="1"/>
    <col min="3591" max="3591" width="17.140625" style="214" customWidth="1"/>
    <col min="3592" max="3592" width="21.85546875" style="214" bestFit="1" customWidth="1"/>
    <col min="3593" max="3593" width="17.140625" style="214" bestFit="1" customWidth="1"/>
    <col min="3594" max="3594" width="18.140625" style="214" bestFit="1" customWidth="1"/>
    <col min="3595" max="3595" width="26.42578125" style="214" customWidth="1"/>
    <col min="3596" max="3840" width="9.140625" style="214"/>
    <col min="3841" max="3841" width="8.7109375" style="214" bestFit="1" customWidth="1"/>
    <col min="3842" max="3842" width="13.28515625" style="214" customWidth="1"/>
    <col min="3843" max="3843" width="16.140625" style="214" bestFit="1" customWidth="1"/>
    <col min="3844" max="3844" width="23.5703125" style="214" customWidth="1"/>
    <col min="3845" max="3845" width="17.28515625" style="214" customWidth="1"/>
    <col min="3846" max="3846" width="20.5703125" style="214" bestFit="1" customWidth="1"/>
    <col min="3847" max="3847" width="17.140625" style="214" customWidth="1"/>
    <col min="3848" max="3848" width="21.85546875" style="214" bestFit="1" customWidth="1"/>
    <col min="3849" max="3849" width="17.140625" style="214" bestFit="1" customWidth="1"/>
    <col min="3850" max="3850" width="18.140625" style="214" bestFit="1" customWidth="1"/>
    <col min="3851" max="3851" width="26.42578125" style="214" customWidth="1"/>
    <col min="3852" max="4096" width="9.140625" style="214"/>
    <col min="4097" max="4097" width="8.7109375" style="214" bestFit="1" customWidth="1"/>
    <col min="4098" max="4098" width="13.28515625" style="214" customWidth="1"/>
    <col min="4099" max="4099" width="16.140625" style="214" bestFit="1" customWidth="1"/>
    <col min="4100" max="4100" width="23.5703125" style="214" customWidth="1"/>
    <col min="4101" max="4101" width="17.28515625" style="214" customWidth="1"/>
    <col min="4102" max="4102" width="20.5703125" style="214" bestFit="1" customWidth="1"/>
    <col min="4103" max="4103" width="17.140625" style="214" customWidth="1"/>
    <col min="4104" max="4104" width="21.85546875" style="214" bestFit="1" customWidth="1"/>
    <col min="4105" max="4105" width="17.140625" style="214" bestFit="1" customWidth="1"/>
    <col min="4106" max="4106" width="18.140625" style="214" bestFit="1" customWidth="1"/>
    <col min="4107" max="4107" width="26.42578125" style="214" customWidth="1"/>
    <col min="4108" max="4352" width="9.140625" style="214"/>
    <col min="4353" max="4353" width="8.7109375" style="214" bestFit="1" customWidth="1"/>
    <col min="4354" max="4354" width="13.28515625" style="214" customWidth="1"/>
    <col min="4355" max="4355" width="16.140625" style="214" bestFit="1" customWidth="1"/>
    <col min="4356" max="4356" width="23.5703125" style="214" customWidth="1"/>
    <col min="4357" max="4357" width="17.28515625" style="214" customWidth="1"/>
    <col min="4358" max="4358" width="20.5703125" style="214" bestFit="1" customWidth="1"/>
    <col min="4359" max="4359" width="17.140625" style="214" customWidth="1"/>
    <col min="4360" max="4360" width="21.85546875" style="214" bestFit="1" customWidth="1"/>
    <col min="4361" max="4361" width="17.140625" style="214" bestFit="1" customWidth="1"/>
    <col min="4362" max="4362" width="18.140625" style="214" bestFit="1" customWidth="1"/>
    <col min="4363" max="4363" width="26.42578125" style="214" customWidth="1"/>
    <col min="4364" max="4608" width="9.140625" style="214"/>
    <col min="4609" max="4609" width="8.7109375" style="214" bestFit="1" customWidth="1"/>
    <col min="4610" max="4610" width="13.28515625" style="214" customWidth="1"/>
    <col min="4611" max="4611" width="16.140625" style="214" bestFit="1" customWidth="1"/>
    <col min="4612" max="4612" width="23.5703125" style="214" customWidth="1"/>
    <col min="4613" max="4613" width="17.28515625" style="214" customWidth="1"/>
    <col min="4614" max="4614" width="20.5703125" style="214" bestFit="1" customWidth="1"/>
    <col min="4615" max="4615" width="17.140625" style="214" customWidth="1"/>
    <col min="4616" max="4616" width="21.85546875" style="214" bestFit="1" customWidth="1"/>
    <col min="4617" max="4617" width="17.140625" style="214" bestFit="1" customWidth="1"/>
    <col min="4618" max="4618" width="18.140625" style="214" bestFit="1" customWidth="1"/>
    <col min="4619" max="4619" width="26.42578125" style="214" customWidth="1"/>
    <col min="4620" max="4864" width="9.140625" style="214"/>
    <col min="4865" max="4865" width="8.7109375" style="214" bestFit="1" customWidth="1"/>
    <col min="4866" max="4866" width="13.28515625" style="214" customWidth="1"/>
    <col min="4867" max="4867" width="16.140625" style="214" bestFit="1" customWidth="1"/>
    <col min="4868" max="4868" width="23.5703125" style="214" customWidth="1"/>
    <col min="4869" max="4869" width="17.28515625" style="214" customWidth="1"/>
    <col min="4870" max="4870" width="20.5703125" style="214" bestFit="1" customWidth="1"/>
    <col min="4871" max="4871" width="17.140625" style="214" customWidth="1"/>
    <col min="4872" max="4872" width="21.85546875" style="214" bestFit="1" customWidth="1"/>
    <col min="4873" max="4873" width="17.140625" style="214" bestFit="1" customWidth="1"/>
    <col min="4874" max="4874" width="18.140625" style="214" bestFit="1" customWidth="1"/>
    <col min="4875" max="4875" width="26.42578125" style="214" customWidth="1"/>
    <col min="4876" max="5120" width="9.140625" style="214"/>
    <col min="5121" max="5121" width="8.7109375" style="214" bestFit="1" customWidth="1"/>
    <col min="5122" max="5122" width="13.28515625" style="214" customWidth="1"/>
    <col min="5123" max="5123" width="16.140625" style="214" bestFit="1" customWidth="1"/>
    <col min="5124" max="5124" width="23.5703125" style="214" customWidth="1"/>
    <col min="5125" max="5125" width="17.28515625" style="214" customWidth="1"/>
    <col min="5126" max="5126" width="20.5703125" style="214" bestFit="1" customWidth="1"/>
    <col min="5127" max="5127" width="17.140625" style="214" customWidth="1"/>
    <col min="5128" max="5128" width="21.85546875" style="214" bestFit="1" customWidth="1"/>
    <col min="5129" max="5129" width="17.140625" style="214" bestFit="1" customWidth="1"/>
    <col min="5130" max="5130" width="18.140625" style="214" bestFit="1" customWidth="1"/>
    <col min="5131" max="5131" width="26.42578125" style="214" customWidth="1"/>
    <col min="5132" max="5376" width="9.140625" style="214"/>
    <col min="5377" max="5377" width="8.7109375" style="214" bestFit="1" customWidth="1"/>
    <col min="5378" max="5378" width="13.28515625" style="214" customWidth="1"/>
    <col min="5379" max="5379" width="16.140625" style="214" bestFit="1" customWidth="1"/>
    <col min="5380" max="5380" width="23.5703125" style="214" customWidth="1"/>
    <col min="5381" max="5381" width="17.28515625" style="214" customWidth="1"/>
    <col min="5382" max="5382" width="20.5703125" style="214" bestFit="1" customWidth="1"/>
    <col min="5383" max="5383" width="17.140625" style="214" customWidth="1"/>
    <col min="5384" max="5384" width="21.85546875" style="214" bestFit="1" customWidth="1"/>
    <col min="5385" max="5385" width="17.140625" style="214" bestFit="1" customWidth="1"/>
    <col min="5386" max="5386" width="18.140625" style="214" bestFit="1" customWidth="1"/>
    <col min="5387" max="5387" width="26.42578125" style="214" customWidth="1"/>
    <col min="5388" max="5632" width="9.140625" style="214"/>
    <col min="5633" max="5633" width="8.7109375" style="214" bestFit="1" customWidth="1"/>
    <col min="5634" max="5634" width="13.28515625" style="214" customWidth="1"/>
    <col min="5635" max="5635" width="16.140625" style="214" bestFit="1" customWidth="1"/>
    <col min="5636" max="5636" width="23.5703125" style="214" customWidth="1"/>
    <col min="5637" max="5637" width="17.28515625" style="214" customWidth="1"/>
    <col min="5638" max="5638" width="20.5703125" style="214" bestFit="1" customWidth="1"/>
    <col min="5639" max="5639" width="17.140625" style="214" customWidth="1"/>
    <col min="5640" max="5640" width="21.85546875" style="214" bestFit="1" customWidth="1"/>
    <col min="5641" max="5641" width="17.140625" style="214" bestFit="1" customWidth="1"/>
    <col min="5642" max="5642" width="18.140625" style="214" bestFit="1" customWidth="1"/>
    <col min="5643" max="5643" width="26.42578125" style="214" customWidth="1"/>
    <col min="5644" max="5888" width="9.140625" style="214"/>
    <col min="5889" max="5889" width="8.7109375" style="214" bestFit="1" customWidth="1"/>
    <col min="5890" max="5890" width="13.28515625" style="214" customWidth="1"/>
    <col min="5891" max="5891" width="16.140625" style="214" bestFit="1" customWidth="1"/>
    <col min="5892" max="5892" width="23.5703125" style="214" customWidth="1"/>
    <col min="5893" max="5893" width="17.28515625" style="214" customWidth="1"/>
    <col min="5894" max="5894" width="20.5703125" style="214" bestFit="1" customWidth="1"/>
    <col min="5895" max="5895" width="17.140625" style="214" customWidth="1"/>
    <col min="5896" max="5896" width="21.85546875" style="214" bestFit="1" customWidth="1"/>
    <col min="5897" max="5897" width="17.140625" style="214" bestFit="1" customWidth="1"/>
    <col min="5898" max="5898" width="18.140625" style="214" bestFit="1" customWidth="1"/>
    <col min="5899" max="5899" width="26.42578125" style="214" customWidth="1"/>
    <col min="5900" max="6144" width="9.140625" style="214"/>
    <col min="6145" max="6145" width="8.7109375" style="214" bestFit="1" customWidth="1"/>
    <col min="6146" max="6146" width="13.28515625" style="214" customWidth="1"/>
    <col min="6147" max="6147" width="16.140625" style="214" bestFit="1" customWidth="1"/>
    <col min="6148" max="6148" width="23.5703125" style="214" customWidth="1"/>
    <col min="6149" max="6149" width="17.28515625" style="214" customWidth="1"/>
    <col min="6150" max="6150" width="20.5703125" style="214" bestFit="1" customWidth="1"/>
    <col min="6151" max="6151" width="17.140625" style="214" customWidth="1"/>
    <col min="6152" max="6152" width="21.85546875" style="214" bestFit="1" customWidth="1"/>
    <col min="6153" max="6153" width="17.140625" style="214" bestFit="1" customWidth="1"/>
    <col min="6154" max="6154" width="18.140625" style="214" bestFit="1" customWidth="1"/>
    <col min="6155" max="6155" width="26.42578125" style="214" customWidth="1"/>
    <col min="6156" max="6400" width="9.140625" style="214"/>
    <col min="6401" max="6401" width="8.7109375" style="214" bestFit="1" customWidth="1"/>
    <col min="6402" max="6402" width="13.28515625" style="214" customWidth="1"/>
    <col min="6403" max="6403" width="16.140625" style="214" bestFit="1" customWidth="1"/>
    <col min="6404" max="6404" width="23.5703125" style="214" customWidth="1"/>
    <col min="6405" max="6405" width="17.28515625" style="214" customWidth="1"/>
    <col min="6406" max="6406" width="20.5703125" style="214" bestFit="1" customWidth="1"/>
    <col min="6407" max="6407" width="17.140625" style="214" customWidth="1"/>
    <col min="6408" max="6408" width="21.85546875" style="214" bestFit="1" customWidth="1"/>
    <col min="6409" max="6409" width="17.140625" style="214" bestFit="1" customWidth="1"/>
    <col min="6410" max="6410" width="18.140625" style="214" bestFit="1" customWidth="1"/>
    <col min="6411" max="6411" width="26.42578125" style="214" customWidth="1"/>
    <col min="6412" max="6656" width="9.140625" style="214"/>
    <col min="6657" max="6657" width="8.7109375" style="214" bestFit="1" customWidth="1"/>
    <col min="6658" max="6658" width="13.28515625" style="214" customWidth="1"/>
    <col min="6659" max="6659" width="16.140625" style="214" bestFit="1" customWidth="1"/>
    <col min="6660" max="6660" width="23.5703125" style="214" customWidth="1"/>
    <col min="6661" max="6661" width="17.28515625" style="214" customWidth="1"/>
    <col min="6662" max="6662" width="20.5703125" style="214" bestFit="1" customWidth="1"/>
    <col min="6663" max="6663" width="17.140625" style="214" customWidth="1"/>
    <col min="6664" max="6664" width="21.85546875" style="214" bestFit="1" customWidth="1"/>
    <col min="6665" max="6665" width="17.140625" style="214" bestFit="1" customWidth="1"/>
    <col min="6666" max="6666" width="18.140625" style="214" bestFit="1" customWidth="1"/>
    <col min="6667" max="6667" width="26.42578125" style="214" customWidth="1"/>
    <col min="6668" max="6912" width="9.140625" style="214"/>
    <col min="6913" max="6913" width="8.7109375" style="214" bestFit="1" customWidth="1"/>
    <col min="6914" max="6914" width="13.28515625" style="214" customWidth="1"/>
    <col min="6915" max="6915" width="16.140625" style="214" bestFit="1" customWidth="1"/>
    <col min="6916" max="6916" width="23.5703125" style="214" customWidth="1"/>
    <col min="6917" max="6917" width="17.28515625" style="214" customWidth="1"/>
    <col min="6918" max="6918" width="20.5703125" style="214" bestFit="1" customWidth="1"/>
    <col min="6919" max="6919" width="17.140625" style="214" customWidth="1"/>
    <col min="6920" max="6920" width="21.85546875" style="214" bestFit="1" customWidth="1"/>
    <col min="6921" max="6921" width="17.140625" style="214" bestFit="1" customWidth="1"/>
    <col min="6922" max="6922" width="18.140625" style="214" bestFit="1" customWidth="1"/>
    <col min="6923" max="6923" width="26.42578125" style="214" customWidth="1"/>
    <col min="6924" max="7168" width="9.140625" style="214"/>
    <col min="7169" max="7169" width="8.7109375" style="214" bestFit="1" customWidth="1"/>
    <col min="7170" max="7170" width="13.28515625" style="214" customWidth="1"/>
    <col min="7171" max="7171" width="16.140625" style="214" bestFit="1" customWidth="1"/>
    <col min="7172" max="7172" width="23.5703125" style="214" customWidth="1"/>
    <col min="7173" max="7173" width="17.28515625" style="214" customWidth="1"/>
    <col min="7174" max="7174" width="20.5703125" style="214" bestFit="1" customWidth="1"/>
    <col min="7175" max="7175" width="17.140625" style="214" customWidth="1"/>
    <col min="7176" max="7176" width="21.85546875" style="214" bestFit="1" customWidth="1"/>
    <col min="7177" max="7177" width="17.140625" style="214" bestFit="1" customWidth="1"/>
    <col min="7178" max="7178" width="18.140625" style="214" bestFit="1" customWidth="1"/>
    <col min="7179" max="7179" width="26.42578125" style="214" customWidth="1"/>
    <col min="7180" max="7424" width="9.140625" style="214"/>
    <col min="7425" max="7425" width="8.7109375" style="214" bestFit="1" customWidth="1"/>
    <col min="7426" max="7426" width="13.28515625" style="214" customWidth="1"/>
    <col min="7427" max="7427" width="16.140625" style="214" bestFit="1" customWidth="1"/>
    <col min="7428" max="7428" width="23.5703125" style="214" customWidth="1"/>
    <col min="7429" max="7429" width="17.28515625" style="214" customWidth="1"/>
    <col min="7430" max="7430" width="20.5703125" style="214" bestFit="1" customWidth="1"/>
    <col min="7431" max="7431" width="17.140625" style="214" customWidth="1"/>
    <col min="7432" max="7432" width="21.85546875" style="214" bestFit="1" customWidth="1"/>
    <col min="7433" max="7433" width="17.140625" style="214" bestFit="1" customWidth="1"/>
    <col min="7434" max="7434" width="18.140625" style="214" bestFit="1" customWidth="1"/>
    <col min="7435" max="7435" width="26.42578125" style="214" customWidth="1"/>
    <col min="7436" max="7680" width="9.140625" style="214"/>
    <col min="7681" max="7681" width="8.7109375" style="214" bestFit="1" customWidth="1"/>
    <col min="7682" max="7682" width="13.28515625" style="214" customWidth="1"/>
    <col min="7683" max="7683" width="16.140625" style="214" bestFit="1" customWidth="1"/>
    <col min="7684" max="7684" width="23.5703125" style="214" customWidth="1"/>
    <col min="7685" max="7685" width="17.28515625" style="214" customWidth="1"/>
    <col min="7686" max="7686" width="20.5703125" style="214" bestFit="1" customWidth="1"/>
    <col min="7687" max="7687" width="17.140625" style="214" customWidth="1"/>
    <col min="7688" max="7688" width="21.85546875" style="214" bestFit="1" customWidth="1"/>
    <col min="7689" max="7689" width="17.140625" style="214" bestFit="1" customWidth="1"/>
    <col min="7690" max="7690" width="18.140625" style="214" bestFit="1" customWidth="1"/>
    <col min="7691" max="7691" width="26.42578125" style="214" customWidth="1"/>
    <col min="7692" max="7936" width="9.140625" style="214"/>
    <col min="7937" max="7937" width="8.7109375" style="214" bestFit="1" customWidth="1"/>
    <col min="7938" max="7938" width="13.28515625" style="214" customWidth="1"/>
    <col min="7939" max="7939" width="16.140625" style="214" bestFit="1" customWidth="1"/>
    <col min="7940" max="7940" width="23.5703125" style="214" customWidth="1"/>
    <col min="7941" max="7941" width="17.28515625" style="214" customWidth="1"/>
    <col min="7942" max="7942" width="20.5703125" style="214" bestFit="1" customWidth="1"/>
    <col min="7943" max="7943" width="17.140625" style="214" customWidth="1"/>
    <col min="7944" max="7944" width="21.85546875" style="214" bestFit="1" customWidth="1"/>
    <col min="7945" max="7945" width="17.140625" style="214" bestFit="1" customWidth="1"/>
    <col min="7946" max="7946" width="18.140625" style="214" bestFit="1" customWidth="1"/>
    <col min="7947" max="7947" width="26.42578125" style="214" customWidth="1"/>
    <col min="7948" max="8192" width="9.140625" style="214"/>
    <col min="8193" max="8193" width="8.7109375" style="214" bestFit="1" customWidth="1"/>
    <col min="8194" max="8194" width="13.28515625" style="214" customWidth="1"/>
    <col min="8195" max="8195" width="16.140625" style="214" bestFit="1" customWidth="1"/>
    <col min="8196" max="8196" width="23.5703125" style="214" customWidth="1"/>
    <col min="8197" max="8197" width="17.28515625" style="214" customWidth="1"/>
    <col min="8198" max="8198" width="20.5703125" style="214" bestFit="1" customWidth="1"/>
    <col min="8199" max="8199" width="17.140625" style="214" customWidth="1"/>
    <col min="8200" max="8200" width="21.85546875" style="214" bestFit="1" customWidth="1"/>
    <col min="8201" max="8201" width="17.140625" style="214" bestFit="1" customWidth="1"/>
    <col min="8202" max="8202" width="18.140625" style="214" bestFit="1" customWidth="1"/>
    <col min="8203" max="8203" width="26.42578125" style="214" customWidth="1"/>
    <col min="8204" max="8448" width="9.140625" style="214"/>
    <col min="8449" max="8449" width="8.7109375" style="214" bestFit="1" customWidth="1"/>
    <col min="8450" max="8450" width="13.28515625" style="214" customWidth="1"/>
    <col min="8451" max="8451" width="16.140625" style="214" bestFit="1" customWidth="1"/>
    <col min="8452" max="8452" width="23.5703125" style="214" customWidth="1"/>
    <col min="8453" max="8453" width="17.28515625" style="214" customWidth="1"/>
    <col min="8454" max="8454" width="20.5703125" style="214" bestFit="1" customWidth="1"/>
    <col min="8455" max="8455" width="17.140625" style="214" customWidth="1"/>
    <col min="8456" max="8456" width="21.85546875" style="214" bestFit="1" customWidth="1"/>
    <col min="8457" max="8457" width="17.140625" style="214" bestFit="1" customWidth="1"/>
    <col min="8458" max="8458" width="18.140625" style="214" bestFit="1" customWidth="1"/>
    <col min="8459" max="8459" width="26.42578125" style="214" customWidth="1"/>
    <col min="8460" max="8704" width="9.140625" style="214"/>
    <col min="8705" max="8705" width="8.7109375" style="214" bestFit="1" customWidth="1"/>
    <col min="8706" max="8706" width="13.28515625" style="214" customWidth="1"/>
    <col min="8707" max="8707" width="16.140625" style="214" bestFit="1" customWidth="1"/>
    <col min="8708" max="8708" width="23.5703125" style="214" customWidth="1"/>
    <col min="8709" max="8709" width="17.28515625" style="214" customWidth="1"/>
    <col min="8710" max="8710" width="20.5703125" style="214" bestFit="1" customWidth="1"/>
    <col min="8711" max="8711" width="17.140625" style="214" customWidth="1"/>
    <col min="8712" max="8712" width="21.85546875" style="214" bestFit="1" customWidth="1"/>
    <col min="8713" max="8713" width="17.140625" style="214" bestFit="1" customWidth="1"/>
    <col min="8714" max="8714" width="18.140625" style="214" bestFit="1" customWidth="1"/>
    <col min="8715" max="8715" width="26.42578125" style="214" customWidth="1"/>
    <col min="8716" max="8960" width="9.140625" style="214"/>
    <col min="8961" max="8961" width="8.7109375" style="214" bestFit="1" customWidth="1"/>
    <col min="8962" max="8962" width="13.28515625" style="214" customWidth="1"/>
    <col min="8963" max="8963" width="16.140625" style="214" bestFit="1" customWidth="1"/>
    <col min="8964" max="8964" width="23.5703125" style="214" customWidth="1"/>
    <col min="8965" max="8965" width="17.28515625" style="214" customWidth="1"/>
    <col min="8966" max="8966" width="20.5703125" style="214" bestFit="1" customWidth="1"/>
    <col min="8967" max="8967" width="17.140625" style="214" customWidth="1"/>
    <col min="8968" max="8968" width="21.85546875" style="214" bestFit="1" customWidth="1"/>
    <col min="8969" max="8969" width="17.140625" style="214" bestFit="1" customWidth="1"/>
    <col min="8970" max="8970" width="18.140625" style="214" bestFit="1" customWidth="1"/>
    <col min="8971" max="8971" width="26.42578125" style="214" customWidth="1"/>
    <col min="8972" max="9216" width="9.140625" style="214"/>
    <col min="9217" max="9217" width="8.7109375" style="214" bestFit="1" customWidth="1"/>
    <col min="9218" max="9218" width="13.28515625" style="214" customWidth="1"/>
    <col min="9219" max="9219" width="16.140625" style="214" bestFit="1" customWidth="1"/>
    <col min="9220" max="9220" width="23.5703125" style="214" customWidth="1"/>
    <col min="9221" max="9221" width="17.28515625" style="214" customWidth="1"/>
    <col min="9222" max="9222" width="20.5703125" style="214" bestFit="1" customWidth="1"/>
    <col min="9223" max="9223" width="17.140625" style="214" customWidth="1"/>
    <col min="9224" max="9224" width="21.85546875" style="214" bestFit="1" customWidth="1"/>
    <col min="9225" max="9225" width="17.140625" style="214" bestFit="1" customWidth="1"/>
    <col min="9226" max="9226" width="18.140625" style="214" bestFit="1" customWidth="1"/>
    <col min="9227" max="9227" width="26.42578125" style="214" customWidth="1"/>
    <col min="9228" max="9472" width="9.140625" style="214"/>
    <col min="9473" max="9473" width="8.7109375" style="214" bestFit="1" customWidth="1"/>
    <col min="9474" max="9474" width="13.28515625" style="214" customWidth="1"/>
    <col min="9475" max="9475" width="16.140625" style="214" bestFit="1" customWidth="1"/>
    <col min="9476" max="9476" width="23.5703125" style="214" customWidth="1"/>
    <col min="9477" max="9477" width="17.28515625" style="214" customWidth="1"/>
    <col min="9478" max="9478" width="20.5703125" style="214" bestFit="1" customWidth="1"/>
    <col min="9479" max="9479" width="17.140625" style="214" customWidth="1"/>
    <col min="9480" max="9480" width="21.85546875" style="214" bestFit="1" customWidth="1"/>
    <col min="9481" max="9481" width="17.140625" style="214" bestFit="1" customWidth="1"/>
    <col min="9482" max="9482" width="18.140625" style="214" bestFit="1" customWidth="1"/>
    <col min="9483" max="9483" width="26.42578125" style="214" customWidth="1"/>
    <col min="9484" max="9728" width="9.140625" style="214"/>
    <col min="9729" max="9729" width="8.7109375" style="214" bestFit="1" customWidth="1"/>
    <col min="9730" max="9730" width="13.28515625" style="214" customWidth="1"/>
    <col min="9731" max="9731" width="16.140625" style="214" bestFit="1" customWidth="1"/>
    <col min="9732" max="9732" width="23.5703125" style="214" customWidth="1"/>
    <col min="9733" max="9733" width="17.28515625" style="214" customWidth="1"/>
    <col min="9734" max="9734" width="20.5703125" style="214" bestFit="1" customWidth="1"/>
    <col min="9735" max="9735" width="17.140625" style="214" customWidth="1"/>
    <col min="9736" max="9736" width="21.85546875" style="214" bestFit="1" customWidth="1"/>
    <col min="9737" max="9737" width="17.140625" style="214" bestFit="1" customWidth="1"/>
    <col min="9738" max="9738" width="18.140625" style="214" bestFit="1" customWidth="1"/>
    <col min="9739" max="9739" width="26.42578125" style="214" customWidth="1"/>
    <col min="9740" max="9984" width="9.140625" style="214"/>
    <col min="9985" max="9985" width="8.7109375" style="214" bestFit="1" customWidth="1"/>
    <col min="9986" max="9986" width="13.28515625" style="214" customWidth="1"/>
    <col min="9987" max="9987" width="16.140625" style="214" bestFit="1" customWidth="1"/>
    <col min="9988" max="9988" width="23.5703125" style="214" customWidth="1"/>
    <col min="9989" max="9989" width="17.28515625" style="214" customWidth="1"/>
    <col min="9990" max="9990" width="20.5703125" style="214" bestFit="1" customWidth="1"/>
    <col min="9991" max="9991" width="17.140625" style="214" customWidth="1"/>
    <col min="9992" max="9992" width="21.85546875" style="214" bestFit="1" customWidth="1"/>
    <col min="9993" max="9993" width="17.140625" style="214" bestFit="1" customWidth="1"/>
    <col min="9994" max="9994" width="18.140625" style="214" bestFit="1" customWidth="1"/>
    <col min="9995" max="9995" width="26.42578125" style="214" customWidth="1"/>
    <col min="9996" max="10240" width="9.140625" style="214"/>
    <col min="10241" max="10241" width="8.7109375" style="214" bestFit="1" customWidth="1"/>
    <col min="10242" max="10242" width="13.28515625" style="214" customWidth="1"/>
    <col min="10243" max="10243" width="16.140625" style="214" bestFit="1" customWidth="1"/>
    <col min="10244" max="10244" width="23.5703125" style="214" customWidth="1"/>
    <col min="10245" max="10245" width="17.28515625" style="214" customWidth="1"/>
    <col min="10246" max="10246" width="20.5703125" style="214" bestFit="1" customWidth="1"/>
    <col min="10247" max="10247" width="17.140625" style="214" customWidth="1"/>
    <col min="10248" max="10248" width="21.85546875" style="214" bestFit="1" customWidth="1"/>
    <col min="10249" max="10249" width="17.140625" style="214" bestFit="1" customWidth="1"/>
    <col min="10250" max="10250" width="18.140625" style="214" bestFit="1" customWidth="1"/>
    <col min="10251" max="10251" width="26.42578125" style="214" customWidth="1"/>
    <col min="10252" max="10496" width="9.140625" style="214"/>
    <col min="10497" max="10497" width="8.7109375" style="214" bestFit="1" customWidth="1"/>
    <col min="10498" max="10498" width="13.28515625" style="214" customWidth="1"/>
    <col min="10499" max="10499" width="16.140625" style="214" bestFit="1" customWidth="1"/>
    <col min="10500" max="10500" width="23.5703125" style="214" customWidth="1"/>
    <col min="10501" max="10501" width="17.28515625" style="214" customWidth="1"/>
    <col min="10502" max="10502" width="20.5703125" style="214" bestFit="1" customWidth="1"/>
    <col min="10503" max="10503" width="17.140625" style="214" customWidth="1"/>
    <col min="10504" max="10504" width="21.85546875" style="214" bestFit="1" customWidth="1"/>
    <col min="10505" max="10505" width="17.140625" style="214" bestFit="1" customWidth="1"/>
    <col min="10506" max="10506" width="18.140625" style="214" bestFit="1" customWidth="1"/>
    <col min="10507" max="10507" width="26.42578125" style="214" customWidth="1"/>
    <col min="10508" max="10752" width="9.140625" style="214"/>
    <col min="10753" max="10753" width="8.7109375" style="214" bestFit="1" customWidth="1"/>
    <col min="10754" max="10754" width="13.28515625" style="214" customWidth="1"/>
    <col min="10755" max="10755" width="16.140625" style="214" bestFit="1" customWidth="1"/>
    <col min="10756" max="10756" width="23.5703125" style="214" customWidth="1"/>
    <col min="10757" max="10757" width="17.28515625" style="214" customWidth="1"/>
    <col min="10758" max="10758" width="20.5703125" style="214" bestFit="1" customWidth="1"/>
    <col min="10759" max="10759" width="17.140625" style="214" customWidth="1"/>
    <col min="10760" max="10760" width="21.85546875" style="214" bestFit="1" customWidth="1"/>
    <col min="10761" max="10761" width="17.140625" style="214" bestFit="1" customWidth="1"/>
    <col min="10762" max="10762" width="18.140625" style="214" bestFit="1" customWidth="1"/>
    <col min="10763" max="10763" width="26.42578125" style="214" customWidth="1"/>
    <col min="10764" max="11008" width="9.140625" style="214"/>
    <col min="11009" max="11009" width="8.7109375" style="214" bestFit="1" customWidth="1"/>
    <col min="11010" max="11010" width="13.28515625" style="214" customWidth="1"/>
    <col min="11011" max="11011" width="16.140625" style="214" bestFit="1" customWidth="1"/>
    <col min="11012" max="11012" width="23.5703125" style="214" customWidth="1"/>
    <col min="11013" max="11013" width="17.28515625" style="214" customWidth="1"/>
    <col min="11014" max="11014" width="20.5703125" style="214" bestFit="1" customWidth="1"/>
    <col min="11015" max="11015" width="17.140625" style="214" customWidth="1"/>
    <col min="11016" max="11016" width="21.85546875" style="214" bestFit="1" customWidth="1"/>
    <col min="11017" max="11017" width="17.140625" style="214" bestFit="1" customWidth="1"/>
    <col min="11018" max="11018" width="18.140625" style="214" bestFit="1" customWidth="1"/>
    <col min="11019" max="11019" width="26.42578125" style="214" customWidth="1"/>
    <col min="11020" max="11264" width="9.140625" style="214"/>
    <col min="11265" max="11265" width="8.7109375" style="214" bestFit="1" customWidth="1"/>
    <col min="11266" max="11266" width="13.28515625" style="214" customWidth="1"/>
    <col min="11267" max="11267" width="16.140625" style="214" bestFit="1" customWidth="1"/>
    <col min="11268" max="11268" width="23.5703125" style="214" customWidth="1"/>
    <col min="11269" max="11269" width="17.28515625" style="214" customWidth="1"/>
    <col min="11270" max="11270" width="20.5703125" style="214" bestFit="1" customWidth="1"/>
    <col min="11271" max="11271" width="17.140625" style="214" customWidth="1"/>
    <col min="11272" max="11272" width="21.85546875" style="214" bestFit="1" customWidth="1"/>
    <col min="11273" max="11273" width="17.140625" style="214" bestFit="1" customWidth="1"/>
    <col min="11274" max="11274" width="18.140625" style="214" bestFit="1" customWidth="1"/>
    <col min="11275" max="11275" width="26.42578125" style="214" customWidth="1"/>
    <col min="11276" max="11520" width="9.140625" style="214"/>
    <col min="11521" max="11521" width="8.7109375" style="214" bestFit="1" customWidth="1"/>
    <col min="11522" max="11522" width="13.28515625" style="214" customWidth="1"/>
    <col min="11523" max="11523" width="16.140625" style="214" bestFit="1" customWidth="1"/>
    <col min="11524" max="11524" width="23.5703125" style="214" customWidth="1"/>
    <col min="11525" max="11525" width="17.28515625" style="214" customWidth="1"/>
    <col min="11526" max="11526" width="20.5703125" style="214" bestFit="1" customWidth="1"/>
    <col min="11527" max="11527" width="17.140625" style="214" customWidth="1"/>
    <col min="11528" max="11528" width="21.85546875" style="214" bestFit="1" customWidth="1"/>
    <col min="11529" max="11529" width="17.140625" style="214" bestFit="1" customWidth="1"/>
    <col min="11530" max="11530" width="18.140625" style="214" bestFit="1" customWidth="1"/>
    <col min="11531" max="11531" width="26.42578125" style="214" customWidth="1"/>
    <col min="11532" max="11776" width="9.140625" style="214"/>
    <col min="11777" max="11777" width="8.7109375" style="214" bestFit="1" customWidth="1"/>
    <col min="11778" max="11778" width="13.28515625" style="214" customWidth="1"/>
    <col min="11779" max="11779" width="16.140625" style="214" bestFit="1" customWidth="1"/>
    <col min="11780" max="11780" width="23.5703125" style="214" customWidth="1"/>
    <col min="11781" max="11781" width="17.28515625" style="214" customWidth="1"/>
    <col min="11782" max="11782" width="20.5703125" style="214" bestFit="1" customWidth="1"/>
    <col min="11783" max="11783" width="17.140625" style="214" customWidth="1"/>
    <col min="11784" max="11784" width="21.85546875" style="214" bestFit="1" customWidth="1"/>
    <col min="11785" max="11785" width="17.140625" style="214" bestFit="1" customWidth="1"/>
    <col min="11786" max="11786" width="18.140625" style="214" bestFit="1" customWidth="1"/>
    <col min="11787" max="11787" width="26.42578125" style="214" customWidth="1"/>
    <col min="11788" max="12032" width="9.140625" style="214"/>
    <col min="12033" max="12033" width="8.7109375" style="214" bestFit="1" customWidth="1"/>
    <col min="12034" max="12034" width="13.28515625" style="214" customWidth="1"/>
    <col min="12035" max="12035" width="16.140625" style="214" bestFit="1" customWidth="1"/>
    <col min="12036" max="12036" width="23.5703125" style="214" customWidth="1"/>
    <col min="12037" max="12037" width="17.28515625" style="214" customWidth="1"/>
    <col min="12038" max="12038" width="20.5703125" style="214" bestFit="1" customWidth="1"/>
    <col min="12039" max="12039" width="17.140625" style="214" customWidth="1"/>
    <col min="12040" max="12040" width="21.85546875" style="214" bestFit="1" customWidth="1"/>
    <col min="12041" max="12041" width="17.140625" style="214" bestFit="1" customWidth="1"/>
    <col min="12042" max="12042" width="18.140625" style="214" bestFit="1" customWidth="1"/>
    <col min="12043" max="12043" width="26.42578125" style="214" customWidth="1"/>
    <col min="12044" max="12288" width="9.140625" style="214"/>
    <col min="12289" max="12289" width="8.7109375" style="214" bestFit="1" customWidth="1"/>
    <col min="12290" max="12290" width="13.28515625" style="214" customWidth="1"/>
    <col min="12291" max="12291" width="16.140625" style="214" bestFit="1" customWidth="1"/>
    <col min="12292" max="12292" width="23.5703125" style="214" customWidth="1"/>
    <col min="12293" max="12293" width="17.28515625" style="214" customWidth="1"/>
    <col min="12294" max="12294" width="20.5703125" style="214" bestFit="1" customWidth="1"/>
    <col min="12295" max="12295" width="17.140625" style="214" customWidth="1"/>
    <col min="12296" max="12296" width="21.85546875" style="214" bestFit="1" customWidth="1"/>
    <col min="12297" max="12297" width="17.140625" style="214" bestFit="1" customWidth="1"/>
    <col min="12298" max="12298" width="18.140625" style="214" bestFit="1" customWidth="1"/>
    <col min="12299" max="12299" width="26.42578125" style="214" customWidth="1"/>
    <col min="12300" max="12544" width="9.140625" style="214"/>
    <col min="12545" max="12545" width="8.7109375" style="214" bestFit="1" customWidth="1"/>
    <col min="12546" max="12546" width="13.28515625" style="214" customWidth="1"/>
    <col min="12547" max="12547" width="16.140625" style="214" bestFit="1" customWidth="1"/>
    <col min="12548" max="12548" width="23.5703125" style="214" customWidth="1"/>
    <col min="12549" max="12549" width="17.28515625" style="214" customWidth="1"/>
    <col min="12550" max="12550" width="20.5703125" style="214" bestFit="1" customWidth="1"/>
    <col min="12551" max="12551" width="17.140625" style="214" customWidth="1"/>
    <col min="12552" max="12552" width="21.85546875" style="214" bestFit="1" customWidth="1"/>
    <col min="12553" max="12553" width="17.140625" style="214" bestFit="1" customWidth="1"/>
    <col min="12554" max="12554" width="18.140625" style="214" bestFit="1" customWidth="1"/>
    <col min="12555" max="12555" width="26.42578125" style="214" customWidth="1"/>
    <col min="12556" max="12800" width="9.140625" style="214"/>
    <col min="12801" max="12801" width="8.7109375" style="214" bestFit="1" customWidth="1"/>
    <col min="12802" max="12802" width="13.28515625" style="214" customWidth="1"/>
    <col min="12803" max="12803" width="16.140625" style="214" bestFit="1" customWidth="1"/>
    <col min="12804" max="12804" width="23.5703125" style="214" customWidth="1"/>
    <col min="12805" max="12805" width="17.28515625" style="214" customWidth="1"/>
    <col min="12806" max="12806" width="20.5703125" style="214" bestFit="1" customWidth="1"/>
    <col min="12807" max="12807" width="17.140625" style="214" customWidth="1"/>
    <col min="12808" max="12808" width="21.85546875" style="214" bestFit="1" customWidth="1"/>
    <col min="12809" max="12809" width="17.140625" style="214" bestFit="1" customWidth="1"/>
    <col min="12810" max="12810" width="18.140625" style="214" bestFit="1" customWidth="1"/>
    <col min="12811" max="12811" width="26.42578125" style="214" customWidth="1"/>
    <col min="12812" max="13056" width="9.140625" style="214"/>
    <col min="13057" max="13057" width="8.7109375" style="214" bestFit="1" customWidth="1"/>
    <col min="13058" max="13058" width="13.28515625" style="214" customWidth="1"/>
    <col min="13059" max="13059" width="16.140625" style="214" bestFit="1" customWidth="1"/>
    <col min="13060" max="13060" width="23.5703125" style="214" customWidth="1"/>
    <col min="13061" max="13061" width="17.28515625" style="214" customWidth="1"/>
    <col min="13062" max="13062" width="20.5703125" style="214" bestFit="1" customWidth="1"/>
    <col min="13063" max="13063" width="17.140625" style="214" customWidth="1"/>
    <col min="13064" max="13064" width="21.85546875" style="214" bestFit="1" customWidth="1"/>
    <col min="13065" max="13065" width="17.140625" style="214" bestFit="1" customWidth="1"/>
    <col min="13066" max="13066" width="18.140625" style="214" bestFit="1" customWidth="1"/>
    <col min="13067" max="13067" width="26.42578125" style="214" customWidth="1"/>
    <col min="13068" max="13312" width="9.140625" style="214"/>
    <col min="13313" max="13313" width="8.7109375" style="214" bestFit="1" customWidth="1"/>
    <col min="13314" max="13314" width="13.28515625" style="214" customWidth="1"/>
    <col min="13315" max="13315" width="16.140625" style="214" bestFit="1" customWidth="1"/>
    <col min="13316" max="13316" width="23.5703125" style="214" customWidth="1"/>
    <col min="13317" max="13317" width="17.28515625" style="214" customWidth="1"/>
    <col min="13318" max="13318" width="20.5703125" style="214" bestFit="1" customWidth="1"/>
    <col min="13319" max="13319" width="17.140625" style="214" customWidth="1"/>
    <col min="13320" max="13320" width="21.85546875" style="214" bestFit="1" customWidth="1"/>
    <col min="13321" max="13321" width="17.140625" style="214" bestFit="1" customWidth="1"/>
    <col min="13322" max="13322" width="18.140625" style="214" bestFit="1" customWidth="1"/>
    <col min="13323" max="13323" width="26.42578125" style="214" customWidth="1"/>
    <col min="13324" max="13568" width="9.140625" style="214"/>
    <col min="13569" max="13569" width="8.7109375" style="214" bestFit="1" customWidth="1"/>
    <col min="13570" max="13570" width="13.28515625" style="214" customWidth="1"/>
    <col min="13571" max="13571" width="16.140625" style="214" bestFit="1" customWidth="1"/>
    <col min="13572" max="13572" width="23.5703125" style="214" customWidth="1"/>
    <col min="13573" max="13573" width="17.28515625" style="214" customWidth="1"/>
    <col min="13574" max="13574" width="20.5703125" style="214" bestFit="1" customWidth="1"/>
    <col min="13575" max="13575" width="17.140625" style="214" customWidth="1"/>
    <col min="13576" max="13576" width="21.85546875" style="214" bestFit="1" customWidth="1"/>
    <col min="13577" max="13577" width="17.140625" style="214" bestFit="1" customWidth="1"/>
    <col min="13578" max="13578" width="18.140625" style="214" bestFit="1" customWidth="1"/>
    <col min="13579" max="13579" width="26.42578125" style="214" customWidth="1"/>
    <col min="13580" max="13824" width="9.140625" style="214"/>
    <col min="13825" max="13825" width="8.7109375" style="214" bestFit="1" customWidth="1"/>
    <col min="13826" max="13826" width="13.28515625" style="214" customWidth="1"/>
    <col min="13827" max="13827" width="16.140625" style="214" bestFit="1" customWidth="1"/>
    <col min="13828" max="13828" width="23.5703125" style="214" customWidth="1"/>
    <col min="13829" max="13829" width="17.28515625" style="214" customWidth="1"/>
    <col min="13830" max="13830" width="20.5703125" style="214" bestFit="1" customWidth="1"/>
    <col min="13831" max="13831" width="17.140625" style="214" customWidth="1"/>
    <col min="13832" max="13832" width="21.85546875" style="214" bestFit="1" customWidth="1"/>
    <col min="13833" max="13833" width="17.140625" style="214" bestFit="1" customWidth="1"/>
    <col min="13834" max="13834" width="18.140625" style="214" bestFit="1" customWidth="1"/>
    <col min="13835" max="13835" width="26.42578125" style="214" customWidth="1"/>
    <col min="13836" max="14080" width="9.140625" style="214"/>
    <col min="14081" max="14081" width="8.7109375" style="214" bestFit="1" customWidth="1"/>
    <col min="14082" max="14082" width="13.28515625" style="214" customWidth="1"/>
    <col min="14083" max="14083" width="16.140625" style="214" bestFit="1" customWidth="1"/>
    <col min="14084" max="14084" width="23.5703125" style="214" customWidth="1"/>
    <col min="14085" max="14085" width="17.28515625" style="214" customWidth="1"/>
    <col min="14086" max="14086" width="20.5703125" style="214" bestFit="1" customWidth="1"/>
    <col min="14087" max="14087" width="17.140625" style="214" customWidth="1"/>
    <col min="14088" max="14088" width="21.85546875" style="214" bestFit="1" customWidth="1"/>
    <col min="14089" max="14089" width="17.140625" style="214" bestFit="1" customWidth="1"/>
    <col min="14090" max="14090" width="18.140625" style="214" bestFit="1" customWidth="1"/>
    <col min="14091" max="14091" width="26.42578125" style="214" customWidth="1"/>
    <col min="14092" max="14336" width="9.140625" style="214"/>
    <col min="14337" max="14337" width="8.7109375" style="214" bestFit="1" customWidth="1"/>
    <col min="14338" max="14338" width="13.28515625" style="214" customWidth="1"/>
    <col min="14339" max="14339" width="16.140625" style="214" bestFit="1" customWidth="1"/>
    <col min="14340" max="14340" width="23.5703125" style="214" customWidth="1"/>
    <col min="14341" max="14341" width="17.28515625" style="214" customWidth="1"/>
    <col min="14342" max="14342" width="20.5703125" style="214" bestFit="1" customWidth="1"/>
    <col min="14343" max="14343" width="17.140625" style="214" customWidth="1"/>
    <col min="14344" max="14344" width="21.85546875" style="214" bestFit="1" customWidth="1"/>
    <col min="14345" max="14345" width="17.140625" style="214" bestFit="1" customWidth="1"/>
    <col min="14346" max="14346" width="18.140625" style="214" bestFit="1" customWidth="1"/>
    <col min="14347" max="14347" width="26.42578125" style="214" customWidth="1"/>
    <col min="14348" max="14592" width="9.140625" style="214"/>
    <col min="14593" max="14593" width="8.7109375" style="214" bestFit="1" customWidth="1"/>
    <col min="14594" max="14594" width="13.28515625" style="214" customWidth="1"/>
    <col min="14595" max="14595" width="16.140625" style="214" bestFit="1" customWidth="1"/>
    <col min="14596" max="14596" width="23.5703125" style="214" customWidth="1"/>
    <col min="14597" max="14597" width="17.28515625" style="214" customWidth="1"/>
    <col min="14598" max="14598" width="20.5703125" style="214" bestFit="1" customWidth="1"/>
    <col min="14599" max="14599" width="17.140625" style="214" customWidth="1"/>
    <col min="14600" max="14600" width="21.85546875" style="214" bestFit="1" customWidth="1"/>
    <col min="14601" max="14601" width="17.140625" style="214" bestFit="1" customWidth="1"/>
    <col min="14602" max="14602" width="18.140625" style="214" bestFit="1" customWidth="1"/>
    <col min="14603" max="14603" width="26.42578125" style="214" customWidth="1"/>
    <col min="14604" max="14848" width="9.140625" style="214"/>
    <col min="14849" max="14849" width="8.7109375" style="214" bestFit="1" customWidth="1"/>
    <col min="14850" max="14850" width="13.28515625" style="214" customWidth="1"/>
    <col min="14851" max="14851" width="16.140625" style="214" bestFit="1" customWidth="1"/>
    <col min="14852" max="14852" width="23.5703125" style="214" customWidth="1"/>
    <col min="14853" max="14853" width="17.28515625" style="214" customWidth="1"/>
    <col min="14854" max="14854" width="20.5703125" style="214" bestFit="1" customWidth="1"/>
    <col min="14855" max="14855" width="17.140625" style="214" customWidth="1"/>
    <col min="14856" max="14856" width="21.85546875" style="214" bestFit="1" customWidth="1"/>
    <col min="14857" max="14857" width="17.140625" style="214" bestFit="1" customWidth="1"/>
    <col min="14858" max="14858" width="18.140625" style="214" bestFit="1" customWidth="1"/>
    <col min="14859" max="14859" width="26.42578125" style="214" customWidth="1"/>
    <col min="14860" max="15104" width="9.140625" style="214"/>
    <col min="15105" max="15105" width="8.7109375" style="214" bestFit="1" customWidth="1"/>
    <col min="15106" max="15106" width="13.28515625" style="214" customWidth="1"/>
    <col min="15107" max="15107" width="16.140625" style="214" bestFit="1" customWidth="1"/>
    <col min="15108" max="15108" width="23.5703125" style="214" customWidth="1"/>
    <col min="15109" max="15109" width="17.28515625" style="214" customWidth="1"/>
    <col min="15110" max="15110" width="20.5703125" style="214" bestFit="1" customWidth="1"/>
    <col min="15111" max="15111" width="17.140625" style="214" customWidth="1"/>
    <col min="15112" max="15112" width="21.85546875" style="214" bestFit="1" customWidth="1"/>
    <col min="15113" max="15113" width="17.140625" style="214" bestFit="1" customWidth="1"/>
    <col min="15114" max="15114" width="18.140625" style="214" bestFit="1" customWidth="1"/>
    <col min="15115" max="15115" width="26.42578125" style="214" customWidth="1"/>
    <col min="15116" max="15360" width="9.140625" style="214"/>
    <col min="15361" max="15361" width="8.7109375" style="214" bestFit="1" customWidth="1"/>
    <col min="15362" max="15362" width="13.28515625" style="214" customWidth="1"/>
    <col min="15363" max="15363" width="16.140625" style="214" bestFit="1" customWidth="1"/>
    <col min="15364" max="15364" width="23.5703125" style="214" customWidth="1"/>
    <col min="15365" max="15365" width="17.28515625" style="214" customWidth="1"/>
    <col min="15366" max="15366" width="20.5703125" style="214" bestFit="1" customWidth="1"/>
    <col min="15367" max="15367" width="17.140625" style="214" customWidth="1"/>
    <col min="15368" max="15368" width="21.85546875" style="214" bestFit="1" customWidth="1"/>
    <col min="15369" max="15369" width="17.140625" style="214" bestFit="1" customWidth="1"/>
    <col min="15370" max="15370" width="18.140625" style="214" bestFit="1" customWidth="1"/>
    <col min="15371" max="15371" width="26.42578125" style="214" customWidth="1"/>
    <col min="15372" max="15616" width="9.140625" style="214"/>
    <col min="15617" max="15617" width="8.7109375" style="214" bestFit="1" customWidth="1"/>
    <col min="15618" max="15618" width="13.28515625" style="214" customWidth="1"/>
    <col min="15619" max="15619" width="16.140625" style="214" bestFit="1" customWidth="1"/>
    <col min="15620" max="15620" width="23.5703125" style="214" customWidth="1"/>
    <col min="15621" max="15621" width="17.28515625" style="214" customWidth="1"/>
    <col min="15622" max="15622" width="20.5703125" style="214" bestFit="1" customWidth="1"/>
    <col min="15623" max="15623" width="17.140625" style="214" customWidth="1"/>
    <col min="15624" max="15624" width="21.85546875" style="214" bestFit="1" customWidth="1"/>
    <col min="15625" max="15625" width="17.140625" style="214" bestFit="1" customWidth="1"/>
    <col min="15626" max="15626" width="18.140625" style="214" bestFit="1" customWidth="1"/>
    <col min="15627" max="15627" width="26.42578125" style="214" customWidth="1"/>
    <col min="15628" max="15872" width="9.140625" style="214"/>
    <col min="15873" max="15873" width="8.7109375" style="214" bestFit="1" customWidth="1"/>
    <col min="15874" max="15874" width="13.28515625" style="214" customWidth="1"/>
    <col min="15875" max="15875" width="16.140625" style="214" bestFit="1" customWidth="1"/>
    <col min="15876" max="15876" width="23.5703125" style="214" customWidth="1"/>
    <col min="15877" max="15877" width="17.28515625" style="214" customWidth="1"/>
    <col min="15878" max="15878" width="20.5703125" style="214" bestFit="1" customWidth="1"/>
    <col min="15879" max="15879" width="17.140625" style="214" customWidth="1"/>
    <col min="15880" max="15880" width="21.85546875" style="214" bestFit="1" customWidth="1"/>
    <col min="15881" max="15881" width="17.140625" style="214" bestFit="1" customWidth="1"/>
    <col min="15882" max="15882" width="18.140625" style="214" bestFit="1" customWidth="1"/>
    <col min="15883" max="15883" width="26.42578125" style="214" customWidth="1"/>
    <col min="15884" max="16128" width="9.140625" style="214"/>
    <col min="16129" max="16129" width="8.7109375" style="214" bestFit="1" customWidth="1"/>
    <col min="16130" max="16130" width="13.28515625" style="214" customWidth="1"/>
    <col min="16131" max="16131" width="16.140625" style="214" bestFit="1" customWidth="1"/>
    <col min="16132" max="16132" width="23.5703125" style="214" customWidth="1"/>
    <col min="16133" max="16133" width="17.28515625" style="214" customWidth="1"/>
    <col min="16134" max="16134" width="20.5703125" style="214" bestFit="1" customWidth="1"/>
    <col min="16135" max="16135" width="17.140625" style="214" customWidth="1"/>
    <col min="16136" max="16136" width="21.85546875" style="214" bestFit="1" customWidth="1"/>
    <col min="16137" max="16137" width="17.140625" style="214" bestFit="1" customWidth="1"/>
    <col min="16138" max="16138" width="18.140625" style="214" bestFit="1" customWidth="1"/>
    <col min="16139" max="16139" width="26.42578125" style="214" customWidth="1"/>
    <col min="16140" max="16384" width="9.140625" style="214"/>
  </cols>
  <sheetData>
    <row r="1" spans="13:13" s="249" customFormat="1" x14ac:dyDescent="0.2">
      <c r="M1" s="250"/>
    </row>
    <row r="2" spans="13:13" s="249" customFormat="1" x14ac:dyDescent="0.2">
      <c r="M2" s="250"/>
    </row>
    <row r="3" spans="13:13" s="249" customFormat="1" x14ac:dyDescent="0.2">
      <c r="M3" s="250"/>
    </row>
    <row r="4" spans="13:13" s="249" customFormat="1" x14ac:dyDescent="0.2">
      <c r="M4" s="250"/>
    </row>
    <row r="5" spans="13:13" s="249" customFormat="1" x14ac:dyDescent="0.2">
      <c r="M5" s="250"/>
    </row>
    <row r="6" spans="13:13" s="249" customFormat="1" x14ac:dyDescent="0.2">
      <c r="M6" s="250"/>
    </row>
    <row r="7" spans="13:13" s="249" customFormat="1" x14ac:dyDescent="0.2">
      <c r="M7" s="250"/>
    </row>
    <row r="8" spans="13:13" s="249" customFormat="1" x14ac:dyDescent="0.2">
      <c r="M8" s="250"/>
    </row>
    <row r="9" spans="13:13" s="249" customFormat="1" x14ac:dyDescent="0.2">
      <c r="M9" s="250"/>
    </row>
    <row r="10" spans="13:13" s="249" customFormat="1" x14ac:dyDescent="0.2">
      <c r="M10" s="250"/>
    </row>
    <row r="11" spans="13:13" s="249" customFormat="1" x14ac:dyDescent="0.2">
      <c r="M11" s="250"/>
    </row>
    <row r="12" spans="13:13" s="249" customFormat="1" x14ac:dyDescent="0.2">
      <c r="M12" s="250"/>
    </row>
    <row r="13" spans="13:13" s="249" customFormat="1" x14ac:dyDescent="0.2">
      <c r="M13" s="250"/>
    </row>
    <row r="14" spans="13:13" s="249" customFormat="1" x14ac:dyDescent="0.2">
      <c r="M14" s="250"/>
    </row>
    <row r="15" spans="13:13" s="249" customFormat="1" x14ac:dyDescent="0.2">
      <c r="M15" s="250"/>
    </row>
    <row r="16" spans="13:13" s="249" customFormat="1" x14ac:dyDescent="0.2">
      <c r="M16" s="250"/>
    </row>
    <row r="17" spans="13:13" s="249" customFormat="1" x14ac:dyDescent="0.2">
      <c r="M17" s="250"/>
    </row>
    <row r="18" spans="13:13" s="249" customFormat="1" x14ac:dyDescent="0.2">
      <c r="M18" s="250"/>
    </row>
    <row r="19" spans="13:13" s="249" customFormat="1" x14ac:dyDescent="0.2">
      <c r="M19" s="250"/>
    </row>
    <row r="20" spans="13:13" s="249" customFormat="1" x14ac:dyDescent="0.2">
      <c r="M20" s="250"/>
    </row>
    <row r="21" spans="13:13" s="249" customFormat="1" x14ac:dyDescent="0.2">
      <c r="M21" s="250"/>
    </row>
    <row r="22" spans="13:13" s="249" customFormat="1" x14ac:dyDescent="0.2">
      <c r="M22" s="250"/>
    </row>
    <row r="23" spans="13:13" s="249" customFormat="1" x14ac:dyDescent="0.2">
      <c r="M23" s="250"/>
    </row>
    <row r="24" spans="13:13" s="249" customFormat="1" x14ac:dyDescent="0.2">
      <c r="M24" s="250"/>
    </row>
    <row r="25" spans="13:13" s="249" customFormat="1" x14ac:dyDescent="0.2">
      <c r="M25" s="250"/>
    </row>
    <row r="26" spans="13:13" s="249" customFormat="1" x14ac:dyDescent="0.2">
      <c r="M26" s="250"/>
    </row>
    <row r="27" spans="13:13" s="249" customFormat="1" x14ac:dyDescent="0.2">
      <c r="M27" s="250"/>
    </row>
    <row r="28" spans="13:13" s="249" customFormat="1" x14ac:dyDescent="0.2">
      <c r="M28" s="250"/>
    </row>
    <row r="29" spans="13:13" s="249" customFormat="1" x14ac:dyDescent="0.2">
      <c r="M29" s="250"/>
    </row>
    <row r="30" spans="13:13" s="249" customFormat="1" x14ac:dyDescent="0.2">
      <c r="M30" s="250"/>
    </row>
    <row r="31" spans="13:13" s="249" customFormat="1" x14ac:dyDescent="0.2">
      <c r="M31" s="250"/>
    </row>
    <row r="32" spans="13:13" s="249" customFormat="1" x14ac:dyDescent="0.2">
      <c r="M32" s="250"/>
    </row>
    <row r="33" spans="1:13" s="249" customFormat="1" x14ac:dyDescent="0.2">
      <c r="M33" s="250"/>
    </row>
    <row r="34" spans="1:13" s="249" customFormat="1" x14ac:dyDescent="0.2">
      <c r="M34" s="250"/>
    </row>
    <row r="35" spans="1:13" s="249" customFormat="1" x14ac:dyDescent="0.2">
      <c r="M35" s="250"/>
    </row>
    <row r="36" spans="1:13" s="249" customFormat="1" x14ac:dyDescent="0.2">
      <c r="M36" s="250"/>
    </row>
    <row r="37" spans="1:13" s="249" customFormat="1" x14ac:dyDescent="0.2">
      <c r="M37" s="250"/>
    </row>
    <row r="38" spans="1:13" s="249" customFormat="1" x14ac:dyDescent="0.2">
      <c r="M38" s="250"/>
    </row>
    <row r="39" spans="1:13" s="249" customFormat="1" x14ac:dyDescent="0.2">
      <c r="M39" s="250"/>
    </row>
    <row r="40" spans="1:13" s="249" customFormat="1" x14ac:dyDescent="0.2">
      <c r="M40" s="250"/>
    </row>
    <row r="41" spans="1:13" s="249" customFormat="1" x14ac:dyDescent="0.2">
      <c r="M41" s="250"/>
    </row>
    <row r="42" spans="1:13" s="249" customFormat="1" x14ac:dyDescent="0.2">
      <c r="M42" s="250"/>
    </row>
    <row r="43" spans="1:13" s="249" customFormat="1" x14ac:dyDescent="0.2">
      <c r="M43" s="250"/>
    </row>
    <row r="44" spans="1:13" s="249" customFormat="1" ht="15.75" customHeight="1" x14ac:dyDescent="0.2"/>
    <row r="45" spans="1:13" s="249" customFormat="1" ht="23.25" customHeight="1" x14ac:dyDescent="0.2">
      <c r="B45" s="249" t="s">
        <v>863</v>
      </c>
    </row>
    <row r="46" spans="1:13" s="249" customFormat="1" ht="24.75" customHeight="1" x14ac:dyDescent="0.25">
      <c r="A46" s="254" t="e">
        <f>"VIN = "&amp;VIN_min&amp;" V to "&amp;VIN_max&amp;" V, VOUT = "&amp; Vout &amp;" V, IOUT = " &amp;Iout &amp; " A,  Fsw = " &amp; Fsw/1000 &amp;" kHz, Current Limit = "&amp;ROUNDUP(Ilimit_DC,0)&amp;" A"</f>
        <v>#NAME?</v>
      </c>
    </row>
    <row r="47" spans="1:13" ht="24.75" customHeight="1" thickBot="1" x14ac:dyDescent="0.25">
      <c r="A47" s="216" t="s">
        <v>622</v>
      </c>
    </row>
    <row r="48" spans="1:13" ht="18" customHeight="1" x14ac:dyDescent="0.2">
      <c r="A48" s="489" t="s">
        <v>318</v>
      </c>
      <c r="B48" s="490" t="s">
        <v>317</v>
      </c>
      <c r="C48" s="490" t="s">
        <v>8</v>
      </c>
      <c r="D48" s="868" t="s">
        <v>109</v>
      </c>
      <c r="E48" s="869"/>
      <c r="F48" s="869"/>
      <c r="G48" s="870"/>
      <c r="H48" s="491" t="s">
        <v>304</v>
      </c>
      <c r="I48" s="491" t="s">
        <v>188</v>
      </c>
      <c r="J48" s="491" t="s">
        <v>305</v>
      </c>
      <c r="L48" s="215"/>
      <c r="M48" s="214"/>
    </row>
    <row r="49" spans="1:12" s="221" customFormat="1" ht="15.75" customHeight="1" x14ac:dyDescent="0.2">
      <c r="A49" s="218">
        <v>2</v>
      </c>
      <c r="B49" s="219" t="s">
        <v>633</v>
      </c>
      <c r="C49" s="233">
        <v>0.1</v>
      </c>
      <c r="D49" s="850">
        <f t="shared" ref="D49:D59" si="0">C49</f>
        <v>0.1</v>
      </c>
      <c r="E49" s="851"/>
      <c r="F49" s="851"/>
      <c r="G49" s="234"/>
      <c r="H49" s="235" t="s">
        <v>309</v>
      </c>
      <c r="I49" s="220" t="s">
        <v>306</v>
      </c>
      <c r="J49" s="220" t="s">
        <v>306</v>
      </c>
      <c r="L49" s="222"/>
    </row>
    <row r="50" spans="1:12" s="221" customFormat="1" ht="15.75" x14ac:dyDescent="0.2">
      <c r="A50" s="217">
        <v>1</v>
      </c>
      <c r="B50" s="236" t="s">
        <v>310</v>
      </c>
      <c r="C50" s="245">
        <f>'Design Converter'!E91</f>
        <v>100</v>
      </c>
      <c r="D50" s="852">
        <f t="shared" si="0"/>
        <v>100</v>
      </c>
      <c r="E50" s="853"/>
      <c r="F50" s="853"/>
      <c r="G50" s="238"/>
      <c r="H50" s="239" t="s">
        <v>309</v>
      </c>
      <c r="I50" s="240" t="s">
        <v>306</v>
      </c>
      <c r="J50" s="240" t="s">
        <v>306</v>
      </c>
      <c r="L50" s="222"/>
    </row>
    <row r="51" spans="1:12" s="221" customFormat="1" ht="15.75" x14ac:dyDescent="0.2">
      <c r="A51" s="217">
        <v>1</v>
      </c>
      <c r="B51" s="236" t="s">
        <v>311</v>
      </c>
      <c r="C51" s="237">
        <f>'Design Converter'!E92</f>
        <v>1000</v>
      </c>
      <c r="D51" s="858">
        <f t="shared" si="0"/>
        <v>1000</v>
      </c>
      <c r="E51" s="859"/>
      <c r="F51" s="859"/>
      <c r="G51" s="238"/>
      <c r="H51" s="239" t="s">
        <v>309</v>
      </c>
      <c r="I51" s="240" t="s">
        <v>306</v>
      </c>
      <c r="J51" s="240" t="s">
        <v>306</v>
      </c>
      <c r="L51" s="222"/>
    </row>
    <row r="52" spans="1:12" s="221" customFormat="1" ht="15.75" x14ac:dyDescent="0.2">
      <c r="A52" s="217">
        <v>1</v>
      </c>
      <c r="B52" s="236" t="s">
        <v>885</v>
      </c>
      <c r="C52" s="576">
        <f>Rslope/1000</f>
        <v>52.083333333333336</v>
      </c>
      <c r="D52" s="858"/>
      <c r="E52" s="859"/>
      <c r="F52" s="859"/>
      <c r="G52" s="238"/>
      <c r="H52" s="239" t="s">
        <v>309</v>
      </c>
      <c r="I52" s="240" t="s">
        <v>306</v>
      </c>
      <c r="J52" s="240" t="s">
        <v>306</v>
      </c>
      <c r="L52" s="222"/>
    </row>
    <row r="53" spans="1:12" s="221" customFormat="1" ht="15.75" x14ac:dyDescent="0.2">
      <c r="A53" s="228">
        <v>1</v>
      </c>
      <c r="B53" s="229" t="s">
        <v>312</v>
      </c>
      <c r="C53" s="241">
        <v>100</v>
      </c>
      <c r="D53" s="860">
        <f>C53</f>
        <v>100</v>
      </c>
      <c r="E53" s="861"/>
      <c r="F53" s="861"/>
      <c r="G53" s="242"/>
      <c r="H53" s="231" t="s">
        <v>309</v>
      </c>
      <c r="I53" s="232" t="s">
        <v>306</v>
      </c>
      <c r="J53" s="232" t="s">
        <v>306</v>
      </c>
      <c r="L53" s="222"/>
    </row>
    <row r="54" spans="1:12" s="221" customFormat="1" ht="15.75" x14ac:dyDescent="0.2">
      <c r="A54" s="223">
        <v>1</v>
      </c>
      <c r="B54" s="224" t="s">
        <v>632</v>
      </c>
      <c r="C54" s="438">
        <f>Cdither*1000000000</f>
        <v>0</v>
      </c>
      <c r="D54" s="871">
        <f>C54</f>
        <v>0</v>
      </c>
      <c r="E54" s="872"/>
      <c r="F54" s="872"/>
      <c r="G54" s="439"/>
      <c r="H54" s="226" t="s">
        <v>309</v>
      </c>
      <c r="I54" s="227" t="s">
        <v>306</v>
      </c>
      <c r="J54" s="227" t="s">
        <v>306</v>
      </c>
      <c r="L54" s="222"/>
    </row>
    <row r="55" spans="1:12" s="221" customFormat="1" ht="15.75" x14ac:dyDescent="0.2">
      <c r="A55" s="217">
        <f>ROUNDUP('Design Converter'!E54/10,0)</f>
        <v>10</v>
      </c>
      <c r="B55" s="236" t="s">
        <v>313</v>
      </c>
      <c r="C55" s="244">
        <v>10</v>
      </c>
      <c r="D55" s="864">
        <f>C55</f>
        <v>10</v>
      </c>
      <c r="E55" s="865"/>
      <c r="F55" s="865"/>
      <c r="G55" s="238"/>
      <c r="H55" s="239">
        <v>1210</v>
      </c>
      <c r="I55" s="240" t="s">
        <v>306</v>
      </c>
      <c r="J55" s="240" t="s">
        <v>306</v>
      </c>
      <c r="L55" s="222"/>
    </row>
    <row r="56" spans="1:12" s="221" customFormat="1" ht="15.75" x14ac:dyDescent="0.2">
      <c r="A56" s="217">
        <f>ROUNDUP('Design Converter'!E45/22,0)</f>
        <v>5</v>
      </c>
      <c r="B56" s="236" t="s">
        <v>314</v>
      </c>
      <c r="C56" s="244">
        <v>22</v>
      </c>
      <c r="D56" s="854">
        <f>C56</f>
        <v>22</v>
      </c>
      <c r="E56" s="855"/>
      <c r="F56" s="855"/>
      <c r="G56" s="238"/>
      <c r="H56" s="239">
        <v>1210</v>
      </c>
      <c r="I56" s="240" t="s">
        <v>306</v>
      </c>
      <c r="J56" s="240" t="s">
        <v>306</v>
      </c>
      <c r="L56" s="222"/>
    </row>
    <row r="57" spans="1:12" s="221" customFormat="1" ht="15.75" x14ac:dyDescent="0.2">
      <c r="A57" s="217">
        <v>1</v>
      </c>
      <c r="B57" s="236" t="s">
        <v>315</v>
      </c>
      <c r="C57" s="245">
        <f>'Design Converter'!E63</f>
        <v>2700</v>
      </c>
      <c r="D57" s="852">
        <f>C57</f>
        <v>2700</v>
      </c>
      <c r="E57" s="853"/>
      <c r="F57" s="853"/>
      <c r="G57" s="238"/>
      <c r="H57" s="239" t="s">
        <v>309</v>
      </c>
      <c r="I57" s="240" t="s">
        <v>306</v>
      </c>
      <c r="J57" s="240" t="s">
        <v>306</v>
      </c>
      <c r="L57" s="222"/>
    </row>
    <row r="58" spans="1:12" s="221" customFormat="1" ht="15.75" x14ac:dyDescent="0.2">
      <c r="A58" s="228">
        <v>1</v>
      </c>
      <c r="B58" s="229" t="s">
        <v>634</v>
      </c>
      <c r="C58" s="243">
        <v>1</v>
      </c>
      <c r="D58" s="862">
        <f t="shared" si="0"/>
        <v>1</v>
      </c>
      <c r="E58" s="863"/>
      <c r="F58" s="863"/>
      <c r="G58" s="242"/>
      <c r="H58" s="231" t="s">
        <v>309</v>
      </c>
      <c r="I58" s="232" t="s">
        <v>306</v>
      </c>
      <c r="J58" s="232" t="s">
        <v>306</v>
      </c>
      <c r="L58" s="222"/>
    </row>
    <row r="59" spans="1:12" s="221" customFormat="1" ht="15.75" x14ac:dyDescent="0.2">
      <c r="A59" s="228">
        <v>1</v>
      </c>
      <c r="B59" s="229" t="s">
        <v>316</v>
      </c>
      <c r="C59" s="243">
        <v>0.1</v>
      </c>
      <c r="D59" s="856">
        <f t="shared" si="0"/>
        <v>0.1</v>
      </c>
      <c r="E59" s="857"/>
      <c r="F59" s="857"/>
      <c r="G59" s="242"/>
      <c r="H59" s="231" t="s">
        <v>309</v>
      </c>
      <c r="I59" s="232" t="s">
        <v>306</v>
      </c>
      <c r="J59" s="232" t="s">
        <v>306</v>
      </c>
      <c r="L59" s="222"/>
    </row>
    <row r="60" spans="1:12" s="221" customFormat="1" ht="15.75" customHeight="1" x14ac:dyDescent="0.2">
      <c r="A60" s="228">
        <v>3</v>
      </c>
      <c r="B60" s="229" t="s">
        <v>631</v>
      </c>
      <c r="C60" s="246" t="s">
        <v>307</v>
      </c>
      <c r="D60" s="866" t="s">
        <v>630</v>
      </c>
      <c r="E60" s="867"/>
      <c r="F60" s="867"/>
      <c r="G60" s="242"/>
      <c r="H60" s="247" t="s">
        <v>320</v>
      </c>
      <c r="I60" s="232" t="s">
        <v>320</v>
      </c>
      <c r="J60" s="232" t="s">
        <v>319</v>
      </c>
      <c r="L60" s="222"/>
    </row>
    <row r="61" spans="1:12" s="221" customFormat="1" ht="15.75" x14ac:dyDescent="0.2">
      <c r="A61" s="217">
        <v>1</v>
      </c>
      <c r="B61" s="236" t="s">
        <v>626</v>
      </c>
      <c r="C61" s="248">
        <f>'Design Converter'!E18</f>
        <v>2.64</v>
      </c>
      <c r="D61" s="882" t="str">
        <f>"Inductor, "&amp;Lf*1000000&amp;"µH, "&amp;Rdcr*1000&amp;"mΩ, &gt;"&amp;ROUNDUP(IL_peak_OCP*1.1,0)&amp;"A"</f>
        <v>Inductor, 2.64µH, 5.8mΩ, &gt;25A</v>
      </c>
      <c r="E61" s="883"/>
      <c r="F61" s="883"/>
      <c r="G61" s="884"/>
      <c r="H61" s="240" t="s">
        <v>320</v>
      </c>
      <c r="I61" s="240" t="s">
        <v>320</v>
      </c>
      <c r="J61" s="240" t="s">
        <v>319</v>
      </c>
      <c r="L61" s="222"/>
    </row>
    <row r="62" spans="1:12" s="221" customFormat="1" ht="15.75" x14ac:dyDescent="0.2">
      <c r="A62" s="228">
        <v>2</v>
      </c>
      <c r="B62" s="229" t="s">
        <v>722</v>
      </c>
      <c r="C62" s="246" t="s">
        <v>307</v>
      </c>
      <c r="D62" s="876">
        <f>'Design Converter'!E99</f>
        <v>4.2</v>
      </c>
      <c r="E62" s="877"/>
      <c r="F62" s="877"/>
      <c r="G62" s="878"/>
      <c r="H62" s="232" t="s">
        <v>306</v>
      </c>
      <c r="I62" s="232" t="str">
        <f>'Design Converter'!E97</f>
        <v>ISZ034N06LM5ATMA1</v>
      </c>
      <c r="J62" s="232" t="s">
        <v>320</v>
      </c>
      <c r="L62" s="222"/>
    </row>
    <row r="63" spans="1:12" s="221" customFormat="1" ht="15.75" x14ac:dyDescent="0.2">
      <c r="A63" s="228">
        <v>2</v>
      </c>
      <c r="B63" s="229" t="s">
        <v>723</v>
      </c>
      <c r="C63" s="246" t="s">
        <v>307</v>
      </c>
      <c r="D63" s="876">
        <f>'Design Converter'!E112</f>
        <v>4.2</v>
      </c>
      <c r="E63" s="877"/>
      <c r="F63" s="877"/>
      <c r="G63" s="878"/>
      <c r="H63" s="232" t="s">
        <v>306</v>
      </c>
      <c r="I63" s="232" t="str">
        <f>'Design Converter'!E110</f>
        <v>ISZ034N06LM5ATMA1</v>
      </c>
      <c r="J63" s="232" t="s">
        <v>320</v>
      </c>
      <c r="L63" s="222"/>
    </row>
    <row r="64" spans="1:12" s="221" customFormat="1" ht="15.75" x14ac:dyDescent="0.2">
      <c r="A64" s="223">
        <v>1</v>
      </c>
      <c r="B64" s="224" t="s">
        <v>321</v>
      </c>
      <c r="C64" s="225">
        <f>'Design Converter'!E90</f>
        <v>100</v>
      </c>
      <c r="D64" s="844">
        <f t="shared" ref="D64:D74" si="1">C64</f>
        <v>100</v>
      </c>
      <c r="E64" s="845"/>
      <c r="F64" s="845"/>
      <c r="G64" s="846"/>
      <c r="H64" s="226" t="s">
        <v>309</v>
      </c>
      <c r="I64" s="227" t="s">
        <v>306</v>
      </c>
      <c r="J64" s="227" t="s">
        <v>306</v>
      </c>
      <c r="L64" s="222"/>
    </row>
    <row r="65" spans="1:12" s="221" customFormat="1" ht="15.75" x14ac:dyDescent="0.2">
      <c r="A65" s="223">
        <v>1</v>
      </c>
      <c r="B65" s="224" t="s">
        <v>325</v>
      </c>
      <c r="C65" s="437">
        <f>Rs*1000</f>
        <v>2.5</v>
      </c>
      <c r="D65" s="879">
        <f t="shared" si="1"/>
        <v>2.5</v>
      </c>
      <c r="E65" s="880"/>
      <c r="F65" s="880"/>
      <c r="G65" s="881"/>
      <c r="H65" s="226">
        <v>2512</v>
      </c>
      <c r="I65" s="227" t="s">
        <v>306</v>
      </c>
      <c r="J65" s="227" t="s">
        <v>306</v>
      </c>
      <c r="L65" s="222"/>
    </row>
    <row r="66" spans="1:12" s="221" customFormat="1" ht="15.75" x14ac:dyDescent="0.2">
      <c r="A66" s="223">
        <v>1</v>
      </c>
      <c r="B66" s="224" t="s">
        <v>749</v>
      </c>
      <c r="C66" s="437">
        <f>'Standard Value Calculator'!R21</f>
        <v>10</v>
      </c>
      <c r="D66" s="879">
        <f>C66</f>
        <v>10</v>
      </c>
      <c r="E66" s="880"/>
      <c r="F66" s="880"/>
      <c r="G66" s="881"/>
      <c r="H66" s="226">
        <v>2512</v>
      </c>
      <c r="I66" s="227" t="s">
        <v>306</v>
      </c>
      <c r="J66" s="227" t="s">
        <v>306</v>
      </c>
      <c r="L66" s="222"/>
    </row>
    <row r="67" spans="1:12" s="221" customFormat="1" ht="15.75" x14ac:dyDescent="0.2">
      <c r="A67" s="223">
        <v>1</v>
      </c>
      <c r="B67" s="224" t="s">
        <v>628</v>
      </c>
      <c r="C67" s="225">
        <f>'Design Converter'!E13</f>
        <v>52.3</v>
      </c>
      <c r="D67" s="844">
        <f t="shared" si="1"/>
        <v>52.3</v>
      </c>
      <c r="E67" s="845"/>
      <c r="F67" s="845"/>
      <c r="G67" s="846"/>
      <c r="H67" s="226" t="s">
        <v>309</v>
      </c>
      <c r="I67" s="227" t="s">
        <v>306</v>
      </c>
      <c r="J67" s="227" t="s">
        <v>306</v>
      </c>
      <c r="L67" s="222"/>
    </row>
    <row r="68" spans="1:12" s="221" customFormat="1" ht="15.75" x14ac:dyDescent="0.2">
      <c r="A68" s="223">
        <v>1</v>
      </c>
      <c r="B68" s="224" t="s">
        <v>327</v>
      </c>
      <c r="C68" s="225">
        <f>'Design Converter'!E78</f>
        <v>82</v>
      </c>
      <c r="D68" s="844">
        <f t="shared" si="1"/>
        <v>82</v>
      </c>
      <c r="E68" s="845"/>
      <c r="F68" s="845"/>
      <c r="G68" s="846"/>
      <c r="H68" s="226" t="s">
        <v>309</v>
      </c>
      <c r="I68" s="227" t="s">
        <v>306</v>
      </c>
      <c r="J68" s="227" t="s">
        <v>306</v>
      </c>
      <c r="L68" s="222"/>
    </row>
    <row r="69" spans="1:12" s="221" customFormat="1" ht="15.75" x14ac:dyDescent="0.2">
      <c r="A69" s="223">
        <v>1</v>
      </c>
      <c r="B69" s="224" t="s">
        <v>328</v>
      </c>
      <c r="C69" s="225">
        <f>'Design Converter'!E79</f>
        <v>6.04</v>
      </c>
      <c r="D69" s="844">
        <f t="shared" si="1"/>
        <v>6.04</v>
      </c>
      <c r="E69" s="845"/>
      <c r="F69" s="845"/>
      <c r="G69" s="846"/>
      <c r="H69" s="226" t="s">
        <v>309</v>
      </c>
      <c r="I69" s="227" t="s">
        <v>306</v>
      </c>
      <c r="J69" s="227" t="s">
        <v>306</v>
      </c>
      <c r="L69" s="222"/>
    </row>
    <row r="70" spans="1:12" s="221" customFormat="1" ht="15.75" x14ac:dyDescent="0.2">
      <c r="A70" s="228">
        <v>1</v>
      </c>
      <c r="B70" s="229" t="s">
        <v>326</v>
      </c>
      <c r="C70" s="230">
        <v>20</v>
      </c>
      <c r="D70" s="873">
        <f t="shared" si="1"/>
        <v>20</v>
      </c>
      <c r="E70" s="874"/>
      <c r="F70" s="874"/>
      <c r="G70" s="875"/>
      <c r="H70" s="231" t="s">
        <v>309</v>
      </c>
      <c r="I70" s="232" t="s">
        <v>306</v>
      </c>
      <c r="J70" s="232" t="s">
        <v>306</v>
      </c>
      <c r="L70" s="222"/>
    </row>
    <row r="71" spans="1:12" s="435" customFormat="1" ht="15.75" x14ac:dyDescent="0.2">
      <c r="A71" s="228">
        <v>2</v>
      </c>
      <c r="B71" s="229" t="s">
        <v>627</v>
      </c>
      <c r="C71" s="246">
        <v>100</v>
      </c>
      <c r="D71" s="847">
        <f t="shared" si="1"/>
        <v>100</v>
      </c>
      <c r="E71" s="848"/>
      <c r="F71" s="848"/>
      <c r="G71" s="849"/>
      <c r="H71" s="231" t="s">
        <v>309</v>
      </c>
      <c r="I71" s="232" t="s">
        <v>306</v>
      </c>
      <c r="J71" s="232" t="s">
        <v>306</v>
      </c>
      <c r="L71" s="436"/>
    </row>
    <row r="72" spans="1:12" s="221" customFormat="1" ht="15.75" x14ac:dyDescent="0.2">
      <c r="A72" s="223">
        <v>1</v>
      </c>
      <c r="B72" s="224" t="s">
        <v>322</v>
      </c>
      <c r="C72" s="225" t="str">
        <f>'Design Converter'!E67</f>
        <v>N/A</v>
      </c>
      <c r="D72" s="844" t="str">
        <f t="shared" si="1"/>
        <v>N/A</v>
      </c>
      <c r="E72" s="845"/>
      <c r="F72" s="845"/>
      <c r="G72" s="846"/>
      <c r="H72" s="226" t="s">
        <v>309</v>
      </c>
      <c r="I72" s="227" t="s">
        <v>306</v>
      </c>
      <c r="J72" s="227" t="s">
        <v>306</v>
      </c>
      <c r="L72" s="222"/>
    </row>
    <row r="73" spans="1:12" s="221" customFormat="1" ht="15.75" x14ac:dyDescent="0.2">
      <c r="A73" s="223">
        <v>1</v>
      </c>
      <c r="B73" s="224" t="s">
        <v>323</v>
      </c>
      <c r="C73" s="225" t="str">
        <f>'Design Converter'!E68</f>
        <v>N/A</v>
      </c>
      <c r="D73" s="844" t="str">
        <f t="shared" si="1"/>
        <v>N/A</v>
      </c>
      <c r="E73" s="845"/>
      <c r="F73" s="845"/>
      <c r="G73" s="846"/>
      <c r="H73" s="226" t="s">
        <v>309</v>
      </c>
      <c r="I73" s="227" t="s">
        <v>306</v>
      </c>
      <c r="J73" s="227" t="s">
        <v>306</v>
      </c>
      <c r="L73" s="222"/>
    </row>
    <row r="74" spans="1:12" s="221" customFormat="1" ht="15.75" x14ac:dyDescent="0.2">
      <c r="A74" s="228">
        <v>1</v>
      </c>
      <c r="B74" s="229" t="s">
        <v>324</v>
      </c>
      <c r="C74" s="246">
        <v>2.2000000000000002</v>
      </c>
      <c r="D74" s="847">
        <f t="shared" si="1"/>
        <v>2.2000000000000002</v>
      </c>
      <c r="E74" s="848"/>
      <c r="F74" s="848"/>
      <c r="G74" s="849"/>
      <c r="H74" s="231" t="s">
        <v>309</v>
      </c>
      <c r="I74" s="232" t="s">
        <v>306</v>
      </c>
      <c r="J74" s="232" t="s">
        <v>306</v>
      </c>
      <c r="L74" s="222"/>
    </row>
    <row r="75" spans="1:12" s="221" customFormat="1" ht="14.25" customHeight="1" x14ac:dyDescent="0.2">
      <c r="A75" s="885">
        <v>1</v>
      </c>
      <c r="B75" s="897" t="s">
        <v>329</v>
      </c>
      <c r="C75" s="895" t="s">
        <v>864</v>
      </c>
      <c r="D75" s="889" t="s">
        <v>865</v>
      </c>
      <c r="E75" s="890"/>
      <c r="F75" s="890"/>
      <c r="G75" s="891"/>
      <c r="H75" s="887" t="s">
        <v>867</v>
      </c>
      <c r="I75" s="887" t="s">
        <v>866</v>
      </c>
      <c r="J75" s="887" t="s">
        <v>308</v>
      </c>
      <c r="L75" s="222"/>
    </row>
    <row r="76" spans="1:12" x14ac:dyDescent="0.2">
      <c r="A76" s="886"/>
      <c r="B76" s="898"/>
      <c r="C76" s="896"/>
      <c r="D76" s="892"/>
      <c r="E76" s="893"/>
      <c r="F76" s="893"/>
      <c r="G76" s="894"/>
      <c r="H76" s="888"/>
      <c r="I76" s="888"/>
      <c r="J76" s="888"/>
    </row>
    <row r="78" spans="1:12" x14ac:dyDescent="0.2">
      <c r="A78" s="256" t="s">
        <v>340</v>
      </c>
    </row>
    <row r="79" spans="1:12" ht="14.25" x14ac:dyDescent="0.2">
      <c r="A79" s="128" t="s">
        <v>850</v>
      </c>
      <c r="D79" s="561" t="s">
        <v>849</v>
      </c>
      <c r="E79" s="214" t="s">
        <v>851</v>
      </c>
    </row>
    <row r="80" spans="1:12" x14ac:dyDescent="0.2">
      <c r="A80" s="214" t="s">
        <v>636</v>
      </c>
    </row>
    <row r="81" spans="1:1" x14ac:dyDescent="0.2">
      <c r="A81" s="214" t="s">
        <v>629</v>
      </c>
    </row>
  </sheetData>
  <sheetProtection selectLockedCells="1" selectUnlockedCells="1"/>
  <mergeCells count="34">
    <mergeCell ref="A75:A76"/>
    <mergeCell ref="J75:J76"/>
    <mergeCell ref="D75:G76"/>
    <mergeCell ref="C75:C76"/>
    <mergeCell ref="B75:B76"/>
    <mergeCell ref="H75:H76"/>
    <mergeCell ref="I75:I76"/>
    <mergeCell ref="D48:G48"/>
    <mergeCell ref="D54:F54"/>
    <mergeCell ref="D70:G70"/>
    <mergeCell ref="D68:G68"/>
    <mergeCell ref="D69:G69"/>
    <mergeCell ref="D62:G62"/>
    <mergeCell ref="D63:G63"/>
    <mergeCell ref="D67:G67"/>
    <mergeCell ref="D65:G65"/>
    <mergeCell ref="D66:G66"/>
    <mergeCell ref="D61:G61"/>
    <mergeCell ref="D72:G72"/>
    <mergeCell ref="D73:G73"/>
    <mergeCell ref="D74:G74"/>
    <mergeCell ref="D71:G71"/>
    <mergeCell ref="D49:F49"/>
    <mergeCell ref="D50:F50"/>
    <mergeCell ref="D56:F56"/>
    <mergeCell ref="D57:F57"/>
    <mergeCell ref="D59:F59"/>
    <mergeCell ref="D51:F51"/>
    <mergeCell ref="D52:F52"/>
    <mergeCell ref="D53:F53"/>
    <mergeCell ref="D58:F58"/>
    <mergeCell ref="D55:F55"/>
    <mergeCell ref="D60:F60"/>
    <mergeCell ref="D64:G64"/>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9:H54 H72:H74 H68:H70 H64 H58:H59 H57 H61 H67 H71" numberStoredAsText="1"/>
  </ignoredError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zoomScale="85" zoomScaleNormal="85" zoomScaleSheetLayoutView="80" workbookViewId="0">
      <selection sqref="A1:Q1"/>
    </sheetView>
  </sheetViews>
  <sheetFormatPr defaultColWidth="9.140625" defaultRowHeight="12.75" x14ac:dyDescent="0.2"/>
  <cols>
    <col min="1" max="13" width="9.140625" style="121"/>
    <col min="14" max="14" width="11.85546875" style="121" customWidth="1"/>
    <col min="15" max="16" width="9.140625" style="121"/>
    <col min="17" max="17" width="15.7109375" style="121" customWidth="1"/>
    <col min="18" max="16384" width="9.140625" style="121"/>
  </cols>
  <sheetData>
    <row r="1" spans="1:23" s="113" customFormat="1" ht="47.25" customHeight="1" x14ac:dyDescent="0.2">
      <c r="A1" s="899" t="s">
        <v>848</v>
      </c>
      <c r="B1" s="900"/>
      <c r="C1" s="900"/>
      <c r="D1" s="900"/>
      <c r="E1" s="900"/>
      <c r="F1" s="900"/>
      <c r="G1" s="900"/>
      <c r="H1" s="900"/>
      <c r="I1" s="900"/>
      <c r="J1" s="900"/>
      <c r="K1" s="900"/>
      <c r="L1" s="900"/>
      <c r="M1" s="900"/>
      <c r="N1" s="900"/>
      <c r="O1" s="900"/>
      <c r="P1" s="900"/>
      <c r="Q1" s="900"/>
    </row>
    <row r="6" spans="1:23" ht="20.25" x14ac:dyDescent="0.3">
      <c r="B6" s="122" t="s">
        <v>762</v>
      </c>
      <c r="M6" s="122" t="s">
        <v>763</v>
      </c>
      <c r="W6" s="122" t="s">
        <v>764</v>
      </c>
    </row>
  </sheetData>
  <mergeCells count="1">
    <mergeCell ref="A1:Q1"/>
  </mergeCells>
  <pageMargins left="0.19" right="0.2" top="0.75" bottom="0.75" header="0.3" footer="0.3"/>
  <pageSetup scale="3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1D6A6-D833-4AF0-ADD8-36F775973604}">
  <sheetPr codeName="Sheet19"/>
  <dimension ref="A1"/>
  <sheetViews>
    <sheetView showGridLines="0" workbookViewId="0">
      <selection activeCell="H46" sqref="H46"/>
    </sheetView>
  </sheetViews>
  <sheetFormatPr defaultColWidth="9.140625" defaultRowHeight="12.75" x14ac:dyDescent="0.2"/>
  <cols>
    <col min="1" max="16384" width="9.140625" style="675"/>
  </cols>
  <sheetData/>
  <sheetProtection algorithmName="SHA-512" hashValue="OSOKrqeXdzLnf2P+rWGXWmf9fuiUmkNE5ODQsvOuBoWU9zKTIwdE3O3pCs5GZQ0dMhiqMe8j/k2I6wUcKkoJaw==" saltValue="d1yQfDU1vxC2kqbwHnnVVA==" spinCount="100000" sheet="1" objects="1" scenarios="1" selectLockedCells="1" selectUnlockedCells="1"/>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125B3-1BD9-46F1-A1E6-174C2A721FAD}">
  <sheetPr codeName="Sheet18"/>
  <dimension ref="B5:C12"/>
  <sheetViews>
    <sheetView showGridLines="0" zoomScale="70" zoomScaleNormal="70" workbookViewId="0"/>
  </sheetViews>
  <sheetFormatPr defaultColWidth="9.140625" defaultRowHeight="12.75" x14ac:dyDescent="0.2"/>
  <cols>
    <col min="1" max="1" width="10.5703125" style="405" customWidth="1"/>
    <col min="2" max="2" width="132.7109375" style="405" customWidth="1"/>
    <col min="3" max="16384" width="9.140625" style="405"/>
  </cols>
  <sheetData>
    <row r="5" spans="2:3" ht="409.5" customHeight="1" x14ac:dyDescent="0.2">
      <c r="B5" s="249"/>
      <c r="C5" s="681"/>
    </row>
    <row r="7" spans="2:3" ht="409.5" customHeight="1" x14ac:dyDescent="0.2">
      <c r="B7" s="249"/>
    </row>
    <row r="10" spans="2:3" ht="409.5" customHeight="1" x14ac:dyDescent="0.2"/>
    <row r="12" spans="2:3" ht="408" customHeight="1" x14ac:dyDescent="0.2"/>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F187B-EEFE-4A61-A2A5-EB1F1CBC2558}">
  <sheetPr codeName="Sheet16"/>
  <dimension ref="A1:Q66"/>
  <sheetViews>
    <sheetView workbookViewId="0">
      <selection activeCell="D24" sqref="D24"/>
    </sheetView>
  </sheetViews>
  <sheetFormatPr defaultRowHeight="12.75" x14ac:dyDescent="0.2"/>
  <cols>
    <col min="1" max="1" width="30.28515625" bestFit="1" customWidth="1"/>
    <col min="2" max="2" width="16.5703125" bestFit="1" customWidth="1"/>
    <col min="7" max="7" width="10.7109375" bestFit="1" customWidth="1"/>
    <col min="14" max="14" width="9.7109375" bestFit="1" customWidth="1"/>
    <col min="16" max="16" width="11.28515625" bestFit="1" customWidth="1"/>
    <col min="17" max="17" width="14.5703125" bestFit="1" customWidth="1"/>
  </cols>
  <sheetData>
    <row r="1" spans="1:17" ht="27.75" x14ac:dyDescent="0.4">
      <c r="A1" s="901" t="s">
        <v>986</v>
      </c>
      <c r="B1" s="901"/>
      <c r="C1" s="901"/>
      <c r="D1" s="901"/>
      <c r="E1" s="901"/>
      <c r="F1" s="901"/>
      <c r="G1" s="901"/>
      <c r="H1" s="901"/>
      <c r="I1" s="901"/>
    </row>
    <row r="2" spans="1:17" x14ac:dyDescent="0.2">
      <c r="A2" s="49"/>
      <c r="B2" s="49" t="s">
        <v>224</v>
      </c>
      <c r="C2" s="50"/>
      <c r="E2" s="568"/>
      <c r="F2" s="49" t="s">
        <v>871</v>
      </c>
      <c r="G2" s="49"/>
      <c r="H2" s="49"/>
      <c r="I2" s="49"/>
    </row>
    <row r="3" spans="1:17" x14ac:dyDescent="0.2">
      <c r="A3" s="49"/>
      <c r="B3" s="49" t="s">
        <v>272</v>
      </c>
      <c r="C3" s="51"/>
      <c r="E3" s="49"/>
      <c r="F3" s="49"/>
      <c r="G3" s="49"/>
      <c r="H3" s="49"/>
      <c r="I3" s="49"/>
    </row>
    <row r="4" spans="1:17" x14ac:dyDescent="0.2">
      <c r="A4" s="49"/>
      <c r="B4" s="49" t="s">
        <v>225</v>
      </c>
      <c r="C4" s="52"/>
      <c r="E4" s="49"/>
      <c r="F4" s="49"/>
      <c r="G4" s="49"/>
      <c r="H4" s="49"/>
      <c r="I4" s="49"/>
    </row>
    <row r="5" spans="1:17" x14ac:dyDescent="0.2">
      <c r="A5" s="2" t="s">
        <v>51</v>
      </c>
      <c r="B5" s="2" t="s">
        <v>987</v>
      </c>
      <c r="C5" s="2" t="s">
        <v>9</v>
      </c>
      <c r="D5" s="2" t="s">
        <v>957</v>
      </c>
      <c r="E5" s="902"/>
      <c r="F5" s="902"/>
      <c r="G5" s="902"/>
      <c r="H5" s="902"/>
      <c r="I5" s="2"/>
    </row>
    <row r="6" spans="1:17" ht="16.5" thickBot="1" x14ac:dyDescent="0.3">
      <c r="A6" s="531"/>
      <c r="B6" s="2"/>
      <c r="C6" s="2"/>
      <c r="D6" s="2" t="s">
        <v>864</v>
      </c>
      <c r="E6" s="49" t="s">
        <v>988</v>
      </c>
      <c r="F6" s="49" t="s">
        <v>958</v>
      </c>
      <c r="G6" s="49" t="s">
        <v>1290</v>
      </c>
      <c r="H6" s="49"/>
      <c r="I6" s="2"/>
      <c r="M6" s="114" t="s">
        <v>1105</v>
      </c>
      <c r="N6" s="685">
        <f>VLOOKUP((Fsw/1000000),P7:Q107,2)</f>
        <v>226.49473484852686</v>
      </c>
      <c r="P6" s="690" t="s">
        <v>1110</v>
      </c>
      <c r="Q6" s="690" t="s">
        <v>1111</v>
      </c>
    </row>
    <row r="7" spans="1:17" ht="15" x14ac:dyDescent="0.25">
      <c r="A7" s="210" t="s">
        <v>989</v>
      </c>
      <c r="B7" s="649">
        <f>_xlfn.SWITCH(Device,DeviceParameter!$D$6,DeviceParameter!D7,DeviceParameter!$E$6,DeviceParameter!E7,DeviceParameter!$F$6,DeviceParameter!F7,DeviceParameter!$G$6,DeviceParameter!G7)</f>
        <v>55</v>
      </c>
      <c r="C7" s="291" t="s">
        <v>0</v>
      </c>
      <c r="D7" s="650">
        <v>60</v>
      </c>
      <c r="E7" s="651"/>
      <c r="F7" s="651">
        <v>55</v>
      </c>
      <c r="G7" s="651">
        <v>55</v>
      </c>
      <c r="H7" s="63"/>
      <c r="I7" s="64"/>
      <c r="P7" s="690">
        <v>9.8750000000000004E-2</v>
      </c>
      <c r="Q7" s="690">
        <v>604.18063250011289</v>
      </c>
    </row>
    <row r="8" spans="1:17" ht="15" x14ac:dyDescent="0.25">
      <c r="A8" s="114" t="s">
        <v>990</v>
      </c>
      <c r="B8" s="29">
        <f>_xlfn.SWITCH(Device,DeviceParameter!$D$6,DeviceParameter!D8,DeviceParameter!$E$6,DeviceParameter!E8,DeviceParameter!$F$6,DeviceParameter!F8,DeviceParameter!$G$6,DeviceParameter!G8)</f>
        <v>3.3</v>
      </c>
      <c r="C8" t="s">
        <v>0</v>
      </c>
      <c r="D8" s="652">
        <v>2.8</v>
      </c>
      <c r="E8" s="652"/>
      <c r="F8" s="652">
        <v>3.3</v>
      </c>
      <c r="G8" s="652">
        <v>3.3</v>
      </c>
      <c r="M8" s="114" t="s">
        <v>1106</v>
      </c>
      <c r="N8" s="312">
        <v>10</v>
      </c>
      <c r="P8" s="690">
        <v>0.14041666666666669</v>
      </c>
      <c r="Q8" s="690">
        <v>523.33810748298765</v>
      </c>
    </row>
    <row r="9" spans="1:17" ht="15" x14ac:dyDescent="0.25">
      <c r="A9" s="114" t="s">
        <v>991</v>
      </c>
      <c r="B9" s="29">
        <f>_xlfn.SWITCH(Device,DeviceParameter!$D$6,DeviceParameter!D9,DeviceParameter!$E$6,DeviceParameter!E9,DeviceParameter!$F$6,DeviceParameter!F9,DeviceParameter!$G$6,DeviceParameter!G9)</f>
        <v>2200</v>
      </c>
      <c r="C9" s="114" t="s">
        <v>3</v>
      </c>
      <c r="D9" s="652">
        <v>600</v>
      </c>
      <c r="E9" s="652"/>
      <c r="F9" s="652">
        <v>2200</v>
      </c>
      <c r="G9" s="652">
        <v>2200</v>
      </c>
      <c r="M9" s="114" t="s">
        <v>1107</v>
      </c>
      <c r="N9" s="686">
        <f>(N6*0.000000001)/(2*PI()*(2*N8)*10)</f>
        <v>1.802387831771561E-10</v>
      </c>
      <c r="P9" s="690">
        <v>0.18208333333333335</v>
      </c>
      <c r="Q9" s="690">
        <v>459.91179890990088</v>
      </c>
    </row>
    <row r="10" spans="1:17" ht="15" x14ac:dyDescent="0.25">
      <c r="B10" s="29"/>
      <c r="D10" s="652"/>
      <c r="E10" s="652"/>
      <c r="F10" s="652"/>
      <c r="G10" s="652"/>
      <c r="M10" s="114" t="s">
        <v>1112</v>
      </c>
      <c r="N10" s="622">
        <f>'Standard Value Calculator'!R23</f>
        <v>1.8E-10</v>
      </c>
      <c r="P10" s="690">
        <v>0.22374999999999998</v>
      </c>
      <c r="Q10" s="690">
        <v>415.93095914315774</v>
      </c>
    </row>
    <row r="11" spans="1:17" ht="15" x14ac:dyDescent="0.25">
      <c r="A11" s="114" t="s">
        <v>1029</v>
      </c>
      <c r="B11" s="833">
        <f>_xlfn.SWITCH(Device,DeviceParameter!$D$6,DeviceParameter!D11,DeviceParameter!$E$6,DeviceParameter!E11,DeviceParameter!$F$6,DeviceParameter!F11,DeviceParameter!$G$6,DeviceParameter!G11)</f>
        <v>1E-3</v>
      </c>
      <c r="C11" s="114" t="s">
        <v>70</v>
      </c>
      <c r="D11" s="622">
        <v>1E-3</v>
      </c>
      <c r="E11" s="652"/>
      <c r="F11" s="622">
        <v>1E-3</v>
      </c>
      <c r="G11" s="622">
        <v>1E-3</v>
      </c>
      <c r="P11" s="690">
        <v>0.26541666666666669</v>
      </c>
      <c r="Q11" s="690">
        <v>378.55342556962148</v>
      </c>
    </row>
    <row r="12" spans="1:17" ht="15" x14ac:dyDescent="0.25">
      <c r="A12" s="114" t="s">
        <v>1032</v>
      </c>
      <c r="B12" s="833">
        <f>_xlfn.SWITCH(Device,DeviceParameter!$D$6,DeviceParameter!D12,DeviceParameter!$E$6,DeviceParameter!E12,DeviceParameter!$F$6,DeviceParameter!F12,DeviceParameter!$G$6,DeviceParameter!G12)</f>
        <v>5.0000000000000001E-4</v>
      </c>
      <c r="C12" s="114" t="s">
        <v>70</v>
      </c>
      <c r="D12" s="622"/>
      <c r="E12" s="652"/>
      <c r="F12" s="622">
        <v>5.0000000000000001E-4</v>
      </c>
      <c r="G12" s="622">
        <v>5.0000000000000001E-4</v>
      </c>
      <c r="P12" s="690">
        <v>0.30708333333333332</v>
      </c>
      <c r="Q12" s="690">
        <v>349.80497717766156</v>
      </c>
    </row>
    <row r="13" spans="1:17" ht="15" x14ac:dyDescent="0.25">
      <c r="A13" s="114" t="s">
        <v>945</v>
      </c>
      <c r="B13" s="833">
        <f>_xlfn.SWITCH(Device,DeviceParameter!$D$6,DeviceParameter!D13,DeviceParameter!$E$6,DeviceParameter!E13,DeviceParameter!$F$6,DeviceParameter!F13,DeviceParameter!$G$6,DeviceParameter!G13)</f>
        <v>1E-3</v>
      </c>
      <c r="C13" s="114" t="s">
        <v>70</v>
      </c>
      <c r="D13" s="622">
        <v>2.0000000000000001E-4</v>
      </c>
      <c r="E13" s="652"/>
      <c r="F13" s="622">
        <v>1E-3</v>
      </c>
      <c r="G13" s="622">
        <v>1E-3</v>
      </c>
      <c r="P13" s="690">
        <v>0.34875</v>
      </c>
      <c r="Q13" s="690">
        <v>323.54756471089627</v>
      </c>
    </row>
    <row r="14" spans="1:17" ht="15.75" thickBot="1" x14ac:dyDescent="0.3">
      <c r="A14" s="657" t="s">
        <v>1002</v>
      </c>
      <c r="B14" s="833">
        <f>_xlfn.SWITCH(Device,DeviceParameter!$D$6,DeviceParameter!D14,DeviceParameter!$E$6,DeviceParameter!E14,DeviceParameter!$F$6,DeviceParameter!F14,DeviceParameter!$G$6,DeviceParameter!G14)</f>
        <v>5.0000000000000001E-4</v>
      </c>
      <c r="C14" s="405" t="s">
        <v>70</v>
      </c>
      <c r="D14" s="405"/>
      <c r="E14" s="405"/>
      <c r="F14" s="658">
        <v>5.0000000000000001E-4</v>
      </c>
      <c r="G14" s="658">
        <v>5.0000000000000001E-4</v>
      </c>
      <c r="H14" s="405"/>
      <c r="I14" s="405"/>
      <c r="J14" s="405" t="s">
        <v>1003</v>
      </c>
      <c r="P14" s="690">
        <v>0.39041666666666663</v>
      </c>
      <c r="Q14" s="690">
        <v>300.09066752155144</v>
      </c>
    </row>
    <row r="15" spans="1:17" ht="15" x14ac:dyDescent="0.25">
      <c r="P15" s="690">
        <v>0.43208333333333337</v>
      </c>
      <c r="Q15" s="690">
        <v>283.54982887365657</v>
      </c>
    </row>
    <row r="16" spans="1:17" ht="15" x14ac:dyDescent="0.25">
      <c r="A16" s="114" t="s">
        <v>1033</v>
      </c>
      <c r="B16">
        <v>0.05</v>
      </c>
      <c r="C16" s="114" t="s">
        <v>0</v>
      </c>
      <c r="P16" s="690">
        <v>0.47374999999999989</v>
      </c>
      <c r="Q16" s="690">
        <v>265.43067517169754</v>
      </c>
    </row>
    <row r="17" spans="1:17" ht="15" x14ac:dyDescent="0.25">
      <c r="A17" s="114" t="s">
        <v>1034</v>
      </c>
      <c r="B17">
        <v>0.05</v>
      </c>
      <c r="C17" s="114" t="s">
        <v>0</v>
      </c>
      <c r="P17" s="690">
        <v>0.51541666666666652</v>
      </c>
      <c r="Q17" s="690">
        <v>251.25440489783642</v>
      </c>
    </row>
    <row r="18" spans="1:17" ht="15" x14ac:dyDescent="0.25">
      <c r="A18" s="114" t="s">
        <v>1035</v>
      </c>
      <c r="B18">
        <v>0.05</v>
      </c>
      <c r="C18" s="114" t="s">
        <v>0</v>
      </c>
      <c r="P18" s="690">
        <v>0.55708333333333326</v>
      </c>
      <c r="Q18" s="690">
        <v>238.82660859347064</v>
      </c>
    </row>
    <row r="19" spans="1:17" ht="15" x14ac:dyDescent="0.25">
      <c r="P19" s="690">
        <v>0.59875</v>
      </c>
      <c r="Q19" s="690">
        <v>226.49473484852686</v>
      </c>
    </row>
    <row r="20" spans="1:17" ht="15" x14ac:dyDescent="0.25">
      <c r="A20" s="114" t="s">
        <v>1090</v>
      </c>
      <c r="B20">
        <v>1</v>
      </c>
      <c r="C20" s="114" t="s">
        <v>0</v>
      </c>
      <c r="P20" s="690">
        <v>0.64041666666666652</v>
      </c>
      <c r="Q20" s="690">
        <v>216.9915209201273</v>
      </c>
    </row>
    <row r="21" spans="1:17" ht="15" x14ac:dyDescent="0.25">
      <c r="P21" s="690">
        <v>0.68208333333333337</v>
      </c>
      <c r="Q21" s="690">
        <v>207.09264103806078</v>
      </c>
    </row>
    <row r="22" spans="1:17" ht="15" x14ac:dyDescent="0.25">
      <c r="A22" s="114"/>
      <c r="B22" s="114"/>
      <c r="D22" s="114"/>
      <c r="E22" s="114"/>
      <c r="F22" s="114"/>
      <c r="G22" s="114"/>
      <c r="P22" s="690">
        <v>0.72375000000000023</v>
      </c>
      <c r="Q22" s="690">
        <v>198.4870349794904</v>
      </c>
    </row>
    <row r="23" spans="1:17" ht="15" x14ac:dyDescent="0.25">
      <c r="P23" s="690">
        <v>0.76541666666666652</v>
      </c>
      <c r="Q23" s="690">
        <v>190.69229215281874</v>
      </c>
    </row>
    <row r="24" spans="1:17" ht="15" x14ac:dyDescent="0.25">
      <c r="P24" s="690">
        <v>0.80708333333333349</v>
      </c>
      <c r="Q24" s="690">
        <v>183.75345897712631</v>
      </c>
    </row>
    <row r="25" spans="1:17" ht="15" x14ac:dyDescent="0.25">
      <c r="P25" s="690">
        <v>0.84875000000000012</v>
      </c>
      <c r="Q25" s="690">
        <v>176.97592733608062</v>
      </c>
    </row>
    <row r="26" spans="1:17" ht="15" x14ac:dyDescent="0.25">
      <c r="P26" s="690">
        <v>0.89041666666666663</v>
      </c>
      <c r="Q26" s="690">
        <v>170.83689486631351</v>
      </c>
    </row>
    <row r="27" spans="1:17" ht="15" x14ac:dyDescent="0.25">
      <c r="P27" s="690">
        <v>0.93208333333333337</v>
      </c>
      <c r="Q27" s="690">
        <v>165.32388225412782</v>
      </c>
    </row>
    <row r="28" spans="1:17" ht="15" x14ac:dyDescent="0.25">
      <c r="P28" s="690">
        <v>0.97375</v>
      </c>
      <c r="Q28" s="690">
        <v>160.05100814409749</v>
      </c>
    </row>
    <row r="29" spans="1:17" ht="15" x14ac:dyDescent="0.25">
      <c r="P29" s="690">
        <v>1.0154166666666666</v>
      </c>
      <c r="Q29" s="690">
        <v>155.28035675442277</v>
      </c>
    </row>
    <row r="30" spans="1:17" ht="15" x14ac:dyDescent="0.25">
      <c r="P30" s="690">
        <v>1.0570833333333332</v>
      </c>
      <c r="Q30" s="690">
        <v>150.60149036199206</v>
      </c>
    </row>
    <row r="31" spans="1:17" ht="15" x14ac:dyDescent="0.25">
      <c r="P31" s="690">
        <v>1.0987499999999999</v>
      </c>
      <c r="Q31" s="690">
        <v>146.53481516091131</v>
      </c>
    </row>
    <row r="32" spans="1:17" ht="15" x14ac:dyDescent="0.25">
      <c r="P32" s="690">
        <v>1.1404166666666666</v>
      </c>
      <c r="Q32" s="690">
        <v>142.55215302090039</v>
      </c>
    </row>
    <row r="33" spans="16:17" ht="15" x14ac:dyDescent="0.25">
      <c r="P33" s="690">
        <v>1.1820833333333336</v>
      </c>
      <c r="Q33" s="690">
        <v>138.85817947609672</v>
      </c>
    </row>
    <row r="34" spans="16:17" ht="15" x14ac:dyDescent="0.25">
      <c r="P34" s="690">
        <v>1.2237499999999997</v>
      </c>
      <c r="Q34" s="690">
        <v>135.34466224995703</v>
      </c>
    </row>
    <row r="35" spans="16:17" ht="15" x14ac:dyDescent="0.25">
      <c r="P35" s="690">
        <v>1.2654166666666666</v>
      </c>
      <c r="Q35" s="690">
        <v>131.89956881910555</v>
      </c>
    </row>
    <row r="36" spans="16:17" ht="15" x14ac:dyDescent="0.25">
      <c r="P36" s="690">
        <v>1.3070833333333332</v>
      </c>
      <c r="Q36" s="690">
        <v>128.98058537752249</v>
      </c>
    </row>
    <row r="37" spans="16:17" ht="15" x14ac:dyDescent="0.25">
      <c r="P37" s="690">
        <v>1.3487499999999999</v>
      </c>
      <c r="Q37" s="690">
        <v>125.88539231343111</v>
      </c>
    </row>
    <row r="38" spans="16:17" ht="15" x14ac:dyDescent="0.25">
      <c r="P38" s="690">
        <v>1.3904166666666664</v>
      </c>
      <c r="Q38" s="690">
        <v>123.1361357533811</v>
      </c>
    </row>
    <row r="39" spans="16:17" ht="15" x14ac:dyDescent="0.25">
      <c r="P39" s="690">
        <v>1.4320833333333336</v>
      </c>
      <c r="Q39" s="690">
        <v>120.57792055657669</v>
      </c>
    </row>
    <row r="40" spans="16:17" ht="15" x14ac:dyDescent="0.25">
      <c r="P40" s="690">
        <v>1.4737499999999997</v>
      </c>
      <c r="Q40" s="690">
        <v>117.90048619102598</v>
      </c>
    </row>
    <row r="41" spans="16:17" ht="15" x14ac:dyDescent="0.25">
      <c r="P41" s="690">
        <v>1.5154166666666671</v>
      </c>
      <c r="Q41" s="690">
        <v>115.22373543635396</v>
      </c>
    </row>
    <row r="42" spans="16:17" ht="15" x14ac:dyDescent="0.25">
      <c r="P42" s="690">
        <v>1.5570833333333336</v>
      </c>
      <c r="Q42" s="690">
        <v>113.06831906216505</v>
      </c>
    </row>
    <row r="43" spans="16:17" ht="15" x14ac:dyDescent="0.25">
      <c r="P43" s="690">
        <v>1.5987499999999997</v>
      </c>
      <c r="Q43" s="690">
        <v>111.18776299338631</v>
      </c>
    </row>
    <row r="44" spans="16:17" ht="15" x14ac:dyDescent="0.25">
      <c r="P44" s="690">
        <v>1.6404166666666662</v>
      </c>
      <c r="Q44" s="690">
        <v>109.05746410284583</v>
      </c>
    </row>
    <row r="45" spans="16:17" ht="15" x14ac:dyDescent="0.25">
      <c r="P45" s="690">
        <v>1.6820833333333329</v>
      </c>
      <c r="Q45" s="690">
        <v>107.07804463255033</v>
      </c>
    </row>
    <row r="46" spans="16:17" ht="15" x14ac:dyDescent="0.25">
      <c r="P46" s="690">
        <v>1.7237500000000003</v>
      </c>
      <c r="Q46" s="690">
        <v>105.36814628196186</v>
      </c>
    </row>
    <row r="47" spans="16:17" ht="15" x14ac:dyDescent="0.25">
      <c r="P47" s="690">
        <v>1.7654166666666664</v>
      </c>
      <c r="Q47" s="690">
        <v>103.44966753824211</v>
      </c>
    </row>
    <row r="48" spans="16:17" ht="15" x14ac:dyDescent="0.25">
      <c r="P48" s="690">
        <v>1.8070833333333329</v>
      </c>
      <c r="Q48" s="690">
        <v>101.88664009296646</v>
      </c>
    </row>
    <row r="49" spans="16:17" ht="15" x14ac:dyDescent="0.25">
      <c r="P49" s="690">
        <v>1.8487499999999999</v>
      </c>
      <c r="Q49" s="690">
        <v>100.33981686593194</v>
      </c>
    </row>
    <row r="50" spans="16:17" ht="15" x14ac:dyDescent="0.25">
      <c r="P50" s="690">
        <v>1.8904166666666662</v>
      </c>
      <c r="Q50" s="690">
        <v>98.885216789244353</v>
      </c>
    </row>
    <row r="51" spans="16:17" ht="15" x14ac:dyDescent="0.25">
      <c r="P51" s="690">
        <v>1.9320833333333332</v>
      </c>
      <c r="Q51" s="690">
        <v>97.352294242602028</v>
      </c>
    </row>
    <row r="52" spans="16:17" ht="15" x14ac:dyDescent="0.25">
      <c r="P52" s="690">
        <v>1.9737499999999997</v>
      </c>
      <c r="Q52" s="690">
        <v>95.900476562665546</v>
      </c>
    </row>
    <row r="53" spans="16:17" ht="15" x14ac:dyDescent="0.25">
      <c r="P53" s="690">
        <v>2.0154166666666664</v>
      </c>
      <c r="Q53" s="690">
        <v>94.520755329934616</v>
      </c>
    </row>
    <row r="54" spans="16:17" ht="15" x14ac:dyDescent="0.25">
      <c r="P54" s="690">
        <v>2.0570833333333334</v>
      </c>
      <c r="Q54" s="690">
        <v>93.439001330341654</v>
      </c>
    </row>
    <row r="55" spans="16:17" ht="15" x14ac:dyDescent="0.25">
      <c r="P55" s="690">
        <v>2.0987499999999999</v>
      </c>
      <c r="Q55" s="690">
        <v>94.045882976384405</v>
      </c>
    </row>
    <row r="56" spans="16:17" ht="15" x14ac:dyDescent="0.25">
      <c r="P56" s="690">
        <v>2.140416666666666</v>
      </c>
      <c r="Q56" s="690">
        <v>94.37021410456785</v>
      </c>
    </row>
    <row r="57" spans="16:17" ht="15" x14ac:dyDescent="0.25">
      <c r="P57" s="690">
        <v>2.1820833333333329</v>
      </c>
      <c r="Q57" s="690">
        <v>94.832576550964987</v>
      </c>
    </row>
    <row r="58" spans="16:17" ht="15" x14ac:dyDescent="0.25">
      <c r="P58" s="690">
        <v>2.2237499999999999</v>
      </c>
      <c r="Q58" s="690">
        <v>94.921207904859386</v>
      </c>
    </row>
    <row r="59" spans="16:17" ht="15" x14ac:dyDescent="0.25">
      <c r="P59" s="690">
        <v>2.2654166666666664</v>
      </c>
      <c r="Q59" s="690">
        <v>95.115398574694169</v>
      </c>
    </row>
    <row r="60" spans="16:17" ht="15" x14ac:dyDescent="0.25">
      <c r="P60" s="690">
        <v>2.3070833333333329</v>
      </c>
      <c r="Q60" s="690">
        <v>95.204302555485128</v>
      </c>
    </row>
    <row r="61" spans="16:17" ht="15" x14ac:dyDescent="0.25">
      <c r="P61" s="690">
        <v>2.3487499999999999</v>
      </c>
      <c r="Q61" s="690">
        <v>95.269653244380066</v>
      </c>
    </row>
    <row r="62" spans="16:17" ht="15" x14ac:dyDescent="0.25">
      <c r="P62" s="690">
        <v>2.3904166666666664</v>
      </c>
      <c r="Q62" s="690">
        <v>95.302329682511441</v>
      </c>
    </row>
    <row r="63" spans="16:17" ht="15" x14ac:dyDescent="0.25">
      <c r="P63" s="690">
        <v>2.4320833333333329</v>
      </c>
      <c r="Q63" s="690">
        <v>95.352525948685951</v>
      </c>
    </row>
    <row r="64" spans="16:17" ht="15" x14ac:dyDescent="0.25">
      <c r="P64" s="690">
        <v>2.4737499999999999</v>
      </c>
      <c r="Q64" s="690">
        <v>95.229572087695288</v>
      </c>
    </row>
    <row r="65" spans="16:17" ht="15" x14ac:dyDescent="0.25">
      <c r="P65" s="690">
        <v>2.5154166666666664</v>
      </c>
      <c r="Q65" s="690">
        <v>95.27100455483918</v>
      </c>
    </row>
    <row r="66" spans="16:17" ht="15" x14ac:dyDescent="0.25">
      <c r="P66" s="690">
        <v>2.5570833333333325</v>
      </c>
      <c r="Q66" s="690">
        <v>95.216588882174079</v>
      </c>
    </row>
  </sheetData>
  <mergeCells count="2">
    <mergeCell ref="A1:I1"/>
    <mergeCell ref="E5:H5"/>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R546"/>
  <sheetViews>
    <sheetView zoomScaleNormal="100" workbookViewId="0">
      <pane ySplit="5" topLeftCell="A387" activePane="bottomLeft" state="frozenSplit"/>
      <selection activeCell="D24" sqref="D24"/>
      <selection pane="bottomLeft" activeCell="L412" sqref="L412"/>
    </sheetView>
  </sheetViews>
  <sheetFormatPr defaultRowHeight="12.75" x14ac:dyDescent="0.2"/>
  <cols>
    <col min="1" max="1" width="38.85546875" customWidth="1"/>
    <col min="2" max="2" width="12" customWidth="1"/>
    <col min="3" max="3" width="10" style="2" customWidth="1"/>
    <col min="4" max="4" width="13.42578125" customWidth="1"/>
    <col min="5" max="5" width="11.5703125" customWidth="1"/>
    <col min="7" max="7" width="12.42578125" bestFit="1" customWidth="1"/>
    <col min="8" max="8" width="34.7109375" customWidth="1"/>
    <col min="10" max="10" width="12.42578125" bestFit="1" customWidth="1"/>
    <col min="11" max="11" width="15.140625" customWidth="1"/>
    <col min="12" max="12" width="13.28515625" customWidth="1"/>
    <col min="14" max="14" width="7.85546875" customWidth="1"/>
    <col min="15" max="15" width="12.42578125" bestFit="1" customWidth="1"/>
    <col min="16" max="16" width="8.28515625" customWidth="1"/>
  </cols>
  <sheetData>
    <row r="1" spans="1:16" ht="30.75" customHeight="1" x14ac:dyDescent="0.4">
      <c r="A1" s="901" t="s">
        <v>512</v>
      </c>
      <c r="B1" s="901"/>
      <c r="C1" s="901"/>
      <c r="D1" s="901"/>
      <c r="E1" s="901"/>
      <c r="F1" s="901"/>
      <c r="G1" s="901"/>
      <c r="H1" s="901"/>
      <c r="I1" s="901"/>
    </row>
    <row r="2" spans="1:16" ht="12" customHeight="1" x14ac:dyDescent="0.2">
      <c r="A2" s="49"/>
      <c r="B2" s="49" t="s">
        <v>224</v>
      </c>
      <c r="C2" s="50"/>
      <c r="E2" s="568"/>
      <c r="F2" s="49" t="s">
        <v>871</v>
      </c>
      <c r="G2" s="49"/>
      <c r="H2" s="49"/>
      <c r="I2" s="49"/>
    </row>
    <row r="3" spans="1:16" ht="11.25" customHeight="1" x14ac:dyDescent="0.2">
      <c r="A3" s="49"/>
      <c r="B3" s="49" t="s">
        <v>272</v>
      </c>
      <c r="C3" s="51"/>
      <c r="E3" s="49"/>
      <c r="F3" s="49"/>
      <c r="G3" s="49"/>
      <c r="H3" s="49"/>
      <c r="I3" s="49"/>
    </row>
    <row r="4" spans="1:16" ht="11.25" customHeight="1" x14ac:dyDescent="0.2">
      <c r="A4" s="49"/>
      <c r="B4" s="49" t="s">
        <v>225</v>
      </c>
      <c r="C4" s="52"/>
      <c r="E4" s="49"/>
      <c r="F4" s="49"/>
      <c r="G4" s="49"/>
      <c r="H4" s="49"/>
      <c r="I4" s="49"/>
    </row>
    <row r="5" spans="1:16" x14ac:dyDescent="0.2">
      <c r="A5" s="2" t="s">
        <v>51</v>
      </c>
      <c r="B5" s="2" t="s">
        <v>8</v>
      </c>
      <c r="C5" s="2" t="s">
        <v>9</v>
      </c>
      <c r="E5" s="902" t="s">
        <v>13</v>
      </c>
      <c r="F5" s="902"/>
      <c r="G5" s="902"/>
      <c r="H5" s="902"/>
      <c r="I5" s="2" t="s">
        <v>540</v>
      </c>
    </row>
    <row r="6" spans="1:16" ht="16.5" thickBot="1" x14ac:dyDescent="0.3">
      <c r="A6" s="531" t="s">
        <v>177</v>
      </c>
      <c r="B6" s="2"/>
      <c r="D6" s="2"/>
      <c r="E6" s="49"/>
      <c r="F6" s="49"/>
      <c r="G6" s="49"/>
      <c r="H6" s="49"/>
      <c r="I6" s="2"/>
    </row>
    <row r="7" spans="1:16" x14ac:dyDescent="0.2">
      <c r="A7" s="210" t="s">
        <v>363</v>
      </c>
      <c r="B7" s="12">
        <f>'Design Converter'!E7</f>
        <v>20</v>
      </c>
      <c r="C7" s="63" t="s">
        <v>0</v>
      </c>
      <c r="D7" s="117" t="s">
        <v>364</v>
      </c>
      <c r="E7" s="63"/>
      <c r="F7" s="63"/>
      <c r="G7" s="63"/>
      <c r="H7" s="63"/>
      <c r="I7" s="64">
        <v>1</v>
      </c>
    </row>
    <row r="8" spans="1:16" x14ac:dyDescent="0.2">
      <c r="A8" s="211" t="s">
        <v>173</v>
      </c>
      <c r="B8" s="29">
        <f>'Design Converter'!E8</f>
        <v>23.6</v>
      </c>
      <c r="C8" t="s">
        <v>0</v>
      </c>
      <c r="D8" t="s">
        <v>14</v>
      </c>
      <c r="I8" s="57"/>
      <c r="K8" s="293" t="s">
        <v>846</v>
      </c>
      <c r="L8" s="116">
        <v>1</v>
      </c>
      <c r="M8" s="114"/>
      <c r="O8" s="116"/>
    </row>
    <row r="9" spans="1:16" x14ac:dyDescent="0.2">
      <c r="A9" s="211" t="s">
        <v>362</v>
      </c>
      <c r="B9" s="29">
        <f>'Design Converter'!E9</f>
        <v>34</v>
      </c>
      <c r="C9" t="s">
        <v>0</v>
      </c>
      <c r="D9" s="114" t="s">
        <v>365</v>
      </c>
      <c r="I9" s="57"/>
      <c r="K9" s="293" t="s">
        <v>847</v>
      </c>
      <c r="L9" s="116">
        <v>2</v>
      </c>
      <c r="M9" s="114"/>
      <c r="O9" s="116"/>
    </row>
    <row r="10" spans="1:16" x14ac:dyDescent="0.2">
      <c r="A10" s="211" t="s">
        <v>761</v>
      </c>
      <c r="B10" s="535">
        <f>B44</f>
        <v>10.696401407436619</v>
      </c>
      <c r="C10" t="s">
        <v>0</v>
      </c>
      <c r="D10" s="114"/>
      <c r="I10" s="57"/>
      <c r="K10" s="544" t="s">
        <v>815</v>
      </c>
      <c r="L10" s="646">
        <v>1</v>
      </c>
      <c r="M10" s="356" t="s">
        <v>881</v>
      </c>
      <c r="O10" s="562">
        <f>'CFG Setting'!G28</f>
        <v>13</v>
      </c>
      <c r="P10" s="114" t="s">
        <v>853</v>
      </c>
    </row>
    <row r="11" spans="1:16" x14ac:dyDescent="0.2">
      <c r="A11" s="211"/>
      <c r="B11" s="501"/>
      <c r="C11"/>
      <c r="D11" s="114"/>
      <c r="I11" s="57"/>
      <c r="K11" s="356" t="s">
        <v>985</v>
      </c>
      <c r="L11" s="646" t="b">
        <v>0</v>
      </c>
    </row>
    <row r="12" spans="1:16" x14ac:dyDescent="0.2">
      <c r="A12" s="56" t="s">
        <v>5</v>
      </c>
      <c r="B12" s="29">
        <f>'Design Converter'!E10</f>
        <v>14.6</v>
      </c>
      <c r="C12" t="s">
        <v>0</v>
      </c>
      <c r="D12" t="s">
        <v>1</v>
      </c>
      <c r="I12" s="57">
        <v>1</v>
      </c>
    </row>
    <row r="13" spans="1:16" x14ac:dyDescent="0.2">
      <c r="A13" s="56" t="s">
        <v>6</v>
      </c>
      <c r="B13" s="29">
        <f>'Design Converter'!E11</f>
        <v>12</v>
      </c>
      <c r="C13" t="s">
        <v>2</v>
      </c>
      <c r="D13" s="114" t="s">
        <v>366</v>
      </c>
      <c r="I13" s="57">
        <v>1</v>
      </c>
    </row>
    <row r="14" spans="1:16" x14ac:dyDescent="0.2">
      <c r="A14" s="211" t="s">
        <v>442</v>
      </c>
      <c r="B14" s="292">
        <f>Vout/Iout</f>
        <v>1.2166666666666666</v>
      </c>
      <c r="C14" s="213" t="s">
        <v>118</v>
      </c>
      <c r="D14" s="114" t="s">
        <v>443</v>
      </c>
      <c r="I14" s="57"/>
    </row>
    <row r="15" spans="1:16" x14ac:dyDescent="0.2">
      <c r="A15" s="211" t="s">
        <v>384</v>
      </c>
      <c r="B15" s="292">
        <f>Vout*Iout</f>
        <v>175.2</v>
      </c>
      <c r="C15" t="s">
        <v>118</v>
      </c>
      <c r="D15" s="114" t="s">
        <v>412</v>
      </c>
      <c r="I15" s="57"/>
    </row>
    <row r="16" spans="1:16" x14ac:dyDescent="0.2">
      <c r="A16" s="211" t="s">
        <v>150</v>
      </c>
      <c r="B16" s="312">
        <v>0.95</v>
      </c>
      <c r="C16"/>
      <c r="D16" s="566" t="s">
        <v>860</v>
      </c>
      <c r="I16" s="57"/>
    </row>
    <row r="17" spans="1:12" x14ac:dyDescent="0.2">
      <c r="A17" s="211" t="s">
        <v>388</v>
      </c>
      <c r="B17" s="313">
        <f>Pout/Efficiency</f>
        <v>184.42105263157893</v>
      </c>
      <c r="C17" t="s">
        <v>118</v>
      </c>
      <c r="D17" s="114" t="s">
        <v>411</v>
      </c>
      <c r="I17" s="57"/>
    </row>
    <row r="18" spans="1:12" x14ac:dyDescent="0.2">
      <c r="A18" s="211" t="s">
        <v>385</v>
      </c>
      <c r="B18" s="306">
        <f>Pin/VIN_min</f>
        <v>9.2210526315789458</v>
      </c>
      <c r="C18" t="s">
        <v>2</v>
      </c>
      <c r="D18" s="114"/>
      <c r="I18" s="57"/>
    </row>
    <row r="19" spans="1:12" x14ac:dyDescent="0.2">
      <c r="A19" s="211" t="s">
        <v>386</v>
      </c>
      <c r="B19" s="306">
        <f>Pin/VIN_nom</f>
        <v>7.8144513826940223</v>
      </c>
      <c r="C19" t="s">
        <v>2</v>
      </c>
      <c r="D19" s="114" t="s">
        <v>413</v>
      </c>
      <c r="I19" s="57"/>
    </row>
    <row r="20" spans="1:12" x14ac:dyDescent="0.2">
      <c r="A20" s="211" t="s">
        <v>387</v>
      </c>
      <c r="B20" s="306">
        <f>Pin/VIN_max</f>
        <v>5.4241486068111451</v>
      </c>
      <c r="C20" t="s">
        <v>2</v>
      </c>
      <c r="D20" s="114"/>
      <c r="I20" s="57"/>
    </row>
    <row r="21" spans="1:12" x14ac:dyDescent="0.2">
      <c r="A21" s="211"/>
      <c r="C21"/>
      <c r="D21" s="114"/>
      <c r="I21" s="57"/>
    </row>
    <row r="22" spans="1:12" x14ac:dyDescent="0.2">
      <c r="A22" s="58" t="s">
        <v>7</v>
      </c>
      <c r="B22" s="258">
        <f>'Design Converter'!E12*1000</f>
        <v>600000</v>
      </c>
      <c r="C22" s="114" t="s">
        <v>10</v>
      </c>
      <c r="D22" s="114" t="s">
        <v>367</v>
      </c>
      <c r="I22" s="57">
        <v>1</v>
      </c>
    </row>
    <row r="23" spans="1:12" x14ac:dyDescent="0.2">
      <c r="A23" s="211" t="s">
        <v>790</v>
      </c>
      <c r="B23" s="534">
        <f>1/Fsw</f>
        <v>1.6666666666666667E-6</v>
      </c>
      <c r="C23" s="114" t="s">
        <v>755</v>
      </c>
      <c r="D23" s="114" t="s">
        <v>789</v>
      </c>
      <c r="I23" s="57"/>
    </row>
    <row r="24" spans="1:12" x14ac:dyDescent="0.2">
      <c r="A24" s="58" t="s">
        <v>44</v>
      </c>
      <c r="B24" s="59">
        <f>_xlfn.SWITCH(Internal_FB_enabled,1,1,2,Vout/10,3,Vout/20)</f>
        <v>1</v>
      </c>
      <c r="C24" t="s">
        <v>0</v>
      </c>
      <c r="D24" t="s">
        <v>45</v>
      </c>
      <c r="I24" s="57"/>
    </row>
    <row r="25" spans="1:12" x14ac:dyDescent="0.2">
      <c r="A25" s="211" t="s">
        <v>883</v>
      </c>
      <c r="B25" s="307">
        <f>Vref</f>
        <v>1</v>
      </c>
      <c r="C25" t="s">
        <v>0</v>
      </c>
      <c r="D25" t="s">
        <v>884</v>
      </c>
      <c r="I25" s="57"/>
    </row>
    <row r="26" spans="1:12" x14ac:dyDescent="0.2">
      <c r="A26" s="211" t="s">
        <v>351</v>
      </c>
      <c r="B26" s="307">
        <f>1/(0.000000000032*Fsw)</f>
        <v>52083.333333333336</v>
      </c>
      <c r="C26" s="213" t="s">
        <v>118</v>
      </c>
      <c r="D26" t="s">
        <v>414</v>
      </c>
      <c r="F26" s="566" t="s">
        <v>868</v>
      </c>
      <c r="I26" s="57"/>
    </row>
    <row r="27" spans="1:12" ht="12.6" customHeight="1" x14ac:dyDescent="0.2">
      <c r="A27" s="211" t="s">
        <v>916</v>
      </c>
      <c r="B27" s="614">
        <v>5.9999999999999995E-8</v>
      </c>
      <c r="C27" s="213" t="s">
        <v>2</v>
      </c>
      <c r="F27" s="566"/>
      <c r="I27" s="57"/>
    </row>
    <row r="28" spans="1:12" ht="12.6" customHeight="1" x14ac:dyDescent="0.2">
      <c r="A28" s="114"/>
      <c r="B28" s="614"/>
      <c r="C28" s="213"/>
      <c r="F28" s="566"/>
      <c r="I28" s="57"/>
    </row>
    <row r="29" spans="1:12" ht="12.6" customHeight="1" x14ac:dyDescent="0.2">
      <c r="A29" s="114" t="s">
        <v>957</v>
      </c>
      <c r="B29" s="632" t="str">
        <f>CHOOSE(C29,L29,L30,L31)</f>
        <v>LM51772</v>
      </c>
      <c r="C29" s="213">
        <f>D29+1</f>
        <v>2</v>
      </c>
      <c r="D29">
        <v>1</v>
      </c>
      <c r="F29" s="566"/>
      <c r="I29" s="57"/>
      <c r="K29" s="114" t="s">
        <v>957</v>
      </c>
      <c r="L29" s="114" t="s">
        <v>864</v>
      </c>
    </row>
    <row r="30" spans="1:12" ht="12.6" customHeight="1" x14ac:dyDescent="0.2">
      <c r="A30" s="114" t="s">
        <v>828</v>
      </c>
      <c r="B30" s="59">
        <v>1</v>
      </c>
      <c r="C30" s="213"/>
      <c r="D30" s="114" t="s">
        <v>1182</v>
      </c>
      <c r="F30" s="566"/>
      <c r="I30" s="57"/>
      <c r="L30" s="114" t="s">
        <v>958</v>
      </c>
    </row>
    <row r="31" spans="1:12" x14ac:dyDescent="0.2">
      <c r="I31" s="57"/>
      <c r="L31" s="114" t="s">
        <v>1290</v>
      </c>
    </row>
    <row r="32" spans="1:12" x14ac:dyDescent="0.2">
      <c r="A32" s="114"/>
      <c r="B32" s="600"/>
      <c r="C32" s="114"/>
      <c r="D32" s="114"/>
      <c r="E32" s="2"/>
      <c r="I32" s="57"/>
    </row>
    <row r="33" spans="1:12" x14ac:dyDescent="0.2">
      <c r="A33" s="114"/>
      <c r="B33" s="601"/>
      <c r="C33" s="114"/>
      <c r="D33" s="114"/>
      <c r="E33" s="2"/>
      <c r="I33" s="57"/>
      <c r="K33" s="114" t="s">
        <v>1266</v>
      </c>
      <c r="L33">
        <f>IF(OR('CFG Setting'!G57=1,'CFG Setting'!G57=16),1,0)</f>
        <v>1</v>
      </c>
    </row>
    <row r="34" spans="1:12" x14ac:dyDescent="0.2">
      <c r="A34" s="114"/>
      <c r="B34" s="601"/>
      <c r="C34" s="114"/>
      <c r="E34" s="2"/>
      <c r="I34" s="57"/>
    </row>
    <row r="35" spans="1:12" x14ac:dyDescent="0.2">
      <c r="A35" s="114"/>
      <c r="B35" s="601"/>
      <c r="C35" s="114"/>
      <c r="E35" s="114"/>
      <c r="I35" s="57"/>
    </row>
    <row r="36" spans="1:12" x14ac:dyDescent="0.2">
      <c r="A36" s="114"/>
      <c r="B36" s="601"/>
      <c r="C36"/>
      <c r="E36" s="114"/>
      <c r="I36" s="57"/>
    </row>
    <row r="37" spans="1:12" x14ac:dyDescent="0.2">
      <c r="A37" s="114"/>
      <c r="B37" s="594"/>
      <c r="C37"/>
      <c r="E37" s="114"/>
      <c r="I37" s="57"/>
    </row>
    <row r="38" spans="1:12" x14ac:dyDescent="0.2">
      <c r="A38" s="114"/>
      <c r="B38" s="595"/>
      <c r="C38"/>
      <c r="E38" s="114"/>
      <c r="I38" s="57"/>
    </row>
    <row r="39" spans="1:12" x14ac:dyDescent="0.2">
      <c r="A39" s="211"/>
      <c r="B39" s="596"/>
      <c r="C39" s="213"/>
      <c r="I39" s="57"/>
    </row>
    <row r="40" spans="1:12" x14ac:dyDescent="0.2">
      <c r="A40" s="114"/>
      <c r="B40" s="595"/>
      <c r="C40"/>
      <c r="I40" s="57"/>
    </row>
    <row r="41" spans="1:12" x14ac:dyDescent="0.2">
      <c r="A41" s="114"/>
      <c r="B41" s="595"/>
      <c r="C41"/>
      <c r="I41" s="57"/>
    </row>
    <row r="42" spans="1:12" x14ac:dyDescent="0.2">
      <c r="A42" s="114"/>
      <c r="B42" s="595"/>
      <c r="C42"/>
      <c r="I42" s="57"/>
    </row>
    <row r="43" spans="1:12" x14ac:dyDescent="0.2">
      <c r="B43" s="597"/>
      <c r="I43" s="57"/>
    </row>
    <row r="44" spans="1:12" x14ac:dyDescent="0.2">
      <c r="A44" s="114" t="s">
        <v>792</v>
      </c>
      <c r="B44" s="598">
        <f>IF($B$30=0,Vout,Timings!F5)</f>
        <v>10.696401407436619</v>
      </c>
      <c r="C44" s="114" t="s">
        <v>0</v>
      </c>
      <c r="I44" s="57"/>
    </row>
    <row r="45" spans="1:12" x14ac:dyDescent="0.2">
      <c r="A45" s="114" t="s">
        <v>791</v>
      </c>
      <c r="B45" s="598">
        <f>IF($B$30=0,Vout,Timings!F4)</f>
        <v>12.766511150347091</v>
      </c>
      <c r="C45" s="114" t="s">
        <v>0</v>
      </c>
      <c r="I45" s="57"/>
    </row>
    <row r="46" spans="1:12" x14ac:dyDescent="0.2">
      <c r="A46" s="114" t="s">
        <v>794</v>
      </c>
      <c r="B46" s="599">
        <f>IF($B$30=0,Vout,Timings!F2)</f>
        <v>16.696809135219741</v>
      </c>
      <c r="C46" s="114" t="s">
        <v>0</v>
      </c>
      <c r="I46" s="57"/>
    </row>
    <row r="47" spans="1:12" x14ac:dyDescent="0.2">
      <c r="A47" s="114" t="s">
        <v>793</v>
      </c>
      <c r="B47" s="599">
        <f>IF($B$30=0,Vout,Timings!F3)</f>
        <v>19.92819751994363</v>
      </c>
      <c r="C47" s="114" t="s">
        <v>0</v>
      </c>
      <c r="I47" s="57"/>
    </row>
    <row r="48" spans="1:12" ht="13.5" thickBot="1" x14ac:dyDescent="0.25">
      <c r="A48" s="60"/>
      <c r="B48" s="536"/>
      <c r="C48" s="61"/>
      <c r="D48" s="61"/>
      <c r="E48" s="61"/>
      <c r="F48" s="61"/>
      <c r="G48" s="61"/>
      <c r="H48" s="61"/>
      <c r="I48" s="62"/>
    </row>
    <row r="51" spans="1:18" ht="16.5" thickBot="1" x14ac:dyDescent="0.3">
      <c r="A51" s="531" t="s">
        <v>276</v>
      </c>
      <c r="B51" s="2"/>
    </row>
    <row r="52" spans="1:18" x14ac:dyDescent="0.2">
      <c r="A52" s="210" t="s">
        <v>15</v>
      </c>
      <c r="B52" s="289">
        <f>Vout/VIN_nom</f>
        <v>0.61864406779661008</v>
      </c>
      <c r="C52" s="302">
        <f>(Vout-VIN_nom)/Vout</f>
        <v>-0.61643835616438369</v>
      </c>
      <c r="D52" s="291"/>
      <c r="E52" s="117" t="s">
        <v>377</v>
      </c>
      <c r="F52" s="63"/>
      <c r="G52" s="63"/>
      <c r="H52" s="63"/>
      <c r="I52" s="64">
        <v>1</v>
      </c>
    </row>
    <row r="53" spans="1:18" x14ac:dyDescent="0.2">
      <c r="A53" s="211" t="s">
        <v>16</v>
      </c>
      <c r="B53" s="290">
        <f>1-_Don1</f>
        <v>0.38135593220338992</v>
      </c>
      <c r="C53"/>
      <c r="E53" s="114" t="s">
        <v>378</v>
      </c>
      <c r="I53" s="57">
        <v>1</v>
      </c>
    </row>
    <row r="54" spans="1:18" x14ac:dyDescent="0.2">
      <c r="A54" s="114"/>
      <c r="C54"/>
      <c r="E54" s="114"/>
      <c r="I54" s="57"/>
    </row>
    <row r="55" spans="1:18" x14ac:dyDescent="0.2">
      <c r="A55" s="211" t="s">
        <v>379</v>
      </c>
      <c r="B55" s="300">
        <f>IF(VIN_min&gt;Vout, Vout/VIN_min, (Vout-VIN_min)/Vout)</f>
        <v>0.73</v>
      </c>
      <c r="C55" t="str">
        <f>IF(VIN_min&gt;Vout, "BUCK", "BOOST")</f>
        <v>BUCK</v>
      </c>
      <c r="E55" s="114"/>
      <c r="I55" s="57"/>
    </row>
    <row r="56" spans="1:18" x14ac:dyDescent="0.2">
      <c r="A56" s="211" t="s">
        <v>397</v>
      </c>
      <c r="B56" s="300">
        <f>IF(VIN_nom&gt;Vout, Vout/VIN_nom, (Vout-VIN_nom)/Vout)</f>
        <v>0.61864406779661008</v>
      </c>
      <c r="C56" t="str">
        <f>IF(VIN_nom&gt;Vout, "BUCK", "BOOST")</f>
        <v>BUCK</v>
      </c>
      <c r="I56" s="57"/>
    </row>
    <row r="57" spans="1:18" x14ac:dyDescent="0.2">
      <c r="A57" s="211" t="s">
        <v>380</v>
      </c>
      <c r="B57" s="300">
        <f>IF(VIN_max&gt;Vout, Vout/VIN_max, (Vout-VIN_max)/Vout)</f>
        <v>0.42941176470588233</v>
      </c>
      <c r="C57" t="str">
        <f>IF(VIN_max&gt;Vout, "BUCK", "BOOST")</f>
        <v>BUCK</v>
      </c>
      <c r="E57" s="114"/>
      <c r="I57" s="57"/>
    </row>
    <row r="58" spans="1:18" x14ac:dyDescent="0.2">
      <c r="A58" s="114"/>
      <c r="B58" s="300"/>
      <c r="C58" s="114"/>
      <c r="E58" s="114"/>
      <c r="I58" s="57"/>
    </row>
    <row r="59" spans="1:18" x14ac:dyDescent="0.2">
      <c r="A59" s="114"/>
      <c r="B59" s="114" t="s">
        <v>759</v>
      </c>
      <c r="C59" s="114" t="s">
        <v>427</v>
      </c>
      <c r="E59" s="114"/>
      <c r="I59" s="57"/>
    </row>
    <row r="60" spans="1:18" x14ac:dyDescent="0.2">
      <c r="A60" s="211" t="s">
        <v>381</v>
      </c>
      <c r="B60" s="610">
        <f>(VIN_min-Vout)*Don_Vinmin/(Fsw*Iout*0.3)</f>
        <v>1.8250000000000001E-6</v>
      </c>
      <c r="C60" s="610">
        <f>VIN_min/(Iin_Vinmin*0.3*Fsw)*(1-VIN_min/Vout)</f>
        <v>-4.4567461062112968E-6</v>
      </c>
      <c r="D60" s="114" t="s">
        <v>20</v>
      </c>
      <c r="E60" s="114" t="s">
        <v>765</v>
      </c>
      <c r="I60" s="57"/>
    </row>
    <row r="61" spans="1:18" x14ac:dyDescent="0.2">
      <c r="A61" s="211" t="s">
        <v>395</v>
      </c>
      <c r="B61" s="610">
        <f>(VIN_nom-Vout)*Don_Vinnom/(Fsw*Iout*0.35)</f>
        <v>2.2094430992736079E-6</v>
      </c>
      <c r="C61" s="610">
        <f>VIN_nom/(Iin_Vinnom*0.35*Fsw)*(1-VIN_nom/Vout)</f>
        <v>-8.865104683269449E-6</v>
      </c>
      <c r="D61" t="s">
        <v>20</v>
      </c>
      <c r="E61" s="114" t="s">
        <v>1010</v>
      </c>
      <c r="I61" s="57">
        <v>1</v>
      </c>
    </row>
    <row r="62" spans="1:18" x14ac:dyDescent="0.2">
      <c r="A62" s="211" t="s">
        <v>382</v>
      </c>
      <c r="B62" s="610">
        <f>(VIN_max-Vout)*Don_Vinmax/(Fsw*Iout*0.4)</f>
        <v>2.8925653594771242E-6</v>
      </c>
      <c r="C62" s="610">
        <f>VIN_max/(Iin_Vinmax*0.4*Fsw)*(1-VIN_max/Vout)</f>
        <v>-3.4704434332061465E-5</v>
      </c>
      <c r="D62" s="114" t="s">
        <v>20</v>
      </c>
      <c r="E62" s="114" t="s">
        <v>1009</v>
      </c>
      <c r="I62" s="57"/>
      <c r="K62" s="114" t="s">
        <v>914</v>
      </c>
      <c r="R62" s="114" t="s">
        <v>864</v>
      </c>
    </row>
    <row r="63" spans="1:18" x14ac:dyDescent="0.2">
      <c r="A63" s="114"/>
      <c r="C63"/>
      <c r="I63" s="57"/>
      <c r="K63" s="114"/>
      <c r="L63" s="602"/>
      <c r="M63" s="114"/>
      <c r="N63" s="114"/>
      <c r="O63" s="602"/>
      <c r="P63" s="114"/>
    </row>
    <row r="64" spans="1:18" ht="15" x14ac:dyDescent="0.25">
      <c r="A64" s="114" t="s">
        <v>392</v>
      </c>
      <c r="B64" s="610">
        <f>MAX(IF(VIN_min&gt;Vout,B60,C60),O64)</f>
        <v>1.8250000000000001E-6</v>
      </c>
      <c r="C64" s="114" t="s">
        <v>20</v>
      </c>
      <c r="D64" t="str">
        <f>IF(VIN_min&gt;Vout, "BUCK", "BOOST")</f>
        <v>BUCK</v>
      </c>
      <c r="E64" s="114" t="s">
        <v>765</v>
      </c>
      <c r="I64" s="57"/>
      <c r="K64" t="s">
        <v>908</v>
      </c>
      <c r="L64" s="663">
        <f>(VIN_max-Vout)*Vout/(0.4*Iout*Fsw*VIN_max)</f>
        <v>2.8925653594771234E-6</v>
      </c>
      <c r="M64" s="114" t="s">
        <v>20</v>
      </c>
      <c r="N64" t="s">
        <v>909</v>
      </c>
      <c r="O64" s="663">
        <f>MAX(10*Vout*Rs/Fsw,Rs*125/Fsw)</f>
        <v>6.0833333333333337E-7</v>
      </c>
      <c r="P64" s="114" t="s">
        <v>20</v>
      </c>
    </row>
    <row r="65" spans="1:18" ht="15" x14ac:dyDescent="0.25">
      <c r="A65" s="114" t="s">
        <v>393</v>
      </c>
      <c r="B65" s="610">
        <f>IF(VIN_nom&gt;Vout, B61,C61)</f>
        <v>2.2094430992736079E-6</v>
      </c>
      <c r="C65" t="s">
        <v>20</v>
      </c>
      <c r="D65" t="str">
        <f>IF(VIN_nom&gt;Vout, "BUCK", "BOOST")</f>
        <v>BUCK</v>
      </c>
      <c r="E65" s="114" t="s">
        <v>1010</v>
      </c>
      <c r="I65" s="57"/>
      <c r="K65" t="s">
        <v>910</v>
      </c>
      <c r="L65" s="663">
        <f>(Vout-VIN_min)*VIN_min^2/(0.3*Iout*Fsw*Vout^2)</f>
        <v>-4.6913116907487332E-6</v>
      </c>
      <c r="M65" s="114" t="s">
        <v>20</v>
      </c>
      <c r="N65" t="s">
        <v>911</v>
      </c>
      <c r="O65" s="663">
        <f>Rs*5000/Fsw</f>
        <v>2.0833333333333333E-5</v>
      </c>
      <c r="P65" s="114" t="s">
        <v>20</v>
      </c>
    </row>
    <row r="66" spans="1:18" ht="15" x14ac:dyDescent="0.25">
      <c r="A66" s="114" t="s">
        <v>394</v>
      </c>
      <c r="B66" s="610">
        <f>MIN(IF(VIN_max&gt;Vout,B62,C62),O65)</f>
        <v>2.8925653594771242E-6</v>
      </c>
      <c r="C66" s="114" t="s">
        <v>20</v>
      </c>
      <c r="D66" t="str">
        <f>IF(VIN_max&gt;Vout, "BUCK", "BOOST")</f>
        <v>BUCK</v>
      </c>
      <c r="E66" s="114" t="s">
        <v>1009</v>
      </c>
      <c r="I66" s="57"/>
      <c r="K66" t="s">
        <v>1011</v>
      </c>
      <c r="L66" s="663">
        <f>Rs*25*Vout/Fsw</f>
        <v>1.5208333333333333E-6</v>
      </c>
      <c r="M66" s="114" t="s">
        <v>20</v>
      </c>
      <c r="N66" s="114" t="s">
        <v>1013</v>
      </c>
      <c r="O66" s="663">
        <f>Rs*625/Fsw</f>
        <v>2.6041666666666666E-6</v>
      </c>
      <c r="P66" s="114" t="s">
        <v>20</v>
      </c>
    </row>
    <row r="67" spans="1:18" ht="15" x14ac:dyDescent="0.25">
      <c r="A67" s="114"/>
      <c r="C67" s="114"/>
      <c r="E67" s="114"/>
      <c r="I67" s="57"/>
      <c r="K67" t="s">
        <v>1012</v>
      </c>
      <c r="L67" s="663">
        <f>Vout/VIN_min*1.4*Iout</f>
        <v>12.263999999999999</v>
      </c>
      <c r="M67" s="114" t="s">
        <v>2</v>
      </c>
      <c r="N67" t="s">
        <v>1014</v>
      </c>
      <c r="O67" s="663">
        <f>Rs*10*Vout/Fsw</f>
        <v>6.0833333333333337E-7</v>
      </c>
      <c r="P67" s="114" t="s">
        <v>20</v>
      </c>
    </row>
    <row r="68" spans="1:18" ht="15" x14ac:dyDescent="0.25">
      <c r="A68" s="211" t="s">
        <v>396</v>
      </c>
      <c r="B68" s="610">
        <f>O74</f>
        <v>4.2468471406827577E-6</v>
      </c>
      <c r="C68" t="s">
        <v>20</v>
      </c>
      <c r="D68" s="114" t="s">
        <v>915</v>
      </c>
      <c r="E68" s="114"/>
      <c r="I68" s="57"/>
      <c r="K68" s="114" t="s">
        <v>1027</v>
      </c>
      <c r="L68" s="663">
        <f>Buck_CS_threshold/L67</f>
        <v>4.0769732550554475E-3</v>
      </c>
      <c r="M68" s="213" t="s">
        <v>118</v>
      </c>
      <c r="N68" t="s">
        <v>1015</v>
      </c>
      <c r="O68" s="663">
        <f>Rs*125/Fsw</f>
        <v>5.2083333333333336E-7</v>
      </c>
      <c r="P68" s="114" t="s">
        <v>20</v>
      </c>
    </row>
    <row r="69" spans="1:18" x14ac:dyDescent="0.2">
      <c r="A69" s="211" t="s">
        <v>909</v>
      </c>
      <c r="B69" s="610">
        <f>O64</f>
        <v>6.0833333333333337E-7</v>
      </c>
      <c r="C69" t="s">
        <v>20</v>
      </c>
      <c r="D69" s="114"/>
      <c r="E69" s="114"/>
      <c r="I69" s="57"/>
      <c r="K69" s="114"/>
      <c r="L69" s="4"/>
    </row>
    <row r="70" spans="1:18" x14ac:dyDescent="0.2">
      <c r="A70" s="211" t="s">
        <v>911</v>
      </c>
      <c r="B70" s="610">
        <f>O65</f>
        <v>2.0833333333333333E-5</v>
      </c>
      <c r="C70" t="s">
        <v>20</v>
      </c>
      <c r="D70" s="114"/>
      <c r="E70" s="114"/>
      <c r="I70" s="57"/>
      <c r="K70" s="114" t="s">
        <v>912</v>
      </c>
      <c r="L70" s="4">
        <f>(MAX(MIN(AVERAGE(L64:L65),O65),O64))</f>
        <v>6.0833333333333337E-7</v>
      </c>
      <c r="M70" s="114" t="s">
        <v>20</v>
      </c>
    </row>
    <row r="71" spans="1:18" x14ac:dyDescent="0.2">
      <c r="A71" s="211" t="s">
        <v>995</v>
      </c>
      <c r="B71" s="602">
        <f>MAX(MIN(B68,B70),B69)</f>
        <v>4.2468471406827577E-6</v>
      </c>
      <c r="C71" t="s">
        <v>20</v>
      </c>
      <c r="E71" s="114"/>
      <c r="I71" s="57"/>
      <c r="K71" s="114" t="s">
        <v>913</v>
      </c>
      <c r="L71" s="4">
        <f>(MAX(MIN(MIN(L64:L65),O65),O64))</f>
        <v>6.0833333333333337E-7</v>
      </c>
      <c r="M71" s="114" t="s">
        <v>20</v>
      </c>
    </row>
    <row r="72" spans="1:18" x14ac:dyDescent="0.2">
      <c r="A72" s="211" t="s">
        <v>383</v>
      </c>
      <c r="B72" s="70">
        <f>'Design Converter'!E18/1000000</f>
        <v>2.6400000000000001E-6</v>
      </c>
      <c r="C72" t="s">
        <v>20</v>
      </c>
      <c r="E72" s="114" t="s">
        <v>766</v>
      </c>
      <c r="I72" s="57">
        <v>2</v>
      </c>
      <c r="K72" s="30"/>
    </row>
    <row r="73" spans="1:18" x14ac:dyDescent="0.2">
      <c r="A73" s="211" t="s">
        <v>12</v>
      </c>
      <c r="B73" s="29">
        <f>'Design Converter'!E19/1000</f>
        <v>5.7999999999999996E-3</v>
      </c>
      <c r="C73" s="213" t="s">
        <v>118</v>
      </c>
      <c r="E73" s="114" t="s">
        <v>767</v>
      </c>
      <c r="I73" s="57">
        <v>1</v>
      </c>
      <c r="K73" s="30"/>
      <c r="N73" s="114" t="s">
        <v>1026</v>
      </c>
      <c r="O73" s="602">
        <f>L68*625/Fsw</f>
        <v>4.2468471406827577E-6</v>
      </c>
      <c r="P73" s="114" t="s">
        <v>20</v>
      </c>
    </row>
    <row r="74" spans="1:18" x14ac:dyDescent="0.2">
      <c r="A74" s="211"/>
      <c r="B74" s="114"/>
      <c r="C74" s="114"/>
      <c r="D74" s="114"/>
      <c r="E74" s="114"/>
      <c r="I74" s="57"/>
      <c r="N74" s="114" t="s">
        <v>1028</v>
      </c>
      <c r="O74" s="602">
        <f>MAX(O64,MIN(O65,O73))</f>
        <v>4.2468471406827577E-6</v>
      </c>
      <c r="P74" s="114" t="s">
        <v>20</v>
      </c>
    </row>
    <row r="75" spans="1:18" x14ac:dyDescent="0.2">
      <c r="A75" s="211" t="s">
        <v>17</v>
      </c>
      <c r="B75" s="300">
        <f>(Vout+Iout*(Rdcr+Rs))/(Vin+Iout*Rs)</f>
        <v>0.62207363520947945</v>
      </c>
      <c r="C75"/>
      <c r="I75" s="57">
        <v>2</v>
      </c>
    </row>
    <row r="76" spans="1:18" x14ac:dyDescent="0.2">
      <c r="A76" s="211" t="s">
        <v>18</v>
      </c>
      <c r="B76" s="300">
        <f>1-_Don2</f>
        <v>0.37792636479052055</v>
      </c>
      <c r="C76"/>
      <c r="I76" s="57">
        <v>2</v>
      </c>
    </row>
    <row r="77" spans="1:18" x14ac:dyDescent="0.2">
      <c r="A77" s="211"/>
      <c r="C77"/>
      <c r="I77" s="57"/>
    </row>
    <row r="78" spans="1:18" x14ac:dyDescent="0.2">
      <c r="A78" s="211" t="s">
        <v>398</v>
      </c>
      <c r="B78" s="300">
        <f>IF(VIN_min&gt;Vout, (Vout+Iout*(Rdcr+Rs))/(VIN_min+Iout*Rs), (Vout-VIN_min+Iin_Vinmin*(Rdcr))/(Vout-Iin_Vinmin*Rs))</f>
        <v>0.73387918122815776</v>
      </c>
      <c r="C78" t="str">
        <f>IF(VIN_min&gt;Vout, "BUCK", "BOOST")</f>
        <v>BUCK</v>
      </c>
      <c r="E78" s="114" t="s">
        <v>530</v>
      </c>
      <c r="I78" s="57">
        <v>2</v>
      </c>
      <c r="J78" s="114"/>
      <c r="L78" s="565"/>
    </row>
    <row r="79" spans="1:18" ht="15.75" x14ac:dyDescent="0.3">
      <c r="A79" s="211" t="s">
        <v>399</v>
      </c>
      <c r="B79" s="300">
        <f>IF(VIN_nom&gt;Vout, (Vout+Iout*(Rdcr+Rs))/(VIN_nom+Iout*Rs), (Vout-VIN_nom+Iin_Vinnom*(Rdcr))/(Vout-Iin_Vinnom*Rs))</f>
        <v>0.62207363520947945</v>
      </c>
      <c r="C79" t="str">
        <f>IF(VIN_nom&gt;Vout, "BUCK", "BOOST")</f>
        <v>BUCK</v>
      </c>
      <c r="E79" s="371" t="s">
        <v>560</v>
      </c>
      <c r="I79" s="57"/>
      <c r="R79" s="114" t="s">
        <v>958</v>
      </c>
    </row>
    <row r="80" spans="1:18" x14ac:dyDescent="0.2">
      <c r="A80" s="211" t="s">
        <v>400</v>
      </c>
      <c r="B80" s="300">
        <f>IF(VIN_max&gt;Vout, (Vout+Iout*(Rdcr+Rs))/(VIN_max+Iout*Rs), (Vout-VIN_max+Iin_Vinmax*(Rdcr))/(Vout-Iin_Vinmax*Rs))</f>
        <v>0.43196003526300325</v>
      </c>
      <c r="C80" t="str">
        <f>IF(VIN_max&gt;Vout, "BUCK", "BOOST")</f>
        <v>BUCK</v>
      </c>
      <c r="I80" s="57"/>
    </row>
    <row r="81" spans="1:9" x14ac:dyDescent="0.2">
      <c r="A81" s="211"/>
      <c r="C81"/>
      <c r="I81" s="57"/>
    </row>
    <row r="82" spans="1:9" x14ac:dyDescent="0.2">
      <c r="A82" s="211" t="s">
        <v>22</v>
      </c>
      <c r="B82" s="411">
        <f>'Design Converter'!E43/1000</f>
        <v>0.15</v>
      </c>
      <c r="C82" t="s">
        <v>0</v>
      </c>
      <c r="E82" s="114" t="s">
        <v>569</v>
      </c>
      <c r="I82" s="57">
        <v>1</v>
      </c>
    </row>
    <row r="83" spans="1:9" x14ac:dyDescent="0.2">
      <c r="A83" s="211"/>
      <c r="C83"/>
      <c r="I83" s="57"/>
    </row>
    <row r="84" spans="1:9" x14ac:dyDescent="0.2">
      <c r="A84" s="211" t="s">
        <v>389</v>
      </c>
      <c r="B84" s="527">
        <f>IF(VIN_min&gt;Vout, (VIN_min-Vout)*Don_Vinmin_2/(Fsw*Lf),VIN_min*Don_Vinmin_2/(Lf*Fsw))</f>
        <v>2.5018608450959925</v>
      </c>
      <c r="C84" s="527">
        <f>(VIN_min-Vout)*Don_Vinmin_2/(Fsw*Lf)</f>
        <v>2.5018608450959925</v>
      </c>
      <c r="D84" s="114" t="s">
        <v>2</v>
      </c>
      <c r="E84" t="str">
        <f>IF(VIN_min&gt;Vout, "BUCK", "BOOST")</f>
        <v>BUCK</v>
      </c>
      <c r="G84" s="30"/>
      <c r="H84">
        <f>VIN_min*Don_Vinmin_2/(Lopt*Fsw)</f>
        <v>5.7601883382925605</v>
      </c>
      <c r="I84" s="57"/>
    </row>
    <row r="85" spans="1:9" x14ac:dyDescent="0.2">
      <c r="A85" s="211" t="s">
        <v>390</v>
      </c>
      <c r="B85" s="527">
        <f>IF(VIN_nom&gt;Vout, (VIN_nom-Vout)*Don_Vinnom_2/(Fsw*Lf),VIN_nom*Don_Vinnom_2/(Lf*Fsw))</f>
        <v>3.5345092909629523</v>
      </c>
      <c r="C85" s="527">
        <f>(VIN_nom-Vout)*Don_Vinnom_2/(Fsw*Lf)</f>
        <v>3.5345092909629523</v>
      </c>
      <c r="D85" s="114" t="s">
        <v>2</v>
      </c>
      <c r="E85" t="str">
        <f>IF(VIN_nom&gt;Vout, "BUCK", "BOOST")</f>
        <v>BUCK</v>
      </c>
      <c r="I85" s="57"/>
    </row>
    <row r="86" spans="1:9" x14ac:dyDescent="0.2">
      <c r="A86" s="211" t="s">
        <v>391</v>
      </c>
      <c r="B86" s="527">
        <f>IF(VIN_max&gt;Vout, (VIN_max-Vout)*Don_Vinmax_2/(Fsw*Lf),VIN_max*Don_Vinmax_2/(Lf*Fsw))</f>
        <v>5.2904196238019328</v>
      </c>
      <c r="C86" s="527">
        <f>(VIN_max-Vout)*Don_Vinmax_2/(Fsw*Lf)</f>
        <v>5.2904196238019328</v>
      </c>
      <c r="D86" s="114" t="s">
        <v>2</v>
      </c>
      <c r="E86" t="str">
        <f>IF(VIN_max&gt;Vout, "BUCK", "BOOST")</f>
        <v>BUCK</v>
      </c>
      <c r="I86" s="57"/>
    </row>
    <row r="87" spans="1:9" x14ac:dyDescent="0.2">
      <c r="A87" s="211"/>
      <c r="B87" s="527"/>
      <c r="C87" s="480"/>
      <c r="D87" s="114"/>
      <c r="E87" s="114"/>
      <c r="I87" s="57"/>
    </row>
    <row r="88" spans="1:9" x14ac:dyDescent="0.2">
      <c r="A88" s="211"/>
      <c r="B88" s="114"/>
      <c r="C88" s="114"/>
      <c r="D88" s="114"/>
      <c r="I88" s="57"/>
    </row>
    <row r="89" spans="1:9" x14ac:dyDescent="0.2">
      <c r="A89" s="211" t="s">
        <v>795</v>
      </c>
      <c r="B89" s="569">
        <f>IF(VIN_min&gt;Vout, SQRT(1-Don_Vinmin_2)*SQRT(Iout^2+(Iripple_Vinmin^2)/12), SQRT(Don_Vinmin_2)*SQRT(Iin_Vinmin^2+(Iripple_Vinmin^2)/12))</f>
        <v>6.2016295366935523</v>
      </c>
      <c r="C89" s="114" t="s">
        <v>2</v>
      </c>
      <c r="E89" s="4">
        <f>SQRT(1-Don_Vinmin_2)*SQRT(Iout^2+(Iripple_Vinmin^2)/12)</f>
        <v>6.2016295366935523</v>
      </c>
      <c r="F89" s="354">
        <f>SQRT(Don_Vinmin_2)*SQRT(Iout^2+(Iripple_Vinmin^2)/12)</f>
        <v>10.298611559993356</v>
      </c>
      <c r="I89" s="57"/>
    </row>
    <row r="90" spans="1:9" x14ac:dyDescent="0.2">
      <c r="A90" s="211" t="s">
        <v>796</v>
      </c>
      <c r="B90" s="569">
        <f>IF(VIN_nom&gt;Vout, SQRT(1-Don_Vinnom_2)*SQRT(Iout^2+(Iripple_Vinnom^2)/12), SQRT(Don_Vinnom_2)*SQRT(Iin_Vinnom^2+(Iripple_Vinnom^2)/12))</f>
        <v>7.4037045918021516</v>
      </c>
      <c r="C90" s="114" t="s">
        <v>2</v>
      </c>
      <c r="E90" s="4">
        <f>SQRT(1-Don_Vinnom_2)*SQRT(Iout^2+(Iripple_Vinnom^2)/12)</f>
        <v>7.4037045918021516</v>
      </c>
      <c r="F90" s="354">
        <f>SQRT(Don_Vinnom_2)*SQRT(Iout^2+(Iripple_Vinnom^2)/12)</f>
        <v>9.4987484076229567</v>
      </c>
      <c r="I90" s="57"/>
    </row>
    <row r="91" spans="1:9" x14ac:dyDescent="0.2">
      <c r="A91" s="211" t="s">
        <v>797</v>
      </c>
      <c r="B91" s="569">
        <f>IF(VIN_max&gt;Vout, SQRT(1-Don_Vinmax_2)*SQRT(Iout^2+(Iripple_Vinmax^2)/12), SQRT(Don_Vinmax_2)*SQRT(Iin_Vinmax^2+(Iripple_Vinmax^2)/12))</f>
        <v>9.117161785264452</v>
      </c>
      <c r="C91" s="114" t="s">
        <v>2</v>
      </c>
      <c r="E91" s="4">
        <f>SQRT(1-Don_Vinmax_2)*SQRT(Iout^2+(Iripple_Vinmax^2)/12)</f>
        <v>9.117161785264452</v>
      </c>
      <c r="F91" s="354">
        <f>SQRT(Don_Vinmax_2)*SQRT(Iout^2+(Iripple_Vinmax^2)/12)</f>
        <v>7.9504552887013435</v>
      </c>
      <c r="I91" s="57"/>
    </row>
    <row r="92" spans="1:9" x14ac:dyDescent="0.2">
      <c r="A92" s="211" t="s">
        <v>798</v>
      </c>
      <c r="B92" s="394">
        <f>MAX(B89,B91)^2*Rs</f>
        <v>0.20780659754671621</v>
      </c>
      <c r="C92" s="114" t="s">
        <v>118</v>
      </c>
      <c r="D92" s="114" t="str">
        <f>IF(B91&gt;B89, "BUCK", "BOOST")</f>
        <v>BUCK</v>
      </c>
      <c r="E92" s="114"/>
      <c r="I92" s="57"/>
    </row>
    <row r="93" spans="1:9" x14ac:dyDescent="0.2">
      <c r="A93" s="211"/>
      <c r="B93" s="114"/>
      <c r="C93" s="114"/>
      <c r="D93" s="114"/>
      <c r="I93" s="57"/>
    </row>
    <row r="94" spans="1:9" x14ac:dyDescent="0.2">
      <c r="A94" s="211" t="s">
        <v>410</v>
      </c>
      <c r="B94" s="301">
        <f>MAX(B84:B86)</f>
        <v>5.2904196238019328</v>
      </c>
      <c r="C94" s="114" t="s">
        <v>2</v>
      </c>
      <c r="I94" s="57"/>
    </row>
    <row r="95" spans="1:9" x14ac:dyDescent="0.2">
      <c r="A95" s="211"/>
      <c r="B95" s="114"/>
      <c r="C95" s="114"/>
      <c r="D95" s="114"/>
      <c r="F95" s="114" t="s">
        <v>184</v>
      </c>
      <c r="G95" s="293" t="s">
        <v>402</v>
      </c>
      <c r="I95" s="57"/>
    </row>
    <row r="96" spans="1:9" x14ac:dyDescent="0.2">
      <c r="A96" s="211" t="s">
        <v>401</v>
      </c>
      <c r="B96" s="408">
        <f>IF(VIN_min&gt;Vout, B84/Iout, B84/Iin_Vinmin)</f>
        <v>0.20848840375799937</v>
      </c>
      <c r="C96" t="str">
        <f>IF(VIN_min&gt;Vout, "BUCK", "BOOST")</f>
        <v>BUCK</v>
      </c>
      <c r="F96" s="4">
        <f>B84</f>
        <v>2.5018608450959925</v>
      </c>
      <c r="G96" s="409">
        <f>Iin_Vinmin</f>
        <v>9.2210526315789458</v>
      </c>
      <c r="I96" s="57"/>
    </row>
    <row r="97" spans="1:16" x14ac:dyDescent="0.2">
      <c r="A97" s="211"/>
      <c r="B97" s="408">
        <f>IF(VIN_nom&gt;Vout, B85/Iout, B85/Iin_Vinnom)</f>
        <v>0.29454244091357934</v>
      </c>
      <c r="C97" t="str">
        <f>IF(VIN_nom&gt;Vout, "BUCK", "BOOST")</f>
        <v>BUCK</v>
      </c>
      <c r="F97" s="4">
        <f>B85</f>
        <v>3.5345092909629523</v>
      </c>
      <c r="G97" s="409">
        <f>Iin_Vinnom</f>
        <v>7.8144513826940223</v>
      </c>
      <c r="I97" s="57"/>
    </row>
    <row r="98" spans="1:16" x14ac:dyDescent="0.2">
      <c r="A98" s="211"/>
      <c r="B98" s="408">
        <f>IF(VIN_max&gt;Vout, B86/Iout, B86/Iin_Vinmax)</f>
        <v>0.44086830198349442</v>
      </c>
      <c r="C98" t="str">
        <f>IF(VIN_max&gt;Vout, "BUCK", "BOOST")</f>
        <v>BUCK</v>
      </c>
      <c r="F98" s="4">
        <f>B86</f>
        <v>5.2904196238019328</v>
      </c>
      <c r="G98" s="409">
        <f>Iin_Vinmax</f>
        <v>5.4241486068111451</v>
      </c>
      <c r="I98" s="57"/>
    </row>
    <row r="99" spans="1:16" x14ac:dyDescent="0.2">
      <c r="A99" s="211"/>
      <c r="C99"/>
      <c r="I99" s="57"/>
    </row>
    <row r="100" spans="1:16" x14ac:dyDescent="0.2">
      <c r="A100" t="s">
        <v>265</v>
      </c>
      <c r="B100" s="312">
        <v>100</v>
      </c>
      <c r="C100"/>
      <c r="D100" s="114"/>
      <c r="I100" s="57"/>
    </row>
    <row r="101" spans="1:16" x14ac:dyDescent="0.2">
      <c r="A101" s="211" t="s">
        <v>264</v>
      </c>
      <c r="B101" s="385">
        <f>Rdcr*(1+0.0039*(B100-25))</f>
        <v>7.4964999999999997E-3</v>
      </c>
      <c r="C101" s="213" t="s">
        <v>118</v>
      </c>
      <c r="I101" s="57"/>
    </row>
    <row r="102" spans="1:16" ht="13.5" thickBot="1" x14ac:dyDescent="0.25">
      <c r="A102" s="316"/>
      <c r="B102" s="317"/>
      <c r="C102" s="61"/>
      <c r="D102" s="61"/>
      <c r="E102" s="61"/>
      <c r="F102" s="61"/>
      <c r="G102" s="61"/>
      <c r="H102" s="61"/>
      <c r="I102" s="62"/>
    </row>
    <row r="103" spans="1:16" x14ac:dyDescent="0.2">
      <c r="A103" s="2"/>
      <c r="B103" s="1"/>
      <c r="C103" s="1"/>
    </row>
    <row r="104" spans="1:16" ht="16.5" thickBot="1" x14ac:dyDescent="0.3">
      <c r="A104" s="531" t="s">
        <v>509</v>
      </c>
      <c r="B104" s="1"/>
      <c r="C104" s="1"/>
    </row>
    <row r="105" spans="1:16" x14ac:dyDescent="0.2">
      <c r="A105" s="92"/>
      <c r="B105" s="63"/>
      <c r="C105" s="63"/>
      <c r="D105" s="63"/>
      <c r="E105" s="63"/>
      <c r="F105" s="63"/>
      <c r="G105" s="63"/>
      <c r="H105" s="63"/>
      <c r="I105" s="64"/>
    </row>
    <row r="106" spans="1:16" x14ac:dyDescent="0.2">
      <c r="A106" s="211" t="s">
        <v>1001</v>
      </c>
      <c r="B106" s="29">
        <f>'Design Converter'!E30</f>
        <v>20</v>
      </c>
      <c r="C106" s="114" t="s">
        <v>185</v>
      </c>
      <c r="E106" s="114" t="s">
        <v>697</v>
      </c>
      <c r="I106" s="57"/>
    </row>
    <row r="107" spans="1:16" x14ac:dyDescent="0.2">
      <c r="A107" s="211"/>
      <c r="C107"/>
      <c r="I107" s="57"/>
    </row>
    <row r="108" spans="1:16" x14ac:dyDescent="0.2">
      <c r="A108" s="211" t="s">
        <v>997</v>
      </c>
      <c r="B108" s="306">
        <f>IF(VIN_min&gt;Vout, Iout/Efficiency+Iripple_Vinmin/2, Iin_Vinmin+Iripple_Vinmin/2)</f>
        <v>13.882509369916418</v>
      </c>
      <c r="C108" t="s">
        <v>2</v>
      </c>
      <c r="D108" t="str">
        <f>IF(VIN_min&gt;Vout, "BUCK", "BOOST")</f>
        <v>BUCK</v>
      </c>
      <c r="E108" s="566"/>
      <c r="I108" s="57"/>
      <c r="P108" s="311"/>
    </row>
    <row r="109" spans="1:16" x14ac:dyDescent="0.2">
      <c r="A109" s="211" t="s">
        <v>998</v>
      </c>
      <c r="B109" s="306">
        <f>IF(VIN_nom&gt;Vout, Iout/Efficiency+Iripple_Vinnom/2,Iin_Vinnom+Iripple_Vinnom/2)</f>
        <v>14.398833592849897</v>
      </c>
      <c r="C109" t="s">
        <v>2</v>
      </c>
      <c r="D109" t="str">
        <f>IF(VIN_nom&gt;Vout, "BUCK", "BOOST")</f>
        <v>BUCK</v>
      </c>
      <c r="E109" s="114"/>
      <c r="I109" s="57"/>
      <c r="P109" s="311"/>
    </row>
    <row r="110" spans="1:16" x14ac:dyDescent="0.2">
      <c r="A110" s="211" t="s">
        <v>999</v>
      </c>
      <c r="B110" s="306">
        <f>IF(VIN_max&gt;Vout, Iout/Efficiency+Iripple_Vinmax/2,Iin_Vinmin+Iripple_Vinmax/2)</f>
        <v>15.276788759269387</v>
      </c>
      <c r="C110" t="s">
        <v>2</v>
      </c>
      <c r="D110" t="str">
        <f>IF(VIN_max&gt;Vout, "BUCK", "BOOST")</f>
        <v>BUCK</v>
      </c>
      <c r="E110" s="114"/>
      <c r="I110" s="57"/>
      <c r="P110" s="311"/>
    </row>
    <row r="111" spans="1:16" x14ac:dyDescent="0.2">
      <c r="A111" s="211" t="s">
        <v>1000</v>
      </c>
      <c r="B111" s="306">
        <f>I_2</f>
        <v>14.83342070030147</v>
      </c>
      <c r="C111" s="114" t="s">
        <v>2</v>
      </c>
      <c r="D111" s="114" t="s">
        <v>768</v>
      </c>
      <c r="I111" s="57"/>
    </row>
    <row r="112" spans="1:16" x14ac:dyDescent="0.2">
      <c r="A112" s="211" t="s">
        <v>1022</v>
      </c>
      <c r="B112" s="306">
        <f>MAX(B108:B110)</f>
        <v>15.276788759269387</v>
      </c>
      <c r="C112" s="114" t="s">
        <v>2</v>
      </c>
      <c r="D112" s="114" t="s">
        <v>1024</v>
      </c>
      <c r="I112" s="57"/>
    </row>
    <row r="113" spans="1:9" x14ac:dyDescent="0.2">
      <c r="A113" s="211" t="s">
        <v>1023</v>
      </c>
      <c r="B113" s="306">
        <f>Ipeak_inductor_max*(1+Ilimit_Margin/100)</f>
        <v>18.332146511123263</v>
      </c>
      <c r="C113" s="114" t="s">
        <v>2</v>
      </c>
      <c r="D113" s="114" t="s">
        <v>1025</v>
      </c>
      <c r="I113" s="57"/>
    </row>
    <row r="114" spans="1:9" x14ac:dyDescent="0.2">
      <c r="I114" s="57"/>
    </row>
    <row r="115" spans="1:9" x14ac:dyDescent="0.2">
      <c r="A115" s="211" t="s">
        <v>695</v>
      </c>
      <c r="B115" s="481">
        <v>4.4999999999999998E-2</v>
      </c>
      <c r="C115" s="114" t="s">
        <v>0</v>
      </c>
      <c r="I115" s="57"/>
    </row>
    <row r="116" spans="1:9" x14ac:dyDescent="0.2">
      <c r="A116" s="211" t="s">
        <v>408</v>
      </c>
      <c r="B116" s="305">
        <v>0.05</v>
      </c>
      <c r="C116" s="114" t="s">
        <v>0</v>
      </c>
      <c r="D116" s="2"/>
      <c r="E116" s="566" t="s">
        <v>872</v>
      </c>
      <c r="I116" s="57"/>
    </row>
    <row r="117" spans="1:9" x14ac:dyDescent="0.2">
      <c r="A117" s="211" t="s">
        <v>699</v>
      </c>
      <c r="B117" s="481">
        <v>5.5E-2</v>
      </c>
      <c r="C117" s="114" t="s">
        <v>0</v>
      </c>
      <c r="E117" s="114" t="s">
        <v>873</v>
      </c>
      <c r="I117" s="57"/>
    </row>
    <row r="118" spans="1:9" x14ac:dyDescent="0.2">
      <c r="A118" s="211"/>
      <c r="B118" s="354"/>
      <c r="C118" s="114"/>
      <c r="I118" s="57"/>
    </row>
    <row r="119" spans="1:9" x14ac:dyDescent="0.2">
      <c r="A119" s="211" t="s">
        <v>696</v>
      </c>
      <c r="B119" s="481">
        <v>4.4999999999999998E-2</v>
      </c>
      <c r="C119" s="114" t="s">
        <v>0</v>
      </c>
      <c r="I119" s="57"/>
    </row>
    <row r="120" spans="1:9" x14ac:dyDescent="0.2">
      <c r="A120" s="211" t="s">
        <v>409</v>
      </c>
      <c r="B120" s="305">
        <v>0.05</v>
      </c>
      <c r="C120" s="114" t="s">
        <v>0</v>
      </c>
      <c r="D120" s="2"/>
      <c r="E120" s="566" t="s">
        <v>872</v>
      </c>
      <c r="I120" s="57"/>
    </row>
    <row r="121" spans="1:9" x14ac:dyDescent="0.2">
      <c r="A121" s="211" t="s">
        <v>700</v>
      </c>
      <c r="B121" s="481">
        <v>5.5E-2</v>
      </c>
      <c r="C121" s="114" t="s">
        <v>0</v>
      </c>
      <c r="E121" s="114" t="s">
        <v>873</v>
      </c>
      <c r="I121" s="57"/>
    </row>
    <row r="122" spans="1:9" x14ac:dyDescent="0.2">
      <c r="I122" s="57"/>
    </row>
    <row r="123" spans="1:9" x14ac:dyDescent="0.2">
      <c r="A123" s="523" t="s">
        <v>774</v>
      </c>
      <c r="B123" s="114"/>
      <c r="C123" s="114"/>
      <c r="I123" s="57"/>
    </row>
    <row r="124" spans="1:9" x14ac:dyDescent="0.2">
      <c r="A124" s="211" t="s">
        <v>770</v>
      </c>
      <c r="B124" s="574">
        <f>IF(VIN_min&gt;Vout,Buck_CS_threshold/B108, Boost_CS_Threshold/B108)/(1+Ilimit_Margin/100)</f>
        <v>3.0013786093282882E-3</v>
      </c>
      <c r="C124" s="213" t="s">
        <v>118</v>
      </c>
      <c r="D124" t="str">
        <f>IF(VIN_min&gt;Vout, "BUCK", "BOOST")</f>
        <v>BUCK</v>
      </c>
      <c r="I124" s="57"/>
    </row>
    <row r="125" spans="1:9" x14ac:dyDescent="0.2">
      <c r="A125" s="211" t="s">
        <v>771</v>
      </c>
      <c r="B125" s="574">
        <f>IF(VIN_nom&gt;Vout,Buck_CS_threshold/B109, Boost_CS_Threshold/B109)/(1+Ilimit_Margin/100)</f>
        <v>2.8937529139413977E-3</v>
      </c>
      <c r="C125" s="213" t="s">
        <v>118</v>
      </c>
      <c r="D125" t="str">
        <f>IF(VIN_nom&gt;Vout, "BUCK", "BOOST")</f>
        <v>BUCK</v>
      </c>
      <c r="I125" s="57"/>
    </row>
    <row r="126" spans="1:9" x14ac:dyDescent="0.2">
      <c r="A126" s="211" t="s">
        <v>772</v>
      </c>
      <c r="B126" s="574">
        <f>IF(VIN_max&gt;Vout,Buck_CS_threshold/B110, Boost_CS_Threshold/B110)/(1+Ilimit_Margin/100)</f>
        <v>2.7274492907670067E-3</v>
      </c>
      <c r="C126" s="213" t="s">
        <v>118</v>
      </c>
      <c r="D126" t="str">
        <f>IF(VIN_max&gt;Vout, "BUCK", "BOOST")</f>
        <v>BUCK</v>
      </c>
      <c r="I126" s="57"/>
    </row>
    <row r="127" spans="1:9" x14ac:dyDescent="0.2">
      <c r="A127" s="211"/>
      <c r="B127" s="574"/>
      <c r="C127" s="213"/>
      <c r="D127" s="114"/>
      <c r="I127" s="57"/>
    </row>
    <row r="128" spans="1:9" x14ac:dyDescent="0.2">
      <c r="A128" s="211"/>
      <c r="B128" s="602"/>
      <c r="C128" s="213"/>
      <c r="I128" s="57"/>
    </row>
    <row r="129" spans="1:14" x14ac:dyDescent="0.2">
      <c r="A129" s="211" t="s">
        <v>415</v>
      </c>
      <c r="B129" s="603">
        <f>MIN(B124:B126)</f>
        <v>2.7274492907670067E-3</v>
      </c>
      <c r="C129" s="213" t="s">
        <v>118</v>
      </c>
      <c r="E129" s="114" t="s">
        <v>773</v>
      </c>
      <c r="I129" s="57"/>
    </row>
    <row r="130" spans="1:14" x14ac:dyDescent="0.2">
      <c r="A130" s="211" t="s">
        <v>197</v>
      </c>
      <c r="B130" s="604">
        <f>'Design Converter'!E32/1000</f>
        <v>2.5000000000000001E-3</v>
      </c>
      <c r="C130" s="213" t="s">
        <v>118</v>
      </c>
      <c r="E130" s="114" t="s">
        <v>416</v>
      </c>
      <c r="I130" s="57"/>
      <c r="K130" s="114"/>
      <c r="L130" s="114"/>
    </row>
    <row r="131" spans="1:14" x14ac:dyDescent="0.2">
      <c r="A131" s="211" t="s">
        <v>1020</v>
      </c>
      <c r="B131" s="296">
        <f>IF(AND(100&lt;Rs/Lf,Rs/Lf&lt;8000,Rs/Lf&lt;(1*Fsw/(Vout*10))),1,0)</f>
        <v>1</v>
      </c>
      <c r="C131" s="213"/>
      <c r="E131" s="114"/>
      <c r="I131" s="57"/>
      <c r="K131" s="114"/>
      <c r="L131" s="114"/>
    </row>
    <row r="132" spans="1:14" x14ac:dyDescent="0.2">
      <c r="A132" s="211" t="s">
        <v>561</v>
      </c>
      <c r="B132" s="306">
        <f>Boost_CS_Threshold_max/Rs</f>
        <v>22</v>
      </c>
      <c r="C132" s="114" t="s">
        <v>2</v>
      </c>
      <c r="E132" s="114" t="s">
        <v>769</v>
      </c>
      <c r="I132" s="57"/>
    </row>
    <row r="133" spans="1:14" x14ac:dyDescent="0.2">
      <c r="A133" s="211" t="s">
        <v>1018</v>
      </c>
      <c r="B133" s="306">
        <f>Buck_CS_threshold_max/Rs</f>
        <v>22</v>
      </c>
      <c r="C133" s="114" t="s">
        <v>2</v>
      </c>
      <c r="E133" s="114" t="s">
        <v>1019</v>
      </c>
      <c r="I133" s="57"/>
    </row>
    <row r="134" spans="1:14" x14ac:dyDescent="0.2">
      <c r="A134" s="211"/>
      <c r="I134" s="57"/>
    </row>
    <row r="135" spans="1:14" ht="15.75" x14ac:dyDescent="0.3">
      <c r="A135" s="211" t="s">
        <v>562</v>
      </c>
      <c r="B135" s="313">
        <f>IF(VIN_min&gt;Vout,Buck_CS_threshold/Rs-Iripple_Vinmin/2, (Boost_CS_Threshold/Rs-Iripple_Vinmin/2)*(1-Don_Vinmin_2))</f>
        <v>18.749069577452005</v>
      </c>
      <c r="C135" t="s">
        <v>2</v>
      </c>
      <c r="D135" t="str">
        <f>IF(VIN_min&gt;Vout, "BUCK", "BOOST")</f>
        <v>BUCK</v>
      </c>
      <c r="E135" s="114" t="s">
        <v>568</v>
      </c>
      <c r="I135" s="57"/>
    </row>
    <row r="136" spans="1:14" x14ac:dyDescent="0.2">
      <c r="A136" s="211" t="s">
        <v>623</v>
      </c>
      <c r="B136" s="313">
        <f>IF(VIN_nom&gt;Vout,Buck_CS_threshold/Rs-Iripple_Vinnom/2, IF(VIN_nom&lt;VIN_edgebuckboost,(Boost_CS_Threshold/Rs-Iripple_Vinnom/2)*(1-Don_Vinnom_2),(Buck_CS_threshold/Rs-Iripple_Vinnom/2)*(1-Don_Vinnom_2)))</f>
        <v>18.232745354518524</v>
      </c>
      <c r="C136" t="s">
        <v>2</v>
      </c>
      <c r="D136" t="str">
        <f>IF(VIN_nom&gt;Vout,"BUCK",IF(VIN_nom&lt;VIN_edgebuckboost,"BOOST","BUCK-BOOST"))</f>
        <v>BUCK</v>
      </c>
      <c r="I136" s="57"/>
    </row>
    <row r="137" spans="1:14" x14ac:dyDescent="0.2">
      <c r="A137" s="211" t="s">
        <v>563</v>
      </c>
      <c r="B137" s="313">
        <f>IF(VIN_max&gt;Vout, Buck_CS_threshold/Rs-Iripple_Vinmax/2, (Boost_CS_Threshold/Rs-Iripple_Vinmax/2)*(1-Don_Vinmax_2))</f>
        <v>17.354790188099035</v>
      </c>
      <c r="C137" t="s">
        <v>2</v>
      </c>
      <c r="D137" t="str">
        <f>IF(VIN_max&gt;Vout, "BUCK", "BOOST")</f>
        <v>BUCK</v>
      </c>
      <c r="I137" s="57"/>
    </row>
    <row r="138" spans="1:14" x14ac:dyDescent="0.2">
      <c r="A138" s="211"/>
      <c r="B138" s="313"/>
      <c r="C138"/>
      <c r="D138" s="2"/>
      <c r="I138" s="57"/>
      <c r="K138" s="114" t="s">
        <v>701</v>
      </c>
      <c r="M138" s="114" t="s">
        <v>702</v>
      </c>
    </row>
    <row r="139" spans="1:14" x14ac:dyDescent="0.2">
      <c r="A139" s="211"/>
      <c r="B139" s="114"/>
      <c r="C139"/>
      <c r="I139" s="57"/>
      <c r="K139" s="114"/>
      <c r="M139" s="114"/>
    </row>
    <row r="140" spans="1:14" x14ac:dyDescent="0.2">
      <c r="A140" s="211" t="s">
        <v>564</v>
      </c>
      <c r="B140" s="524">
        <f>IF(VIN_min&gt;Vout, Buck_CS_threshold_max/Rs, Boost_CS_Threshold_max/Rs)</f>
        <v>22</v>
      </c>
      <c r="C140" t="s">
        <v>2</v>
      </c>
      <c r="D140" t="str">
        <f>IF(VIN_min&gt;Vout, "BUCK", "BOOST")</f>
        <v>BUCK</v>
      </c>
      <c r="E140" s="114" t="s">
        <v>567</v>
      </c>
      <c r="H140">
        <f>SQRT(Don_Vinmin_2)*SQRT(Iin_Vinmin^2+(Iripple_Vinmin^2)/12)</f>
        <v>7.9235685616149105</v>
      </c>
      <c r="I140" s="57"/>
      <c r="K140" s="48">
        <f>IF(VIN_min&gt;Vout, SQRT(1-Don_Vinmin_2)*SQRT(Iout_OCP_Vinmin^2+(Iripple_Vinmin^2)/12), SQRT(Don_Vinmin_2)*SQRT(Iin_Vinmin^2+(Iripple_Vinmin^2)/12))</f>
        <v>9.6792368710922716</v>
      </c>
      <c r="L140" s="2" t="s">
        <v>2</v>
      </c>
      <c r="M140" s="4">
        <f>K140^2*Rs</f>
        <v>0.23421906601678028</v>
      </c>
      <c r="N140" s="2" t="s">
        <v>118</v>
      </c>
    </row>
    <row r="141" spans="1:14" x14ac:dyDescent="0.2">
      <c r="A141" s="211" t="s">
        <v>565</v>
      </c>
      <c r="B141" s="524">
        <f>IF(VIN_nom&gt;Vout, Buck_CS_threshold_max/Rs, IF(VIN_nom&lt;VIN_edgebuckboost, Boost_CS_Threshold_max/Rs, Buck_CS_threshold_max/Rs))</f>
        <v>22</v>
      </c>
      <c r="C141" t="s">
        <v>2</v>
      </c>
      <c r="D141" t="str">
        <f>IF(VIN_nom&gt;Vout,"BUCK",IF(VIN_nom&lt;VIN_edgebuckboost,"BOOST","BUCK-BOOST"))</f>
        <v>BUCK</v>
      </c>
      <c r="H141">
        <f>SQRT(1-Don_Vinnom_2)*SQRT(Iout_OCP_Vinnom^2+(Iripple_Vinnom^2)/12)</f>
        <v>11.226247884957756</v>
      </c>
      <c r="I141" s="57"/>
      <c r="K141" s="48">
        <f>IF(VIN_nom&gt;Vout, SQRT(1-Don_Vinnom_2)*SQRT(Iout_OCP_Vinnom^2+(Iripple_Vinnom^2)/12), SQRT(Don_Vinnom_2)*SQRT(Iin_Vinnom^2+(Iripple_Vinnom^2)/12))</f>
        <v>11.226247884957756</v>
      </c>
      <c r="L141" s="2" t="s">
        <v>2</v>
      </c>
      <c r="M141" s="4">
        <f>K141^2*Rs</f>
        <v>0.31507160393629624</v>
      </c>
      <c r="N141" s="2" t="s">
        <v>118</v>
      </c>
    </row>
    <row r="142" spans="1:14" x14ac:dyDescent="0.2">
      <c r="A142" s="211" t="s">
        <v>566</v>
      </c>
      <c r="B142" s="524">
        <f>IF(VIN_max&gt;Vout, Buck_CS_threshold_max/Rs, Boost_CS_Threshold_max/Rs)</f>
        <v>22</v>
      </c>
      <c r="C142" t="s">
        <v>2</v>
      </c>
      <c r="D142" t="str">
        <f>IF(VIN_max&gt;Vout, "BUCK", "BOOST")</f>
        <v>BUCK</v>
      </c>
      <c r="H142">
        <f>SQRT(1-Don_Vinmax_2)*SQRT(Iout_OCP_Vinmax^2+(Iripple_Vinmax^2)/12)</f>
        <v>13.130579832972623</v>
      </c>
      <c r="I142" s="57"/>
      <c r="K142" s="48">
        <f>IF(VIN_max&gt;Vout, SQRT(1-Don_Vinmax_2)*SQRT(Iout_OCP_Vinmax^2+(Iripple_Vinmax^2)/12), SQRT(Don_Vinmax_2)*SQRT(Iin_Vinmax^2+(Iripple_Vinmax^2)/12))</f>
        <v>13.130579832972623</v>
      </c>
      <c r="L142" s="482" t="s">
        <v>2</v>
      </c>
      <c r="M142" s="4">
        <f>K142^2*Rs</f>
        <v>0.43103031687516841</v>
      </c>
      <c r="N142" s="2" t="s">
        <v>118</v>
      </c>
    </row>
    <row r="143" spans="1:14" x14ac:dyDescent="0.2">
      <c r="A143" s="211" t="s">
        <v>854</v>
      </c>
      <c r="B143" s="525">
        <f>MAX(B140:B142)</f>
        <v>22</v>
      </c>
      <c r="C143" s="114" t="s">
        <v>2</v>
      </c>
      <c r="I143" s="57"/>
      <c r="K143" s="567"/>
      <c r="L143" s="482"/>
      <c r="M143" s="4"/>
      <c r="N143" s="2"/>
    </row>
    <row r="144" spans="1:14" x14ac:dyDescent="0.2">
      <c r="A144" s="211"/>
      <c r="B144" s="483"/>
      <c r="C144"/>
      <c r="I144" s="57"/>
    </row>
    <row r="145" spans="1:16" x14ac:dyDescent="0.2">
      <c r="A145" s="211" t="s">
        <v>624</v>
      </c>
      <c r="B145" s="525">
        <f>MAX(B140:B142)</f>
        <v>22</v>
      </c>
      <c r="C145" t="s">
        <v>2</v>
      </c>
      <c r="E145" t="s">
        <v>625</v>
      </c>
      <c r="I145" s="57"/>
    </row>
    <row r="146" spans="1:16" x14ac:dyDescent="0.2">
      <c r="A146" s="211"/>
      <c r="B146" s="4"/>
      <c r="C146" s="114"/>
      <c r="I146" s="57"/>
    </row>
    <row r="147" spans="1:16" x14ac:dyDescent="0.2">
      <c r="A147" s="211" t="s">
        <v>980</v>
      </c>
      <c r="B147" s="319">
        <f>Rs/Lf/Fsw*625</f>
        <v>0.98642676767676762</v>
      </c>
      <c r="C147" s="645"/>
      <c r="E147" s="114"/>
      <c r="I147" s="57"/>
    </row>
    <row r="148" spans="1:16" x14ac:dyDescent="0.2">
      <c r="A148" s="211" t="s">
        <v>976</v>
      </c>
      <c r="B148" s="319">
        <f>INDEX(P153:P168,MATCH(B147,P153:P168,1)+1)</f>
        <v>1</v>
      </c>
      <c r="C148" s="645"/>
      <c r="I148" s="57"/>
    </row>
    <row r="149" spans="1:16" x14ac:dyDescent="0.2">
      <c r="A149" s="211" t="s">
        <v>981</v>
      </c>
      <c r="B149" s="319">
        <f>INDEX(O153:O168,MATCH(B147,P153:P168)+1)+1</f>
        <v>8</v>
      </c>
      <c r="C149" s="213"/>
      <c r="E149" s="114"/>
      <c r="I149" s="57"/>
    </row>
    <row r="150" spans="1:16" x14ac:dyDescent="0.2">
      <c r="A150" s="211" t="s">
        <v>982</v>
      </c>
      <c r="B150" s="310">
        <f>625*50000000/(Fsw*B148)</f>
        <v>52083.333333333336</v>
      </c>
      <c r="C150" s="213" t="s">
        <v>118</v>
      </c>
      <c r="E150" s="114"/>
      <c r="I150" s="57"/>
    </row>
    <row r="151" spans="1:16" x14ac:dyDescent="0.2">
      <c r="A151" s="211" t="s">
        <v>424</v>
      </c>
      <c r="B151" s="407">
        <f>Isc_const</f>
        <v>0</v>
      </c>
      <c r="C151" s="114" t="s">
        <v>2</v>
      </c>
      <c r="E151" s="114"/>
      <c r="I151" s="57"/>
      <c r="K151" s="2" t="s">
        <v>426</v>
      </c>
      <c r="L151" s="2" t="s">
        <v>427</v>
      </c>
      <c r="O151" s="114" t="s">
        <v>979</v>
      </c>
    </row>
    <row r="152" spans="1:16" ht="13.5" thickBot="1" x14ac:dyDescent="0.25">
      <c r="A152" s="211" t="s">
        <v>983</v>
      </c>
      <c r="B152" s="310">
        <f>B150</f>
        <v>52083.333333333336</v>
      </c>
      <c r="C152" s="213" t="s">
        <v>118</v>
      </c>
      <c r="D152" s="114"/>
      <c r="G152" s="419"/>
      <c r="I152" s="57"/>
      <c r="K152" s="311">
        <f>B153*(1-Don_Vinmin_2)/Fsw</f>
        <v>3.4489258112830753E-2</v>
      </c>
      <c r="L152" s="311">
        <f>B153*Don_Vinmin_2/Fsw</f>
        <v>9.5110741887169239E-2</v>
      </c>
      <c r="M152" t="str">
        <f>IF(VIN_min&gt;Vout, "BUCK", "BOOST")</f>
        <v>BUCK</v>
      </c>
      <c r="O152" s="640" t="s">
        <v>977</v>
      </c>
      <c r="P152" s="640" t="s">
        <v>978</v>
      </c>
    </row>
    <row r="153" spans="1:16" x14ac:dyDescent="0.2">
      <c r="A153" s="211" t="s">
        <v>425</v>
      </c>
      <c r="B153" s="574">
        <f>(ABS((VIN_min-Vout))*gm_slopecomp/Cslope + Islope_fixed)/(Rslope)</f>
        <v>77760</v>
      </c>
      <c r="C153" s="114" t="s">
        <v>420</v>
      </c>
      <c r="E153" t="s">
        <v>421</v>
      </c>
      <c r="I153" s="57"/>
      <c r="K153" s="311">
        <f>B154*(1-Don_Vinnom_2)/Fsw</f>
        <v>8.1632094794752447E-2</v>
      </c>
      <c r="L153" s="311">
        <f>B154*Don_Vinnom_2/Fsw</f>
        <v>0.13436790520524758</v>
      </c>
      <c r="M153" t="str">
        <f>IF(VIN_nom&gt;Vout, "BUCK", "BOOST")</f>
        <v>BUCK</v>
      </c>
      <c r="O153" s="641">
        <v>0</v>
      </c>
      <c r="P153" s="642">
        <f>0.125 + 0.125 *O153</f>
        <v>0.125</v>
      </c>
    </row>
    <row r="154" spans="1:16" x14ac:dyDescent="0.2">
      <c r="A154" s="211" t="s">
        <v>425</v>
      </c>
      <c r="B154" s="574">
        <f>(ABS((VIN_nom-Vout))*gm_slopecomp/Cslope + Islope_fixed)/(Rslope)</f>
        <v>129600.00000000001</v>
      </c>
      <c r="C154" s="114" t="s">
        <v>420</v>
      </c>
      <c r="E154" s="114" t="s">
        <v>422</v>
      </c>
      <c r="I154" s="57"/>
      <c r="K154" s="311">
        <f>B155*(1-Don_Vinmax_2)/Fsw</f>
        <v>0.2644794075815457</v>
      </c>
      <c r="L154" s="311">
        <f>B155*Don_Vinmax_2/Fsw</f>
        <v>0.20112059241845431</v>
      </c>
      <c r="M154" t="str">
        <f>IF(VIN_max&gt;Vout, "BUCK", "BOOST")</f>
        <v>BUCK</v>
      </c>
      <c r="O154" s="26">
        <v>1</v>
      </c>
      <c r="P154" s="643">
        <f>0.125 + 0.125 *O154</f>
        <v>0.25</v>
      </c>
    </row>
    <row r="155" spans="1:16" x14ac:dyDescent="0.2">
      <c r="A155" s="211" t="s">
        <v>425</v>
      </c>
      <c r="B155" s="574">
        <f>(ABS((VIN_max-Vout))*gm_slopecomp/Cslope + Islope_fixed)/(Rslope)</f>
        <v>279360</v>
      </c>
      <c r="C155" s="114" t="s">
        <v>420</v>
      </c>
      <c r="E155" s="114" t="s">
        <v>423</v>
      </c>
      <c r="I155" s="57"/>
      <c r="O155" s="26">
        <v>2</v>
      </c>
      <c r="P155" s="643">
        <f t="shared" ref="P155:P160" si="0">0.125 + 0.125 *O155</f>
        <v>0.375</v>
      </c>
    </row>
    <row r="156" spans="1:16" x14ac:dyDescent="0.2">
      <c r="C156"/>
      <c r="I156" s="57"/>
      <c r="O156" s="26">
        <v>3</v>
      </c>
      <c r="P156" s="643">
        <f t="shared" si="0"/>
        <v>0.5</v>
      </c>
    </row>
    <row r="157" spans="1:16" x14ac:dyDescent="0.2">
      <c r="A157" s="211" t="s">
        <v>437</v>
      </c>
      <c r="B157" s="526">
        <f>IF(D157="BUCK", K152,L152)</f>
        <v>3.4489258112830753E-2</v>
      </c>
      <c r="C157" s="114" t="s">
        <v>0</v>
      </c>
      <c r="D157" t="str">
        <f>IF(VIN_min&gt;Vout, "BUCK", "BOOST")</f>
        <v>BUCK</v>
      </c>
      <c r="E157" t="s">
        <v>421</v>
      </c>
      <c r="I157" s="57"/>
      <c r="O157" s="26">
        <v>4</v>
      </c>
      <c r="P157" s="643">
        <f t="shared" si="0"/>
        <v>0.625</v>
      </c>
    </row>
    <row r="158" spans="1:16" x14ac:dyDescent="0.2">
      <c r="A158" s="211" t="s">
        <v>438</v>
      </c>
      <c r="B158" s="526">
        <f>IF(D158="BUCK", K153,L153)</f>
        <v>8.1632094794752447E-2</v>
      </c>
      <c r="C158" s="114" t="s">
        <v>0</v>
      </c>
      <c r="D158" t="str">
        <f>IF(VIN_nom&gt;Vout,"BUCK",IF(VIN_nom&lt;VIN_edgebuckboost,"BOOST","BUCK-BOOST"))</f>
        <v>BUCK</v>
      </c>
      <c r="E158" s="114" t="s">
        <v>422</v>
      </c>
      <c r="I158" s="57"/>
      <c r="O158" s="26">
        <v>5</v>
      </c>
      <c r="P158" s="643">
        <f t="shared" si="0"/>
        <v>0.75</v>
      </c>
    </row>
    <row r="159" spans="1:16" x14ac:dyDescent="0.2">
      <c r="A159" s="211" t="s">
        <v>439</v>
      </c>
      <c r="B159" s="526">
        <f>IF(D159="BUCK", K154,L154)</f>
        <v>0.2644794075815457</v>
      </c>
      <c r="C159" s="114" t="s">
        <v>0</v>
      </c>
      <c r="D159" t="str">
        <f>IF(VIN_max&gt;Vout, "BUCK", "BOOST")</f>
        <v>BUCK</v>
      </c>
      <c r="E159" s="114" t="s">
        <v>423</v>
      </c>
      <c r="I159" s="57"/>
      <c r="O159" s="26">
        <v>6</v>
      </c>
      <c r="P159" s="643">
        <f t="shared" si="0"/>
        <v>0.875</v>
      </c>
    </row>
    <row r="160" spans="1:16" x14ac:dyDescent="0.2">
      <c r="A160" s="211"/>
      <c r="C160" s="213"/>
      <c r="E160" s="114"/>
      <c r="I160" s="57"/>
      <c r="O160" s="21">
        <v>7</v>
      </c>
      <c r="P160" s="644">
        <f t="shared" si="0"/>
        <v>1</v>
      </c>
    </row>
    <row r="161" spans="1:16" x14ac:dyDescent="0.2">
      <c r="A161" s="56"/>
      <c r="D161" s="213"/>
      <c r="E161" s="114"/>
      <c r="I161" s="57"/>
      <c r="O161" s="26">
        <v>8</v>
      </c>
      <c r="P161" s="643">
        <f xml:space="preserve"> 1 + 4 *P153</f>
        <v>1.5</v>
      </c>
    </row>
    <row r="162" spans="1:16" x14ac:dyDescent="0.2">
      <c r="I162" s="57"/>
      <c r="O162" s="26">
        <v>9</v>
      </c>
      <c r="P162" s="643">
        <f t="shared" ref="P162:P168" si="1" xml:space="preserve"> 1 + 4 *P154</f>
        <v>2</v>
      </c>
    </row>
    <row r="163" spans="1:16" x14ac:dyDescent="0.2">
      <c r="I163" s="57"/>
      <c r="O163" s="26">
        <v>10</v>
      </c>
      <c r="P163" s="643">
        <f t="shared" si="1"/>
        <v>2.5</v>
      </c>
    </row>
    <row r="164" spans="1:16" x14ac:dyDescent="0.2">
      <c r="I164" s="57"/>
      <c r="O164" s="26">
        <v>11</v>
      </c>
      <c r="P164" s="643">
        <f t="shared" si="1"/>
        <v>3</v>
      </c>
    </row>
    <row r="165" spans="1:16" ht="13.5" thickBot="1" x14ac:dyDescent="0.25">
      <c r="A165" s="61"/>
      <c r="B165" s="61"/>
      <c r="C165" s="61"/>
      <c r="D165" s="61"/>
      <c r="E165" s="61"/>
      <c r="F165" s="61"/>
      <c r="G165" s="61"/>
      <c r="H165" s="61"/>
      <c r="I165" s="62"/>
      <c r="O165" s="26">
        <v>12</v>
      </c>
      <c r="P165" s="643">
        <f t="shared" si="1"/>
        <v>3.5</v>
      </c>
    </row>
    <row r="166" spans="1:16" x14ac:dyDescent="0.2">
      <c r="O166" s="26">
        <v>13</v>
      </c>
      <c r="P166" s="643">
        <f t="shared" si="1"/>
        <v>4</v>
      </c>
    </row>
    <row r="167" spans="1:16" ht="16.5" thickBot="1" x14ac:dyDescent="0.3">
      <c r="A167" s="543" t="s">
        <v>168</v>
      </c>
      <c r="D167" s="2"/>
      <c r="O167" s="26">
        <v>14</v>
      </c>
      <c r="P167" s="643">
        <f t="shared" si="1"/>
        <v>4.5</v>
      </c>
    </row>
    <row r="168" spans="1:16" x14ac:dyDescent="0.2">
      <c r="A168" s="210" t="s">
        <v>434</v>
      </c>
      <c r="B168" s="315">
        <f>IF(D168="BUCK", Iripple_Vinmin/SQRT(12), Iout*SQRT((Vout-VIN_min)/VIN_min))</f>
        <v>0.722225016195578</v>
      </c>
      <c r="C168" s="314" t="s">
        <v>2</v>
      </c>
      <c r="D168" s="291" t="str">
        <f>IF(VIN_min&gt;Vout, "BUCK", "BOOST")</f>
        <v>BUCK</v>
      </c>
      <c r="E168" s="117" t="s">
        <v>433</v>
      </c>
      <c r="F168" s="63"/>
      <c r="G168" s="63"/>
      <c r="H168" s="63"/>
      <c r="I168" s="64"/>
      <c r="L168" s="4"/>
      <c r="O168" s="21">
        <v>15</v>
      </c>
      <c r="P168" s="644">
        <f t="shared" si="1"/>
        <v>5</v>
      </c>
    </row>
    <row r="169" spans="1:16" x14ac:dyDescent="0.2">
      <c r="A169" s="211" t="s">
        <v>435</v>
      </c>
      <c r="B169" s="313">
        <f>IF(D169="BUCK", Iripple_Vinnom/SQRT(12), Iout*SQRT((Vout-VIN_nom)/VIN_nom))</f>
        <v>1.0203249452953469</v>
      </c>
      <c r="C169" s="114" t="s">
        <v>2</v>
      </c>
      <c r="D169" t="str">
        <f>IF(VIN_nom&gt;Vout,"BUCK",IF(VIN_nom&lt;VIN_edgebuckboost,"BOOST","BUCK-BOOST"))</f>
        <v>BUCK</v>
      </c>
      <c r="E169" s="114"/>
      <c r="I169" s="57"/>
      <c r="L169" s="4"/>
    </row>
    <row r="170" spans="1:16" x14ac:dyDescent="0.2">
      <c r="A170" s="211" t="s">
        <v>436</v>
      </c>
      <c r="B170" s="313">
        <f>IF(D170="BUCK", Iripple_Vinmax/SQRT(12), Iout*SQRT((Vout-VIN_max)/VIN_max))</f>
        <v>1.5272125969640624</v>
      </c>
      <c r="C170" s="114" t="s">
        <v>2</v>
      </c>
      <c r="D170" t="str">
        <f>IF(VIN_max&gt;Vout, "BUCK", "BOOST")</f>
        <v>BUCK</v>
      </c>
      <c r="E170" s="114"/>
      <c r="I170" s="57"/>
      <c r="L170" s="4"/>
    </row>
    <row r="171" spans="1:16" x14ac:dyDescent="0.2">
      <c r="A171" s="211" t="s">
        <v>778</v>
      </c>
      <c r="B171" s="313">
        <f>MAX(B168:B170)</f>
        <v>1.5272125969640624</v>
      </c>
      <c r="C171" s="114" t="s">
        <v>2</v>
      </c>
      <c r="E171" s="114"/>
      <c r="I171" s="57"/>
      <c r="L171" s="4"/>
    </row>
    <row r="172" spans="1:16" x14ac:dyDescent="0.2">
      <c r="A172" s="211"/>
      <c r="B172" s="48"/>
      <c r="C172" s="114"/>
      <c r="E172" s="114"/>
      <c r="I172" s="57"/>
      <c r="L172" s="4"/>
    </row>
    <row r="173" spans="1:16" x14ac:dyDescent="0.2">
      <c r="A173" s="211" t="s">
        <v>541</v>
      </c>
      <c r="B173" s="410">
        <f>Vripple1*1000</f>
        <v>150</v>
      </c>
      <c r="C173" s="114" t="s">
        <v>371</v>
      </c>
      <c r="E173" s="114" t="s">
        <v>570</v>
      </c>
      <c r="I173" s="57"/>
      <c r="L173" s="4"/>
    </row>
    <row r="174" spans="1:16" x14ac:dyDescent="0.2">
      <c r="A174" s="56"/>
      <c r="B174" s="114"/>
      <c r="E174" s="114"/>
      <c r="I174" s="57"/>
    </row>
    <row r="175" spans="1:16" x14ac:dyDescent="0.2">
      <c r="A175" s="66" t="s">
        <v>24</v>
      </c>
      <c r="B175" s="420">
        <f>IF(VIN_min&gt;Vout, Iripple_Vinmin/(Fsw*8*Vripple1), Iout*Don_Vinmin_2/(Vripple1*Fsw))</f>
        <v>3.4748067292999898E-6</v>
      </c>
      <c r="C175" t="s">
        <v>26</v>
      </c>
      <c r="E175" t="s">
        <v>23</v>
      </c>
      <c r="H175">
        <f>Vripple2</f>
        <v>2.8656439628927138E-2</v>
      </c>
      <c r="I175" s="57">
        <v>1</v>
      </c>
      <c r="K175" s="1">
        <f>Coutmin</f>
        <v>3.4748067292999898E-6</v>
      </c>
    </row>
    <row r="176" spans="1:16" x14ac:dyDescent="0.2">
      <c r="A176" s="211" t="s">
        <v>785</v>
      </c>
      <c r="B176" s="478">
        <f>IF(Coutmin*1000000&lt;H176, H176,Coutmin*1000000)</f>
        <v>3.4748067292999898</v>
      </c>
      <c r="C176" s="42" t="s">
        <v>25</v>
      </c>
      <c r="E176" s="114" t="s">
        <v>896</v>
      </c>
      <c r="H176">
        <v>0.1</v>
      </c>
      <c r="I176" s="57"/>
      <c r="K176" s="1">
        <f>Coutmin*1000000</f>
        <v>3.4748067292999898</v>
      </c>
    </row>
    <row r="177" spans="1:12" x14ac:dyDescent="0.2">
      <c r="A177" s="211" t="s">
        <v>27</v>
      </c>
      <c r="B177" s="421">
        <f>'Design Converter'!E45/1000000</f>
        <v>1E-4</v>
      </c>
      <c r="C177" t="s">
        <v>26</v>
      </c>
      <c r="E177" s="114" t="s">
        <v>440</v>
      </c>
      <c r="I177" s="57">
        <v>1</v>
      </c>
    </row>
    <row r="178" spans="1:12" x14ac:dyDescent="0.2">
      <c r="A178" s="66" t="s">
        <v>52</v>
      </c>
      <c r="B178" s="479">
        <f>IF(VIN_min&gt;Vout, SQRT((Vripple1/Iripple_Vinmin)^2-(1/(Fsw*Cout*8))^2), (Vripple1-Iout*Don_Vinmin_2/(Fsw*Cout))/Iout)</f>
        <v>5.9919166099298142E-2</v>
      </c>
      <c r="C178" s="213" t="s">
        <v>118</v>
      </c>
      <c r="E178" s="114" t="s">
        <v>294</v>
      </c>
      <c r="I178" s="57">
        <v>1</v>
      </c>
    </row>
    <row r="179" spans="1:12" x14ac:dyDescent="0.2">
      <c r="A179" s="2"/>
      <c r="B179" s="529"/>
      <c r="C179" s="213"/>
      <c r="E179" s="114"/>
      <c r="I179" s="57"/>
    </row>
    <row r="180" spans="1:12" x14ac:dyDescent="0.2">
      <c r="A180" s="476" t="s">
        <v>687</v>
      </c>
      <c r="B180" s="477">
        <f>IF(OR(CoutEsrMax&gt;0.3, CoutEsrMax&lt;0, (ISERROR(CoutEsrMax))), "N/A", CoutEsrMax*1000)</f>
        <v>59.919166099298145</v>
      </c>
      <c r="C180" s="45" t="s">
        <v>418</v>
      </c>
      <c r="E180" s="114"/>
      <c r="I180" s="57"/>
    </row>
    <row r="181" spans="1:12" x14ac:dyDescent="0.2">
      <c r="A181" s="211" t="s">
        <v>166</v>
      </c>
      <c r="B181" s="411">
        <f>'Design Converter'!E47/1000</f>
        <v>5.0000000000000001E-3</v>
      </c>
      <c r="C181" s="213" t="s">
        <v>118</v>
      </c>
      <c r="E181" s="114" t="s">
        <v>295</v>
      </c>
      <c r="I181" s="57">
        <v>1</v>
      </c>
      <c r="K181" t="b">
        <f>ISERROR(CoutEsrMax)</f>
        <v>0</v>
      </c>
      <c r="L181" t="b">
        <f>ISERROR(B180)</f>
        <v>0</v>
      </c>
    </row>
    <row r="182" spans="1:12" ht="13.5" thickBot="1" x14ac:dyDescent="0.25">
      <c r="A182" s="376" t="s">
        <v>227</v>
      </c>
      <c r="B182" s="412">
        <f>IF(VIN_min&gt;Vout, Iripple_Vinmax*SQRT(CoutEsr^2+(1/(8*Fsw*Cout))^2), CoutEsr*Iout+Iout*Don_Vinmin_2/(Fsw*Cout))</f>
        <v>2.8656439628927138E-2</v>
      </c>
      <c r="C182" s="107" t="s">
        <v>42</v>
      </c>
      <c r="D182" s="61"/>
      <c r="E182" s="61"/>
      <c r="F182" s="61"/>
      <c r="G182" s="61"/>
      <c r="H182" s="61"/>
      <c r="I182" s="62"/>
      <c r="L182" t="b">
        <f>OR(CoutEsrMax&gt;0.3,CoutEsrMax&lt;0)</f>
        <v>0</v>
      </c>
    </row>
    <row r="183" spans="1:12" x14ac:dyDescent="0.2">
      <c r="K183" t="b">
        <f>OR(TRUE, FALSE, TRUE)</f>
        <v>1</v>
      </c>
    </row>
    <row r="184" spans="1:12" ht="16.5" thickBot="1" x14ac:dyDescent="0.3">
      <c r="A184" s="543" t="s">
        <v>169</v>
      </c>
    </row>
    <row r="185" spans="1:12" ht="15.75" x14ac:dyDescent="0.25">
      <c r="A185" s="97"/>
      <c r="B185" s="98"/>
      <c r="C185" s="318"/>
      <c r="D185" s="98"/>
      <c r="E185" s="98"/>
      <c r="F185" s="98"/>
      <c r="G185" s="98"/>
      <c r="H185" s="98"/>
      <c r="I185" s="99"/>
    </row>
    <row r="186" spans="1:12" x14ac:dyDescent="0.2">
      <c r="A186" s="211" t="s">
        <v>775</v>
      </c>
      <c r="B186" s="112">
        <f>IF(D186="BUCK", Iout*SQRT(Don_Vinmin_2*(1-Don_Vinmax_2)), Iripple_Vinmin/SQRT(12))</f>
        <v>7.7478816078043202</v>
      </c>
      <c r="C186" s="95" t="s">
        <v>2</v>
      </c>
      <c r="D186" t="str">
        <f>IF(VIN_min&gt;Vout, "BUCK", "BOOST")</f>
        <v>BUCK</v>
      </c>
      <c r="F186" s="394">
        <f>Iripple_Vinmin/SQRT(12)</f>
        <v>0.722225016195578</v>
      </c>
      <c r="G186" s="354">
        <f>Iout*SQRT(Don_Vinmax_2*(1-Don_Vinmax_2))</f>
        <v>5.9441871690414247</v>
      </c>
      <c r="H186" s="116">
        <f>Iout*0.25</f>
        <v>3</v>
      </c>
      <c r="I186" s="101"/>
    </row>
    <row r="187" spans="1:12" x14ac:dyDescent="0.2">
      <c r="A187" s="211" t="s">
        <v>776</v>
      </c>
      <c r="B187" s="112">
        <f>IF(D187="BUCK", Iout*SQRT(Don_Vinnom_2*(1-Don_Vinnom_2)), Iripple_Vinnom/SQRT(12))</f>
        <v>5.8184289952263732</v>
      </c>
      <c r="C187" s="95" t="s">
        <v>2</v>
      </c>
      <c r="D187" t="str">
        <f>IF(VIN_nom&gt;Vout,"BUCK",IF(VIN_nom&lt;VIN_edgebuckboost,"BOOST","BUCK-BOOST"))</f>
        <v>BUCK</v>
      </c>
      <c r="F187" s="394"/>
      <c r="G187" s="354"/>
      <c r="I187" s="101"/>
    </row>
    <row r="188" spans="1:12" x14ac:dyDescent="0.2">
      <c r="A188" s="211" t="s">
        <v>777</v>
      </c>
      <c r="B188" s="112">
        <f>IF(D188="BUCK", Iout*SQRT(Don_Vinmax_2*(1-Don_Vinmax_2)), Iripple_Vinmax/SQRT(12))</f>
        <v>5.9441871690414247</v>
      </c>
      <c r="C188" s="95" t="s">
        <v>2</v>
      </c>
      <c r="D188" t="str">
        <f>IF(VIN_max&gt;Vout, "BUCK", "BOOST")</f>
        <v>BUCK</v>
      </c>
      <c r="F188" s="394"/>
      <c r="G188" s="354"/>
      <c r="I188" s="101"/>
    </row>
    <row r="189" spans="1:12" x14ac:dyDescent="0.2">
      <c r="A189" s="211" t="s">
        <v>783</v>
      </c>
      <c r="B189" s="112">
        <f>MAX(B186:B188)</f>
        <v>7.7478816078043202</v>
      </c>
      <c r="C189" s="42" t="s">
        <v>2</v>
      </c>
      <c r="D189" s="114" t="s">
        <v>814</v>
      </c>
      <c r="F189" s="394"/>
      <c r="G189" s="354"/>
      <c r="I189" s="101"/>
    </row>
    <row r="190" spans="1:12" x14ac:dyDescent="0.2">
      <c r="A190" s="114"/>
      <c r="B190" s="530"/>
      <c r="C190" s="95"/>
      <c r="F190" s="394"/>
      <c r="G190" s="354"/>
      <c r="I190" s="101"/>
    </row>
    <row r="191" spans="1:12" x14ac:dyDescent="0.2">
      <c r="A191" s="100" t="s">
        <v>269</v>
      </c>
      <c r="B191" s="319">
        <f>'Design Converter'!E52/1000</f>
        <v>0.18</v>
      </c>
      <c r="C191" t="s">
        <v>42</v>
      </c>
      <c r="D191" s="114" t="s">
        <v>784</v>
      </c>
      <c r="I191" s="101"/>
    </row>
    <row r="192" spans="1:12" x14ac:dyDescent="0.2">
      <c r="A192" s="114"/>
      <c r="B192" s="530"/>
      <c r="C192" s="95"/>
      <c r="F192" s="394"/>
      <c r="G192" s="354"/>
      <c r="I192" s="101"/>
    </row>
    <row r="193" spans="1:11" x14ac:dyDescent="0.2">
      <c r="A193" s="476" t="s">
        <v>800</v>
      </c>
      <c r="B193" s="539">
        <f>IF(VIN_max&gt;Vout, Iout*Don_Vinmax_2*(1-Don_Vinmax_2)/(Vinripple1*Fsw), Iripple_Vinmax/(Fsw*8*Vinripple1))</f>
        <v>2.7263395910954241E-5</v>
      </c>
      <c r="C193" s="95" t="s">
        <v>26</v>
      </c>
      <c r="D193" s="114" t="s">
        <v>808</v>
      </c>
      <c r="I193" s="101"/>
      <c r="K193" s="8">
        <f>Iripple_Vinnom/(Fsw*8*Vinripple1)</f>
        <v>4.0908672349108243E-6</v>
      </c>
    </row>
    <row r="194" spans="1:11" x14ac:dyDescent="0.2">
      <c r="A194" s="476" t="s">
        <v>804</v>
      </c>
      <c r="B194" s="540">
        <f>IF(VIN_max&gt;Vout, Iout*0.5*(1-0.5)/(Vinripple1*Fsw), Iripple_Vinmax/(Fsw*8*Vinripple1))</f>
        <v>2.7777777777777779E-5</v>
      </c>
      <c r="C194" s="95"/>
      <c r="D194" s="114" t="s">
        <v>801</v>
      </c>
      <c r="G194" s="30"/>
      <c r="I194" s="101"/>
      <c r="K194" s="8"/>
    </row>
    <row r="195" spans="1:11" x14ac:dyDescent="0.2">
      <c r="A195" s="476" t="s">
        <v>268</v>
      </c>
      <c r="B195" s="30">
        <f>IF(VIN_max&lt;2*Vout, B193,B194)</f>
        <v>2.7777777777777779E-5</v>
      </c>
      <c r="C195" s="95"/>
      <c r="G195" s="30"/>
      <c r="I195" s="101"/>
      <c r="K195" s="8"/>
    </row>
    <row r="196" spans="1:11" x14ac:dyDescent="0.2">
      <c r="A196" s="476" t="s">
        <v>686</v>
      </c>
      <c r="B196" s="478">
        <f>IF(Cinmin*1000000&lt;10, 10,Cinmin*1000000)</f>
        <v>27.777777777777779</v>
      </c>
      <c r="C196" s="42" t="s">
        <v>25</v>
      </c>
      <c r="D196" s="114" t="s">
        <v>814</v>
      </c>
      <c r="I196" s="101"/>
    </row>
    <row r="197" spans="1:11" x14ac:dyDescent="0.2">
      <c r="A197" s="102" t="s">
        <v>61</v>
      </c>
      <c r="B197" s="422">
        <f>'Design Converter'!E54/1000000</f>
        <v>1E-4</v>
      </c>
      <c r="C197" s="95" t="s">
        <v>26</v>
      </c>
      <c r="D197" t="s">
        <v>176</v>
      </c>
      <c r="I197" s="101"/>
    </row>
    <row r="198" spans="1:11" x14ac:dyDescent="0.2">
      <c r="A198" s="476" t="s">
        <v>802</v>
      </c>
      <c r="B198" s="541">
        <f>IF(VIN_max&gt;Vout, -(Iout*Don_Vinmax_2*(1-Don_Vinmax_2)/(Cin*Fsw)-Vinripple1)/(Iout+Iripple_Vinmax/2), SQRT((Vinripple1/Iripple_Vinmax)^2-(1/(Fsw*Cin*8))^2))</f>
        <v>8.9398437469901983E-3</v>
      </c>
      <c r="C198" s="213" t="s">
        <v>118</v>
      </c>
      <c r="I198" s="101"/>
    </row>
    <row r="199" spans="1:11" x14ac:dyDescent="0.2">
      <c r="A199" s="476" t="s">
        <v>803</v>
      </c>
      <c r="B199" s="541">
        <f>IF(VIN_max&gt;Vout, -(Iout*0.5*(1-0.5)/(Cin*Fsw)-Vinripple1)/(Iout+Iripple_Vinmax/2), SQRT((Vinripple1/Iripple_Vinmax)^2-(1/(Fsw*Cin*8))^2))</f>
        <v>8.8766225728196552E-3</v>
      </c>
      <c r="C199" s="213" t="s">
        <v>118</v>
      </c>
      <c r="D199" s="114" t="s">
        <v>809</v>
      </c>
      <c r="I199" s="101"/>
    </row>
    <row r="200" spans="1:11" x14ac:dyDescent="0.2">
      <c r="A200" s="476" t="s">
        <v>270</v>
      </c>
      <c r="B200" s="541">
        <f>IF(VIN_max&lt;2*Vout, B198,B199)</f>
        <v>8.8766225728196552E-3</v>
      </c>
      <c r="C200" s="213" t="s">
        <v>118</v>
      </c>
      <c r="I200" s="101"/>
    </row>
    <row r="201" spans="1:11" x14ac:dyDescent="0.2">
      <c r="A201" s="476" t="s">
        <v>688</v>
      </c>
      <c r="B201" s="528">
        <f>IF(OR(CinEsrMax&gt;0.3, CinEsrMax&lt;0), "N/A",CinEsrMax*1000)</f>
        <v>8.8766225728196559</v>
      </c>
      <c r="C201" s="45" t="s">
        <v>418</v>
      </c>
      <c r="D201" t="s">
        <v>814</v>
      </c>
      <c r="I201" s="101"/>
    </row>
    <row r="202" spans="1:11" x14ac:dyDescent="0.2">
      <c r="A202" s="102" t="s">
        <v>89</v>
      </c>
      <c r="B202" s="96">
        <f>'Design Converter'!E56/1000</f>
        <v>2E-3</v>
      </c>
      <c r="C202" s="213" t="s">
        <v>118</v>
      </c>
      <c r="D202" s="114" t="s">
        <v>296</v>
      </c>
      <c r="I202" s="101"/>
    </row>
    <row r="203" spans="1:11" x14ac:dyDescent="0.2">
      <c r="D203" s="114"/>
      <c r="I203" s="101"/>
      <c r="K203" s="311">
        <f>CinEsrMax</f>
        <v>8.8766225728196552E-3</v>
      </c>
    </row>
    <row r="204" spans="1:11" x14ac:dyDescent="0.2">
      <c r="A204" s="476" t="s">
        <v>805</v>
      </c>
      <c r="B204" s="389">
        <f>IF(VIN_max&gt;Vout, Iout*Don_Vinmax_2*(1-Don_Vinmax_2)/(Cin*Fsw)+(Iout +Iripple_Vinmax/2)*RCinEsr, Iripple_Vinmax*SQRT(RCinEsr^2+(1/(8*Fsw*Cin))^2))</f>
        <v>7.8364532263519568E-2</v>
      </c>
      <c r="C204" s="95" t="s">
        <v>42</v>
      </c>
      <c r="I204" s="101"/>
    </row>
    <row r="205" spans="1:11" x14ac:dyDescent="0.2">
      <c r="A205" s="476" t="s">
        <v>806</v>
      </c>
      <c r="B205" s="389">
        <f>IF(VIN_max&gt;Vout, Iout*0.5*(1-0.5)/(Cin*Fsw)+(Iout +Iripple_Vinmax/2)*RCinEsr, Iripple_Vinmax*SQRT(RCinEsr^2+(1/(8*Fsw*Cin))^2))</f>
        <v>7.9290419623801928E-2</v>
      </c>
      <c r="C205" s="95" t="s">
        <v>42</v>
      </c>
      <c r="D205" s="114" t="s">
        <v>807</v>
      </c>
      <c r="I205" s="101"/>
    </row>
    <row r="206" spans="1:11" x14ac:dyDescent="0.2">
      <c r="A206" s="476" t="s">
        <v>271</v>
      </c>
      <c r="B206" s="389">
        <f>IF(VIN_max&lt;2*Vout, B204,B205)</f>
        <v>7.9290419623801928E-2</v>
      </c>
      <c r="C206" s="95" t="s">
        <v>42</v>
      </c>
      <c r="D206" s="114" t="s">
        <v>813</v>
      </c>
      <c r="I206" s="101"/>
    </row>
    <row r="207" spans="1:11" x14ac:dyDescent="0.2">
      <c r="A207" s="102"/>
      <c r="B207" s="542"/>
      <c r="C207" s="95"/>
      <c r="I207" s="101"/>
    </row>
    <row r="208" spans="1:11" ht="13.5" thickBot="1" x14ac:dyDescent="0.25">
      <c r="A208" s="103"/>
      <c r="B208" s="390">
        <f>Iout*Don_Vinmax_2*(1-Don_Vinmax_2)/(Cin*Fsw)</f>
        <v>4.9074112639717636E-2</v>
      </c>
      <c r="C208" s="320" t="s">
        <v>42</v>
      </c>
      <c r="D208" s="104"/>
      <c r="E208" s="105"/>
      <c r="F208" s="105"/>
      <c r="G208" s="105"/>
      <c r="H208" s="105"/>
      <c r="I208" s="106"/>
    </row>
    <row r="210" spans="1:14" ht="16.5" thickBot="1" x14ac:dyDescent="0.3">
      <c r="A210" s="531" t="s">
        <v>812</v>
      </c>
    </row>
    <row r="211" spans="1:14" x14ac:dyDescent="0.2">
      <c r="A211" s="91" t="s">
        <v>179</v>
      </c>
      <c r="B211" s="12">
        <f>'Design Converter'!E62/1000</f>
        <v>0.25</v>
      </c>
      <c r="C211" s="63" t="s">
        <v>161</v>
      </c>
      <c r="D211" s="117" t="s">
        <v>573</v>
      </c>
      <c r="E211" s="63"/>
      <c r="F211" s="63"/>
      <c r="G211" s="63"/>
      <c r="H211" s="63"/>
      <c r="I211" s="64"/>
    </row>
    <row r="212" spans="1:14" x14ac:dyDescent="0.2">
      <c r="A212" s="56" t="s">
        <v>180</v>
      </c>
      <c r="B212" s="603">
        <v>1.0000000000000001E-5</v>
      </c>
      <c r="C212" t="s">
        <v>2</v>
      </c>
      <c r="D212" s="114" t="s">
        <v>572</v>
      </c>
      <c r="I212" s="57"/>
    </row>
    <row r="213" spans="1:14" x14ac:dyDescent="0.2">
      <c r="A213" s="56" t="s">
        <v>181</v>
      </c>
      <c r="B213" s="603">
        <f>Iss*Tss/Vref</f>
        <v>2.5000000000000002E-6</v>
      </c>
      <c r="C213" t="s">
        <v>26</v>
      </c>
      <c r="I213" s="57"/>
    </row>
    <row r="214" spans="1:14" ht="13.5" thickBot="1" x14ac:dyDescent="0.25">
      <c r="A214" s="60" t="s">
        <v>194</v>
      </c>
      <c r="B214" s="605">
        <f>'Standard Value Calculator'!B4</f>
        <v>2.7E-6</v>
      </c>
      <c r="C214" s="61" t="s">
        <v>26</v>
      </c>
      <c r="D214" s="61"/>
      <c r="E214" s="61"/>
      <c r="F214" s="61"/>
      <c r="G214" s="61"/>
      <c r="H214" s="61"/>
      <c r="I214" s="62"/>
    </row>
    <row r="216" spans="1:14" ht="16.5" thickBot="1" x14ac:dyDescent="0.3">
      <c r="A216" s="531" t="s">
        <v>811</v>
      </c>
    </row>
    <row r="217" spans="1:14" ht="12.75" customHeight="1" x14ac:dyDescent="0.2">
      <c r="A217" s="210"/>
      <c r="B217" s="93"/>
      <c r="C217" s="294"/>
      <c r="D217" s="117"/>
      <c r="E217" s="63"/>
      <c r="F217" s="63"/>
      <c r="G217" s="63"/>
      <c r="H217" s="63"/>
      <c r="I217" s="64"/>
    </row>
    <row r="218" spans="1:14" ht="12.75" customHeight="1" x14ac:dyDescent="0.3">
      <c r="A218" s="211" t="s">
        <v>297</v>
      </c>
      <c r="B218" s="388">
        <f>'Design Converter'!E65</f>
        <v>6.2</v>
      </c>
      <c r="C218" s="114" t="s">
        <v>0</v>
      </c>
      <c r="I218" s="57"/>
    </row>
    <row r="219" spans="1:14" ht="12.75" customHeight="1" x14ac:dyDescent="0.3">
      <c r="A219" s="211" t="s">
        <v>919</v>
      </c>
      <c r="B219" s="388">
        <f>'Design Converter'!E66</f>
        <v>5.99</v>
      </c>
      <c r="C219" s="114" t="s">
        <v>0</v>
      </c>
      <c r="I219" s="57"/>
    </row>
    <row r="220" spans="1:14" ht="12.75" customHeight="1" x14ac:dyDescent="0.3">
      <c r="A220" s="211" t="s">
        <v>322</v>
      </c>
      <c r="B220" s="392">
        <f>1/Iuvlo1*(VINuvlo_on-Vuvlo_on*VINuvlo_off/Vuvlo_off)</f>
        <v>-41.144067796610322</v>
      </c>
      <c r="C220" s="45" t="s">
        <v>301</v>
      </c>
      <c r="D220" s="114" t="s">
        <v>1268</v>
      </c>
      <c r="E220" t="e">
        <f>'Standard Value Calculator'!R16</f>
        <v>#NUM!</v>
      </c>
      <c r="F220" s="45" t="s">
        <v>301</v>
      </c>
      <c r="G220" s="44" t="str">
        <f>IF(Ruvlo1&lt;0,"N/A",E220)</f>
        <v>N/A</v>
      </c>
      <c r="H220" s="44" t="str">
        <f>IF(Ruvlo1&lt;0,"N/A",E220&amp;"kΩ")</f>
        <v>N/A</v>
      </c>
      <c r="I220" s="57"/>
      <c r="L220" s="602"/>
      <c r="N220" s="602"/>
    </row>
    <row r="221" spans="1:14" ht="12.75" customHeight="1" x14ac:dyDescent="0.3">
      <c r="A221" s="211" t="s">
        <v>323</v>
      </c>
      <c r="B221" s="392">
        <f>Ruvlo1/(VINuvlo_off/Vuvlo_off-1)</f>
        <v>-10.09355509355513</v>
      </c>
      <c r="C221" s="45" t="s">
        <v>301</v>
      </c>
      <c r="D221" s="114" t="s">
        <v>1269</v>
      </c>
      <c r="E221" t="e">
        <f>'Standard Value Calculator'!R17</f>
        <v>#NUM!</v>
      </c>
      <c r="F221" s="45" t="s">
        <v>301</v>
      </c>
      <c r="G221" s="44" t="str">
        <f>IF(G220="N/A","N/A",E221)</f>
        <v>N/A</v>
      </c>
      <c r="H221" s="44" t="str">
        <f>IF(H220="N/A","N/A",E221&amp;"kΩ")</f>
        <v>N/A</v>
      </c>
      <c r="I221" s="57"/>
      <c r="L221" s="602"/>
    </row>
    <row r="222" spans="1:14" ht="12.75" customHeight="1" x14ac:dyDescent="0.2">
      <c r="A222" s="211"/>
      <c r="B222" s="212"/>
      <c r="C222" s="45"/>
      <c r="F222" s="45"/>
      <c r="I222" s="57"/>
    </row>
    <row r="223" spans="1:14" ht="12.75" customHeight="1" x14ac:dyDescent="0.3">
      <c r="A223" s="211" t="s">
        <v>302</v>
      </c>
      <c r="B223" s="212" t="e">
        <f>(Iuvlo1+Vuvlo_on/RUV2_STD)*(RUV1_STD)+Vuvlo_on</f>
        <v>#NUM!</v>
      </c>
      <c r="C223" s="45"/>
      <c r="F223" s="45"/>
      <c r="I223" s="57"/>
      <c r="L223" s="212"/>
      <c r="N223" s="212"/>
    </row>
    <row r="224" spans="1:14" ht="12.75" customHeight="1" x14ac:dyDescent="0.3">
      <c r="A224" s="211" t="s">
        <v>303</v>
      </c>
      <c r="B224" s="212" t="e">
        <f>Vuvlo_off*(RUV1_STD+RUV2_STD)/RUV2_STD</f>
        <v>#NUM!</v>
      </c>
      <c r="C224" s="45"/>
      <c r="F224" s="45"/>
      <c r="I224" s="57"/>
      <c r="L224" s="212"/>
      <c r="N224" s="212"/>
    </row>
    <row r="225" spans="1:18" ht="12.75" customHeight="1" x14ac:dyDescent="0.2">
      <c r="A225" s="211"/>
      <c r="B225" s="44"/>
      <c r="C225"/>
      <c r="I225" s="57"/>
    </row>
    <row r="226" spans="1:18" ht="12.75" customHeight="1" x14ac:dyDescent="0.2">
      <c r="A226" s="211" t="s">
        <v>298</v>
      </c>
      <c r="B226" s="391">
        <v>1.27</v>
      </c>
      <c r="C226" s="114" t="s">
        <v>0</v>
      </c>
      <c r="D226">
        <v>1.23</v>
      </c>
      <c r="I226" s="57"/>
      <c r="K226" s="114"/>
    </row>
    <row r="227" spans="1:18" ht="12.75" customHeight="1" x14ac:dyDescent="0.2">
      <c r="A227" s="211" t="s">
        <v>299</v>
      </c>
      <c r="B227" s="391">
        <v>1.18</v>
      </c>
      <c r="C227" s="114" t="s">
        <v>0</v>
      </c>
      <c r="D227">
        <v>1.22</v>
      </c>
      <c r="I227" s="57"/>
      <c r="K227" s="114"/>
    </row>
    <row r="228" spans="1:18" ht="12.75" customHeight="1" x14ac:dyDescent="0.2">
      <c r="A228" s="211" t="s">
        <v>368</v>
      </c>
      <c r="B228" s="391">
        <f>B226-B227</f>
        <v>9.000000000000008E-2</v>
      </c>
      <c r="C228" s="114" t="s">
        <v>0</v>
      </c>
      <c r="I228" s="57"/>
      <c r="K228" s="114"/>
    </row>
    <row r="229" spans="1:18" ht="12.75" customHeight="1" x14ac:dyDescent="0.2">
      <c r="A229" s="211" t="s">
        <v>370</v>
      </c>
      <c r="B229" s="44">
        <v>6.0000000000000001E-3</v>
      </c>
      <c r="C229" s="114" t="s">
        <v>68</v>
      </c>
      <c r="E229" s="114"/>
      <c r="I229" s="57"/>
    </row>
    <row r="230" spans="1:18" ht="12.75" customHeight="1" x14ac:dyDescent="0.2">
      <c r="A230" s="211" t="s">
        <v>369</v>
      </c>
      <c r="B230" s="44"/>
      <c r="C230" s="114" t="s">
        <v>68</v>
      </c>
      <c r="E230" s="114"/>
      <c r="G230" s="114"/>
      <c r="I230" s="57"/>
    </row>
    <row r="231" spans="1:18" ht="12.75" customHeight="1" x14ac:dyDescent="0.2">
      <c r="A231" s="211" t="s">
        <v>300</v>
      </c>
      <c r="B231" s="44"/>
      <c r="C231" s="114" t="s">
        <v>68</v>
      </c>
      <c r="E231" s="114"/>
      <c r="H231" s="114"/>
      <c r="I231" s="57"/>
    </row>
    <row r="232" spans="1:18" ht="12.75" customHeight="1" x14ac:dyDescent="0.2">
      <c r="B232" s="44"/>
      <c r="C232"/>
      <c r="I232" s="57"/>
    </row>
    <row r="233" spans="1:18" ht="12.75" customHeight="1" x14ac:dyDescent="0.3">
      <c r="A233" s="56" t="s">
        <v>204</v>
      </c>
      <c r="B233" s="44">
        <v>20</v>
      </c>
      <c r="C233" s="45" t="s">
        <v>301</v>
      </c>
      <c r="I233" s="57"/>
      <c r="K233" s="114"/>
    </row>
    <row r="234" spans="1:18" ht="12.75" customHeight="1" x14ac:dyDescent="0.3">
      <c r="A234" s="56" t="s">
        <v>205</v>
      </c>
      <c r="B234" s="44"/>
      <c r="C234" s="213" t="s">
        <v>118</v>
      </c>
      <c r="I234" s="57"/>
      <c r="K234" s="114"/>
    </row>
    <row r="235" spans="1:18" ht="12.75" customHeight="1" x14ac:dyDescent="0.2">
      <c r="A235" s="56" t="s">
        <v>189</v>
      </c>
      <c r="B235" s="44">
        <v>0</v>
      </c>
      <c r="C235" s="213" t="s">
        <v>118</v>
      </c>
      <c r="I235" s="57"/>
    </row>
    <row r="236" spans="1:18" ht="12.75" customHeight="1" x14ac:dyDescent="0.2">
      <c r="A236" s="393" t="s">
        <v>542</v>
      </c>
      <c r="B236" s="44"/>
      <c r="C236" s="213" t="s">
        <v>118</v>
      </c>
      <c r="D236" s="371" t="s">
        <v>432</v>
      </c>
      <c r="E236" s="114" t="s">
        <v>754</v>
      </c>
      <c r="I236" s="57"/>
    </row>
    <row r="237" spans="1:18" ht="12.75" customHeight="1" x14ac:dyDescent="0.2">
      <c r="A237" s="211"/>
      <c r="B237" s="44"/>
      <c r="C237" s="213"/>
      <c r="I237" s="57"/>
    </row>
    <row r="238" spans="1:18" ht="12.75" customHeight="1" x14ac:dyDescent="0.2">
      <c r="A238" s="211"/>
      <c r="B238" s="388"/>
      <c r="C238" s="114"/>
      <c r="I238" s="57"/>
    </row>
    <row r="239" spans="1:18" ht="12.75" customHeight="1" x14ac:dyDescent="0.2">
      <c r="A239" s="211"/>
      <c r="B239" s="387"/>
      <c r="C239" s="114"/>
      <c r="I239" s="57"/>
    </row>
    <row r="240" spans="1:18" ht="12.75" customHeight="1" x14ac:dyDescent="0.2">
      <c r="A240" s="211"/>
      <c r="B240" s="387"/>
      <c r="C240" s="114"/>
      <c r="I240" s="57"/>
      <c r="R240" s="114"/>
    </row>
    <row r="241" spans="1:9" ht="12.75" customHeight="1" thickBot="1" x14ac:dyDescent="0.25">
      <c r="A241" s="60"/>
      <c r="B241" s="68"/>
      <c r="C241" s="295"/>
      <c r="D241" s="61"/>
      <c r="E241" s="61"/>
      <c r="F241" s="61"/>
      <c r="G241" s="61"/>
      <c r="H241" s="61"/>
      <c r="I241" s="62"/>
    </row>
    <row r="242" spans="1:9" x14ac:dyDescent="0.2">
      <c r="B242" s="44"/>
      <c r="C242" s="296"/>
    </row>
    <row r="243" spans="1:9" ht="18" customHeight="1" thickBot="1" x14ac:dyDescent="0.3">
      <c r="A243" s="531" t="s">
        <v>921</v>
      </c>
      <c r="B243" s="44"/>
      <c r="C243" s="296"/>
    </row>
    <row r="244" spans="1:9" ht="12.75" customHeight="1" x14ac:dyDescent="0.2">
      <c r="A244" s="621" t="s">
        <v>922</v>
      </c>
      <c r="B244" s="617"/>
      <c r="C244" s="294"/>
      <c r="D244" s="291"/>
      <c r="E244" s="291"/>
      <c r="F244" s="291"/>
      <c r="G244" s="291"/>
      <c r="H244" s="291"/>
      <c r="I244" s="618"/>
    </row>
    <row r="245" spans="1:9" ht="12.75" customHeight="1" x14ac:dyDescent="0.2">
      <c r="A245" s="114" t="s">
        <v>905</v>
      </c>
      <c r="B245" s="308">
        <f>'CFG Setting'!J146</f>
        <v>3</v>
      </c>
      <c r="C245"/>
      <c r="E245" s="114" t="s">
        <v>924</v>
      </c>
      <c r="I245" s="57"/>
    </row>
    <row r="246" spans="1:9" ht="12.75" customHeight="1" x14ac:dyDescent="0.2">
      <c r="A246" s="114" t="s">
        <v>1076</v>
      </c>
      <c r="B246" s="308">
        <f>'CFG Setting'!B159</f>
        <v>1</v>
      </c>
      <c r="C246" s="296"/>
      <c r="E246" s="114" t="s">
        <v>1077</v>
      </c>
      <c r="I246" s="57"/>
    </row>
    <row r="247" spans="1:9" ht="12.75" customHeight="1" x14ac:dyDescent="0.2">
      <c r="A247" s="211" t="s">
        <v>929</v>
      </c>
      <c r="B247" s="44">
        <f>'CFG Setting'!F145-1</f>
        <v>2</v>
      </c>
      <c r="C247" s="296"/>
      <c r="E247" s="114" t="s">
        <v>1072</v>
      </c>
      <c r="I247" s="57"/>
    </row>
    <row r="248" spans="1:9" ht="12.75" customHeight="1" x14ac:dyDescent="0.3">
      <c r="A248" s="211" t="s">
        <v>923</v>
      </c>
      <c r="B248" s="44"/>
      <c r="C248" s="296"/>
      <c r="I248" s="57"/>
    </row>
    <row r="249" spans="1:9" ht="12.75" customHeight="1" x14ac:dyDescent="0.2">
      <c r="A249" s="211" t="s">
        <v>428</v>
      </c>
      <c r="B249" s="388">
        <f>'Design Converter'!O53</f>
        <v>15</v>
      </c>
      <c r="C249" s="114" t="s">
        <v>2</v>
      </c>
      <c r="D249" s="213"/>
      <c r="E249" s="114"/>
      <c r="I249" s="57"/>
    </row>
    <row r="250" spans="1:9" ht="12.75" customHeight="1" x14ac:dyDescent="0.2">
      <c r="A250" s="211" t="s">
        <v>429</v>
      </c>
      <c r="B250" s="312">
        <v>50</v>
      </c>
      <c r="C250" s="114" t="s">
        <v>371</v>
      </c>
      <c r="E250" s="566" t="s">
        <v>859</v>
      </c>
      <c r="I250" s="57"/>
    </row>
    <row r="251" spans="1:9" ht="12.75" customHeight="1" x14ac:dyDescent="0.2">
      <c r="A251" s="211" t="s">
        <v>430</v>
      </c>
      <c r="B251" s="308">
        <f>IF(IMONLIM_select&gt;0,'Design Converter'!O56, 0)</f>
        <v>10</v>
      </c>
      <c r="C251" s="45" t="s">
        <v>418</v>
      </c>
      <c r="I251" s="57"/>
    </row>
    <row r="252" spans="1:9" ht="12.75" customHeight="1" x14ac:dyDescent="0.2">
      <c r="A252" s="114" t="s">
        <v>1075</v>
      </c>
      <c r="B252" s="674">
        <f>'Design Converter'!O56/1000</f>
        <v>0.01</v>
      </c>
      <c r="C252" s="45" t="s">
        <v>339</v>
      </c>
      <c r="I252" s="57"/>
    </row>
    <row r="253" spans="1:9" ht="12.75" customHeight="1" x14ac:dyDescent="0.2">
      <c r="A253" s="114" t="s">
        <v>940</v>
      </c>
      <c r="B253" s="309">
        <f>IF(IMONLIM_select=1,'Design Converter'!O53,'Design Converter'!O57)</f>
        <v>5</v>
      </c>
      <c r="C253" s="114" t="s">
        <v>2</v>
      </c>
      <c r="E253" s="114" t="s">
        <v>1208</v>
      </c>
      <c r="I253" s="57"/>
    </row>
    <row r="254" spans="1:9" ht="12.75" customHeight="1" x14ac:dyDescent="0.2">
      <c r="A254" t="s">
        <v>925</v>
      </c>
      <c r="B254" s="622">
        <f>DeviceParameter!B11</f>
        <v>1E-3</v>
      </c>
      <c r="C254" s="114" t="s">
        <v>70</v>
      </c>
      <c r="E254" s="114" t="s">
        <v>926</v>
      </c>
      <c r="I254" s="57"/>
    </row>
    <row r="255" spans="1:9" ht="12.75" customHeight="1" x14ac:dyDescent="0.2">
      <c r="A255" s="211" t="s">
        <v>1074</v>
      </c>
      <c r="B255" s="319" t="e">
        <f>'Design Converter'!#REF!</f>
        <v>#REF!</v>
      </c>
      <c r="C255" s="114" t="s">
        <v>0</v>
      </c>
      <c r="E255" s="114" t="s">
        <v>928</v>
      </c>
      <c r="I255" s="57"/>
    </row>
    <row r="256" spans="1:9" ht="12.75" customHeight="1" x14ac:dyDescent="0.2">
      <c r="A256" s="211" t="s">
        <v>1073</v>
      </c>
      <c r="B256" s="623">
        <f>'Design Converter'!O57*1000</f>
        <v>5000</v>
      </c>
      <c r="C256" s="45" t="s">
        <v>339</v>
      </c>
      <c r="E256" s="114" t="s">
        <v>927</v>
      </c>
      <c r="I256" s="57"/>
    </row>
    <row r="257" spans="1:9" ht="12.75" customHeight="1" x14ac:dyDescent="0.2">
      <c r="A257" s="66" t="s">
        <v>1234</v>
      </c>
      <c r="B257" s="293" t="s">
        <v>1092</v>
      </c>
      <c r="C257" s="296"/>
      <c r="I257" s="57"/>
    </row>
    <row r="258" spans="1:9" ht="12.75" customHeight="1" x14ac:dyDescent="0.3">
      <c r="A258" s="211" t="s">
        <v>1235</v>
      </c>
      <c r="B258" s="674">
        <f>'Design Converter'!O58*0.000000000001</f>
        <v>6.8000000000000003E-13</v>
      </c>
      <c r="C258" s="299" t="s">
        <v>26</v>
      </c>
      <c r="I258" s="57"/>
    </row>
    <row r="259" spans="1:9" ht="12.75" customHeight="1" x14ac:dyDescent="0.3">
      <c r="A259" s="211" t="s">
        <v>1236</v>
      </c>
      <c r="B259" s="674">
        <f>'Design Converter'!O57*1000</f>
        <v>5000</v>
      </c>
      <c r="C259" s="45" t="s">
        <v>339</v>
      </c>
      <c r="I259" s="57"/>
    </row>
    <row r="260" spans="1:9" ht="12.75" customHeight="1" x14ac:dyDescent="0.2">
      <c r="A260" s="211"/>
      <c r="B260" s="44"/>
      <c r="C260" s="296"/>
      <c r="I260" s="57"/>
    </row>
    <row r="261" spans="1:9" x14ac:dyDescent="0.2">
      <c r="B261" s="379"/>
      <c r="C261"/>
      <c r="D261" s="114"/>
      <c r="I261" s="57"/>
    </row>
    <row r="262" spans="1:9" x14ac:dyDescent="0.2">
      <c r="A262" s="114" t="s">
        <v>945</v>
      </c>
      <c r="B262" s="603">
        <f>IF(IMONLIM_select=1,gm_IL,gm_IL_DAC)</f>
        <v>5.0000000000000001E-4</v>
      </c>
      <c r="C262" s="114" t="s">
        <v>70</v>
      </c>
      <c r="D262" s="114" t="s">
        <v>481</v>
      </c>
      <c r="I262" s="57"/>
    </row>
    <row r="263" spans="1:9" x14ac:dyDescent="0.2">
      <c r="A263" s="114" t="s">
        <v>946</v>
      </c>
      <c r="B263" s="366">
        <v>2</v>
      </c>
      <c r="C263" s="114" t="s">
        <v>214</v>
      </c>
      <c r="D263" s="114" t="s">
        <v>609</v>
      </c>
      <c r="I263" s="57"/>
    </row>
    <row r="264" spans="1:9" x14ac:dyDescent="0.2">
      <c r="A264" s="114" t="s">
        <v>947</v>
      </c>
      <c r="B264" s="603">
        <f>gm_IL/(2*Pi*GBW_IL*1000000)</f>
        <v>7.9577471545947675E-11</v>
      </c>
      <c r="C264" s="114" t="s">
        <v>26</v>
      </c>
      <c r="D264" s="114" t="s">
        <v>608</v>
      </c>
      <c r="I264" s="57"/>
    </row>
    <row r="265" spans="1:9" x14ac:dyDescent="0.2">
      <c r="A265" s="114" t="s">
        <v>948</v>
      </c>
      <c r="B265" s="386">
        <v>20000000</v>
      </c>
      <c r="C265" s="213" t="s">
        <v>118</v>
      </c>
      <c r="D265" s="114" t="s">
        <v>607</v>
      </c>
      <c r="I265" s="57"/>
    </row>
    <row r="266" spans="1:9" x14ac:dyDescent="0.2">
      <c r="A266" s="2" t="s">
        <v>1233</v>
      </c>
      <c r="B266" s="386"/>
      <c r="C266" s="213"/>
      <c r="D266" s="114"/>
      <c r="I266" s="57"/>
    </row>
    <row r="267" spans="1:9" x14ac:dyDescent="0.2">
      <c r="A267" s="114" t="s">
        <v>1066</v>
      </c>
      <c r="B267" s="603">
        <f>5/(2*PI()*'Stability Calculations'!R4*1000*Rout)</f>
        <v>4.0793426885377071E-5</v>
      </c>
      <c r="C267" s="114" t="s">
        <v>26</v>
      </c>
      <c r="D267" s="114" t="s">
        <v>1067</v>
      </c>
      <c r="F267" s="603">
        <f>'Standard Value Calculator'!M4</f>
        <v>3.8999999999999999E-5</v>
      </c>
      <c r="G267" s="114" t="s">
        <v>26</v>
      </c>
      <c r="I267" s="57"/>
    </row>
    <row r="268" spans="1:9" x14ac:dyDescent="0.2">
      <c r="A268" s="114" t="s">
        <v>1068</v>
      </c>
      <c r="B268" s="603">
        <f>1/(2*PI()*Rshunt/1000*Co2_)</f>
        <v>390148.49999999988</v>
      </c>
      <c r="C268" s="114" t="s">
        <v>1071</v>
      </c>
      <c r="D268" s="114"/>
      <c r="I268" s="57"/>
    </row>
    <row r="269" spans="1:9" x14ac:dyDescent="0.2">
      <c r="A269" s="114" t="s">
        <v>1069</v>
      </c>
      <c r="B269" s="603">
        <f>f_p*10^-0.25</f>
        <v>219396.62451102684</v>
      </c>
      <c r="C269" s="114" t="s">
        <v>1071</v>
      </c>
      <c r="D269" s="114"/>
      <c r="I269" s="57"/>
    </row>
    <row r="270" spans="1:9" ht="12.75" customHeight="1" x14ac:dyDescent="0.2">
      <c r="A270" s="211" t="s">
        <v>1070</v>
      </c>
      <c r="B270" s="603">
        <f>gm_IL/(2*PI()*f_bwilim)</f>
        <v>7.2542111095194297E-10</v>
      </c>
      <c r="C270" s="114" t="s">
        <v>26</v>
      </c>
      <c r="I270" s="57"/>
    </row>
    <row r="271" spans="1:9" ht="12.75" customHeight="1" x14ac:dyDescent="0.2">
      <c r="A271" s="211" t="s">
        <v>1094</v>
      </c>
      <c r="B271" s="603">
        <f>'Standard Value Calculator'!R19</f>
        <v>6.8000000000000003E-10</v>
      </c>
      <c r="C271" s="114" t="s">
        <v>26</v>
      </c>
      <c r="I271" s="57"/>
    </row>
    <row r="272" spans="1:9" ht="12.75" customHeight="1" x14ac:dyDescent="0.2">
      <c r="A272" s="211" t="s">
        <v>1091</v>
      </c>
      <c r="B272" s="603">
        <f>1/(2*PI()*RiLim*Fsw/2)</f>
        <v>1.061032953945969E-10</v>
      </c>
      <c r="C272" s="114" t="s">
        <v>26</v>
      </c>
      <c r="I272" s="57"/>
    </row>
    <row r="273" spans="1:9" ht="12.75" customHeight="1" x14ac:dyDescent="0.2">
      <c r="A273" s="114" t="s">
        <v>1093</v>
      </c>
      <c r="B273" s="603">
        <f>'Standard Value Calculator'!R36</f>
        <v>1E-10</v>
      </c>
      <c r="C273" s="114" t="s">
        <v>26</v>
      </c>
      <c r="I273" s="57"/>
    </row>
    <row r="274" spans="1:9" ht="12.75" customHeight="1" x14ac:dyDescent="0.2">
      <c r="A274" s="721" t="s">
        <v>1195</v>
      </c>
      <c r="B274" s="722">
        <v>1</v>
      </c>
      <c r="C274" s="114"/>
      <c r="D274" s="114" t="s">
        <v>1196</v>
      </c>
      <c r="E274" s="114" t="s">
        <v>1244</v>
      </c>
      <c r="F274" s="114" t="s">
        <v>1245</v>
      </c>
      <c r="H274" s="114" t="s">
        <v>1240</v>
      </c>
      <c r="I274" s="57"/>
    </row>
    <row r="275" spans="1:9" ht="12.75" customHeight="1" x14ac:dyDescent="0.2">
      <c r="A275" s="721" t="s">
        <v>1192</v>
      </c>
      <c r="B275" s="603">
        <f>'Design Converter'!N90*1000</f>
        <v>34000</v>
      </c>
      <c r="C275" s="45" t="s">
        <v>339</v>
      </c>
      <c r="E275" s="603">
        <f>VLOOKUP('Stability Calculations'!R4*1000/5,'Stability Calculations'!B13:AI613,32)/gm_IL_DAC</f>
        <v>54955.785844953134</v>
      </c>
      <c r="F275" s="603">
        <f>'Standard Value Calculator'!R31</f>
        <v>54900</v>
      </c>
      <c r="G275" s="45" t="s">
        <v>339</v>
      </c>
      <c r="H275" s="114" t="s">
        <v>1256</v>
      </c>
      <c r="I275" s="57"/>
    </row>
    <row r="276" spans="1:9" ht="12.75" customHeight="1" x14ac:dyDescent="0.2">
      <c r="A276" s="721" t="s">
        <v>1194</v>
      </c>
      <c r="B276" s="603">
        <f>'Design Converter'!N91*0.000000001</f>
        <v>4.7000000000000004E-8</v>
      </c>
      <c r="C276" s="114" t="s">
        <v>26</v>
      </c>
      <c r="E276" s="603">
        <f>1/(2*PI()*Fp_dominant/10*E275)</f>
        <v>2.213900953212189E-8</v>
      </c>
      <c r="F276" s="603">
        <f>'Standard Value Calculator'!R32</f>
        <v>2.1999999999999998E-8</v>
      </c>
      <c r="G276" s="114" t="s">
        <v>26</v>
      </c>
      <c r="H276" s="114" t="s">
        <v>1258</v>
      </c>
      <c r="I276" s="57"/>
    </row>
    <row r="277" spans="1:9" ht="12.75" customHeight="1" x14ac:dyDescent="0.2">
      <c r="A277" s="721" t="s">
        <v>1193</v>
      </c>
      <c r="B277" s="603">
        <f>'Design Converter'!N92*0.000000000001</f>
        <v>2.1999999999999998E-9</v>
      </c>
      <c r="C277" s="114" t="s">
        <v>26</v>
      </c>
      <c r="E277" s="603">
        <f>1/(2*PI()*Fz1_u*E275)</f>
        <v>1.8196446190785114E-7</v>
      </c>
      <c r="F277" s="603">
        <f>'Standard Value Calculator'!R33</f>
        <v>1.8E-7</v>
      </c>
      <c r="G277" s="114" t="s">
        <v>26</v>
      </c>
      <c r="H277" s="114" t="s">
        <v>1257</v>
      </c>
      <c r="I277" s="57"/>
    </row>
    <row r="278" spans="1:9" ht="12.75" customHeight="1" thickBot="1" x14ac:dyDescent="0.25">
      <c r="A278" s="788" t="s">
        <v>1248</v>
      </c>
      <c r="B278" s="789">
        <f>'Design Converter'!O58*0.000000001</f>
        <v>6.8000000000000013E-10</v>
      </c>
      <c r="C278" s="790" t="s">
        <v>26</v>
      </c>
      <c r="D278" s="619"/>
      <c r="E278" s="619"/>
      <c r="F278" s="619"/>
      <c r="G278" s="619"/>
      <c r="H278" s="619"/>
      <c r="I278" s="620"/>
    </row>
    <row r="279" spans="1:9" x14ac:dyDescent="0.2">
      <c r="B279" s="44"/>
      <c r="C279" s="296"/>
    </row>
    <row r="280" spans="1:9" ht="16.5" thickBot="1" x14ac:dyDescent="0.3">
      <c r="A280" s="531" t="s">
        <v>810</v>
      </c>
    </row>
    <row r="281" spans="1:9" x14ac:dyDescent="0.2">
      <c r="A281" s="367" t="s">
        <v>41</v>
      </c>
      <c r="B281" s="572">
        <f>PI()</f>
        <v>3.1415926535897931</v>
      </c>
      <c r="C281" s="368"/>
      <c r="D281" s="369" t="s">
        <v>492</v>
      </c>
      <c r="E281" s="63"/>
      <c r="F281" s="63"/>
      <c r="G281" s="63"/>
      <c r="H281" s="63"/>
      <c r="I281" s="64"/>
    </row>
    <row r="282" spans="1:9" x14ac:dyDescent="0.2">
      <c r="A282" s="114" t="s">
        <v>506</v>
      </c>
      <c r="B282" s="573">
        <v>10</v>
      </c>
      <c r="C282" s="46"/>
      <c r="D282" s="213"/>
      <c r="I282" s="57"/>
    </row>
    <row r="283" spans="1:9" x14ac:dyDescent="0.2">
      <c r="A283" s="114" t="s">
        <v>480</v>
      </c>
      <c r="B283">
        <f>Rs*CSAmp_gain</f>
        <v>2.5000000000000001E-2</v>
      </c>
      <c r="C283" s="213" t="s">
        <v>118</v>
      </c>
      <c r="D283" s="114" t="s">
        <v>497</v>
      </c>
      <c r="I283" s="57"/>
    </row>
    <row r="284" spans="1:9" x14ac:dyDescent="0.2">
      <c r="A284" s="114" t="s">
        <v>464</v>
      </c>
      <c r="B284" s="575">
        <v>5.9999999999999995E-4</v>
      </c>
      <c r="C284" s="114" t="s">
        <v>70</v>
      </c>
      <c r="D284" s="114" t="s">
        <v>481</v>
      </c>
      <c r="I284" s="57"/>
    </row>
    <row r="285" spans="1:9" x14ac:dyDescent="0.2">
      <c r="A285" s="114" t="s">
        <v>419</v>
      </c>
      <c r="B285" s="575">
        <v>2.4999999999999998E-12</v>
      </c>
      <c r="C285" s="114"/>
      <c r="D285" s="114" t="s">
        <v>901</v>
      </c>
      <c r="I285" s="57"/>
    </row>
    <row r="286" spans="1:9" x14ac:dyDescent="0.2">
      <c r="A286" s="114" t="s">
        <v>504</v>
      </c>
      <c r="B286" s="575">
        <f>0.00000002*125000*0.75</f>
        <v>1.8749999999999999E-3</v>
      </c>
      <c r="C286" s="114" t="s">
        <v>70</v>
      </c>
      <c r="D286" s="114" t="s">
        <v>505</v>
      </c>
      <c r="I286" s="57"/>
    </row>
    <row r="287" spans="1:9" x14ac:dyDescent="0.2">
      <c r="A287" s="114" t="s">
        <v>518</v>
      </c>
      <c r="B287" s="575">
        <v>0</v>
      </c>
      <c r="C287" s="114" t="s">
        <v>2</v>
      </c>
      <c r="D287" s="114" t="s">
        <v>529</v>
      </c>
      <c r="I287" s="57"/>
    </row>
    <row r="288" spans="1:9" x14ac:dyDescent="0.2">
      <c r="A288" s="114"/>
      <c r="B288" s="384"/>
      <c r="C288" s="114"/>
      <c r="D288" s="114"/>
      <c r="I288" s="57"/>
    </row>
    <row r="289" spans="1:9" x14ac:dyDescent="0.2">
      <c r="A289" s="114" t="s">
        <v>597</v>
      </c>
      <c r="B289" s="364">
        <f>Isc_const/(Cslope)</f>
        <v>0</v>
      </c>
      <c r="C289" s="114" t="s">
        <v>420</v>
      </c>
      <c r="D289" s="114"/>
      <c r="I289" s="57"/>
    </row>
    <row r="290" spans="1:9" x14ac:dyDescent="0.2">
      <c r="A290" s="114" t="s">
        <v>598</v>
      </c>
      <c r="B290" s="309">
        <f>(ABS((Vin-Vout))*gm_slopecomp)/(Cslope*Rslope)</f>
        <v>129600</v>
      </c>
      <c r="C290" s="114" t="s">
        <v>420</v>
      </c>
      <c r="D290" s="114"/>
      <c r="I290" s="57"/>
    </row>
    <row r="291" spans="1:9" x14ac:dyDescent="0.2">
      <c r="A291" s="114" t="s">
        <v>482</v>
      </c>
      <c r="B291" s="372">
        <f>Se_fixed+Se_proportional</f>
        <v>129600</v>
      </c>
      <c r="C291" s="373" t="s">
        <v>420</v>
      </c>
      <c r="D291" s="373" t="s">
        <v>605</v>
      </c>
      <c r="E291" s="373"/>
      <c r="I291" s="57"/>
    </row>
    <row r="292" spans="1:9" x14ac:dyDescent="0.2">
      <c r="A292" s="114"/>
      <c r="B292" s="372"/>
      <c r="C292" s="373"/>
      <c r="D292" s="373"/>
      <c r="E292" s="373"/>
      <c r="I292" s="57"/>
    </row>
    <row r="293" spans="1:9" x14ac:dyDescent="0.2">
      <c r="A293" s="114" t="s">
        <v>602</v>
      </c>
      <c r="B293" s="431">
        <f>Se_fixed/Fsw</f>
        <v>0</v>
      </c>
      <c r="C293" s="373" t="s">
        <v>420</v>
      </c>
      <c r="D293" s="373" t="s">
        <v>612</v>
      </c>
      <c r="E293" s="373"/>
      <c r="I293" s="57"/>
    </row>
    <row r="294" spans="1:9" x14ac:dyDescent="0.2">
      <c r="A294" s="114" t="s">
        <v>603</v>
      </c>
      <c r="B294" s="431">
        <f>Se_proportional/Fsw</f>
        <v>0.216</v>
      </c>
      <c r="C294" s="373" t="s">
        <v>420</v>
      </c>
      <c r="D294" s="373" t="s">
        <v>613</v>
      </c>
      <c r="E294" s="373"/>
      <c r="I294" s="57"/>
    </row>
    <row r="295" spans="1:9" x14ac:dyDescent="0.2">
      <c r="A295" s="114" t="s">
        <v>604</v>
      </c>
      <c r="B295" s="431">
        <f>Se/Fsw</f>
        <v>0.216</v>
      </c>
      <c r="C295" s="373" t="s">
        <v>420</v>
      </c>
      <c r="D295" s="373" t="s">
        <v>614</v>
      </c>
      <c r="I295" s="57"/>
    </row>
    <row r="296" spans="1:9" x14ac:dyDescent="0.2">
      <c r="A296" s="114" t="s">
        <v>611</v>
      </c>
      <c r="B296" s="431">
        <f>gm_slopecomp/(Cslope*Fsw)</f>
        <v>1250</v>
      </c>
      <c r="C296" s="373"/>
      <c r="D296" s="373" t="s">
        <v>615</v>
      </c>
      <c r="I296" s="57"/>
    </row>
    <row r="297" spans="1:9" x14ac:dyDescent="0.2">
      <c r="A297" s="114"/>
      <c r="B297" s="374"/>
      <c r="C297" s="373"/>
      <c r="D297" s="373" t="s">
        <v>616</v>
      </c>
      <c r="I297" s="57"/>
    </row>
    <row r="298" spans="1:9" x14ac:dyDescent="0.2">
      <c r="A298" s="114"/>
      <c r="B298" s="374"/>
      <c r="C298" s="373"/>
      <c r="D298" s="373"/>
      <c r="I298" s="57"/>
    </row>
    <row r="299" spans="1:9" x14ac:dyDescent="0.2">
      <c r="A299" s="114" t="s">
        <v>599</v>
      </c>
      <c r="B299" s="370">
        <f>(ABS((Vin-Vout))*gm_slopecomp+Isc_const)/(Cslope*Rslope*Ri)</f>
        <v>5184000</v>
      </c>
      <c r="C299" s="356" t="s">
        <v>483</v>
      </c>
      <c r="D299" s="356" t="s">
        <v>507</v>
      </c>
      <c r="I299" s="57"/>
    </row>
    <row r="300" spans="1:9" x14ac:dyDescent="0.2">
      <c r="A300" s="114" t="s">
        <v>484</v>
      </c>
      <c r="B300" s="370">
        <f>IF(VIN_nom&gt;Vout, (Vin-Vout)/Lf, Vin/Lf)</f>
        <v>3409090.9090909096</v>
      </c>
      <c r="C300" s="356" t="s">
        <v>483</v>
      </c>
      <c r="D300" s="356" t="s">
        <v>485</v>
      </c>
      <c r="I300" s="57"/>
    </row>
    <row r="301" spans="1:9" x14ac:dyDescent="0.2">
      <c r="A301" s="114" t="s">
        <v>502</v>
      </c>
      <c r="B301" s="370">
        <f>IF(VIN_nom&gt;Vout, Vout/Lf, (Vout-Vin)/Lf)</f>
        <v>5530303.0303030303</v>
      </c>
      <c r="C301" s="356" t="s">
        <v>483</v>
      </c>
      <c r="D301" s="356" t="s">
        <v>501</v>
      </c>
      <c r="I301" s="57"/>
    </row>
    <row r="302" spans="1:9" x14ac:dyDescent="0.2">
      <c r="A302" s="114"/>
      <c r="B302" s="370"/>
      <c r="C302" s="356"/>
      <c r="D302" s="356"/>
      <c r="I302" s="57"/>
    </row>
    <row r="303" spans="1:9" x14ac:dyDescent="0.2">
      <c r="A303" s="114" t="s">
        <v>508</v>
      </c>
      <c r="B303" s="380">
        <f>Se/1000</f>
        <v>129.6</v>
      </c>
      <c r="C303" s="381" t="s">
        <v>556</v>
      </c>
      <c r="D303" s="381" t="s">
        <v>516</v>
      </c>
      <c r="I303" s="57"/>
    </row>
    <row r="304" spans="1:9" x14ac:dyDescent="0.2">
      <c r="A304" s="114" t="s">
        <v>514</v>
      </c>
      <c r="B304" s="380">
        <f>Sn*Ri/1000</f>
        <v>85.227272727272748</v>
      </c>
      <c r="C304" s="381" t="s">
        <v>556</v>
      </c>
      <c r="D304" s="381" t="s">
        <v>517</v>
      </c>
      <c r="I304" s="57"/>
    </row>
    <row r="305" spans="1:9" x14ac:dyDescent="0.2">
      <c r="A305" s="114" t="s">
        <v>515</v>
      </c>
      <c r="B305" s="380">
        <f>Sf*Ri/1000</f>
        <v>138.25757575757578</v>
      </c>
      <c r="C305" s="381" t="s">
        <v>556</v>
      </c>
      <c r="D305" s="381" t="s">
        <v>517</v>
      </c>
      <c r="I305" s="57"/>
    </row>
    <row r="306" spans="1:9" x14ac:dyDescent="0.2">
      <c r="A306" s="114"/>
      <c r="B306" s="380"/>
      <c r="C306" s="381"/>
      <c r="D306" s="381"/>
      <c r="I306" s="57"/>
    </row>
    <row r="307" spans="1:9" x14ac:dyDescent="0.2">
      <c r="A307" s="114" t="s">
        <v>756</v>
      </c>
      <c r="B307" s="498">
        <f>(1-Don_Vinmax_2)/Fsw</f>
        <v>9.4673327456166117E-7</v>
      </c>
      <c r="C307" s="373" t="s">
        <v>755</v>
      </c>
      <c r="D307" s="381"/>
      <c r="I307" s="57"/>
    </row>
    <row r="308" spans="1:9" x14ac:dyDescent="0.2">
      <c r="A308" s="114"/>
      <c r="B308" s="498"/>
      <c r="C308" s="373"/>
      <c r="D308" s="381"/>
      <c r="I308" s="57"/>
    </row>
    <row r="309" spans="1:9" x14ac:dyDescent="0.2">
      <c r="A309" s="114" t="s">
        <v>760</v>
      </c>
      <c r="B309" s="498">
        <f>IF(VIN_min&gt;Vout, (1-Don_Vinmin_2)/Fsw, Don_Vinmin_2/Fsw)</f>
        <v>4.435346979530704E-7</v>
      </c>
      <c r="C309" s="373" t="s">
        <v>755</v>
      </c>
      <c r="D309" s="381"/>
      <c r="I309" s="57"/>
    </row>
    <row r="310" spans="1:9" x14ac:dyDescent="0.2">
      <c r="A310" s="114"/>
      <c r="B310" s="497"/>
      <c r="C310" s="373"/>
      <c r="D310" s="381"/>
      <c r="I310" s="57"/>
    </row>
    <row r="311" spans="1:9" x14ac:dyDescent="0.2">
      <c r="A311" s="114" t="s">
        <v>758</v>
      </c>
      <c r="B311" s="499">
        <f>1.6+5*Rs*(-Iripple_Vinmax/2)-(gm_slopecomp*(VIN_max-Vout)+Isc_const)/(Cslope*Rslope)*Toff_Vinmax</f>
        <v>1.3024554697696924</v>
      </c>
      <c r="C311" s="500" t="s">
        <v>0</v>
      </c>
      <c r="D311" s="500" t="s">
        <v>759</v>
      </c>
      <c r="F311" s="375">
        <f>1.6+5*Rs*(Iripple_Vinmax/2)+(gm_slopecomp*(Vout-VIN_max)+Isc_const)/(Cslope*Rslope)*Don_Vinmax_2/Fsw</f>
        <v>1.431944530230308</v>
      </c>
      <c r="G311" s="356" t="s">
        <v>427</v>
      </c>
      <c r="I311" s="57"/>
    </row>
    <row r="312" spans="1:9" x14ac:dyDescent="0.2">
      <c r="A312" s="114" t="s">
        <v>757</v>
      </c>
      <c r="B312" s="499">
        <f>1.6+5*Rs*(Iin_Vinmin+Iripple_Vinmin/2)+(gm_slopecomp*(Vout-VIN_min)+Isc_const)/(Cslope*Rslope)*Ton_Vinmin</f>
        <v>1.6964105300637562</v>
      </c>
      <c r="C312" s="500" t="s">
        <v>0</v>
      </c>
      <c r="D312" s="500" t="s">
        <v>427</v>
      </c>
      <c r="F312" s="375">
        <f>1.6+5*Rs*(-Iripple_Vinmin/2)-(gm_slopecomp*(VIN_min-Vout)+Isc_const)/(Cslope*Rslope)*(1-Don_Vinmin_2)/Fsw</f>
        <v>1.5498741116053194</v>
      </c>
      <c r="G312" s="356" t="s">
        <v>759</v>
      </c>
      <c r="I312" s="57"/>
    </row>
    <row r="313" spans="1:9" x14ac:dyDescent="0.2">
      <c r="A313" s="114"/>
      <c r="B313" s="380"/>
      <c r="C313" s="381"/>
      <c r="D313" s="381"/>
      <c r="I313" s="57"/>
    </row>
    <row r="314" spans="1:9" x14ac:dyDescent="0.2">
      <c r="A314" s="114"/>
      <c r="B314" s="418">
        <f>IF(VIN_max&gt;Vout, B311,F311)</f>
        <v>1.3024554697696924</v>
      </c>
      <c r="C314" s="381"/>
      <c r="D314" s="381"/>
      <c r="I314" s="57"/>
    </row>
    <row r="315" spans="1:9" x14ac:dyDescent="0.2">
      <c r="A315" s="114"/>
      <c r="B315" s="418">
        <f>IF(VIN_min&lt;Vout, B312,F312)</f>
        <v>1.5498741116053194</v>
      </c>
      <c r="C315" s="381"/>
      <c r="D315" s="381"/>
      <c r="I315" s="57"/>
    </row>
    <row r="316" spans="1:9" x14ac:dyDescent="0.2">
      <c r="A316" s="114"/>
      <c r="B316" s="418"/>
      <c r="C316" s="381"/>
      <c r="D316" s="381"/>
      <c r="I316" s="57"/>
    </row>
    <row r="317" spans="1:9" x14ac:dyDescent="0.2">
      <c r="A317" s="114"/>
      <c r="B317" s="380"/>
      <c r="C317" s="381"/>
      <c r="D317" s="356"/>
      <c r="I317" s="57"/>
    </row>
    <row r="318" spans="1:9" x14ac:dyDescent="0.2">
      <c r="A318" s="114" t="s">
        <v>554</v>
      </c>
      <c r="B318" s="354">
        <f>1+Se_ext/Sf</f>
        <v>1.9373808219178081</v>
      </c>
      <c r="C318"/>
      <c r="D318" s="114" t="s">
        <v>503</v>
      </c>
      <c r="I318" s="57"/>
    </row>
    <row r="319" spans="1:9" x14ac:dyDescent="0.2">
      <c r="A319" s="114" t="s">
        <v>555</v>
      </c>
      <c r="B319" s="375">
        <f>mc_buck*Don_Vinnom_2</f>
        <v>1.2051935306755401</v>
      </c>
      <c r="C319" s="356"/>
      <c r="D319" s="356" t="s">
        <v>500</v>
      </c>
      <c r="I319" s="57"/>
    </row>
    <row r="320" spans="1:9" x14ac:dyDescent="0.2">
      <c r="A320" s="2" t="s">
        <v>546</v>
      </c>
      <c r="B320" s="394">
        <f>1+Se_ext/Sn</f>
        <v>2.5206399999999998</v>
      </c>
      <c r="C320" s="356"/>
      <c r="D320" s="114" t="s">
        <v>610</v>
      </c>
      <c r="I320" s="57"/>
    </row>
    <row r="321" spans="1:9" x14ac:dyDescent="0.2">
      <c r="A321" s="2" t="s">
        <v>547</v>
      </c>
      <c r="B321" s="375">
        <f>mc_boost*(1-Don_Vinnom_2)</f>
        <v>0.95261631214557763</v>
      </c>
      <c r="C321" s="356"/>
      <c r="D321" s="356" t="s">
        <v>557</v>
      </c>
      <c r="I321" s="57"/>
    </row>
    <row r="322" spans="1:9" x14ac:dyDescent="0.2">
      <c r="A322" s="2"/>
      <c r="B322" s="394"/>
      <c r="C322" s="356"/>
      <c r="D322" s="356"/>
      <c r="I322" s="57"/>
    </row>
    <row r="323" spans="1:9" x14ac:dyDescent="0.2">
      <c r="A323" s="2" t="s">
        <v>486</v>
      </c>
      <c r="B323" s="375">
        <f>IF(VIN_nom&gt;Vout, mc_buck, mc_boost)</f>
        <v>1.9373808219178081</v>
      </c>
      <c r="C323" s="356"/>
      <c r="D323" s="356"/>
      <c r="I323" s="57"/>
    </row>
    <row r="324" spans="1:9" x14ac:dyDescent="0.2">
      <c r="A324" s="2" t="s">
        <v>463</v>
      </c>
      <c r="B324" s="418">
        <f>IF(VIN_nom&gt;Vout, k_buck, k_boost)</f>
        <v>1.2051935306755401</v>
      </c>
      <c r="C324" s="356"/>
      <c r="D324" s="356"/>
      <c r="I324" s="57"/>
    </row>
    <row r="325" spans="1:9" x14ac:dyDescent="0.2">
      <c r="A325" s="114" t="s">
        <v>29</v>
      </c>
      <c r="B325" s="354">
        <f>1/Pi/(k-0.5)</f>
        <v>0.45137947575733678</v>
      </c>
      <c r="C325"/>
      <c r="D325" s="114" t="s">
        <v>495</v>
      </c>
      <c r="F325" s="114" t="s">
        <v>510</v>
      </c>
      <c r="I325" s="57"/>
    </row>
    <row r="326" spans="1:9" x14ac:dyDescent="0.2">
      <c r="A326" s="114"/>
      <c r="B326" s="354"/>
      <c r="C326"/>
      <c r="D326" s="114"/>
      <c r="F326" s="114"/>
      <c r="I326" s="57"/>
    </row>
    <row r="327" spans="1:9" x14ac:dyDescent="0.2">
      <c r="A327" s="2" t="s">
        <v>595</v>
      </c>
      <c r="B327" s="409">
        <f>1/((0.5-Don_Vinnom_2)*Ri/(Fsw*Lf)+V_sc_fixed/Vout+K_SL*Don_Vinnom_2)</f>
        <v>1.2860245747655268E-3</v>
      </c>
      <c r="C327" s="114"/>
      <c r="D327" s="114"/>
      <c r="E327" s="114"/>
      <c r="I327" s="57"/>
    </row>
    <row r="328" spans="1:9" x14ac:dyDescent="0.2">
      <c r="A328" s="2" t="s">
        <v>617</v>
      </c>
      <c r="B328" s="363">
        <f>0.5*Ri/(Lf*Fsw)*Don_Vinnom_2*(1-Don_Vinnom_2)+K_SL*Don_Vinnom_2^2</f>
        <v>483.72136478432014</v>
      </c>
      <c r="C328" s="114"/>
      <c r="D328" s="114"/>
      <c r="E328" s="114"/>
      <c r="I328" s="57"/>
    </row>
    <row r="329" spans="1:9" x14ac:dyDescent="0.2">
      <c r="A329" s="2" t="s">
        <v>596</v>
      </c>
      <c r="B329" s="409">
        <f>1+Ro/Rout+Rout*(1-Don_Vinnom_2)^2/Ri*(1/KM+K_1/(1-Don_Vinnom_2))</f>
        <v>14303.817408609046</v>
      </c>
      <c r="C329" s="114"/>
      <c r="E329" s="114"/>
      <c r="I329" s="57"/>
    </row>
    <row r="330" spans="1:9" x14ac:dyDescent="0.2">
      <c r="A330" s="114"/>
      <c r="B330" s="354"/>
      <c r="C330"/>
      <c r="D330" s="114"/>
      <c r="F330" s="114"/>
      <c r="I330" s="57"/>
    </row>
    <row r="331" spans="1:9" x14ac:dyDescent="0.2">
      <c r="A331" s="356" t="s">
        <v>558</v>
      </c>
      <c r="B331" s="354"/>
      <c r="C331"/>
      <c r="D331" s="114"/>
      <c r="I331" s="57"/>
    </row>
    <row r="332" spans="1:9" x14ac:dyDescent="0.2">
      <c r="A332" s="114" t="s">
        <v>487</v>
      </c>
      <c r="B332" s="366">
        <v>13</v>
      </c>
      <c r="C332" s="114" t="s">
        <v>214</v>
      </c>
      <c r="D332" s="114" t="s">
        <v>609</v>
      </c>
      <c r="I332" s="57"/>
    </row>
    <row r="333" spans="1:9" x14ac:dyDescent="0.2">
      <c r="A333" s="114" t="s">
        <v>488</v>
      </c>
      <c r="B333" s="30">
        <f>gm/(2*Pi*GBW*1000000)</f>
        <v>7.3456127580874771E-12</v>
      </c>
      <c r="C333" s="114" t="s">
        <v>26</v>
      </c>
      <c r="D333" s="114" t="s">
        <v>608</v>
      </c>
      <c r="I333" s="57"/>
    </row>
    <row r="334" spans="1:9" x14ac:dyDescent="0.2">
      <c r="A334" s="114" t="s">
        <v>489</v>
      </c>
      <c r="B334" s="386">
        <v>10000000</v>
      </c>
      <c r="C334" s="213" t="s">
        <v>118</v>
      </c>
      <c r="D334" s="114" t="s">
        <v>607</v>
      </c>
      <c r="I334" s="57"/>
    </row>
    <row r="335" spans="1:9" x14ac:dyDescent="0.2">
      <c r="A335" s="114" t="s">
        <v>857</v>
      </c>
      <c r="B335">
        <f>gm*RoEA</f>
        <v>5999.9999999999991</v>
      </c>
      <c r="C335" s="213"/>
      <c r="D335" s="114"/>
      <c r="I335" s="57"/>
    </row>
    <row r="336" spans="1:9" x14ac:dyDescent="0.2">
      <c r="A336" s="114" t="s">
        <v>858</v>
      </c>
      <c r="B336" s="4">
        <f>20*LOG(B335)</f>
        <v>75.563025007672863</v>
      </c>
      <c r="C336" s="114" t="s">
        <v>856</v>
      </c>
      <c r="D336" s="114"/>
      <c r="I336" s="57"/>
    </row>
    <row r="337" spans="1:12" x14ac:dyDescent="0.2">
      <c r="A337" s="2" t="s">
        <v>490</v>
      </c>
      <c r="B337" s="309">
        <f>gm*RoEA</f>
        <v>5999.9999999999991</v>
      </c>
      <c r="C337" s="114" t="s">
        <v>30</v>
      </c>
      <c r="D337" s="114" t="s">
        <v>606</v>
      </c>
      <c r="I337" s="57"/>
    </row>
    <row r="338" spans="1:12" x14ac:dyDescent="0.2">
      <c r="A338" s="2" t="s">
        <v>491</v>
      </c>
      <c r="B338" s="4">
        <f>Vref/Vout</f>
        <v>6.8493150684931503E-2</v>
      </c>
      <c r="C338" s="114" t="s">
        <v>30</v>
      </c>
      <c r="D338" s="114" t="s">
        <v>601</v>
      </c>
      <c r="I338" s="57"/>
    </row>
    <row r="339" spans="1:12" x14ac:dyDescent="0.2">
      <c r="A339" s="2" t="s">
        <v>448</v>
      </c>
      <c r="B339" s="114">
        <f>1/Ri</f>
        <v>40</v>
      </c>
      <c r="C339" s="114"/>
      <c r="D339" s="114" t="s">
        <v>496</v>
      </c>
      <c r="I339" s="57"/>
      <c r="L339">
        <f>Ri</f>
        <v>2.5000000000000001E-2</v>
      </c>
    </row>
    <row r="340" spans="1:12" x14ac:dyDescent="0.2">
      <c r="A340" s="2" t="s">
        <v>545</v>
      </c>
      <c r="B340" s="48">
        <f>Ro/Ri*1/((1+Ro*(k-0.5)/(Fsw*Lf)))</f>
        <v>31.56775549626024</v>
      </c>
      <c r="C340"/>
      <c r="D340" s="2" t="s">
        <v>600</v>
      </c>
      <c r="I340" s="57"/>
      <c r="J340" s="577" t="s">
        <v>887</v>
      </c>
    </row>
    <row r="341" spans="1:12" x14ac:dyDescent="0.2">
      <c r="A341" s="2" t="s">
        <v>548</v>
      </c>
      <c r="B341" s="48">
        <f>Rout*(1-Don_Vinnom_2)/(2*Ri)</f>
        <v>9.1962082099026663</v>
      </c>
      <c r="C341"/>
      <c r="D341" s="356" t="s">
        <v>559</v>
      </c>
      <c r="I341" s="57"/>
      <c r="J341" s="577" t="s">
        <v>886</v>
      </c>
    </row>
    <row r="342" spans="1:12" x14ac:dyDescent="0.2">
      <c r="A342" s="2" t="s">
        <v>453</v>
      </c>
      <c r="B342" s="48">
        <f>IF(VIN_nom&gt;Vout, Am_buck, Am_boost)</f>
        <v>31.56775549626024</v>
      </c>
      <c r="C342"/>
      <c r="D342" s="114" t="s">
        <v>618</v>
      </c>
      <c r="I342" s="57"/>
    </row>
    <row r="343" spans="1:12" x14ac:dyDescent="0.2">
      <c r="A343" s="2"/>
      <c r="B343" s="4"/>
      <c r="C343"/>
      <c r="D343" s="356"/>
      <c r="I343" s="57"/>
    </row>
    <row r="344" spans="1:12" x14ac:dyDescent="0.2">
      <c r="A344" s="114" t="s">
        <v>592</v>
      </c>
      <c r="B344" s="4">
        <f>2*Pi*Ri/gm</f>
        <v>261.79938779914943</v>
      </c>
      <c r="C344"/>
      <c r="D344" s="114" t="s">
        <v>619</v>
      </c>
      <c r="I344" s="57"/>
    </row>
    <row r="345" spans="1:12" x14ac:dyDescent="0.2">
      <c r="A345" s="114" t="s">
        <v>593</v>
      </c>
      <c r="B345" s="4">
        <f>2*Pi*Ri/gm</f>
        <v>261.79938779914943</v>
      </c>
      <c r="C345"/>
      <c r="D345" s="114" t="s">
        <v>620</v>
      </c>
      <c r="I345" s="57"/>
    </row>
    <row r="346" spans="1:12" x14ac:dyDescent="0.2">
      <c r="A346" s="356" t="s">
        <v>549</v>
      </c>
      <c r="B346" s="4"/>
      <c r="C346"/>
      <c r="D346" s="114"/>
      <c r="I346" s="57"/>
    </row>
    <row r="347" spans="1:12" x14ac:dyDescent="0.2">
      <c r="A347" s="356"/>
      <c r="B347" s="4"/>
      <c r="C347"/>
      <c r="D347" s="114"/>
      <c r="I347" s="57"/>
    </row>
    <row r="348" spans="1:12" x14ac:dyDescent="0.2">
      <c r="A348" s="211" t="s">
        <v>46</v>
      </c>
      <c r="B348" s="114">
        <f>Rout</f>
        <v>1.2166666666666666</v>
      </c>
      <c r="C348" s="213" t="s">
        <v>118</v>
      </c>
      <c r="D348" s="114" t="s">
        <v>342</v>
      </c>
      <c r="I348" s="57"/>
    </row>
    <row r="349" spans="1:12" x14ac:dyDescent="0.2">
      <c r="A349" s="114" t="s">
        <v>442</v>
      </c>
      <c r="B349" s="114">
        <f>Rout</f>
        <v>1.2166666666666666</v>
      </c>
      <c r="C349" s="213" t="s">
        <v>118</v>
      </c>
      <c r="D349" s="114" t="s">
        <v>342</v>
      </c>
      <c r="I349" s="57"/>
    </row>
    <row r="350" spans="1:12" x14ac:dyDescent="0.2">
      <c r="A350" s="114"/>
      <c r="B350" s="114"/>
      <c r="C350" s="213"/>
      <c r="D350" s="114"/>
      <c r="I350" s="57"/>
    </row>
    <row r="351" spans="1:12" x14ac:dyDescent="0.2">
      <c r="A351" s="114" t="s">
        <v>538</v>
      </c>
      <c r="B351" s="379">
        <f>1/(2*Pi*Ro*Cout)</f>
        <v>1308.1228199333864</v>
      </c>
      <c r="C351" t="s">
        <v>10</v>
      </c>
      <c r="D351" s="114" t="s">
        <v>535</v>
      </c>
      <c r="E351" s="46"/>
      <c r="I351" s="57"/>
      <c r="J351" s="578" t="s">
        <v>888</v>
      </c>
      <c r="K351">
        <f>1/(2*Pi*Ro*Cout)+(k-0.5)/(2*Pi*Fsw*Lf*Cout)</f>
        <v>2016.6773416722647</v>
      </c>
      <c r="L351">
        <f>(1-Don_Vinnom_2)/(2*Pi*SQRT(Lf*Cout))</f>
        <v>3701.9057570455598</v>
      </c>
    </row>
    <row r="352" spans="1:12" x14ac:dyDescent="0.2">
      <c r="A352" s="114" t="s">
        <v>537</v>
      </c>
      <c r="B352" s="379">
        <f>2/(2*Pi*Ro*Cout)</f>
        <v>2616.2456398667728</v>
      </c>
      <c r="C352" s="114" t="s">
        <v>10</v>
      </c>
      <c r="D352" s="356" t="s">
        <v>536</v>
      </c>
      <c r="I352" s="57"/>
    </row>
    <row r="353" spans="1:12" x14ac:dyDescent="0.2">
      <c r="A353" s="114" t="s">
        <v>584</v>
      </c>
      <c r="B353" s="379">
        <f>IF(VIN_nom&gt;Vout, Fload_buck,Fload_boost)</f>
        <v>1308.1228199333864</v>
      </c>
      <c r="C353" s="114" t="s">
        <v>10</v>
      </c>
      <c r="D353" s="608" t="s">
        <v>907</v>
      </c>
      <c r="E353" s="46"/>
      <c r="I353" s="57"/>
    </row>
    <row r="354" spans="1:12" x14ac:dyDescent="0.2">
      <c r="A354" s="114"/>
      <c r="B354" s="364"/>
      <c r="C354"/>
      <c r="D354" s="114"/>
      <c r="E354" s="46"/>
      <c r="I354" s="57"/>
    </row>
    <row r="355" spans="1:12" x14ac:dyDescent="0.2">
      <c r="A355" s="114" t="s">
        <v>498</v>
      </c>
      <c r="B355" s="432">
        <f>1/(2*Pi*(RoEA+Rcea1_u)*Cc1ea_u)</f>
        <v>0.157579151576134</v>
      </c>
      <c r="C355" t="s">
        <v>10</v>
      </c>
      <c r="D355" s="114" t="s">
        <v>534</v>
      </c>
      <c r="E355" s="46"/>
      <c r="I355" s="57"/>
    </row>
    <row r="356" spans="1:12" x14ac:dyDescent="0.2">
      <c r="A356" s="114" t="s">
        <v>499</v>
      </c>
      <c r="B356" s="379">
        <f>1/(2*Pi*Rcea1_u*(Cc2ea_u+Cbw))</f>
        <v>1579.9437757626504</v>
      </c>
      <c r="C356" t="s">
        <v>10</v>
      </c>
      <c r="D356" s="114" t="s">
        <v>511</v>
      </c>
      <c r="E356" s="46"/>
      <c r="I356" s="57"/>
      <c r="K356">
        <f>Fcross</f>
        <v>13000</v>
      </c>
    </row>
    <row r="357" spans="1:12" x14ac:dyDescent="0.2">
      <c r="A357" s="211" t="s">
        <v>28</v>
      </c>
      <c r="B357" s="379">
        <f>1/(2*Pi*Cout*CoutEsr)</f>
        <v>318309.88618379069</v>
      </c>
      <c r="C357" t="s">
        <v>10</v>
      </c>
      <c r="D357" s="114" t="s">
        <v>532</v>
      </c>
      <c r="I357" s="57"/>
    </row>
    <row r="358" spans="1:12" x14ac:dyDescent="0.2">
      <c r="A358" s="211" t="s">
        <v>441</v>
      </c>
      <c r="B358" s="433">
        <f>(1-Don_Vinnom_2)^2*Ro/(2*Pi*Lf)</f>
        <v>10476.161737431439</v>
      </c>
      <c r="C358" t="s">
        <v>10</v>
      </c>
      <c r="D358" s="114" t="s">
        <v>533</v>
      </c>
      <c r="H358" s="356" t="s">
        <v>579</v>
      </c>
      <c r="I358" s="57"/>
    </row>
    <row r="359" spans="1:12" x14ac:dyDescent="0.2">
      <c r="A359" s="211" t="s">
        <v>897</v>
      </c>
      <c r="B359" s="433">
        <f>(1-Don_Vinmin_2)^2*Ro/(2*Pi*Lf)</f>
        <v>5194.5211208245373</v>
      </c>
      <c r="C359" t="s">
        <v>10</v>
      </c>
      <c r="D359" s="114" t="s">
        <v>533</v>
      </c>
      <c r="H359" s="356" t="s">
        <v>898</v>
      </c>
      <c r="I359" s="57"/>
    </row>
    <row r="360" spans="1:12" x14ac:dyDescent="0.2">
      <c r="A360" s="114" t="s">
        <v>544</v>
      </c>
      <c r="B360" s="379">
        <f>Fsw/2</f>
        <v>300000</v>
      </c>
      <c r="C360" t="s">
        <v>10</v>
      </c>
      <c r="D360" s="114" t="s">
        <v>543</v>
      </c>
      <c r="I360" s="57"/>
    </row>
    <row r="361" spans="1:12" x14ac:dyDescent="0.2">
      <c r="A361" s="114"/>
      <c r="B361" s="379"/>
      <c r="C361"/>
      <c r="D361" s="114"/>
      <c r="I361" s="57"/>
    </row>
    <row r="362" spans="1:12" x14ac:dyDescent="0.2">
      <c r="A362" s="114"/>
      <c r="B362" s="629"/>
      <c r="C362"/>
      <c r="D362" s="114"/>
      <c r="I362" s="57"/>
    </row>
    <row r="363" spans="1:12" x14ac:dyDescent="0.2">
      <c r="A363" s="114"/>
      <c r="B363" s="629"/>
      <c r="C363"/>
      <c r="D363" s="114"/>
      <c r="I363" s="57"/>
    </row>
    <row r="364" spans="1:12" x14ac:dyDescent="0.2">
      <c r="A364" s="114"/>
      <c r="B364" s="364"/>
      <c r="C364"/>
      <c r="D364" s="114"/>
      <c r="E364" s="46"/>
      <c r="I364" s="57"/>
    </row>
    <row r="365" spans="1:12" x14ac:dyDescent="0.2">
      <c r="A365" s="211" t="s">
        <v>531</v>
      </c>
      <c r="B365" s="319">
        <f>'Design Converter'!E76*1000</f>
        <v>13000</v>
      </c>
      <c r="C365" s="363" t="s">
        <v>10</v>
      </c>
      <c r="D365" s="114"/>
      <c r="E365" t="e">
        <f>PS_RHPZ</f>
        <v>#NAME?</v>
      </c>
      <c r="I365" s="57"/>
    </row>
    <row r="366" spans="1:12" x14ac:dyDescent="0.2">
      <c r="A366" s="66" t="s">
        <v>35</v>
      </c>
      <c r="B366" s="364">
        <f>IF(VIN_nom&gt;Vout, Fcross*Cout*2*Pi*Ri/(gm*Afb), Fcross*Cout*2*Pi*Ri/(gm*Afb*(1-Don_Vinnom_2)*SQRT(1+(Fcross/'Stability Calculations'!PS_RHPZ)^2)))</f>
        <v>4968.952380427857</v>
      </c>
      <c r="C366" s="213" t="s">
        <v>118</v>
      </c>
      <c r="D366" s="114" t="s">
        <v>493</v>
      </c>
      <c r="I366" s="57">
        <v>1</v>
      </c>
      <c r="K366" s="309">
        <f>Fcross*Cout*2*Pi*Ri/(gm*Afb*(1-Don_Vinnom_2))</f>
        <v>13147.937914260308</v>
      </c>
      <c r="L366" s="213" t="s">
        <v>118</v>
      </c>
    </row>
    <row r="367" spans="1:12" x14ac:dyDescent="0.2">
      <c r="A367" s="66" t="s">
        <v>33</v>
      </c>
      <c r="B367" s="749">
        <f>1/(Rcea1*(1.5*Fp_dominant)*2*Pi)</f>
        <v>1.6323583906861055E-8</v>
      </c>
      <c r="C367" t="s">
        <v>26</v>
      </c>
      <c r="D367" s="566" t="s">
        <v>862</v>
      </c>
      <c r="I367" s="57">
        <v>1</v>
      </c>
    </row>
    <row r="368" spans="1:12" x14ac:dyDescent="0.2">
      <c r="A368" s="66" t="s">
        <v>34</v>
      </c>
      <c r="B368" s="749">
        <f>1/((Rcea1*2*Pi*B369))-Cbw</f>
        <v>2.3903807122263175E-10</v>
      </c>
      <c r="C368" t="s">
        <v>26</v>
      </c>
      <c r="D368" s="114" t="s">
        <v>494</v>
      </c>
      <c r="I368" s="57">
        <v>1</v>
      </c>
    </row>
    <row r="369" spans="1:9" x14ac:dyDescent="0.2">
      <c r="A369" s="65"/>
      <c r="B369" s="1">
        <f>MAX(Fcross*7,Fcross*10)</f>
        <v>130000</v>
      </c>
      <c r="C369" s="213"/>
      <c r="D369" s="566" t="s">
        <v>861</v>
      </c>
      <c r="E369" s="565"/>
      <c r="F369" s="565"/>
      <c r="G369" s="565"/>
      <c r="H369" s="565"/>
      <c r="I369" s="57">
        <v>1</v>
      </c>
    </row>
    <row r="370" spans="1:9" x14ac:dyDescent="0.2">
      <c r="A370" s="66" t="s">
        <v>444</v>
      </c>
      <c r="I370" s="57"/>
    </row>
    <row r="371" spans="1:9" x14ac:dyDescent="0.2">
      <c r="A371" s="56" t="s">
        <v>36</v>
      </c>
      <c r="B371" s="603">
        <f>'Design Converter'!E90*1000</f>
        <v>100000</v>
      </c>
      <c r="C371" s="213" t="s">
        <v>118</v>
      </c>
      <c r="I371" s="57">
        <v>2</v>
      </c>
    </row>
    <row r="372" spans="1:9" x14ac:dyDescent="0.2">
      <c r="A372" s="56" t="s">
        <v>37</v>
      </c>
      <c r="B372" s="603">
        <f>'Design Converter'!E91*0.000000001</f>
        <v>1.0000000000000001E-7</v>
      </c>
      <c r="C372" t="s">
        <v>26</v>
      </c>
      <c r="I372" s="57">
        <v>2</v>
      </c>
    </row>
    <row r="373" spans="1:9" x14ac:dyDescent="0.2">
      <c r="A373" s="56" t="s">
        <v>38</v>
      </c>
      <c r="B373" s="603">
        <f>'Design Converter'!E92*0.000000000001</f>
        <v>1.0000000000000001E-9</v>
      </c>
      <c r="C373" t="s">
        <v>26</v>
      </c>
      <c r="I373" s="57">
        <v>2</v>
      </c>
    </row>
    <row r="374" spans="1:9" x14ac:dyDescent="0.2">
      <c r="A374" s="56"/>
      <c r="B374" s="48"/>
      <c r="C374"/>
      <c r="I374" s="57"/>
    </row>
    <row r="375" spans="1:9" x14ac:dyDescent="0.2">
      <c r="A375" s="211"/>
      <c r="B375" s="603"/>
      <c r="C375" s="114"/>
      <c r="I375" s="57">
        <v>2</v>
      </c>
    </row>
    <row r="376" spans="1:9" x14ac:dyDescent="0.2">
      <c r="A376" s="56"/>
      <c r="B376" s="603"/>
      <c r="C376"/>
      <c r="I376" s="57"/>
    </row>
    <row r="377" spans="1:9" x14ac:dyDescent="0.2">
      <c r="A377" s="66" t="s">
        <v>513</v>
      </c>
      <c r="B377" s="603"/>
      <c r="C377"/>
      <c r="D377">
        <f>Cout</f>
        <v>1E-4</v>
      </c>
      <c r="E377">
        <f>CoutEsr</f>
        <v>5.0000000000000001E-3</v>
      </c>
      <c r="I377" s="57"/>
    </row>
    <row r="378" spans="1:9" x14ac:dyDescent="0.2">
      <c r="A378" s="66" t="s">
        <v>39</v>
      </c>
      <c r="B378" s="365">
        <f>1/(2*Pi*Rcea1_u*Cc1ea_u)</f>
        <v>15.915494309189533</v>
      </c>
      <c r="C378" t="s">
        <v>10</v>
      </c>
      <c r="D378" s="114" t="s">
        <v>590</v>
      </c>
      <c r="I378" s="57"/>
    </row>
    <row r="379" spans="1:9" x14ac:dyDescent="0.2">
      <c r="A379" s="66" t="s">
        <v>40</v>
      </c>
      <c r="B379" s="365">
        <f>1/(2*Pi*Rcea1_u*(Cc1ea_u*(Cc2ea_u+Cbw)/(Cc1ea_u+Cc2ea_u+Cbw)))</f>
        <v>1595.85927007184</v>
      </c>
      <c r="C379" t="s">
        <v>10</v>
      </c>
      <c r="D379" t="s">
        <v>160</v>
      </c>
      <c r="I379" s="57"/>
    </row>
    <row r="380" spans="1:9" x14ac:dyDescent="0.2">
      <c r="C380"/>
      <c r="I380" s="57"/>
    </row>
    <row r="381" spans="1:9" x14ac:dyDescent="0.2">
      <c r="A381" s="56" t="s">
        <v>31</v>
      </c>
      <c r="B381" s="319">
        <f>IF(Internal_FB_enabled=2,100000,'Design Converter'!E78*1000)</f>
        <v>82000</v>
      </c>
      <c r="C381" s="213" t="s">
        <v>118</v>
      </c>
      <c r="D381" s="114" t="s">
        <v>522</v>
      </c>
      <c r="I381" s="57">
        <v>1</v>
      </c>
    </row>
    <row r="382" spans="1:9" x14ac:dyDescent="0.2">
      <c r="A382" s="66" t="s">
        <v>43</v>
      </c>
      <c r="B382" s="355">
        <f>IF(Internal_FB_enabled=2,Rfb1_/(20-1),Vref*B381/((Vout-Vref)))</f>
        <v>6029.4117647058829</v>
      </c>
      <c r="C382" s="213" t="s">
        <v>118</v>
      </c>
      <c r="D382" s="114" t="s">
        <v>521</v>
      </c>
      <c r="I382" s="57"/>
    </row>
    <row r="383" spans="1:9" x14ac:dyDescent="0.2">
      <c r="A383" s="56" t="s">
        <v>165</v>
      </c>
      <c r="B383" s="676">
        <f>IF(Internal_FB_enabled=2,Rfb1_/(20-1),'Standard Value Calculator'!R10)</f>
        <v>6040</v>
      </c>
      <c r="C383" s="213" t="s">
        <v>118</v>
      </c>
      <c r="D383" s="114" t="s">
        <v>520</v>
      </c>
      <c r="I383" s="57"/>
    </row>
    <row r="384" spans="1:9" ht="13.5" thickBot="1" x14ac:dyDescent="0.25">
      <c r="A384" s="615" t="s">
        <v>917</v>
      </c>
      <c r="B384" s="307">
        <f>Vref/(100*Ifb)</f>
        <v>166666.66666666669</v>
      </c>
      <c r="C384" s="616" t="s">
        <v>118</v>
      </c>
      <c r="D384" s="118" t="s">
        <v>918</v>
      </c>
      <c r="E384" s="69"/>
      <c r="F384" s="61"/>
      <c r="G384" s="61"/>
      <c r="H384" s="61"/>
      <c r="I384" s="62"/>
    </row>
    <row r="385" spans="1:9" x14ac:dyDescent="0.2">
      <c r="A385" s="1"/>
      <c r="B385" s="46"/>
      <c r="C385" s="46"/>
      <c r="E385" s="46"/>
    </row>
    <row r="386" spans="1:9" x14ac:dyDescent="0.2">
      <c r="A386" s="66" t="s">
        <v>203</v>
      </c>
      <c r="B386" s="1"/>
      <c r="C386"/>
    </row>
    <row r="387" spans="1:9" x14ac:dyDescent="0.2">
      <c r="A387" s="66" t="s">
        <v>206</v>
      </c>
      <c r="B387" s="2">
        <v>0</v>
      </c>
      <c r="C387" s="213" t="s">
        <v>118</v>
      </c>
      <c r="D387" s="114" t="s">
        <v>341</v>
      </c>
      <c r="H387" t="e">
        <f>_Don2*RdsonTop+Doff2*RdsonBot+B391*Vin^2*Fsw/2/(((Iripple1/SQRT(3))^2))</f>
        <v>#NAME?</v>
      </c>
    </row>
    <row r="388" spans="1:9" x14ac:dyDescent="0.2">
      <c r="A388" s="66" t="s">
        <v>209</v>
      </c>
      <c r="B388" s="377" t="e">
        <f>0.00000002*Fsw*0.6*4/Iripple1</f>
        <v>#NAME?</v>
      </c>
      <c r="C388" s="46"/>
      <c r="E388" s="46"/>
    </row>
    <row r="389" spans="1:9" x14ac:dyDescent="0.2">
      <c r="A389" s="66" t="s">
        <v>208</v>
      </c>
      <c r="B389" s="377" t="e">
        <f>_Don2*RdsonTop+Doff2*RdsonBot</f>
        <v>#NAME?</v>
      </c>
      <c r="C389" s="46"/>
      <c r="E389" s="46"/>
    </row>
    <row r="390" spans="1:9" x14ac:dyDescent="0.2">
      <c r="A390" s="66" t="s">
        <v>207</v>
      </c>
      <c r="B390" s="377" t="e">
        <f>B391*Vin^2*Fsw/2/(((Iripple1/SQRT(3))^2))</f>
        <v>#NAME?</v>
      </c>
      <c r="C390" s="46"/>
      <c r="E390" s="46"/>
    </row>
    <row r="391" spans="1:9" x14ac:dyDescent="0.2">
      <c r="A391" s="66" t="s">
        <v>210</v>
      </c>
      <c r="B391" s="378">
        <v>5.0000000000000001E-9</v>
      </c>
      <c r="C391" s="46"/>
      <c r="E391" s="46"/>
    </row>
    <row r="392" spans="1:9" x14ac:dyDescent="0.2">
      <c r="A392" s="1"/>
      <c r="B392" s="46"/>
      <c r="C392" s="46"/>
      <c r="E392" s="46"/>
    </row>
    <row r="393" spans="1:9" ht="16.5" thickBot="1" x14ac:dyDescent="0.3">
      <c r="A393" s="94" t="s">
        <v>226</v>
      </c>
    </row>
    <row r="394" spans="1:9" x14ac:dyDescent="0.2">
      <c r="A394" s="91"/>
      <c r="B394" s="63"/>
      <c r="C394" s="297"/>
      <c r="D394" s="63"/>
      <c r="E394" s="63"/>
      <c r="F394" s="63"/>
      <c r="G394" s="63"/>
      <c r="H394" s="63"/>
      <c r="I394" s="64"/>
    </row>
    <row r="395" spans="1:9" x14ac:dyDescent="0.2">
      <c r="A395" s="66" t="s">
        <v>59</v>
      </c>
      <c r="I395" s="57"/>
    </row>
    <row r="396" spans="1:9" x14ac:dyDescent="0.2">
      <c r="A396" s="56" t="s">
        <v>87</v>
      </c>
      <c r="B396" s="29">
        <v>25</v>
      </c>
      <c r="C396" s="114" t="s">
        <v>278</v>
      </c>
      <c r="D396" t="s">
        <v>98</v>
      </c>
      <c r="I396" s="57"/>
    </row>
    <row r="397" spans="1:9" x14ac:dyDescent="0.2">
      <c r="A397" s="66" t="s">
        <v>62</v>
      </c>
      <c r="C397"/>
      <c r="I397" s="57"/>
    </row>
    <row r="398" spans="1:9" x14ac:dyDescent="0.2">
      <c r="A398" s="56" t="s">
        <v>86</v>
      </c>
      <c r="B398" s="59">
        <f>4000/1000000</f>
        <v>4.0000000000000001E-3</v>
      </c>
      <c r="C398" s="114" t="s">
        <v>350</v>
      </c>
      <c r="D398" s="114" t="s">
        <v>654</v>
      </c>
      <c r="I398" s="57"/>
    </row>
    <row r="399" spans="1:9" ht="15.75" x14ac:dyDescent="0.3">
      <c r="A399" s="211" t="s">
        <v>651</v>
      </c>
      <c r="B399" s="59">
        <v>20</v>
      </c>
      <c r="C399" s="114" t="s">
        <v>237</v>
      </c>
      <c r="D399" s="114" t="s">
        <v>652</v>
      </c>
      <c r="I399" s="57"/>
    </row>
    <row r="400" spans="1:9" x14ac:dyDescent="0.2">
      <c r="A400" s="56" t="s">
        <v>89</v>
      </c>
      <c r="B400" s="29">
        <f>RCinEsr</f>
        <v>2E-3</v>
      </c>
      <c r="C400" s="213" t="s">
        <v>118</v>
      </c>
      <c r="D400" s="114" t="s">
        <v>653</v>
      </c>
      <c r="I400" s="57"/>
    </row>
    <row r="401" spans="1:14" x14ac:dyDescent="0.2">
      <c r="A401" s="65" t="s">
        <v>162</v>
      </c>
      <c r="C401"/>
      <c r="I401" s="57"/>
    </row>
    <row r="402" spans="1:14" x14ac:dyDescent="0.2">
      <c r="A402" s="211" t="s">
        <v>648</v>
      </c>
      <c r="B402" s="59">
        <f>7.5</f>
        <v>7.5</v>
      </c>
      <c r="C402" t="s">
        <v>0</v>
      </c>
      <c r="D402" s="356" t="s">
        <v>650</v>
      </c>
      <c r="I402" s="57"/>
    </row>
    <row r="403" spans="1:14" x14ac:dyDescent="0.2">
      <c r="A403" s="66" t="s">
        <v>114</v>
      </c>
      <c r="C403"/>
      <c r="I403" s="57"/>
    </row>
    <row r="404" spans="1:14" x14ac:dyDescent="0.2">
      <c r="A404" s="56" t="s">
        <v>65</v>
      </c>
      <c r="B404" s="59">
        <v>1.5</v>
      </c>
      <c r="C404" s="213" t="s">
        <v>118</v>
      </c>
      <c r="D404" s="114" t="s">
        <v>523</v>
      </c>
      <c r="I404" s="57"/>
    </row>
    <row r="405" spans="1:14" x14ac:dyDescent="0.2">
      <c r="A405" s="56" t="s">
        <v>148</v>
      </c>
      <c r="B405" s="59">
        <v>1</v>
      </c>
      <c r="C405" s="213" t="s">
        <v>118</v>
      </c>
      <c r="D405" s="114" t="s">
        <v>524</v>
      </c>
      <c r="I405" s="57"/>
    </row>
    <row r="406" spans="1:14" x14ac:dyDescent="0.2">
      <c r="A406" s="66" t="s">
        <v>115</v>
      </c>
      <c r="C406"/>
      <c r="I406" s="57"/>
    </row>
    <row r="407" spans="1:14" x14ac:dyDescent="0.2">
      <c r="A407" s="56" t="s">
        <v>64</v>
      </c>
      <c r="B407" s="108">
        <v>1.5</v>
      </c>
      <c r="C407" s="213" t="s">
        <v>118</v>
      </c>
      <c r="D407" s="114" t="s">
        <v>525</v>
      </c>
      <c r="I407" s="57"/>
    </row>
    <row r="408" spans="1:14" x14ac:dyDescent="0.2">
      <c r="A408" s="56" t="s">
        <v>147</v>
      </c>
      <c r="B408" s="59">
        <v>1</v>
      </c>
      <c r="C408" s="213" t="s">
        <v>118</v>
      </c>
      <c r="D408" s="114" t="s">
        <v>526</v>
      </c>
      <c r="I408" s="57"/>
    </row>
    <row r="409" spans="1:14" x14ac:dyDescent="0.2">
      <c r="A409" s="721" t="s">
        <v>1291</v>
      </c>
      <c r="B409" s="59" t="b">
        <f>OR(Device="LM51772-Q1",'CFG Setting'!F116&lt;&gt;0)</f>
        <v>0</v>
      </c>
      <c r="C409" s="213"/>
      <c r="D409" s="114"/>
      <c r="I409" s="57"/>
    </row>
    <row r="410" spans="1:14" x14ac:dyDescent="0.2">
      <c r="A410" s="721" t="s">
        <v>1292</v>
      </c>
      <c r="B410" s="59" t="b">
        <f>'CFG Setting'!E116&lt;&gt;0</f>
        <v>0</v>
      </c>
      <c r="C410" s="213"/>
      <c r="D410" s="114"/>
      <c r="I410" s="57"/>
    </row>
    <row r="411" spans="1:14" x14ac:dyDescent="0.2">
      <c r="A411" s="66" t="s">
        <v>66</v>
      </c>
      <c r="C411"/>
      <c r="I411" s="57"/>
      <c r="K411" s="114" t="s">
        <v>1280</v>
      </c>
    </row>
    <row r="412" spans="1:14" x14ac:dyDescent="0.2">
      <c r="A412" s="56" t="s">
        <v>66</v>
      </c>
      <c r="B412" s="614">
        <f>N414*0.000000001</f>
        <v>4.0095238095238094E-8</v>
      </c>
      <c r="C412" t="s">
        <v>161</v>
      </c>
      <c r="D412" t="s">
        <v>100</v>
      </c>
      <c r="G412" s="356" t="s">
        <v>869</v>
      </c>
      <c r="I412" s="57"/>
      <c r="K412">
        <v>100</v>
      </c>
      <c r="L412">
        <f>IF(Scale_DT,23,42)</f>
        <v>42</v>
      </c>
      <c r="M412" s="114" t="s">
        <v>1281</v>
      </c>
      <c r="N412">
        <f>(L413-L412)/(K413-K412)</f>
        <v>-3.8095238095238095E-3</v>
      </c>
    </row>
    <row r="413" spans="1:14" x14ac:dyDescent="0.2">
      <c r="A413" s="66" t="s">
        <v>56</v>
      </c>
      <c r="C413"/>
      <c r="I413" s="57"/>
      <c r="K413">
        <v>2200</v>
      </c>
      <c r="L413">
        <f>L412-8</f>
        <v>34</v>
      </c>
      <c r="M413" s="114" t="s">
        <v>1282</v>
      </c>
      <c r="N413">
        <f>L412-(N412*K412)</f>
        <v>42.38095238095238</v>
      </c>
    </row>
    <row r="414" spans="1:14" x14ac:dyDescent="0.2">
      <c r="A414" s="56" t="s">
        <v>156</v>
      </c>
      <c r="B414" s="59">
        <v>3.0000000000000001E-3</v>
      </c>
      <c r="C414" t="s">
        <v>2</v>
      </c>
      <c r="D414" s="114" t="s">
        <v>870</v>
      </c>
      <c r="I414" s="57"/>
      <c r="N414">
        <f>IF(Const_DT,L412,N412*Fsw/1000+N413)</f>
        <v>40.095238095238095</v>
      </c>
    </row>
    <row r="415" spans="1:14" x14ac:dyDescent="0.2">
      <c r="A415" s="56"/>
      <c r="C415"/>
      <c r="I415" s="57"/>
    </row>
    <row r="416" spans="1:14" x14ac:dyDescent="0.2">
      <c r="A416" s="66" t="s">
        <v>712</v>
      </c>
      <c r="B416" s="2" t="s">
        <v>731</v>
      </c>
      <c r="C416"/>
      <c r="D416" s="2" t="s">
        <v>732</v>
      </c>
      <c r="I416" s="57"/>
    </row>
    <row r="417" spans="1:9" x14ac:dyDescent="0.2">
      <c r="A417" s="211" t="s">
        <v>733</v>
      </c>
      <c r="B417" s="29">
        <f>'Design Converter'!E99/1000</f>
        <v>4.2000000000000006E-3</v>
      </c>
      <c r="C417" s="213" t="s">
        <v>118</v>
      </c>
      <c r="D417" s="29">
        <f>'Design Converter'!F99/1000</f>
        <v>4.2000000000000006E-3</v>
      </c>
      <c r="E417" s="213" t="s">
        <v>118</v>
      </c>
      <c r="F417" s="114" t="s">
        <v>719</v>
      </c>
      <c r="I417" s="57"/>
    </row>
    <row r="418" spans="1:9" x14ac:dyDescent="0.2">
      <c r="A418" s="56" t="s">
        <v>83</v>
      </c>
      <c r="B418" s="59">
        <f>4000/1000000</f>
        <v>4.0000000000000001E-3</v>
      </c>
      <c r="C418" s="114" t="s">
        <v>350</v>
      </c>
      <c r="E418" s="114"/>
      <c r="F418" s="114" t="s">
        <v>527</v>
      </c>
      <c r="I418" s="57"/>
    </row>
    <row r="419" spans="1:9" x14ac:dyDescent="0.2">
      <c r="A419" s="211" t="s">
        <v>130</v>
      </c>
      <c r="B419" s="70">
        <f>'Design Converter'!E100/1000000000</f>
        <v>2.7E-8</v>
      </c>
      <c r="C419" t="s">
        <v>163</v>
      </c>
      <c r="D419" s="70">
        <f>'Design Converter'!F100/1000000000</f>
        <v>2.7E-8</v>
      </c>
      <c r="E419" t="s">
        <v>163</v>
      </c>
      <c r="F419" s="114" t="s">
        <v>707</v>
      </c>
      <c r="I419" s="57"/>
    </row>
    <row r="420" spans="1:9" x14ac:dyDescent="0.2">
      <c r="A420" s="211" t="s">
        <v>734</v>
      </c>
      <c r="B420" s="70">
        <f>'Design Converter'!E101/1000000000</f>
        <v>6.2000000000000001E-9</v>
      </c>
      <c r="C420" t="s">
        <v>163</v>
      </c>
      <c r="D420" s="70">
        <f>'Design Converter'!F101/1000000000</f>
        <v>6.2000000000000001E-9</v>
      </c>
      <c r="E420" t="s">
        <v>163</v>
      </c>
      <c r="F420" t="s">
        <v>129</v>
      </c>
      <c r="I420" s="57"/>
    </row>
    <row r="421" spans="1:9" x14ac:dyDescent="0.2">
      <c r="A421" s="211" t="s">
        <v>735</v>
      </c>
      <c r="B421" s="70">
        <f>'Design Converter'!E102/1000000000</f>
        <v>6.2000000000000001E-9</v>
      </c>
      <c r="C421" t="s">
        <v>163</v>
      </c>
      <c r="D421" s="70">
        <f>'Design Converter'!F102/1000000000</f>
        <v>6.2000000000000001E-9</v>
      </c>
      <c r="E421" t="s">
        <v>163</v>
      </c>
      <c r="I421" s="57"/>
    </row>
    <row r="422" spans="1:9" x14ac:dyDescent="0.2">
      <c r="A422" s="211" t="s">
        <v>736</v>
      </c>
      <c r="B422" s="29">
        <f>'Design Converter'!E103</f>
        <v>4.7</v>
      </c>
      <c r="C422" s="213" t="s">
        <v>118</v>
      </c>
      <c r="D422" s="29">
        <f>'Design Converter'!F103</f>
        <v>4.7</v>
      </c>
      <c r="E422" s="213" t="s">
        <v>118</v>
      </c>
      <c r="F422" t="s">
        <v>102</v>
      </c>
      <c r="I422" s="57"/>
    </row>
    <row r="423" spans="1:9" x14ac:dyDescent="0.2">
      <c r="A423" s="211" t="s">
        <v>737</v>
      </c>
      <c r="B423" s="29">
        <f>'Design Converter'!E104</f>
        <v>80</v>
      </c>
      <c r="C423" t="s">
        <v>70</v>
      </c>
      <c r="D423" s="29">
        <f>'Design Converter'!F104</f>
        <v>80</v>
      </c>
      <c r="E423" t="s">
        <v>70</v>
      </c>
      <c r="F423" s="114" t="s">
        <v>718</v>
      </c>
      <c r="I423" s="57"/>
    </row>
    <row r="424" spans="1:9" x14ac:dyDescent="0.2">
      <c r="A424" s="211" t="s">
        <v>738</v>
      </c>
      <c r="B424" s="29">
        <f>'Design Converter'!E105</f>
        <v>2.2999999999999998</v>
      </c>
      <c r="C424" t="s">
        <v>0</v>
      </c>
      <c r="D424" s="29">
        <f>'Design Converter'!F105</f>
        <v>2.2999999999999998</v>
      </c>
      <c r="E424" t="s">
        <v>0</v>
      </c>
      <c r="F424" s="114" t="s">
        <v>720</v>
      </c>
      <c r="I424" s="57"/>
    </row>
    <row r="425" spans="1:9" x14ac:dyDescent="0.2">
      <c r="A425" s="211" t="s">
        <v>739</v>
      </c>
      <c r="B425" s="383">
        <f>Vth_Q1+Iout/Gfs_Q1</f>
        <v>2.4499999999999997</v>
      </c>
      <c r="C425" t="s">
        <v>0</v>
      </c>
      <c r="D425" s="383">
        <f>Vth_Q2+Iout/Gfs_Q2</f>
        <v>2.4499999999999997</v>
      </c>
      <c r="E425" t="s">
        <v>0</v>
      </c>
      <c r="F425" s="114" t="s">
        <v>721</v>
      </c>
      <c r="I425" s="57"/>
    </row>
    <row r="426" spans="1:9" x14ac:dyDescent="0.2">
      <c r="A426" s="56"/>
      <c r="C426"/>
      <c r="F426" s="114"/>
      <c r="I426" s="57"/>
    </row>
    <row r="427" spans="1:9" x14ac:dyDescent="0.2">
      <c r="A427" s="211" t="s">
        <v>742</v>
      </c>
      <c r="B427" s="29">
        <f>'Design Converter'!E106</f>
        <v>1</v>
      </c>
      <c r="C427" t="s">
        <v>0</v>
      </c>
      <c r="D427" s="29">
        <f>'Design Converter'!F106</f>
        <v>1</v>
      </c>
      <c r="E427" t="s">
        <v>0</v>
      </c>
      <c r="F427" s="114" t="s">
        <v>740</v>
      </c>
      <c r="I427" s="57"/>
    </row>
    <row r="428" spans="1:9" x14ac:dyDescent="0.2">
      <c r="A428" s="211" t="s">
        <v>669</v>
      </c>
      <c r="B428" s="70">
        <f>'Design Converter'!E107/1000000000</f>
        <v>0</v>
      </c>
      <c r="C428" t="s">
        <v>163</v>
      </c>
      <c r="D428" s="70">
        <f>'Design Converter'!F107/1000000000</f>
        <v>2E-8</v>
      </c>
      <c r="E428" t="s">
        <v>163</v>
      </c>
      <c r="F428" t="s">
        <v>112</v>
      </c>
      <c r="I428" s="57"/>
    </row>
    <row r="429" spans="1:9" x14ac:dyDescent="0.2">
      <c r="A429" s="211" t="s">
        <v>670</v>
      </c>
      <c r="B429" s="70">
        <v>4.0000000000000001E-8</v>
      </c>
      <c r="C429" t="s">
        <v>161</v>
      </c>
      <c r="D429" s="70">
        <v>4.0000000000000001E-8</v>
      </c>
      <c r="E429" t="s">
        <v>161</v>
      </c>
      <c r="F429" t="s">
        <v>108</v>
      </c>
      <c r="I429" s="57"/>
    </row>
    <row r="430" spans="1:9" x14ac:dyDescent="0.2">
      <c r="A430" s="211" t="s">
        <v>838</v>
      </c>
      <c r="B430" s="29">
        <f>'Design Converter'!E108</f>
        <v>60</v>
      </c>
      <c r="C430" s="114" t="s">
        <v>237</v>
      </c>
      <c r="D430" s="29">
        <f>'Design Converter'!F108</f>
        <v>60</v>
      </c>
      <c r="E430" s="114" t="s">
        <v>237</v>
      </c>
      <c r="F430" t="s">
        <v>105</v>
      </c>
      <c r="I430" s="57"/>
    </row>
    <row r="431" spans="1:9" x14ac:dyDescent="0.2">
      <c r="A431" s="211"/>
      <c r="B431" s="29"/>
      <c r="C431" s="114"/>
      <c r="D431" s="29"/>
      <c r="E431" s="114"/>
      <c r="I431" s="57"/>
    </row>
    <row r="432" spans="1:9" x14ac:dyDescent="0.2">
      <c r="A432" s="211"/>
      <c r="B432" s="114"/>
      <c r="C432" s="114"/>
      <c r="D432" s="114"/>
      <c r="E432" s="114"/>
      <c r="I432" s="57"/>
    </row>
    <row r="433" spans="1:9" x14ac:dyDescent="0.2">
      <c r="A433" s="66" t="s">
        <v>711</v>
      </c>
      <c r="B433" s="2" t="s">
        <v>729</v>
      </c>
      <c r="C433"/>
      <c r="D433" s="2" t="s">
        <v>730</v>
      </c>
      <c r="I433" s="57"/>
    </row>
    <row r="434" spans="1:9" x14ac:dyDescent="0.2">
      <c r="A434" s="211" t="s">
        <v>733</v>
      </c>
      <c r="B434" s="29">
        <f>'Design Converter'!E112/1000</f>
        <v>4.2000000000000006E-3</v>
      </c>
      <c r="C434" s="213" t="s">
        <v>118</v>
      </c>
      <c r="D434" s="29">
        <f>'Design Converter'!F112/1000</f>
        <v>4.2000000000000006E-3</v>
      </c>
      <c r="E434" s="213" t="s">
        <v>118</v>
      </c>
      <c r="F434" s="114" t="s">
        <v>713</v>
      </c>
      <c r="I434" s="57"/>
    </row>
    <row r="435" spans="1:9" x14ac:dyDescent="0.2">
      <c r="A435" s="56" t="s">
        <v>84</v>
      </c>
      <c r="B435" s="312">
        <f>4000/1000000</f>
        <v>4.0000000000000001E-3</v>
      </c>
      <c r="C435" s="114" t="s">
        <v>350</v>
      </c>
      <c r="E435" s="114"/>
      <c r="F435" s="114" t="s">
        <v>527</v>
      </c>
      <c r="I435" s="57"/>
    </row>
    <row r="436" spans="1:9" x14ac:dyDescent="0.2">
      <c r="A436" s="211" t="s">
        <v>130</v>
      </c>
      <c r="B436" s="70">
        <f>'Design Converter'!E113/1000000000</f>
        <v>2.7E-8</v>
      </c>
      <c r="C436" t="s">
        <v>163</v>
      </c>
      <c r="D436" s="70">
        <f>'Design Converter'!F113/1000000000</f>
        <v>2.7E-8</v>
      </c>
      <c r="E436" t="s">
        <v>163</v>
      </c>
      <c r="F436" s="114" t="s">
        <v>714</v>
      </c>
      <c r="I436" s="57"/>
    </row>
    <row r="437" spans="1:9" x14ac:dyDescent="0.2">
      <c r="A437" s="211" t="s">
        <v>734</v>
      </c>
      <c r="B437" s="70">
        <f>'Design Converter'!E114/1000000000</f>
        <v>6.2000000000000001E-9</v>
      </c>
      <c r="C437" t="s">
        <v>163</v>
      </c>
      <c r="D437" s="70">
        <f>'Design Converter'!F114/1000000000</f>
        <v>6.2000000000000001E-9</v>
      </c>
      <c r="E437" t="s">
        <v>163</v>
      </c>
      <c r="F437" t="s">
        <v>129</v>
      </c>
      <c r="I437" s="57"/>
    </row>
    <row r="438" spans="1:9" x14ac:dyDescent="0.2">
      <c r="A438" s="211" t="s">
        <v>735</v>
      </c>
      <c r="B438" s="70">
        <f>'Design Converter'!E115/1000000000</f>
        <v>6.2000000000000001E-9</v>
      </c>
      <c r="C438" t="s">
        <v>163</v>
      </c>
      <c r="D438" s="70">
        <f>'Design Converter'!F115/1000000000</f>
        <v>6.2000000000000001E-9</v>
      </c>
      <c r="E438" t="s">
        <v>163</v>
      </c>
      <c r="I438" s="57"/>
    </row>
    <row r="439" spans="1:9" x14ac:dyDescent="0.2">
      <c r="A439" s="211" t="s">
        <v>736</v>
      </c>
      <c r="B439" s="70">
        <f>'Design Converter'!E116</f>
        <v>4.7</v>
      </c>
      <c r="C439" s="213" t="s">
        <v>118</v>
      </c>
      <c r="D439" s="70">
        <f>'Design Converter'!F116</f>
        <v>4.7</v>
      </c>
      <c r="E439" s="213" t="s">
        <v>118</v>
      </c>
      <c r="F439" t="s">
        <v>102</v>
      </c>
      <c r="I439" s="57"/>
    </row>
    <row r="440" spans="1:9" x14ac:dyDescent="0.2">
      <c r="A440" s="211" t="s">
        <v>737</v>
      </c>
      <c r="B440" s="29">
        <f>'Design Converter'!E117</f>
        <v>80</v>
      </c>
      <c r="C440" t="s">
        <v>70</v>
      </c>
      <c r="D440" s="29">
        <f>'Design Converter'!F117</f>
        <v>80</v>
      </c>
      <c r="E440" t="s">
        <v>70</v>
      </c>
      <c r="F440" s="114" t="s">
        <v>715</v>
      </c>
      <c r="I440" s="57"/>
    </row>
    <row r="441" spans="1:9" x14ac:dyDescent="0.2">
      <c r="A441" s="211" t="s">
        <v>738</v>
      </c>
      <c r="B441" s="29">
        <f>'Design Converter'!E118</f>
        <v>2.2999999999999998</v>
      </c>
      <c r="C441" t="s">
        <v>0</v>
      </c>
      <c r="D441" s="29">
        <f>'Design Converter'!F118</f>
        <v>2.2999999999999998</v>
      </c>
      <c r="E441" t="s">
        <v>0</v>
      </c>
      <c r="F441" s="114" t="s">
        <v>716</v>
      </c>
      <c r="I441" s="57"/>
    </row>
    <row r="442" spans="1:9" x14ac:dyDescent="0.2">
      <c r="A442" s="211" t="s">
        <v>739</v>
      </c>
      <c r="B442" s="383">
        <f>Vth_Q3+Iin_Vinnom/Gfs_Q3</f>
        <v>2.3976806422836749</v>
      </c>
      <c r="C442" t="s">
        <v>0</v>
      </c>
      <c r="D442" s="383">
        <f>Vth_Q4+Iin_Vinnom/Gfs_Q4</f>
        <v>2.3976806422836749</v>
      </c>
      <c r="E442" t="s">
        <v>0</v>
      </c>
      <c r="F442" s="114" t="s">
        <v>717</v>
      </c>
      <c r="I442" s="57"/>
    </row>
    <row r="443" spans="1:9" x14ac:dyDescent="0.2">
      <c r="E443" s="2"/>
      <c r="I443" s="57"/>
    </row>
    <row r="444" spans="1:9" x14ac:dyDescent="0.2">
      <c r="A444" s="211" t="s">
        <v>741</v>
      </c>
      <c r="B444" s="29">
        <f>'Design Converter'!E119</f>
        <v>1</v>
      </c>
      <c r="C444" t="s">
        <v>0</v>
      </c>
      <c r="D444" s="29">
        <f>'Design Converter'!F119</f>
        <v>1</v>
      </c>
      <c r="E444" t="s">
        <v>0</v>
      </c>
      <c r="F444" s="114" t="s">
        <v>528</v>
      </c>
      <c r="I444" s="57"/>
    </row>
    <row r="445" spans="1:9" x14ac:dyDescent="0.2">
      <c r="A445" s="56" t="s">
        <v>77</v>
      </c>
      <c r="B445" s="70">
        <f>'Design Converter'!E120/1000000000</f>
        <v>2E-8</v>
      </c>
      <c r="C445" t="s">
        <v>163</v>
      </c>
      <c r="D445" s="70">
        <f>'Design Converter'!F120/1000000000</f>
        <v>0</v>
      </c>
      <c r="E445" t="s">
        <v>163</v>
      </c>
      <c r="F445" t="s">
        <v>112</v>
      </c>
      <c r="I445" s="57"/>
    </row>
    <row r="446" spans="1:9" x14ac:dyDescent="0.2">
      <c r="A446" s="56" t="s">
        <v>78</v>
      </c>
      <c r="B446" s="70">
        <v>4.0000000000000001E-8</v>
      </c>
      <c r="C446" t="s">
        <v>161</v>
      </c>
      <c r="D446" s="70">
        <v>4.0000000000000001E-8</v>
      </c>
      <c r="E446" t="s">
        <v>161</v>
      </c>
      <c r="F446" t="s">
        <v>108</v>
      </c>
      <c r="I446" s="57"/>
    </row>
    <row r="447" spans="1:9" x14ac:dyDescent="0.2">
      <c r="A447" s="211" t="s">
        <v>839</v>
      </c>
      <c r="B447" s="29">
        <f>'Design Converter'!E121</f>
        <v>60</v>
      </c>
      <c r="C447" s="114" t="s">
        <v>237</v>
      </c>
      <c r="D447" s="29">
        <f>'Design Converter'!F121</f>
        <v>60</v>
      </c>
      <c r="E447" s="114" t="s">
        <v>237</v>
      </c>
      <c r="F447" t="s">
        <v>105</v>
      </c>
      <c r="I447" s="57"/>
    </row>
    <row r="448" spans="1:9" x14ac:dyDescent="0.2">
      <c r="A448" s="211"/>
      <c r="B448" s="29"/>
      <c r="C448" s="114"/>
      <c r="D448" s="29"/>
      <c r="E448" s="114"/>
      <c r="I448" s="57"/>
    </row>
    <row r="449" spans="1:9" x14ac:dyDescent="0.2">
      <c r="A449" s="66" t="s">
        <v>710</v>
      </c>
      <c r="B449" s="488" t="s">
        <v>709</v>
      </c>
      <c r="D449" s="488" t="s">
        <v>708</v>
      </c>
      <c r="I449" s="57"/>
    </row>
    <row r="450" spans="1:9" x14ac:dyDescent="0.2">
      <c r="A450" s="56" t="s">
        <v>228</v>
      </c>
      <c r="B450" s="29">
        <f>'Design Converter'!E124</f>
        <v>0</v>
      </c>
      <c r="C450" t="s">
        <v>0</v>
      </c>
      <c r="D450" s="29">
        <f>'Design Converter'!F124</f>
        <v>0</v>
      </c>
      <c r="E450" t="s">
        <v>0</v>
      </c>
      <c r="F450" t="s">
        <v>231</v>
      </c>
      <c r="I450" s="57"/>
    </row>
    <row r="451" spans="1:9" x14ac:dyDescent="0.2">
      <c r="A451" s="56" t="s">
        <v>229</v>
      </c>
      <c r="B451" s="70">
        <f>'Design Converter'!E125/1000000000</f>
        <v>0</v>
      </c>
      <c r="C451" t="s">
        <v>163</v>
      </c>
      <c r="D451" s="70">
        <f>'Design Converter'!F125/1000000000</f>
        <v>0</v>
      </c>
      <c r="E451" t="s">
        <v>163</v>
      </c>
      <c r="F451" t="s">
        <v>232</v>
      </c>
      <c r="I451" s="57"/>
    </row>
    <row r="452" spans="1:9" x14ac:dyDescent="0.2">
      <c r="A452" s="56" t="s">
        <v>230</v>
      </c>
      <c r="B452" s="29">
        <v>0</v>
      </c>
      <c r="C452" t="s">
        <v>2</v>
      </c>
      <c r="D452" s="29">
        <v>0</v>
      </c>
      <c r="E452" t="s">
        <v>2</v>
      </c>
      <c r="F452" t="s">
        <v>233</v>
      </c>
      <c r="I452" s="57"/>
    </row>
    <row r="453" spans="1:9" x14ac:dyDescent="0.2">
      <c r="A453" s="56"/>
      <c r="C453"/>
      <c r="I453" s="57"/>
    </row>
    <row r="454" spans="1:9" x14ac:dyDescent="0.2">
      <c r="A454" s="66" t="s">
        <v>119</v>
      </c>
      <c r="C454"/>
      <c r="I454" s="57"/>
    </row>
    <row r="455" spans="1:9" x14ac:dyDescent="0.2">
      <c r="A455" s="211" t="s">
        <v>645</v>
      </c>
      <c r="B455" s="29">
        <v>30.5</v>
      </c>
      <c r="C455" s="114" t="s">
        <v>237</v>
      </c>
      <c r="D455" s="114"/>
      <c r="E455" s="114"/>
      <c r="F455" t="s">
        <v>649</v>
      </c>
      <c r="I455" s="57"/>
    </row>
    <row r="456" spans="1:9" x14ac:dyDescent="0.2">
      <c r="A456" s="66" t="s">
        <v>81</v>
      </c>
      <c r="C456"/>
      <c r="I456" s="57"/>
    </row>
    <row r="457" spans="1:9" x14ac:dyDescent="0.2">
      <c r="A457" s="211" t="s">
        <v>63</v>
      </c>
      <c r="C457"/>
      <c r="I457" s="57"/>
    </row>
    <row r="458" spans="1:9" x14ac:dyDescent="0.2">
      <c r="A458" s="56" t="s">
        <v>91</v>
      </c>
      <c r="B458" s="67">
        <f>(Qgd_Q1+Qgs_Q1/2)*(RdsonDRT+Rgate1)/(Vdd-Vsp_Q1)</f>
        <v>1.1417821782178218E-8</v>
      </c>
      <c r="C458" t="s">
        <v>161</v>
      </c>
      <c r="D458" s="67">
        <f>(Qgd_Q4+Qgs_Q4/2)*(RdsonDRT+Rgate4)/(Vdd-Vsp_Q4)</f>
        <v>1.1300743045963949E-8</v>
      </c>
      <c r="E458" t="s">
        <v>161</v>
      </c>
      <c r="I458" s="57"/>
    </row>
    <row r="459" spans="1:9" x14ac:dyDescent="0.2">
      <c r="A459" s="56" t="s">
        <v>92</v>
      </c>
      <c r="B459" s="67">
        <f>(Qgd_Q1+Qgs_Q1/2)*(RdsonDRT2+Rgate1)/(Vsp_Q1)</f>
        <v>2.1636734693877553E-8</v>
      </c>
      <c r="C459" t="s">
        <v>161</v>
      </c>
      <c r="D459" s="67">
        <f>(Qgd_Q4+Qgs_Q4/2)*(RdsonDRT2+Rgate4)/(Vsp_Q4)</f>
        <v>2.2108865987052612E-8</v>
      </c>
      <c r="E459" t="s">
        <v>161</v>
      </c>
      <c r="I459" s="57"/>
    </row>
    <row r="460" spans="1:9" x14ac:dyDescent="0.2">
      <c r="A460" s="56"/>
      <c r="C460"/>
      <c r="I460" s="57"/>
    </row>
    <row r="461" spans="1:9" x14ac:dyDescent="0.2">
      <c r="A461" s="66" t="s">
        <v>539</v>
      </c>
      <c r="B461" s="2" t="s">
        <v>8</v>
      </c>
      <c r="C461" s="2" t="s">
        <v>80</v>
      </c>
      <c r="I461" s="57"/>
    </row>
    <row r="462" spans="1:9" x14ac:dyDescent="0.2">
      <c r="A462" s="58" t="s">
        <v>117</v>
      </c>
      <c r="B462" s="3" t="e">
        <f>#REF!</f>
        <v>#REF!</v>
      </c>
      <c r="C462" s="3" t="s">
        <v>118</v>
      </c>
      <c r="I462" s="57"/>
    </row>
    <row r="463" spans="1:9" x14ac:dyDescent="0.2">
      <c r="A463" s="58" t="s">
        <v>121</v>
      </c>
      <c r="B463" s="42" t="e">
        <f>B462*ThetaJaCtrl</f>
        <v>#REF!</v>
      </c>
      <c r="C463" s="114" t="s">
        <v>278</v>
      </c>
      <c r="I463" s="57"/>
    </row>
    <row r="464" spans="1:9" x14ac:dyDescent="0.2">
      <c r="A464" s="58" t="s">
        <v>242</v>
      </c>
      <c r="B464" s="42">
        <f>(Qg_Q1+Qg_Q2)*Fsw+Iq</f>
        <v>3.5400000000000001E-2</v>
      </c>
      <c r="C464" t="s">
        <v>2</v>
      </c>
      <c r="I464" s="57"/>
    </row>
    <row r="465" spans="1:9" x14ac:dyDescent="0.2">
      <c r="A465" s="58" t="s">
        <v>243</v>
      </c>
      <c r="B465">
        <f>Qrr_Q2*Fsw</f>
        <v>1.2E-2</v>
      </c>
      <c r="C465" t="s">
        <v>2</v>
      </c>
      <c r="I465" s="57"/>
    </row>
    <row r="466" spans="1:9" x14ac:dyDescent="0.2">
      <c r="A466" s="58" t="s">
        <v>244</v>
      </c>
      <c r="B466" t="e">
        <f>C466/Vin</f>
        <v>#NAME?</v>
      </c>
      <c r="C466" t="e">
        <f>Deadtime*Fsw*(Ipp/2)*(Vsd_Q1+Vsd_Q2)</f>
        <v>#NAME?</v>
      </c>
      <c r="I466" s="57"/>
    </row>
    <row r="467" spans="1:9" x14ac:dyDescent="0.2">
      <c r="A467" s="58" t="s">
        <v>246</v>
      </c>
      <c r="B467" t="e">
        <f>SUM(B464:B466)</f>
        <v>#NAME?</v>
      </c>
      <c r="C467" t="s">
        <v>2</v>
      </c>
      <c r="I467" s="57"/>
    </row>
    <row r="468" spans="1:9" x14ac:dyDescent="0.2">
      <c r="A468" s="56"/>
      <c r="I468" s="57"/>
    </row>
    <row r="469" spans="1:9" x14ac:dyDescent="0.2">
      <c r="A469" s="66" t="s">
        <v>580</v>
      </c>
      <c r="I469" s="57"/>
    </row>
    <row r="470" spans="1:9" x14ac:dyDescent="0.2">
      <c r="A470" s="56" t="s">
        <v>116</v>
      </c>
      <c r="I470" s="57"/>
    </row>
    <row r="471" spans="1:9" ht="13.5" thickBot="1" x14ac:dyDescent="0.25">
      <c r="A471" s="60" t="s">
        <v>117</v>
      </c>
      <c r="B471" s="61"/>
      <c r="C471" s="298"/>
      <c r="D471" s="61"/>
      <c r="E471" s="61"/>
      <c r="F471" s="61"/>
      <c r="G471" s="61"/>
      <c r="H471" s="61"/>
      <c r="I471" s="62"/>
    </row>
    <row r="472" spans="1:9" x14ac:dyDescent="0.2">
      <c r="A472" s="1"/>
      <c r="B472" s="1"/>
      <c r="C472" s="1"/>
    </row>
    <row r="473" spans="1:9" ht="21.75" customHeight="1" thickBot="1" x14ac:dyDescent="0.3">
      <c r="A473" s="90" t="s">
        <v>238</v>
      </c>
    </row>
    <row r="474" spans="1:9" x14ac:dyDescent="0.2">
      <c r="A474" s="91" t="str">
        <f>"RC1 = "&amp;'Design Converter'!E90&amp;"kΩ"</f>
        <v>RC1 = 100kΩ</v>
      </c>
      <c r="B474" s="63" t="str">
        <f>'Design Converter'!E90&amp;"kΩ"</f>
        <v>100kΩ</v>
      </c>
      <c r="C474" s="297"/>
      <c r="D474" s="63"/>
      <c r="E474" s="63"/>
      <c r="F474" s="63"/>
      <c r="G474" s="63"/>
      <c r="H474" s="63"/>
      <c r="I474" s="64"/>
    </row>
    <row r="475" spans="1:9" x14ac:dyDescent="0.2">
      <c r="A475" s="56" t="str">
        <f>"RUV1 = "&amp;'Design Converter'!E67&amp;"kΩ"</f>
        <v>RUV1 = N/AkΩ</v>
      </c>
      <c r="B475" t="str">
        <f>'Design Converter'!E67&amp;"kΩ"</f>
        <v>N/AkΩ</v>
      </c>
      <c r="I475" s="57"/>
    </row>
    <row r="476" spans="1:9" x14ac:dyDescent="0.2">
      <c r="A476" s="56" t="str">
        <f>"RUV2 = "&amp;'Design Converter'!E68&amp;"kΩ"</f>
        <v>RUV2 = N/AkΩ</v>
      </c>
      <c r="B476" t="str">
        <f>'Design Converter'!E68&amp;"kΩ"</f>
        <v>N/AkΩ</v>
      </c>
      <c r="I476" s="57"/>
    </row>
    <row r="477" spans="1:9" x14ac:dyDescent="0.2">
      <c r="A477" s="56" t="str">
        <f>"LF = "&amp;'Design Converter'!E18&amp;"µH"</f>
        <v>LF = 2.64µH</v>
      </c>
      <c r="B477" t="str">
        <f>'Design Converter'!E18&amp;"µH"</f>
        <v>2.64µH</v>
      </c>
      <c r="I477" s="57"/>
    </row>
    <row r="478" spans="1:9" x14ac:dyDescent="0.2">
      <c r="A478" s="56" t="str">
        <f>"Rdcr = "&amp;Rdcr*1000&amp;"mΩ"</f>
        <v>Rdcr = 5.8mΩ</v>
      </c>
      <c r="B478" t="str">
        <f>Rdcr*1000&amp;"mΩ"</f>
        <v>5.8mΩ</v>
      </c>
      <c r="I478" s="57"/>
    </row>
    <row r="479" spans="1:9" x14ac:dyDescent="0.2">
      <c r="A479" s="56" t="str">
        <f>"Rs = "&amp;'Design Converter'!E32&amp;"mΩ"</f>
        <v>Rs = 2.5mΩ</v>
      </c>
      <c r="B479" t="str">
        <f>'Design Converter'!E32&amp;"mΩ"</f>
        <v>2.5mΩ</v>
      </c>
      <c r="I479" s="57"/>
    </row>
    <row r="480" spans="1:9" x14ac:dyDescent="0.2">
      <c r="A480" s="56" t="e">
        <f>"Rshunt = "&amp;ROUND('Design Converter'!#REF!,1)&amp;"mΩ"</f>
        <v>#REF!</v>
      </c>
      <c r="B480" t="e">
        <f>ROUND('Design Converter'!#REF!,1)&amp;"mΩ"</f>
        <v>#REF!</v>
      </c>
      <c r="I480" s="57"/>
    </row>
    <row r="481" spans="1:9" x14ac:dyDescent="0.2">
      <c r="A481" s="56"/>
      <c r="I481" s="57"/>
    </row>
    <row r="482" spans="1:9" x14ac:dyDescent="0.2">
      <c r="A482" s="56" t="str">
        <f>"VOUT = "&amp;'Design Converter'!E10&amp;"V"</f>
        <v>VOUT = 14.6V</v>
      </c>
      <c r="B482" t="str">
        <f>'Design Converter'!E10&amp;"V"</f>
        <v>14.6V</v>
      </c>
      <c r="I482" s="57"/>
    </row>
    <row r="483" spans="1:9" x14ac:dyDescent="0.2">
      <c r="A483" s="56"/>
      <c r="I483" s="57"/>
    </row>
    <row r="484" spans="1:9" x14ac:dyDescent="0.2">
      <c r="A484" s="56" t="str">
        <f>"COUT = "&amp;'Design Converter'!$E$45&amp;"µF"</f>
        <v>COUT = 100µF</v>
      </c>
      <c r="B484" t="str">
        <f>'Design Converter'!$E$45&amp;"µF"</f>
        <v>100µF</v>
      </c>
      <c r="I484" s="57"/>
    </row>
    <row r="485" spans="1:9" x14ac:dyDescent="0.2">
      <c r="A485" s="211" t="s">
        <v>336</v>
      </c>
      <c r="B485" t="str">
        <f>"22µF"</f>
        <v>22µF</v>
      </c>
      <c r="I485" s="57"/>
    </row>
    <row r="486" spans="1:9" x14ac:dyDescent="0.2">
      <c r="A486" s="211" t="s">
        <v>337</v>
      </c>
      <c r="B486" s="116" t="str">
        <f>ROUNDUP(Cout*1000000/22,0)&amp;" x"</f>
        <v>5 x</v>
      </c>
      <c r="C486" s="299"/>
      <c r="I486" s="57"/>
    </row>
    <row r="487" spans="1:9" x14ac:dyDescent="0.2">
      <c r="A487" s="56"/>
      <c r="I487" s="57"/>
    </row>
    <row r="488" spans="1:9" x14ac:dyDescent="0.2">
      <c r="A488" s="56" t="s">
        <v>263</v>
      </c>
      <c r="B488" t="str">
        <f>Cin*1000000&amp;"µF"</f>
        <v>100µF</v>
      </c>
      <c r="I488" s="57"/>
    </row>
    <row r="489" spans="1:9" x14ac:dyDescent="0.2">
      <c r="A489" s="211" t="s">
        <v>335</v>
      </c>
      <c r="B489" t="str">
        <f>"10µF"</f>
        <v>10µF</v>
      </c>
      <c r="I489" s="57"/>
    </row>
    <row r="490" spans="1:9" x14ac:dyDescent="0.2">
      <c r="A490" s="211" t="s">
        <v>334</v>
      </c>
      <c r="B490" s="116" t="str">
        <f>ROUNDUP(Cin*1000000/10,0)&amp;" x"</f>
        <v>10 x</v>
      </c>
      <c r="C490" s="299"/>
      <c r="I490" s="57"/>
    </row>
    <row r="491" spans="1:9" x14ac:dyDescent="0.2">
      <c r="A491" s="211"/>
      <c r="B491" s="116"/>
      <c r="C491" s="299"/>
      <c r="I491" s="57"/>
    </row>
    <row r="492" spans="1:9" x14ac:dyDescent="0.2">
      <c r="A492" s="56" t="str">
        <f>"RC1 = "&amp;Rcea1_u/1000&amp;"kΩ"</f>
        <v>RC1 = 100kΩ</v>
      </c>
      <c r="B492" t="str">
        <f>ROUND(Rcea1_u/1000,2)&amp;"kΩ"</f>
        <v>100kΩ</v>
      </c>
      <c r="I492" s="57"/>
    </row>
    <row r="493" spans="1:9" x14ac:dyDescent="0.2">
      <c r="A493" s="56" t="str">
        <f>"CC1 = "&amp;Cc1ea_u*10^9&amp;"nF"</f>
        <v>CC1 = 100nF</v>
      </c>
      <c r="B493" t="str">
        <f>Cc1ea_u*10^9&amp;"nF"</f>
        <v>100nF</v>
      </c>
      <c r="I493" s="57"/>
    </row>
    <row r="494" spans="1:9" x14ac:dyDescent="0.2">
      <c r="A494" s="56" t="str">
        <f>"CC2 = "&amp;IF(Cc2ea_u&gt;0, Cc2ea_u*10^12&amp;"pF", "OPEN")</f>
        <v>CC2 = 1000pF</v>
      </c>
      <c r="B494" t="str">
        <f>IF(Cc2ea_u&gt;0, ROUND(Cc2ea_u*10^12,1)&amp;"pF", "N/A")</f>
        <v>1000pF</v>
      </c>
      <c r="I494" s="57"/>
    </row>
    <row r="495" spans="1:9" x14ac:dyDescent="0.2">
      <c r="A495" s="56"/>
      <c r="I495" s="57"/>
    </row>
    <row r="496" spans="1:9" x14ac:dyDescent="0.2">
      <c r="A496" s="56" t="str">
        <f>"gm = "&amp;$B$284*1000&amp;"mS"</f>
        <v>gm = 0.6mS</v>
      </c>
      <c r="B496" t="str">
        <f>$B$284*1000&amp;"mS"</f>
        <v>0.6mS</v>
      </c>
      <c r="I496" s="57"/>
    </row>
    <row r="497" spans="1:9" x14ac:dyDescent="0.2">
      <c r="A497" s="56" t="str">
        <f>"RoEA = "&amp;RoEA/1000000&amp;"MΩ"</f>
        <v>RoEA = 10MΩ</v>
      </c>
      <c r="B497" t="str">
        <f>RoEA/1000000&amp;"MΩ"</f>
        <v>10MΩ</v>
      </c>
      <c r="I497" s="57"/>
    </row>
    <row r="498" spans="1:9" x14ac:dyDescent="0.2">
      <c r="A498" s="56" t="str">
        <f>"GBW = "&amp;GBW&amp;"MHz"</f>
        <v>GBW = 13MHz</v>
      </c>
      <c r="B498" t="str">
        <f>GBW&amp;"MHz"</f>
        <v>13MHz</v>
      </c>
      <c r="I498" s="57"/>
    </row>
    <row r="499" spans="1:9" x14ac:dyDescent="0.2">
      <c r="A499" s="56"/>
      <c r="I499" s="57"/>
    </row>
    <row r="500" spans="1:9" x14ac:dyDescent="0.2">
      <c r="A500" s="56" t="str">
        <f>"Cslope = "&amp;Cslope&amp;"pF"</f>
        <v>Cslope = 0.0000000000025pF</v>
      </c>
      <c r="B500" t="str">
        <f>ROUND(Cslope*1,0)&amp;"pF"</f>
        <v>0pF</v>
      </c>
      <c r="I500" s="57"/>
    </row>
    <row r="501" spans="1:9" x14ac:dyDescent="0.2">
      <c r="A501" s="56"/>
      <c r="I501" s="57"/>
    </row>
    <row r="502" spans="1:9" x14ac:dyDescent="0.2">
      <c r="A502" s="56" t="str">
        <f>"RFB1 = "&amp;'Design Converter'!E78&amp;"kΩ"</f>
        <v>RFB1 = 82kΩ</v>
      </c>
      <c r="B502" t="str">
        <f>'Design Converter'!E78&amp;"kΩ"</f>
        <v>82kΩ</v>
      </c>
      <c r="I502" s="57"/>
    </row>
    <row r="503" spans="1:9" x14ac:dyDescent="0.2">
      <c r="A503" s="56" t="str">
        <f>"RFB2 = "&amp;'Design Converter'!E79&amp;"kΩ"</f>
        <v>RFB2 = 6.04kΩ</v>
      </c>
      <c r="B503" t="str">
        <f>Rfb2_u/1000&amp;"kΩ"</f>
        <v>6.04kΩ</v>
      </c>
      <c r="I503" s="57"/>
    </row>
    <row r="504" spans="1:9" x14ac:dyDescent="0.2">
      <c r="A504" s="56" t="str">
        <f>"Crossover Frequency = "&amp;ROUND(D504,1)&amp;" kHz"</f>
        <v>Crossover Frequency = 16 kHz</v>
      </c>
      <c r="B504" t="str">
        <f>ROUND(D504,1)&amp;" kHz"</f>
        <v>16 kHz</v>
      </c>
      <c r="D504" s="115">
        <f>IF(OR(BODEPLOT_TYPE=FALSE,IMONLIM_select &lt; 2), 'Stability Calculations'!R4, 'IL Stability Calculations'!U4)</f>
        <v>16.0335</v>
      </c>
      <c r="I504" s="57"/>
    </row>
    <row r="505" spans="1:9" x14ac:dyDescent="0.2">
      <c r="A505" s="56" t="str">
        <f>"Phase Margin = "&amp;ROUND(D505,0)&amp;"°"</f>
        <v>Phase Margin = 0°</v>
      </c>
      <c r="B505" s="116" t="str">
        <f>ROUND(D505,0)&amp;"°"</f>
        <v>0°</v>
      </c>
      <c r="C505" s="299"/>
      <c r="D505" s="115">
        <f>IF(OR(BODEPLOT_TYPE=FALSE,IMONLIM_select &lt; 2), 'Stability Calculations'!R5, 'IL Stability Calculations'!U5)</f>
        <v>-0.35174273122746058</v>
      </c>
      <c r="E505" s="213"/>
      <c r="I505" s="57"/>
    </row>
    <row r="506" spans="1:9" x14ac:dyDescent="0.2">
      <c r="A506" s="56"/>
      <c r="B506" s="116"/>
      <c r="C506" s="299"/>
      <c r="E506" s="213"/>
      <c r="I506" s="57"/>
    </row>
    <row r="507" spans="1:9" x14ac:dyDescent="0.2">
      <c r="A507" s="66" t="s">
        <v>837</v>
      </c>
      <c r="B507" s="496" t="str">
        <f>IF(PLOT_TYPE=1, "", ROUND('Efficiency vs VIN Calculations'!BO9,1)&amp;"%")</f>
        <v/>
      </c>
      <c r="C507" s="299"/>
      <c r="E507" s="213"/>
      <c r="I507" s="57"/>
    </row>
    <row r="508" spans="1:9" x14ac:dyDescent="0.2">
      <c r="A508" s="66" t="s">
        <v>835</v>
      </c>
      <c r="B508" s="496" t="str">
        <f>IF(PLOT_TYPE=1, ROUND('Efficiency vs Load Calculations'!BO109,1)&amp;"%", ROUND('Efficiency vs VIN Calculations'!BO209,1)&amp;"%")</f>
        <v>94%</v>
      </c>
      <c r="C508" s="299"/>
      <c r="E508" s="213"/>
      <c r="I508" s="57"/>
    </row>
    <row r="509" spans="1:9" x14ac:dyDescent="0.2">
      <c r="A509" s="66" t="s">
        <v>836</v>
      </c>
      <c r="B509" s="496" t="str">
        <f>IF(PLOT_TYPE=1, ROUND('Efficiency vs Load Calculations'!BO59,1)&amp;"%", ROUND('Efficiency vs VIN Calculations'!BO109,1)&amp;"%")</f>
        <v>94%</v>
      </c>
      <c r="C509" s="299"/>
      <c r="E509" s="213"/>
      <c r="I509" s="57"/>
    </row>
    <row r="510" spans="1:9" x14ac:dyDescent="0.2">
      <c r="A510" s="56"/>
      <c r="B510" s="116"/>
      <c r="C510" s="299"/>
      <c r="E510" s="213"/>
      <c r="I510" s="57"/>
    </row>
    <row r="511" spans="1:9" x14ac:dyDescent="0.2">
      <c r="A511" s="56" t="str">
        <f>"CDITH = "&amp;Cdither*1000000000&amp;"nF"</f>
        <v>CDITH = 0nF</v>
      </c>
      <c r="B511" t="str">
        <f>Cdither*1000000000&amp;"nF"</f>
        <v>0nF</v>
      </c>
      <c r="I511" s="57"/>
    </row>
    <row r="512" spans="1:9" x14ac:dyDescent="0.2">
      <c r="A512" s="56" t="str">
        <f>"Rs = "&amp;Rs&amp;"Ω"</f>
        <v>Rs = 0.0025Ω</v>
      </c>
      <c r="B512" t="str">
        <f>'Standard Value Calculator'!R6&amp;"Ω"</f>
        <v>10Ω</v>
      </c>
      <c r="I512" s="57"/>
    </row>
    <row r="513" spans="1:9" x14ac:dyDescent="0.2">
      <c r="A513" s="56" t="s">
        <v>222</v>
      </c>
      <c r="B513" t="str">
        <f>'Standard Value Calculator'!R13&amp;"mΩ"</f>
        <v>2.74mΩ</v>
      </c>
      <c r="I513" s="57"/>
    </row>
    <row r="514" spans="1:9" x14ac:dyDescent="0.2">
      <c r="A514" s="56" t="s">
        <v>197</v>
      </c>
      <c r="B514" t="str">
        <f>'Standard Value Calculator'!R6&amp;"mΩ"</f>
        <v>10mΩ</v>
      </c>
      <c r="I514" s="57"/>
    </row>
    <row r="515" spans="1:9" x14ac:dyDescent="0.2">
      <c r="A515" s="56" t="str">
        <f>"Rshunt = "&amp;ROUND(Rshunt,1)&amp;"mΩ"</f>
        <v>Rshunt = 10mΩ</v>
      </c>
      <c r="B515" t="str">
        <f>IF(Rshunt="0", "N/A",ROUND(Rshunt,1)&amp;"mΩ")</f>
        <v>10mΩ</v>
      </c>
      <c r="I515" s="57"/>
    </row>
    <row r="516" spans="1:9" x14ac:dyDescent="0.2">
      <c r="A516" s="56"/>
      <c r="I516" s="57"/>
    </row>
    <row r="517" spans="1:9" x14ac:dyDescent="0.2">
      <c r="A517" s="211" t="s">
        <v>330</v>
      </c>
      <c r="B517" s="114" t="s">
        <v>331</v>
      </c>
      <c r="I517" s="57"/>
    </row>
    <row r="518" spans="1:9" x14ac:dyDescent="0.2">
      <c r="A518" s="211"/>
      <c r="B518" s="114"/>
      <c r="I518" s="57"/>
    </row>
    <row r="519" spans="1:9" x14ac:dyDescent="0.2">
      <c r="A519" s="211"/>
      <c r="B519" s="114"/>
      <c r="I519" s="57"/>
    </row>
    <row r="520" spans="1:9" x14ac:dyDescent="0.2">
      <c r="A520" s="211" t="s">
        <v>351</v>
      </c>
      <c r="B520" t="str">
        <f>'Standard Value Calculator'!R4/1000&amp;"kΩ"</f>
        <v>52.3kΩ</v>
      </c>
      <c r="I520" s="57"/>
    </row>
    <row r="521" spans="1:9" x14ac:dyDescent="0.2">
      <c r="A521" s="56" t="s">
        <v>181</v>
      </c>
      <c r="B521" t="str">
        <f>'Standard Value Calculator'!B4*1000000000 &amp;"nF"</f>
        <v>2700nF</v>
      </c>
      <c r="I521" s="57"/>
    </row>
    <row r="522" spans="1:9" x14ac:dyDescent="0.2">
      <c r="A522" s="211" t="s">
        <v>419</v>
      </c>
      <c r="B522" s="114" t="str">
        <f>Cslope &amp;"pF"</f>
        <v>0.0000000000025pF</v>
      </c>
      <c r="I522" s="57"/>
    </row>
    <row r="523" spans="1:9" x14ac:dyDescent="0.2">
      <c r="A523" s="56" t="s">
        <v>223</v>
      </c>
      <c r="B523" t="str">
        <f>IF(B105="y","","|")</f>
        <v>|</v>
      </c>
      <c r="I523" s="57"/>
    </row>
    <row r="524" spans="1:9" x14ac:dyDescent="0.2">
      <c r="A524" s="56" t="s">
        <v>239</v>
      </c>
      <c r="B524" t="str">
        <f>'Design Converter'!$E$11&amp;"A"</f>
        <v>12A</v>
      </c>
      <c r="I524" s="57"/>
    </row>
    <row r="525" spans="1:9" x14ac:dyDescent="0.2">
      <c r="A525" s="56" t="s">
        <v>173</v>
      </c>
      <c r="B525" t="str">
        <f>VIN_nom&amp;"V"</f>
        <v>23.6V</v>
      </c>
      <c r="I525" s="57"/>
    </row>
    <row r="526" spans="1:9" x14ac:dyDescent="0.2">
      <c r="A526" s="211" t="s">
        <v>852</v>
      </c>
      <c r="B526" t="str">
        <f>VIN_min&amp;"V"&amp;"..."&amp;VIN_max&amp;"V"</f>
        <v>20V...34V</v>
      </c>
      <c r="I526" s="57"/>
    </row>
    <row r="527" spans="1:9" x14ac:dyDescent="0.2">
      <c r="A527" s="56"/>
      <c r="I527" s="57"/>
    </row>
    <row r="528" spans="1:9" x14ac:dyDescent="0.2">
      <c r="A528" s="56" t="s">
        <v>247</v>
      </c>
      <c r="B528">
        <v>12</v>
      </c>
      <c r="I528" s="57"/>
    </row>
    <row r="529" spans="1:9" x14ac:dyDescent="0.2">
      <c r="A529" s="56" t="s">
        <v>248</v>
      </c>
      <c r="B529">
        <v>18</v>
      </c>
      <c r="I529" s="57"/>
    </row>
    <row r="530" spans="1:9" x14ac:dyDescent="0.2">
      <c r="A530" s="56" t="s">
        <v>249</v>
      </c>
      <c r="B530">
        <v>14</v>
      </c>
      <c r="I530" s="57"/>
    </row>
    <row r="531" spans="1:9" x14ac:dyDescent="0.2">
      <c r="A531" s="56" t="s">
        <v>250</v>
      </c>
      <c r="B531">
        <v>6</v>
      </c>
      <c r="I531" s="57"/>
    </row>
    <row r="532" spans="1:9" x14ac:dyDescent="0.2">
      <c r="A532" s="56" t="s">
        <v>251</v>
      </c>
      <c r="B532">
        <v>7</v>
      </c>
      <c r="I532" s="57"/>
    </row>
    <row r="533" spans="1:9" x14ac:dyDescent="0.2">
      <c r="A533" s="56" t="s">
        <v>252</v>
      </c>
      <c r="B533">
        <v>11</v>
      </c>
      <c r="I533" s="57"/>
    </row>
    <row r="534" spans="1:9" x14ac:dyDescent="0.2">
      <c r="A534" s="56" t="s">
        <v>253</v>
      </c>
      <c r="B534">
        <v>1</v>
      </c>
      <c r="I534" s="57"/>
    </row>
    <row r="535" spans="1:9" x14ac:dyDescent="0.2">
      <c r="A535" s="56" t="s">
        <v>254</v>
      </c>
      <c r="B535">
        <v>5</v>
      </c>
      <c r="I535" s="57"/>
    </row>
    <row r="536" spans="1:9" x14ac:dyDescent="0.2">
      <c r="A536" s="56" t="s">
        <v>255</v>
      </c>
      <c r="B536">
        <v>13</v>
      </c>
      <c r="I536" s="57"/>
    </row>
    <row r="537" spans="1:9" x14ac:dyDescent="0.2">
      <c r="A537" s="56" t="s">
        <v>256</v>
      </c>
      <c r="B537">
        <v>4</v>
      </c>
      <c r="I537" s="57"/>
    </row>
    <row r="538" spans="1:9" x14ac:dyDescent="0.2">
      <c r="A538" s="56" t="s">
        <v>257</v>
      </c>
      <c r="B538">
        <v>3</v>
      </c>
      <c r="I538" s="57"/>
    </row>
    <row r="539" spans="1:9" x14ac:dyDescent="0.2">
      <c r="A539" s="56" t="s">
        <v>258</v>
      </c>
      <c r="B539">
        <v>24</v>
      </c>
      <c r="I539" s="57"/>
    </row>
    <row r="540" spans="1:9" x14ac:dyDescent="0.2">
      <c r="A540" s="56" t="s">
        <v>259</v>
      </c>
      <c r="B540">
        <v>23</v>
      </c>
      <c r="I540" s="57"/>
    </row>
    <row r="541" spans="1:9" x14ac:dyDescent="0.2">
      <c r="A541" s="56" t="s">
        <v>260</v>
      </c>
      <c r="B541">
        <v>15</v>
      </c>
      <c r="I541" s="57"/>
    </row>
    <row r="542" spans="1:9" x14ac:dyDescent="0.2">
      <c r="A542" s="56" t="s">
        <v>261</v>
      </c>
      <c r="B542">
        <v>16</v>
      </c>
      <c r="I542" s="57"/>
    </row>
    <row r="543" spans="1:9" x14ac:dyDescent="0.2">
      <c r="A543" s="56" t="s">
        <v>262</v>
      </c>
      <c r="B543">
        <v>17</v>
      </c>
      <c r="I543" s="57"/>
    </row>
    <row r="544" spans="1:9" x14ac:dyDescent="0.2">
      <c r="A544" t="s">
        <v>274</v>
      </c>
      <c r="B544">
        <v>2</v>
      </c>
      <c r="I544" s="57"/>
    </row>
    <row r="545" spans="1:9" x14ac:dyDescent="0.2">
      <c r="A545" s="56" t="s">
        <v>273</v>
      </c>
      <c r="B545">
        <v>8</v>
      </c>
      <c r="I545" s="57"/>
    </row>
    <row r="546" spans="1:9" ht="13.5" thickBot="1" x14ac:dyDescent="0.25">
      <c r="A546" s="60"/>
      <c r="B546" s="61"/>
      <c r="C546" s="298"/>
      <c r="D546" s="61"/>
      <c r="E546" s="61"/>
      <c r="F546" s="61"/>
      <c r="G546" s="61"/>
      <c r="H546" s="61"/>
      <c r="I546" s="62"/>
    </row>
  </sheetData>
  <sheetProtection selectLockedCells="1"/>
  <mergeCells count="2">
    <mergeCell ref="E5:H5"/>
    <mergeCell ref="A1:I1"/>
  </mergeCells>
  <phoneticPr fontId="10" type="noConversion"/>
  <pageMargins left="0.75" right="0.75" top="1" bottom="1" header="0.5" footer="0.5"/>
  <pageSetup orientation="portrait" r:id="rId1"/>
  <headerFooter alignWithMargins="0"/>
  <ignoredErrors>
    <ignoredError sqref="B336" 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22E50-1EB4-4F98-BD5E-35B0B5DD5FE3}">
  <sheetPr codeName="Sheet17"/>
  <dimension ref="A1:AE102"/>
  <sheetViews>
    <sheetView topLeftCell="N59" workbookViewId="0">
      <selection activeCell="W83" sqref="W83:Z102"/>
    </sheetView>
  </sheetViews>
  <sheetFormatPr defaultRowHeight="12.75" x14ac:dyDescent="0.2"/>
  <cols>
    <col min="9" max="9" width="12.42578125" bestFit="1" customWidth="1"/>
  </cols>
  <sheetData>
    <row r="1" spans="1:17" ht="13.5" thickBot="1" x14ac:dyDescent="0.25">
      <c r="A1" s="210" t="s">
        <v>363</v>
      </c>
      <c r="B1" s="12">
        <f>'Design Converter'!E7</f>
        <v>20</v>
      </c>
      <c r="C1" s="63" t="s">
        <v>0</v>
      </c>
      <c r="D1" s="117" t="s">
        <v>364</v>
      </c>
    </row>
    <row r="2" spans="1:17" ht="13.5" thickBot="1" x14ac:dyDescent="0.25">
      <c r="A2" s="211"/>
      <c r="B2" s="12">
        <f>'Design Converter'!E8</f>
        <v>23.6</v>
      </c>
      <c r="C2" t="s">
        <v>0</v>
      </c>
      <c r="D2" t="s">
        <v>14</v>
      </c>
    </row>
    <row r="3" spans="1:17" x14ac:dyDescent="0.2">
      <c r="A3" s="211" t="s">
        <v>362</v>
      </c>
      <c r="B3" s="12">
        <f>'Design Converter'!E9</f>
        <v>34</v>
      </c>
      <c r="C3" t="s">
        <v>0</v>
      </c>
      <c r="D3" s="114" t="s">
        <v>365</v>
      </c>
      <c r="I3" s="114" t="s">
        <v>4</v>
      </c>
      <c r="J3" s="114" t="s">
        <v>402</v>
      </c>
      <c r="K3" s="114" t="s">
        <v>904</v>
      </c>
      <c r="L3" s="114" t="s">
        <v>903</v>
      </c>
      <c r="N3" s="114" t="s">
        <v>1036</v>
      </c>
    </row>
    <row r="4" spans="1:17" x14ac:dyDescent="0.2">
      <c r="H4">
        <v>0</v>
      </c>
      <c r="I4">
        <f>Vin</f>
        <v>23.6</v>
      </c>
      <c r="J4">
        <f t="shared" ref="J4:J24" si="0">Pin/I4</f>
        <v>7.8144513826940223</v>
      </c>
      <c r="K4">
        <f t="shared" ref="K4:K24" si="1">IF(I4&gt;Vout, (Vout+Iout*(Rdcr+Rs))/(I4+Iout*Rs), (Vout-I4+J4*(Rdcr))/(Vout-J4*Rs))</f>
        <v>0.62207363520947945</v>
      </c>
      <c r="L4">
        <f t="shared" ref="L4:L24" si="2">IF(I4&gt;Vout, (I4-Vout)*K4/(Fsw*Lf),I4*K4/(Lf*Fsw))</f>
        <v>3.5345092909629523</v>
      </c>
      <c r="M4">
        <f t="shared" ref="M4:M24" si="3">(I4-Vout)*K4/(Fsw*Lf)</f>
        <v>3.5345092909629523</v>
      </c>
      <c r="N4">
        <f t="shared" ref="N4:N24" si="4">IF(I4&gt;Vout, L4/Iout, L4/J4)</f>
        <v>0.29454244091357934</v>
      </c>
      <c r="Q4" t="str">
        <f t="shared" ref="Q4:Q24" si="5">IF(I4&gt;Vout, "BUCK", "BOOST")</f>
        <v>BUCK</v>
      </c>
    </row>
    <row r="5" spans="1:17" x14ac:dyDescent="0.2">
      <c r="H5">
        <v>1</v>
      </c>
      <c r="I5">
        <f t="shared" ref="I5:I24" si="6">VIN_min+(VIN_max-VIN_min)/20*H5</f>
        <v>20.7</v>
      </c>
      <c r="J5">
        <f t="shared" si="0"/>
        <v>8.9092295957284513</v>
      </c>
      <c r="K5">
        <f t="shared" si="1"/>
        <v>0.70909792571152919</v>
      </c>
      <c r="L5">
        <f t="shared" si="2"/>
        <v>2.7307432745204085</v>
      </c>
      <c r="M5">
        <f t="shared" si="3"/>
        <v>2.7307432745204085</v>
      </c>
      <c r="N5">
        <f t="shared" si="4"/>
        <v>0.22756193954336737</v>
      </c>
      <c r="Q5" t="str">
        <f t="shared" si="5"/>
        <v>BUCK</v>
      </c>
    </row>
    <row r="6" spans="1:17" x14ac:dyDescent="0.2">
      <c r="H6">
        <v>2</v>
      </c>
      <c r="I6">
        <f t="shared" si="6"/>
        <v>21.4</v>
      </c>
      <c r="J6">
        <f t="shared" si="0"/>
        <v>8.6178061977373339</v>
      </c>
      <c r="K6">
        <f t="shared" si="1"/>
        <v>0.68593560429304712</v>
      </c>
      <c r="L6">
        <f t="shared" si="2"/>
        <v>2.9446730487327772</v>
      </c>
      <c r="M6">
        <f t="shared" si="3"/>
        <v>2.9446730487327772</v>
      </c>
      <c r="N6">
        <f t="shared" si="4"/>
        <v>0.24538942072773143</v>
      </c>
      <c r="Q6" t="str">
        <f t="shared" si="5"/>
        <v>BUCK</v>
      </c>
    </row>
    <row r="7" spans="1:17" x14ac:dyDescent="0.2">
      <c r="H7">
        <v>3</v>
      </c>
      <c r="I7">
        <f t="shared" si="6"/>
        <v>22.1</v>
      </c>
      <c r="J7">
        <f t="shared" si="0"/>
        <v>8.3448440104786847</v>
      </c>
      <c r="K7">
        <f t="shared" si="1"/>
        <v>0.66423859014911879</v>
      </c>
      <c r="L7">
        <f t="shared" si="2"/>
        <v>3.1450690821454494</v>
      </c>
      <c r="M7">
        <f t="shared" si="3"/>
        <v>3.1450690821454494</v>
      </c>
      <c r="N7">
        <f t="shared" si="4"/>
        <v>0.26208909017878745</v>
      </c>
      <c r="Q7" t="str">
        <f t="shared" si="5"/>
        <v>BUCK</v>
      </c>
    </row>
    <row r="8" spans="1:17" x14ac:dyDescent="0.2">
      <c r="H8">
        <v>4</v>
      </c>
      <c r="I8">
        <f t="shared" si="6"/>
        <v>22.8</v>
      </c>
      <c r="J8">
        <f t="shared" si="0"/>
        <v>8.0886426592797775</v>
      </c>
      <c r="K8">
        <f t="shared" si="1"/>
        <v>0.64387209811651336</v>
      </c>
      <c r="L8">
        <f t="shared" si="2"/>
        <v>3.3331762655021526</v>
      </c>
      <c r="M8">
        <f t="shared" si="3"/>
        <v>3.3331762655021526</v>
      </c>
      <c r="N8">
        <f t="shared" si="4"/>
        <v>0.27776468879184607</v>
      </c>
      <c r="Q8" t="str">
        <f t="shared" si="5"/>
        <v>BUCK</v>
      </c>
    </row>
    <row r="9" spans="1:17" x14ac:dyDescent="0.2">
      <c r="H9">
        <v>5</v>
      </c>
      <c r="I9">
        <f t="shared" si="6"/>
        <v>23.5</v>
      </c>
      <c r="J9">
        <f t="shared" si="0"/>
        <v>7.8477043673012314</v>
      </c>
      <c r="K9">
        <f t="shared" si="1"/>
        <v>0.62471738206544836</v>
      </c>
      <c r="L9">
        <f t="shared" si="2"/>
        <v>3.5100913512515723</v>
      </c>
      <c r="M9">
        <f t="shared" si="3"/>
        <v>3.5100913512515723</v>
      </c>
      <c r="N9">
        <f t="shared" si="4"/>
        <v>0.2925076126042977</v>
      </c>
      <c r="Q9" t="str">
        <f t="shared" si="5"/>
        <v>BUCK</v>
      </c>
    </row>
    <row r="10" spans="1:17" x14ac:dyDescent="0.2">
      <c r="H10">
        <v>6</v>
      </c>
      <c r="I10">
        <f t="shared" si="6"/>
        <v>24.2</v>
      </c>
      <c r="J10">
        <f t="shared" si="0"/>
        <v>7.6207046541974766</v>
      </c>
      <c r="K10">
        <f t="shared" si="1"/>
        <v>0.60666941807676433</v>
      </c>
      <c r="L10">
        <f t="shared" si="2"/>
        <v>3.6767843519803893</v>
      </c>
      <c r="M10">
        <f t="shared" si="3"/>
        <v>3.6767843519803893</v>
      </c>
      <c r="N10">
        <f t="shared" si="4"/>
        <v>0.30639869599836578</v>
      </c>
      <c r="Q10" t="str">
        <f t="shared" si="5"/>
        <v>BUCK</v>
      </c>
    </row>
    <row r="11" spans="1:17" x14ac:dyDescent="0.2">
      <c r="H11">
        <v>7</v>
      </c>
      <c r="I11">
        <f t="shared" si="6"/>
        <v>24.9</v>
      </c>
      <c r="J11">
        <f t="shared" si="0"/>
        <v>7.4064679771718449</v>
      </c>
      <c r="K11">
        <f t="shared" si="1"/>
        <v>0.58963497793822706</v>
      </c>
      <c r="L11">
        <f t="shared" si="2"/>
        <v>3.8341163338154911</v>
      </c>
      <c r="M11">
        <f t="shared" si="3"/>
        <v>3.8341163338154911</v>
      </c>
      <c r="N11">
        <f t="shared" si="4"/>
        <v>0.31950969448462424</v>
      </c>
      <c r="Q11" t="str">
        <f t="shared" si="5"/>
        <v>BUCK</v>
      </c>
    </row>
    <row r="12" spans="1:17" x14ac:dyDescent="0.2">
      <c r="H12">
        <v>8</v>
      </c>
      <c r="I12">
        <f t="shared" si="6"/>
        <v>25.6</v>
      </c>
      <c r="J12">
        <f t="shared" si="0"/>
        <v>7.2039473684210513</v>
      </c>
      <c r="K12">
        <f t="shared" si="1"/>
        <v>0.57353101833788522</v>
      </c>
      <c r="L12">
        <f t="shared" si="2"/>
        <v>3.9828542940130922</v>
      </c>
      <c r="M12">
        <f t="shared" si="3"/>
        <v>3.9828542940130922</v>
      </c>
      <c r="N12">
        <f t="shared" si="4"/>
        <v>0.33190452450109104</v>
      </c>
      <c r="Q12" t="str">
        <f t="shared" si="5"/>
        <v>BUCK</v>
      </c>
    </row>
    <row r="13" spans="1:17" x14ac:dyDescent="0.2">
      <c r="H13">
        <v>9</v>
      </c>
      <c r="I13">
        <f t="shared" si="6"/>
        <v>26.3</v>
      </c>
      <c r="J13">
        <f t="shared" si="0"/>
        <v>7.0122073243946357</v>
      </c>
      <c r="K13">
        <f t="shared" si="1"/>
        <v>0.5582833270034181</v>
      </c>
      <c r="L13">
        <f t="shared" si="2"/>
        <v>4.1236836653661566</v>
      </c>
      <c r="M13">
        <f t="shared" si="3"/>
        <v>4.1236836653661566</v>
      </c>
      <c r="N13">
        <f t="shared" si="4"/>
        <v>0.34364030544717972</v>
      </c>
      <c r="Q13" t="str">
        <f t="shared" si="5"/>
        <v>BUCK</v>
      </c>
    </row>
    <row r="14" spans="1:17" x14ac:dyDescent="0.2">
      <c r="H14">
        <v>10</v>
      </c>
      <c r="I14">
        <f t="shared" si="6"/>
        <v>27</v>
      </c>
      <c r="J14">
        <f t="shared" si="0"/>
        <v>6.8304093567251458</v>
      </c>
      <c r="K14">
        <f t="shared" si="1"/>
        <v>0.54382537920828711</v>
      </c>
      <c r="L14">
        <f t="shared" si="2"/>
        <v>4.2572188776406312</v>
      </c>
      <c r="M14">
        <f t="shared" si="3"/>
        <v>4.2572188776406312</v>
      </c>
      <c r="N14">
        <f t="shared" si="4"/>
        <v>0.35476823980338595</v>
      </c>
      <c r="Q14" t="str">
        <f t="shared" si="5"/>
        <v>BUCK</v>
      </c>
    </row>
    <row r="15" spans="1:17" x14ac:dyDescent="0.2">
      <c r="H15">
        <v>11</v>
      </c>
      <c r="I15">
        <f t="shared" si="6"/>
        <v>27.7</v>
      </c>
      <c r="J15">
        <f t="shared" si="0"/>
        <v>6.657799733992019</v>
      </c>
      <c r="K15">
        <f t="shared" si="1"/>
        <v>0.53009736747205194</v>
      </c>
      <c r="L15">
        <f t="shared" si="2"/>
        <v>4.3840123193711369</v>
      </c>
      <c r="M15">
        <f t="shared" si="3"/>
        <v>4.3840123193711369</v>
      </c>
      <c r="N15">
        <f t="shared" si="4"/>
        <v>0.36533435994759472</v>
      </c>
      <c r="Q15" t="str">
        <f t="shared" si="5"/>
        <v>BUCK</v>
      </c>
    </row>
    <row r="16" spans="1:17" x14ac:dyDescent="0.2">
      <c r="H16">
        <v>12</v>
      </c>
      <c r="I16">
        <f t="shared" si="6"/>
        <v>28.4</v>
      </c>
      <c r="J16">
        <f t="shared" si="0"/>
        <v>6.4936990363232026</v>
      </c>
      <c r="K16">
        <f t="shared" si="1"/>
        <v>0.51704537460429123</v>
      </c>
      <c r="L16">
        <f t="shared" si="2"/>
        <v>4.504561975719203</v>
      </c>
      <c r="M16">
        <f t="shared" si="3"/>
        <v>4.504561975719203</v>
      </c>
      <c r="N16">
        <f t="shared" si="4"/>
        <v>0.3753801646432669</v>
      </c>
      <c r="Q16" t="str">
        <f t="shared" si="5"/>
        <v>BUCK</v>
      </c>
    </row>
    <row r="17" spans="8:17" x14ac:dyDescent="0.2">
      <c r="H17">
        <v>13</v>
      </c>
      <c r="I17">
        <f t="shared" si="6"/>
        <v>29.1</v>
      </c>
      <c r="J17">
        <f t="shared" si="0"/>
        <v>6.3374932175800316</v>
      </c>
      <c r="K17">
        <f t="shared" si="1"/>
        <v>0.50462066598008926</v>
      </c>
      <c r="L17">
        <f t="shared" si="2"/>
        <v>4.6193179650955143</v>
      </c>
      <c r="M17">
        <f t="shared" si="3"/>
        <v>4.6193179650955143</v>
      </c>
      <c r="N17">
        <f t="shared" si="4"/>
        <v>0.38494316375795951</v>
      </c>
      <c r="Q17" t="str">
        <f t="shared" si="5"/>
        <v>BUCK</v>
      </c>
    </row>
    <row r="18" spans="8:17" x14ac:dyDescent="0.2">
      <c r="H18">
        <v>14</v>
      </c>
      <c r="I18">
        <f t="shared" si="6"/>
        <v>29.799999999999997</v>
      </c>
      <c r="J18">
        <f t="shared" si="0"/>
        <v>6.1886259272341926</v>
      </c>
      <c r="K18">
        <f t="shared" si="1"/>
        <v>0.49277908146161586</v>
      </c>
      <c r="L18">
        <f t="shared" si="2"/>
        <v>4.7286881554397473</v>
      </c>
      <c r="M18">
        <f t="shared" si="3"/>
        <v>4.7286881554397473</v>
      </c>
      <c r="N18">
        <f t="shared" si="4"/>
        <v>0.39405734628664563</v>
      </c>
      <c r="Q18" t="str">
        <f t="shared" si="5"/>
        <v>BUCK</v>
      </c>
    </row>
    <row r="19" spans="8:17" x14ac:dyDescent="0.2">
      <c r="H19">
        <v>15</v>
      </c>
      <c r="I19">
        <f t="shared" si="6"/>
        <v>30.5</v>
      </c>
      <c r="J19">
        <f t="shared" si="0"/>
        <v>6.0465918895599646</v>
      </c>
      <c r="K19">
        <f t="shared" si="1"/>
        <v>0.48148051097281364</v>
      </c>
      <c r="L19">
        <f t="shared" si="2"/>
        <v>4.833043007871046</v>
      </c>
      <c r="M19">
        <f t="shared" si="3"/>
        <v>4.833043007871046</v>
      </c>
      <c r="N19">
        <f t="shared" si="4"/>
        <v>0.40275358398925382</v>
      </c>
      <c r="Q19" t="str">
        <f t="shared" si="5"/>
        <v>BUCK</v>
      </c>
    </row>
    <row r="20" spans="8:17" x14ac:dyDescent="0.2">
      <c r="H20">
        <v>16</v>
      </c>
      <c r="I20">
        <f t="shared" si="6"/>
        <v>31.2</v>
      </c>
      <c r="J20">
        <f t="shared" si="0"/>
        <v>5.9109311740890682</v>
      </c>
      <c r="K20">
        <f t="shared" si="1"/>
        <v>0.47068844060198528</v>
      </c>
      <c r="L20">
        <f t="shared" si="2"/>
        <v>4.9327197689349473</v>
      </c>
      <c r="M20">
        <f t="shared" si="3"/>
        <v>4.9327197689349473</v>
      </c>
      <c r="N20">
        <f t="shared" si="4"/>
        <v>0.41105998074457895</v>
      </c>
      <c r="Q20" t="str">
        <f t="shared" si="5"/>
        <v>BUCK</v>
      </c>
    </row>
    <row r="21" spans="8:17" x14ac:dyDescent="0.2">
      <c r="H21">
        <v>17</v>
      </c>
      <c r="I21">
        <f t="shared" si="6"/>
        <v>31.9</v>
      </c>
      <c r="J21">
        <f t="shared" si="0"/>
        <v>5.7812242204256723</v>
      </c>
      <c r="K21">
        <f t="shared" si="1"/>
        <v>0.46036955840901972</v>
      </c>
      <c r="L21">
        <f t="shared" si="2"/>
        <v>5.0280261114116405</v>
      </c>
      <c r="M21">
        <f t="shared" si="3"/>
        <v>5.0280261114116405</v>
      </c>
      <c r="N21">
        <f t="shared" si="4"/>
        <v>0.41900217595097006</v>
      </c>
      <c r="Q21" t="str">
        <f t="shared" si="5"/>
        <v>BUCK</v>
      </c>
    </row>
    <row r="22" spans="8:17" x14ac:dyDescent="0.2">
      <c r="H22">
        <v>18</v>
      </c>
      <c r="I22">
        <f t="shared" si="6"/>
        <v>32.6</v>
      </c>
      <c r="J22">
        <f t="shared" si="0"/>
        <v>5.6570875040361637</v>
      </c>
      <c r="K22">
        <f t="shared" si="1"/>
        <v>0.45049341097149859</v>
      </c>
      <c r="L22">
        <f t="shared" si="2"/>
        <v>5.1192433064943019</v>
      </c>
      <c r="M22">
        <f t="shared" si="3"/>
        <v>5.1192433064943019</v>
      </c>
      <c r="N22">
        <f t="shared" si="4"/>
        <v>0.42660360887452514</v>
      </c>
      <c r="Q22" t="str">
        <f t="shared" si="5"/>
        <v>BUCK</v>
      </c>
    </row>
    <row r="23" spans="8:17" x14ac:dyDescent="0.2">
      <c r="H23">
        <v>19</v>
      </c>
      <c r="I23">
        <f t="shared" si="6"/>
        <v>33.299999999999997</v>
      </c>
      <c r="J23">
        <f t="shared" si="0"/>
        <v>5.5381697486960642</v>
      </c>
      <c r="K23">
        <f t="shared" si="1"/>
        <v>0.44103210321032105</v>
      </c>
      <c r="L23">
        <f t="shared" si="2"/>
        <v>5.2066289962329551</v>
      </c>
      <c r="M23">
        <f t="shared" si="3"/>
        <v>5.2066289962329551</v>
      </c>
      <c r="N23">
        <f t="shared" si="4"/>
        <v>0.43388574968607957</v>
      </c>
      <c r="Q23" t="str">
        <f t="shared" si="5"/>
        <v>BUCK</v>
      </c>
    </row>
    <row r="24" spans="8:17" x14ac:dyDescent="0.2">
      <c r="H24">
        <v>20</v>
      </c>
      <c r="I24">
        <f t="shared" si="6"/>
        <v>34</v>
      </c>
      <c r="J24">
        <f t="shared" si="0"/>
        <v>5.4241486068111451</v>
      </c>
      <c r="K24">
        <f t="shared" si="1"/>
        <v>0.43196003526300325</v>
      </c>
      <c r="L24">
        <f t="shared" si="2"/>
        <v>5.2904196238019328</v>
      </c>
      <c r="M24">
        <f t="shared" si="3"/>
        <v>5.2904196238019328</v>
      </c>
      <c r="N24">
        <f t="shared" si="4"/>
        <v>0.44086830198349442</v>
      </c>
      <c r="Q24" t="str">
        <f t="shared" si="5"/>
        <v>BUCK</v>
      </c>
    </row>
    <row r="28" spans="8:17" x14ac:dyDescent="0.2">
      <c r="H28" s="114" t="s">
        <v>4</v>
      </c>
      <c r="I28">
        <f>VIN_min</f>
        <v>20</v>
      </c>
    </row>
    <row r="29" spans="8:17" x14ac:dyDescent="0.2">
      <c r="I29" s="114" t="s">
        <v>60</v>
      </c>
      <c r="J29" s="114" t="s">
        <v>402</v>
      </c>
      <c r="K29" s="114" t="s">
        <v>904</v>
      </c>
      <c r="L29" s="114" t="s">
        <v>1038</v>
      </c>
      <c r="N29" s="114" t="s">
        <v>1037</v>
      </c>
      <c r="O29" s="114" t="s">
        <v>1039</v>
      </c>
    </row>
    <row r="30" spans="8:17" x14ac:dyDescent="0.2">
      <c r="H30">
        <v>0</v>
      </c>
      <c r="I30" s="602">
        <f>Lmin</f>
        <v>6.0833333333333337E-7</v>
      </c>
      <c r="J30">
        <f t="shared" ref="J30:J50" si="7">Pin/$I$28</f>
        <v>9.2210526315789458</v>
      </c>
      <c r="K30">
        <f t="shared" ref="K30:K50" si="8">IF($I$28&gt;Vout, (Vout+Iout*(Rdcr+Rs))/($I$28+Iout*Rs), (Vout-$I$28+J30*(Rdcr))/(Vout-J30*Rs))</f>
        <v>0.73387918122815776</v>
      </c>
      <c r="L30">
        <f t="shared" ref="L30:L50" si="9">IF($I$28&gt;Vout, ($I$28-Vout)*K30/(Fsw*I30),$I$28*K30/(I30*Fsw))</f>
        <v>10.857390626389183</v>
      </c>
      <c r="M30" s="602">
        <f t="shared" ref="M30:M50" si="10">($I$28-Vout)*K30/(Fsw*I30)</f>
        <v>10.857390626389183</v>
      </c>
      <c r="N30">
        <f t="shared" ref="N30:N50" si="11">IF($I$28&gt;Vout, L30/Iout, L30/J30)</f>
        <v>0.90478255219909853</v>
      </c>
      <c r="O30">
        <f t="shared" ref="O30:O50" si="12">IF($I$80&gt;Vout, L30/2+Iout, L30/2+J30)</f>
        <v>17.428695313194591</v>
      </c>
      <c r="Q30" t="str">
        <f t="shared" ref="Q30:Q50" si="13">IF(I30&gt;Vout, "BUCK", "BOOST")</f>
        <v>BOOST</v>
      </c>
    </row>
    <row r="31" spans="8:17" x14ac:dyDescent="0.2">
      <c r="H31">
        <v>1</v>
      </c>
      <c r="I31" s="602">
        <f t="shared" ref="I31:I50" si="14">Lmin+(Lmax-Lmin)/20*H5</f>
        <v>1.6195833333333334E-6</v>
      </c>
      <c r="J31">
        <f t="shared" si="7"/>
        <v>9.2210526315789458</v>
      </c>
      <c r="K31">
        <f t="shared" si="8"/>
        <v>0.73387918122815776</v>
      </c>
      <c r="L31">
        <f t="shared" si="9"/>
        <v>4.078155470678726</v>
      </c>
      <c r="M31" s="602">
        <f t="shared" si="10"/>
        <v>4.078155470678726</v>
      </c>
      <c r="N31">
        <f t="shared" si="11"/>
        <v>0.33984628922322718</v>
      </c>
      <c r="O31">
        <f t="shared" si="12"/>
        <v>14.039077735339363</v>
      </c>
      <c r="Q31" t="str">
        <f t="shared" si="13"/>
        <v>BOOST</v>
      </c>
    </row>
    <row r="32" spans="8:17" x14ac:dyDescent="0.2">
      <c r="H32">
        <v>2</v>
      </c>
      <c r="I32" s="602">
        <f t="shared" si="14"/>
        <v>2.6308333333333337E-6</v>
      </c>
      <c r="J32">
        <f t="shared" si="7"/>
        <v>9.2210526315789458</v>
      </c>
      <c r="K32">
        <f t="shared" si="8"/>
        <v>0.73387918122815776</v>
      </c>
      <c r="L32">
        <f t="shared" si="9"/>
        <v>2.5105781302705426</v>
      </c>
      <c r="M32" s="602">
        <f t="shared" si="10"/>
        <v>2.5105781302705426</v>
      </c>
      <c r="N32">
        <f t="shared" si="11"/>
        <v>0.20921484418921188</v>
      </c>
      <c r="O32">
        <f t="shared" si="12"/>
        <v>13.255289065135271</v>
      </c>
      <c r="Q32" t="str">
        <f t="shared" si="13"/>
        <v>BOOST</v>
      </c>
    </row>
    <row r="33" spans="8:17" x14ac:dyDescent="0.2">
      <c r="H33">
        <v>3</v>
      </c>
      <c r="I33" s="602">
        <f t="shared" si="14"/>
        <v>3.6420833333333335E-6</v>
      </c>
      <c r="J33">
        <f t="shared" si="7"/>
        <v>9.2210526315789458</v>
      </c>
      <c r="K33">
        <f t="shared" si="8"/>
        <v>0.73387918122815776</v>
      </c>
      <c r="L33">
        <f t="shared" si="9"/>
        <v>1.8134984915373766</v>
      </c>
      <c r="M33" s="602">
        <f t="shared" si="10"/>
        <v>1.8134984915373766</v>
      </c>
      <c r="N33">
        <f t="shared" si="11"/>
        <v>0.15112487429478139</v>
      </c>
      <c r="O33">
        <f t="shared" si="12"/>
        <v>12.906749245768689</v>
      </c>
      <c r="Q33" t="str">
        <f t="shared" si="13"/>
        <v>BOOST</v>
      </c>
    </row>
    <row r="34" spans="8:17" x14ac:dyDescent="0.2">
      <c r="H34">
        <v>4</v>
      </c>
      <c r="I34" s="602">
        <f t="shared" si="14"/>
        <v>4.6533333333333334E-6</v>
      </c>
      <c r="J34">
        <f t="shared" si="7"/>
        <v>9.2210526315789458</v>
      </c>
      <c r="K34">
        <f t="shared" si="8"/>
        <v>0.73387918122815776</v>
      </c>
      <c r="L34">
        <f t="shared" si="9"/>
        <v>1.4193938318882711</v>
      </c>
      <c r="M34" s="602">
        <f t="shared" si="10"/>
        <v>1.4193938318882711</v>
      </c>
      <c r="N34">
        <f t="shared" si="11"/>
        <v>0.11828281932402258</v>
      </c>
      <c r="O34">
        <f t="shared" si="12"/>
        <v>12.709696915944136</v>
      </c>
      <c r="Q34" t="str">
        <f t="shared" si="13"/>
        <v>BOOST</v>
      </c>
    </row>
    <row r="35" spans="8:17" x14ac:dyDescent="0.2">
      <c r="H35">
        <v>5</v>
      </c>
      <c r="I35" s="602">
        <f t="shared" si="14"/>
        <v>5.6645833333333332E-6</v>
      </c>
      <c r="J35">
        <f t="shared" si="7"/>
        <v>9.2210526315789458</v>
      </c>
      <c r="K35">
        <f t="shared" si="8"/>
        <v>0.73387918122815776</v>
      </c>
      <c r="L35">
        <f t="shared" si="9"/>
        <v>1.1660014942646715</v>
      </c>
      <c r="M35" s="602">
        <f t="shared" si="10"/>
        <v>1.1660014942646715</v>
      </c>
      <c r="N35">
        <f t="shared" si="11"/>
        <v>9.7166791188722623E-2</v>
      </c>
      <c r="O35">
        <f t="shared" si="12"/>
        <v>12.583000747132335</v>
      </c>
      <c r="Q35" t="str">
        <f t="shared" si="13"/>
        <v>BOOST</v>
      </c>
    </row>
    <row r="36" spans="8:17" x14ac:dyDescent="0.2">
      <c r="H36">
        <v>6</v>
      </c>
      <c r="I36" s="602">
        <f t="shared" si="14"/>
        <v>6.6758333333333339E-6</v>
      </c>
      <c r="J36">
        <f t="shared" si="7"/>
        <v>9.2210526315789458</v>
      </c>
      <c r="K36">
        <f t="shared" si="8"/>
        <v>0.73387918122815776</v>
      </c>
      <c r="L36">
        <f t="shared" si="9"/>
        <v>0.98937650196780724</v>
      </c>
      <c r="M36" s="602">
        <f t="shared" si="10"/>
        <v>0.98937650196780724</v>
      </c>
      <c r="N36">
        <f t="shared" si="11"/>
        <v>8.2448041830650604E-2</v>
      </c>
      <c r="O36">
        <f t="shared" si="12"/>
        <v>12.494688250983904</v>
      </c>
      <c r="Q36" t="str">
        <f t="shared" si="13"/>
        <v>BOOST</v>
      </c>
    </row>
    <row r="37" spans="8:17" x14ac:dyDescent="0.2">
      <c r="H37">
        <v>7</v>
      </c>
      <c r="I37" s="602">
        <f t="shared" si="14"/>
        <v>7.6870833333333346E-6</v>
      </c>
      <c r="J37">
        <f t="shared" si="7"/>
        <v>9.2210526315789458</v>
      </c>
      <c r="K37">
        <f t="shared" si="8"/>
        <v>0.73387918122815776</v>
      </c>
      <c r="L37">
        <f t="shared" si="9"/>
        <v>0.85922219711248349</v>
      </c>
      <c r="M37" s="602">
        <f t="shared" si="10"/>
        <v>0.85922219711248349</v>
      </c>
      <c r="N37">
        <f t="shared" si="11"/>
        <v>7.1601849759373629E-2</v>
      </c>
      <c r="O37">
        <f t="shared" si="12"/>
        <v>12.429611098556242</v>
      </c>
      <c r="Q37" t="str">
        <f t="shared" si="13"/>
        <v>BOOST</v>
      </c>
    </row>
    <row r="38" spans="8:17" x14ac:dyDescent="0.2">
      <c r="H38">
        <v>8</v>
      </c>
      <c r="I38" s="602">
        <f t="shared" si="14"/>
        <v>8.6983333333333345E-6</v>
      </c>
      <c r="J38">
        <f t="shared" si="7"/>
        <v>9.2210526315789458</v>
      </c>
      <c r="K38">
        <f t="shared" si="8"/>
        <v>0.73387918122815776</v>
      </c>
      <c r="L38">
        <f t="shared" si="9"/>
        <v>0.75933082556659359</v>
      </c>
      <c r="M38" s="602">
        <f t="shared" si="10"/>
        <v>0.75933082556659359</v>
      </c>
      <c r="N38">
        <f t="shared" si="11"/>
        <v>6.3277568797216133E-2</v>
      </c>
      <c r="O38">
        <f t="shared" si="12"/>
        <v>12.379665412783297</v>
      </c>
      <c r="Q38" t="str">
        <f t="shared" si="13"/>
        <v>BOOST</v>
      </c>
    </row>
    <row r="39" spans="8:17" x14ac:dyDescent="0.2">
      <c r="H39">
        <v>9</v>
      </c>
      <c r="I39" s="602">
        <f t="shared" si="14"/>
        <v>9.7095833333333343E-6</v>
      </c>
      <c r="J39">
        <f t="shared" si="7"/>
        <v>9.2210526315789458</v>
      </c>
      <c r="K39">
        <f t="shared" si="8"/>
        <v>0.73387918122815776</v>
      </c>
      <c r="L39">
        <f t="shared" si="9"/>
        <v>0.68024676284290475</v>
      </c>
      <c r="M39" s="602">
        <f t="shared" si="10"/>
        <v>0.68024676284290475</v>
      </c>
      <c r="N39">
        <f t="shared" si="11"/>
        <v>5.6687230236908727E-2</v>
      </c>
      <c r="O39">
        <f t="shared" si="12"/>
        <v>12.340123381421453</v>
      </c>
      <c r="Q39" t="str">
        <f t="shared" si="13"/>
        <v>BOOST</v>
      </c>
    </row>
    <row r="40" spans="8:17" x14ac:dyDescent="0.2">
      <c r="H40">
        <v>10</v>
      </c>
      <c r="I40" s="602">
        <f t="shared" si="14"/>
        <v>1.0720833333333334E-5</v>
      </c>
      <c r="J40">
        <f t="shared" si="7"/>
        <v>9.2210526315789458</v>
      </c>
      <c r="K40">
        <f t="shared" si="8"/>
        <v>0.73387918122815776</v>
      </c>
      <c r="L40">
        <f t="shared" si="9"/>
        <v>0.61608201766530157</v>
      </c>
      <c r="M40" s="602">
        <f t="shared" si="10"/>
        <v>0.61608201766530157</v>
      </c>
      <c r="N40">
        <f t="shared" si="11"/>
        <v>5.1340168138775129E-2</v>
      </c>
      <c r="O40">
        <f t="shared" si="12"/>
        <v>12.308041008832651</v>
      </c>
      <c r="Q40" t="str">
        <f t="shared" si="13"/>
        <v>BOOST</v>
      </c>
    </row>
    <row r="41" spans="8:17" x14ac:dyDescent="0.2">
      <c r="H41">
        <v>11</v>
      </c>
      <c r="I41" s="602">
        <f t="shared" si="14"/>
        <v>1.1732083333333334E-5</v>
      </c>
      <c r="J41">
        <f t="shared" si="7"/>
        <v>9.2210526315789458</v>
      </c>
      <c r="K41">
        <f t="shared" si="8"/>
        <v>0.73387918122815776</v>
      </c>
      <c r="L41">
        <f t="shared" si="9"/>
        <v>0.56297866656704232</v>
      </c>
      <c r="M41" s="602">
        <f t="shared" si="10"/>
        <v>0.56297866656704232</v>
      </c>
      <c r="N41">
        <f t="shared" si="11"/>
        <v>4.6914888880586862E-2</v>
      </c>
      <c r="O41">
        <f t="shared" si="12"/>
        <v>12.28148933328352</v>
      </c>
      <c r="Q41" t="str">
        <f t="shared" si="13"/>
        <v>BOOST</v>
      </c>
    </row>
    <row r="42" spans="8:17" x14ac:dyDescent="0.2">
      <c r="H42">
        <v>12</v>
      </c>
      <c r="I42" s="602">
        <f t="shared" si="14"/>
        <v>1.2743333333333336E-5</v>
      </c>
      <c r="J42">
        <f t="shared" si="7"/>
        <v>9.2210526315789458</v>
      </c>
      <c r="K42">
        <f t="shared" si="8"/>
        <v>0.73387918122815776</v>
      </c>
      <c r="L42">
        <f t="shared" si="9"/>
        <v>0.51830337151870931</v>
      </c>
      <c r="M42" s="602">
        <f t="shared" si="10"/>
        <v>0.51830337151870931</v>
      </c>
      <c r="N42">
        <f t="shared" si="11"/>
        <v>4.3191947626559112E-2</v>
      </c>
      <c r="O42">
        <f t="shared" si="12"/>
        <v>12.259151685759354</v>
      </c>
      <c r="Q42" t="str">
        <f t="shared" si="13"/>
        <v>BOOST</v>
      </c>
    </row>
    <row r="43" spans="8:17" x14ac:dyDescent="0.2">
      <c r="H43">
        <v>13</v>
      </c>
      <c r="I43" s="602">
        <f t="shared" si="14"/>
        <v>1.3754583333333335E-5</v>
      </c>
      <c r="J43">
        <f t="shared" si="7"/>
        <v>9.2210526315789458</v>
      </c>
      <c r="K43">
        <f t="shared" si="8"/>
        <v>0.73387918122815776</v>
      </c>
      <c r="L43">
        <f t="shared" si="9"/>
        <v>0.48019721651959069</v>
      </c>
      <c r="M43" s="602">
        <f t="shared" si="10"/>
        <v>0.48019721651959069</v>
      </c>
      <c r="N43">
        <f t="shared" si="11"/>
        <v>4.0016434709965888E-2</v>
      </c>
      <c r="O43">
        <f t="shared" si="12"/>
        <v>12.240098608259796</v>
      </c>
      <c r="Q43" t="str">
        <f t="shared" si="13"/>
        <v>BOOST</v>
      </c>
    </row>
    <row r="44" spans="8:17" x14ac:dyDescent="0.2">
      <c r="H44">
        <v>14</v>
      </c>
      <c r="I44" s="602">
        <f t="shared" si="14"/>
        <v>1.4765833333333335E-5</v>
      </c>
      <c r="J44">
        <f t="shared" si="7"/>
        <v>9.2210526315789458</v>
      </c>
      <c r="K44">
        <f t="shared" si="8"/>
        <v>0.73387918122815776</v>
      </c>
      <c r="L44">
        <f t="shared" si="9"/>
        <v>0.44731052301281699</v>
      </c>
      <c r="M44" s="602">
        <f t="shared" si="10"/>
        <v>0.44731052301281699</v>
      </c>
      <c r="N44">
        <f t="shared" si="11"/>
        <v>3.7275876917734749E-2</v>
      </c>
      <c r="O44">
        <f t="shared" si="12"/>
        <v>12.223655261506408</v>
      </c>
      <c r="Q44" t="str">
        <f t="shared" si="13"/>
        <v>BOOST</v>
      </c>
    </row>
    <row r="45" spans="8:17" x14ac:dyDescent="0.2">
      <c r="H45">
        <v>15</v>
      </c>
      <c r="I45" s="602">
        <f t="shared" si="14"/>
        <v>1.5777083333333335E-5</v>
      </c>
      <c r="J45">
        <f t="shared" si="7"/>
        <v>9.2210526315789458</v>
      </c>
      <c r="K45">
        <f t="shared" si="8"/>
        <v>0.73387918122815776</v>
      </c>
      <c r="L45">
        <f t="shared" si="9"/>
        <v>0.41863964913583013</v>
      </c>
      <c r="M45" s="602">
        <f t="shared" si="10"/>
        <v>0.41863964913583013</v>
      </c>
      <c r="N45">
        <f t="shared" si="11"/>
        <v>3.4886637427985846E-2</v>
      </c>
      <c r="O45">
        <f t="shared" si="12"/>
        <v>12.209319824567915</v>
      </c>
      <c r="Q45" t="str">
        <f t="shared" si="13"/>
        <v>BOOST</v>
      </c>
    </row>
    <row r="46" spans="8:17" x14ac:dyDescent="0.2">
      <c r="H46">
        <v>16</v>
      </c>
      <c r="I46" s="602">
        <f t="shared" si="14"/>
        <v>1.6788333333333333E-5</v>
      </c>
      <c r="J46">
        <f t="shared" si="7"/>
        <v>9.2210526315789458</v>
      </c>
      <c r="K46">
        <f t="shared" si="8"/>
        <v>0.73387918122815776</v>
      </c>
      <c r="L46">
        <f t="shared" si="9"/>
        <v>0.39342277163030398</v>
      </c>
      <c r="M46" s="602">
        <f t="shared" si="10"/>
        <v>0.39342277163030398</v>
      </c>
      <c r="N46">
        <f t="shared" si="11"/>
        <v>3.2785230969191996E-2</v>
      </c>
      <c r="O46">
        <f t="shared" si="12"/>
        <v>12.196711385815153</v>
      </c>
      <c r="Q46" t="str">
        <f t="shared" si="13"/>
        <v>BOOST</v>
      </c>
    </row>
    <row r="47" spans="8:17" x14ac:dyDescent="0.2">
      <c r="H47">
        <v>17</v>
      </c>
      <c r="I47" s="602">
        <f t="shared" si="14"/>
        <v>1.7799583333333335E-5</v>
      </c>
      <c r="J47">
        <f t="shared" si="7"/>
        <v>9.2210526315789458</v>
      </c>
      <c r="K47">
        <f t="shared" si="8"/>
        <v>0.73387918122815776</v>
      </c>
      <c r="L47">
        <f t="shared" si="9"/>
        <v>0.37107119348599471</v>
      </c>
      <c r="M47" s="602">
        <f t="shared" si="10"/>
        <v>0.37107119348599471</v>
      </c>
      <c r="N47">
        <f t="shared" si="11"/>
        <v>3.0922599457166227E-2</v>
      </c>
      <c r="O47">
        <f t="shared" si="12"/>
        <v>12.185535596742998</v>
      </c>
      <c r="Q47" t="str">
        <f t="shared" si="13"/>
        <v>BOOST</v>
      </c>
    </row>
    <row r="48" spans="8:17" x14ac:dyDescent="0.2">
      <c r="H48">
        <v>18</v>
      </c>
      <c r="I48" s="602">
        <f t="shared" si="14"/>
        <v>1.8810833333333333E-5</v>
      </c>
      <c r="J48">
        <f t="shared" si="7"/>
        <v>9.2210526315789458</v>
      </c>
      <c r="K48">
        <f t="shared" si="8"/>
        <v>0.73387918122815776</v>
      </c>
      <c r="L48">
        <f t="shared" si="9"/>
        <v>0.3511228085440174</v>
      </c>
      <c r="M48" s="602">
        <f t="shared" si="10"/>
        <v>0.3511228085440174</v>
      </c>
      <c r="N48">
        <f t="shared" si="11"/>
        <v>2.9260234045334784E-2</v>
      </c>
      <c r="O48">
        <f t="shared" si="12"/>
        <v>12.175561404272008</v>
      </c>
      <c r="Q48" t="str">
        <f t="shared" si="13"/>
        <v>BOOST</v>
      </c>
    </row>
    <row r="49" spans="8:17" x14ac:dyDescent="0.2">
      <c r="H49">
        <v>19</v>
      </c>
      <c r="I49" s="602">
        <f t="shared" si="14"/>
        <v>1.9822083333333334E-5</v>
      </c>
      <c r="J49">
        <f t="shared" si="7"/>
        <v>9.2210526315789458</v>
      </c>
      <c r="K49">
        <f t="shared" si="8"/>
        <v>0.73387918122815776</v>
      </c>
      <c r="L49">
        <f t="shared" si="9"/>
        <v>0.33320981049183801</v>
      </c>
      <c r="M49" s="602">
        <f t="shared" si="10"/>
        <v>0.33320981049183801</v>
      </c>
      <c r="N49">
        <f t="shared" si="11"/>
        <v>2.7767484207653167E-2</v>
      </c>
      <c r="O49">
        <f t="shared" si="12"/>
        <v>12.166604905245919</v>
      </c>
      <c r="Q49" t="str">
        <f t="shared" si="13"/>
        <v>BOOST</v>
      </c>
    </row>
    <row r="50" spans="8:17" x14ac:dyDescent="0.2">
      <c r="H50">
        <v>20</v>
      </c>
      <c r="I50" s="602">
        <f t="shared" si="14"/>
        <v>2.0833333333333333E-5</v>
      </c>
      <c r="J50">
        <f t="shared" si="7"/>
        <v>9.2210526315789458</v>
      </c>
      <c r="K50">
        <f t="shared" si="8"/>
        <v>0.73387918122815776</v>
      </c>
      <c r="L50">
        <f t="shared" si="9"/>
        <v>0.31703580629056416</v>
      </c>
      <c r="M50" s="602">
        <f t="shared" si="10"/>
        <v>0.31703580629056416</v>
      </c>
      <c r="N50">
        <f t="shared" si="11"/>
        <v>2.6419650524213679E-2</v>
      </c>
      <c r="O50">
        <f t="shared" si="12"/>
        <v>12.158517903145283</v>
      </c>
      <c r="Q50" t="str">
        <f t="shared" si="13"/>
        <v>BOOST</v>
      </c>
    </row>
    <row r="54" spans="8:17" x14ac:dyDescent="0.2">
      <c r="H54" s="114" t="s">
        <v>4</v>
      </c>
      <c r="I54">
        <f>VIN_nom</f>
        <v>23.6</v>
      </c>
    </row>
    <row r="55" spans="8:17" x14ac:dyDescent="0.2">
      <c r="I55" s="114" t="s">
        <v>60</v>
      </c>
      <c r="J55" s="114" t="s">
        <v>402</v>
      </c>
      <c r="K55" s="114" t="s">
        <v>904</v>
      </c>
      <c r="L55" s="114" t="s">
        <v>1038</v>
      </c>
      <c r="N55" s="114" t="s">
        <v>1037</v>
      </c>
      <c r="O55" s="114" t="s">
        <v>1039</v>
      </c>
    </row>
    <row r="56" spans="8:17" x14ac:dyDescent="0.2">
      <c r="H56">
        <v>0</v>
      </c>
      <c r="I56" s="602">
        <f>Lmin</f>
        <v>6.0833333333333337E-7</v>
      </c>
      <c r="J56">
        <f t="shared" ref="J56:J76" si="15">Pin/$I$54</f>
        <v>7.8144513826940223</v>
      </c>
      <c r="K56">
        <f t="shared" ref="K56:K76" si="16">IF($I$54&gt;Vout, (Vout+Iout*(Rdcr+Rs))/($I$54+Iout*Rs), (Vout-$I$54+J56*(Rdcr))/(Vout-J56*Rs))</f>
        <v>0.62207363520947945</v>
      </c>
      <c r="L56">
        <f t="shared" ref="L56:L76" si="17">IF($I$54&gt;Vout, ($I$54-Vout)*K56/(Fsw*I56),$I$54*K56/(I56*Fsw))</f>
        <v>15.338801964069358</v>
      </c>
      <c r="M56" s="602">
        <f t="shared" ref="M56:M76" si="18">($I$54-Vout)*K56/(Fsw*I56)</f>
        <v>15.338801964069358</v>
      </c>
      <c r="N56">
        <f t="shared" ref="N56:N76" si="19">IF($I$54&gt;Vout, L56/Iout, L56/J56)</f>
        <v>1.2782334970057798</v>
      </c>
      <c r="O56">
        <f t="shared" ref="O56:O76" si="20">IF($I$80&gt;Vout, L56/2+Iout, L56/2+J56)</f>
        <v>19.669400982034681</v>
      </c>
      <c r="Q56" t="str">
        <f t="shared" ref="Q56:Q76" si="21">IF(I56&gt;Vout, "BUCK", "BOOST")</f>
        <v>BOOST</v>
      </c>
    </row>
    <row r="57" spans="8:17" x14ac:dyDescent="0.2">
      <c r="H57">
        <v>1</v>
      </c>
      <c r="I57" s="602">
        <f t="shared" ref="I57:I76" si="22">Lmin+(Lmax-Lmin)/20*H31</f>
        <v>1.6195833333333334E-6</v>
      </c>
      <c r="J57">
        <f t="shared" si="15"/>
        <v>7.8144513826940223</v>
      </c>
      <c r="K57">
        <f t="shared" si="16"/>
        <v>0.62207363520947945</v>
      </c>
      <c r="L57">
        <f t="shared" si="17"/>
        <v>5.7614229142118001</v>
      </c>
      <c r="M57" s="602">
        <f t="shared" si="18"/>
        <v>5.7614229142118001</v>
      </c>
      <c r="N57">
        <f t="shared" si="19"/>
        <v>0.48011857618431669</v>
      </c>
      <c r="O57">
        <f t="shared" si="20"/>
        <v>14.8807114571059</v>
      </c>
      <c r="Q57" t="str">
        <f t="shared" si="21"/>
        <v>BOOST</v>
      </c>
    </row>
    <row r="58" spans="8:17" x14ac:dyDescent="0.2">
      <c r="H58">
        <v>2</v>
      </c>
      <c r="I58" s="602">
        <f t="shared" si="22"/>
        <v>2.6308333333333337E-6</v>
      </c>
      <c r="J58">
        <f t="shared" si="15"/>
        <v>7.8144513826940223</v>
      </c>
      <c r="K58">
        <f t="shared" si="16"/>
        <v>0.62207363520947945</v>
      </c>
      <c r="L58">
        <f t="shared" si="17"/>
        <v>3.5468246543460982</v>
      </c>
      <c r="M58" s="602">
        <f t="shared" si="18"/>
        <v>3.5468246543460982</v>
      </c>
      <c r="N58">
        <f t="shared" si="19"/>
        <v>0.2955687211955082</v>
      </c>
      <c r="O58">
        <f t="shared" si="20"/>
        <v>13.773412327173048</v>
      </c>
      <c r="Q58" t="str">
        <f t="shared" si="21"/>
        <v>BOOST</v>
      </c>
    </row>
    <row r="59" spans="8:17" x14ac:dyDescent="0.2">
      <c r="H59">
        <v>3</v>
      </c>
      <c r="I59" s="602">
        <f t="shared" si="22"/>
        <v>3.6420833333333335E-6</v>
      </c>
      <c r="J59">
        <f t="shared" si="15"/>
        <v>7.8144513826940223</v>
      </c>
      <c r="K59">
        <f t="shared" si="16"/>
        <v>0.62207363520947945</v>
      </c>
      <c r="L59">
        <f t="shared" si="17"/>
        <v>2.5620238951540175</v>
      </c>
      <c r="M59" s="602">
        <f t="shared" si="18"/>
        <v>2.5620238951540175</v>
      </c>
      <c r="N59">
        <f t="shared" si="19"/>
        <v>0.21350199126283478</v>
      </c>
      <c r="O59">
        <f t="shared" si="20"/>
        <v>13.281011947577008</v>
      </c>
      <c r="Q59" t="str">
        <f t="shared" si="21"/>
        <v>BOOST</v>
      </c>
    </row>
    <row r="60" spans="8:17" x14ac:dyDescent="0.2">
      <c r="H60">
        <v>4</v>
      </c>
      <c r="I60" s="602">
        <f t="shared" si="22"/>
        <v>4.6533333333333334E-6</v>
      </c>
      <c r="J60">
        <f t="shared" si="15"/>
        <v>7.8144513826940223</v>
      </c>
      <c r="K60">
        <f t="shared" si="16"/>
        <v>0.62207363520947945</v>
      </c>
      <c r="L60">
        <f t="shared" si="17"/>
        <v>2.0052516894288384</v>
      </c>
      <c r="M60" s="602">
        <f t="shared" si="18"/>
        <v>2.0052516894288384</v>
      </c>
      <c r="N60">
        <f t="shared" si="19"/>
        <v>0.16710430745240321</v>
      </c>
      <c r="O60">
        <f t="shared" si="20"/>
        <v>13.002625844714419</v>
      </c>
      <c r="Q60" t="str">
        <f t="shared" si="21"/>
        <v>BOOST</v>
      </c>
    </row>
    <row r="61" spans="8:17" x14ac:dyDescent="0.2">
      <c r="H61">
        <v>5</v>
      </c>
      <c r="I61" s="602">
        <f t="shared" si="22"/>
        <v>5.6645833333333332E-6</v>
      </c>
      <c r="J61">
        <f t="shared" si="15"/>
        <v>7.8144513826940223</v>
      </c>
      <c r="K61">
        <f t="shared" si="16"/>
        <v>0.62207363520947945</v>
      </c>
      <c r="L61">
        <f t="shared" si="17"/>
        <v>1.6472711193483829</v>
      </c>
      <c r="M61" s="602">
        <f t="shared" si="18"/>
        <v>1.6472711193483829</v>
      </c>
      <c r="N61">
        <f t="shared" si="19"/>
        <v>0.13727259327903191</v>
      </c>
      <c r="O61">
        <f t="shared" si="20"/>
        <v>12.823635559674191</v>
      </c>
      <c r="Q61" t="str">
        <f t="shared" si="21"/>
        <v>BOOST</v>
      </c>
    </row>
    <row r="62" spans="8:17" x14ac:dyDescent="0.2">
      <c r="H62">
        <v>6</v>
      </c>
      <c r="I62" s="602">
        <f t="shared" si="22"/>
        <v>6.6758333333333339E-6</v>
      </c>
      <c r="J62">
        <f t="shared" si="15"/>
        <v>7.8144513826940223</v>
      </c>
      <c r="K62">
        <f t="shared" si="16"/>
        <v>0.62207363520947945</v>
      </c>
      <c r="L62">
        <f t="shared" si="17"/>
        <v>1.3977437815217366</v>
      </c>
      <c r="M62" s="602">
        <f t="shared" si="18"/>
        <v>1.3977437815217366</v>
      </c>
      <c r="N62">
        <f t="shared" si="19"/>
        <v>0.11647864846014472</v>
      </c>
      <c r="O62">
        <f t="shared" si="20"/>
        <v>12.698871890760868</v>
      </c>
      <c r="Q62" t="str">
        <f t="shared" si="21"/>
        <v>BOOST</v>
      </c>
    </row>
    <row r="63" spans="8:17" x14ac:dyDescent="0.2">
      <c r="H63">
        <v>7</v>
      </c>
      <c r="I63" s="602">
        <f t="shared" si="22"/>
        <v>7.6870833333333346E-6</v>
      </c>
      <c r="J63">
        <f t="shared" si="15"/>
        <v>7.8144513826940223</v>
      </c>
      <c r="K63">
        <f t="shared" si="16"/>
        <v>0.62207363520947945</v>
      </c>
      <c r="L63">
        <f t="shared" si="17"/>
        <v>1.2138680073468082</v>
      </c>
      <c r="M63" s="602">
        <f t="shared" si="18"/>
        <v>1.2138680073468082</v>
      </c>
      <c r="N63">
        <f t="shared" si="19"/>
        <v>0.10115566727890068</v>
      </c>
      <c r="O63">
        <f t="shared" si="20"/>
        <v>12.606934003673404</v>
      </c>
      <c r="Q63" t="str">
        <f t="shared" si="21"/>
        <v>BOOST</v>
      </c>
    </row>
    <row r="64" spans="8:17" x14ac:dyDescent="0.2">
      <c r="H64">
        <v>8</v>
      </c>
      <c r="I64" s="602">
        <f t="shared" si="22"/>
        <v>8.6983333333333345E-6</v>
      </c>
      <c r="J64">
        <f t="shared" si="15"/>
        <v>7.8144513826940223</v>
      </c>
      <c r="K64">
        <f t="shared" si="16"/>
        <v>0.62207363520947945</v>
      </c>
      <c r="L64">
        <f t="shared" si="17"/>
        <v>1.0727462573070159</v>
      </c>
      <c r="M64" s="602">
        <f t="shared" si="18"/>
        <v>1.0727462573070159</v>
      </c>
      <c r="N64">
        <f t="shared" si="19"/>
        <v>8.9395521442251324E-2</v>
      </c>
      <c r="O64">
        <f t="shared" si="20"/>
        <v>12.536373128653509</v>
      </c>
      <c r="Q64" t="str">
        <f t="shared" si="21"/>
        <v>BOOST</v>
      </c>
    </row>
    <row r="65" spans="8:29" x14ac:dyDescent="0.2">
      <c r="H65">
        <v>9</v>
      </c>
      <c r="I65" s="602">
        <f t="shared" si="22"/>
        <v>9.7095833333333343E-6</v>
      </c>
      <c r="J65">
        <f t="shared" si="15"/>
        <v>7.8144513826940223</v>
      </c>
      <c r="K65">
        <f t="shared" si="16"/>
        <v>0.62207363520947945</v>
      </c>
      <c r="L65">
        <f t="shared" si="17"/>
        <v>0.96102007756689123</v>
      </c>
      <c r="M65" s="602">
        <f t="shared" si="18"/>
        <v>0.96102007756689123</v>
      </c>
      <c r="N65">
        <f t="shared" si="19"/>
        <v>8.0085006463907607E-2</v>
      </c>
      <c r="O65">
        <f t="shared" si="20"/>
        <v>12.480510038783446</v>
      </c>
      <c r="Q65" t="str">
        <f t="shared" si="21"/>
        <v>BOOST</v>
      </c>
    </row>
    <row r="66" spans="8:29" x14ac:dyDescent="0.2">
      <c r="H66">
        <v>10</v>
      </c>
      <c r="I66" s="602">
        <f t="shared" si="22"/>
        <v>1.0720833333333334E-5</v>
      </c>
      <c r="J66">
        <f t="shared" si="15"/>
        <v>7.8144513826940223</v>
      </c>
      <c r="K66">
        <f t="shared" si="16"/>
        <v>0.62207363520947945</v>
      </c>
      <c r="L66">
        <f t="shared" si="17"/>
        <v>0.87037119578473632</v>
      </c>
      <c r="M66" s="602">
        <f t="shared" si="18"/>
        <v>0.87037119578473632</v>
      </c>
      <c r="N66">
        <f t="shared" si="19"/>
        <v>7.2530932982061355E-2</v>
      </c>
      <c r="O66">
        <f t="shared" si="20"/>
        <v>12.435185597892367</v>
      </c>
      <c r="Q66" t="str">
        <f t="shared" si="21"/>
        <v>BOOST</v>
      </c>
    </row>
    <row r="67" spans="8:29" x14ac:dyDescent="0.2">
      <c r="H67">
        <v>11</v>
      </c>
      <c r="I67" s="602">
        <f t="shared" si="22"/>
        <v>1.1732083333333334E-5</v>
      </c>
      <c r="J67">
        <f t="shared" si="15"/>
        <v>7.8144513826940223</v>
      </c>
      <c r="K67">
        <f t="shared" si="16"/>
        <v>0.62207363520947945</v>
      </c>
      <c r="L67">
        <f t="shared" si="17"/>
        <v>0.79534932228366895</v>
      </c>
      <c r="M67" s="602">
        <f t="shared" si="18"/>
        <v>0.79534932228366895</v>
      </c>
      <c r="N67">
        <f t="shared" si="19"/>
        <v>6.6279110190305746E-2</v>
      </c>
      <c r="O67">
        <f t="shared" si="20"/>
        <v>12.397674661141835</v>
      </c>
      <c r="Q67" t="str">
        <f t="shared" si="21"/>
        <v>BOOST</v>
      </c>
    </row>
    <row r="68" spans="8:29" x14ac:dyDescent="0.2">
      <c r="H68">
        <v>12</v>
      </c>
      <c r="I68" s="602">
        <f t="shared" si="22"/>
        <v>1.2743333333333336E-5</v>
      </c>
      <c r="J68">
        <f t="shared" si="15"/>
        <v>7.8144513826940223</v>
      </c>
      <c r="K68">
        <f t="shared" si="16"/>
        <v>0.62207363520947945</v>
      </c>
      <c r="L68">
        <f t="shared" si="17"/>
        <v>0.73223420309773934</v>
      </c>
      <c r="M68" s="602">
        <f t="shared" si="18"/>
        <v>0.73223420309773934</v>
      </c>
      <c r="N68">
        <f t="shared" si="19"/>
        <v>6.1019516924811612E-2</v>
      </c>
      <c r="O68">
        <f t="shared" si="20"/>
        <v>12.36611710154887</v>
      </c>
      <c r="Q68" t="str">
        <f t="shared" si="21"/>
        <v>BOOST</v>
      </c>
    </row>
    <row r="69" spans="8:29" x14ac:dyDescent="0.2">
      <c r="H69">
        <v>13</v>
      </c>
      <c r="I69" s="602">
        <f t="shared" si="22"/>
        <v>1.3754583333333335E-5</v>
      </c>
      <c r="J69">
        <f t="shared" si="15"/>
        <v>7.8144513826940223</v>
      </c>
      <c r="K69">
        <f t="shared" si="16"/>
        <v>0.62207363520947945</v>
      </c>
      <c r="L69">
        <f t="shared" si="17"/>
        <v>0.67839965064800412</v>
      </c>
      <c r="M69" s="602">
        <f t="shared" si="18"/>
        <v>0.67839965064800412</v>
      </c>
      <c r="N69">
        <f t="shared" si="19"/>
        <v>5.6533304220667012E-2</v>
      </c>
      <c r="O69">
        <f t="shared" si="20"/>
        <v>12.339199825324002</v>
      </c>
      <c r="Q69" t="str">
        <f t="shared" si="21"/>
        <v>BOOST</v>
      </c>
    </row>
    <row r="70" spans="8:29" x14ac:dyDescent="0.2">
      <c r="H70">
        <v>14</v>
      </c>
      <c r="I70" s="602">
        <f t="shared" si="22"/>
        <v>1.4765833333333335E-5</v>
      </c>
      <c r="J70">
        <f t="shared" si="15"/>
        <v>7.8144513826940223</v>
      </c>
      <c r="K70">
        <f t="shared" si="16"/>
        <v>0.62207363520947945</v>
      </c>
      <c r="L70">
        <f t="shared" si="17"/>
        <v>0.63193890364979022</v>
      </c>
      <c r="M70" s="602">
        <f t="shared" si="18"/>
        <v>0.63193890364979022</v>
      </c>
      <c r="N70">
        <f t="shared" si="19"/>
        <v>5.2661575304149187E-2</v>
      </c>
      <c r="O70">
        <f t="shared" si="20"/>
        <v>12.315969451824895</v>
      </c>
      <c r="Q70" t="str">
        <f t="shared" si="21"/>
        <v>BOOST</v>
      </c>
    </row>
    <row r="71" spans="8:29" x14ac:dyDescent="0.2">
      <c r="H71">
        <v>15</v>
      </c>
      <c r="I71" s="602">
        <f t="shared" si="22"/>
        <v>1.5777083333333335E-5</v>
      </c>
      <c r="J71">
        <f t="shared" si="15"/>
        <v>7.8144513826940223</v>
      </c>
      <c r="K71">
        <f t="shared" si="16"/>
        <v>0.62207363520947945</v>
      </c>
      <c r="L71">
        <f t="shared" si="17"/>
        <v>0.591434064902714</v>
      </c>
      <c r="M71" s="602">
        <f t="shared" si="18"/>
        <v>0.591434064902714</v>
      </c>
      <c r="N71">
        <f t="shared" si="19"/>
        <v>4.9286172075226169E-2</v>
      </c>
      <c r="O71">
        <f t="shared" si="20"/>
        <v>12.295717032451357</v>
      </c>
      <c r="Q71" t="str">
        <f t="shared" si="21"/>
        <v>BOOST</v>
      </c>
    </row>
    <row r="72" spans="8:29" x14ac:dyDescent="0.2">
      <c r="H72">
        <v>16</v>
      </c>
      <c r="I72" s="602">
        <f t="shared" si="22"/>
        <v>1.6788333333333333E-5</v>
      </c>
      <c r="J72">
        <f t="shared" si="15"/>
        <v>7.8144513826940223</v>
      </c>
      <c r="K72">
        <f t="shared" si="16"/>
        <v>0.62207363520947945</v>
      </c>
      <c r="L72">
        <f t="shared" si="17"/>
        <v>0.55580886695972564</v>
      </c>
      <c r="M72" s="602">
        <f t="shared" si="18"/>
        <v>0.55580886695972564</v>
      </c>
      <c r="N72">
        <f t="shared" si="19"/>
        <v>4.6317405579977135E-2</v>
      </c>
      <c r="O72">
        <f t="shared" si="20"/>
        <v>12.277904433479863</v>
      </c>
      <c r="Q72" t="str">
        <f t="shared" si="21"/>
        <v>BOOST</v>
      </c>
    </row>
    <row r="73" spans="8:29" x14ac:dyDescent="0.2">
      <c r="H73">
        <v>17</v>
      </c>
      <c r="I73" s="602">
        <f t="shared" si="22"/>
        <v>1.7799583333333335E-5</v>
      </c>
      <c r="J73">
        <f t="shared" si="15"/>
        <v>7.8144513826940223</v>
      </c>
      <c r="K73">
        <f t="shared" si="16"/>
        <v>0.62207363520947945</v>
      </c>
      <c r="L73">
        <f t="shared" si="17"/>
        <v>0.52423162685318625</v>
      </c>
      <c r="M73" s="602">
        <f t="shared" si="18"/>
        <v>0.52423162685318625</v>
      </c>
      <c r="N73">
        <f t="shared" si="19"/>
        <v>4.3685968904432187E-2</v>
      </c>
      <c r="O73">
        <f t="shared" si="20"/>
        <v>12.262115813426593</v>
      </c>
      <c r="Q73" t="str">
        <f t="shared" si="21"/>
        <v>BOOST</v>
      </c>
    </row>
    <row r="74" spans="8:29" x14ac:dyDescent="0.2">
      <c r="H74">
        <v>18</v>
      </c>
      <c r="I74" s="602">
        <f t="shared" si="22"/>
        <v>1.8810833333333333E-5</v>
      </c>
      <c r="J74">
        <f t="shared" si="15"/>
        <v>7.8144513826940223</v>
      </c>
      <c r="K74">
        <f t="shared" si="16"/>
        <v>0.62207363520947945</v>
      </c>
      <c r="L74">
        <f t="shared" si="17"/>
        <v>0.49604950311303914</v>
      </c>
      <c r="M74" s="602">
        <f t="shared" si="18"/>
        <v>0.49604950311303914</v>
      </c>
      <c r="N74">
        <f t="shared" si="19"/>
        <v>4.1337458592753264E-2</v>
      </c>
      <c r="O74">
        <f t="shared" si="20"/>
        <v>12.248024751556519</v>
      </c>
      <c r="Q74" t="str">
        <f t="shared" si="21"/>
        <v>BOOST</v>
      </c>
    </row>
    <row r="75" spans="8:29" x14ac:dyDescent="0.2">
      <c r="H75">
        <v>19</v>
      </c>
      <c r="I75" s="602">
        <f t="shared" si="22"/>
        <v>1.9822083333333334E-5</v>
      </c>
      <c r="J75">
        <f t="shared" si="15"/>
        <v>7.8144513826940223</v>
      </c>
      <c r="K75">
        <f t="shared" si="16"/>
        <v>0.62207363520947945</v>
      </c>
      <c r="L75">
        <f t="shared" si="17"/>
        <v>0.47074287658001945</v>
      </c>
      <c r="M75" s="602">
        <f t="shared" si="18"/>
        <v>0.47074287658001945</v>
      </c>
      <c r="N75">
        <f t="shared" si="19"/>
        <v>3.9228573048334957E-2</v>
      </c>
      <c r="O75">
        <f t="shared" si="20"/>
        <v>12.235371438290009</v>
      </c>
      <c r="Q75" t="str">
        <f t="shared" si="21"/>
        <v>BOOST</v>
      </c>
    </row>
    <row r="76" spans="8:29" x14ac:dyDescent="0.2">
      <c r="H76">
        <v>20</v>
      </c>
      <c r="I76" s="602">
        <f t="shared" si="22"/>
        <v>2.0833333333333333E-5</v>
      </c>
      <c r="J76">
        <f t="shared" si="15"/>
        <v>7.8144513826940223</v>
      </c>
      <c r="K76">
        <f t="shared" si="16"/>
        <v>0.62207363520947945</v>
      </c>
      <c r="L76">
        <f t="shared" si="17"/>
        <v>0.44789301735082532</v>
      </c>
      <c r="M76" s="602">
        <f t="shared" si="18"/>
        <v>0.44789301735082532</v>
      </c>
      <c r="N76">
        <f t="shared" si="19"/>
        <v>3.7324418112568779E-2</v>
      </c>
      <c r="O76">
        <f t="shared" si="20"/>
        <v>12.223946508675413</v>
      </c>
      <c r="Q76" t="str">
        <f t="shared" si="21"/>
        <v>BOOST</v>
      </c>
    </row>
    <row r="80" spans="8:29" x14ac:dyDescent="0.2">
      <c r="H80" s="114" t="s">
        <v>4</v>
      </c>
      <c r="I80">
        <f>VIN_max</f>
        <v>34</v>
      </c>
      <c r="S80" s="114" t="s">
        <v>1038</v>
      </c>
      <c r="X80" s="114" t="s">
        <v>1039</v>
      </c>
      <c r="AC80" s="114" t="s">
        <v>1037</v>
      </c>
    </row>
    <row r="81" spans="8:31" x14ac:dyDescent="0.2">
      <c r="I81" s="114" t="s">
        <v>60</v>
      </c>
      <c r="J81" s="114" t="s">
        <v>402</v>
      </c>
      <c r="K81" s="114" t="s">
        <v>904</v>
      </c>
      <c r="L81" s="114" t="s">
        <v>1038</v>
      </c>
      <c r="N81" s="114" t="s">
        <v>1037</v>
      </c>
      <c r="O81" s="114" t="s">
        <v>1039</v>
      </c>
      <c r="R81" t="str">
        <f>I81</f>
        <v>L</v>
      </c>
      <c r="S81" s="114" t="str">
        <f>CONCATENATE("Vin = ",$I$28," V")</f>
        <v>Vin = 20 V</v>
      </c>
      <c r="T81" s="114" t="str">
        <f>CONCATENATE("Vin = ",$I$54," V")</f>
        <v>Vin = 23.6 V</v>
      </c>
      <c r="U81" s="114" t="str">
        <f>CONCATENATE("Vin = ",$I$80," V")</f>
        <v>Vin = 34 V</v>
      </c>
      <c r="W81" t="str">
        <f>I81</f>
        <v>L</v>
      </c>
      <c r="X81" s="114" t="str">
        <f>CONCATENATE("Vin = ",$I$28," V")</f>
        <v>Vin = 20 V</v>
      </c>
      <c r="Y81" s="114" t="str">
        <f>CONCATENATE("Vin = ",$I$54," V")</f>
        <v>Vin = 23.6 V</v>
      </c>
      <c r="Z81" s="114" t="str">
        <f>CONCATENATE("Vin = ",$I$80," V")</f>
        <v>Vin = 34 V</v>
      </c>
      <c r="AB81" t="str">
        <f>I81</f>
        <v>L</v>
      </c>
      <c r="AC81" s="114" t="str">
        <f>CONCATENATE("Vin = ",$I$28," V")</f>
        <v>Vin = 20 V</v>
      </c>
      <c r="AD81" s="114" t="str">
        <f>CONCATENATE("Vin = ",$I$54," V")</f>
        <v>Vin = 23.6 V</v>
      </c>
      <c r="AE81" s="114" t="str">
        <f>CONCATENATE("Vin = ",$I$80," V")</f>
        <v>Vin = 34 V</v>
      </c>
    </row>
    <row r="82" spans="8:31" x14ac:dyDescent="0.2">
      <c r="H82">
        <v>0</v>
      </c>
      <c r="I82" s="602">
        <f>Lmin</f>
        <v>6.0833333333333337E-7</v>
      </c>
      <c r="J82">
        <f t="shared" ref="J82:J102" si="23">Pin/$I$80</f>
        <v>5.4241486068111451</v>
      </c>
      <c r="K82">
        <f t="shared" ref="K82:K102" si="24">IF($I$80&gt;Vout, (Vout+Iout*(Rdcr+Rs))/($I$80+Iout*Rs), (Vout-$I$80+J82*(Rdcr))/(Vout-J82*Rs))</f>
        <v>0.43196003526300325</v>
      </c>
      <c r="L82">
        <f t="shared" ref="L82:L102" si="25">IF($I$80&gt;Vout, ($I$80-Vout)*K82/(Fsw*I82),$I$80*K82/(I82*Fsw))</f>
        <v>22.958971737266467</v>
      </c>
      <c r="M82" s="602">
        <f t="shared" ref="M82:M102" si="26">($I$80-Vout)*K82/(Fsw*I82)</f>
        <v>22.958971737266467</v>
      </c>
      <c r="N82">
        <f t="shared" ref="N82:N102" si="27">IF($I$80&gt;Vout, L82/Iout, L82/J82)</f>
        <v>1.9132476447722055</v>
      </c>
      <c r="O82">
        <f t="shared" ref="O82:O102" si="28">IF($I$80&gt;Vout, L82/2+Iout, L82/2+J82)</f>
        <v>23.479485868633233</v>
      </c>
      <c r="Q82" t="str">
        <f t="shared" ref="Q82:Q102" si="29">IF(I82&gt;Vout, "BUCK", "BOOST")</f>
        <v>BOOST</v>
      </c>
      <c r="R82" s="669">
        <f t="shared" ref="R82" si="30">I82*1000000</f>
        <v>0.60833333333333339</v>
      </c>
      <c r="S82">
        <f>L30</f>
        <v>10.857390626389183</v>
      </c>
      <c r="T82">
        <f>L56</f>
        <v>15.338801964069358</v>
      </c>
      <c r="U82">
        <f>L82</f>
        <v>22.958971737266467</v>
      </c>
      <c r="W82">
        <f t="shared" ref="W82" si="31">I82</f>
        <v>6.0833333333333337E-7</v>
      </c>
      <c r="X82">
        <f>O30</f>
        <v>17.428695313194591</v>
      </c>
      <c r="Y82">
        <f>O56</f>
        <v>19.669400982034681</v>
      </c>
      <c r="Z82">
        <f>O82</f>
        <v>23.479485868633233</v>
      </c>
      <c r="AB82" s="669">
        <f t="shared" ref="AB82:AB102" si="32">I82*1000000</f>
        <v>0.60833333333333339</v>
      </c>
      <c r="AC82" s="668">
        <f t="shared" ref="AC82:AC102" si="33">N30</f>
        <v>0.90478255219909853</v>
      </c>
      <c r="AD82" s="668">
        <f t="shared" ref="AD82:AD102" si="34">N56</f>
        <v>1.2782334970057798</v>
      </c>
      <c r="AE82" s="668">
        <f t="shared" ref="AE82:AE102" si="35">N82</f>
        <v>1.9132476447722055</v>
      </c>
    </row>
    <row r="83" spans="8:31" x14ac:dyDescent="0.2">
      <c r="H83">
        <v>1</v>
      </c>
      <c r="I83" s="602">
        <f t="shared" ref="I83:I102" si="36">Lmin+(Lmax-Lmin)/20*H57</f>
        <v>1.6195833333333334E-6</v>
      </c>
      <c r="J83">
        <f t="shared" si="23"/>
        <v>5.4241486068111451</v>
      </c>
      <c r="K83">
        <f t="shared" si="24"/>
        <v>0.43196003526300325</v>
      </c>
      <c r="L83">
        <f t="shared" si="25"/>
        <v>8.6236425871903908</v>
      </c>
      <c r="M83" s="602">
        <f t="shared" si="26"/>
        <v>8.6236425871903908</v>
      </c>
      <c r="N83">
        <f t="shared" si="27"/>
        <v>0.71863688226586586</v>
      </c>
      <c r="O83">
        <f t="shared" si="28"/>
        <v>16.311821293595195</v>
      </c>
      <c r="Q83" t="str">
        <f t="shared" si="29"/>
        <v>BOOST</v>
      </c>
      <c r="R83" s="669">
        <f>I83*1000000</f>
        <v>1.6195833333333334</v>
      </c>
      <c r="S83">
        <f t="shared" ref="S83:S102" si="37">L31</f>
        <v>4.078155470678726</v>
      </c>
      <c r="T83">
        <f t="shared" ref="T83:T102" si="38">L57</f>
        <v>5.7614229142118001</v>
      </c>
      <c r="U83">
        <f t="shared" ref="U83:U102" si="39">L83</f>
        <v>8.6236425871903908</v>
      </c>
      <c r="W83">
        <f t="shared" ref="W83:W102" si="40">I83</f>
        <v>1.6195833333333334E-6</v>
      </c>
      <c r="X83">
        <f t="shared" ref="X83:X102" si="41">O31</f>
        <v>14.039077735339363</v>
      </c>
      <c r="Y83">
        <f t="shared" ref="Y83:Y102" si="42">O57</f>
        <v>14.8807114571059</v>
      </c>
      <c r="Z83">
        <f t="shared" ref="Z83:Z102" si="43">O83</f>
        <v>16.311821293595195</v>
      </c>
      <c r="AB83" s="669">
        <f t="shared" si="32"/>
        <v>1.6195833333333334</v>
      </c>
      <c r="AC83" s="668">
        <f t="shared" si="33"/>
        <v>0.33984628922322718</v>
      </c>
      <c r="AD83" s="668">
        <f t="shared" si="34"/>
        <v>0.48011857618431669</v>
      </c>
      <c r="AE83" s="668">
        <f t="shared" si="35"/>
        <v>0.71863688226586586</v>
      </c>
    </row>
    <row r="84" spans="8:31" x14ac:dyDescent="0.2">
      <c r="H84">
        <v>2</v>
      </c>
      <c r="I84" s="602">
        <f t="shared" si="36"/>
        <v>2.6308333333333337E-6</v>
      </c>
      <c r="J84">
        <f t="shared" si="23"/>
        <v>5.4241486068111451</v>
      </c>
      <c r="K84">
        <f t="shared" si="24"/>
        <v>0.43196003526300325</v>
      </c>
      <c r="L84">
        <f t="shared" si="25"/>
        <v>5.3088531416549003</v>
      </c>
      <c r="M84" s="602">
        <f t="shared" si="26"/>
        <v>5.3088531416549003</v>
      </c>
      <c r="N84">
        <f t="shared" si="27"/>
        <v>0.44240442847124167</v>
      </c>
      <c r="O84">
        <f t="shared" si="28"/>
        <v>14.65442657082745</v>
      </c>
      <c r="Q84" t="str">
        <f t="shared" si="29"/>
        <v>BOOST</v>
      </c>
      <c r="R84" s="669">
        <f t="shared" ref="R84:R102" si="44">I84*1000000</f>
        <v>2.6308333333333338</v>
      </c>
      <c r="S84">
        <f t="shared" si="37"/>
        <v>2.5105781302705426</v>
      </c>
      <c r="T84">
        <f t="shared" si="38"/>
        <v>3.5468246543460982</v>
      </c>
      <c r="U84">
        <f t="shared" si="39"/>
        <v>5.3088531416549003</v>
      </c>
      <c r="W84">
        <f t="shared" si="40"/>
        <v>2.6308333333333337E-6</v>
      </c>
      <c r="X84">
        <f t="shared" si="41"/>
        <v>13.255289065135271</v>
      </c>
      <c r="Y84">
        <f t="shared" si="42"/>
        <v>13.773412327173048</v>
      </c>
      <c r="Z84">
        <f t="shared" si="43"/>
        <v>14.65442657082745</v>
      </c>
      <c r="AB84" s="669">
        <f t="shared" si="32"/>
        <v>2.6308333333333338</v>
      </c>
      <c r="AC84" s="668">
        <f t="shared" si="33"/>
        <v>0.20921484418921188</v>
      </c>
      <c r="AD84" s="668">
        <f t="shared" si="34"/>
        <v>0.2955687211955082</v>
      </c>
      <c r="AE84" s="668">
        <f t="shared" si="35"/>
        <v>0.44240442847124167</v>
      </c>
    </row>
    <row r="85" spans="8:31" x14ac:dyDescent="0.2">
      <c r="H85">
        <v>3</v>
      </c>
      <c r="I85" s="602">
        <f t="shared" si="36"/>
        <v>3.6420833333333335E-6</v>
      </c>
      <c r="J85">
        <f t="shared" si="23"/>
        <v>5.4241486068111451</v>
      </c>
      <c r="K85">
        <f t="shared" si="24"/>
        <v>0.43196003526300325</v>
      </c>
      <c r="L85">
        <f t="shared" si="25"/>
        <v>3.8348128059042499</v>
      </c>
      <c r="M85" s="602">
        <f t="shared" si="26"/>
        <v>3.8348128059042499</v>
      </c>
      <c r="N85">
        <f t="shared" si="27"/>
        <v>0.31956773382535414</v>
      </c>
      <c r="O85">
        <f t="shared" si="28"/>
        <v>13.917406402952125</v>
      </c>
      <c r="Q85" t="str">
        <f t="shared" si="29"/>
        <v>BOOST</v>
      </c>
      <c r="R85" s="669">
        <f t="shared" si="44"/>
        <v>3.6420833333333333</v>
      </c>
      <c r="S85">
        <f t="shared" si="37"/>
        <v>1.8134984915373766</v>
      </c>
      <c r="T85">
        <f t="shared" si="38"/>
        <v>2.5620238951540175</v>
      </c>
      <c r="U85">
        <f t="shared" si="39"/>
        <v>3.8348128059042499</v>
      </c>
      <c r="W85">
        <f t="shared" si="40"/>
        <v>3.6420833333333335E-6</v>
      </c>
      <c r="X85">
        <f t="shared" si="41"/>
        <v>12.906749245768689</v>
      </c>
      <c r="Y85">
        <f t="shared" si="42"/>
        <v>13.281011947577008</v>
      </c>
      <c r="Z85">
        <f t="shared" si="43"/>
        <v>13.917406402952125</v>
      </c>
      <c r="AB85" s="669">
        <f t="shared" si="32"/>
        <v>3.6420833333333333</v>
      </c>
      <c r="AC85" s="668">
        <f t="shared" si="33"/>
        <v>0.15112487429478139</v>
      </c>
      <c r="AD85" s="668">
        <f t="shared" si="34"/>
        <v>0.21350199126283478</v>
      </c>
      <c r="AE85" s="668">
        <f t="shared" si="35"/>
        <v>0.31956773382535414</v>
      </c>
    </row>
    <row r="86" spans="8:31" x14ac:dyDescent="0.2">
      <c r="H86">
        <v>4</v>
      </c>
      <c r="I86" s="602">
        <f t="shared" si="36"/>
        <v>4.6533333333333334E-6</v>
      </c>
      <c r="J86">
        <f t="shared" si="23"/>
        <v>5.4241486068111451</v>
      </c>
      <c r="K86">
        <f t="shared" si="24"/>
        <v>0.43196003526300325</v>
      </c>
      <c r="L86">
        <f t="shared" si="25"/>
        <v>3.0014415057672861</v>
      </c>
      <c r="M86" s="602">
        <f t="shared" si="26"/>
        <v>3.0014415057672861</v>
      </c>
      <c r="N86">
        <f t="shared" si="27"/>
        <v>0.25012012548060719</v>
      </c>
      <c r="O86">
        <f t="shared" si="28"/>
        <v>13.500720752883643</v>
      </c>
      <c r="Q86" t="str">
        <f t="shared" si="29"/>
        <v>BOOST</v>
      </c>
      <c r="R86" s="669">
        <f t="shared" si="44"/>
        <v>4.6533333333333333</v>
      </c>
      <c r="S86">
        <f t="shared" si="37"/>
        <v>1.4193938318882711</v>
      </c>
      <c r="T86">
        <f t="shared" si="38"/>
        <v>2.0052516894288384</v>
      </c>
      <c r="U86">
        <f t="shared" si="39"/>
        <v>3.0014415057672861</v>
      </c>
      <c r="W86">
        <f t="shared" si="40"/>
        <v>4.6533333333333334E-6</v>
      </c>
      <c r="X86">
        <f t="shared" si="41"/>
        <v>12.709696915944136</v>
      </c>
      <c r="Y86">
        <f t="shared" si="42"/>
        <v>13.002625844714419</v>
      </c>
      <c r="Z86">
        <f t="shared" si="43"/>
        <v>13.500720752883643</v>
      </c>
      <c r="AB86" s="669">
        <f t="shared" si="32"/>
        <v>4.6533333333333333</v>
      </c>
      <c r="AC86" s="668">
        <f t="shared" si="33"/>
        <v>0.11828281932402258</v>
      </c>
      <c r="AD86" s="668">
        <f t="shared" si="34"/>
        <v>0.16710430745240321</v>
      </c>
      <c r="AE86" s="668">
        <f t="shared" si="35"/>
        <v>0.25012012548060719</v>
      </c>
    </row>
    <row r="87" spans="8:31" x14ac:dyDescent="0.2">
      <c r="H87">
        <v>5</v>
      </c>
      <c r="I87" s="602">
        <f t="shared" si="36"/>
        <v>5.6645833333333332E-6</v>
      </c>
      <c r="J87">
        <f t="shared" si="23"/>
        <v>5.4241486068111451</v>
      </c>
      <c r="K87">
        <f t="shared" si="24"/>
        <v>0.43196003526300325</v>
      </c>
      <c r="L87">
        <f t="shared" si="25"/>
        <v>2.4656196201845564</v>
      </c>
      <c r="M87" s="602">
        <f t="shared" si="26"/>
        <v>2.4656196201845564</v>
      </c>
      <c r="N87">
        <f t="shared" si="27"/>
        <v>0.20546830168204636</v>
      </c>
      <c r="O87">
        <f t="shared" si="28"/>
        <v>13.232809810092277</v>
      </c>
      <c r="Q87" t="str">
        <f t="shared" si="29"/>
        <v>BOOST</v>
      </c>
      <c r="R87" s="669">
        <f t="shared" si="44"/>
        <v>5.6645833333333329</v>
      </c>
      <c r="S87">
        <f t="shared" si="37"/>
        <v>1.1660014942646715</v>
      </c>
      <c r="T87">
        <f t="shared" si="38"/>
        <v>1.6472711193483829</v>
      </c>
      <c r="U87">
        <f t="shared" si="39"/>
        <v>2.4656196201845564</v>
      </c>
      <c r="W87">
        <f t="shared" si="40"/>
        <v>5.6645833333333332E-6</v>
      </c>
      <c r="X87">
        <f t="shared" si="41"/>
        <v>12.583000747132335</v>
      </c>
      <c r="Y87">
        <f t="shared" si="42"/>
        <v>12.823635559674191</v>
      </c>
      <c r="Z87">
        <f t="shared" si="43"/>
        <v>13.232809810092277</v>
      </c>
      <c r="AB87" s="669">
        <f t="shared" si="32"/>
        <v>5.6645833333333329</v>
      </c>
      <c r="AC87" s="668">
        <f t="shared" si="33"/>
        <v>9.7166791188722623E-2</v>
      </c>
      <c r="AD87" s="668">
        <f t="shared" si="34"/>
        <v>0.13727259327903191</v>
      </c>
      <c r="AE87" s="668">
        <f t="shared" si="35"/>
        <v>0.20546830168204636</v>
      </c>
    </row>
    <row r="88" spans="8:31" x14ac:dyDescent="0.2">
      <c r="H88">
        <v>6</v>
      </c>
      <c r="I88" s="602">
        <f t="shared" si="36"/>
        <v>6.6758333333333339E-6</v>
      </c>
      <c r="J88">
        <f t="shared" si="23"/>
        <v>5.4241486068111451</v>
      </c>
      <c r="K88">
        <f t="shared" si="24"/>
        <v>0.43196003526300325</v>
      </c>
      <c r="L88">
        <f t="shared" si="25"/>
        <v>2.0921294929727274</v>
      </c>
      <c r="M88" s="602">
        <f t="shared" si="26"/>
        <v>2.0921294929727274</v>
      </c>
      <c r="N88">
        <f t="shared" si="27"/>
        <v>0.17434412441439395</v>
      </c>
      <c r="O88">
        <f t="shared" si="28"/>
        <v>13.046064746486364</v>
      </c>
      <c r="Q88" t="str">
        <f t="shared" si="29"/>
        <v>BOOST</v>
      </c>
      <c r="R88" s="669">
        <f t="shared" si="44"/>
        <v>6.6758333333333342</v>
      </c>
      <c r="S88">
        <f t="shared" si="37"/>
        <v>0.98937650196780724</v>
      </c>
      <c r="T88">
        <f t="shared" si="38"/>
        <v>1.3977437815217366</v>
      </c>
      <c r="U88">
        <f t="shared" si="39"/>
        <v>2.0921294929727274</v>
      </c>
      <c r="W88">
        <f t="shared" si="40"/>
        <v>6.6758333333333339E-6</v>
      </c>
      <c r="X88">
        <f t="shared" si="41"/>
        <v>12.494688250983904</v>
      </c>
      <c r="Y88">
        <f t="shared" si="42"/>
        <v>12.698871890760868</v>
      </c>
      <c r="Z88">
        <f t="shared" si="43"/>
        <v>13.046064746486364</v>
      </c>
      <c r="AB88" s="669">
        <f t="shared" si="32"/>
        <v>6.6758333333333342</v>
      </c>
      <c r="AC88" s="668">
        <f t="shared" si="33"/>
        <v>8.2448041830650604E-2</v>
      </c>
      <c r="AD88" s="668">
        <f t="shared" si="34"/>
        <v>0.11647864846014472</v>
      </c>
      <c r="AE88" s="668">
        <f t="shared" si="35"/>
        <v>0.17434412441439395</v>
      </c>
    </row>
    <row r="89" spans="8:31" x14ac:dyDescent="0.2">
      <c r="H89">
        <v>7</v>
      </c>
      <c r="I89" s="602">
        <f t="shared" si="36"/>
        <v>7.6870833333333346E-6</v>
      </c>
      <c r="J89">
        <f t="shared" si="23"/>
        <v>5.4241486068111451</v>
      </c>
      <c r="K89">
        <f t="shared" si="24"/>
        <v>0.43196003526300325</v>
      </c>
      <c r="L89">
        <f t="shared" si="25"/>
        <v>1.8169059968783698</v>
      </c>
      <c r="M89" s="602">
        <f t="shared" si="26"/>
        <v>1.8169059968783698</v>
      </c>
      <c r="N89">
        <f t="shared" si="27"/>
        <v>0.1514088330731975</v>
      </c>
      <c r="O89">
        <f t="shared" si="28"/>
        <v>12.908452998439184</v>
      </c>
      <c r="Q89" t="str">
        <f t="shared" si="29"/>
        <v>BOOST</v>
      </c>
      <c r="R89" s="669">
        <f t="shared" si="44"/>
        <v>7.6870833333333346</v>
      </c>
      <c r="S89">
        <f t="shared" si="37"/>
        <v>0.85922219711248349</v>
      </c>
      <c r="T89">
        <f t="shared" si="38"/>
        <v>1.2138680073468082</v>
      </c>
      <c r="U89">
        <f t="shared" si="39"/>
        <v>1.8169059968783698</v>
      </c>
      <c r="W89">
        <f t="shared" si="40"/>
        <v>7.6870833333333346E-6</v>
      </c>
      <c r="X89">
        <f t="shared" si="41"/>
        <v>12.429611098556242</v>
      </c>
      <c r="Y89">
        <f t="shared" si="42"/>
        <v>12.606934003673404</v>
      </c>
      <c r="Z89">
        <f t="shared" si="43"/>
        <v>12.908452998439184</v>
      </c>
      <c r="AB89" s="669">
        <f t="shared" si="32"/>
        <v>7.6870833333333346</v>
      </c>
      <c r="AC89" s="668">
        <f t="shared" si="33"/>
        <v>7.1601849759373629E-2</v>
      </c>
      <c r="AD89" s="668">
        <f t="shared" si="34"/>
        <v>0.10115566727890068</v>
      </c>
      <c r="AE89" s="668">
        <f t="shared" si="35"/>
        <v>0.1514088330731975</v>
      </c>
    </row>
    <row r="90" spans="8:31" x14ac:dyDescent="0.2">
      <c r="H90">
        <v>8</v>
      </c>
      <c r="I90" s="602">
        <f t="shared" si="36"/>
        <v>8.6983333333333345E-6</v>
      </c>
      <c r="J90">
        <f t="shared" si="23"/>
        <v>5.4241486068111451</v>
      </c>
      <c r="K90">
        <f t="shared" si="24"/>
        <v>0.43196003526300325</v>
      </c>
      <c r="L90">
        <f t="shared" si="25"/>
        <v>1.6056763142560377</v>
      </c>
      <c r="M90" s="602">
        <f t="shared" si="26"/>
        <v>1.6056763142560377</v>
      </c>
      <c r="N90">
        <f t="shared" si="27"/>
        <v>0.13380635952133649</v>
      </c>
      <c r="O90">
        <f t="shared" si="28"/>
        <v>12.802838157128019</v>
      </c>
      <c r="Q90" t="str">
        <f t="shared" si="29"/>
        <v>BOOST</v>
      </c>
      <c r="R90" s="669">
        <f t="shared" si="44"/>
        <v>8.6983333333333341</v>
      </c>
      <c r="S90">
        <f t="shared" si="37"/>
        <v>0.75933082556659359</v>
      </c>
      <c r="T90">
        <f t="shared" si="38"/>
        <v>1.0727462573070159</v>
      </c>
      <c r="U90">
        <f t="shared" si="39"/>
        <v>1.6056763142560377</v>
      </c>
      <c r="W90">
        <f t="shared" si="40"/>
        <v>8.6983333333333345E-6</v>
      </c>
      <c r="X90">
        <f t="shared" si="41"/>
        <v>12.379665412783297</v>
      </c>
      <c r="Y90">
        <f t="shared" si="42"/>
        <v>12.536373128653509</v>
      </c>
      <c r="Z90">
        <f t="shared" si="43"/>
        <v>12.802838157128019</v>
      </c>
      <c r="AB90" s="669">
        <f t="shared" si="32"/>
        <v>8.6983333333333341</v>
      </c>
      <c r="AC90" s="668">
        <f t="shared" si="33"/>
        <v>6.3277568797216133E-2</v>
      </c>
      <c r="AD90" s="668">
        <f t="shared" si="34"/>
        <v>8.9395521442251324E-2</v>
      </c>
      <c r="AE90" s="668">
        <f t="shared" si="35"/>
        <v>0.13380635952133649</v>
      </c>
    </row>
    <row r="91" spans="8:31" x14ac:dyDescent="0.2">
      <c r="H91">
        <v>9</v>
      </c>
      <c r="I91" s="602">
        <f t="shared" si="36"/>
        <v>9.7095833333333343E-6</v>
      </c>
      <c r="J91">
        <f t="shared" si="23"/>
        <v>5.4241486068111451</v>
      </c>
      <c r="K91">
        <f t="shared" si="24"/>
        <v>0.43196003526300325</v>
      </c>
      <c r="L91">
        <f t="shared" si="25"/>
        <v>1.4384456394631182</v>
      </c>
      <c r="M91" s="602">
        <f t="shared" si="26"/>
        <v>1.4384456394631182</v>
      </c>
      <c r="N91">
        <f t="shared" si="27"/>
        <v>0.11987046995525985</v>
      </c>
      <c r="O91">
        <f t="shared" si="28"/>
        <v>12.719222819731559</v>
      </c>
      <c r="Q91" t="str">
        <f t="shared" si="29"/>
        <v>BOOST</v>
      </c>
      <c r="R91" s="669">
        <f t="shared" si="44"/>
        <v>9.7095833333333346</v>
      </c>
      <c r="S91">
        <f t="shared" si="37"/>
        <v>0.68024676284290475</v>
      </c>
      <c r="T91">
        <f t="shared" si="38"/>
        <v>0.96102007756689123</v>
      </c>
      <c r="U91">
        <f t="shared" si="39"/>
        <v>1.4384456394631182</v>
      </c>
      <c r="W91">
        <f t="shared" si="40"/>
        <v>9.7095833333333343E-6</v>
      </c>
      <c r="X91">
        <f t="shared" si="41"/>
        <v>12.340123381421453</v>
      </c>
      <c r="Y91">
        <f t="shared" si="42"/>
        <v>12.480510038783446</v>
      </c>
      <c r="Z91">
        <f t="shared" si="43"/>
        <v>12.719222819731559</v>
      </c>
      <c r="AB91" s="669">
        <f t="shared" si="32"/>
        <v>9.7095833333333346</v>
      </c>
      <c r="AC91" s="668">
        <f t="shared" si="33"/>
        <v>5.6687230236908727E-2</v>
      </c>
      <c r="AD91" s="668">
        <f t="shared" si="34"/>
        <v>8.0085006463907607E-2</v>
      </c>
      <c r="AE91" s="668">
        <f t="shared" si="35"/>
        <v>0.11987046995525985</v>
      </c>
    </row>
    <row r="92" spans="8:31" x14ac:dyDescent="0.2">
      <c r="H92">
        <v>10</v>
      </c>
      <c r="I92" s="602">
        <f t="shared" si="36"/>
        <v>1.0720833333333334E-5</v>
      </c>
      <c r="J92">
        <f t="shared" si="23"/>
        <v>5.4241486068111451</v>
      </c>
      <c r="K92">
        <f t="shared" si="24"/>
        <v>0.43196003526300325</v>
      </c>
      <c r="L92">
        <f t="shared" si="25"/>
        <v>1.3027632622001184</v>
      </c>
      <c r="M92" s="602">
        <f t="shared" si="26"/>
        <v>1.3027632622001184</v>
      </c>
      <c r="N92">
        <f t="shared" si="27"/>
        <v>0.1085636051833432</v>
      </c>
      <c r="O92">
        <f t="shared" si="28"/>
        <v>12.65138163110006</v>
      </c>
      <c r="Q92" t="str">
        <f t="shared" si="29"/>
        <v>BOOST</v>
      </c>
      <c r="R92" s="669">
        <f t="shared" si="44"/>
        <v>10.720833333333335</v>
      </c>
      <c r="S92">
        <f t="shared" si="37"/>
        <v>0.61608201766530157</v>
      </c>
      <c r="T92">
        <f t="shared" si="38"/>
        <v>0.87037119578473632</v>
      </c>
      <c r="U92">
        <f t="shared" si="39"/>
        <v>1.3027632622001184</v>
      </c>
      <c r="W92">
        <f t="shared" si="40"/>
        <v>1.0720833333333334E-5</v>
      </c>
      <c r="X92">
        <f t="shared" si="41"/>
        <v>12.308041008832651</v>
      </c>
      <c r="Y92">
        <f t="shared" si="42"/>
        <v>12.435185597892367</v>
      </c>
      <c r="Z92">
        <f t="shared" si="43"/>
        <v>12.65138163110006</v>
      </c>
      <c r="AB92" s="669">
        <f t="shared" si="32"/>
        <v>10.720833333333335</v>
      </c>
      <c r="AC92" s="668">
        <f t="shared" si="33"/>
        <v>5.1340168138775129E-2</v>
      </c>
      <c r="AD92" s="668">
        <f t="shared" si="34"/>
        <v>7.2530932982061355E-2</v>
      </c>
      <c r="AE92" s="668">
        <f t="shared" si="35"/>
        <v>0.1085636051833432</v>
      </c>
    </row>
    <row r="93" spans="8:31" x14ac:dyDescent="0.2">
      <c r="H93">
        <v>11</v>
      </c>
      <c r="I93" s="602">
        <f t="shared" si="36"/>
        <v>1.1732083333333334E-5</v>
      </c>
      <c r="J93">
        <f t="shared" si="23"/>
        <v>5.4241486068111451</v>
      </c>
      <c r="K93">
        <f t="shared" si="24"/>
        <v>0.43196003526300325</v>
      </c>
      <c r="L93">
        <f t="shared" si="25"/>
        <v>1.1904712411268619</v>
      </c>
      <c r="M93" s="602">
        <f t="shared" si="26"/>
        <v>1.1904712411268619</v>
      </c>
      <c r="N93">
        <f t="shared" si="27"/>
        <v>9.9205936760571822E-2</v>
      </c>
      <c r="O93">
        <f t="shared" si="28"/>
        <v>12.595235620563431</v>
      </c>
      <c r="Q93" t="str">
        <f t="shared" si="29"/>
        <v>BOOST</v>
      </c>
      <c r="R93" s="669">
        <f t="shared" si="44"/>
        <v>11.732083333333334</v>
      </c>
      <c r="S93">
        <f t="shared" si="37"/>
        <v>0.56297866656704232</v>
      </c>
      <c r="T93">
        <f t="shared" si="38"/>
        <v>0.79534932228366895</v>
      </c>
      <c r="U93">
        <f t="shared" si="39"/>
        <v>1.1904712411268619</v>
      </c>
      <c r="W93">
        <f t="shared" si="40"/>
        <v>1.1732083333333334E-5</v>
      </c>
      <c r="X93">
        <f t="shared" si="41"/>
        <v>12.28148933328352</v>
      </c>
      <c r="Y93">
        <f t="shared" si="42"/>
        <v>12.397674661141835</v>
      </c>
      <c r="Z93">
        <f t="shared" si="43"/>
        <v>12.595235620563431</v>
      </c>
      <c r="AB93" s="669">
        <f t="shared" si="32"/>
        <v>11.732083333333334</v>
      </c>
      <c r="AC93" s="668">
        <f t="shared" si="33"/>
        <v>4.6914888880586862E-2</v>
      </c>
      <c r="AD93" s="668">
        <f t="shared" si="34"/>
        <v>6.6279110190305746E-2</v>
      </c>
      <c r="AE93" s="668">
        <f t="shared" si="35"/>
        <v>9.9205936760571822E-2</v>
      </c>
    </row>
    <row r="94" spans="8:31" x14ac:dyDescent="0.2">
      <c r="H94">
        <v>12</v>
      </c>
      <c r="I94" s="602">
        <f t="shared" si="36"/>
        <v>1.2743333333333336E-5</v>
      </c>
      <c r="J94">
        <f t="shared" si="23"/>
        <v>5.4241486068111451</v>
      </c>
      <c r="K94">
        <f t="shared" si="24"/>
        <v>0.43196003526300325</v>
      </c>
      <c r="L94">
        <f t="shared" si="25"/>
        <v>1.096001135770633</v>
      </c>
      <c r="M94" s="602">
        <f t="shared" si="26"/>
        <v>1.096001135770633</v>
      </c>
      <c r="N94">
        <f t="shared" si="27"/>
        <v>9.1333427980886076E-2</v>
      </c>
      <c r="O94">
        <f t="shared" si="28"/>
        <v>12.548000567885316</v>
      </c>
      <c r="Q94" t="str">
        <f t="shared" si="29"/>
        <v>BOOST</v>
      </c>
      <c r="R94" s="669">
        <f t="shared" si="44"/>
        <v>12.743333333333336</v>
      </c>
      <c r="S94">
        <f t="shared" si="37"/>
        <v>0.51830337151870931</v>
      </c>
      <c r="T94">
        <f t="shared" si="38"/>
        <v>0.73223420309773934</v>
      </c>
      <c r="U94">
        <f t="shared" si="39"/>
        <v>1.096001135770633</v>
      </c>
      <c r="W94">
        <f t="shared" si="40"/>
        <v>1.2743333333333336E-5</v>
      </c>
      <c r="X94">
        <f t="shared" si="41"/>
        <v>12.259151685759354</v>
      </c>
      <c r="Y94">
        <f t="shared" si="42"/>
        <v>12.36611710154887</v>
      </c>
      <c r="Z94">
        <f t="shared" si="43"/>
        <v>12.548000567885316</v>
      </c>
      <c r="AB94" s="669">
        <f t="shared" si="32"/>
        <v>12.743333333333336</v>
      </c>
      <c r="AC94" s="668">
        <f t="shared" si="33"/>
        <v>4.3191947626559112E-2</v>
      </c>
      <c r="AD94" s="668">
        <f t="shared" si="34"/>
        <v>6.1019516924811612E-2</v>
      </c>
      <c r="AE94" s="668">
        <f t="shared" si="35"/>
        <v>9.1333427980886076E-2</v>
      </c>
    </row>
    <row r="95" spans="8:31" x14ac:dyDescent="0.2">
      <c r="H95">
        <v>13</v>
      </c>
      <c r="I95" s="602">
        <f t="shared" si="36"/>
        <v>1.3754583333333335E-5</v>
      </c>
      <c r="J95">
        <f t="shared" si="23"/>
        <v>5.4241486068111451</v>
      </c>
      <c r="K95">
        <f t="shared" si="24"/>
        <v>0.43196003526300325</v>
      </c>
      <c r="L95">
        <f t="shared" si="25"/>
        <v>1.0154220937387248</v>
      </c>
      <c r="M95" s="602">
        <f t="shared" si="26"/>
        <v>1.0154220937387248</v>
      </c>
      <c r="N95">
        <f t="shared" si="27"/>
        <v>8.4618507811560398E-2</v>
      </c>
      <c r="O95">
        <f t="shared" si="28"/>
        <v>12.507711046869362</v>
      </c>
      <c r="Q95" t="str">
        <f t="shared" si="29"/>
        <v>BOOST</v>
      </c>
      <c r="R95" s="669">
        <f t="shared" si="44"/>
        <v>13.754583333333336</v>
      </c>
      <c r="S95">
        <f t="shared" si="37"/>
        <v>0.48019721651959069</v>
      </c>
      <c r="T95">
        <f t="shared" si="38"/>
        <v>0.67839965064800412</v>
      </c>
      <c r="U95">
        <f t="shared" si="39"/>
        <v>1.0154220937387248</v>
      </c>
      <c r="W95">
        <f t="shared" si="40"/>
        <v>1.3754583333333335E-5</v>
      </c>
      <c r="X95">
        <f t="shared" si="41"/>
        <v>12.240098608259796</v>
      </c>
      <c r="Y95">
        <f t="shared" si="42"/>
        <v>12.339199825324002</v>
      </c>
      <c r="Z95">
        <f t="shared" si="43"/>
        <v>12.507711046869362</v>
      </c>
      <c r="AB95" s="669">
        <f t="shared" si="32"/>
        <v>13.754583333333336</v>
      </c>
      <c r="AC95" s="668">
        <f t="shared" si="33"/>
        <v>4.0016434709965888E-2</v>
      </c>
      <c r="AD95" s="668">
        <f t="shared" si="34"/>
        <v>5.6533304220667012E-2</v>
      </c>
      <c r="AE95" s="668">
        <f t="shared" si="35"/>
        <v>8.4618507811560398E-2</v>
      </c>
    </row>
    <row r="96" spans="8:31" x14ac:dyDescent="0.2">
      <c r="H96">
        <v>14</v>
      </c>
      <c r="I96" s="602">
        <f t="shared" si="36"/>
        <v>1.4765833333333335E-5</v>
      </c>
      <c r="J96">
        <f t="shared" si="23"/>
        <v>5.4241486068111451</v>
      </c>
      <c r="K96">
        <f t="shared" si="24"/>
        <v>0.43196003526300325</v>
      </c>
      <c r="L96">
        <f t="shared" si="25"/>
        <v>0.94588009301904863</v>
      </c>
      <c r="M96" s="602">
        <f t="shared" si="26"/>
        <v>0.94588009301904863</v>
      </c>
      <c r="N96">
        <f t="shared" si="27"/>
        <v>7.8823341084920714E-2</v>
      </c>
      <c r="O96">
        <f t="shared" si="28"/>
        <v>12.472940046509525</v>
      </c>
      <c r="Q96" t="str">
        <f t="shared" si="29"/>
        <v>BOOST</v>
      </c>
      <c r="R96" s="669">
        <f t="shared" si="44"/>
        <v>14.765833333333335</v>
      </c>
      <c r="S96">
        <f t="shared" si="37"/>
        <v>0.44731052301281699</v>
      </c>
      <c r="T96">
        <f t="shared" si="38"/>
        <v>0.63193890364979022</v>
      </c>
      <c r="U96">
        <f t="shared" si="39"/>
        <v>0.94588009301904863</v>
      </c>
      <c r="W96">
        <f t="shared" si="40"/>
        <v>1.4765833333333335E-5</v>
      </c>
      <c r="X96">
        <f t="shared" si="41"/>
        <v>12.223655261506408</v>
      </c>
      <c r="Y96">
        <f t="shared" si="42"/>
        <v>12.315969451824895</v>
      </c>
      <c r="Z96">
        <f t="shared" si="43"/>
        <v>12.472940046509525</v>
      </c>
      <c r="AB96" s="669">
        <f t="shared" si="32"/>
        <v>14.765833333333335</v>
      </c>
      <c r="AC96" s="668">
        <f t="shared" si="33"/>
        <v>3.7275876917734749E-2</v>
      </c>
      <c r="AD96" s="668">
        <f t="shared" si="34"/>
        <v>5.2661575304149187E-2</v>
      </c>
      <c r="AE96" s="668">
        <f t="shared" si="35"/>
        <v>7.8823341084920714E-2</v>
      </c>
    </row>
    <row r="97" spans="8:31" x14ac:dyDescent="0.2">
      <c r="H97">
        <v>15</v>
      </c>
      <c r="I97" s="602">
        <f t="shared" si="36"/>
        <v>1.5777083333333335E-5</v>
      </c>
      <c r="J97">
        <f t="shared" si="23"/>
        <v>5.4241486068111451</v>
      </c>
      <c r="K97">
        <f t="shared" si="24"/>
        <v>0.43196003526300325</v>
      </c>
      <c r="L97">
        <f t="shared" si="25"/>
        <v>0.88525283867447624</v>
      </c>
      <c r="M97" s="602">
        <f t="shared" si="26"/>
        <v>0.88525283867447624</v>
      </c>
      <c r="N97">
        <f t="shared" si="27"/>
        <v>7.3771069889539687E-2</v>
      </c>
      <c r="O97">
        <f t="shared" si="28"/>
        <v>12.442626419337238</v>
      </c>
      <c r="Q97" t="str">
        <f t="shared" si="29"/>
        <v>BOOST</v>
      </c>
      <c r="R97" s="669">
        <f t="shared" si="44"/>
        <v>15.777083333333335</v>
      </c>
      <c r="S97">
        <f t="shared" si="37"/>
        <v>0.41863964913583013</v>
      </c>
      <c r="T97">
        <f t="shared" si="38"/>
        <v>0.591434064902714</v>
      </c>
      <c r="U97">
        <f t="shared" si="39"/>
        <v>0.88525283867447624</v>
      </c>
      <c r="W97">
        <f t="shared" si="40"/>
        <v>1.5777083333333335E-5</v>
      </c>
      <c r="X97">
        <f t="shared" si="41"/>
        <v>12.209319824567915</v>
      </c>
      <c r="Y97">
        <f t="shared" si="42"/>
        <v>12.295717032451357</v>
      </c>
      <c r="Z97">
        <f t="shared" si="43"/>
        <v>12.442626419337238</v>
      </c>
      <c r="AB97" s="669">
        <f t="shared" si="32"/>
        <v>15.777083333333335</v>
      </c>
      <c r="AC97" s="668">
        <f t="shared" si="33"/>
        <v>3.4886637427985846E-2</v>
      </c>
      <c r="AD97" s="668">
        <f t="shared" si="34"/>
        <v>4.9286172075226169E-2</v>
      </c>
      <c r="AE97" s="668">
        <f t="shared" si="35"/>
        <v>7.3771069889539687E-2</v>
      </c>
    </row>
    <row r="98" spans="8:31" x14ac:dyDescent="0.2">
      <c r="H98">
        <v>16</v>
      </c>
      <c r="I98" s="602">
        <f t="shared" si="36"/>
        <v>1.6788333333333333E-5</v>
      </c>
      <c r="J98">
        <f t="shared" si="23"/>
        <v>5.4241486068111451</v>
      </c>
      <c r="K98">
        <f t="shared" si="24"/>
        <v>0.43196003526300325</v>
      </c>
      <c r="L98">
        <f t="shared" si="25"/>
        <v>0.83192938390769988</v>
      </c>
      <c r="M98" s="602">
        <f t="shared" si="26"/>
        <v>0.83192938390769988</v>
      </c>
      <c r="N98">
        <f t="shared" si="27"/>
        <v>6.9327448658974986E-2</v>
      </c>
      <c r="O98">
        <f t="shared" si="28"/>
        <v>12.41596469195385</v>
      </c>
      <c r="Q98" t="str">
        <f t="shared" si="29"/>
        <v>BOOST</v>
      </c>
      <c r="R98" s="669">
        <f t="shared" si="44"/>
        <v>16.788333333333334</v>
      </c>
      <c r="S98">
        <f t="shared" si="37"/>
        <v>0.39342277163030398</v>
      </c>
      <c r="T98">
        <f t="shared" si="38"/>
        <v>0.55580886695972564</v>
      </c>
      <c r="U98">
        <f t="shared" si="39"/>
        <v>0.83192938390769988</v>
      </c>
      <c r="W98">
        <f t="shared" si="40"/>
        <v>1.6788333333333333E-5</v>
      </c>
      <c r="X98">
        <f t="shared" si="41"/>
        <v>12.196711385815153</v>
      </c>
      <c r="Y98">
        <f t="shared" si="42"/>
        <v>12.277904433479863</v>
      </c>
      <c r="Z98">
        <f t="shared" si="43"/>
        <v>12.41596469195385</v>
      </c>
      <c r="AB98" s="669">
        <f t="shared" si="32"/>
        <v>16.788333333333334</v>
      </c>
      <c r="AC98" s="668">
        <f t="shared" si="33"/>
        <v>3.2785230969191996E-2</v>
      </c>
      <c r="AD98" s="668">
        <f t="shared" si="34"/>
        <v>4.6317405579977135E-2</v>
      </c>
      <c r="AE98" s="668">
        <f t="shared" si="35"/>
        <v>6.9327448658974986E-2</v>
      </c>
    </row>
    <row r="99" spans="8:31" x14ac:dyDescent="0.2">
      <c r="H99">
        <v>17</v>
      </c>
      <c r="I99" s="602">
        <f t="shared" si="36"/>
        <v>1.7799583333333335E-5</v>
      </c>
      <c r="J99">
        <f t="shared" si="23"/>
        <v>5.4241486068111451</v>
      </c>
      <c r="K99">
        <f t="shared" si="24"/>
        <v>0.43196003526300325</v>
      </c>
      <c r="L99">
        <f t="shared" si="25"/>
        <v>0.78466487362553072</v>
      </c>
      <c r="M99" s="602">
        <f t="shared" si="26"/>
        <v>0.78466487362553072</v>
      </c>
      <c r="N99">
        <f t="shared" si="27"/>
        <v>6.5388739468794227E-2</v>
      </c>
      <c r="O99">
        <f t="shared" si="28"/>
        <v>12.392332436812765</v>
      </c>
      <c r="Q99" t="str">
        <f t="shared" si="29"/>
        <v>BOOST</v>
      </c>
      <c r="R99" s="669">
        <f t="shared" si="44"/>
        <v>17.799583333333334</v>
      </c>
      <c r="S99">
        <f t="shared" si="37"/>
        <v>0.37107119348599471</v>
      </c>
      <c r="T99">
        <f t="shared" si="38"/>
        <v>0.52423162685318625</v>
      </c>
      <c r="U99">
        <f t="shared" si="39"/>
        <v>0.78466487362553072</v>
      </c>
      <c r="W99">
        <f t="shared" si="40"/>
        <v>1.7799583333333335E-5</v>
      </c>
      <c r="X99">
        <f t="shared" si="41"/>
        <v>12.185535596742998</v>
      </c>
      <c r="Y99">
        <f t="shared" si="42"/>
        <v>12.262115813426593</v>
      </c>
      <c r="Z99">
        <f t="shared" si="43"/>
        <v>12.392332436812765</v>
      </c>
      <c r="AB99" s="669">
        <f t="shared" si="32"/>
        <v>17.799583333333334</v>
      </c>
      <c r="AC99" s="668">
        <f t="shared" si="33"/>
        <v>3.0922599457166227E-2</v>
      </c>
      <c r="AD99" s="668">
        <f t="shared" si="34"/>
        <v>4.3685968904432187E-2</v>
      </c>
      <c r="AE99" s="668">
        <f t="shared" si="35"/>
        <v>6.5388739468794227E-2</v>
      </c>
    </row>
    <row r="100" spans="8:31" x14ac:dyDescent="0.2">
      <c r="H100">
        <v>18</v>
      </c>
      <c r="I100" s="602">
        <f t="shared" si="36"/>
        <v>1.8810833333333333E-5</v>
      </c>
      <c r="J100">
        <f t="shared" si="23"/>
        <v>5.4241486068111451</v>
      </c>
      <c r="K100">
        <f t="shared" si="24"/>
        <v>0.43196003526300325</v>
      </c>
      <c r="L100">
        <f t="shared" si="25"/>
        <v>0.74248214097393006</v>
      </c>
      <c r="M100" s="602">
        <f t="shared" si="26"/>
        <v>0.74248214097393006</v>
      </c>
      <c r="N100">
        <f t="shared" si="27"/>
        <v>6.1873511747827507E-2</v>
      </c>
      <c r="O100">
        <f t="shared" si="28"/>
        <v>12.371241070486965</v>
      </c>
      <c r="Q100" t="str">
        <f t="shared" si="29"/>
        <v>BOOST</v>
      </c>
      <c r="R100" s="669">
        <f t="shared" si="44"/>
        <v>18.810833333333331</v>
      </c>
      <c r="S100">
        <f t="shared" si="37"/>
        <v>0.3511228085440174</v>
      </c>
      <c r="T100">
        <f t="shared" si="38"/>
        <v>0.49604950311303914</v>
      </c>
      <c r="U100">
        <f t="shared" si="39"/>
        <v>0.74248214097393006</v>
      </c>
      <c r="W100">
        <f t="shared" si="40"/>
        <v>1.8810833333333333E-5</v>
      </c>
      <c r="X100">
        <f t="shared" si="41"/>
        <v>12.175561404272008</v>
      </c>
      <c r="Y100">
        <f t="shared" si="42"/>
        <v>12.248024751556519</v>
      </c>
      <c r="Z100">
        <f t="shared" si="43"/>
        <v>12.371241070486965</v>
      </c>
      <c r="AB100" s="669">
        <f t="shared" si="32"/>
        <v>18.810833333333331</v>
      </c>
      <c r="AC100" s="668">
        <f t="shared" si="33"/>
        <v>2.9260234045334784E-2</v>
      </c>
      <c r="AD100" s="668">
        <f t="shared" si="34"/>
        <v>4.1337458592753264E-2</v>
      </c>
      <c r="AE100" s="668">
        <f t="shared" si="35"/>
        <v>6.1873511747827507E-2</v>
      </c>
    </row>
    <row r="101" spans="8:31" x14ac:dyDescent="0.2">
      <c r="H101">
        <v>19</v>
      </c>
      <c r="I101" s="602">
        <f t="shared" si="36"/>
        <v>1.9822083333333334E-5</v>
      </c>
      <c r="J101">
        <f t="shared" si="23"/>
        <v>5.4241486068111451</v>
      </c>
      <c r="K101">
        <f t="shared" si="24"/>
        <v>0.43196003526300325</v>
      </c>
      <c r="L101">
        <f t="shared" si="25"/>
        <v>0.70460342497654227</v>
      </c>
      <c r="M101" s="602">
        <f t="shared" si="26"/>
        <v>0.70460342497654227</v>
      </c>
      <c r="N101">
        <f t="shared" si="27"/>
        <v>5.8716952081378525E-2</v>
      </c>
      <c r="O101">
        <f t="shared" si="28"/>
        <v>12.352301712488272</v>
      </c>
      <c r="Q101" t="str">
        <f t="shared" si="29"/>
        <v>BOOST</v>
      </c>
      <c r="R101" s="669">
        <f t="shared" si="44"/>
        <v>19.822083333333335</v>
      </c>
      <c r="S101">
        <f t="shared" si="37"/>
        <v>0.33320981049183801</v>
      </c>
      <c r="T101">
        <f t="shared" si="38"/>
        <v>0.47074287658001945</v>
      </c>
      <c r="U101">
        <f t="shared" si="39"/>
        <v>0.70460342497654227</v>
      </c>
      <c r="W101">
        <f t="shared" si="40"/>
        <v>1.9822083333333334E-5</v>
      </c>
      <c r="X101">
        <f t="shared" si="41"/>
        <v>12.166604905245919</v>
      </c>
      <c r="Y101">
        <f t="shared" si="42"/>
        <v>12.235371438290009</v>
      </c>
      <c r="Z101">
        <f t="shared" si="43"/>
        <v>12.352301712488272</v>
      </c>
      <c r="AB101" s="669">
        <f t="shared" si="32"/>
        <v>19.822083333333335</v>
      </c>
      <c r="AC101" s="668">
        <f t="shared" si="33"/>
        <v>2.7767484207653167E-2</v>
      </c>
      <c r="AD101" s="668">
        <f t="shared" si="34"/>
        <v>3.9228573048334957E-2</v>
      </c>
      <c r="AE101" s="668">
        <f t="shared" si="35"/>
        <v>5.8716952081378525E-2</v>
      </c>
    </row>
    <row r="102" spans="8:31" x14ac:dyDescent="0.2">
      <c r="H102">
        <v>20</v>
      </c>
      <c r="I102" s="602">
        <f t="shared" si="36"/>
        <v>2.0833333333333333E-5</v>
      </c>
      <c r="J102">
        <f t="shared" si="23"/>
        <v>5.4241486068111451</v>
      </c>
      <c r="K102">
        <f t="shared" si="24"/>
        <v>0.43196003526300325</v>
      </c>
      <c r="L102">
        <f t="shared" si="25"/>
        <v>0.67040197472818097</v>
      </c>
      <c r="M102" s="602">
        <f t="shared" si="26"/>
        <v>0.67040197472818097</v>
      </c>
      <c r="N102">
        <f t="shared" si="27"/>
        <v>5.5866831227348417E-2</v>
      </c>
      <c r="O102">
        <f t="shared" si="28"/>
        <v>12.335200987364091</v>
      </c>
      <c r="Q102" t="str">
        <f t="shared" si="29"/>
        <v>BOOST</v>
      </c>
      <c r="R102" s="669">
        <f t="shared" si="44"/>
        <v>20.833333333333332</v>
      </c>
      <c r="S102">
        <f t="shared" si="37"/>
        <v>0.31703580629056416</v>
      </c>
      <c r="T102">
        <f t="shared" si="38"/>
        <v>0.44789301735082532</v>
      </c>
      <c r="U102">
        <f t="shared" si="39"/>
        <v>0.67040197472818097</v>
      </c>
      <c r="W102">
        <f t="shared" si="40"/>
        <v>2.0833333333333333E-5</v>
      </c>
      <c r="X102">
        <f t="shared" si="41"/>
        <v>12.158517903145283</v>
      </c>
      <c r="Y102">
        <f t="shared" si="42"/>
        <v>12.223946508675413</v>
      </c>
      <c r="Z102">
        <f t="shared" si="43"/>
        <v>12.335200987364091</v>
      </c>
      <c r="AB102" s="669">
        <f t="shared" si="32"/>
        <v>20.833333333333332</v>
      </c>
      <c r="AC102" s="668">
        <f t="shared" si="33"/>
        <v>2.6419650524213679E-2</v>
      </c>
      <c r="AD102" s="668">
        <f t="shared" si="34"/>
        <v>3.7324418112568779E-2</v>
      </c>
      <c r="AE102" s="668">
        <f t="shared" si="35"/>
        <v>5.5866831227348417E-2</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FCD9F-7AD9-4CE4-985E-7C14F9697154}">
  <sheetPr codeName="Sheet14"/>
  <dimension ref="A1:AG96"/>
  <sheetViews>
    <sheetView zoomScale="85" zoomScaleNormal="85" workbookViewId="0">
      <selection activeCell="E1" sqref="E1:F5"/>
    </sheetView>
  </sheetViews>
  <sheetFormatPr defaultColWidth="9.140625" defaultRowHeight="15" x14ac:dyDescent="0.25"/>
  <cols>
    <col min="1" max="3" width="9.28515625" style="704" bestFit="1" customWidth="1"/>
    <col min="4" max="4" width="9.140625" style="704"/>
    <col min="5" max="5" width="19.140625" style="704" bestFit="1" customWidth="1"/>
    <col min="6" max="8" width="11" style="704" bestFit="1" customWidth="1"/>
    <col min="9" max="9" width="9.140625" style="704"/>
    <col min="10" max="10" width="9.28515625" style="704" bestFit="1" customWidth="1"/>
    <col min="11" max="11" width="12" style="704" bestFit="1" customWidth="1"/>
    <col min="12" max="12" width="11" style="704" bestFit="1" customWidth="1"/>
    <col min="13" max="13" width="12" style="704" bestFit="1" customWidth="1"/>
    <col min="14" max="14" width="13.5703125" style="704" customWidth="1"/>
    <col min="15" max="15" width="9.140625" style="704"/>
    <col min="16" max="16" width="11" style="704" bestFit="1" customWidth="1"/>
    <col min="17" max="17" width="9.140625" style="704"/>
    <col min="18" max="18" width="11" style="704" bestFit="1" customWidth="1"/>
    <col min="19" max="19" width="9.140625" style="704"/>
    <col min="20" max="20" width="11" style="704" bestFit="1" customWidth="1"/>
    <col min="21" max="23" width="9.140625" style="704"/>
    <col min="24" max="24" width="16.42578125" style="704" bestFit="1" customWidth="1"/>
    <col min="25" max="25" width="16.7109375" style="704" bestFit="1" customWidth="1"/>
    <col min="26" max="16384" width="9.140625" style="704"/>
  </cols>
  <sheetData>
    <row r="1" spans="1:29" s="691" customFormat="1" x14ac:dyDescent="0.25">
      <c r="A1" s="691" t="s">
        <v>957</v>
      </c>
      <c r="B1" s="691">
        <v>2</v>
      </c>
      <c r="C1" s="691" t="s">
        <v>1114</v>
      </c>
      <c r="E1" s="691" t="s">
        <v>1115</v>
      </c>
      <c r="F1" s="691" t="s">
        <v>4</v>
      </c>
      <c r="G1" s="692">
        <v>1.15E-7</v>
      </c>
      <c r="H1" s="692">
        <v>8.0000000000000002E-8</v>
      </c>
      <c r="I1" s="692">
        <f>IF($B$1=2,H1,G1)</f>
        <v>8.0000000000000002E-8</v>
      </c>
      <c r="L1" s="693">
        <f>I1</f>
        <v>8.0000000000000002E-8</v>
      </c>
      <c r="N1" s="691">
        <f>0.75/$L$1*$J$3/2000000*0.2</f>
        <v>9.3749999999999992E-7</v>
      </c>
      <c r="V1" s="694" t="s">
        <v>1116</v>
      </c>
      <c r="W1" s="694"/>
      <c r="X1" s="695" t="s">
        <v>1117</v>
      </c>
      <c r="Y1" s="696">
        <f>1/2*Fsw/L*((W16)^2*(Vin-Vout)+(W15)^2*Vin+(W17)^2*Vout)</f>
        <v>3.5624489527735901</v>
      </c>
      <c r="Z1" s="695"/>
      <c r="AA1" s="691" t="s">
        <v>1118</v>
      </c>
      <c r="AC1" s="691" t="s">
        <v>1119</v>
      </c>
    </row>
    <row r="2" spans="1:29" s="691" customFormat="1" x14ac:dyDescent="0.25">
      <c r="E2" s="691" t="s">
        <v>1121</v>
      </c>
      <c r="F2" s="691">
        <f>$P$9</f>
        <v>16.696809135219741</v>
      </c>
      <c r="G2" s="691">
        <v>2</v>
      </c>
      <c r="H2" s="691">
        <v>4</v>
      </c>
      <c r="I2" s="691">
        <f t="shared" ref="I2:I5" si="0">IF($B$1=2,H2,G2)</f>
        <v>4</v>
      </c>
      <c r="L2" s="697"/>
      <c r="N2" s="691">
        <f>MIN($J$3/2000000*$B$3*1000*$L$5+$J$4*(1-$L$5),$N$1)</f>
        <v>3.5833324000000001E-7</v>
      </c>
      <c r="P2" s="691">
        <f>$N$5-$J$7*$J$1</f>
        <v>2.0930238009736409E-7</v>
      </c>
      <c r="R2" s="691">
        <f>$N$5-$J$7*$J$1</f>
        <v>2.0930238009736409E-7</v>
      </c>
      <c r="T2" s="691">
        <f>MAX(MAX(0.5*$N$5/$L$4*$L$6,J6*$J$2)-$J$7*$J$1,0)</f>
        <v>1.0465119004868204E-7</v>
      </c>
      <c r="V2" s="694"/>
      <c r="W2" s="694"/>
      <c r="X2" s="695" t="s">
        <v>1180</v>
      </c>
      <c r="Y2" s="698">
        <f>1/2*Fsw/L*((W16)^2*(Vin-Vout)+(W17)^2*Vout)</f>
        <v>0.663308278125883</v>
      </c>
      <c r="Z2" s="695"/>
    </row>
    <row r="3" spans="1:29" s="691" customFormat="1" x14ac:dyDescent="0.25">
      <c r="A3" s="691" t="s">
        <v>1120</v>
      </c>
      <c r="B3" s="691">
        <f>Fsw/1000</f>
        <v>600</v>
      </c>
      <c r="E3" s="691" t="s">
        <v>1123</v>
      </c>
      <c r="F3" s="691">
        <f>$T$9</f>
        <v>19.92819751994363</v>
      </c>
      <c r="G3" s="691">
        <v>1</v>
      </c>
      <c r="H3" s="691">
        <v>1</v>
      </c>
      <c r="I3" s="691">
        <f t="shared" si="0"/>
        <v>1</v>
      </c>
      <c r="J3" s="699">
        <v>9.9999999999999995E-7</v>
      </c>
      <c r="L3" s="699">
        <f>0.225-I2*0.025</f>
        <v>0.125</v>
      </c>
      <c r="P3" s="691">
        <f>$N$5+$J$7*$J$1</f>
        <v>2.0930238009736409E-7</v>
      </c>
      <c r="R3" s="691">
        <f>$N$5+J7*$J$1</f>
        <v>2.0930238009736409E-7</v>
      </c>
      <c r="T3" s="691">
        <f>MAX(0.5*$N$5/$L$4*$L$6,J5*$J$2)</f>
        <v>1.0465119004868204E-7</v>
      </c>
      <c r="V3" s="694"/>
      <c r="W3" s="694"/>
      <c r="X3" s="695" t="s">
        <v>1181</v>
      </c>
      <c r="Y3" s="698">
        <f>1/2*Fsw/L*((W16)^2*(Vin-Vout)+(W15)^2*Vin)</f>
        <v>2.8991699164400093</v>
      </c>
      <c r="Z3" s="695"/>
    </row>
    <row r="4" spans="1:29" s="691" customFormat="1" x14ac:dyDescent="0.25">
      <c r="A4" s="691" t="s">
        <v>1122</v>
      </c>
      <c r="B4" s="691">
        <v>0</v>
      </c>
      <c r="E4" s="691" t="s">
        <v>1124</v>
      </c>
      <c r="F4" s="691">
        <f>$R$8</f>
        <v>12.766511150347091</v>
      </c>
      <c r="G4" s="691">
        <v>2</v>
      </c>
      <c r="H4" s="691">
        <v>2</v>
      </c>
      <c r="I4" s="691">
        <f t="shared" si="0"/>
        <v>2</v>
      </c>
      <c r="J4" s="699">
        <v>9.9999999999999995E-7</v>
      </c>
      <c r="L4" s="699">
        <f>0.75+I3*0.25</f>
        <v>1</v>
      </c>
      <c r="N4" s="691">
        <f>$L$3/$B$3*0.001</f>
        <v>2.0833333333333336E-7</v>
      </c>
      <c r="P4" s="691">
        <f>0.001/$B$3-$P$3</f>
        <v>1.4573642865693025E-6</v>
      </c>
      <c r="R4" s="691">
        <f>0.001/$B$3-R3</f>
        <v>1.4573642865693025E-6</v>
      </c>
      <c r="T4" s="691">
        <f>MAX($T$5-$T$3-J7*$J$1,0)</f>
        <v>5.2228690347937945E-7</v>
      </c>
      <c r="V4" s="694"/>
      <c r="W4" s="694"/>
      <c r="X4" s="695"/>
      <c r="Y4" s="695"/>
      <c r="Z4" s="695"/>
    </row>
    <row r="5" spans="1:29" s="691" customFormat="1" x14ac:dyDescent="0.25">
      <c r="A5" s="691" t="s">
        <v>4</v>
      </c>
      <c r="B5" s="691">
        <f>VIN_nom</f>
        <v>23.6</v>
      </c>
      <c r="E5" s="691" t="s">
        <v>1126</v>
      </c>
      <c r="F5" s="691">
        <f>$T$8</f>
        <v>10.696401407436619</v>
      </c>
      <c r="G5" s="691">
        <v>1</v>
      </c>
      <c r="H5" s="691">
        <v>1</v>
      </c>
      <c r="I5" s="691">
        <f t="shared" si="0"/>
        <v>1</v>
      </c>
      <c r="J5" s="691">
        <f>IF(B4&gt;0,1,0)</f>
        <v>0</v>
      </c>
      <c r="L5" s="699">
        <f>1-I4*0.0416666</f>
        <v>0.9166668</v>
      </c>
      <c r="N5" s="691">
        <f>$L$4*0.000000075/$N$2*0.000001</f>
        <v>2.0930238009736409E-7</v>
      </c>
      <c r="T5" s="691">
        <f>$N$4+2*$N$5</f>
        <v>6.2693809352806151E-7</v>
      </c>
      <c r="V5" s="694"/>
      <c r="W5" s="694"/>
      <c r="X5" s="695" t="s">
        <v>1127</v>
      </c>
      <c r="Y5" s="695">
        <f>IF(B5&gt;B6,Iin+Y1,Iout+Y1)</f>
        <v>11.376900335467612</v>
      </c>
      <c r="Z5" s="695"/>
    </row>
    <row r="6" spans="1:29" s="691" customFormat="1" x14ac:dyDescent="0.25">
      <c r="A6" s="691" t="s">
        <v>1125</v>
      </c>
      <c r="B6" s="691">
        <f>Vout</f>
        <v>14.6</v>
      </c>
      <c r="G6" s="691" t="s">
        <v>864</v>
      </c>
      <c r="H6" s="691" t="s">
        <v>958</v>
      </c>
      <c r="J6" s="691">
        <f>IF(B4&lt;0,1,0)</f>
        <v>0</v>
      </c>
      <c r="L6" s="691">
        <f>0.75+I5*0.25</f>
        <v>1</v>
      </c>
      <c r="N6" s="691">
        <f>N4+2*N5</f>
        <v>6.2693809352806151E-7</v>
      </c>
      <c r="T6" s="691">
        <f>0.001/$B$3-$T$5</f>
        <v>1.0397285731386053E-6</v>
      </c>
      <c r="V6" s="694"/>
      <c r="W6" s="694"/>
      <c r="X6" s="695" t="s">
        <v>1128</v>
      </c>
      <c r="Y6" s="696">
        <f>Vin/L*W16</f>
        <v>-4.7800248181530482E-2</v>
      </c>
      <c r="Z6" s="695"/>
    </row>
    <row r="7" spans="1:29" s="691" customFormat="1" x14ac:dyDescent="0.25">
      <c r="A7" s="691" t="s">
        <v>6</v>
      </c>
      <c r="B7" s="691">
        <f>Iout</f>
        <v>12</v>
      </c>
      <c r="J7" s="691">
        <f>J5-J6</f>
        <v>0</v>
      </c>
      <c r="V7" s="694"/>
      <c r="W7" s="694"/>
      <c r="X7" s="695" t="s">
        <v>1129</v>
      </c>
      <c r="Y7" s="696">
        <f>(Vin-Vout)/L*W15</f>
        <v>3.5445292266088821</v>
      </c>
      <c r="Z7" s="695"/>
    </row>
    <row r="8" spans="1:29" s="691" customFormat="1" x14ac:dyDescent="0.25">
      <c r="A8" s="691" t="s">
        <v>402</v>
      </c>
      <c r="B8" s="691">
        <f>Iin_Vinnom</f>
        <v>7.8144513826940223</v>
      </c>
      <c r="E8" s="691" t="s">
        <v>1131</v>
      </c>
      <c r="F8" s="691" t="s">
        <v>1132</v>
      </c>
      <c r="G8" s="691" t="s">
        <v>1133</v>
      </c>
      <c r="H8" s="691" t="s">
        <v>1134</v>
      </c>
      <c r="P8" s="691">
        <f>B6*1/($P$2*1000*$B$3)</f>
        <v>116.25922897777778</v>
      </c>
      <c r="R8" s="691">
        <f>$B$6*(1-$R$2*1000*$B$3)</f>
        <v>12.766511150347091</v>
      </c>
      <c r="T8" s="691">
        <f>$B$6*((0.001/$B$3-$T$4)/($T$6+$T$4))</f>
        <v>10.696401407436619</v>
      </c>
      <c r="V8" s="694"/>
      <c r="W8" s="694"/>
      <c r="X8" s="695" t="s">
        <v>1135</v>
      </c>
      <c r="Y8" s="696">
        <f>Vout/L*W17</f>
        <v>3.4967289784273521</v>
      </c>
      <c r="Z8" s="695"/>
    </row>
    <row r="9" spans="1:29" s="691" customFormat="1" x14ac:dyDescent="0.25">
      <c r="A9" s="691" t="s">
        <v>1130</v>
      </c>
      <c r="B9" s="691">
        <f>Efficiency</f>
        <v>0.95</v>
      </c>
      <c r="E9" s="691" t="s">
        <v>1123</v>
      </c>
      <c r="F9" s="691">
        <f>Timings!$T$6*1000000000</f>
        <v>1039.7285731386053</v>
      </c>
      <c r="G9" s="691">
        <f>Timings!$T$2*1000000000</f>
        <v>104.65119004868204</v>
      </c>
      <c r="H9" s="691">
        <f>(Timings!$T$5-Timings!$T$2)*1000000000</f>
        <v>522.28690347937948</v>
      </c>
      <c r="P9" s="691">
        <f>$B$6/($P$4*1000*$B$3)</f>
        <v>16.696809135219741</v>
      </c>
      <c r="R9" s="691">
        <f>B6*(1-$R$4*1000*$B$3)</f>
        <v>1.8334888496529091</v>
      </c>
      <c r="T9" s="691">
        <f>$B$6*((0.001/$B$3-$T$2)/($T$6+$T$2))</f>
        <v>19.92819751994363</v>
      </c>
      <c r="V9" s="694"/>
      <c r="W9" s="694"/>
      <c r="X9" s="695"/>
      <c r="Y9" s="695"/>
      <c r="Z9" s="695"/>
    </row>
    <row r="10" spans="1:29" s="691" customFormat="1" x14ac:dyDescent="0.25">
      <c r="A10" s="691" t="s">
        <v>60</v>
      </c>
      <c r="B10" s="700">
        <f>Lf</f>
        <v>2.6400000000000001E-6</v>
      </c>
      <c r="E10" s="691" t="s">
        <v>1126</v>
      </c>
      <c r="F10" s="691">
        <f>Timings!$T$6*1000000000</f>
        <v>1039.7285731386053</v>
      </c>
      <c r="G10" s="691">
        <f>Timings!$T$4*1000000000</f>
        <v>522.28690347937948</v>
      </c>
      <c r="H10" s="691">
        <f>(Timings!$T$5-Timings!$T$4)*1000000000</f>
        <v>104.65119004868205</v>
      </c>
      <c r="V10" s="694"/>
      <c r="W10" s="694"/>
      <c r="X10" s="695" t="s">
        <v>1136</v>
      </c>
      <c r="Y10" s="695"/>
      <c r="Z10" s="695"/>
    </row>
    <row r="11" spans="1:29" s="691" customFormat="1" x14ac:dyDescent="0.25">
      <c r="E11" s="691" t="s">
        <v>1137</v>
      </c>
      <c r="F11" s="691">
        <f>Timings!$T$6*1000000000</f>
        <v>1039.7285731386053</v>
      </c>
      <c r="G11" s="691">
        <f>Timings!$N$6*1000000000*L11</f>
        <v>411.89832744793642</v>
      </c>
      <c r="H11" s="691">
        <f>Timings!$N$6*1000000000*(1-L11)</f>
        <v>215.03976608012508</v>
      </c>
      <c r="K11" s="691" t="s">
        <v>1138</v>
      </c>
      <c r="L11" s="691">
        <v>0.65700000000000003</v>
      </c>
      <c r="V11" s="694"/>
      <c r="W11" s="694"/>
      <c r="X11" s="695" t="s">
        <v>1139</v>
      </c>
      <c r="Y11" s="701">
        <f>IF(Vin&gt;B6,0,Y6)+Iout-Y2</f>
        <v>11.336691721874118</v>
      </c>
      <c r="Z11" s="695"/>
      <c r="AA11" s="692">
        <f>1/(W15+W16)*(Iin/Fsw-1/2*dI1_*W15-dI1_*W16-1/2*dI2_*W16)</f>
        <v>12.624120953556805</v>
      </c>
    </row>
    <row r="12" spans="1:29" s="691" customFormat="1" x14ac:dyDescent="0.25">
      <c r="K12" s="691" t="s">
        <v>1140</v>
      </c>
      <c r="V12" s="694"/>
      <c r="W12" s="694"/>
      <c r="X12" s="695" t="s">
        <v>1141</v>
      </c>
      <c r="Y12" s="695">
        <f>IF(Vin&gt;B6,Y7,0)+Iout-Y2</f>
        <v>14.881220948482998</v>
      </c>
      <c r="Z12" s="695"/>
    </row>
    <row r="13" spans="1:29" s="691" customFormat="1" x14ac:dyDescent="0.25">
      <c r="V13" s="695"/>
      <c r="W13" s="695"/>
      <c r="X13" s="695" t="s">
        <v>1142</v>
      </c>
      <c r="Y13" s="702">
        <f>Y11+Y8</f>
        <v>14.83342070030147</v>
      </c>
      <c r="Z13" s="695"/>
    </row>
    <row r="14" spans="1:29" s="691" customFormat="1" x14ac:dyDescent="0.25">
      <c r="E14" s="691" t="s">
        <v>1143</v>
      </c>
      <c r="F14" s="691" t="s">
        <v>1132</v>
      </c>
      <c r="G14" s="691" t="s">
        <v>1133</v>
      </c>
      <c r="H14" s="691" t="s">
        <v>1134</v>
      </c>
      <c r="V14" s="695" t="s">
        <v>1144</v>
      </c>
      <c r="W14" s="695"/>
      <c r="X14" s="695" t="s">
        <v>1145</v>
      </c>
      <c r="Y14" s="703">
        <f>ABS(MAX(Y11:Y13))-ABS(MIN(Y11:Y13))</f>
        <v>3.5445292266088799</v>
      </c>
      <c r="Z14" s="695"/>
    </row>
    <row r="15" spans="1:29" s="691" customFormat="1" x14ac:dyDescent="0.25">
      <c r="E15" s="691" t="s">
        <v>1123</v>
      </c>
      <c r="F15" s="691">
        <f t="shared" ref="F15:H17" si="1">F9*$B$3*0.000001*100</f>
        <v>62.383714388316314</v>
      </c>
      <c r="G15" s="691">
        <f t="shared" si="1"/>
        <v>6.2790714029209216</v>
      </c>
      <c r="H15" s="691">
        <f t="shared" si="1"/>
        <v>31.337214208762767</v>
      </c>
      <c r="V15" s="695" t="s">
        <v>1146</v>
      </c>
      <c r="W15" s="698">
        <f>$F$11*0.000000001</f>
        <v>1.0397285731386053E-6</v>
      </c>
      <c r="X15" s="695"/>
      <c r="Y15" s="695"/>
      <c r="Z15" s="695"/>
    </row>
    <row r="16" spans="1:29" s="691" customFormat="1" x14ac:dyDescent="0.25">
      <c r="E16" s="691" t="s">
        <v>1126</v>
      </c>
      <c r="F16" s="691">
        <f t="shared" si="1"/>
        <v>62.383714388316314</v>
      </c>
      <c r="G16" s="691">
        <f t="shared" si="1"/>
        <v>31.337214208762767</v>
      </c>
      <c r="H16" s="691">
        <f t="shared" si="1"/>
        <v>6.2790714029209234</v>
      </c>
      <c r="V16" s="695" t="s">
        <v>1147</v>
      </c>
      <c r="W16" s="698">
        <f>(Vout/Fsw-Vin*W15)/(Vin+Vout)</f>
        <v>-5.3471464067474779E-9</v>
      </c>
      <c r="X16" s="695" t="s">
        <v>1148</v>
      </c>
      <c r="Y16" s="695">
        <f>SQRT(Fsw*(M75*(I_0*I_1+((I_1-I_0)^2)/3)+M76*(I_1*I_2+((I_2-I_1)^2)/3)+M77*(I_2*I_0+((I_0-I_2)^2)/3)))</f>
        <v>13.133546985016494</v>
      </c>
      <c r="Z16" s="695"/>
    </row>
    <row r="17" spans="1:33" s="691" customFormat="1" x14ac:dyDescent="0.25">
      <c r="E17" s="691" t="s">
        <v>1137</v>
      </c>
      <c r="F17" s="691">
        <f t="shared" si="1"/>
        <v>62.383714388316314</v>
      </c>
      <c r="G17" s="691">
        <f t="shared" si="1"/>
        <v>24.713899646876182</v>
      </c>
      <c r="H17" s="691">
        <f t="shared" si="1"/>
        <v>12.902385964807502</v>
      </c>
      <c r="J17" s="692"/>
      <c r="K17" s="692"/>
      <c r="L17" s="692"/>
      <c r="M17" s="692"/>
      <c r="V17" s="695" t="s">
        <v>1149</v>
      </c>
      <c r="W17" s="698">
        <f>1/Fsw-(W15+W16)</f>
        <v>6.3228523993480885E-7</v>
      </c>
      <c r="X17" s="695"/>
      <c r="Y17" s="695"/>
      <c r="Z17" s="695"/>
    </row>
    <row r="18" spans="1:33" s="691" customFormat="1" x14ac:dyDescent="0.25">
      <c r="V18" s="695" t="s">
        <v>1150</v>
      </c>
      <c r="W18" s="698">
        <f>1/Fsw</f>
        <v>1.6666666666666667E-6</v>
      </c>
      <c r="X18" s="695"/>
      <c r="Y18" s="695"/>
      <c r="Z18" s="695"/>
    </row>
    <row r="20" spans="1:33" x14ac:dyDescent="0.25">
      <c r="A20" s="697"/>
      <c r="B20" s="697"/>
      <c r="C20" s="697"/>
      <c r="D20" s="697"/>
      <c r="E20" s="697"/>
    </row>
    <row r="21" spans="1:33" x14ac:dyDescent="0.25">
      <c r="A21" s="697"/>
      <c r="B21" s="697"/>
      <c r="C21" s="697"/>
      <c r="D21" s="697"/>
      <c r="E21" s="697"/>
    </row>
    <row r="22" spans="1:33" x14ac:dyDescent="0.25">
      <c r="A22" s="697"/>
      <c r="B22" s="697"/>
      <c r="C22" s="697"/>
      <c r="D22" s="697"/>
      <c r="E22" s="697"/>
    </row>
    <row r="23" spans="1:33" x14ac:dyDescent="0.25">
      <c r="A23" s="697"/>
      <c r="B23" s="697"/>
      <c r="C23" s="697"/>
      <c r="D23" s="697"/>
      <c r="E23" s="697"/>
    </row>
    <row r="24" spans="1:33" x14ac:dyDescent="0.25">
      <c r="A24" s="697"/>
      <c r="B24" s="697"/>
      <c r="C24" s="697"/>
      <c r="D24" s="697"/>
      <c r="E24" s="697"/>
      <c r="AC24" s="704" t="s">
        <v>1152</v>
      </c>
      <c r="AE24" s="704" t="s">
        <v>1116</v>
      </c>
      <c r="AG24" s="704" t="s">
        <v>1152</v>
      </c>
    </row>
    <row r="25" spans="1:33" x14ac:dyDescent="0.25">
      <c r="A25" s="697"/>
      <c r="B25" s="697"/>
      <c r="C25" s="697"/>
      <c r="D25" s="697"/>
      <c r="E25" s="697"/>
      <c r="AA25" s="704">
        <f>VIN_min</f>
        <v>20</v>
      </c>
      <c r="AB25" s="704">
        <f>VIN_min</f>
        <v>20</v>
      </c>
      <c r="AC25" s="704">
        <f>$F$5</f>
        <v>10.696401407436619</v>
      </c>
      <c r="AD25" s="704">
        <f>$F$4</f>
        <v>12.766511150347091</v>
      </c>
      <c r="AE25" s="704">
        <f>$F$2</f>
        <v>16.696809135219741</v>
      </c>
      <c r="AF25" s="704">
        <f>$F$3</f>
        <v>19.92819751994363</v>
      </c>
      <c r="AG25" s="704">
        <f>VIN_max</f>
        <v>34</v>
      </c>
    </row>
    <row r="26" spans="1:33" x14ac:dyDescent="0.25">
      <c r="A26" s="697"/>
      <c r="B26" s="697"/>
      <c r="C26" s="697"/>
      <c r="D26" s="697"/>
      <c r="E26" s="697"/>
      <c r="AA26" s="704">
        <f>$F$5</f>
        <v>10.696401407436619</v>
      </c>
      <c r="AB26" s="704">
        <f>AB25</f>
        <v>20</v>
      </c>
      <c r="AC26" s="704">
        <f>AC25-AB25</f>
        <v>-9.3035985925633806</v>
      </c>
      <c r="AD26" s="704">
        <f t="shared" ref="AD26:AG26" si="2">AD25-AC25</f>
        <v>2.0701097429104713</v>
      </c>
      <c r="AE26" s="704">
        <f t="shared" si="2"/>
        <v>3.9302979848726505</v>
      </c>
      <c r="AF26" s="704">
        <f t="shared" si="2"/>
        <v>3.2313883847238891</v>
      </c>
      <c r="AG26" s="704">
        <f t="shared" si="2"/>
        <v>14.07180248005637</v>
      </c>
    </row>
    <row r="27" spans="1:33" x14ac:dyDescent="0.25">
      <c r="A27" s="697"/>
      <c r="B27" s="697"/>
      <c r="C27" s="697"/>
      <c r="D27" s="697"/>
      <c r="E27" s="697"/>
      <c r="P27" s="705" t="s">
        <v>1151</v>
      </c>
      <c r="AA27" s="704">
        <f>$F$4</f>
        <v>12.766511150347091</v>
      </c>
    </row>
    <row r="28" spans="1:33" x14ac:dyDescent="0.25">
      <c r="A28" s="697"/>
      <c r="B28" s="697"/>
      <c r="C28" s="697"/>
      <c r="D28" s="697"/>
      <c r="E28" s="697"/>
      <c r="P28" s="706" t="s">
        <v>1152</v>
      </c>
      <c r="AA28" s="704">
        <f>$F$2</f>
        <v>16.696809135219741</v>
      </c>
    </row>
    <row r="29" spans="1:33" x14ac:dyDescent="0.25">
      <c r="A29" s="697"/>
      <c r="B29" s="697"/>
      <c r="C29" s="697"/>
      <c r="D29" s="697"/>
      <c r="E29" s="697"/>
      <c r="J29" s="707"/>
      <c r="K29" s="705" t="s">
        <v>1151</v>
      </c>
      <c r="L29" s="707"/>
      <c r="M29" s="695" t="s">
        <v>1153</v>
      </c>
      <c r="P29" s="708" t="s">
        <v>1154</v>
      </c>
      <c r="Q29" s="708">
        <v>16</v>
      </c>
      <c r="R29" s="708">
        <v>18</v>
      </c>
      <c r="AA29" s="704">
        <f>$F$3</f>
        <v>19.92819751994363</v>
      </c>
    </row>
    <row r="30" spans="1:33" x14ac:dyDescent="0.25">
      <c r="A30" s="697"/>
      <c r="B30" s="697"/>
      <c r="C30" s="697"/>
      <c r="D30" s="697"/>
      <c r="E30" s="697"/>
      <c r="J30" s="707"/>
      <c r="K30" s="707" t="s">
        <v>1155</v>
      </c>
      <c r="L30" s="707" t="s">
        <v>1156</v>
      </c>
      <c r="M30" s="695"/>
      <c r="AA30" s="704">
        <f>VIN_max</f>
        <v>34</v>
      </c>
    </row>
    <row r="31" spans="1:33" x14ac:dyDescent="0.25">
      <c r="A31" s="697"/>
      <c r="B31" s="697"/>
      <c r="C31" s="697"/>
      <c r="D31" s="697"/>
      <c r="E31" s="697"/>
      <c r="J31" s="707" t="s">
        <v>1157</v>
      </c>
      <c r="K31" s="707">
        <v>806.55840000000001</v>
      </c>
      <c r="L31" s="707"/>
      <c r="M31" s="695"/>
      <c r="P31" s="704" t="s">
        <v>1158</v>
      </c>
      <c r="Q31" s="704" t="s">
        <v>1159</v>
      </c>
    </row>
    <row r="32" spans="1:33" x14ac:dyDescent="0.25">
      <c r="A32" s="697"/>
      <c r="B32" s="697"/>
      <c r="C32" s="697"/>
      <c r="D32" s="697"/>
      <c r="E32" s="697"/>
      <c r="J32" s="707" t="s">
        <v>1146</v>
      </c>
      <c r="K32" s="707">
        <v>807.84619999999995</v>
      </c>
      <c r="L32" s="709">
        <f>(K32-K31)*1000*0.000000001</f>
        <v>1.2877999999999475E-6</v>
      </c>
      <c r="M32" s="698">
        <f>$F$11*0.000000001</f>
        <v>1.0397285731386053E-6</v>
      </c>
      <c r="O32" s="704" t="s">
        <v>1160</v>
      </c>
      <c r="P32" s="707">
        <v>14.09</v>
      </c>
      <c r="Q32" s="707">
        <f>P33-P32</f>
        <v>-1.8100000000000005</v>
      </c>
    </row>
    <row r="33" spans="1:18" x14ac:dyDescent="0.25">
      <c r="A33" s="697"/>
      <c r="B33" s="697"/>
      <c r="C33" s="697"/>
      <c r="D33" s="697"/>
      <c r="E33" s="697"/>
      <c r="J33" s="707" t="s">
        <v>1147</v>
      </c>
      <c r="K33" s="707">
        <v>808.32010000000002</v>
      </c>
      <c r="L33" s="709">
        <f>(K33-K32)*1000*0.000000001</f>
        <v>4.739000000000715E-7</v>
      </c>
      <c r="M33" s="698">
        <f>(Vout/Fsw-Vin*M32)/(Vin+Vout)</f>
        <v>-5.3471464067474779E-9</v>
      </c>
      <c r="O33" s="704" t="s">
        <v>1161</v>
      </c>
      <c r="P33" s="707">
        <v>12.28</v>
      </c>
      <c r="Q33" s="707">
        <f>P34-P33</f>
        <v>4.1100000000000012</v>
      </c>
    </row>
    <row r="34" spans="1:18" x14ac:dyDescent="0.25">
      <c r="A34" s="697"/>
      <c r="B34" s="697"/>
      <c r="C34" s="697"/>
      <c r="D34" s="697"/>
      <c r="E34" s="697"/>
      <c r="J34" s="707" t="s">
        <v>1149</v>
      </c>
      <c r="K34" s="707">
        <v>808.5702</v>
      </c>
      <c r="L34" s="709">
        <f>(K34-K33)*1000*0.000000001</f>
        <v>2.500999999999749E-7</v>
      </c>
      <c r="M34" s="698">
        <f>1/Fsw-(M32+M33)</f>
        <v>6.3228523993480885E-7</v>
      </c>
      <c r="O34" s="704" t="s">
        <v>1162</v>
      </c>
      <c r="P34" s="707">
        <v>16.39</v>
      </c>
      <c r="Q34" s="707">
        <f>P32-P34</f>
        <v>-2.3000000000000007</v>
      </c>
    </row>
    <row r="35" spans="1:18" x14ac:dyDescent="0.25">
      <c r="A35" s="697"/>
      <c r="B35" s="697"/>
      <c r="C35" s="697"/>
      <c r="D35" s="697"/>
      <c r="E35" s="697"/>
      <c r="J35" s="707" t="s">
        <v>1150</v>
      </c>
      <c r="K35" s="707"/>
      <c r="L35" s="709">
        <f>(K34-K31)*1000*0.000000001</f>
        <v>2.011799999999994E-6</v>
      </c>
      <c r="M35" s="698">
        <f>1/Fsw</f>
        <v>1.6666666666666667E-6</v>
      </c>
    </row>
    <row r="36" spans="1:18" x14ac:dyDescent="0.25">
      <c r="A36" s="697"/>
      <c r="B36" s="697"/>
      <c r="C36" s="697"/>
      <c r="D36" s="697"/>
      <c r="E36" s="697"/>
      <c r="J36" s="707"/>
      <c r="K36" s="707"/>
      <c r="L36" s="707"/>
      <c r="M36" s="695"/>
    </row>
    <row r="37" spans="1:18" x14ac:dyDescent="0.25">
      <c r="J37" s="707"/>
      <c r="K37" s="707"/>
      <c r="L37" s="707"/>
      <c r="M37" s="695"/>
      <c r="P37" s="706" t="s">
        <v>1163</v>
      </c>
    </row>
    <row r="38" spans="1:18" x14ac:dyDescent="0.25">
      <c r="J38" s="707"/>
      <c r="K38" s="707"/>
      <c r="L38" s="707"/>
      <c r="M38" s="695"/>
      <c r="P38" s="708" t="s">
        <v>1154</v>
      </c>
      <c r="Q38" s="708">
        <v>20</v>
      </c>
      <c r="R38" s="708">
        <v>18</v>
      </c>
    </row>
    <row r="39" spans="1:18" x14ac:dyDescent="0.25">
      <c r="J39" s="707" t="s">
        <v>1157</v>
      </c>
      <c r="K39" s="707">
        <v>1082.558</v>
      </c>
      <c r="L39" s="707"/>
      <c r="M39" s="695"/>
      <c r="P39" s="704" t="s">
        <v>1158</v>
      </c>
      <c r="Q39" s="704" t="s">
        <v>1159</v>
      </c>
    </row>
    <row r="40" spans="1:18" x14ac:dyDescent="0.25">
      <c r="J40" s="707" t="s">
        <v>1146</v>
      </c>
      <c r="K40" s="707">
        <v>1083.8409999999999</v>
      </c>
      <c r="L40" s="709">
        <f>(K40-K39)*1000*0.000000001</f>
        <v>1.2829999999999018E-6</v>
      </c>
      <c r="M40" s="698">
        <f>$F$11*0.000000001</f>
        <v>1.0397285731386053E-6</v>
      </c>
      <c r="O40" s="704" t="s">
        <v>1160</v>
      </c>
      <c r="P40" s="707">
        <v>10.997199999999999</v>
      </c>
      <c r="Q40" s="707">
        <f>P41-P40</f>
        <v>1.0903000000000009</v>
      </c>
    </row>
    <row r="41" spans="1:18" x14ac:dyDescent="0.25">
      <c r="J41" s="707" t="s">
        <v>1147</v>
      </c>
      <c r="K41" s="707">
        <v>1084.136</v>
      </c>
      <c r="L41" s="709">
        <f>(K41-K40)*1000*0.000000001</f>
        <v>2.9500000000007277E-7</v>
      </c>
      <c r="M41" s="698">
        <f>(Vout/Fsw-Vin*M40)/(Vin+Vout)</f>
        <v>-5.3471464067474779E-9</v>
      </c>
      <c r="O41" s="704" t="s">
        <v>1161</v>
      </c>
      <c r="P41" s="707">
        <v>12.0875</v>
      </c>
      <c r="Q41" s="707">
        <f>P42-P41</f>
        <v>3.2568000000000001</v>
      </c>
    </row>
    <row r="42" spans="1:18" x14ac:dyDescent="0.25">
      <c r="J42" s="707" t="s">
        <v>1149</v>
      </c>
      <c r="K42" s="707">
        <v>1084.558</v>
      </c>
      <c r="L42" s="709">
        <f>(K42-K41)*1000*0.000000001</f>
        <v>4.2200000000002551E-7</v>
      </c>
      <c r="M42" s="698">
        <f>1/Fsw-(M40+M41)</f>
        <v>6.3228523993480885E-7</v>
      </c>
      <c r="O42" s="704" t="s">
        <v>1162</v>
      </c>
      <c r="P42" s="707">
        <v>15.3443</v>
      </c>
      <c r="Q42" s="707">
        <f>P40-P42</f>
        <v>-4.3471000000000011</v>
      </c>
    </row>
    <row r="43" spans="1:18" x14ac:dyDescent="0.25">
      <c r="J43" s="707" t="s">
        <v>1150</v>
      </c>
      <c r="K43" s="707"/>
      <c r="L43" s="709">
        <f>(K42-K39)*1000*0.000000001</f>
        <v>2.0000000000000003E-6</v>
      </c>
      <c r="M43" s="698">
        <f>1/Fsw</f>
        <v>1.6666666666666667E-6</v>
      </c>
    </row>
    <row r="45" spans="1:18" x14ac:dyDescent="0.25">
      <c r="D45" s="704" t="s">
        <v>1164</v>
      </c>
    </row>
    <row r="46" spans="1:18" x14ac:dyDescent="0.25">
      <c r="D46" s="704" t="s">
        <v>1165</v>
      </c>
    </row>
    <row r="54" spans="10:18" x14ac:dyDescent="0.25">
      <c r="P54" s="706" t="s">
        <v>1163</v>
      </c>
    </row>
    <row r="55" spans="10:18" x14ac:dyDescent="0.25">
      <c r="J55" s="707" t="s">
        <v>1157</v>
      </c>
      <c r="K55" s="707">
        <v>806.55840000000001</v>
      </c>
      <c r="L55" s="707"/>
      <c r="M55" s="695"/>
      <c r="P55" s="708" t="s">
        <v>1154</v>
      </c>
      <c r="Q55" s="708">
        <v>16</v>
      </c>
      <c r="R55" s="708">
        <v>14</v>
      </c>
    </row>
    <row r="56" spans="10:18" x14ac:dyDescent="0.25">
      <c r="J56" s="707" t="s">
        <v>1146</v>
      </c>
      <c r="K56" s="707">
        <v>807.84619999999995</v>
      </c>
      <c r="L56" s="709">
        <f>(K56-K55)*1000*0.000000001</f>
        <v>1.2877999999999475E-6</v>
      </c>
      <c r="M56" s="698">
        <f>$F$11*0.000000001</f>
        <v>1.0397285731386053E-6</v>
      </c>
      <c r="P56" s="704" t="s">
        <v>1158</v>
      </c>
      <c r="Q56" s="704" t="s">
        <v>1159</v>
      </c>
    </row>
    <row r="57" spans="10:18" x14ac:dyDescent="0.25">
      <c r="J57" s="707" t="s">
        <v>1147</v>
      </c>
      <c r="K57" s="707">
        <v>808.11800000000005</v>
      </c>
      <c r="L57" s="709">
        <f>(K57-K56)*1000*0.000000001</f>
        <v>2.718000000000984E-7</v>
      </c>
      <c r="M57" s="710">
        <f>(Vout/Fsw-Vin*M56)/(Vin+Vout)</f>
        <v>-5.3471464067474779E-9</v>
      </c>
      <c r="O57" s="704" t="s">
        <v>1160</v>
      </c>
      <c r="P57" s="707">
        <v>10.92</v>
      </c>
      <c r="Q57" s="707">
        <f>P58-P57</f>
        <v>1.1500000000000004</v>
      </c>
    </row>
    <row r="58" spans="10:18" x14ac:dyDescent="0.25">
      <c r="J58" s="707" t="s">
        <v>1149</v>
      </c>
      <c r="K58" s="707">
        <v>808.5702</v>
      </c>
      <c r="L58" s="709">
        <f>(K58-K57)*1000*0.000000001</f>
        <v>4.52199999999948E-7</v>
      </c>
      <c r="M58" s="710">
        <f>1/Fsw-(M56+M57)</f>
        <v>6.3228523993480885E-7</v>
      </c>
      <c r="O58" s="704" t="s">
        <v>1161</v>
      </c>
      <c r="P58" s="707">
        <v>12.07</v>
      </c>
      <c r="Q58" s="707">
        <f>P59-P58</f>
        <v>2.33</v>
      </c>
    </row>
    <row r="59" spans="10:18" x14ac:dyDescent="0.25">
      <c r="J59" s="707" t="s">
        <v>1166</v>
      </c>
      <c r="K59" s="707"/>
      <c r="L59" s="709">
        <f>(K58-K55)*1000*0.000000001</f>
        <v>2.011799999999994E-6</v>
      </c>
      <c r="M59" s="710">
        <f>1/Fsw</f>
        <v>1.6666666666666667E-6</v>
      </c>
      <c r="O59" s="704" t="s">
        <v>1162</v>
      </c>
      <c r="P59" s="707">
        <v>14.4</v>
      </c>
      <c r="Q59" s="707">
        <f>P57-P59</f>
        <v>-3.4800000000000004</v>
      </c>
    </row>
    <row r="69" spans="6:13" x14ac:dyDescent="0.25">
      <c r="F69" s="704" t="s">
        <v>1167</v>
      </c>
    </row>
    <row r="71" spans="6:13" x14ac:dyDescent="0.25">
      <c r="F71" s="704" t="s">
        <v>1168</v>
      </c>
    </row>
    <row r="72" spans="6:13" x14ac:dyDescent="0.25">
      <c r="F72" s="704" t="s">
        <v>1169</v>
      </c>
    </row>
    <row r="74" spans="6:13" x14ac:dyDescent="0.25">
      <c r="F74" s="704" t="s">
        <v>1170</v>
      </c>
      <c r="L74" s="704" t="s">
        <v>1171</v>
      </c>
    </row>
    <row r="75" spans="6:13" x14ac:dyDescent="0.25">
      <c r="F75" s="704" t="s">
        <v>1172</v>
      </c>
      <c r="K75" s="710"/>
      <c r="L75" s="707" t="s">
        <v>1146</v>
      </c>
      <c r="M75" s="698">
        <f>$F$11*0.000000001</f>
        <v>1.0397285731386053E-6</v>
      </c>
    </row>
    <row r="76" spans="6:13" x14ac:dyDescent="0.25">
      <c r="F76" s="704" t="s">
        <v>1173</v>
      </c>
      <c r="L76" s="707" t="s">
        <v>1147</v>
      </c>
      <c r="M76" s="710">
        <f>(Vout/Fsw-Vin*M75)/(Vin+Vout)</f>
        <v>-5.3471464067474779E-9</v>
      </c>
    </row>
    <row r="77" spans="6:13" x14ac:dyDescent="0.25">
      <c r="F77" s="704" t="s">
        <v>1174</v>
      </c>
      <c r="L77" s="707" t="s">
        <v>1149</v>
      </c>
      <c r="M77" s="710">
        <f>1/Fsw-(M75+M76)</f>
        <v>6.3228523993480885E-7</v>
      </c>
    </row>
    <row r="78" spans="6:13" x14ac:dyDescent="0.25">
      <c r="F78" s="704" t="s">
        <v>1175</v>
      </c>
      <c r="L78" s="707" t="s">
        <v>1166</v>
      </c>
      <c r="M78" s="710">
        <f>1/Fsw</f>
        <v>1.6666666666666667E-6</v>
      </c>
    </row>
    <row r="79" spans="6:13" x14ac:dyDescent="0.25">
      <c r="F79" s="704" t="s">
        <v>1176</v>
      </c>
    </row>
    <row r="80" spans="6:13" x14ac:dyDescent="0.25">
      <c r="F80" s="704" t="s">
        <v>1177</v>
      </c>
      <c r="K80" s="710"/>
    </row>
    <row r="94" spans="6:6" x14ac:dyDescent="0.25">
      <c r="F94" s="704" t="s">
        <v>1178</v>
      </c>
    </row>
    <row r="96" spans="6:6" x14ac:dyDescent="0.25">
      <c r="F96" s="704" t="s">
        <v>1179</v>
      </c>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63E2C-CE5C-4C7D-BEFE-FC69EE5F7876}">
  <sheetPr codeName="Sheet15"/>
  <dimension ref="A1:R164"/>
  <sheetViews>
    <sheetView topLeftCell="A79" workbookViewId="0">
      <selection activeCell="D24" sqref="D24"/>
    </sheetView>
  </sheetViews>
  <sheetFormatPr defaultRowHeight="12.75" x14ac:dyDescent="0.2"/>
  <cols>
    <col min="14" max="14" width="10.5703125" bestFit="1" customWidth="1"/>
    <col min="15" max="15" width="13.42578125" bestFit="1" customWidth="1"/>
    <col min="16" max="16" width="8.28515625" bestFit="1" customWidth="1"/>
  </cols>
  <sheetData>
    <row r="1" spans="1:18" x14ac:dyDescent="0.2">
      <c r="A1" s="114" t="s">
        <v>864</v>
      </c>
    </row>
    <row r="2" spans="1:18" x14ac:dyDescent="0.2">
      <c r="A2" s="114" t="s">
        <v>881</v>
      </c>
    </row>
    <row r="3" spans="1:18" x14ac:dyDescent="0.2">
      <c r="A3" s="570" t="s">
        <v>875</v>
      </c>
      <c r="B3" s="570" t="s">
        <v>880</v>
      </c>
      <c r="C3" s="570" t="s">
        <v>876</v>
      </c>
      <c r="D3" s="570" t="s">
        <v>877</v>
      </c>
      <c r="E3" s="570" t="s">
        <v>878</v>
      </c>
      <c r="F3" s="570" t="s">
        <v>879</v>
      </c>
      <c r="G3" t="str">
        <f>C3</f>
        <v>DRSS</v>
      </c>
      <c r="H3" t="str">
        <f>D3</f>
        <v>HICCUP</v>
      </c>
      <c r="I3" t="str">
        <f>E3</f>
        <v>USLEEP</v>
      </c>
      <c r="J3" t="str">
        <f>F3</f>
        <v>IMON_LIMIT</v>
      </c>
    </row>
    <row r="4" spans="1:18" x14ac:dyDescent="0.2">
      <c r="A4" s="554">
        <v>1</v>
      </c>
      <c r="B4" s="554">
        <v>0</v>
      </c>
      <c r="C4" s="554">
        <v>0</v>
      </c>
      <c r="D4" s="554">
        <v>0</v>
      </c>
      <c r="E4" s="554">
        <v>0</v>
      </c>
      <c r="F4" s="554">
        <v>0</v>
      </c>
      <c r="G4" t="str">
        <f>IF(C4=1,"Enable","Disable")</f>
        <v>Disable</v>
      </c>
      <c r="H4" t="str">
        <f t="shared" ref="H4:H19" si="0">IF(D4=1,"Enable","Disable")</f>
        <v>Disable</v>
      </c>
      <c r="I4" t="str">
        <f t="shared" ref="I4:I19" si="1">IF(E4=1,"Enable","Disable")</f>
        <v>Disable</v>
      </c>
      <c r="J4" t="str">
        <f t="shared" ref="J4:J19" si="2">IF(F4=1,"Enable","Disable")</f>
        <v>Disable</v>
      </c>
      <c r="L4" t="str">
        <f>CONCATENATE(G$3,": ",C4)</f>
        <v>DRSS: 0</v>
      </c>
      <c r="M4" t="str">
        <f t="shared" ref="M4:M19" si="3">CONCATENATE(H$3,": ",D4)</f>
        <v>HICCUP: 0</v>
      </c>
      <c r="N4" t="str">
        <f t="shared" ref="N4:N19" si="4">CONCATENATE(I$3,": ",E4)</f>
        <v>USLEEP: 0</v>
      </c>
      <c r="O4" t="str">
        <f t="shared" ref="O4:O19" si="5">CONCATENATE(J$3,": ",F4)</f>
        <v>IMON_LIMIT: 0</v>
      </c>
      <c r="P4" t="str">
        <f t="shared" ref="P4:P19" si="6">CONCATENATE(K$3,": ",G4)</f>
        <v>: Disable</v>
      </c>
      <c r="R4" t="str">
        <f>CONCATENATE(L4," / ",M4," / ",N4," / ",O4)</f>
        <v>DRSS: 0 / HICCUP: 0 / USLEEP: 0 / IMON_LIMIT: 0</v>
      </c>
    </row>
    <row r="5" spans="1:18" x14ac:dyDescent="0.2">
      <c r="A5" s="554">
        <v>2</v>
      </c>
      <c r="B5" s="554">
        <v>0.51100000000000001</v>
      </c>
      <c r="C5" s="554">
        <v>1</v>
      </c>
      <c r="D5" s="554">
        <v>0</v>
      </c>
      <c r="E5" s="554">
        <v>0</v>
      </c>
      <c r="F5" s="554">
        <v>0</v>
      </c>
      <c r="G5" t="str">
        <f t="shared" ref="G5:G19" si="7">IF(C5=1,"Enable","Disable")</f>
        <v>Enable</v>
      </c>
      <c r="H5" t="str">
        <f t="shared" si="0"/>
        <v>Disable</v>
      </c>
      <c r="I5" t="str">
        <f t="shared" si="1"/>
        <v>Disable</v>
      </c>
      <c r="J5" t="str">
        <f t="shared" si="2"/>
        <v>Disable</v>
      </c>
      <c r="L5" t="str">
        <f t="shared" ref="L5:L19" si="8">CONCATENATE(G$3,": ",C5)</f>
        <v>DRSS: 1</v>
      </c>
      <c r="M5" t="str">
        <f t="shared" si="3"/>
        <v>HICCUP: 0</v>
      </c>
      <c r="N5" t="str">
        <f t="shared" si="4"/>
        <v>USLEEP: 0</v>
      </c>
      <c r="O5" t="str">
        <f t="shared" si="5"/>
        <v>IMON_LIMIT: 0</v>
      </c>
      <c r="P5" t="str">
        <f t="shared" si="6"/>
        <v>: Enable</v>
      </c>
      <c r="R5" t="str">
        <f t="shared" ref="R5:R19" si="9">CONCATENATE(L5," / ",M5," / ",N5," / ",O5)</f>
        <v>DRSS: 1 / HICCUP: 0 / USLEEP: 0 / IMON_LIMIT: 0</v>
      </c>
    </row>
    <row r="6" spans="1:18" x14ac:dyDescent="0.2">
      <c r="A6" s="554">
        <v>3</v>
      </c>
      <c r="B6" s="554">
        <v>1.1499999999999999</v>
      </c>
      <c r="C6" s="554">
        <v>0</v>
      </c>
      <c r="D6" s="554">
        <v>1</v>
      </c>
      <c r="E6" s="554">
        <v>0</v>
      </c>
      <c r="F6" s="554">
        <v>0</v>
      </c>
      <c r="G6" t="str">
        <f t="shared" si="7"/>
        <v>Disable</v>
      </c>
      <c r="H6" t="str">
        <f t="shared" si="0"/>
        <v>Enable</v>
      </c>
      <c r="I6" t="str">
        <f t="shared" si="1"/>
        <v>Disable</v>
      </c>
      <c r="J6" t="str">
        <f t="shared" si="2"/>
        <v>Disable</v>
      </c>
      <c r="L6" t="str">
        <f t="shared" si="8"/>
        <v>DRSS: 0</v>
      </c>
      <c r="M6" t="str">
        <f t="shared" si="3"/>
        <v>HICCUP: 1</v>
      </c>
      <c r="N6" t="str">
        <f t="shared" si="4"/>
        <v>USLEEP: 0</v>
      </c>
      <c r="O6" t="str">
        <f t="shared" si="5"/>
        <v>IMON_LIMIT: 0</v>
      </c>
      <c r="P6" t="str">
        <f t="shared" si="6"/>
        <v>: Disable</v>
      </c>
      <c r="R6" t="str">
        <f t="shared" si="9"/>
        <v>DRSS: 0 / HICCUP: 1 / USLEEP: 0 / IMON_LIMIT: 0</v>
      </c>
    </row>
    <row r="7" spans="1:18" x14ac:dyDescent="0.2">
      <c r="A7" s="554">
        <v>4</v>
      </c>
      <c r="B7" s="554">
        <v>1.9</v>
      </c>
      <c r="C7" s="554">
        <v>1</v>
      </c>
      <c r="D7" s="554">
        <v>1</v>
      </c>
      <c r="E7" s="554">
        <v>0</v>
      </c>
      <c r="F7" s="554">
        <v>0</v>
      </c>
      <c r="G7" t="str">
        <f t="shared" si="7"/>
        <v>Enable</v>
      </c>
      <c r="H7" t="str">
        <f t="shared" si="0"/>
        <v>Enable</v>
      </c>
      <c r="I7" t="str">
        <f t="shared" si="1"/>
        <v>Disable</v>
      </c>
      <c r="J7" t="str">
        <f t="shared" si="2"/>
        <v>Disable</v>
      </c>
      <c r="L7" t="str">
        <f t="shared" si="8"/>
        <v>DRSS: 1</v>
      </c>
      <c r="M7" t="str">
        <f t="shared" si="3"/>
        <v>HICCUP: 1</v>
      </c>
      <c r="N7" t="str">
        <f t="shared" si="4"/>
        <v>USLEEP: 0</v>
      </c>
      <c r="O7" t="str">
        <f t="shared" si="5"/>
        <v>IMON_LIMIT: 0</v>
      </c>
      <c r="P7" t="str">
        <f t="shared" si="6"/>
        <v>: Enable</v>
      </c>
      <c r="R7" t="str">
        <f t="shared" si="9"/>
        <v>DRSS: 1 / HICCUP: 1 / USLEEP: 0 / IMON_LIMIT: 0</v>
      </c>
    </row>
    <row r="8" spans="1:18" x14ac:dyDescent="0.2">
      <c r="A8" s="554">
        <v>5</v>
      </c>
      <c r="B8" s="554">
        <v>2.7</v>
      </c>
      <c r="C8" s="554">
        <v>0</v>
      </c>
      <c r="D8" s="554">
        <v>0</v>
      </c>
      <c r="E8" s="554">
        <v>0</v>
      </c>
      <c r="F8" s="554">
        <v>1</v>
      </c>
      <c r="G8" t="str">
        <f t="shared" si="7"/>
        <v>Disable</v>
      </c>
      <c r="H8" t="str">
        <f t="shared" si="0"/>
        <v>Disable</v>
      </c>
      <c r="I8" t="str">
        <f t="shared" si="1"/>
        <v>Disable</v>
      </c>
      <c r="J8" t="str">
        <f t="shared" si="2"/>
        <v>Enable</v>
      </c>
      <c r="L8" t="str">
        <f t="shared" si="8"/>
        <v>DRSS: 0</v>
      </c>
      <c r="M8" t="str">
        <f t="shared" si="3"/>
        <v>HICCUP: 0</v>
      </c>
      <c r="N8" t="str">
        <f t="shared" si="4"/>
        <v>USLEEP: 0</v>
      </c>
      <c r="O8" t="str">
        <f t="shared" si="5"/>
        <v>IMON_LIMIT: 1</v>
      </c>
      <c r="P8" t="str">
        <f t="shared" si="6"/>
        <v>: Disable</v>
      </c>
      <c r="R8" t="str">
        <f t="shared" si="9"/>
        <v>DRSS: 0 / HICCUP: 0 / USLEEP: 0 / IMON_LIMIT: 1</v>
      </c>
    </row>
    <row r="9" spans="1:18" x14ac:dyDescent="0.2">
      <c r="A9" s="554">
        <v>6</v>
      </c>
      <c r="B9" s="554">
        <v>3.8</v>
      </c>
      <c r="C9" s="554">
        <v>1</v>
      </c>
      <c r="D9" s="554">
        <v>0</v>
      </c>
      <c r="E9" s="554">
        <v>0</v>
      </c>
      <c r="F9" s="554">
        <v>1</v>
      </c>
      <c r="G9" t="str">
        <f t="shared" si="7"/>
        <v>Enable</v>
      </c>
      <c r="H9" t="str">
        <f t="shared" si="0"/>
        <v>Disable</v>
      </c>
      <c r="I9" t="str">
        <f t="shared" si="1"/>
        <v>Disable</v>
      </c>
      <c r="J9" t="str">
        <f t="shared" si="2"/>
        <v>Enable</v>
      </c>
      <c r="L9" t="str">
        <f t="shared" si="8"/>
        <v>DRSS: 1</v>
      </c>
      <c r="M9" t="str">
        <f t="shared" si="3"/>
        <v>HICCUP: 0</v>
      </c>
      <c r="N9" t="str">
        <f t="shared" si="4"/>
        <v>USLEEP: 0</v>
      </c>
      <c r="O9" t="str">
        <f t="shared" si="5"/>
        <v>IMON_LIMIT: 1</v>
      </c>
      <c r="P9" t="str">
        <f t="shared" si="6"/>
        <v>: Enable</v>
      </c>
      <c r="R9" t="str">
        <f t="shared" si="9"/>
        <v>DRSS: 1 / HICCUP: 0 / USLEEP: 0 / IMON_LIMIT: 1</v>
      </c>
    </row>
    <row r="10" spans="1:18" x14ac:dyDescent="0.2">
      <c r="A10" s="554">
        <v>7</v>
      </c>
      <c r="B10" s="554">
        <v>5.0999999999999996</v>
      </c>
      <c r="C10" s="554">
        <v>0</v>
      </c>
      <c r="D10" s="554">
        <v>1</v>
      </c>
      <c r="E10" s="554">
        <v>0</v>
      </c>
      <c r="F10" s="554">
        <v>1</v>
      </c>
      <c r="G10" t="str">
        <f t="shared" si="7"/>
        <v>Disable</v>
      </c>
      <c r="H10" t="str">
        <f t="shared" si="0"/>
        <v>Enable</v>
      </c>
      <c r="I10" t="str">
        <f t="shared" si="1"/>
        <v>Disable</v>
      </c>
      <c r="J10" t="str">
        <f t="shared" si="2"/>
        <v>Enable</v>
      </c>
      <c r="L10" t="str">
        <f t="shared" si="8"/>
        <v>DRSS: 0</v>
      </c>
      <c r="M10" t="str">
        <f t="shared" si="3"/>
        <v>HICCUP: 1</v>
      </c>
      <c r="N10" t="str">
        <f t="shared" si="4"/>
        <v>USLEEP: 0</v>
      </c>
      <c r="O10" t="str">
        <f t="shared" si="5"/>
        <v>IMON_LIMIT: 1</v>
      </c>
      <c r="P10" t="str">
        <f t="shared" si="6"/>
        <v>: Disable</v>
      </c>
      <c r="R10" t="str">
        <f t="shared" si="9"/>
        <v>DRSS: 0 / HICCUP: 1 / USLEEP: 0 / IMON_LIMIT: 1</v>
      </c>
    </row>
    <row r="11" spans="1:18" x14ac:dyDescent="0.2">
      <c r="A11" s="554">
        <v>8</v>
      </c>
      <c r="B11" s="554">
        <v>6.5</v>
      </c>
      <c r="C11" s="554">
        <v>1</v>
      </c>
      <c r="D11" s="554">
        <v>1</v>
      </c>
      <c r="E11" s="554">
        <v>0</v>
      </c>
      <c r="F11" s="554">
        <v>1</v>
      </c>
      <c r="G11" t="str">
        <f t="shared" si="7"/>
        <v>Enable</v>
      </c>
      <c r="H11" t="str">
        <f t="shared" si="0"/>
        <v>Enable</v>
      </c>
      <c r="I11" t="str">
        <f t="shared" si="1"/>
        <v>Disable</v>
      </c>
      <c r="J11" t="str">
        <f t="shared" si="2"/>
        <v>Enable</v>
      </c>
      <c r="L11" t="str">
        <f t="shared" si="8"/>
        <v>DRSS: 1</v>
      </c>
      <c r="M11" t="str">
        <f t="shared" si="3"/>
        <v>HICCUP: 1</v>
      </c>
      <c r="N11" t="str">
        <f t="shared" si="4"/>
        <v>USLEEP: 0</v>
      </c>
      <c r="O11" t="str">
        <f t="shared" si="5"/>
        <v>IMON_LIMIT: 1</v>
      </c>
      <c r="P11" t="str">
        <f t="shared" si="6"/>
        <v>: Enable</v>
      </c>
      <c r="R11" t="str">
        <f t="shared" si="9"/>
        <v>DRSS: 1 / HICCUP: 1 / USLEEP: 0 / IMON_LIMIT: 1</v>
      </c>
    </row>
    <row r="12" spans="1:18" x14ac:dyDescent="0.2">
      <c r="A12" s="554">
        <v>9</v>
      </c>
      <c r="B12" s="554">
        <v>8.3000000000000007</v>
      </c>
      <c r="C12" s="554">
        <v>0</v>
      </c>
      <c r="D12" s="554">
        <v>0</v>
      </c>
      <c r="E12" s="554">
        <v>1</v>
      </c>
      <c r="F12" s="554">
        <v>0</v>
      </c>
      <c r="G12" t="str">
        <f t="shared" si="7"/>
        <v>Disable</v>
      </c>
      <c r="H12" t="str">
        <f t="shared" si="0"/>
        <v>Disable</v>
      </c>
      <c r="I12" t="str">
        <f t="shared" si="1"/>
        <v>Enable</v>
      </c>
      <c r="J12" t="str">
        <f t="shared" si="2"/>
        <v>Disable</v>
      </c>
      <c r="L12" t="str">
        <f t="shared" si="8"/>
        <v>DRSS: 0</v>
      </c>
      <c r="M12" t="str">
        <f t="shared" si="3"/>
        <v>HICCUP: 0</v>
      </c>
      <c r="N12" t="str">
        <f t="shared" si="4"/>
        <v>USLEEP: 1</v>
      </c>
      <c r="O12" t="str">
        <f t="shared" si="5"/>
        <v>IMON_LIMIT: 0</v>
      </c>
      <c r="P12" t="str">
        <f t="shared" si="6"/>
        <v>: Disable</v>
      </c>
      <c r="R12" t="str">
        <f t="shared" si="9"/>
        <v>DRSS: 0 / HICCUP: 0 / USLEEP: 1 / IMON_LIMIT: 0</v>
      </c>
    </row>
    <row r="13" spans="1:18" x14ac:dyDescent="0.2">
      <c r="A13" s="554">
        <v>10</v>
      </c>
      <c r="B13" s="554">
        <v>10.5</v>
      </c>
      <c r="C13" s="554">
        <v>1</v>
      </c>
      <c r="D13" s="554">
        <v>0</v>
      </c>
      <c r="E13" s="554">
        <v>1</v>
      </c>
      <c r="F13" s="554">
        <v>0</v>
      </c>
      <c r="G13" t="str">
        <f t="shared" si="7"/>
        <v>Enable</v>
      </c>
      <c r="H13" t="str">
        <f t="shared" si="0"/>
        <v>Disable</v>
      </c>
      <c r="I13" t="str">
        <f t="shared" si="1"/>
        <v>Enable</v>
      </c>
      <c r="J13" t="str">
        <f t="shared" si="2"/>
        <v>Disable</v>
      </c>
      <c r="L13" t="str">
        <f t="shared" si="8"/>
        <v>DRSS: 1</v>
      </c>
      <c r="M13" t="str">
        <f t="shared" si="3"/>
        <v>HICCUP: 0</v>
      </c>
      <c r="N13" t="str">
        <f t="shared" si="4"/>
        <v>USLEEP: 1</v>
      </c>
      <c r="O13" t="str">
        <f t="shared" si="5"/>
        <v>IMON_LIMIT: 0</v>
      </c>
      <c r="P13" t="str">
        <f t="shared" si="6"/>
        <v>: Enable</v>
      </c>
      <c r="R13" t="str">
        <f t="shared" si="9"/>
        <v>DRSS: 1 / HICCUP: 0 / USLEEP: 1 / IMON_LIMIT: 0</v>
      </c>
    </row>
    <row r="14" spans="1:18" x14ac:dyDescent="0.2">
      <c r="A14" s="554">
        <v>11</v>
      </c>
      <c r="B14" s="554">
        <v>13.3</v>
      </c>
      <c r="C14" s="554">
        <v>0</v>
      </c>
      <c r="D14" s="554">
        <v>1</v>
      </c>
      <c r="E14" s="554">
        <v>1</v>
      </c>
      <c r="F14" s="554">
        <v>0</v>
      </c>
      <c r="G14" t="str">
        <f t="shared" si="7"/>
        <v>Disable</v>
      </c>
      <c r="H14" t="str">
        <f t="shared" si="0"/>
        <v>Enable</v>
      </c>
      <c r="I14" t="str">
        <f t="shared" si="1"/>
        <v>Enable</v>
      </c>
      <c r="J14" t="str">
        <f t="shared" si="2"/>
        <v>Disable</v>
      </c>
      <c r="L14" t="str">
        <f t="shared" si="8"/>
        <v>DRSS: 0</v>
      </c>
      <c r="M14" t="str">
        <f t="shared" si="3"/>
        <v>HICCUP: 1</v>
      </c>
      <c r="N14" t="str">
        <f t="shared" si="4"/>
        <v>USLEEP: 1</v>
      </c>
      <c r="O14" t="str">
        <f t="shared" si="5"/>
        <v>IMON_LIMIT: 0</v>
      </c>
      <c r="P14" t="str">
        <f t="shared" si="6"/>
        <v>: Disable</v>
      </c>
      <c r="R14" t="str">
        <f t="shared" si="9"/>
        <v>DRSS: 0 / HICCUP: 1 / USLEEP: 1 / IMON_LIMIT: 0</v>
      </c>
    </row>
    <row r="15" spans="1:18" x14ac:dyDescent="0.2">
      <c r="A15" s="554">
        <v>12</v>
      </c>
      <c r="B15" s="554">
        <v>16.2</v>
      </c>
      <c r="C15" s="554">
        <v>1</v>
      </c>
      <c r="D15" s="554">
        <v>1</v>
      </c>
      <c r="E15" s="554">
        <v>1</v>
      </c>
      <c r="F15" s="554">
        <v>0</v>
      </c>
      <c r="G15" t="str">
        <f t="shared" si="7"/>
        <v>Enable</v>
      </c>
      <c r="H15" t="str">
        <f t="shared" si="0"/>
        <v>Enable</v>
      </c>
      <c r="I15" t="str">
        <f t="shared" si="1"/>
        <v>Enable</v>
      </c>
      <c r="J15" t="str">
        <f t="shared" si="2"/>
        <v>Disable</v>
      </c>
      <c r="L15" t="str">
        <f t="shared" si="8"/>
        <v>DRSS: 1</v>
      </c>
      <c r="M15" t="str">
        <f t="shared" si="3"/>
        <v>HICCUP: 1</v>
      </c>
      <c r="N15" t="str">
        <f t="shared" si="4"/>
        <v>USLEEP: 1</v>
      </c>
      <c r="O15" t="str">
        <f t="shared" si="5"/>
        <v>IMON_LIMIT: 0</v>
      </c>
      <c r="P15" t="str">
        <f t="shared" si="6"/>
        <v>: Enable</v>
      </c>
      <c r="R15" t="str">
        <f t="shared" si="9"/>
        <v>DRSS: 1 / HICCUP: 1 / USLEEP: 1 / IMON_LIMIT: 0</v>
      </c>
    </row>
    <row r="16" spans="1:18" x14ac:dyDescent="0.2">
      <c r="A16" s="554">
        <v>13</v>
      </c>
      <c r="B16" s="554">
        <v>20.5</v>
      </c>
      <c r="C16" s="554">
        <v>0</v>
      </c>
      <c r="D16" s="554">
        <v>0</v>
      </c>
      <c r="E16" s="554">
        <v>1</v>
      </c>
      <c r="F16" s="554">
        <v>1</v>
      </c>
      <c r="G16" t="str">
        <f t="shared" si="7"/>
        <v>Disable</v>
      </c>
      <c r="H16" t="str">
        <f t="shared" si="0"/>
        <v>Disable</v>
      </c>
      <c r="I16" t="str">
        <f t="shared" si="1"/>
        <v>Enable</v>
      </c>
      <c r="J16" t="str">
        <f t="shared" si="2"/>
        <v>Enable</v>
      </c>
      <c r="L16" t="str">
        <f t="shared" si="8"/>
        <v>DRSS: 0</v>
      </c>
      <c r="M16" t="str">
        <f t="shared" si="3"/>
        <v>HICCUP: 0</v>
      </c>
      <c r="N16" t="str">
        <f t="shared" si="4"/>
        <v>USLEEP: 1</v>
      </c>
      <c r="O16" t="str">
        <f t="shared" si="5"/>
        <v>IMON_LIMIT: 1</v>
      </c>
      <c r="P16" t="str">
        <f t="shared" si="6"/>
        <v>: Disable</v>
      </c>
      <c r="R16" t="str">
        <f t="shared" si="9"/>
        <v>DRSS: 0 / HICCUP: 0 / USLEEP: 1 / IMON_LIMIT: 1</v>
      </c>
    </row>
    <row r="17" spans="1:18" x14ac:dyDescent="0.2">
      <c r="A17" s="554">
        <v>14</v>
      </c>
      <c r="B17" s="554">
        <v>24.9</v>
      </c>
      <c r="C17" s="554">
        <v>1</v>
      </c>
      <c r="D17" s="554">
        <v>0</v>
      </c>
      <c r="E17" s="554">
        <v>1</v>
      </c>
      <c r="F17" s="554">
        <v>1</v>
      </c>
      <c r="G17" t="str">
        <f t="shared" si="7"/>
        <v>Enable</v>
      </c>
      <c r="H17" t="str">
        <f t="shared" si="0"/>
        <v>Disable</v>
      </c>
      <c r="I17" t="str">
        <f t="shared" si="1"/>
        <v>Enable</v>
      </c>
      <c r="J17" t="str">
        <f t="shared" si="2"/>
        <v>Enable</v>
      </c>
      <c r="L17" t="str">
        <f t="shared" si="8"/>
        <v>DRSS: 1</v>
      </c>
      <c r="M17" t="str">
        <f t="shared" si="3"/>
        <v>HICCUP: 0</v>
      </c>
      <c r="N17" t="str">
        <f t="shared" si="4"/>
        <v>USLEEP: 1</v>
      </c>
      <c r="O17" t="str">
        <f t="shared" si="5"/>
        <v>IMON_LIMIT: 1</v>
      </c>
      <c r="P17" t="str">
        <f t="shared" si="6"/>
        <v>: Enable</v>
      </c>
      <c r="R17" t="str">
        <f t="shared" si="9"/>
        <v>DRSS: 1 / HICCUP: 0 / USLEEP: 1 / IMON_LIMIT: 1</v>
      </c>
    </row>
    <row r="18" spans="1:18" x14ac:dyDescent="0.2">
      <c r="A18" s="554">
        <v>15</v>
      </c>
      <c r="B18" s="554">
        <v>30.1</v>
      </c>
      <c r="C18" s="554">
        <v>0</v>
      </c>
      <c r="D18" s="554">
        <v>1</v>
      </c>
      <c r="E18" s="554">
        <v>1</v>
      </c>
      <c r="F18" s="554">
        <v>1</v>
      </c>
      <c r="G18" t="str">
        <f t="shared" si="7"/>
        <v>Disable</v>
      </c>
      <c r="H18" t="str">
        <f t="shared" si="0"/>
        <v>Enable</v>
      </c>
      <c r="I18" t="str">
        <f t="shared" si="1"/>
        <v>Enable</v>
      </c>
      <c r="J18" t="str">
        <f t="shared" si="2"/>
        <v>Enable</v>
      </c>
      <c r="L18" t="str">
        <f t="shared" si="8"/>
        <v>DRSS: 0</v>
      </c>
      <c r="M18" t="str">
        <f t="shared" si="3"/>
        <v>HICCUP: 1</v>
      </c>
      <c r="N18" t="str">
        <f t="shared" si="4"/>
        <v>USLEEP: 1</v>
      </c>
      <c r="O18" t="str">
        <f t="shared" si="5"/>
        <v>IMON_LIMIT: 1</v>
      </c>
      <c r="P18" t="str">
        <f t="shared" si="6"/>
        <v>: Disable</v>
      </c>
      <c r="R18" t="str">
        <f t="shared" si="9"/>
        <v>DRSS: 0 / HICCUP: 1 / USLEEP: 1 / IMON_LIMIT: 1</v>
      </c>
    </row>
    <row r="19" spans="1:18" x14ac:dyDescent="0.2">
      <c r="A19" s="554">
        <v>16</v>
      </c>
      <c r="B19" s="554">
        <v>36.5</v>
      </c>
      <c r="C19" s="554">
        <v>1</v>
      </c>
      <c r="D19" s="554">
        <v>1</v>
      </c>
      <c r="E19" s="554">
        <v>1</v>
      </c>
      <c r="F19" s="554">
        <v>1</v>
      </c>
      <c r="G19" t="str">
        <f t="shared" si="7"/>
        <v>Enable</v>
      </c>
      <c r="H19" t="str">
        <f t="shared" si="0"/>
        <v>Enable</v>
      </c>
      <c r="I19" t="str">
        <f t="shared" si="1"/>
        <v>Enable</v>
      </c>
      <c r="J19" t="str">
        <f t="shared" si="2"/>
        <v>Enable</v>
      </c>
      <c r="L19" t="str">
        <f t="shared" si="8"/>
        <v>DRSS: 1</v>
      </c>
      <c r="M19" t="str">
        <f t="shared" si="3"/>
        <v>HICCUP: 1</v>
      </c>
      <c r="N19" t="str">
        <f t="shared" si="4"/>
        <v>USLEEP: 1</v>
      </c>
      <c r="O19" t="str">
        <f t="shared" si="5"/>
        <v>IMON_LIMIT: 1</v>
      </c>
      <c r="P19" t="str">
        <f t="shared" si="6"/>
        <v>: Enable</v>
      </c>
      <c r="R19" t="str">
        <f t="shared" si="9"/>
        <v>DRSS: 1 / HICCUP: 1 / USLEEP: 1 / IMON_LIMIT: 1</v>
      </c>
    </row>
    <row r="21" spans="1:18" x14ac:dyDescent="0.2">
      <c r="C21" s="554">
        <v>0</v>
      </c>
      <c r="D21" s="554">
        <v>1</v>
      </c>
      <c r="E21" s="554">
        <v>3</v>
      </c>
      <c r="F21" s="554">
        <v>2</v>
      </c>
    </row>
    <row r="22" spans="1:18" x14ac:dyDescent="0.2">
      <c r="C22" s="114" t="s">
        <v>933</v>
      </c>
      <c r="D22" s="114" t="s">
        <v>936</v>
      </c>
      <c r="E22" s="114" t="s">
        <v>937</v>
      </c>
      <c r="F22" s="570" t="s">
        <v>931</v>
      </c>
    </row>
    <row r="23" spans="1:18" x14ac:dyDescent="0.2">
      <c r="C23" s="114" t="s">
        <v>934</v>
      </c>
      <c r="D23" s="114" t="s">
        <v>935</v>
      </c>
      <c r="E23" s="114" t="s">
        <v>938</v>
      </c>
      <c r="F23" s="570" t="s">
        <v>932</v>
      </c>
    </row>
    <row r="24" spans="1:18" x14ac:dyDescent="0.2">
      <c r="F24" s="114" t="s">
        <v>950</v>
      </c>
    </row>
    <row r="25" spans="1:18" x14ac:dyDescent="0.2">
      <c r="F25" s="114" t="s">
        <v>949</v>
      </c>
    </row>
    <row r="27" spans="1:18" ht="15" x14ac:dyDescent="0.25">
      <c r="B27" s="114" t="s">
        <v>930</v>
      </c>
      <c r="C27" s="634">
        <v>1</v>
      </c>
      <c r="D27" s="634">
        <v>1</v>
      </c>
      <c r="E27" s="634">
        <v>2</v>
      </c>
      <c r="F27" s="634">
        <v>3</v>
      </c>
      <c r="G27" s="633" t="s">
        <v>974</v>
      </c>
      <c r="H27" s="114" t="str">
        <f>CONCATENATE("R_",A2)</f>
        <v>R_CFG</v>
      </c>
      <c r="J27" s="114" t="s">
        <v>964</v>
      </c>
    </row>
    <row r="28" spans="1:18" ht="15" x14ac:dyDescent="0.25">
      <c r="C28">
        <f>(C27-1)*2^C21</f>
        <v>0</v>
      </c>
      <c r="D28">
        <f>(D27-1)*2^D21</f>
        <v>0</v>
      </c>
      <c r="E28">
        <f>(E27-1)*2^E21</f>
        <v>8</v>
      </c>
      <c r="F28">
        <f>(IF(F27&gt;2,1,0)*2^F21)</f>
        <v>4</v>
      </c>
      <c r="G28" s="633">
        <f>SUM(C28:F28)+1</f>
        <v>13</v>
      </c>
      <c r="H28">
        <f>INDEX(B4:B19,G28)</f>
        <v>20.5</v>
      </c>
    </row>
    <row r="30" spans="1:18" x14ac:dyDescent="0.2">
      <c r="A30" s="114" t="s">
        <v>958</v>
      </c>
    </row>
    <row r="31" spans="1:18" x14ac:dyDescent="0.2">
      <c r="A31" s="114" t="s">
        <v>959</v>
      </c>
    </row>
    <row r="32" spans="1:18" x14ac:dyDescent="0.2">
      <c r="A32" s="570" t="s">
        <v>875</v>
      </c>
      <c r="B32" s="570" t="s">
        <v>962</v>
      </c>
      <c r="C32" s="570" t="s">
        <v>975</v>
      </c>
      <c r="D32" s="348" t="s">
        <v>1004</v>
      </c>
      <c r="E32" s="570"/>
      <c r="F32" s="570"/>
    </row>
    <row r="33" spans="1:18" x14ac:dyDescent="0.2">
      <c r="A33" s="554">
        <v>1</v>
      </c>
      <c r="B33" s="554">
        <v>0</v>
      </c>
      <c r="C33" s="570" t="s">
        <v>966</v>
      </c>
      <c r="D33" s="403" t="s">
        <v>1005</v>
      </c>
      <c r="E33" s="554"/>
      <c r="F33" s="554"/>
      <c r="L33" t="str">
        <f>CONCATENATE($C$32,": ",C33)</f>
        <v>Slope Comp.: n/a</v>
      </c>
      <c r="M33" t="str">
        <f>CONCATENATE(D$32," ",D33)</f>
        <v>I2C ADDR LSB: 0</v>
      </c>
      <c r="R33" t="str">
        <f>CONCATENATE(L33," / ",M33)</f>
        <v>Slope Comp.: n/a / I2C ADDR LSB: 0</v>
      </c>
    </row>
    <row r="34" spans="1:18" x14ac:dyDescent="0.2">
      <c r="A34" s="554">
        <v>2</v>
      </c>
      <c r="B34" s="554">
        <v>0.51100000000000001</v>
      </c>
      <c r="C34" s="554">
        <v>0.25</v>
      </c>
      <c r="D34" s="348" t="s">
        <v>965</v>
      </c>
      <c r="E34" s="554"/>
      <c r="F34" s="554"/>
      <c r="L34" t="str">
        <f t="shared" ref="L34:L48" si="10">CONCATENATE($C$32,": ",C34)</f>
        <v>Slope Comp.: 0.25</v>
      </c>
      <c r="M34" t="str">
        <f t="shared" ref="M34:M48" si="11">CONCATENATE(D$32," ",D34)</f>
        <v>I2C Disabled</v>
      </c>
      <c r="R34" t="str">
        <f t="shared" ref="R34:R48" si="12">CONCATENATE(L34," / ",M34," / ",N34," / ",O34)</f>
        <v xml:space="preserve">Slope Comp.: 0.25 / I2C Disabled /  / </v>
      </c>
    </row>
    <row r="35" spans="1:18" x14ac:dyDescent="0.2">
      <c r="A35" s="554">
        <v>3</v>
      </c>
      <c r="B35" s="554">
        <v>1.1499999999999999</v>
      </c>
      <c r="C35" s="554">
        <v>0.375</v>
      </c>
      <c r="D35" s="348" t="s">
        <v>965</v>
      </c>
      <c r="E35" s="554"/>
      <c r="F35" s="554"/>
      <c r="L35" t="str">
        <f t="shared" si="10"/>
        <v>Slope Comp.: 0.375</v>
      </c>
      <c r="M35" t="str">
        <f t="shared" si="11"/>
        <v>I2C Disabled</v>
      </c>
      <c r="R35" t="str">
        <f t="shared" si="12"/>
        <v xml:space="preserve">Slope Comp.: 0.375 / I2C Disabled /  / </v>
      </c>
    </row>
    <row r="36" spans="1:18" x14ac:dyDescent="0.2">
      <c r="A36" s="554">
        <v>4</v>
      </c>
      <c r="B36" s="554">
        <v>1.9</v>
      </c>
      <c r="C36" s="554">
        <v>0.5</v>
      </c>
      <c r="D36" s="348" t="s">
        <v>965</v>
      </c>
      <c r="E36" s="554"/>
      <c r="F36" s="554"/>
      <c r="L36" t="str">
        <f t="shared" si="10"/>
        <v>Slope Comp.: 0.5</v>
      </c>
      <c r="M36" t="str">
        <f t="shared" si="11"/>
        <v>I2C Disabled</v>
      </c>
      <c r="R36" t="str">
        <f t="shared" si="12"/>
        <v xml:space="preserve">Slope Comp.: 0.5 / I2C Disabled /  / </v>
      </c>
    </row>
    <row r="37" spans="1:18" x14ac:dyDescent="0.2">
      <c r="A37" s="554">
        <v>5</v>
      </c>
      <c r="B37" s="554">
        <v>2.7</v>
      </c>
      <c r="C37" s="554">
        <v>0.625</v>
      </c>
      <c r="D37" s="348" t="s">
        <v>965</v>
      </c>
      <c r="E37" s="554"/>
      <c r="F37" s="554"/>
      <c r="L37" t="str">
        <f t="shared" si="10"/>
        <v>Slope Comp.: 0.625</v>
      </c>
      <c r="M37" t="str">
        <f t="shared" si="11"/>
        <v>I2C Disabled</v>
      </c>
      <c r="R37" t="str">
        <f t="shared" si="12"/>
        <v xml:space="preserve">Slope Comp.: 0.625 / I2C Disabled /  / </v>
      </c>
    </row>
    <row r="38" spans="1:18" x14ac:dyDescent="0.2">
      <c r="A38" s="554">
        <v>6</v>
      </c>
      <c r="B38" s="554">
        <v>3.8</v>
      </c>
      <c r="C38" s="554">
        <v>0.75</v>
      </c>
      <c r="D38" s="348" t="s">
        <v>965</v>
      </c>
      <c r="E38" s="554"/>
      <c r="F38" s="554"/>
      <c r="L38" t="str">
        <f t="shared" si="10"/>
        <v>Slope Comp.: 0.75</v>
      </c>
      <c r="M38" t="str">
        <f t="shared" si="11"/>
        <v>I2C Disabled</v>
      </c>
      <c r="R38" t="str">
        <f t="shared" si="12"/>
        <v xml:space="preserve">Slope Comp.: 0.75 / I2C Disabled /  / </v>
      </c>
    </row>
    <row r="39" spans="1:18" x14ac:dyDescent="0.2">
      <c r="A39" s="554">
        <v>7</v>
      </c>
      <c r="B39" s="554">
        <v>5.0999999999999996</v>
      </c>
      <c r="C39" s="554">
        <v>0.875</v>
      </c>
      <c r="D39" s="348" t="s">
        <v>965</v>
      </c>
      <c r="E39" s="554"/>
      <c r="F39" s="554"/>
      <c r="L39" t="str">
        <f t="shared" si="10"/>
        <v>Slope Comp.: 0.875</v>
      </c>
      <c r="M39" t="str">
        <f t="shared" si="11"/>
        <v>I2C Disabled</v>
      </c>
      <c r="R39" t="str">
        <f t="shared" si="12"/>
        <v xml:space="preserve">Slope Comp.: 0.875 / I2C Disabled /  / </v>
      </c>
    </row>
    <row r="40" spans="1:18" x14ac:dyDescent="0.2">
      <c r="A40" s="554">
        <v>8</v>
      </c>
      <c r="B40" s="554">
        <v>6.5</v>
      </c>
      <c r="C40" s="554">
        <v>1</v>
      </c>
      <c r="D40" s="348" t="s">
        <v>965</v>
      </c>
      <c r="E40" s="554"/>
      <c r="F40" s="554"/>
      <c r="L40" t="str">
        <f t="shared" si="10"/>
        <v>Slope Comp.: 1</v>
      </c>
      <c r="M40" t="str">
        <f t="shared" si="11"/>
        <v>I2C Disabled</v>
      </c>
      <c r="R40" t="str">
        <f t="shared" si="12"/>
        <v xml:space="preserve">Slope Comp.: 1 / I2C Disabled /  / </v>
      </c>
    </row>
    <row r="41" spans="1:18" x14ac:dyDescent="0.2">
      <c r="A41" s="554">
        <v>9</v>
      </c>
      <c r="B41" s="554">
        <v>8.3000000000000007</v>
      </c>
      <c r="C41" s="554">
        <v>1.5</v>
      </c>
      <c r="D41" s="348" t="s">
        <v>965</v>
      </c>
      <c r="E41" s="554"/>
      <c r="F41" s="554"/>
      <c r="L41" t="str">
        <f t="shared" si="10"/>
        <v>Slope Comp.: 1.5</v>
      </c>
      <c r="M41" t="str">
        <f t="shared" si="11"/>
        <v>I2C Disabled</v>
      </c>
      <c r="R41" t="str">
        <f t="shared" si="12"/>
        <v xml:space="preserve">Slope Comp.: 1.5 / I2C Disabled /  / </v>
      </c>
    </row>
    <row r="42" spans="1:18" x14ac:dyDescent="0.2">
      <c r="A42" s="554">
        <v>10</v>
      </c>
      <c r="B42" s="554">
        <v>10.5</v>
      </c>
      <c r="C42" s="554">
        <v>2</v>
      </c>
      <c r="D42" s="348" t="s">
        <v>965</v>
      </c>
      <c r="E42" s="554"/>
      <c r="F42" s="554"/>
      <c r="L42" t="str">
        <f t="shared" si="10"/>
        <v>Slope Comp.: 2</v>
      </c>
      <c r="M42" t="str">
        <f t="shared" si="11"/>
        <v>I2C Disabled</v>
      </c>
      <c r="R42" t="str">
        <f t="shared" si="12"/>
        <v xml:space="preserve">Slope Comp.: 2 / I2C Disabled /  / </v>
      </c>
    </row>
    <row r="43" spans="1:18" x14ac:dyDescent="0.2">
      <c r="A43" s="554">
        <v>11</v>
      </c>
      <c r="B43" s="554">
        <v>13.3</v>
      </c>
      <c r="C43" s="554">
        <v>2.5</v>
      </c>
      <c r="D43" s="348" t="s">
        <v>965</v>
      </c>
      <c r="E43" s="554"/>
      <c r="F43" s="554"/>
      <c r="L43" t="str">
        <f t="shared" si="10"/>
        <v>Slope Comp.: 2.5</v>
      </c>
      <c r="M43" t="str">
        <f t="shared" si="11"/>
        <v>I2C Disabled</v>
      </c>
      <c r="R43" t="str">
        <f t="shared" si="12"/>
        <v xml:space="preserve">Slope Comp.: 2.5 / I2C Disabled /  / </v>
      </c>
    </row>
    <row r="44" spans="1:18" x14ac:dyDescent="0.2">
      <c r="A44" s="554">
        <v>12</v>
      </c>
      <c r="B44" s="554">
        <v>16.2</v>
      </c>
      <c r="C44" s="554">
        <v>3</v>
      </c>
      <c r="D44" s="348" t="s">
        <v>965</v>
      </c>
      <c r="E44" s="554"/>
      <c r="F44" s="554"/>
      <c r="L44" t="str">
        <f t="shared" si="10"/>
        <v>Slope Comp.: 3</v>
      </c>
      <c r="M44" t="str">
        <f t="shared" si="11"/>
        <v>I2C Disabled</v>
      </c>
      <c r="R44" t="str">
        <f t="shared" si="12"/>
        <v xml:space="preserve">Slope Comp.: 3 / I2C Disabled /  / </v>
      </c>
    </row>
    <row r="45" spans="1:18" x14ac:dyDescent="0.2">
      <c r="A45" s="554">
        <v>13</v>
      </c>
      <c r="B45" s="554">
        <v>20.5</v>
      </c>
      <c r="C45" s="554">
        <v>3.5</v>
      </c>
      <c r="D45" s="348" t="s">
        <v>965</v>
      </c>
      <c r="E45" s="554"/>
      <c r="F45" s="554"/>
      <c r="L45" t="str">
        <f t="shared" si="10"/>
        <v>Slope Comp.: 3.5</v>
      </c>
      <c r="M45" t="str">
        <f t="shared" si="11"/>
        <v>I2C Disabled</v>
      </c>
      <c r="R45" t="str">
        <f t="shared" si="12"/>
        <v xml:space="preserve">Slope Comp.: 3.5 / I2C Disabled /  / </v>
      </c>
    </row>
    <row r="46" spans="1:18" x14ac:dyDescent="0.2">
      <c r="A46" s="554">
        <v>14</v>
      </c>
      <c r="B46" s="554">
        <v>24.9</v>
      </c>
      <c r="C46" s="554">
        <v>4</v>
      </c>
      <c r="D46" s="348" t="s">
        <v>965</v>
      </c>
      <c r="E46" s="554"/>
      <c r="F46" s="554"/>
      <c r="L46" t="str">
        <f t="shared" si="10"/>
        <v>Slope Comp.: 4</v>
      </c>
      <c r="M46" t="str">
        <f t="shared" si="11"/>
        <v>I2C Disabled</v>
      </c>
      <c r="R46" t="str">
        <f t="shared" si="12"/>
        <v xml:space="preserve">Slope Comp.: 4 / I2C Disabled /  / </v>
      </c>
    </row>
    <row r="47" spans="1:18" x14ac:dyDescent="0.2">
      <c r="A47" s="554">
        <v>15</v>
      </c>
      <c r="B47" s="554">
        <v>30.1</v>
      </c>
      <c r="C47" s="554">
        <v>4.5</v>
      </c>
      <c r="D47" s="348" t="s">
        <v>965</v>
      </c>
      <c r="E47" s="554"/>
      <c r="F47" s="554"/>
      <c r="L47" t="str">
        <f t="shared" si="10"/>
        <v>Slope Comp.: 4.5</v>
      </c>
      <c r="M47" t="str">
        <f t="shared" si="11"/>
        <v>I2C Disabled</v>
      </c>
      <c r="R47" t="str">
        <f t="shared" si="12"/>
        <v xml:space="preserve">Slope Comp.: 4.5 / I2C Disabled /  / </v>
      </c>
    </row>
    <row r="48" spans="1:18" x14ac:dyDescent="0.2">
      <c r="A48" s="554">
        <v>16</v>
      </c>
      <c r="B48" s="554">
        <v>36.5</v>
      </c>
      <c r="C48" s="570" t="s">
        <v>966</v>
      </c>
      <c r="D48" s="403" t="s">
        <v>1006</v>
      </c>
      <c r="E48" s="554"/>
      <c r="F48" s="554"/>
      <c r="L48" t="str">
        <f t="shared" si="10"/>
        <v>Slope Comp.: n/a</v>
      </c>
      <c r="M48" t="str">
        <f t="shared" si="11"/>
        <v>I2C ADDR LSB: 1</v>
      </c>
      <c r="R48" t="str">
        <f t="shared" si="12"/>
        <v xml:space="preserve">Slope Comp.: n/a / I2C ADDR LSB: 1 /  / </v>
      </c>
    </row>
    <row r="50" spans="1:18" x14ac:dyDescent="0.2">
      <c r="C50" s="554"/>
      <c r="D50" s="554"/>
      <c r="E50" s="554"/>
      <c r="F50" s="554"/>
    </row>
    <row r="51" spans="1:18" x14ac:dyDescent="0.2">
      <c r="C51" s="114" t="str">
        <f>CONCATENATE(C32,": off")</f>
        <v>Slope Comp.: off</v>
      </c>
      <c r="D51" s="114" t="str">
        <f>CONCATENATE(D32,": 0")</f>
        <v>I2C: 0</v>
      </c>
      <c r="E51" s="114"/>
      <c r="F51" s="114"/>
    </row>
    <row r="52" spans="1:18" x14ac:dyDescent="0.2">
      <c r="C52" s="114" t="str">
        <f>CONCATENATE(C32,": on")</f>
        <v>Slope Comp.: on</v>
      </c>
      <c r="D52" s="114" t="str">
        <f>CONCATENATE(D32,": 1")</f>
        <v>I2C: 1</v>
      </c>
      <c r="E52" s="114"/>
      <c r="F52" s="114"/>
    </row>
    <row r="53" spans="1:18" x14ac:dyDescent="0.2">
      <c r="F53" s="114"/>
    </row>
    <row r="54" spans="1:18" x14ac:dyDescent="0.2">
      <c r="F54" s="114"/>
    </row>
    <row r="56" spans="1:18" ht="15" x14ac:dyDescent="0.25">
      <c r="B56" s="114" t="s">
        <v>930</v>
      </c>
      <c r="C56" s="634">
        <v>1</v>
      </c>
      <c r="D56" s="634">
        <f>IF(OR(C56=1,B56=16),1,2)</f>
        <v>1</v>
      </c>
      <c r="E56" s="634">
        <v>1</v>
      </c>
      <c r="F56" s="634">
        <v>1</v>
      </c>
      <c r="G56" s="633" t="s">
        <v>974</v>
      </c>
      <c r="H56" s="114" t="str">
        <f>CONCATENATE("R_",A31)</f>
        <v>R_CFG1</v>
      </c>
      <c r="J56" s="114" t="s">
        <v>964</v>
      </c>
    </row>
    <row r="57" spans="1:18" ht="15" x14ac:dyDescent="0.25">
      <c r="C57">
        <f>C56</f>
        <v>1</v>
      </c>
      <c r="D57">
        <f>(D56-1)*2^D50</f>
        <v>0</v>
      </c>
      <c r="E57">
        <f>(E56-1)*2^E50</f>
        <v>0</v>
      </c>
      <c r="F57">
        <f>(IF(F56&gt;1,1,0)*2^F50)</f>
        <v>0</v>
      </c>
      <c r="G57" s="633">
        <f>C57</f>
        <v>1</v>
      </c>
      <c r="H57">
        <f>INDEX(B33:B48,G57)</f>
        <v>0</v>
      </c>
    </row>
    <row r="60" spans="1:18" x14ac:dyDescent="0.2">
      <c r="A60" s="114" t="s">
        <v>960</v>
      </c>
    </row>
    <row r="61" spans="1:18" x14ac:dyDescent="0.2">
      <c r="A61" s="570" t="s">
        <v>875</v>
      </c>
      <c r="B61" s="570" t="s">
        <v>962</v>
      </c>
      <c r="C61" s="570" t="s">
        <v>1289</v>
      </c>
      <c r="D61" s="570" t="s">
        <v>963</v>
      </c>
      <c r="E61" s="570" t="s">
        <v>1288</v>
      </c>
      <c r="F61" s="570" t="s">
        <v>1287</v>
      </c>
      <c r="G61" t="str">
        <f>C61</f>
        <v>SYNC_OUT</v>
      </c>
      <c r="H61" t="str">
        <f>D61</f>
        <v>SYNC_IN_FALLING</v>
      </c>
      <c r="I61" t="str">
        <f>E61</f>
        <v>VDET</v>
      </c>
      <c r="J61" t="str">
        <f>F61</f>
        <v>PCM_HYST</v>
      </c>
    </row>
    <row r="62" spans="1:18" x14ac:dyDescent="0.2">
      <c r="A62" s="554">
        <v>1</v>
      </c>
      <c r="B62" s="554">
        <v>0</v>
      </c>
      <c r="C62" s="554">
        <v>0</v>
      </c>
      <c r="D62" s="554">
        <v>0</v>
      </c>
      <c r="E62" s="554">
        <v>0</v>
      </c>
      <c r="F62" s="554">
        <v>0</v>
      </c>
      <c r="G62" t="str">
        <f t="shared" ref="G62:G77" si="13">IF(C62=1,"Enable","Disable")</f>
        <v>Disable</v>
      </c>
      <c r="H62" t="str">
        <f t="shared" ref="H62:H77" si="14">IF(D62=1,"Enable","Disable")</f>
        <v>Disable</v>
      </c>
      <c r="I62" t="str">
        <f t="shared" ref="I62:I77" si="15">IF(E62=1,"Enable","Disable")</f>
        <v>Disable</v>
      </c>
      <c r="J62" t="str">
        <f t="shared" ref="J62:J77" si="16">IF(F62=1,"Enable","Disable")</f>
        <v>Disable</v>
      </c>
      <c r="L62" t="str">
        <f>CONCATENATE($C$61,": ",C62)</f>
        <v>SYNC_OUT: 0</v>
      </c>
      <c r="M62" t="str">
        <f>CONCATENATE(D$61,": ",D62)</f>
        <v>SYNC_IN_FALLING: 0</v>
      </c>
      <c r="N62" t="str">
        <f>CONCATENATE(E$61,": ",E62)</f>
        <v>VDET: 0</v>
      </c>
      <c r="O62" t="str">
        <f>CONCATENATE(F$61,": ",F62)</f>
        <v>PCM_HYST: 0</v>
      </c>
      <c r="P62" t="str">
        <f t="shared" ref="P62:P77" si="17">CONCATENATE(K$3,": ",G62)</f>
        <v>: Disable</v>
      </c>
      <c r="R62" t="str">
        <f>CONCATENATE(L62," / ",M62," / ",N62," / ",O62)</f>
        <v>SYNC_OUT: 0 / SYNC_IN_FALLING: 0 / VDET: 0 / PCM_HYST: 0</v>
      </c>
    </row>
    <row r="63" spans="1:18" x14ac:dyDescent="0.2">
      <c r="A63" s="554">
        <v>2</v>
      </c>
      <c r="B63" s="554">
        <v>0.51100000000000001</v>
      </c>
      <c r="C63" s="554">
        <v>1</v>
      </c>
      <c r="D63" s="554">
        <v>0</v>
      </c>
      <c r="E63" s="554">
        <v>0</v>
      </c>
      <c r="F63" s="554">
        <v>0</v>
      </c>
      <c r="G63" t="str">
        <f t="shared" si="13"/>
        <v>Enable</v>
      </c>
      <c r="H63" t="str">
        <f t="shared" si="14"/>
        <v>Disable</v>
      </c>
      <c r="I63" t="str">
        <f t="shared" si="15"/>
        <v>Disable</v>
      </c>
      <c r="J63" t="str">
        <f t="shared" si="16"/>
        <v>Disable</v>
      </c>
      <c r="L63" t="str">
        <f t="shared" ref="L63:L77" si="18">CONCATENATE($C$61,": ",C63)</f>
        <v>SYNC_OUT: 1</v>
      </c>
      <c r="M63" t="str">
        <f t="shared" ref="M63:M77" si="19">CONCATENATE(D$61,": ",D63)</f>
        <v>SYNC_IN_FALLING: 0</v>
      </c>
      <c r="N63" t="str">
        <f t="shared" ref="N63:N77" si="20">CONCATENATE(E$61,": ",E63)</f>
        <v>VDET: 0</v>
      </c>
      <c r="O63" t="str">
        <f t="shared" ref="O63:O77" si="21">CONCATENATE(F$61,": ",F63)</f>
        <v>PCM_HYST: 0</v>
      </c>
      <c r="P63" t="str">
        <f t="shared" si="17"/>
        <v>: Enable</v>
      </c>
      <c r="R63" t="str">
        <f t="shared" ref="R63:R77" si="22">CONCATENATE(L63," / ",M63," / ",N63," / ",O63)</f>
        <v>SYNC_OUT: 1 / SYNC_IN_FALLING: 0 / VDET: 0 / PCM_HYST: 0</v>
      </c>
    </row>
    <row r="64" spans="1:18" x14ac:dyDescent="0.2">
      <c r="A64" s="554">
        <v>3</v>
      </c>
      <c r="B64" s="554">
        <v>1.1499999999999999</v>
      </c>
      <c r="C64" s="554">
        <v>0</v>
      </c>
      <c r="D64" s="554">
        <v>1</v>
      </c>
      <c r="E64" s="554">
        <v>0</v>
      </c>
      <c r="F64" s="554">
        <v>0</v>
      </c>
      <c r="G64" t="str">
        <f t="shared" si="13"/>
        <v>Disable</v>
      </c>
      <c r="H64" t="str">
        <f t="shared" si="14"/>
        <v>Enable</v>
      </c>
      <c r="I64" t="str">
        <f t="shared" si="15"/>
        <v>Disable</v>
      </c>
      <c r="J64" t="str">
        <f t="shared" si="16"/>
        <v>Disable</v>
      </c>
      <c r="L64" t="str">
        <f t="shared" si="18"/>
        <v>SYNC_OUT: 0</v>
      </c>
      <c r="M64" t="str">
        <f t="shared" si="19"/>
        <v>SYNC_IN_FALLING: 1</v>
      </c>
      <c r="N64" t="str">
        <f t="shared" si="20"/>
        <v>VDET: 0</v>
      </c>
      <c r="O64" t="str">
        <f t="shared" si="21"/>
        <v>PCM_HYST: 0</v>
      </c>
      <c r="P64" t="str">
        <f t="shared" si="17"/>
        <v>: Disable</v>
      </c>
      <c r="R64" t="str">
        <f t="shared" si="22"/>
        <v>SYNC_OUT: 0 / SYNC_IN_FALLING: 1 / VDET: 0 / PCM_HYST: 0</v>
      </c>
    </row>
    <row r="65" spans="1:18" x14ac:dyDescent="0.2">
      <c r="A65" s="554">
        <v>4</v>
      </c>
      <c r="B65" s="554">
        <v>1.9</v>
      </c>
      <c r="C65" s="554">
        <v>1</v>
      </c>
      <c r="D65" s="554">
        <v>1</v>
      </c>
      <c r="E65" s="554">
        <v>0</v>
      </c>
      <c r="F65" s="554">
        <v>0</v>
      </c>
      <c r="G65" t="str">
        <f t="shared" si="13"/>
        <v>Enable</v>
      </c>
      <c r="H65" t="str">
        <f t="shared" si="14"/>
        <v>Enable</v>
      </c>
      <c r="I65" t="str">
        <f t="shared" si="15"/>
        <v>Disable</v>
      </c>
      <c r="J65" t="str">
        <f t="shared" si="16"/>
        <v>Disable</v>
      </c>
      <c r="L65" t="str">
        <f t="shared" si="18"/>
        <v>SYNC_OUT: 1</v>
      </c>
      <c r="M65" t="str">
        <f t="shared" si="19"/>
        <v>SYNC_IN_FALLING: 1</v>
      </c>
      <c r="N65" t="str">
        <f t="shared" si="20"/>
        <v>VDET: 0</v>
      </c>
      <c r="O65" t="str">
        <f t="shared" si="21"/>
        <v>PCM_HYST: 0</v>
      </c>
      <c r="P65" t="str">
        <f t="shared" si="17"/>
        <v>: Enable</v>
      </c>
      <c r="R65" t="str">
        <f t="shared" si="22"/>
        <v>SYNC_OUT: 1 / SYNC_IN_FALLING: 1 / VDET: 0 / PCM_HYST: 0</v>
      </c>
    </row>
    <row r="66" spans="1:18" x14ac:dyDescent="0.2">
      <c r="A66" s="554">
        <v>5</v>
      </c>
      <c r="B66" s="554">
        <v>2.7</v>
      </c>
      <c r="C66" s="554">
        <v>0</v>
      </c>
      <c r="D66" s="554">
        <v>0</v>
      </c>
      <c r="E66" s="554">
        <v>1</v>
      </c>
      <c r="F66" s="554">
        <v>0</v>
      </c>
      <c r="G66" t="str">
        <f t="shared" si="13"/>
        <v>Disable</v>
      </c>
      <c r="H66" t="str">
        <f t="shared" si="14"/>
        <v>Disable</v>
      </c>
      <c r="I66" t="str">
        <f t="shared" si="15"/>
        <v>Enable</v>
      </c>
      <c r="J66" t="str">
        <f t="shared" si="16"/>
        <v>Disable</v>
      </c>
      <c r="L66" t="str">
        <f t="shared" si="18"/>
        <v>SYNC_OUT: 0</v>
      </c>
      <c r="M66" t="str">
        <f t="shared" si="19"/>
        <v>SYNC_IN_FALLING: 0</v>
      </c>
      <c r="N66" t="str">
        <f t="shared" si="20"/>
        <v>VDET: 1</v>
      </c>
      <c r="O66" t="str">
        <f t="shared" si="21"/>
        <v>PCM_HYST: 0</v>
      </c>
      <c r="P66" t="str">
        <f t="shared" si="17"/>
        <v>: Disable</v>
      </c>
      <c r="R66" t="str">
        <f t="shared" si="22"/>
        <v>SYNC_OUT: 0 / SYNC_IN_FALLING: 0 / VDET: 1 / PCM_HYST: 0</v>
      </c>
    </row>
    <row r="67" spans="1:18" x14ac:dyDescent="0.2">
      <c r="A67" s="554">
        <v>6</v>
      </c>
      <c r="B67" s="554">
        <v>3.8</v>
      </c>
      <c r="C67" s="554">
        <v>1</v>
      </c>
      <c r="D67" s="554">
        <v>1</v>
      </c>
      <c r="E67" s="554">
        <v>1</v>
      </c>
      <c r="F67" s="554">
        <v>0</v>
      </c>
      <c r="G67" t="str">
        <f t="shared" si="13"/>
        <v>Enable</v>
      </c>
      <c r="H67" t="str">
        <f t="shared" si="14"/>
        <v>Enable</v>
      </c>
      <c r="I67" t="str">
        <f t="shared" si="15"/>
        <v>Enable</v>
      </c>
      <c r="J67" t="str">
        <f t="shared" si="16"/>
        <v>Disable</v>
      </c>
      <c r="L67" t="str">
        <f t="shared" si="18"/>
        <v>SYNC_OUT: 1</v>
      </c>
      <c r="M67" t="str">
        <f t="shared" si="19"/>
        <v>SYNC_IN_FALLING: 1</v>
      </c>
      <c r="N67" t="str">
        <f t="shared" si="20"/>
        <v>VDET: 1</v>
      </c>
      <c r="O67" t="str">
        <f t="shared" si="21"/>
        <v>PCM_HYST: 0</v>
      </c>
      <c r="P67" t="str">
        <f t="shared" si="17"/>
        <v>: Enable</v>
      </c>
      <c r="R67" t="str">
        <f t="shared" si="22"/>
        <v>SYNC_OUT: 1 / SYNC_IN_FALLING: 1 / VDET: 1 / PCM_HYST: 0</v>
      </c>
    </row>
    <row r="68" spans="1:18" x14ac:dyDescent="0.2">
      <c r="A68" s="554">
        <v>7</v>
      </c>
      <c r="B68" s="554">
        <v>5.0999999999999996</v>
      </c>
      <c r="C68" s="554">
        <v>0</v>
      </c>
      <c r="D68" s="554">
        <v>1</v>
      </c>
      <c r="E68" s="554">
        <v>1</v>
      </c>
      <c r="F68" s="554">
        <v>0</v>
      </c>
      <c r="G68" t="str">
        <f t="shared" si="13"/>
        <v>Disable</v>
      </c>
      <c r="H68" t="str">
        <f t="shared" si="14"/>
        <v>Enable</v>
      </c>
      <c r="I68" t="str">
        <f t="shared" si="15"/>
        <v>Enable</v>
      </c>
      <c r="J68" t="str">
        <f t="shared" si="16"/>
        <v>Disable</v>
      </c>
      <c r="L68" t="str">
        <f t="shared" si="18"/>
        <v>SYNC_OUT: 0</v>
      </c>
      <c r="M68" t="str">
        <f t="shared" si="19"/>
        <v>SYNC_IN_FALLING: 1</v>
      </c>
      <c r="N68" t="str">
        <f t="shared" si="20"/>
        <v>VDET: 1</v>
      </c>
      <c r="O68" t="str">
        <f t="shared" si="21"/>
        <v>PCM_HYST: 0</v>
      </c>
      <c r="P68" t="str">
        <f t="shared" si="17"/>
        <v>: Disable</v>
      </c>
      <c r="R68" t="str">
        <f t="shared" si="22"/>
        <v>SYNC_OUT: 0 / SYNC_IN_FALLING: 1 / VDET: 1 / PCM_HYST: 0</v>
      </c>
    </row>
    <row r="69" spans="1:18" x14ac:dyDescent="0.2">
      <c r="A69" s="554">
        <v>8</v>
      </c>
      <c r="B69" s="554">
        <v>6.5</v>
      </c>
      <c r="C69" s="554">
        <v>1</v>
      </c>
      <c r="D69" s="554">
        <v>1</v>
      </c>
      <c r="E69" s="554">
        <v>1</v>
      </c>
      <c r="F69" s="554">
        <v>0</v>
      </c>
      <c r="G69" t="str">
        <f t="shared" si="13"/>
        <v>Enable</v>
      </c>
      <c r="H69" t="str">
        <f t="shared" si="14"/>
        <v>Enable</v>
      </c>
      <c r="I69" t="str">
        <f t="shared" si="15"/>
        <v>Enable</v>
      </c>
      <c r="J69" t="str">
        <f t="shared" si="16"/>
        <v>Disable</v>
      </c>
      <c r="L69" t="str">
        <f t="shared" si="18"/>
        <v>SYNC_OUT: 1</v>
      </c>
      <c r="M69" t="str">
        <f t="shared" si="19"/>
        <v>SYNC_IN_FALLING: 1</v>
      </c>
      <c r="N69" t="str">
        <f t="shared" si="20"/>
        <v>VDET: 1</v>
      </c>
      <c r="O69" t="str">
        <f t="shared" si="21"/>
        <v>PCM_HYST: 0</v>
      </c>
      <c r="P69" t="str">
        <f t="shared" si="17"/>
        <v>: Enable</v>
      </c>
      <c r="R69" t="str">
        <f t="shared" si="22"/>
        <v>SYNC_OUT: 1 / SYNC_IN_FALLING: 1 / VDET: 1 / PCM_HYST: 0</v>
      </c>
    </row>
    <row r="70" spans="1:18" x14ac:dyDescent="0.2">
      <c r="A70" s="554">
        <v>9</v>
      </c>
      <c r="B70" s="554">
        <v>8.3000000000000007</v>
      </c>
      <c r="C70" s="554">
        <v>0</v>
      </c>
      <c r="D70" s="554">
        <v>0</v>
      </c>
      <c r="E70" s="554">
        <v>0</v>
      </c>
      <c r="F70" s="554">
        <v>1</v>
      </c>
      <c r="G70" t="str">
        <f t="shared" si="13"/>
        <v>Disable</v>
      </c>
      <c r="H70" t="str">
        <f t="shared" si="14"/>
        <v>Disable</v>
      </c>
      <c r="I70" t="str">
        <f t="shared" si="15"/>
        <v>Disable</v>
      </c>
      <c r="J70" t="str">
        <f t="shared" si="16"/>
        <v>Enable</v>
      </c>
      <c r="L70" t="str">
        <f t="shared" si="18"/>
        <v>SYNC_OUT: 0</v>
      </c>
      <c r="M70" t="str">
        <f t="shared" si="19"/>
        <v>SYNC_IN_FALLING: 0</v>
      </c>
      <c r="N70" t="str">
        <f t="shared" si="20"/>
        <v>VDET: 0</v>
      </c>
      <c r="O70" t="str">
        <f t="shared" si="21"/>
        <v>PCM_HYST: 1</v>
      </c>
      <c r="P70" t="str">
        <f t="shared" si="17"/>
        <v>: Disable</v>
      </c>
      <c r="R70" t="str">
        <f t="shared" si="22"/>
        <v>SYNC_OUT: 0 / SYNC_IN_FALLING: 0 / VDET: 0 / PCM_HYST: 1</v>
      </c>
    </row>
    <row r="71" spans="1:18" x14ac:dyDescent="0.2">
      <c r="A71" s="554">
        <v>10</v>
      </c>
      <c r="B71" s="554">
        <v>10.5</v>
      </c>
      <c r="C71" s="554">
        <v>1</v>
      </c>
      <c r="D71" s="554">
        <v>0</v>
      </c>
      <c r="E71" s="554">
        <v>0</v>
      </c>
      <c r="F71" s="554">
        <v>1</v>
      </c>
      <c r="G71" t="str">
        <f t="shared" si="13"/>
        <v>Enable</v>
      </c>
      <c r="H71" t="str">
        <f t="shared" si="14"/>
        <v>Disable</v>
      </c>
      <c r="I71" t="str">
        <f t="shared" si="15"/>
        <v>Disable</v>
      </c>
      <c r="J71" t="str">
        <f t="shared" si="16"/>
        <v>Enable</v>
      </c>
      <c r="L71" t="str">
        <f t="shared" si="18"/>
        <v>SYNC_OUT: 1</v>
      </c>
      <c r="M71" t="str">
        <f t="shared" si="19"/>
        <v>SYNC_IN_FALLING: 0</v>
      </c>
      <c r="N71" t="str">
        <f t="shared" si="20"/>
        <v>VDET: 0</v>
      </c>
      <c r="O71" t="str">
        <f t="shared" si="21"/>
        <v>PCM_HYST: 1</v>
      </c>
      <c r="P71" t="str">
        <f t="shared" si="17"/>
        <v>: Enable</v>
      </c>
      <c r="R71" t="str">
        <f t="shared" si="22"/>
        <v>SYNC_OUT: 1 / SYNC_IN_FALLING: 0 / VDET: 0 / PCM_HYST: 1</v>
      </c>
    </row>
    <row r="72" spans="1:18" x14ac:dyDescent="0.2">
      <c r="A72" s="554">
        <v>11</v>
      </c>
      <c r="B72" s="554">
        <v>13.3</v>
      </c>
      <c r="C72" s="554">
        <v>0</v>
      </c>
      <c r="D72" s="554">
        <v>1</v>
      </c>
      <c r="E72" s="554">
        <v>0</v>
      </c>
      <c r="F72" s="554">
        <v>1</v>
      </c>
      <c r="G72" t="str">
        <f t="shared" si="13"/>
        <v>Disable</v>
      </c>
      <c r="H72" t="str">
        <f t="shared" si="14"/>
        <v>Enable</v>
      </c>
      <c r="I72" t="str">
        <f t="shared" si="15"/>
        <v>Disable</v>
      </c>
      <c r="J72" t="str">
        <f t="shared" si="16"/>
        <v>Enable</v>
      </c>
      <c r="L72" t="str">
        <f t="shared" si="18"/>
        <v>SYNC_OUT: 0</v>
      </c>
      <c r="M72" t="str">
        <f t="shared" si="19"/>
        <v>SYNC_IN_FALLING: 1</v>
      </c>
      <c r="N72" t="str">
        <f t="shared" si="20"/>
        <v>VDET: 0</v>
      </c>
      <c r="O72" t="str">
        <f t="shared" si="21"/>
        <v>PCM_HYST: 1</v>
      </c>
      <c r="P72" t="str">
        <f t="shared" si="17"/>
        <v>: Disable</v>
      </c>
      <c r="R72" t="str">
        <f t="shared" si="22"/>
        <v>SYNC_OUT: 0 / SYNC_IN_FALLING: 1 / VDET: 0 / PCM_HYST: 1</v>
      </c>
    </row>
    <row r="73" spans="1:18" x14ac:dyDescent="0.2">
      <c r="A73" s="554">
        <v>12</v>
      </c>
      <c r="B73" s="554">
        <v>16.2</v>
      </c>
      <c r="C73" s="554">
        <v>1</v>
      </c>
      <c r="D73" s="554">
        <v>1</v>
      </c>
      <c r="E73" s="554">
        <v>0</v>
      </c>
      <c r="F73" s="554">
        <v>1</v>
      </c>
      <c r="G73" t="str">
        <f t="shared" si="13"/>
        <v>Enable</v>
      </c>
      <c r="H73" t="str">
        <f t="shared" si="14"/>
        <v>Enable</v>
      </c>
      <c r="I73" t="str">
        <f t="shared" si="15"/>
        <v>Disable</v>
      </c>
      <c r="J73" t="str">
        <f t="shared" si="16"/>
        <v>Enable</v>
      </c>
      <c r="L73" t="str">
        <f t="shared" si="18"/>
        <v>SYNC_OUT: 1</v>
      </c>
      <c r="M73" t="str">
        <f t="shared" si="19"/>
        <v>SYNC_IN_FALLING: 1</v>
      </c>
      <c r="N73" t="str">
        <f t="shared" si="20"/>
        <v>VDET: 0</v>
      </c>
      <c r="O73" t="str">
        <f t="shared" si="21"/>
        <v>PCM_HYST: 1</v>
      </c>
      <c r="P73" t="str">
        <f t="shared" si="17"/>
        <v>: Enable</v>
      </c>
      <c r="R73" t="str">
        <f t="shared" si="22"/>
        <v>SYNC_OUT: 1 / SYNC_IN_FALLING: 1 / VDET: 0 / PCM_HYST: 1</v>
      </c>
    </row>
    <row r="74" spans="1:18" x14ac:dyDescent="0.2">
      <c r="A74" s="554">
        <v>13</v>
      </c>
      <c r="B74" s="554">
        <v>20.5</v>
      </c>
      <c r="C74" s="554">
        <v>0</v>
      </c>
      <c r="D74" s="554">
        <v>0</v>
      </c>
      <c r="E74" s="554">
        <v>1</v>
      </c>
      <c r="F74" s="554">
        <v>1</v>
      </c>
      <c r="G74" t="str">
        <f t="shared" si="13"/>
        <v>Disable</v>
      </c>
      <c r="H74" t="str">
        <f t="shared" si="14"/>
        <v>Disable</v>
      </c>
      <c r="I74" t="str">
        <f t="shared" si="15"/>
        <v>Enable</v>
      </c>
      <c r="J74" t="str">
        <f t="shared" si="16"/>
        <v>Enable</v>
      </c>
      <c r="L74" t="str">
        <f t="shared" si="18"/>
        <v>SYNC_OUT: 0</v>
      </c>
      <c r="M74" t="str">
        <f t="shared" si="19"/>
        <v>SYNC_IN_FALLING: 0</v>
      </c>
      <c r="N74" t="str">
        <f t="shared" si="20"/>
        <v>VDET: 1</v>
      </c>
      <c r="O74" t="str">
        <f t="shared" si="21"/>
        <v>PCM_HYST: 1</v>
      </c>
      <c r="P74" t="str">
        <f t="shared" si="17"/>
        <v>: Disable</v>
      </c>
      <c r="R74" t="str">
        <f t="shared" si="22"/>
        <v>SYNC_OUT: 0 / SYNC_IN_FALLING: 0 / VDET: 1 / PCM_HYST: 1</v>
      </c>
    </row>
    <row r="75" spans="1:18" x14ac:dyDescent="0.2">
      <c r="A75" s="554">
        <v>14</v>
      </c>
      <c r="B75" s="554">
        <v>24.9</v>
      </c>
      <c r="C75" s="554">
        <v>1</v>
      </c>
      <c r="D75" s="554">
        <v>0</v>
      </c>
      <c r="E75" s="554">
        <v>1</v>
      </c>
      <c r="F75" s="554">
        <v>1</v>
      </c>
      <c r="G75" t="str">
        <f t="shared" si="13"/>
        <v>Enable</v>
      </c>
      <c r="H75" t="str">
        <f t="shared" si="14"/>
        <v>Disable</v>
      </c>
      <c r="I75" t="str">
        <f t="shared" si="15"/>
        <v>Enable</v>
      </c>
      <c r="J75" t="str">
        <f t="shared" si="16"/>
        <v>Enable</v>
      </c>
      <c r="L75" t="str">
        <f t="shared" si="18"/>
        <v>SYNC_OUT: 1</v>
      </c>
      <c r="M75" t="str">
        <f t="shared" si="19"/>
        <v>SYNC_IN_FALLING: 0</v>
      </c>
      <c r="N75" t="str">
        <f t="shared" si="20"/>
        <v>VDET: 1</v>
      </c>
      <c r="O75" t="str">
        <f t="shared" si="21"/>
        <v>PCM_HYST: 1</v>
      </c>
      <c r="P75" t="str">
        <f t="shared" si="17"/>
        <v>: Enable</v>
      </c>
      <c r="R75" t="str">
        <f t="shared" si="22"/>
        <v>SYNC_OUT: 1 / SYNC_IN_FALLING: 0 / VDET: 1 / PCM_HYST: 1</v>
      </c>
    </row>
    <row r="76" spans="1:18" x14ac:dyDescent="0.2">
      <c r="A76" s="554">
        <v>15</v>
      </c>
      <c r="B76" s="554">
        <v>30.1</v>
      </c>
      <c r="C76" s="554">
        <v>0</v>
      </c>
      <c r="D76" s="554">
        <v>1</v>
      </c>
      <c r="E76" s="554">
        <v>1</v>
      </c>
      <c r="F76" s="554">
        <v>1</v>
      </c>
      <c r="G76" t="str">
        <f t="shared" si="13"/>
        <v>Disable</v>
      </c>
      <c r="H76" t="str">
        <f t="shared" si="14"/>
        <v>Enable</v>
      </c>
      <c r="I76" t="str">
        <f t="shared" si="15"/>
        <v>Enable</v>
      </c>
      <c r="J76" t="str">
        <f t="shared" si="16"/>
        <v>Enable</v>
      </c>
      <c r="L76" t="str">
        <f t="shared" si="18"/>
        <v>SYNC_OUT: 0</v>
      </c>
      <c r="M76" t="str">
        <f t="shared" si="19"/>
        <v>SYNC_IN_FALLING: 1</v>
      </c>
      <c r="N76" t="str">
        <f t="shared" si="20"/>
        <v>VDET: 1</v>
      </c>
      <c r="O76" t="str">
        <f t="shared" si="21"/>
        <v>PCM_HYST: 1</v>
      </c>
      <c r="P76" t="str">
        <f t="shared" si="17"/>
        <v>: Disable</v>
      </c>
      <c r="R76" t="str">
        <f t="shared" si="22"/>
        <v>SYNC_OUT: 0 / SYNC_IN_FALLING: 1 / VDET: 1 / PCM_HYST: 1</v>
      </c>
    </row>
    <row r="77" spans="1:18" x14ac:dyDescent="0.2">
      <c r="A77" s="554">
        <v>16</v>
      </c>
      <c r="B77" s="554">
        <v>36.5</v>
      </c>
      <c r="C77" s="554">
        <v>1</v>
      </c>
      <c r="D77" s="554">
        <v>1</v>
      </c>
      <c r="E77" s="554">
        <v>1</v>
      </c>
      <c r="F77" s="554">
        <v>1</v>
      </c>
      <c r="G77" t="str">
        <f t="shared" si="13"/>
        <v>Enable</v>
      </c>
      <c r="H77" t="str">
        <f t="shared" si="14"/>
        <v>Enable</v>
      </c>
      <c r="I77" t="str">
        <f t="shared" si="15"/>
        <v>Enable</v>
      </c>
      <c r="J77" t="str">
        <f t="shared" si="16"/>
        <v>Enable</v>
      </c>
      <c r="L77" t="str">
        <f t="shared" si="18"/>
        <v>SYNC_OUT: 1</v>
      </c>
      <c r="M77" t="str">
        <f t="shared" si="19"/>
        <v>SYNC_IN_FALLING: 1</v>
      </c>
      <c r="N77" t="str">
        <f t="shared" si="20"/>
        <v>VDET: 1</v>
      </c>
      <c r="O77" t="str">
        <f t="shared" si="21"/>
        <v>PCM_HYST: 1</v>
      </c>
      <c r="P77" t="str">
        <f t="shared" si="17"/>
        <v>: Enable</v>
      </c>
      <c r="R77" t="str">
        <f t="shared" si="22"/>
        <v>SYNC_OUT: 1 / SYNC_IN_FALLING: 1 / VDET: 1 / PCM_HYST: 1</v>
      </c>
    </row>
    <row r="79" spans="1:18" x14ac:dyDescent="0.2">
      <c r="C79" s="554">
        <v>0</v>
      </c>
      <c r="D79" s="554">
        <v>1</v>
      </c>
      <c r="E79" s="554">
        <v>2</v>
      </c>
      <c r="F79" s="554">
        <v>3</v>
      </c>
    </row>
    <row r="80" spans="1:18" x14ac:dyDescent="0.2">
      <c r="C80" s="114" t="str">
        <f>CONCATENATE(C61,": off")</f>
        <v>SYNC_OUT: off</v>
      </c>
      <c r="D80" s="114" t="str">
        <f>CONCATENATE(D61,": off")</f>
        <v>SYNC_IN_FALLING: off</v>
      </c>
      <c r="E80" s="114" t="str">
        <f>CONCATENATE(E61,": off")</f>
        <v>VDET: off</v>
      </c>
      <c r="F80" s="114" t="str">
        <f>CONCATENATE(F61,": off")</f>
        <v>PCM_HYST: off</v>
      </c>
    </row>
    <row r="81" spans="1:18" x14ac:dyDescent="0.2">
      <c r="C81" s="114" t="str">
        <f>CONCATENATE(C61,": on")</f>
        <v>SYNC_OUT: on</v>
      </c>
      <c r="D81" s="114" t="str">
        <f>CONCATENATE(D61,": on")</f>
        <v>SYNC_IN_FALLING: on</v>
      </c>
      <c r="E81" s="114" t="str">
        <f>CONCATENATE(E61,": on")</f>
        <v>VDET: on</v>
      </c>
      <c r="F81" s="114" t="str">
        <f>CONCATENATE(F61,": on")</f>
        <v>PCM_HYST: on</v>
      </c>
    </row>
    <row r="82" spans="1:18" x14ac:dyDescent="0.2">
      <c r="F82" s="114"/>
    </row>
    <row r="83" spans="1:18" x14ac:dyDescent="0.2">
      <c r="F83" s="114"/>
    </row>
    <row r="85" spans="1:18" ht="15" x14ac:dyDescent="0.25">
      <c r="B85" s="114" t="s">
        <v>930</v>
      </c>
      <c r="C85" s="634">
        <v>1</v>
      </c>
      <c r="D85" s="634">
        <v>1</v>
      </c>
      <c r="E85" s="634">
        <v>1</v>
      </c>
      <c r="F85" s="634">
        <v>2</v>
      </c>
      <c r="G85" s="633" t="s">
        <v>974</v>
      </c>
      <c r="H85" s="114" t="str">
        <f>CONCATENATE("R_",A60)</f>
        <v>R_CFG2</v>
      </c>
      <c r="J85" s="114" t="s">
        <v>964</v>
      </c>
    </row>
    <row r="86" spans="1:18" ht="15" x14ac:dyDescent="0.25">
      <c r="C86">
        <f>(C85-1)*2^C79</f>
        <v>0</v>
      </c>
      <c r="D86">
        <f>(D85-1)*2^D79</f>
        <v>0</v>
      </c>
      <c r="E86">
        <f>(E85-1)*2^E79</f>
        <v>0</v>
      </c>
      <c r="F86">
        <f>(F85-1)*2^F79</f>
        <v>8</v>
      </c>
      <c r="G86" s="633">
        <f>SUM(C86:F86)+1</f>
        <v>9</v>
      </c>
      <c r="H86">
        <f>INDEX(B62:B77,G86)</f>
        <v>8.3000000000000007</v>
      </c>
    </row>
    <row r="90" spans="1:18" x14ac:dyDescent="0.2">
      <c r="A90" s="114" t="s">
        <v>961</v>
      </c>
    </row>
    <row r="91" spans="1:18" x14ac:dyDescent="0.2">
      <c r="A91" s="570" t="s">
        <v>875</v>
      </c>
      <c r="B91" s="570" t="s">
        <v>968</v>
      </c>
      <c r="C91" s="570" t="s">
        <v>970</v>
      </c>
      <c r="D91" s="570" t="s">
        <v>971</v>
      </c>
      <c r="E91" s="570" t="s">
        <v>1286</v>
      </c>
      <c r="F91" s="570" t="str">
        <f>IF(Device="LM51772","SCALE_DT","uSLEEP")</f>
        <v>SCALE_DT</v>
      </c>
      <c r="G91" t="str">
        <f>C91</f>
        <v>EN_VCC1</v>
      </c>
      <c r="H91" t="str">
        <f>D91</f>
        <v>INC_INDUCT_De-Rate</v>
      </c>
      <c r="I91" t="str">
        <f>E91</f>
        <v>CONST_TDEAD</v>
      </c>
      <c r="J91" t="str">
        <f>F91</f>
        <v>SCALE_DT</v>
      </c>
    </row>
    <row r="92" spans="1:18" x14ac:dyDescent="0.2">
      <c r="A92" s="554">
        <v>1</v>
      </c>
      <c r="B92" s="554">
        <v>0</v>
      </c>
      <c r="C92" s="554">
        <v>0</v>
      </c>
      <c r="D92" s="554">
        <v>0</v>
      </c>
      <c r="E92" s="554">
        <v>0</v>
      </c>
      <c r="F92" s="554">
        <v>0</v>
      </c>
      <c r="G92" t="str">
        <f t="shared" ref="G92:G107" si="23">IF(C92=1,"Enable","Disable")</f>
        <v>Disable</v>
      </c>
      <c r="H92" t="str">
        <f t="shared" ref="H92:H107" si="24">IF(Device="LM51772",IF(D92=1,"40%","30%"),IF(D92=1,"30%","20%"))</f>
        <v>30%</v>
      </c>
      <c r="I92" t="str">
        <f t="shared" ref="I92:I107" si="25">IF(E92=1,"Enable","Disable")</f>
        <v>Disable</v>
      </c>
      <c r="J92" t="str">
        <f t="shared" ref="J92:J107" si="26">IF(F92=1,"Enable","Disable")</f>
        <v>Disable</v>
      </c>
      <c r="L92" t="str">
        <f>CONCATENATE($C$91,": ",C92)</f>
        <v>EN_VCC1: 0</v>
      </c>
      <c r="M92" t="str">
        <f>CONCATENATE(D$91,": ",D92)</f>
        <v>INC_INDUCT_De-Rate: 0</v>
      </c>
      <c r="N92" t="str">
        <f>CONCATENATE(E$91,": ",E92)</f>
        <v>CONST_TDEAD: 0</v>
      </c>
      <c r="O92" t="str">
        <f>CONCATENATE(F$91,": ",F92)</f>
        <v>SCALE_DT: 0</v>
      </c>
      <c r="P92" t="str">
        <f t="shared" ref="P92:P107" si="27">CONCATENATE(K$3,": ",G92)</f>
        <v>: Disable</v>
      </c>
      <c r="R92" t="str">
        <f>CONCATENATE(L92," / ",M92," / ",N92," / ",O92)</f>
        <v>EN_VCC1: 0 / INC_INDUCT_De-Rate: 0 / CONST_TDEAD: 0 / SCALE_DT: 0</v>
      </c>
    </row>
    <row r="93" spans="1:18" x14ac:dyDescent="0.2">
      <c r="A93" s="554">
        <v>2</v>
      </c>
      <c r="B93" s="554">
        <v>0.51100000000000001</v>
      </c>
      <c r="C93" s="554">
        <v>1</v>
      </c>
      <c r="D93" s="554">
        <v>0</v>
      </c>
      <c r="E93" s="554">
        <v>0</v>
      </c>
      <c r="F93" s="554">
        <v>0</v>
      </c>
      <c r="G93" t="str">
        <f t="shared" si="23"/>
        <v>Enable</v>
      </c>
      <c r="H93" t="str">
        <f t="shared" si="24"/>
        <v>30%</v>
      </c>
      <c r="I93" t="str">
        <f t="shared" si="25"/>
        <v>Disable</v>
      </c>
      <c r="J93" t="str">
        <f t="shared" si="26"/>
        <v>Disable</v>
      </c>
      <c r="L93" t="str">
        <f t="shared" ref="L93:L107" si="28">CONCATENATE($C$91,": ",C93)</f>
        <v>EN_VCC1: 1</v>
      </c>
      <c r="M93" t="str">
        <f t="shared" ref="M93:M107" si="29">CONCATENATE(D$91,": ",D93)</f>
        <v>INC_INDUCT_De-Rate: 0</v>
      </c>
      <c r="N93" t="str">
        <f t="shared" ref="N93:N107" si="30">CONCATENATE(E$91,": ",E93)</f>
        <v>CONST_TDEAD: 0</v>
      </c>
      <c r="O93" t="str">
        <f t="shared" ref="O93:O107" si="31">CONCATENATE(F$91,": ",F93)</f>
        <v>SCALE_DT: 0</v>
      </c>
      <c r="P93" t="str">
        <f t="shared" si="27"/>
        <v>: Enable</v>
      </c>
      <c r="R93" t="str">
        <f t="shared" ref="R93:R107" si="32">CONCATENATE(L93," / ",M93," / ",N93," / ",O93)</f>
        <v>EN_VCC1: 1 / INC_INDUCT_De-Rate: 0 / CONST_TDEAD: 0 / SCALE_DT: 0</v>
      </c>
    </row>
    <row r="94" spans="1:18" x14ac:dyDescent="0.2">
      <c r="A94" s="554">
        <v>3</v>
      </c>
      <c r="B94" s="554">
        <v>1.1499999999999999</v>
      </c>
      <c r="C94" s="554">
        <v>0</v>
      </c>
      <c r="D94" s="554">
        <v>1</v>
      </c>
      <c r="E94" s="554">
        <v>0</v>
      </c>
      <c r="F94" s="554">
        <v>0</v>
      </c>
      <c r="G94" t="str">
        <f t="shared" si="23"/>
        <v>Disable</v>
      </c>
      <c r="H94" t="str">
        <f t="shared" si="24"/>
        <v>40%</v>
      </c>
      <c r="I94" t="str">
        <f t="shared" si="25"/>
        <v>Disable</v>
      </c>
      <c r="J94" t="str">
        <f t="shared" si="26"/>
        <v>Disable</v>
      </c>
      <c r="L94" t="str">
        <f t="shared" si="28"/>
        <v>EN_VCC1: 0</v>
      </c>
      <c r="M94" t="str">
        <f t="shared" si="29"/>
        <v>INC_INDUCT_De-Rate: 1</v>
      </c>
      <c r="N94" t="str">
        <f t="shared" si="30"/>
        <v>CONST_TDEAD: 0</v>
      </c>
      <c r="O94" t="str">
        <f t="shared" si="31"/>
        <v>SCALE_DT: 0</v>
      </c>
      <c r="P94" t="str">
        <f t="shared" si="27"/>
        <v>: Disable</v>
      </c>
      <c r="R94" t="str">
        <f t="shared" si="32"/>
        <v>EN_VCC1: 0 / INC_INDUCT_De-Rate: 1 / CONST_TDEAD: 0 / SCALE_DT: 0</v>
      </c>
    </row>
    <row r="95" spans="1:18" x14ac:dyDescent="0.2">
      <c r="A95" s="554">
        <v>4</v>
      </c>
      <c r="B95" s="554">
        <v>1.9</v>
      </c>
      <c r="C95" s="554">
        <v>1</v>
      </c>
      <c r="D95" s="554">
        <v>1</v>
      </c>
      <c r="E95" s="554">
        <v>0</v>
      </c>
      <c r="F95" s="554">
        <v>0</v>
      </c>
      <c r="G95" t="str">
        <f t="shared" si="23"/>
        <v>Enable</v>
      </c>
      <c r="H95" t="str">
        <f t="shared" si="24"/>
        <v>40%</v>
      </c>
      <c r="I95" t="str">
        <f t="shared" si="25"/>
        <v>Disable</v>
      </c>
      <c r="J95" t="str">
        <f t="shared" si="26"/>
        <v>Disable</v>
      </c>
      <c r="L95" t="str">
        <f t="shared" si="28"/>
        <v>EN_VCC1: 1</v>
      </c>
      <c r="M95" t="str">
        <f t="shared" si="29"/>
        <v>INC_INDUCT_De-Rate: 1</v>
      </c>
      <c r="N95" t="str">
        <f t="shared" si="30"/>
        <v>CONST_TDEAD: 0</v>
      </c>
      <c r="O95" t="str">
        <f t="shared" si="31"/>
        <v>SCALE_DT: 0</v>
      </c>
      <c r="P95" t="str">
        <f t="shared" si="27"/>
        <v>: Enable</v>
      </c>
      <c r="R95" t="str">
        <f t="shared" si="32"/>
        <v>EN_VCC1: 1 / INC_INDUCT_De-Rate: 1 / CONST_TDEAD: 0 / SCALE_DT: 0</v>
      </c>
    </row>
    <row r="96" spans="1:18" x14ac:dyDescent="0.2">
      <c r="A96" s="554">
        <v>5</v>
      </c>
      <c r="B96" s="554">
        <v>2.7</v>
      </c>
      <c r="C96" s="554">
        <v>0</v>
      </c>
      <c r="D96" s="554">
        <v>0</v>
      </c>
      <c r="E96" s="554">
        <v>1</v>
      </c>
      <c r="F96" s="554">
        <v>0</v>
      </c>
      <c r="G96" t="str">
        <f t="shared" si="23"/>
        <v>Disable</v>
      </c>
      <c r="H96" t="str">
        <f t="shared" si="24"/>
        <v>30%</v>
      </c>
      <c r="I96" t="str">
        <f t="shared" si="25"/>
        <v>Enable</v>
      </c>
      <c r="J96" t="str">
        <f t="shared" si="26"/>
        <v>Disable</v>
      </c>
      <c r="L96" t="str">
        <f t="shared" si="28"/>
        <v>EN_VCC1: 0</v>
      </c>
      <c r="M96" t="str">
        <f t="shared" si="29"/>
        <v>INC_INDUCT_De-Rate: 0</v>
      </c>
      <c r="N96" t="str">
        <f t="shared" si="30"/>
        <v>CONST_TDEAD: 1</v>
      </c>
      <c r="O96" t="str">
        <f t="shared" si="31"/>
        <v>SCALE_DT: 0</v>
      </c>
      <c r="P96" t="str">
        <f t="shared" si="27"/>
        <v>: Disable</v>
      </c>
      <c r="R96" t="str">
        <f t="shared" si="32"/>
        <v>EN_VCC1: 0 / INC_INDUCT_De-Rate: 0 / CONST_TDEAD: 1 / SCALE_DT: 0</v>
      </c>
    </row>
    <row r="97" spans="1:18" x14ac:dyDescent="0.2">
      <c r="A97" s="554">
        <v>6</v>
      </c>
      <c r="B97" s="554">
        <v>3.8</v>
      </c>
      <c r="C97" s="554">
        <v>1</v>
      </c>
      <c r="D97" s="554">
        <v>0</v>
      </c>
      <c r="E97" s="554">
        <v>1</v>
      </c>
      <c r="F97" s="554">
        <v>0</v>
      </c>
      <c r="G97" t="str">
        <f t="shared" si="23"/>
        <v>Enable</v>
      </c>
      <c r="H97" t="str">
        <f t="shared" si="24"/>
        <v>30%</v>
      </c>
      <c r="I97" t="str">
        <f t="shared" si="25"/>
        <v>Enable</v>
      </c>
      <c r="J97" t="str">
        <f t="shared" si="26"/>
        <v>Disable</v>
      </c>
      <c r="L97" t="str">
        <f t="shared" si="28"/>
        <v>EN_VCC1: 1</v>
      </c>
      <c r="M97" t="str">
        <f t="shared" si="29"/>
        <v>INC_INDUCT_De-Rate: 0</v>
      </c>
      <c r="N97" t="str">
        <f t="shared" si="30"/>
        <v>CONST_TDEAD: 1</v>
      </c>
      <c r="O97" t="str">
        <f t="shared" si="31"/>
        <v>SCALE_DT: 0</v>
      </c>
      <c r="P97" t="str">
        <f t="shared" si="27"/>
        <v>: Enable</v>
      </c>
      <c r="R97" t="str">
        <f t="shared" si="32"/>
        <v>EN_VCC1: 1 / INC_INDUCT_De-Rate: 0 / CONST_TDEAD: 1 / SCALE_DT: 0</v>
      </c>
    </row>
    <row r="98" spans="1:18" x14ac:dyDescent="0.2">
      <c r="A98" s="554">
        <v>7</v>
      </c>
      <c r="B98" s="554">
        <v>5.0999999999999996</v>
      </c>
      <c r="C98" s="554">
        <v>0</v>
      </c>
      <c r="D98" s="554">
        <v>1</v>
      </c>
      <c r="E98" s="554">
        <v>1</v>
      </c>
      <c r="F98" s="554">
        <v>0</v>
      </c>
      <c r="G98" t="str">
        <f t="shared" si="23"/>
        <v>Disable</v>
      </c>
      <c r="H98" t="str">
        <f t="shared" si="24"/>
        <v>40%</v>
      </c>
      <c r="I98" t="str">
        <f t="shared" si="25"/>
        <v>Enable</v>
      </c>
      <c r="J98" t="str">
        <f t="shared" si="26"/>
        <v>Disable</v>
      </c>
      <c r="L98" t="str">
        <f t="shared" si="28"/>
        <v>EN_VCC1: 0</v>
      </c>
      <c r="M98" t="str">
        <f t="shared" si="29"/>
        <v>INC_INDUCT_De-Rate: 1</v>
      </c>
      <c r="N98" t="str">
        <f t="shared" si="30"/>
        <v>CONST_TDEAD: 1</v>
      </c>
      <c r="O98" t="str">
        <f t="shared" si="31"/>
        <v>SCALE_DT: 0</v>
      </c>
      <c r="P98" t="str">
        <f t="shared" si="27"/>
        <v>: Disable</v>
      </c>
      <c r="R98" t="str">
        <f t="shared" si="32"/>
        <v>EN_VCC1: 0 / INC_INDUCT_De-Rate: 1 / CONST_TDEAD: 1 / SCALE_DT: 0</v>
      </c>
    </row>
    <row r="99" spans="1:18" x14ac:dyDescent="0.2">
      <c r="A99" s="554">
        <v>8</v>
      </c>
      <c r="B99" s="554">
        <v>6.5</v>
      </c>
      <c r="C99" s="554">
        <v>1</v>
      </c>
      <c r="D99" s="554">
        <v>1</v>
      </c>
      <c r="E99" s="554">
        <v>1</v>
      </c>
      <c r="F99" s="554">
        <v>0</v>
      </c>
      <c r="G99" t="str">
        <f t="shared" si="23"/>
        <v>Enable</v>
      </c>
      <c r="H99" t="str">
        <f t="shared" si="24"/>
        <v>40%</v>
      </c>
      <c r="I99" t="str">
        <f t="shared" si="25"/>
        <v>Enable</v>
      </c>
      <c r="J99" t="str">
        <f t="shared" si="26"/>
        <v>Disable</v>
      </c>
      <c r="L99" t="str">
        <f t="shared" si="28"/>
        <v>EN_VCC1: 1</v>
      </c>
      <c r="M99" t="str">
        <f t="shared" si="29"/>
        <v>INC_INDUCT_De-Rate: 1</v>
      </c>
      <c r="N99" t="str">
        <f t="shared" si="30"/>
        <v>CONST_TDEAD: 1</v>
      </c>
      <c r="O99" t="str">
        <f t="shared" si="31"/>
        <v>SCALE_DT: 0</v>
      </c>
      <c r="P99" t="str">
        <f t="shared" si="27"/>
        <v>: Enable</v>
      </c>
      <c r="R99" t="str">
        <f t="shared" si="32"/>
        <v>EN_VCC1: 1 / INC_INDUCT_De-Rate: 1 / CONST_TDEAD: 1 / SCALE_DT: 0</v>
      </c>
    </row>
    <row r="100" spans="1:18" x14ac:dyDescent="0.2">
      <c r="A100" s="554">
        <v>9</v>
      </c>
      <c r="B100" s="554">
        <v>8.3000000000000007</v>
      </c>
      <c r="C100" s="554">
        <v>0</v>
      </c>
      <c r="D100" s="554">
        <v>0</v>
      </c>
      <c r="E100" s="554">
        <v>0</v>
      </c>
      <c r="F100" s="554">
        <v>1</v>
      </c>
      <c r="G100" t="str">
        <f t="shared" si="23"/>
        <v>Disable</v>
      </c>
      <c r="H100" t="str">
        <f t="shared" si="24"/>
        <v>30%</v>
      </c>
      <c r="I100" t="str">
        <f t="shared" si="25"/>
        <v>Disable</v>
      </c>
      <c r="J100" t="str">
        <f t="shared" si="26"/>
        <v>Enable</v>
      </c>
      <c r="L100" t="str">
        <f t="shared" si="28"/>
        <v>EN_VCC1: 0</v>
      </c>
      <c r="M100" t="str">
        <f t="shared" si="29"/>
        <v>INC_INDUCT_De-Rate: 0</v>
      </c>
      <c r="N100" t="str">
        <f t="shared" si="30"/>
        <v>CONST_TDEAD: 0</v>
      </c>
      <c r="O100" t="str">
        <f t="shared" si="31"/>
        <v>SCALE_DT: 1</v>
      </c>
      <c r="P100" t="str">
        <f t="shared" si="27"/>
        <v>: Disable</v>
      </c>
      <c r="R100" t="str">
        <f t="shared" si="32"/>
        <v>EN_VCC1: 0 / INC_INDUCT_De-Rate: 0 / CONST_TDEAD: 0 / SCALE_DT: 1</v>
      </c>
    </row>
    <row r="101" spans="1:18" x14ac:dyDescent="0.2">
      <c r="A101" s="554">
        <v>10</v>
      </c>
      <c r="B101" s="554">
        <v>10.5</v>
      </c>
      <c r="C101" s="554">
        <v>1</v>
      </c>
      <c r="D101" s="554">
        <v>0</v>
      </c>
      <c r="E101" s="554">
        <v>0</v>
      </c>
      <c r="F101" s="554">
        <v>1</v>
      </c>
      <c r="G101" t="str">
        <f t="shared" si="23"/>
        <v>Enable</v>
      </c>
      <c r="H101" t="str">
        <f t="shared" si="24"/>
        <v>30%</v>
      </c>
      <c r="I101" t="str">
        <f t="shared" si="25"/>
        <v>Disable</v>
      </c>
      <c r="J101" t="str">
        <f t="shared" si="26"/>
        <v>Enable</v>
      </c>
      <c r="L101" t="str">
        <f t="shared" si="28"/>
        <v>EN_VCC1: 1</v>
      </c>
      <c r="M101" t="str">
        <f t="shared" si="29"/>
        <v>INC_INDUCT_De-Rate: 0</v>
      </c>
      <c r="N101" t="str">
        <f t="shared" si="30"/>
        <v>CONST_TDEAD: 0</v>
      </c>
      <c r="O101" t="str">
        <f t="shared" si="31"/>
        <v>SCALE_DT: 1</v>
      </c>
      <c r="P101" t="str">
        <f t="shared" si="27"/>
        <v>: Enable</v>
      </c>
      <c r="R101" t="str">
        <f t="shared" si="32"/>
        <v>EN_VCC1: 1 / INC_INDUCT_De-Rate: 0 / CONST_TDEAD: 0 / SCALE_DT: 1</v>
      </c>
    </row>
    <row r="102" spans="1:18" x14ac:dyDescent="0.2">
      <c r="A102" s="554">
        <v>11</v>
      </c>
      <c r="B102" s="554">
        <v>13.3</v>
      </c>
      <c r="C102" s="554">
        <v>0</v>
      </c>
      <c r="D102" s="554">
        <v>1</v>
      </c>
      <c r="E102" s="554">
        <v>0</v>
      </c>
      <c r="F102" s="554">
        <v>1</v>
      </c>
      <c r="G102" t="str">
        <f t="shared" si="23"/>
        <v>Disable</v>
      </c>
      <c r="H102" t="str">
        <f t="shared" si="24"/>
        <v>40%</v>
      </c>
      <c r="I102" t="str">
        <f t="shared" si="25"/>
        <v>Disable</v>
      </c>
      <c r="J102" t="str">
        <f t="shared" si="26"/>
        <v>Enable</v>
      </c>
      <c r="L102" t="str">
        <f t="shared" si="28"/>
        <v>EN_VCC1: 0</v>
      </c>
      <c r="M102" t="str">
        <f t="shared" si="29"/>
        <v>INC_INDUCT_De-Rate: 1</v>
      </c>
      <c r="N102" t="str">
        <f t="shared" si="30"/>
        <v>CONST_TDEAD: 0</v>
      </c>
      <c r="O102" t="str">
        <f t="shared" si="31"/>
        <v>SCALE_DT: 1</v>
      </c>
      <c r="P102" t="str">
        <f t="shared" si="27"/>
        <v>: Disable</v>
      </c>
      <c r="R102" t="str">
        <f t="shared" si="32"/>
        <v>EN_VCC1: 0 / INC_INDUCT_De-Rate: 1 / CONST_TDEAD: 0 / SCALE_DT: 1</v>
      </c>
    </row>
    <row r="103" spans="1:18" x14ac:dyDescent="0.2">
      <c r="A103" s="554">
        <v>12</v>
      </c>
      <c r="B103" s="554">
        <v>16.2</v>
      </c>
      <c r="C103" s="554">
        <v>1</v>
      </c>
      <c r="D103" s="554">
        <v>1</v>
      </c>
      <c r="E103" s="554">
        <v>0</v>
      </c>
      <c r="F103" s="554">
        <v>1</v>
      </c>
      <c r="G103" t="str">
        <f t="shared" si="23"/>
        <v>Enable</v>
      </c>
      <c r="H103" t="str">
        <f t="shared" si="24"/>
        <v>40%</v>
      </c>
      <c r="I103" t="str">
        <f t="shared" si="25"/>
        <v>Disable</v>
      </c>
      <c r="J103" t="str">
        <f t="shared" si="26"/>
        <v>Enable</v>
      </c>
      <c r="L103" t="str">
        <f t="shared" si="28"/>
        <v>EN_VCC1: 1</v>
      </c>
      <c r="M103" t="str">
        <f t="shared" si="29"/>
        <v>INC_INDUCT_De-Rate: 1</v>
      </c>
      <c r="N103" t="str">
        <f t="shared" si="30"/>
        <v>CONST_TDEAD: 0</v>
      </c>
      <c r="O103" t="str">
        <f t="shared" si="31"/>
        <v>SCALE_DT: 1</v>
      </c>
      <c r="P103" t="str">
        <f t="shared" si="27"/>
        <v>: Enable</v>
      </c>
      <c r="R103" t="str">
        <f t="shared" si="32"/>
        <v>EN_VCC1: 1 / INC_INDUCT_De-Rate: 1 / CONST_TDEAD: 0 / SCALE_DT: 1</v>
      </c>
    </row>
    <row r="104" spans="1:18" x14ac:dyDescent="0.2">
      <c r="A104" s="554">
        <v>13</v>
      </c>
      <c r="B104" s="554">
        <v>20.5</v>
      </c>
      <c r="C104" s="554">
        <v>0</v>
      </c>
      <c r="D104" s="554">
        <v>0</v>
      </c>
      <c r="E104" s="554">
        <v>1</v>
      </c>
      <c r="F104" s="554">
        <v>1</v>
      </c>
      <c r="G104" t="str">
        <f t="shared" si="23"/>
        <v>Disable</v>
      </c>
      <c r="H104" t="str">
        <f t="shared" si="24"/>
        <v>30%</v>
      </c>
      <c r="I104" t="str">
        <f t="shared" si="25"/>
        <v>Enable</v>
      </c>
      <c r="J104" t="str">
        <f t="shared" si="26"/>
        <v>Enable</v>
      </c>
      <c r="L104" t="str">
        <f t="shared" si="28"/>
        <v>EN_VCC1: 0</v>
      </c>
      <c r="M104" t="str">
        <f t="shared" si="29"/>
        <v>INC_INDUCT_De-Rate: 0</v>
      </c>
      <c r="N104" t="str">
        <f t="shared" si="30"/>
        <v>CONST_TDEAD: 1</v>
      </c>
      <c r="O104" t="str">
        <f t="shared" si="31"/>
        <v>SCALE_DT: 1</v>
      </c>
      <c r="P104" t="str">
        <f t="shared" si="27"/>
        <v>: Disable</v>
      </c>
      <c r="R104" t="str">
        <f t="shared" si="32"/>
        <v>EN_VCC1: 0 / INC_INDUCT_De-Rate: 0 / CONST_TDEAD: 1 / SCALE_DT: 1</v>
      </c>
    </row>
    <row r="105" spans="1:18" x14ac:dyDescent="0.2">
      <c r="A105" s="554">
        <v>14</v>
      </c>
      <c r="B105" s="554">
        <v>24.9</v>
      </c>
      <c r="C105" s="554">
        <v>1</v>
      </c>
      <c r="D105" s="554">
        <v>0</v>
      </c>
      <c r="E105" s="554">
        <v>1</v>
      </c>
      <c r="F105" s="554">
        <v>1</v>
      </c>
      <c r="G105" t="str">
        <f t="shared" si="23"/>
        <v>Enable</v>
      </c>
      <c r="H105" t="str">
        <f t="shared" si="24"/>
        <v>30%</v>
      </c>
      <c r="I105" t="str">
        <f t="shared" si="25"/>
        <v>Enable</v>
      </c>
      <c r="J105" t="str">
        <f t="shared" si="26"/>
        <v>Enable</v>
      </c>
      <c r="L105" t="str">
        <f t="shared" si="28"/>
        <v>EN_VCC1: 1</v>
      </c>
      <c r="M105" t="str">
        <f t="shared" si="29"/>
        <v>INC_INDUCT_De-Rate: 0</v>
      </c>
      <c r="N105" t="str">
        <f t="shared" si="30"/>
        <v>CONST_TDEAD: 1</v>
      </c>
      <c r="O105" t="str">
        <f t="shared" si="31"/>
        <v>SCALE_DT: 1</v>
      </c>
      <c r="P105" t="str">
        <f t="shared" si="27"/>
        <v>: Enable</v>
      </c>
      <c r="R105" t="str">
        <f t="shared" si="32"/>
        <v>EN_VCC1: 1 / INC_INDUCT_De-Rate: 0 / CONST_TDEAD: 1 / SCALE_DT: 1</v>
      </c>
    </row>
    <row r="106" spans="1:18" x14ac:dyDescent="0.2">
      <c r="A106" s="554">
        <v>15</v>
      </c>
      <c r="B106" s="554">
        <v>30.1</v>
      </c>
      <c r="C106" s="554">
        <v>0</v>
      </c>
      <c r="D106" s="554">
        <v>1</v>
      </c>
      <c r="E106" s="554">
        <v>1</v>
      </c>
      <c r="F106" s="554">
        <v>1</v>
      </c>
      <c r="G106" t="str">
        <f t="shared" si="23"/>
        <v>Disable</v>
      </c>
      <c r="H106" t="str">
        <f t="shared" si="24"/>
        <v>40%</v>
      </c>
      <c r="I106" t="str">
        <f t="shared" si="25"/>
        <v>Enable</v>
      </c>
      <c r="J106" t="str">
        <f t="shared" si="26"/>
        <v>Enable</v>
      </c>
      <c r="L106" t="str">
        <f t="shared" si="28"/>
        <v>EN_VCC1: 0</v>
      </c>
      <c r="M106" t="str">
        <f t="shared" si="29"/>
        <v>INC_INDUCT_De-Rate: 1</v>
      </c>
      <c r="N106" t="str">
        <f t="shared" si="30"/>
        <v>CONST_TDEAD: 1</v>
      </c>
      <c r="O106" t="str">
        <f t="shared" si="31"/>
        <v>SCALE_DT: 1</v>
      </c>
      <c r="P106" t="str">
        <f t="shared" si="27"/>
        <v>: Disable</v>
      </c>
      <c r="R106" t="str">
        <f t="shared" si="32"/>
        <v>EN_VCC1: 0 / INC_INDUCT_De-Rate: 1 / CONST_TDEAD: 1 / SCALE_DT: 1</v>
      </c>
    </row>
    <row r="107" spans="1:18" x14ac:dyDescent="0.2">
      <c r="A107" s="554">
        <v>16</v>
      </c>
      <c r="B107" s="554">
        <v>36.5</v>
      </c>
      <c r="C107" s="554">
        <v>1</v>
      </c>
      <c r="D107" s="554">
        <v>1</v>
      </c>
      <c r="E107" s="554">
        <v>1</v>
      </c>
      <c r="F107" s="554">
        <v>1</v>
      </c>
      <c r="G107" t="str">
        <f t="shared" si="23"/>
        <v>Enable</v>
      </c>
      <c r="H107" t="str">
        <f t="shared" si="24"/>
        <v>40%</v>
      </c>
      <c r="I107" t="str">
        <f t="shared" si="25"/>
        <v>Enable</v>
      </c>
      <c r="J107" t="str">
        <f t="shared" si="26"/>
        <v>Enable</v>
      </c>
      <c r="L107" t="str">
        <f t="shared" si="28"/>
        <v>EN_VCC1: 1</v>
      </c>
      <c r="M107" t="str">
        <f t="shared" si="29"/>
        <v>INC_INDUCT_De-Rate: 1</v>
      </c>
      <c r="N107" t="str">
        <f t="shared" si="30"/>
        <v>CONST_TDEAD: 1</v>
      </c>
      <c r="O107" t="str">
        <f t="shared" si="31"/>
        <v>SCALE_DT: 1</v>
      </c>
      <c r="P107" t="str">
        <f t="shared" si="27"/>
        <v>: Enable</v>
      </c>
      <c r="R107" t="str">
        <f t="shared" si="32"/>
        <v>EN_VCC1: 1 / INC_INDUCT_De-Rate: 1 / CONST_TDEAD: 1 / SCALE_DT: 1</v>
      </c>
    </row>
    <row r="109" spans="1:18" x14ac:dyDescent="0.2">
      <c r="C109" s="554">
        <v>0</v>
      </c>
      <c r="D109" s="554">
        <v>1</v>
      </c>
      <c r="E109" s="554">
        <v>2</v>
      </c>
      <c r="F109" s="554">
        <v>3</v>
      </c>
    </row>
    <row r="110" spans="1:18" x14ac:dyDescent="0.2">
      <c r="C110" s="114" t="str">
        <f>CONCATENATE(C91,": off")</f>
        <v>EN_VCC1: off</v>
      </c>
      <c r="D110" s="114" t="str">
        <f>CONCATENATE(D91,": 20%")</f>
        <v>INC_INDUCT_De-Rate: 20%</v>
      </c>
      <c r="E110" s="114" t="str">
        <f>CONCATENATE(E91,": off")</f>
        <v>CONST_TDEAD: off</v>
      </c>
      <c r="F110" s="114" t="str">
        <f>CONCATENATE(F91,": off")</f>
        <v>SCALE_DT: off</v>
      </c>
    </row>
    <row r="111" spans="1:18" x14ac:dyDescent="0.2">
      <c r="C111" s="114" t="str">
        <f>CONCATENATE(C91,": on")</f>
        <v>EN_VCC1: on</v>
      </c>
      <c r="D111" s="114" t="str">
        <f>CONCATENATE(D91,": 30%")</f>
        <v>INC_INDUCT_De-Rate: 30%</v>
      </c>
      <c r="E111" s="114" t="str">
        <f>CONCATENATE(E91,": on")</f>
        <v>CONST_TDEAD: on</v>
      </c>
      <c r="F111" s="114" t="str">
        <f>CONCATENATE(F91,": on")</f>
        <v>SCALE_DT: on</v>
      </c>
    </row>
    <row r="112" spans="1:18" x14ac:dyDescent="0.2">
      <c r="F112" s="114"/>
    </row>
    <row r="113" spans="1:18" x14ac:dyDescent="0.2">
      <c r="F113" s="114"/>
    </row>
    <row r="115" spans="1:18" ht="15" x14ac:dyDescent="0.25">
      <c r="B115" s="114" t="s">
        <v>930</v>
      </c>
      <c r="C115" s="634">
        <v>2</v>
      </c>
      <c r="D115" s="634">
        <v>2</v>
      </c>
      <c r="E115" s="634">
        <v>1</v>
      </c>
      <c r="F115" s="634">
        <v>1</v>
      </c>
      <c r="G115" s="633" t="s">
        <v>974</v>
      </c>
      <c r="H115" s="114" t="str">
        <f>CONCATENATE("R_",A90)</f>
        <v>R_CFG3</v>
      </c>
      <c r="J115" s="114" t="s">
        <v>964</v>
      </c>
    </row>
    <row r="116" spans="1:18" ht="15" x14ac:dyDescent="0.25">
      <c r="C116">
        <f>(C115-1)*2^C109</f>
        <v>1</v>
      </c>
      <c r="D116">
        <f>(D115-1)*2^D109</f>
        <v>2</v>
      </c>
      <c r="E116">
        <f>(E115-1)*2^E109</f>
        <v>0</v>
      </c>
      <c r="F116">
        <f>(F115-1)*2^F109</f>
        <v>0</v>
      </c>
      <c r="G116" s="633">
        <f>SUM(C116:F116)+1</f>
        <v>4</v>
      </c>
      <c r="H116">
        <f>INDEX(B92:B107,G116)</f>
        <v>1.9</v>
      </c>
    </row>
    <row r="120" spans="1:18" x14ac:dyDescent="0.2">
      <c r="A120" s="114" t="s">
        <v>967</v>
      </c>
    </row>
    <row r="121" spans="1:18" x14ac:dyDescent="0.2">
      <c r="A121" s="570" t="s">
        <v>875</v>
      </c>
      <c r="B121" s="570" t="s">
        <v>969</v>
      </c>
      <c r="C121" s="570" t="s">
        <v>876</v>
      </c>
      <c r="D121" s="570" t="s">
        <v>972</v>
      </c>
      <c r="E121" s="570" t="s">
        <v>1249</v>
      </c>
      <c r="F121" s="570" t="s">
        <v>973</v>
      </c>
      <c r="G121" t="s">
        <v>973</v>
      </c>
      <c r="H121" t="str">
        <f>D121</f>
        <v>SCP – Hiccup Mode</v>
      </c>
      <c r="I121" t="str">
        <f>E121</f>
        <v>Neg. Current Limit</v>
      </c>
      <c r="J121" t="str">
        <f>F121</f>
        <v>Current Limit</v>
      </c>
    </row>
    <row r="122" spans="1:18" x14ac:dyDescent="0.2">
      <c r="A122" s="554">
        <v>1</v>
      </c>
      <c r="B122" s="554">
        <v>0</v>
      </c>
      <c r="C122" s="554">
        <v>0</v>
      </c>
      <c r="D122" s="554">
        <v>0</v>
      </c>
      <c r="E122" s="554">
        <v>0</v>
      </c>
      <c r="F122" s="554">
        <v>0</v>
      </c>
      <c r="G122" t="str">
        <f t="shared" ref="G122:G137" si="33">IF(C122=1,"Enable","Disable")</f>
        <v>Disable</v>
      </c>
      <c r="H122" t="str">
        <f t="shared" ref="H122:H137" si="34">IF(D122=1,"Enable","Disable")</f>
        <v>Disable</v>
      </c>
      <c r="I122" t="str">
        <f t="shared" ref="I122:I137" si="35">IF(E122=1,"Enable","Disable")</f>
        <v>Disable</v>
      </c>
      <c r="J122" t="str">
        <f t="shared" ref="J122:J137" si="36">IF(F122=1,"Enable","Disable")</f>
        <v>Disable</v>
      </c>
      <c r="L122" t="str">
        <f>CONCATENATE($C$121,": ",C122)</f>
        <v>DRSS: 0</v>
      </c>
      <c r="M122" t="str">
        <f>CONCATENATE(D$121,": ",D122)</f>
        <v>SCP – Hiccup Mode: 0</v>
      </c>
      <c r="N122" t="str">
        <f>CONCATENATE(E$121,": ",E122)</f>
        <v>Neg. Current Limit: 0</v>
      </c>
      <c r="O122" t="str">
        <f>CONCATENATE(F$121,": ",F122)</f>
        <v>Current Limit: 0</v>
      </c>
      <c r="P122" t="str">
        <f t="shared" ref="P122:P137" si="37">CONCATENATE(K$3,": ",G122)</f>
        <v>: Disable</v>
      </c>
      <c r="R122" t="str">
        <f>CONCATENATE(L122," / ",M122," / ",N122," / ",O122)</f>
        <v>DRSS: 0 / SCP – Hiccup Mode: 0 / Neg. Current Limit: 0 / Current Limit: 0</v>
      </c>
    </row>
    <row r="123" spans="1:18" x14ac:dyDescent="0.2">
      <c r="A123" s="554">
        <v>2</v>
      </c>
      <c r="B123" s="554">
        <v>0.51100000000000001</v>
      </c>
      <c r="C123" s="554">
        <v>1</v>
      </c>
      <c r="D123" s="554">
        <v>0</v>
      </c>
      <c r="E123" s="554">
        <v>0</v>
      </c>
      <c r="F123" s="554">
        <v>0</v>
      </c>
      <c r="G123" t="str">
        <f t="shared" si="33"/>
        <v>Enable</v>
      </c>
      <c r="H123" t="str">
        <f t="shared" si="34"/>
        <v>Disable</v>
      </c>
      <c r="I123" t="str">
        <f t="shared" si="35"/>
        <v>Disable</v>
      </c>
      <c r="J123" t="str">
        <f t="shared" si="36"/>
        <v>Disable</v>
      </c>
      <c r="L123" t="str">
        <f t="shared" ref="L123:L137" si="38">CONCATENATE($C$121,": ",C123)</f>
        <v>DRSS: 1</v>
      </c>
      <c r="M123" t="str">
        <f t="shared" ref="M123:M137" si="39">CONCATENATE(D$121,": ",D123)</f>
        <v>SCP – Hiccup Mode: 0</v>
      </c>
      <c r="N123" t="str">
        <f t="shared" ref="N123:N137" si="40">CONCATENATE(E$121,": ",E123)</f>
        <v>Neg. Current Limit: 0</v>
      </c>
      <c r="O123" t="str">
        <f t="shared" ref="O123:O137" si="41">CONCATENATE(F$121,": ",F123)</f>
        <v>Current Limit: 0</v>
      </c>
      <c r="P123" t="str">
        <f t="shared" si="37"/>
        <v>: Enable</v>
      </c>
      <c r="R123" t="str">
        <f t="shared" ref="R123:R137" si="42">CONCATENATE(L123," / ",M123," / ",N123," / ",O123)</f>
        <v>DRSS: 1 / SCP – Hiccup Mode: 0 / Neg. Current Limit: 0 / Current Limit: 0</v>
      </c>
    </row>
    <row r="124" spans="1:18" x14ac:dyDescent="0.2">
      <c r="A124" s="554">
        <v>3</v>
      </c>
      <c r="B124" s="554">
        <v>1.1499999999999999</v>
      </c>
      <c r="C124" s="554">
        <v>0</v>
      </c>
      <c r="D124" s="554">
        <v>1</v>
      </c>
      <c r="E124" s="554">
        <v>0</v>
      </c>
      <c r="F124" s="554">
        <v>0</v>
      </c>
      <c r="G124" t="str">
        <f t="shared" si="33"/>
        <v>Disable</v>
      </c>
      <c r="H124" t="str">
        <f t="shared" si="34"/>
        <v>Enable</v>
      </c>
      <c r="I124" t="str">
        <f t="shared" si="35"/>
        <v>Disable</v>
      </c>
      <c r="J124" t="str">
        <f t="shared" si="36"/>
        <v>Disable</v>
      </c>
      <c r="L124" t="str">
        <f t="shared" si="38"/>
        <v>DRSS: 0</v>
      </c>
      <c r="M124" t="str">
        <f t="shared" si="39"/>
        <v>SCP – Hiccup Mode: 1</v>
      </c>
      <c r="N124" t="str">
        <f t="shared" si="40"/>
        <v>Neg. Current Limit: 0</v>
      </c>
      <c r="O124" t="str">
        <f t="shared" si="41"/>
        <v>Current Limit: 0</v>
      </c>
      <c r="P124" t="str">
        <f t="shared" si="37"/>
        <v>: Disable</v>
      </c>
      <c r="R124" t="str">
        <f t="shared" si="42"/>
        <v>DRSS: 0 / SCP – Hiccup Mode: 1 / Neg. Current Limit: 0 / Current Limit: 0</v>
      </c>
    </row>
    <row r="125" spans="1:18" x14ac:dyDescent="0.2">
      <c r="A125" s="554">
        <v>4</v>
      </c>
      <c r="B125" s="554">
        <v>1.9</v>
      </c>
      <c r="C125" s="554">
        <v>1</v>
      </c>
      <c r="D125" s="554">
        <v>1</v>
      </c>
      <c r="E125" s="554">
        <v>0</v>
      </c>
      <c r="F125" s="554">
        <v>0</v>
      </c>
      <c r="G125" t="str">
        <f t="shared" si="33"/>
        <v>Enable</v>
      </c>
      <c r="H125" t="str">
        <f t="shared" si="34"/>
        <v>Enable</v>
      </c>
      <c r="I125" t="str">
        <f t="shared" si="35"/>
        <v>Disable</v>
      </c>
      <c r="J125" t="str">
        <f t="shared" si="36"/>
        <v>Disable</v>
      </c>
      <c r="L125" t="str">
        <f t="shared" si="38"/>
        <v>DRSS: 1</v>
      </c>
      <c r="M125" t="str">
        <f t="shared" si="39"/>
        <v>SCP – Hiccup Mode: 1</v>
      </c>
      <c r="N125" t="str">
        <f t="shared" si="40"/>
        <v>Neg. Current Limit: 0</v>
      </c>
      <c r="O125" t="str">
        <f t="shared" si="41"/>
        <v>Current Limit: 0</v>
      </c>
      <c r="P125" t="str">
        <f t="shared" si="37"/>
        <v>: Enable</v>
      </c>
      <c r="R125" t="str">
        <f t="shared" si="42"/>
        <v>DRSS: 1 / SCP – Hiccup Mode: 1 / Neg. Current Limit: 0 / Current Limit: 0</v>
      </c>
    </row>
    <row r="126" spans="1:18" x14ac:dyDescent="0.2">
      <c r="A126" s="554">
        <v>5</v>
      </c>
      <c r="B126" s="554">
        <v>2.7</v>
      </c>
      <c r="C126" s="554">
        <v>0</v>
      </c>
      <c r="D126" s="554">
        <v>0</v>
      </c>
      <c r="E126" s="554">
        <v>1</v>
      </c>
      <c r="F126" s="554">
        <v>0</v>
      </c>
      <c r="G126" t="str">
        <f t="shared" si="33"/>
        <v>Disable</v>
      </c>
      <c r="H126" t="str">
        <f t="shared" si="34"/>
        <v>Disable</v>
      </c>
      <c r="I126" t="str">
        <f t="shared" si="35"/>
        <v>Enable</v>
      </c>
      <c r="J126" t="str">
        <f t="shared" si="36"/>
        <v>Disable</v>
      </c>
      <c r="L126" t="str">
        <f t="shared" si="38"/>
        <v>DRSS: 0</v>
      </c>
      <c r="M126" t="str">
        <f t="shared" si="39"/>
        <v>SCP – Hiccup Mode: 0</v>
      </c>
      <c r="N126" t="str">
        <f t="shared" si="40"/>
        <v>Neg. Current Limit: 1</v>
      </c>
      <c r="O126" t="str">
        <f t="shared" si="41"/>
        <v>Current Limit: 0</v>
      </c>
      <c r="P126" t="str">
        <f t="shared" si="37"/>
        <v>: Disable</v>
      </c>
      <c r="R126" t="str">
        <f t="shared" si="42"/>
        <v>DRSS: 0 / SCP – Hiccup Mode: 0 / Neg. Current Limit: 1 / Current Limit: 0</v>
      </c>
    </row>
    <row r="127" spans="1:18" x14ac:dyDescent="0.2">
      <c r="A127" s="554">
        <v>6</v>
      </c>
      <c r="B127" s="554">
        <v>3.8</v>
      </c>
      <c r="C127" s="554">
        <v>1</v>
      </c>
      <c r="D127" s="554">
        <v>0</v>
      </c>
      <c r="E127" s="554">
        <v>1</v>
      </c>
      <c r="F127" s="554">
        <v>0</v>
      </c>
      <c r="G127" t="str">
        <f t="shared" si="33"/>
        <v>Enable</v>
      </c>
      <c r="H127" t="str">
        <f t="shared" si="34"/>
        <v>Disable</v>
      </c>
      <c r="I127" t="str">
        <f t="shared" si="35"/>
        <v>Enable</v>
      </c>
      <c r="J127" t="str">
        <f t="shared" si="36"/>
        <v>Disable</v>
      </c>
      <c r="L127" t="str">
        <f t="shared" si="38"/>
        <v>DRSS: 1</v>
      </c>
      <c r="M127" t="str">
        <f t="shared" si="39"/>
        <v>SCP – Hiccup Mode: 0</v>
      </c>
      <c r="N127" t="str">
        <f t="shared" si="40"/>
        <v>Neg. Current Limit: 1</v>
      </c>
      <c r="O127" t="str">
        <f t="shared" si="41"/>
        <v>Current Limit: 0</v>
      </c>
      <c r="P127" t="str">
        <f t="shared" si="37"/>
        <v>: Enable</v>
      </c>
      <c r="R127" t="str">
        <f t="shared" si="42"/>
        <v>DRSS: 1 / SCP – Hiccup Mode: 0 / Neg. Current Limit: 1 / Current Limit: 0</v>
      </c>
    </row>
    <row r="128" spans="1:18" x14ac:dyDescent="0.2">
      <c r="A128" s="554">
        <v>7</v>
      </c>
      <c r="B128" s="554">
        <v>5.0999999999999996</v>
      </c>
      <c r="C128" s="554">
        <v>0</v>
      </c>
      <c r="D128" s="554">
        <v>1</v>
      </c>
      <c r="E128" s="554">
        <v>1</v>
      </c>
      <c r="F128" s="554">
        <v>0</v>
      </c>
      <c r="G128" t="str">
        <f t="shared" si="33"/>
        <v>Disable</v>
      </c>
      <c r="H128" t="str">
        <f t="shared" si="34"/>
        <v>Enable</v>
      </c>
      <c r="I128" t="str">
        <f t="shared" si="35"/>
        <v>Enable</v>
      </c>
      <c r="J128" t="str">
        <f t="shared" si="36"/>
        <v>Disable</v>
      </c>
      <c r="L128" t="str">
        <f t="shared" si="38"/>
        <v>DRSS: 0</v>
      </c>
      <c r="M128" t="str">
        <f t="shared" si="39"/>
        <v>SCP – Hiccup Mode: 1</v>
      </c>
      <c r="N128" t="str">
        <f t="shared" si="40"/>
        <v>Neg. Current Limit: 1</v>
      </c>
      <c r="O128" t="str">
        <f t="shared" si="41"/>
        <v>Current Limit: 0</v>
      </c>
      <c r="P128" t="str">
        <f t="shared" si="37"/>
        <v>: Disable</v>
      </c>
      <c r="R128" t="str">
        <f t="shared" si="42"/>
        <v>DRSS: 0 / SCP – Hiccup Mode: 1 / Neg. Current Limit: 1 / Current Limit: 0</v>
      </c>
    </row>
    <row r="129" spans="1:18" x14ac:dyDescent="0.2">
      <c r="A129" s="554">
        <v>8</v>
      </c>
      <c r="B129" s="554">
        <v>6.5</v>
      </c>
      <c r="C129" s="554">
        <v>1</v>
      </c>
      <c r="D129" s="554">
        <v>1</v>
      </c>
      <c r="E129" s="554">
        <v>1</v>
      </c>
      <c r="F129" s="554">
        <v>0</v>
      </c>
      <c r="G129" t="str">
        <f t="shared" si="33"/>
        <v>Enable</v>
      </c>
      <c r="H129" t="str">
        <f t="shared" si="34"/>
        <v>Enable</v>
      </c>
      <c r="I129" t="str">
        <f t="shared" si="35"/>
        <v>Enable</v>
      </c>
      <c r="J129" t="str">
        <f t="shared" si="36"/>
        <v>Disable</v>
      </c>
      <c r="L129" t="str">
        <f t="shared" si="38"/>
        <v>DRSS: 1</v>
      </c>
      <c r="M129" t="str">
        <f t="shared" si="39"/>
        <v>SCP – Hiccup Mode: 1</v>
      </c>
      <c r="N129" t="str">
        <f t="shared" si="40"/>
        <v>Neg. Current Limit: 1</v>
      </c>
      <c r="O129" t="str">
        <f t="shared" si="41"/>
        <v>Current Limit: 0</v>
      </c>
      <c r="P129" t="str">
        <f t="shared" si="37"/>
        <v>: Enable</v>
      </c>
      <c r="R129" t="str">
        <f t="shared" si="42"/>
        <v>DRSS: 1 / SCP – Hiccup Mode: 1 / Neg. Current Limit: 1 / Current Limit: 0</v>
      </c>
    </row>
    <row r="130" spans="1:18" x14ac:dyDescent="0.2">
      <c r="A130" s="554">
        <v>9</v>
      </c>
      <c r="B130" s="554">
        <v>8.3000000000000007</v>
      </c>
      <c r="C130" s="554">
        <v>0</v>
      </c>
      <c r="D130" s="554">
        <v>0</v>
      </c>
      <c r="E130" s="554">
        <v>0</v>
      </c>
      <c r="F130" s="554">
        <v>1</v>
      </c>
      <c r="G130" t="str">
        <f t="shared" si="33"/>
        <v>Disable</v>
      </c>
      <c r="H130" t="str">
        <f t="shared" si="34"/>
        <v>Disable</v>
      </c>
      <c r="I130" t="str">
        <f t="shared" si="35"/>
        <v>Disable</v>
      </c>
      <c r="J130" t="str">
        <f t="shared" si="36"/>
        <v>Enable</v>
      </c>
      <c r="L130" t="str">
        <f t="shared" si="38"/>
        <v>DRSS: 0</v>
      </c>
      <c r="M130" t="str">
        <f t="shared" si="39"/>
        <v>SCP – Hiccup Mode: 0</v>
      </c>
      <c r="N130" t="str">
        <f t="shared" si="40"/>
        <v>Neg. Current Limit: 0</v>
      </c>
      <c r="O130" t="str">
        <f t="shared" si="41"/>
        <v>Current Limit: 1</v>
      </c>
      <c r="P130" t="str">
        <f t="shared" si="37"/>
        <v>: Disable</v>
      </c>
      <c r="R130" t="str">
        <f t="shared" si="42"/>
        <v>DRSS: 0 / SCP – Hiccup Mode: 0 / Neg. Current Limit: 0 / Current Limit: 1</v>
      </c>
    </row>
    <row r="131" spans="1:18" x14ac:dyDescent="0.2">
      <c r="A131" s="554">
        <v>10</v>
      </c>
      <c r="B131" s="554">
        <v>10.5</v>
      </c>
      <c r="C131" s="554">
        <v>1</v>
      </c>
      <c r="D131" s="554">
        <v>0</v>
      </c>
      <c r="E131" s="554">
        <v>0</v>
      </c>
      <c r="F131" s="554">
        <v>1</v>
      </c>
      <c r="G131" t="str">
        <f t="shared" si="33"/>
        <v>Enable</v>
      </c>
      <c r="H131" t="str">
        <f t="shared" si="34"/>
        <v>Disable</v>
      </c>
      <c r="I131" t="str">
        <f t="shared" si="35"/>
        <v>Disable</v>
      </c>
      <c r="J131" t="str">
        <f t="shared" si="36"/>
        <v>Enable</v>
      </c>
      <c r="L131" t="str">
        <f t="shared" si="38"/>
        <v>DRSS: 1</v>
      </c>
      <c r="M131" t="str">
        <f t="shared" si="39"/>
        <v>SCP – Hiccup Mode: 0</v>
      </c>
      <c r="N131" t="str">
        <f t="shared" si="40"/>
        <v>Neg. Current Limit: 0</v>
      </c>
      <c r="O131" t="str">
        <f t="shared" si="41"/>
        <v>Current Limit: 1</v>
      </c>
      <c r="P131" t="str">
        <f t="shared" si="37"/>
        <v>: Enable</v>
      </c>
      <c r="R131" t="str">
        <f t="shared" si="42"/>
        <v>DRSS: 1 / SCP – Hiccup Mode: 0 / Neg. Current Limit: 0 / Current Limit: 1</v>
      </c>
    </row>
    <row r="132" spans="1:18" x14ac:dyDescent="0.2">
      <c r="A132" s="554">
        <v>11</v>
      </c>
      <c r="B132" s="554">
        <v>13.3</v>
      </c>
      <c r="C132" s="554">
        <v>0</v>
      </c>
      <c r="D132" s="554">
        <v>1</v>
      </c>
      <c r="E132" s="554">
        <v>0</v>
      </c>
      <c r="F132" s="554">
        <v>1</v>
      </c>
      <c r="G132" t="str">
        <f t="shared" si="33"/>
        <v>Disable</v>
      </c>
      <c r="H132" t="str">
        <f t="shared" si="34"/>
        <v>Enable</v>
      </c>
      <c r="I132" t="str">
        <f t="shared" si="35"/>
        <v>Disable</v>
      </c>
      <c r="J132" t="str">
        <f t="shared" si="36"/>
        <v>Enable</v>
      </c>
      <c r="L132" t="str">
        <f t="shared" si="38"/>
        <v>DRSS: 0</v>
      </c>
      <c r="M132" t="str">
        <f t="shared" si="39"/>
        <v>SCP – Hiccup Mode: 1</v>
      </c>
      <c r="N132" t="str">
        <f t="shared" si="40"/>
        <v>Neg. Current Limit: 0</v>
      </c>
      <c r="O132" t="str">
        <f t="shared" si="41"/>
        <v>Current Limit: 1</v>
      </c>
      <c r="P132" t="str">
        <f t="shared" si="37"/>
        <v>: Disable</v>
      </c>
      <c r="R132" t="str">
        <f t="shared" si="42"/>
        <v>DRSS: 0 / SCP – Hiccup Mode: 1 / Neg. Current Limit: 0 / Current Limit: 1</v>
      </c>
    </row>
    <row r="133" spans="1:18" x14ac:dyDescent="0.2">
      <c r="A133" s="554">
        <v>12</v>
      </c>
      <c r="B133" s="554">
        <v>16.2</v>
      </c>
      <c r="C133" s="554">
        <v>1</v>
      </c>
      <c r="D133" s="554">
        <v>1</v>
      </c>
      <c r="E133" s="554">
        <v>0</v>
      </c>
      <c r="F133" s="554">
        <v>1</v>
      </c>
      <c r="G133" t="str">
        <f t="shared" si="33"/>
        <v>Enable</v>
      </c>
      <c r="H133" t="str">
        <f t="shared" si="34"/>
        <v>Enable</v>
      </c>
      <c r="I133" t="str">
        <f t="shared" si="35"/>
        <v>Disable</v>
      </c>
      <c r="J133" t="str">
        <f t="shared" si="36"/>
        <v>Enable</v>
      </c>
      <c r="L133" t="str">
        <f t="shared" si="38"/>
        <v>DRSS: 1</v>
      </c>
      <c r="M133" t="str">
        <f t="shared" si="39"/>
        <v>SCP – Hiccup Mode: 1</v>
      </c>
      <c r="N133" t="str">
        <f t="shared" si="40"/>
        <v>Neg. Current Limit: 0</v>
      </c>
      <c r="O133" t="str">
        <f t="shared" si="41"/>
        <v>Current Limit: 1</v>
      </c>
      <c r="P133" t="str">
        <f t="shared" si="37"/>
        <v>: Enable</v>
      </c>
      <c r="R133" t="str">
        <f t="shared" si="42"/>
        <v>DRSS: 1 / SCP – Hiccup Mode: 1 / Neg. Current Limit: 0 / Current Limit: 1</v>
      </c>
    </row>
    <row r="134" spans="1:18" x14ac:dyDescent="0.2">
      <c r="A134" s="554">
        <v>13</v>
      </c>
      <c r="B134" s="554">
        <v>20.5</v>
      </c>
      <c r="C134" s="554">
        <v>0</v>
      </c>
      <c r="D134" s="554">
        <v>0</v>
      </c>
      <c r="E134" s="554">
        <v>1</v>
      </c>
      <c r="F134" s="554">
        <v>1</v>
      </c>
      <c r="G134" t="str">
        <f t="shared" si="33"/>
        <v>Disable</v>
      </c>
      <c r="H134" t="str">
        <f t="shared" si="34"/>
        <v>Disable</v>
      </c>
      <c r="I134" t="str">
        <f t="shared" si="35"/>
        <v>Enable</v>
      </c>
      <c r="J134" t="str">
        <f t="shared" si="36"/>
        <v>Enable</v>
      </c>
      <c r="L134" t="str">
        <f t="shared" si="38"/>
        <v>DRSS: 0</v>
      </c>
      <c r="M134" t="str">
        <f t="shared" si="39"/>
        <v>SCP – Hiccup Mode: 0</v>
      </c>
      <c r="N134" t="str">
        <f t="shared" si="40"/>
        <v>Neg. Current Limit: 1</v>
      </c>
      <c r="O134" t="str">
        <f t="shared" si="41"/>
        <v>Current Limit: 1</v>
      </c>
      <c r="P134" t="str">
        <f t="shared" si="37"/>
        <v>: Disable</v>
      </c>
      <c r="R134" t="str">
        <f t="shared" si="42"/>
        <v>DRSS: 0 / SCP – Hiccup Mode: 0 / Neg. Current Limit: 1 / Current Limit: 1</v>
      </c>
    </row>
    <row r="135" spans="1:18" x14ac:dyDescent="0.2">
      <c r="A135" s="554">
        <v>14</v>
      </c>
      <c r="B135" s="554">
        <v>24.9</v>
      </c>
      <c r="C135" s="554">
        <v>1</v>
      </c>
      <c r="D135" s="554">
        <v>0</v>
      </c>
      <c r="E135" s="554">
        <v>1</v>
      </c>
      <c r="F135" s="554">
        <v>1</v>
      </c>
      <c r="G135" t="str">
        <f t="shared" si="33"/>
        <v>Enable</v>
      </c>
      <c r="H135" t="str">
        <f t="shared" si="34"/>
        <v>Disable</v>
      </c>
      <c r="I135" t="str">
        <f t="shared" si="35"/>
        <v>Enable</v>
      </c>
      <c r="J135" t="str">
        <f t="shared" si="36"/>
        <v>Enable</v>
      </c>
      <c r="L135" t="str">
        <f t="shared" si="38"/>
        <v>DRSS: 1</v>
      </c>
      <c r="M135" t="str">
        <f t="shared" si="39"/>
        <v>SCP – Hiccup Mode: 0</v>
      </c>
      <c r="N135" t="str">
        <f t="shared" si="40"/>
        <v>Neg. Current Limit: 1</v>
      </c>
      <c r="O135" t="str">
        <f t="shared" si="41"/>
        <v>Current Limit: 1</v>
      </c>
      <c r="P135" t="str">
        <f t="shared" si="37"/>
        <v>: Enable</v>
      </c>
      <c r="R135" t="str">
        <f t="shared" si="42"/>
        <v>DRSS: 1 / SCP – Hiccup Mode: 0 / Neg. Current Limit: 1 / Current Limit: 1</v>
      </c>
    </row>
    <row r="136" spans="1:18" x14ac:dyDescent="0.2">
      <c r="A136" s="554">
        <v>15</v>
      </c>
      <c r="B136" s="554">
        <v>30.1</v>
      </c>
      <c r="C136" s="554">
        <v>0</v>
      </c>
      <c r="D136" s="554">
        <v>1</v>
      </c>
      <c r="E136" s="554">
        <v>1</v>
      </c>
      <c r="F136" s="554">
        <v>1</v>
      </c>
      <c r="G136" t="str">
        <f t="shared" si="33"/>
        <v>Disable</v>
      </c>
      <c r="H136" t="str">
        <f t="shared" si="34"/>
        <v>Enable</v>
      </c>
      <c r="I136" t="str">
        <f t="shared" si="35"/>
        <v>Enable</v>
      </c>
      <c r="J136" t="str">
        <f t="shared" si="36"/>
        <v>Enable</v>
      </c>
      <c r="L136" t="str">
        <f t="shared" si="38"/>
        <v>DRSS: 0</v>
      </c>
      <c r="M136" t="str">
        <f t="shared" si="39"/>
        <v>SCP – Hiccup Mode: 1</v>
      </c>
      <c r="N136" t="str">
        <f t="shared" si="40"/>
        <v>Neg. Current Limit: 1</v>
      </c>
      <c r="O136" t="str">
        <f t="shared" si="41"/>
        <v>Current Limit: 1</v>
      </c>
      <c r="P136" t="str">
        <f t="shared" si="37"/>
        <v>: Disable</v>
      </c>
      <c r="R136" t="str">
        <f t="shared" si="42"/>
        <v>DRSS: 0 / SCP – Hiccup Mode: 1 / Neg. Current Limit: 1 / Current Limit: 1</v>
      </c>
    </row>
    <row r="137" spans="1:18" x14ac:dyDescent="0.2">
      <c r="A137" s="554">
        <v>16</v>
      </c>
      <c r="B137" s="554">
        <v>36.5</v>
      </c>
      <c r="C137" s="554">
        <v>1</v>
      </c>
      <c r="D137" s="554">
        <v>1</v>
      </c>
      <c r="E137" s="554">
        <v>1</v>
      </c>
      <c r="F137" s="554">
        <v>1</v>
      </c>
      <c r="G137" t="str">
        <f t="shared" si="33"/>
        <v>Enable</v>
      </c>
      <c r="H137" t="str">
        <f t="shared" si="34"/>
        <v>Enable</v>
      </c>
      <c r="I137" t="str">
        <f t="shared" si="35"/>
        <v>Enable</v>
      </c>
      <c r="J137" t="str">
        <f t="shared" si="36"/>
        <v>Enable</v>
      </c>
      <c r="L137" t="str">
        <f t="shared" si="38"/>
        <v>DRSS: 1</v>
      </c>
      <c r="M137" t="str">
        <f t="shared" si="39"/>
        <v>SCP – Hiccup Mode: 1</v>
      </c>
      <c r="N137" t="str">
        <f t="shared" si="40"/>
        <v>Neg. Current Limit: 1</v>
      </c>
      <c r="O137" t="str">
        <f t="shared" si="41"/>
        <v>Current Limit: 1</v>
      </c>
      <c r="P137" t="str">
        <f t="shared" si="37"/>
        <v>: Enable</v>
      </c>
      <c r="R137" t="str">
        <f t="shared" si="42"/>
        <v>DRSS: 1 / SCP – Hiccup Mode: 1 / Neg. Current Limit: 1 / Current Limit: 1</v>
      </c>
    </row>
    <row r="139" spans="1:18" x14ac:dyDescent="0.2">
      <c r="C139" s="554">
        <v>0</v>
      </c>
      <c r="D139" s="554">
        <v>1</v>
      </c>
      <c r="E139" s="554">
        <v>2</v>
      </c>
      <c r="F139" s="554">
        <v>3</v>
      </c>
    </row>
    <row r="140" spans="1:18" x14ac:dyDescent="0.2">
      <c r="C140" s="114" t="str">
        <f>CONCATENATE(C121,": off")</f>
        <v>DRSS: off</v>
      </c>
      <c r="D140" s="114" t="str">
        <f>CONCATENATE(D121,": off")</f>
        <v>SCP – Hiccup Mode: off</v>
      </c>
      <c r="E140" s="114" t="str">
        <f>CONCATENATE(E121,": off")</f>
        <v>Neg. Current Limit: off</v>
      </c>
      <c r="F140" s="570" t="s">
        <v>931</v>
      </c>
    </row>
    <row r="141" spans="1:18" x14ac:dyDescent="0.2">
      <c r="C141" s="114" t="str">
        <f>CONCATENATE(C121,": on")</f>
        <v>DRSS: on</v>
      </c>
      <c r="D141" s="114" t="str">
        <f>CONCATENATE(D121,": on")</f>
        <v>SCP – Hiccup Mode: on</v>
      </c>
      <c r="E141" s="114" t="str">
        <f>CONCATENATE(E121,": on")</f>
        <v>Neg. Current Limit: on</v>
      </c>
      <c r="F141" s="114" t="s">
        <v>1246</v>
      </c>
    </row>
    <row r="142" spans="1:18" x14ac:dyDescent="0.2">
      <c r="F142" s="114" t="s">
        <v>1247</v>
      </c>
    </row>
    <row r="143" spans="1:18" x14ac:dyDescent="0.2">
      <c r="F143" s="114" t="s">
        <v>1260</v>
      </c>
    </row>
    <row r="145" spans="1:11" ht="15" x14ac:dyDescent="0.25">
      <c r="B145" s="114" t="s">
        <v>930</v>
      </c>
      <c r="C145" s="634">
        <v>1</v>
      </c>
      <c r="D145" s="634">
        <v>1</v>
      </c>
      <c r="E145" s="634">
        <v>1</v>
      </c>
      <c r="F145" s="634">
        <v>3</v>
      </c>
      <c r="G145" s="633" t="s">
        <v>974</v>
      </c>
      <c r="H145" s="114" t="str">
        <f>CONCATENATE("R_",A120)</f>
        <v>R_CFG4</v>
      </c>
      <c r="J145" s="114" t="s">
        <v>964</v>
      </c>
    </row>
    <row r="146" spans="1:11" ht="15" x14ac:dyDescent="0.25">
      <c r="C146">
        <f>(C145-1)*2^C139</f>
        <v>0</v>
      </c>
      <c r="D146">
        <f>(D145-1)*2^D139</f>
        <v>0</v>
      </c>
      <c r="E146">
        <f>(E145-1)*2^E139</f>
        <v>0</v>
      </c>
      <c r="F146">
        <f>(IF(F145&gt;1,1,0)*2^F139)</f>
        <v>8</v>
      </c>
      <c r="G146" s="633">
        <f>SUM(C146:F146)+1</f>
        <v>9</v>
      </c>
      <c r="H146">
        <f>INDEX(B122:B137,G146)</f>
        <v>8.3000000000000007</v>
      </c>
      <c r="J146">
        <f>F145</f>
        <v>3</v>
      </c>
      <c r="K146" s="114" t="s">
        <v>992</v>
      </c>
    </row>
    <row r="151" spans="1:11" x14ac:dyDescent="0.2">
      <c r="A151" s="114" t="s">
        <v>994</v>
      </c>
    </row>
    <row r="152" spans="1:11" x14ac:dyDescent="0.2">
      <c r="A152">
        <v>0.25</v>
      </c>
    </row>
    <row r="153" spans="1:11" x14ac:dyDescent="0.2">
      <c r="A153">
        <v>0.5</v>
      </c>
    </row>
    <row r="154" spans="1:11" x14ac:dyDescent="0.2">
      <c r="A154">
        <v>1</v>
      </c>
    </row>
    <row r="155" spans="1:11" x14ac:dyDescent="0.2">
      <c r="A155">
        <v>2</v>
      </c>
    </row>
    <row r="159" spans="1:11" x14ac:dyDescent="0.2">
      <c r="A159" s="114" t="s">
        <v>1083</v>
      </c>
      <c r="B159">
        <v>1</v>
      </c>
    </row>
    <row r="160" spans="1:11" x14ac:dyDescent="0.2">
      <c r="A160" s="114" t="s">
        <v>1084</v>
      </c>
    </row>
    <row r="162" spans="1:2" x14ac:dyDescent="0.2">
      <c r="A162" s="114" t="s">
        <v>1082</v>
      </c>
      <c r="B162">
        <v>1</v>
      </c>
    </row>
    <row r="163" spans="1:2" x14ac:dyDescent="0.2">
      <c r="A163" s="114" t="s">
        <v>1085</v>
      </c>
    </row>
    <row r="164" spans="1:2" x14ac:dyDescent="0.2">
      <c r="A164" s="114" t="s">
        <v>1086</v>
      </c>
    </row>
  </sheetData>
  <conditionalFormatting sqref="D81:F82">
    <cfRule type="expression" priority="1">
      <formula>$B$162=2</formula>
    </cfRule>
    <cfRule type="expression" priority="2">
      <formula>$B$162=2</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H22"/>
  <sheetViews>
    <sheetView showGridLines="0" zoomScale="55" zoomScaleNormal="55" workbookViewId="0">
      <selection activeCell="A3" sqref="A3"/>
    </sheetView>
  </sheetViews>
  <sheetFormatPr defaultRowHeight="12.75" x14ac:dyDescent="0.2"/>
  <cols>
    <col min="1" max="1" width="10.5703125" customWidth="1"/>
    <col min="2" max="2" width="131.7109375" customWidth="1"/>
    <col min="4" max="4" width="131.7109375" customWidth="1"/>
    <col min="6" max="6" width="131.7109375" customWidth="1"/>
    <col min="8" max="8" width="131.7109375" customWidth="1"/>
  </cols>
  <sheetData>
    <row r="2" spans="1:8" x14ac:dyDescent="0.2">
      <c r="A2" t="str">
        <f>CHOOSE(With_CDC,CHOOSE(With_RCS,  "SCH772_NO_RCS_NO_CDC", "SCH772_RCS_LIM_NO_CDC","SCH772_RCS_LIM_DAC_NO_CDC","SCH772_RCS_LIM_DACplus_NO_CDC"),CHOOSE(With_RCS, "SCH772_NO_RCS","SCH772_RCS_LIM","SCH772_RCS_LIM_DAC","SCH772_RCS_LIM_DACplus"))</f>
        <v>SCH772_RCS_LIM_DAC_NO_CDC</v>
      </c>
    </row>
    <row r="5" spans="1:8" ht="30.6" customHeight="1" x14ac:dyDescent="0.2">
      <c r="B5" s="545"/>
    </row>
    <row r="6" spans="1:8" s="672" customFormat="1" ht="18.600000000000001" customHeight="1" x14ac:dyDescent="0.25">
      <c r="B6" s="673" t="s">
        <v>1078</v>
      </c>
      <c r="D6" s="672" t="s">
        <v>1079</v>
      </c>
      <c r="F6" s="672" t="s">
        <v>1080</v>
      </c>
      <c r="H6" s="672" t="s">
        <v>1254</v>
      </c>
    </row>
    <row r="7" spans="1:8" ht="18.600000000000001" customHeight="1" x14ac:dyDescent="0.2"/>
    <row r="8" spans="1:8" ht="21" customHeight="1" x14ac:dyDescent="0.2">
      <c r="B8" s="545"/>
    </row>
    <row r="9" spans="1:8" x14ac:dyDescent="0.2">
      <c r="B9" s="545"/>
    </row>
    <row r="11" spans="1:8" ht="408.95" customHeight="1" x14ac:dyDescent="0.2">
      <c r="F11" s="2"/>
    </row>
    <row r="17" spans="2:8" s="672" customFormat="1" ht="18.600000000000001" customHeight="1" x14ac:dyDescent="0.25">
      <c r="B17" s="673" t="s">
        <v>1062</v>
      </c>
      <c r="D17" s="672" t="s">
        <v>1063</v>
      </c>
      <c r="F17" s="672" t="s">
        <v>1064</v>
      </c>
      <c r="H17" s="672" t="s">
        <v>1255</v>
      </c>
    </row>
    <row r="18" spans="2:8" ht="18.600000000000001" customHeight="1" x14ac:dyDescent="0.2"/>
    <row r="19" spans="2:8" ht="21" customHeight="1" x14ac:dyDescent="0.2">
      <c r="B19" s="545"/>
    </row>
    <row r="20" spans="2:8" x14ac:dyDescent="0.2">
      <c r="B20" s="545"/>
    </row>
    <row r="22" spans="2:8" ht="408.95" customHeight="1" x14ac:dyDescent="0.2"/>
  </sheetData>
  <pageMargins left="0.7" right="0.7" top="0.75" bottom="0.75" header="0.3" footer="0.3"/>
  <pageSetup orientation="portrait" r:id="rId1"/>
  <drawing r:id="rId2"/>
  <legacyDrawing r:id="rId3"/>
  <oleObjects>
    <mc:AlternateContent xmlns:mc="http://schemas.openxmlformats.org/markup-compatibility/2006">
      <mc:Choice Requires="x14">
        <oleObject progId="Visio.Drawing.15" shapeId="676970" r:id="rId4">
          <objectPr defaultSize="0" r:id="rId5">
            <anchor moveWithCells="1">
              <from>
                <xdr:col>1</xdr:col>
                <xdr:colOff>0</xdr:colOff>
                <xdr:row>10</xdr:row>
                <xdr:rowOff>0</xdr:rowOff>
              </from>
              <to>
                <xdr:col>1</xdr:col>
                <xdr:colOff>8743950</xdr:colOff>
                <xdr:row>10</xdr:row>
                <xdr:rowOff>5143500</xdr:rowOff>
              </to>
            </anchor>
          </objectPr>
        </oleObject>
      </mc:Choice>
      <mc:Fallback>
        <oleObject progId="Visio.Drawing.15" shapeId="676970" r:id="rId4"/>
      </mc:Fallback>
    </mc:AlternateContent>
    <mc:AlternateContent xmlns:mc="http://schemas.openxmlformats.org/markup-compatibility/2006">
      <mc:Choice Requires="x14">
        <oleObject progId="Visio.Drawing.15" shapeId="676971" r:id="rId6">
          <objectPr defaultSize="0" r:id="rId7">
            <anchor moveWithCells="1">
              <from>
                <xdr:col>3</xdr:col>
                <xdr:colOff>0</xdr:colOff>
                <xdr:row>10</xdr:row>
                <xdr:rowOff>0</xdr:rowOff>
              </from>
              <to>
                <xdr:col>3</xdr:col>
                <xdr:colOff>8743950</xdr:colOff>
                <xdr:row>10</xdr:row>
                <xdr:rowOff>5143500</xdr:rowOff>
              </to>
            </anchor>
          </objectPr>
        </oleObject>
      </mc:Choice>
      <mc:Fallback>
        <oleObject progId="Visio.Drawing.15" shapeId="676971" r:id="rId6"/>
      </mc:Fallback>
    </mc:AlternateContent>
    <mc:AlternateContent xmlns:mc="http://schemas.openxmlformats.org/markup-compatibility/2006">
      <mc:Choice Requires="x14">
        <oleObject progId="Visio.Drawing.15" shapeId="676972" r:id="rId8">
          <objectPr defaultSize="0" r:id="rId9">
            <anchor moveWithCells="1">
              <from>
                <xdr:col>5</xdr:col>
                <xdr:colOff>0</xdr:colOff>
                <xdr:row>10</xdr:row>
                <xdr:rowOff>0</xdr:rowOff>
              </from>
              <to>
                <xdr:col>5</xdr:col>
                <xdr:colOff>8743950</xdr:colOff>
                <xdr:row>10</xdr:row>
                <xdr:rowOff>5143500</xdr:rowOff>
              </to>
            </anchor>
          </objectPr>
        </oleObject>
      </mc:Choice>
      <mc:Fallback>
        <oleObject progId="Visio.Drawing.15" shapeId="676972" r:id="rId8"/>
      </mc:Fallback>
    </mc:AlternateContent>
    <mc:AlternateContent xmlns:mc="http://schemas.openxmlformats.org/markup-compatibility/2006">
      <mc:Choice Requires="x14">
        <oleObject progId="Visio.Drawing.15" shapeId="676973" r:id="rId10">
          <objectPr defaultSize="0" r:id="rId11">
            <anchor moveWithCells="1">
              <from>
                <xdr:col>1</xdr:col>
                <xdr:colOff>0</xdr:colOff>
                <xdr:row>21</xdr:row>
                <xdr:rowOff>0</xdr:rowOff>
              </from>
              <to>
                <xdr:col>1</xdr:col>
                <xdr:colOff>8743950</xdr:colOff>
                <xdr:row>21</xdr:row>
                <xdr:rowOff>5143500</xdr:rowOff>
              </to>
            </anchor>
          </objectPr>
        </oleObject>
      </mc:Choice>
      <mc:Fallback>
        <oleObject progId="Visio.Drawing.15" shapeId="676973" r:id="rId10"/>
      </mc:Fallback>
    </mc:AlternateContent>
    <mc:AlternateContent xmlns:mc="http://schemas.openxmlformats.org/markup-compatibility/2006">
      <mc:Choice Requires="x14">
        <oleObject progId="Visio.Drawing.15" shapeId="676974" r:id="rId12">
          <objectPr defaultSize="0" r:id="rId13">
            <anchor moveWithCells="1">
              <from>
                <xdr:col>3</xdr:col>
                <xdr:colOff>0</xdr:colOff>
                <xdr:row>21</xdr:row>
                <xdr:rowOff>0</xdr:rowOff>
              </from>
              <to>
                <xdr:col>3</xdr:col>
                <xdr:colOff>8743950</xdr:colOff>
                <xdr:row>21</xdr:row>
                <xdr:rowOff>5143500</xdr:rowOff>
              </to>
            </anchor>
          </objectPr>
        </oleObject>
      </mc:Choice>
      <mc:Fallback>
        <oleObject progId="Visio.Drawing.15" shapeId="676974" r:id="rId12"/>
      </mc:Fallback>
    </mc:AlternateContent>
    <mc:AlternateContent xmlns:mc="http://schemas.openxmlformats.org/markup-compatibility/2006">
      <mc:Choice Requires="x14">
        <oleObject progId="Visio.Drawing.15" shapeId="676975" r:id="rId14">
          <objectPr defaultSize="0" r:id="rId15">
            <anchor moveWithCells="1">
              <from>
                <xdr:col>5</xdr:col>
                <xdr:colOff>38100</xdr:colOff>
                <xdr:row>21</xdr:row>
                <xdr:rowOff>0</xdr:rowOff>
              </from>
              <to>
                <xdr:col>5</xdr:col>
                <xdr:colOff>8782050</xdr:colOff>
                <xdr:row>21</xdr:row>
                <xdr:rowOff>5143500</xdr:rowOff>
              </to>
            </anchor>
          </objectPr>
        </oleObject>
      </mc:Choice>
      <mc:Fallback>
        <oleObject progId="Visio.Drawing.15" shapeId="676975" r:id="rId14"/>
      </mc:Fallback>
    </mc:AlternateContent>
    <mc:AlternateContent xmlns:mc="http://schemas.openxmlformats.org/markup-compatibility/2006">
      <mc:Choice Requires="x14">
        <oleObject progId="Visio.Drawing.15" shapeId="676976" r:id="rId16">
          <objectPr defaultSize="0" r:id="rId17">
            <anchor moveWithCells="1">
              <from>
                <xdr:col>7</xdr:col>
                <xdr:colOff>0</xdr:colOff>
                <xdr:row>21</xdr:row>
                <xdr:rowOff>0</xdr:rowOff>
              </from>
              <to>
                <xdr:col>7</xdr:col>
                <xdr:colOff>8743950</xdr:colOff>
                <xdr:row>21</xdr:row>
                <xdr:rowOff>5143500</xdr:rowOff>
              </to>
            </anchor>
          </objectPr>
        </oleObject>
      </mc:Choice>
      <mc:Fallback>
        <oleObject progId="Visio.Drawing.15" shapeId="676976" r:id="rId16"/>
      </mc:Fallback>
    </mc:AlternateContent>
    <mc:AlternateContent xmlns:mc="http://schemas.openxmlformats.org/markup-compatibility/2006">
      <mc:Choice Requires="x14">
        <oleObject progId="Visio.Drawing.15" shapeId="676977" r:id="rId18">
          <objectPr defaultSize="0" r:id="rId19">
            <anchor moveWithCells="1">
              <from>
                <xdr:col>7</xdr:col>
                <xdr:colOff>0</xdr:colOff>
                <xdr:row>10</xdr:row>
                <xdr:rowOff>0</xdr:rowOff>
              </from>
              <to>
                <xdr:col>7</xdr:col>
                <xdr:colOff>8743950</xdr:colOff>
                <xdr:row>10</xdr:row>
                <xdr:rowOff>5143500</xdr:rowOff>
              </to>
            </anchor>
          </objectPr>
        </oleObject>
      </mc:Choice>
      <mc:Fallback>
        <oleObject progId="Visio.Drawing.15" shapeId="676977" r:id="rId18"/>
      </mc:Fallback>
    </mc:AlternateContent>
  </oleObjec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DE556-8731-4DF1-BF1F-8114B328B59E}">
  <sheetPr codeName="Sheet4"/>
  <dimension ref="A1:BA687"/>
  <sheetViews>
    <sheetView topLeftCell="X1" zoomScaleNormal="100" workbookViewId="0">
      <pane ySplit="11" topLeftCell="A127" activePane="bottomLeft" state="frozen"/>
      <selection activeCell="A93" sqref="A93"/>
      <selection pane="bottomLeft" activeCell="AI146" sqref="AI146"/>
    </sheetView>
  </sheetViews>
  <sheetFormatPr defaultColWidth="9.140625" defaultRowHeight="12.75" x14ac:dyDescent="0.2"/>
  <cols>
    <col min="1" max="1" width="16.140625" style="405" customWidth="1"/>
    <col min="2" max="4" width="15.7109375" style="405" customWidth="1"/>
    <col min="5" max="5" width="10" style="405" customWidth="1"/>
    <col min="6" max="7" width="10.85546875" style="405" customWidth="1"/>
    <col min="8" max="8" width="10.140625" style="405" customWidth="1"/>
    <col min="9" max="20" width="11.85546875" style="405" customWidth="1"/>
    <col min="21" max="21" width="14.28515625" style="405" customWidth="1"/>
    <col min="22" max="23" width="11" style="405" customWidth="1"/>
    <col min="24" max="24" width="12" style="405" customWidth="1"/>
    <col min="25" max="26" width="11.42578125" style="405" customWidth="1"/>
    <col min="27" max="27" width="10.85546875" style="405" customWidth="1"/>
    <col min="28" max="31" width="11.42578125" style="405" customWidth="1"/>
    <col min="32" max="32" width="12.140625" style="405" customWidth="1"/>
    <col min="33" max="33" width="9.42578125" style="405" customWidth="1"/>
    <col min="34" max="34" width="16.140625" style="405" bestFit="1" customWidth="1"/>
    <col min="35" max="35" width="13.140625" style="353" customWidth="1"/>
    <col min="36" max="37" width="9.140625" style="405"/>
    <col min="38" max="38" width="13.5703125" style="405" customWidth="1"/>
    <col min="39" max="40" width="10.5703125" style="405" customWidth="1"/>
    <col min="41" max="41" width="9.28515625" style="405" bestFit="1" customWidth="1"/>
    <col min="42" max="42" width="11.28515625" style="405" bestFit="1" customWidth="1"/>
    <col min="43" max="44" width="9.140625" style="405"/>
    <col min="45" max="46" width="11.28515625" style="405" customWidth="1"/>
    <col min="47" max="47" width="9.140625" style="405"/>
    <col min="48" max="48" width="12.28515625" style="405" customWidth="1"/>
    <col min="49" max="49" width="8.85546875" style="405" customWidth="1"/>
    <col min="50" max="16384" width="9.140625" style="405"/>
  </cols>
  <sheetData>
    <row r="1" spans="2:53" ht="13.5" thickBot="1" x14ac:dyDescent="0.25"/>
    <row r="2" spans="2:53" x14ac:dyDescent="0.2">
      <c r="B2" s="913" t="s">
        <v>553</v>
      </c>
      <c r="C2" s="914"/>
      <c r="D2" s="914"/>
      <c r="E2" s="913" t="s">
        <v>445</v>
      </c>
      <c r="F2" s="914"/>
      <c r="G2" s="915"/>
      <c r="H2" s="714"/>
      <c r="I2" s="716"/>
      <c r="J2" s="714" t="s">
        <v>551</v>
      </c>
      <c r="K2" s="715"/>
      <c r="L2" s="718"/>
      <c r="M2" s="719"/>
      <c r="N2" s="718"/>
      <c r="O2" s="714" t="s">
        <v>552</v>
      </c>
      <c r="P2" s="715"/>
      <c r="Q2" s="913" t="s">
        <v>446</v>
      </c>
      <c r="R2" s="914"/>
      <c r="S2" s="915"/>
      <c r="T2"/>
      <c r="U2"/>
      <c r="V2"/>
      <c r="AI2" s="405"/>
    </row>
    <row r="3" spans="2:53" x14ac:dyDescent="0.2">
      <c r="B3" s="321" t="s">
        <v>447</v>
      </c>
      <c r="C3" s="402">
        <f>Afb</f>
        <v>6.8493150684931503E-2</v>
      </c>
      <c r="D3" s="323" t="s">
        <v>30</v>
      </c>
      <c r="E3" s="324" t="s">
        <v>448</v>
      </c>
      <c r="F3" s="322">
        <f>Acs</f>
        <v>40</v>
      </c>
      <c r="G3" s="323" t="s">
        <v>550</v>
      </c>
      <c r="H3" s="414" t="s">
        <v>464</v>
      </c>
      <c r="I3" s="423">
        <f>gm</f>
        <v>5.9999999999999995E-4</v>
      </c>
      <c r="J3" s="324" t="s">
        <v>577</v>
      </c>
      <c r="K3" s="326"/>
      <c r="L3" s="325">
        <f>Fesr</f>
        <v>318309.88618379069</v>
      </c>
      <c r="M3" s="323" t="s">
        <v>10</v>
      </c>
      <c r="N3" s="324" t="s">
        <v>450</v>
      </c>
      <c r="O3" s="325">
        <f>Fsw/2</f>
        <v>300000</v>
      </c>
      <c r="P3" s="323" t="s">
        <v>10</v>
      </c>
      <c r="Q3" s="326" t="s">
        <v>451</v>
      </c>
      <c r="R3" s="325">
        <f>Am*Afb*AEA</f>
        <v>12973.050203942563</v>
      </c>
      <c r="S3" s="323" t="s">
        <v>30</v>
      </c>
      <c r="T3"/>
      <c r="U3"/>
      <c r="V3"/>
    </row>
    <row r="4" spans="2:53" x14ac:dyDescent="0.2">
      <c r="B4" s="321" t="s">
        <v>583</v>
      </c>
      <c r="C4" s="325">
        <f>Fz1_u</f>
        <v>15.915494309189533</v>
      </c>
      <c r="D4" s="323" t="s">
        <v>10</v>
      </c>
      <c r="E4" s="324" t="s">
        <v>453</v>
      </c>
      <c r="F4" s="330">
        <f>Am</f>
        <v>31.56775549626024</v>
      </c>
      <c r="G4" s="323" t="s">
        <v>30</v>
      </c>
      <c r="H4" s="415"/>
      <c r="I4" s="415"/>
      <c r="J4" s="324" t="s">
        <v>576</v>
      </c>
      <c r="K4" s="326"/>
      <c r="L4" s="325">
        <f>Fp_dominant</f>
        <v>1308.1228199333864</v>
      </c>
      <c r="M4" s="323" t="s">
        <v>10</v>
      </c>
      <c r="N4" s="324" t="s">
        <v>455</v>
      </c>
      <c r="O4" s="400">
        <f>Q*PS_Pole2</f>
        <v>135413.84272720103</v>
      </c>
      <c r="P4" s="323"/>
      <c r="Q4" s="326" t="s">
        <v>456</v>
      </c>
      <c r="R4" s="357">
        <f>AW8/1000</f>
        <v>16.0335</v>
      </c>
      <c r="S4" s="323" t="s">
        <v>3</v>
      </c>
      <c r="T4"/>
      <c r="U4"/>
      <c r="V4"/>
      <c r="AF4" s="630"/>
    </row>
    <row r="5" spans="2:53" x14ac:dyDescent="0.2">
      <c r="B5" s="321" t="s">
        <v>582</v>
      </c>
      <c r="C5" s="330">
        <f>Fp1_u</f>
        <v>0.157579151576134</v>
      </c>
      <c r="D5" s="323" t="s">
        <v>10</v>
      </c>
      <c r="E5" s="324" t="s">
        <v>29</v>
      </c>
      <c r="F5" s="402">
        <f>Q</f>
        <v>0.45137947575733678</v>
      </c>
      <c r="G5" s="323"/>
      <c r="H5" s="415"/>
      <c r="I5" s="415"/>
      <c r="J5" s="324" t="s">
        <v>578</v>
      </c>
      <c r="K5" s="326"/>
      <c r="L5" s="325">
        <f>IF(VIN_nom&gt;Vout, 10000000,Frhp)</f>
        <v>10000000</v>
      </c>
      <c r="M5" s="323" t="s">
        <v>10</v>
      </c>
      <c r="N5" s="324" t="s">
        <v>458</v>
      </c>
      <c r="O5" s="322">
        <f>PS_Pole2^2+0.01</f>
        <v>90000000000.009995</v>
      </c>
      <c r="P5" s="323"/>
      <c r="Q5" s="326" t="s">
        <v>459</v>
      </c>
      <c r="R5" s="330">
        <f>AW9</f>
        <v>-0.35174273122746058</v>
      </c>
      <c r="S5" s="382" t="s">
        <v>519</v>
      </c>
      <c r="T5"/>
      <c r="U5"/>
      <c r="V5"/>
      <c r="AF5" s="630"/>
    </row>
    <row r="6" spans="2:53" x14ac:dyDescent="0.2">
      <c r="B6" s="321" t="s">
        <v>460</v>
      </c>
      <c r="C6" s="322">
        <f>AEA</f>
        <v>5999.9999999999991</v>
      </c>
      <c r="D6" s="323" t="s">
        <v>30</v>
      </c>
      <c r="E6" s="324" t="s">
        <v>486</v>
      </c>
      <c r="F6" s="402">
        <f>mc</f>
        <v>1.9373808219178081</v>
      </c>
      <c r="G6" s="414"/>
      <c r="H6" s="416"/>
      <c r="I6" s="329"/>
      <c r="J6" s="327"/>
      <c r="K6" s="399"/>
      <c r="L6" s="328"/>
      <c r="M6" s="329"/>
      <c r="N6" s="327"/>
      <c r="O6" s="426"/>
      <c r="P6" s="329"/>
      <c r="Q6" s="399" t="s">
        <v>461</v>
      </c>
      <c r="R6" s="328">
        <f>180/Pi</f>
        <v>57.295779513082323</v>
      </c>
      <c r="S6" s="329"/>
      <c r="T6"/>
      <c r="U6"/>
      <c r="V6"/>
      <c r="AF6" s="630"/>
      <c r="AH6" s="628"/>
      <c r="AV6" s="723" t="s">
        <v>50</v>
      </c>
      <c r="AW6" s="723"/>
    </row>
    <row r="7" spans="2:53" ht="13.5" thickBot="1" x14ac:dyDescent="0.25">
      <c r="B7" s="395" t="s">
        <v>581</v>
      </c>
      <c r="C7" s="401">
        <f>Fp2_u</f>
        <v>1579.9437757626504</v>
      </c>
      <c r="D7" s="397" t="s">
        <v>10</v>
      </c>
      <c r="E7" s="396" t="s">
        <v>463</v>
      </c>
      <c r="F7" s="398">
        <f>k</f>
        <v>1.2051935306755401</v>
      </c>
      <c r="G7" s="398"/>
      <c r="H7" s="417"/>
      <c r="I7" s="397"/>
      <c r="J7" s="396"/>
      <c r="K7" s="396"/>
      <c r="L7" s="396"/>
      <c r="M7" s="397"/>
      <c r="N7" s="396"/>
      <c r="O7" s="396"/>
      <c r="P7" s="397"/>
      <c r="Q7" s="396" t="s">
        <v>1197</v>
      </c>
      <c r="R7" s="396">
        <f>20*LOG(Adc)</f>
        <v>82.260841975034808</v>
      </c>
      <c r="S7" s="397" t="s">
        <v>856</v>
      </c>
      <c r="T7"/>
      <c r="U7"/>
      <c r="V7"/>
      <c r="AF7" s="630"/>
      <c r="AV7" s="405" t="s">
        <v>478</v>
      </c>
      <c r="AX7" s="405" t="s">
        <v>920</v>
      </c>
    </row>
    <row r="8" spans="2:53" x14ac:dyDescent="0.2">
      <c r="B8" s="403"/>
      <c r="C8" s="403"/>
      <c r="D8" s="403"/>
      <c r="E8" s="404"/>
      <c r="I8" s="406"/>
      <c r="J8" s="406"/>
      <c r="K8" s="406"/>
      <c r="L8" s="406"/>
      <c r="M8" s="406"/>
      <c r="N8" s="406"/>
      <c r="O8" s="406"/>
      <c r="P8" s="406"/>
      <c r="Q8" s="406"/>
      <c r="R8" s="406"/>
      <c r="S8" s="406"/>
      <c r="T8" s="406"/>
      <c r="AV8" s="405" t="s">
        <v>47</v>
      </c>
      <c r="AW8" s="405">
        <f>SUM(AV12:AV613)</f>
        <v>16033.5</v>
      </c>
      <c r="AX8" s="405" t="s">
        <v>47</v>
      </c>
      <c r="AY8" s="405">
        <f>SUM(AX12:AX613)</f>
        <v>93325</v>
      </c>
    </row>
    <row r="9" spans="2:53" ht="13.5" thickBot="1" x14ac:dyDescent="0.25">
      <c r="AV9" s="405" t="s">
        <v>48</v>
      </c>
      <c r="AW9" s="353">
        <f>SUM(AW13:AW613)</f>
        <v>-0.35174273122746058</v>
      </c>
      <c r="AX9" s="405" t="s">
        <v>48</v>
      </c>
      <c r="AY9" s="353">
        <f>SUM(AY13:AY613)</f>
        <v>-89.039779251092654</v>
      </c>
      <c r="BA9" s="353"/>
    </row>
    <row r="10" spans="2:53" ht="15" x14ac:dyDescent="0.25">
      <c r="B10" s="916" t="s">
        <v>591</v>
      </c>
      <c r="C10" s="919" t="s">
        <v>465</v>
      </c>
      <c r="D10" s="920"/>
      <c r="E10" s="920"/>
      <c r="F10" s="920"/>
      <c r="G10" s="920"/>
      <c r="H10" s="920"/>
      <c r="I10" s="920"/>
      <c r="J10" s="920"/>
      <c r="K10" s="920"/>
      <c r="L10" s="920"/>
      <c r="M10" s="920"/>
      <c r="N10" s="920"/>
      <c r="O10" s="920"/>
      <c r="P10" s="920"/>
      <c r="Q10" s="920"/>
      <c r="R10" s="921"/>
      <c r="S10" s="919" t="s">
        <v>466</v>
      </c>
      <c r="T10" s="920"/>
      <c r="U10" s="920"/>
      <c r="V10" s="920"/>
      <c r="W10" s="920"/>
      <c r="X10" s="920"/>
      <c r="Y10" s="920"/>
      <c r="Z10" s="920"/>
      <c r="AA10" s="920"/>
      <c r="AB10" s="920"/>
      <c r="AC10" s="920"/>
      <c r="AD10" s="920"/>
      <c r="AE10" s="921"/>
      <c r="AF10" s="720"/>
      <c r="AG10" s="903" t="s">
        <v>468</v>
      </c>
      <c r="AH10" s="904"/>
      <c r="AI10" s="905"/>
      <c r="AL10" s="906" t="s">
        <v>469</v>
      </c>
      <c r="AM10" s="907"/>
      <c r="AO10" s="906" t="s">
        <v>470</v>
      </c>
      <c r="AP10" s="907"/>
    </row>
    <row r="11" spans="2:53" ht="13.15" customHeight="1" x14ac:dyDescent="0.2">
      <c r="B11" s="917"/>
      <c r="D11" s="908" t="s">
        <v>576</v>
      </c>
      <c r="E11" s="909"/>
      <c r="F11" s="910"/>
      <c r="G11" s="908" t="s">
        <v>577</v>
      </c>
      <c r="H11" s="909"/>
      <c r="I11" s="910"/>
      <c r="J11" s="908" t="s">
        <v>578</v>
      </c>
      <c r="K11" s="909"/>
      <c r="L11" s="910"/>
      <c r="M11" s="908" t="s">
        <v>467</v>
      </c>
      <c r="N11" s="909"/>
      <c r="O11" s="910"/>
      <c r="P11" s="908" t="s">
        <v>49</v>
      </c>
      <c r="Q11" s="909"/>
      <c r="R11" s="910"/>
      <c r="S11" s="724"/>
      <c r="T11" s="909" t="s">
        <v>454</v>
      </c>
      <c r="U11" s="909"/>
      <c r="V11" s="911"/>
      <c r="W11" s="912" t="s">
        <v>449</v>
      </c>
      <c r="X11" s="909"/>
      <c r="Y11" s="910"/>
      <c r="Z11" s="908" t="s">
        <v>457</v>
      </c>
      <c r="AA11" s="909"/>
      <c r="AB11" s="910"/>
      <c r="AC11" s="908" t="s">
        <v>49</v>
      </c>
      <c r="AD11" s="909"/>
      <c r="AE11" s="910"/>
      <c r="AF11" s="717"/>
      <c r="AG11" s="326"/>
      <c r="AH11" s="322"/>
      <c r="AI11" s="358"/>
      <c r="AL11" s="324"/>
      <c r="AM11" s="323"/>
      <c r="AO11" s="324"/>
      <c r="AP11" s="323"/>
    </row>
    <row r="12" spans="2:53" ht="13.5" thickBot="1" x14ac:dyDescent="0.25">
      <c r="B12" s="918"/>
      <c r="C12" s="725" t="s">
        <v>1198</v>
      </c>
      <c r="D12" s="331" t="s">
        <v>1199</v>
      </c>
      <c r="E12" s="332" t="s">
        <v>471</v>
      </c>
      <c r="F12" s="332" t="s">
        <v>472</v>
      </c>
      <c r="G12" s="331" t="s">
        <v>1199</v>
      </c>
      <c r="H12" s="332" t="s">
        <v>471</v>
      </c>
      <c r="I12" s="332" t="s">
        <v>472</v>
      </c>
      <c r="J12" s="331" t="s">
        <v>1199</v>
      </c>
      <c r="K12" s="332" t="s">
        <v>471</v>
      </c>
      <c r="L12" s="332" t="s">
        <v>472</v>
      </c>
      <c r="M12" s="331" t="s">
        <v>1199</v>
      </c>
      <c r="N12" s="332" t="s">
        <v>471</v>
      </c>
      <c r="O12" s="332" t="s">
        <v>472</v>
      </c>
      <c r="P12" s="331" t="s">
        <v>1199</v>
      </c>
      <c r="Q12" s="332" t="s">
        <v>471</v>
      </c>
      <c r="R12" s="333" t="s">
        <v>472</v>
      </c>
      <c r="S12" s="725" t="s">
        <v>1200</v>
      </c>
      <c r="T12" s="331" t="s">
        <v>1199</v>
      </c>
      <c r="U12" s="332" t="s">
        <v>471</v>
      </c>
      <c r="V12" s="332" t="s">
        <v>472</v>
      </c>
      <c r="W12" s="331" t="s">
        <v>1199</v>
      </c>
      <c r="X12" s="332" t="s">
        <v>471</v>
      </c>
      <c r="Y12" s="332" t="s">
        <v>472</v>
      </c>
      <c r="Z12" s="331" t="s">
        <v>1199</v>
      </c>
      <c r="AA12" s="332" t="s">
        <v>471</v>
      </c>
      <c r="AB12" s="332" t="s">
        <v>472</v>
      </c>
      <c r="AC12" s="331" t="s">
        <v>1199</v>
      </c>
      <c r="AD12" s="332" t="s">
        <v>471</v>
      </c>
      <c r="AE12" s="332" t="s">
        <v>472</v>
      </c>
      <c r="AF12" s="331" t="s">
        <v>1199</v>
      </c>
      <c r="AG12" s="726" t="s">
        <v>474</v>
      </c>
      <c r="AH12" s="332" t="s">
        <v>984</v>
      </c>
      <c r="AI12" s="359" t="s">
        <v>473</v>
      </c>
      <c r="AL12" s="334" t="s">
        <v>474</v>
      </c>
      <c r="AM12" s="335" t="s">
        <v>475</v>
      </c>
      <c r="AN12" s="727"/>
      <c r="AO12" s="334" t="s">
        <v>474</v>
      </c>
      <c r="AP12" s="335" t="s">
        <v>475</v>
      </c>
      <c r="AS12" s="727"/>
      <c r="AT12" s="727"/>
    </row>
    <row r="13" spans="2:53" ht="13.5" thickBot="1" x14ac:dyDescent="0.25">
      <c r="B13" s="336">
        <v>1</v>
      </c>
      <c r="C13" s="728" t="str">
        <f t="shared" ref="C13:C76" si="0">COMPLEX(Am*Afb,0)</f>
        <v>2.16217503399043</v>
      </c>
      <c r="D13" s="728" t="str">
        <f t="shared" ref="D13:D76" si="1">IMSUM(COMPLEX(1,0),IMDIV(COMPLEX(0,2*PI()*B13),COMPLEX(2*PI()*PS_Pole1,0)))</f>
        <v>1+0.000764454212373517i</v>
      </c>
      <c r="E13" s="337">
        <f>IMABS(D13)</f>
        <v>1.0000002921950788</v>
      </c>
      <c r="F13" s="338">
        <f>IMARGUMENT(D13)</f>
        <v>7.64454063460375E-4</v>
      </c>
      <c r="G13" s="338" t="str">
        <f t="shared" ref="G13:G76" si="2">IMSUM(COMPLEX(1,0),IMDIV(COMPLEX(0,2*PI()*B13),COMPLEX(2*PI()*PS_Zero1,0)))</f>
        <v>1+0.0000031415926535898i</v>
      </c>
      <c r="H13" s="337">
        <f>IMABS(G13)</f>
        <v>1.0000000000049347</v>
      </c>
      <c r="I13" s="338">
        <f>IMARGUMENT(G13)</f>
        <v>3.1415926535794646E-6</v>
      </c>
      <c r="J13" s="340">
        <f t="shared" ref="J13:J76" si="3">IF(VIN_nom&gt;Vout, 1,IMSUB(COMPLEX(1,0),IMDIV(COMPLEX(0,2*PI()*B13),COMPLEX(2*PI()*PS_RHPZ,0))))</f>
        <v>1</v>
      </c>
      <c r="K13" s="729">
        <f>IMABS(J13)</f>
        <v>1</v>
      </c>
      <c r="L13" s="730">
        <f>IMARGUMENT(J13)</f>
        <v>0</v>
      </c>
      <c r="M13" s="731" t="str">
        <f t="shared" ref="M13:M76" si="4">IMSUM(COMPLEX(1,0),IMDIV(COMPLEX(0,2*PI()*B13),COMPLEX(Q*(2*PI()*PS_Pole2/2),0)),IMDIV(IMPOWER(COMPLEX(0,2*PI()*B13),2),IMPOWER(COMPLEX(2*PI()*PS_Pole2/2,0),2)))</f>
        <v>0.999999999955556+0.0000147695387688622i</v>
      </c>
      <c r="N13" s="729">
        <f>IMABS(M13)</f>
        <v>1.0000000000646256</v>
      </c>
      <c r="O13" s="730">
        <f>IMARGUMENT(M13)</f>
        <v>1.4769538768444677E-5</v>
      </c>
      <c r="P13" s="732" t="str">
        <f>(IMDIV(IMPRODUCT(C13,G13,J13),IMPRODUCT(D13,M13)))</f>
        <v>2.16217375094231-0.00167802448657538i</v>
      </c>
      <c r="Q13" s="337">
        <f>IMABS(P13)</f>
        <v>2.1621744020846503</v>
      </c>
      <c r="R13" s="730">
        <f>IMARGUMENT(P13)</f>
        <v>-7.7608200957524174E-4</v>
      </c>
      <c r="S13" s="731" t="str">
        <f t="shared" ref="S13:S76" si="5">COMPLEX(AEA,0)</f>
        <v>6000</v>
      </c>
      <c r="T13" s="733" t="str">
        <f t="shared" ref="T13:T76" si="6">IMSUM(COMPLEX(1,0),IMDIV(COMPLEX(0,2*PI()*B13),COMPLEX(2*PI()*EA_Pole1,0)))</f>
        <v>1+6.34601716025139i</v>
      </c>
      <c r="U13" s="734">
        <f>IMABS(T13)</f>
        <v>6.424323606279895</v>
      </c>
      <c r="V13" s="735">
        <f>IMARGUMENT(T13)</f>
        <v>1.4145023736411506</v>
      </c>
      <c r="W13" s="340" t="str">
        <f t="shared" ref="W13:W76" si="7">IMSUM(COMPLEX(1,0),IMDIV(COMPLEX(0,2*PI()*B13),COMPLEX(2*PI()*EA_Zero1,0)))</f>
        <v>1+0.0628318530717959i</v>
      </c>
      <c r="X13" s="734">
        <f>IMABS(W13)</f>
        <v>1.0019719765344917</v>
      </c>
      <c r="Y13" s="735">
        <f>IMARGUMENT(W13)</f>
        <v>6.2749364969321514E-2</v>
      </c>
      <c r="Z13" s="733" t="str">
        <f t="shared" ref="Z13:Z76" si="8">IMSUM(COMPLEX(1,0),IMDIV(COMPLEX(0,2*PI()*B13),COMPLEX(2*PI()*EA_Pole2,0)))</f>
        <v>1+0.000632933915333344i</v>
      </c>
      <c r="AA13" s="734">
        <f>IMABS(Z13)</f>
        <v>1.0000002003026505</v>
      </c>
      <c r="AB13" s="735">
        <f>IMARGUMENT(Z13)</f>
        <v>6.3293383081446195E-4</v>
      </c>
      <c r="AC13" s="732" t="str">
        <f>IMPRODUCT(S13,IMDIV(W13,IMPRODUCT(T13,Z13)))</f>
        <v>202.765582751726-913.560502215312i</v>
      </c>
      <c r="AD13" s="337">
        <f>IMABS(AC13)</f>
        <v>935.79200293470149</v>
      </c>
      <c r="AE13" s="730">
        <f>IMARGUMENT(AC13)</f>
        <v>-1.3523859425026448</v>
      </c>
      <c r="AF13" s="736" t="str">
        <f t="shared" ref="AF13:AF76" si="9">IMPRODUCT(P13,AC13)</f>
        <v>436.881443727617-1975.61678340051i</v>
      </c>
      <c r="AG13" s="337">
        <f>20*LOG10(IMABS(AF13))</f>
        <v>66.121401018675698</v>
      </c>
      <c r="AH13" s="730">
        <f>(180/PI())*IMARGUMENT(AF13)</f>
        <v>-77.530473001928243</v>
      </c>
      <c r="AI13" s="360">
        <f t="shared" ref="AI13:AI76" si="10">IF(AH13&gt;0,AH13-180,AH13+180)</f>
        <v>102.46952699807176</v>
      </c>
      <c r="AL13" s="337">
        <f t="shared" ref="AL13:AL76" si="11">20*LOG10(IMABS(AC13))</f>
        <v>59.423586589806057</v>
      </c>
      <c r="AM13" s="730">
        <f t="shared" ref="AM13:AM76" si="12">(180/PI())*IMARGUMENT(AC13)</f>
        <v>-77.486006778223569</v>
      </c>
      <c r="AN13" s="351"/>
      <c r="AO13" s="337">
        <f t="shared" ref="AO13:AO76" si="13">20*LOG10(IMABS(IMPRODUCT(COMPLEX(Am/Afb,0),P13)))</f>
        <v>59.969745627609086</v>
      </c>
      <c r="AP13" s="730">
        <f t="shared" ref="AP13:AP76" si="14">180/PI()*IMARGUMENT(IMPRODUCT(COMPLEX(Am/Afb,0),P13))</f>
        <v>-4.4466223704692887E-2</v>
      </c>
      <c r="AS13" s="351"/>
      <c r="AT13" s="351"/>
      <c r="AV13" s="405">
        <f t="shared" ref="AV13:AV76" si="15">SUM((AG14&lt;0)*(AG13&gt;0))*B13</f>
        <v>0</v>
      </c>
      <c r="AW13" s="405">
        <f t="shared" ref="AW13:AW76" si="16">IF(AV13&gt;0,AI11,0)</f>
        <v>0</v>
      </c>
      <c r="AX13" s="405">
        <f t="shared" ref="AX13:AX76" si="17">SUM((AL14&lt;0)*(AL13&gt;0))*B13</f>
        <v>0</v>
      </c>
      <c r="AY13" s="405">
        <f t="shared" ref="AY13:AY76" si="18">IF(AX13&gt;0,AM13,0)</f>
        <v>0</v>
      </c>
    </row>
    <row r="14" spans="2:53" ht="13.5" thickBot="1" x14ac:dyDescent="0.25">
      <c r="B14" s="345">
        <v>1.0965</v>
      </c>
      <c r="C14" s="728" t="str">
        <f t="shared" si="0"/>
        <v>2.16217503399043</v>
      </c>
      <c r="D14" s="728" t="str">
        <f t="shared" si="1"/>
        <v>1+0.000838224043867561i</v>
      </c>
      <c r="E14" s="337">
        <f>IMABS(D14)</f>
        <v>1.0000003513097122</v>
      </c>
      <c r="F14" s="338">
        <f>IMARGUMENT(D14)</f>
        <v>8.3822384755011085E-4</v>
      </c>
      <c r="G14" s="338" t="str">
        <f t="shared" si="2"/>
        <v>1+3.44475634466121E-06i</v>
      </c>
      <c r="H14" s="337">
        <f>IMABS(G14)</f>
        <v>1.000000000005933</v>
      </c>
      <c r="I14" s="338">
        <f>IMARGUMENT(G14)</f>
        <v>3.4447563446475847E-6</v>
      </c>
      <c r="J14" s="340">
        <f t="shared" si="3"/>
        <v>1</v>
      </c>
      <c r="K14" s="338">
        <f>IMABS(J14)</f>
        <v>1</v>
      </c>
      <c r="L14" s="339">
        <f>IMARGUMENT(J14)</f>
        <v>0</v>
      </c>
      <c r="M14" s="731" t="str">
        <f t="shared" si="4"/>
        <v>0.999999999946564+0.0000161947992600574i</v>
      </c>
      <c r="N14" s="338">
        <f>IMABS(M14)</f>
        <v>1.0000000000776996</v>
      </c>
      <c r="O14" s="339">
        <f>IMARGUMENT(M14)</f>
        <v>1.6194799259506975E-5</v>
      </c>
      <c r="P14" s="732" t="str">
        <f t="shared" ref="P14:P77" si="19">(IMDIV(IMPRODUCT(C14,G14,J14),IMPRODUCT(D14,M14)))</f>
        <v>2.16217349136614-0.00183995363194626i</v>
      </c>
      <c r="Q14" s="337">
        <f>IMABS(P14)</f>
        <v>2.1621742742424375</v>
      </c>
      <c r="R14" s="339">
        <f>IMARGUMENT(P14)</f>
        <v>-8.5097389046497073E-4</v>
      </c>
      <c r="S14" s="731" t="str">
        <f t="shared" si="5"/>
        <v>6000</v>
      </c>
      <c r="T14" s="337" t="str">
        <f t="shared" si="6"/>
        <v>1+6.95840781621565i</v>
      </c>
      <c r="U14" s="346">
        <f>IMABS(T14)</f>
        <v>7.0298961113782505</v>
      </c>
      <c r="V14" s="347">
        <f>IMARGUMENT(T14)</f>
        <v>1.4280625565931209</v>
      </c>
      <c r="W14" s="340" t="str">
        <f t="shared" si="7"/>
        <v>1+0.0688951268932242i</v>
      </c>
      <c r="X14" s="337">
        <f>IMABS(W14)</f>
        <v>1.0023704597151861</v>
      </c>
      <c r="Y14" s="339">
        <f>IMARGUMENT(W14)</f>
        <v>6.8786431823268185E-2</v>
      </c>
      <c r="Z14" s="337" t="str">
        <f t="shared" si="8"/>
        <v>1+0.000694012038163012i</v>
      </c>
      <c r="AA14" s="346">
        <f>IMABS(Z14)</f>
        <v>1.0000002408263255</v>
      </c>
      <c r="AB14" s="347">
        <f>IMARGUMENT(Z14)</f>
        <v>6.9401192673878469E-4</v>
      </c>
      <c r="AC14" s="732" t="str">
        <f>IMPRODUCT(S14,IMDIV(W14,IMPRODUCT(T14,Z14)))</f>
        <v>179.03298308507-836.578016824602i</v>
      </c>
      <c r="AD14" s="337">
        <f>IMABS(AC14)</f>
        <v>855.52065274107963</v>
      </c>
      <c r="AE14" s="339">
        <f>IMARGUMENT(AC14)</f>
        <v>-1.3599701366965911</v>
      </c>
      <c r="AF14" s="736" t="str">
        <f t="shared" si="9"/>
        <v>385.561105346278-1809.15622382528i</v>
      </c>
      <c r="AG14" s="337">
        <f>20*LOG10(IMABS(AF14))</f>
        <v>65.34242387754837</v>
      </c>
      <c r="AH14" s="730">
        <f>(180/PI())*IMARGUMENT(AF14)</f>
        <v>-77.9693063089438</v>
      </c>
      <c r="AI14" s="360">
        <f t="shared" si="10"/>
        <v>102.0306936910562</v>
      </c>
      <c r="AL14" s="337">
        <f t="shared" si="11"/>
        <v>58.644609962246612</v>
      </c>
      <c r="AM14" s="730">
        <f t="shared" si="12"/>
        <v>-77.920549096544306</v>
      </c>
      <c r="AN14" s="351"/>
      <c r="AO14" s="337">
        <f t="shared" si="13"/>
        <v>59.969745114041181</v>
      </c>
      <c r="AP14" s="730">
        <f t="shared" si="14"/>
        <v>-4.8757212399470853E-2</v>
      </c>
      <c r="AS14" s="351"/>
      <c r="AT14" s="351"/>
      <c r="AV14" s="405">
        <f t="shared" si="15"/>
        <v>0</v>
      </c>
      <c r="AW14" s="405">
        <f t="shared" si="16"/>
        <v>0</v>
      </c>
      <c r="AX14" s="405">
        <f t="shared" si="17"/>
        <v>0</v>
      </c>
      <c r="AY14" s="405">
        <f t="shared" si="18"/>
        <v>0</v>
      </c>
    </row>
    <row r="15" spans="2:53" ht="13.5" thickBot="1" x14ac:dyDescent="0.25">
      <c r="B15" s="345">
        <v>1.2022999999999999</v>
      </c>
      <c r="C15" s="728" t="str">
        <f t="shared" si="0"/>
        <v>2.16217503399043</v>
      </c>
      <c r="D15" s="728" t="str">
        <f t="shared" si="1"/>
        <v>1+0.000919103299536679i</v>
      </c>
      <c r="E15" s="337">
        <f>IMABS(D15)</f>
        <v>1.0000004223753485</v>
      </c>
      <c r="F15" s="338">
        <f>IMARGUMENT(D15)</f>
        <v>9.1910304073237125E-4</v>
      </c>
      <c r="G15" s="338" t="str">
        <f t="shared" si="2"/>
        <v>1+3.77713684741101E-06i</v>
      </c>
      <c r="H15" s="337">
        <f>IMABS(G15)</f>
        <v>1.0000000000071334</v>
      </c>
      <c r="I15" s="338">
        <f>IMARGUMENT(G15)</f>
        <v>3.7771368473930476E-6</v>
      </c>
      <c r="J15" s="340">
        <f t="shared" si="3"/>
        <v>1</v>
      </c>
      <c r="K15" s="338">
        <f>IMABS(J15)</f>
        <v>1</v>
      </c>
      <c r="L15" s="339">
        <f>IMARGUMENT(J15)</f>
        <v>0</v>
      </c>
      <c r="M15" s="731" t="str">
        <f t="shared" si="4"/>
        <v>0.999999999935754+0.000017757416461803i</v>
      </c>
      <c r="N15" s="338">
        <f>IMABS(M15)</f>
        <v>1.0000000000934168</v>
      </c>
      <c r="O15" s="339">
        <f>IMARGUMENT(M15)</f>
        <v>1.7757416461077388E-5</v>
      </c>
      <c r="P15" s="732" t="str">
        <f t="shared" si="19"/>
        <v>2.16217317931241-0.00201748831482106i</v>
      </c>
      <c r="Q15" s="337">
        <f>IMABS(P15)</f>
        <v>2.1621741205548259</v>
      </c>
      <c r="R15" s="339">
        <f>IMARGUMENT(P15)</f>
        <v>-9.3308332034605168E-4</v>
      </c>
      <c r="S15" s="731" t="str">
        <f t="shared" si="5"/>
        <v>6000</v>
      </c>
      <c r="T15" s="337" t="str">
        <f t="shared" si="6"/>
        <v>1+7.62981643177024i</v>
      </c>
      <c r="U15" s="346">
        <f>IMABS(T15)</f>
        <v>7.6950697711269092</v>
      </c>
      <c r="V15" s="347">
        <f>IMARGUMENT(T15)</f>
        <v>1.4404744086897907</v>
      </c>
      <c r="W15" s="340" t="str">
        <f t="shared" si="7"/>
        <v>1+0.0755427369482202i</v>
      </c>
      <c r="X15" s="337">
        <f>IMABS(W15)</f>
        <v>1.002849293316612</v>
      </c>
      <c r="Y15" s="339">
        <f>IMARGUMENT(W15)</f>
        <v>7.5399526942825895E-2</v>
      </c>
      <c r="Z15" s="337" t="str">
        <f t="shared" si="8"/>
        <v>1+0.000760976446405279i</v>
      </c>
      <c r="AA15" s="346">
        <f>IMABS(Z15)</f>
        <v>1.0000002895425342</v>
      </c>
      <c r="AB15" s="347">
        <f>IMARGUMENT(Z15)</f>
        <v>7.6097629951527631E-4</v>
      </c>
      <c r="AC15" s="732" t="str">
        <f>IMPRODUCT(S15,IMDIV(W15,IMPRODUCT(T15,Z15)))</f>
        <v>159.147336267863-765.574658148012i</v>
      </c>
      <c r="AD15" s="337">
        <f>IMABS(AC15)</f>
        <v>781.9414503910134</v>
      </c>
      <c r="AE15" s="339">
        <f>IMARGUMENT(AC15)</f>
        <v>-1.3658358580464807</v>
      </c>
      <c r="AF15" s="736" t="str">
        <f t="shared" si="9"/>
        <v>342.55956411045-1655.62607050015i</v>
      </c>
      <c r="AG15" s="337">
        <f>20*LOG10(IMABS(AF15))</f>
        <v>64.561298008105666</v>
      </c>
      <c r="AH15" s="730">
        <f>(180/PI())*IMARGUMENT(AF15)</f>
        <v>-78.310091909882615</v>
      </c>
      <c r="AI15" s="360">
        <f t="shared" si="10"/>
        <v>101.68990809011738</v>
      </c>
      <c r="AL15" s="337">
        <f t="shared" si="11"/>
        <v>57.863484710198058</v>
      </c>
      <c r="AM15" s="730">
        <f t="shared" si="12"/>
        <v>-78.256630173692756</v>
      </c>
      <c r="AN15" s="351"/>
      <c r="AO15" s="337">
        <f t="shared" si="13"/>
        <v>59.96974449664706</v>
      </c>
      <c r="AP15" s="730">
        <f t="shared" si="14"/>
        <v>-5.3461736189882092E-2</v>
      </c>
      <c r="AS15" s="351"/>
      <c r="AT15" s="351"/>
      <c r="AV15" s="405">
        <f t="shared" si="15"/>
        <v>0</v>
      </c>
      <c r="AW15" s="405">
        <f t="shared" si="16"/>
        <v>0</v>
      </c>
      <c r="AX15" s="405">
        <f t="shared" si="17"/>
        <v>0</v>
      </c>
      <c r="AY15" s="405">
        <f t="shared" si="18"/>
        <v>0</v>
      </c>
    </row>
    <row r="16" spans="2:53" ht="12" customHeight="1" thickBot="1" x14ac:dyDescent="0.25">
      <c r="B16" s="345">
        <v>1.3183</v>
      </c>
      <c r="C16" s="728" t="str">
        <f t="shared" si="0"/>
        <v>2.16217503399043</v>
      </c>
      <c r="D16" s="728" t="str">
        <f t="shared" si="1"/>
        <v>1+0.00100777998817201i</v>
      </c>
      <c r="E16" s="337">
        <f>IMABS(D16)</f>
        <v>1.0000005078101233</v>
      </c>
      <c r="F16" s="338">
        <f>IMARGUMENT(D16)</f>
        <v>1.0077796469982112E-3</v>
      </c>
      <c r="G16" s="338" t="str">
        <f t="shared" si="2"/>
        <v>1+4.14156159522742E-06i</v>
      </c>
      <c r="H16" s="337">
        <f>IMABS(G16)</f>
        <v>1.0000000000085763</v>
      </c>
      <c r="I16" s="338">
        <f>IMARGUMENT(G16)</f>
        <v>4.1415615952037402E-6</v>
      </c>
      <c r="J16" s="340">
        <f t="shared" si="3"/>
        <v>1</v>
      </c>
      <c r="K16" s="338">
        <f>IMABS(J16)</f>
        <v>1</v>
      </c>
      <c r="L16" s="339">
        <f>IMARGUMENT(J16)</f>
        <v>0</v>
      </c>
      <c r="M16" s="731" t="str">
        <f t="shared" si="4"/>
        <v>0.999999999922759+0.000019470682958991i</v>
      </c>
      <c r="N16" s="338">
        <f>IMABS(M16)</f>
        <v>1.0000000001123128</v>
      </c>
      <c r="O16" s="339">
        <f>IMARGUMENT(M16)</f>
        <v>1.947068295803444E-5</v>
      </c>
      <c r="P16" s="732" t="str">
        <f t="shared" si="19"/>
        <v>2.16217280416296-0.00221213872650418i</v>
      </c>
      <c r="Q16" s="337">
        <f>IMABS(P16)</f>
        <v>2.1621739357923229</v>
      </c>
      <c r="R16" s="339">
        <f>IMARGUMENT(P16)</f>
        <v>-1.0231087683610441E-3</v>
      </c>
      <c r="S16" s="731" t="str">
        <f t="shared" si="5"/>
        <v>6000</v>
      </c>
      <c r="T16" s="337" t="str">
        <f t="shared" si="6"/>
        <v>1+8.3659544223594i</v>
      </c>
      <c r="U16" s="346">
        <f>IMABS(T16)</f>
        <v>8.4255084948621821</v>
      </c>
      <c r="V16" s="347">
        <f>IMARGUMENT(T16)</f>
        <v>1.4518286960193363</v>
      </c>
      <c r="W16" s="340" t="str">
        <f t="shared" si="7"/>
        <v>1+0.0828312319045485i</v>
      </c>
      <c r="X16" s="337">
        <f>IMABS(W16)</f>
        <v>1.0034246424016231</v>
      </c>
      <c r="Y16" s="339">
        <f>IMARGUMENT(W16)</f>
        <v>8.2642572548559362E-2</v>
      </c>
      <c r="Z16" s="337" t="str">
        <f t="shared" si="8"/>
        <v>1+0.000834396780583947i</v>
      </c>
      <c r="AA16" s="346">
        <f>IMABS(Z16)</f>
        <v>1.0000003481089332</v>
      </c>
      <c r="AB16" s="347">
        <f>IMARGUMENT(Z16)</f>
        <v>8.3439658694334543E-4</v>
      </c>
      <c r="AC16" s="732" t="str">
        <f>IMPRODUCT(S16,IMDIV(W16,IMPRODUCT(T16,Z16)))</f>
        <v>142.504765443745-700.207704453384i</v>
      </c>
      <c r="AD16" s="337">
        <f>IMABS(AC16)</f>
        <v>714.5617101063101</v>
      </c>
      <c r="AE16" s="339">
        <f>IMARGUMENT(AC16)</f>
        <v>-1.3700205200577189</v>
      </c>
      <c r="AF16" s="736" t="str">
        <f t="shared" si="9"/>
        <v>306.570971726469-1514.28529614483i</v>
      </c>
      <c r="AG16" s="337">
        <f>20*LOG10(IMABS(AF16))</f>
        <v>63.778607370811557</v>
      </c>
      <c r="AH16" s="730">
        <f>(180/PI())*IMARGUMENT(AF16)</f>
        <v>-78.55501346003534</v>
      </c>
      <c r="AI16" s="360">
        <f t="shared" si="10"/>
        <v>101.44498653996466</v>
      </c>
      <c r="AL16" s="337">
        <f t="shared" si="11"/>
        <v>57.080794815132222</v>
      </c>
      <c r="AM16" s="730">
        <f t="shared" si="12"/>
        <v>-78.496393645625446</v>
      </c>
      <c r="AN16" s="351"/>
      <c r="AO16" s="337">
        <f t="shared" si="13"/>
        <v>59.969743754418786</v>
      </c>
      <c r="AP16" s="730">
        <f t="shared" si="14"/>
        <v>-5.8619814409915531E-2</v>
      </c>
      <c r="AS16" s="351"/>
      <c r="AT16" s="351"/>
      <c r="AV16" s="405">
        <f t="shared" si="15"/>
        <v>0</v>
      </c>
      <c r="AW16" s="405">
        <f t="shared" si="16"/>
        <v>0</v>
      </c>
      <c r="AX16" s="405">
        <f t="shared" si="17"/>
        <v>0</v>
      </c>
      <c r="AY16" s="405">
        <f t="shared" si="18"/>
        <v>0</v>
      </c>
    </row>
    <row r="17" spans="2:51" ht="13.5" thickBot="1" x14ac:dyDescent="0.25">
      <c r="B17" s="345">
        <v>1.4454</v>
      </c>
      <c r="C17" s="728" t="str">
        <f t="shared" si="0"/>
        <v>2.16217503399043</v>
      </c>
      <c r="D17" s="728" t="str">
        <f t="shared" si="1"/>
        <v>1+0.00110494211856468i</v>
      </c>
      <c r="E17" s="337">
        <f t="shared" ref="E17:E80" si="20">IMABS(D17)</f>
        <v>1.0000006104483563</v>
      </c>
      <c r="F17" s="338">
        <f t="shared" ref="F17:F80" si="21">IMARGUMENT(D17)</f>
        <v>1.1049416688914721E-3</v>
      </c>
      <c r="G17" s="338" t="str">
        <f t="shared" si="2"/>
        <v>1+4.54085802149868E-06i</v>
      </c>
      <c r="H17" s="337">
        <f t="shared" ref="H17:H80" si="22">IMABS(G17)</f>
        <v>1.0000000000103095</v>
      </c>
      <c r="I17" s="338">
        <f t="shared" ref="I17:I80" si="23">IMARGUMENT(G17)</f>
        <v>4.54085802146747E-6</v>
      </c>
      <c r="J17" s="340">
        <f t="shared" si="3"/>
        <v>1</v>
      </c>
      <c r="K17" s="338">
        <f t="shared" ref="K17:K80" si="24">IMABS(J17)</f>
        <v>1</v>
      </c>
      <c r="L17" s="339">
        <f t="shared" ref="L17:L80" si="25">IMARGUMENT(J17)</f>
        <v>0</v>
      </c>
      <c r="M17" s="731" t="str">
        <f t="shared" si="4"/>
        <v>0.999999999907147+0.0000213478913365134i</v>
      </c>
      <c r="N17" s="338">
        <f t="shared" ref="N17:N80" si="26">IMABS(M17)</f>
        <v>1.0000000001350133</v>
      </c>
      <c r="O17" s="339">
        <f t="shared" ref="O17:O80" si="27">IMARGUMENT(M17)</f>
        <v>2.134789133525264E-5</v>
      </c>
      <c r="P17" s="732" t="str">
        <f t="shared" si="19"/>
        <v>2.16217235347217-0.0024254150487678i</v>
      </c>
      <c r="Q17" s="337">
        <f t="shared" ref="Q17:Q80" si="28">IMABS(P17)</f>
        <v>2.1621737138254047</v>
      </c>
      <c r="R17" s="339">
        <f t="shared" ref="R17:R80" si="29">IMARGUMENT(P17)</f>
        <v>-1.1217487022052624E-3</v>
      </c>
      <c r="S17" s="731" t="str">
        <f t="shared" si="5"/>
        <v>6000</v>
      </c>
      <c r="T17" s="337" t="str">
        <f t="shared" si="6"/>
        <v>1+9.17253320342734i</v>
      </c>
      <c r="U17" s="346">
        <f t="shared" ref="U17:U80" si="30">IMABS(T17)</f>
        <v>9.2268827546456347</v>
      </c>
      <c r="V17" s="347">
        <f t="shared" ref="V17:V80" si="31">IMARGUMENT(T17)</f>
        <v>1.4622040628769104</v>
      </c>
      <c r="W17" s="340" t="str">
        <f t="shared" si="7"/>
        <v>1+0.0908171604299737i</v>
      </c>
      <c r="X17" s="337">
        <f t="shared" ref="X17:X80" si="32">IMABS(W17)</f>
        <v>1.004115410014488</v>
      </c>
      <c r="Y17" s="339">
        <f t="shared" ref="Y17:Y80" si="33">IMARGUMENT(W17)</f>
        <v>9.0568709494642907E-2</v>
      </c>
      <c r="Z17" s="337" t="str">
        <f t="shared" si="8"/>
        <v>1+0.000914842681222814i</v>
      </c>
      <c r="AA17" s="346">
        <f t="shared" ref="AA17:AA80" si="34">IMABS(Z17)</f>
        <v>1.0000004184684781</v>
      </c>
      <c r="AB17" s="347">
        <f t="shared" ref="AB17:AB80" si="35">IMARGUMENT(Z17)</f>
        <v>9.1484242600100565E-4</v>
      </c>
      <c r="AC17" s="732" t="str">
        <f t="shared" ref="AC17:AC80" si="36">IMPRODUCT(S17,IMDIV(W17,IMPRODUCT(T17,Z17)))</f>
        <v>128.598512003041-640.16066622189i</v>
      </c>
      <c r="AD17" s="337">
        <f t="shared" ref="AD17:AD80" si="37">IMABS(AC17)</f>
        <v>652.94965798830947</v>
      </c>
      <c r="AE17" s="339">
        <f t="shared" ref="AE17:AE80" si="38">IMARGUMENT(AC17)</f>
        <v>-1.3725501958082689</v>
      </c>
      <c r="AF17" s="736" t="str">
        <f t="shared" si="9"/>
        <v>276.499492037151-1384.44959905156i</v>
      </c>
      <c r="AG17" s="337">
        <f t="shared" ref="AG17:AG80" si="39">20*LOG10(IMABS(AF17))</f>
        <v>62.995405638631574</v>
      </c>
      <c r="AH17" s="730">
        <f t="shared" ref="AH17:AH80" si="40">(180/PI())*IMARGUMENT(AF17)</f>
        <v>-78.705604855979175</v>
      </c>
      <c r="AI17" s="360">
        <f t="shared" si="10"/>
        <v>101.29439514402083</v>
      </c>
      <c r="AL17" s="337">
        <f t="shared" si="11"/>
        <v>56.297593974638225</v>
      </c>
      <c r="AM17" s="730">
        <f t="shared" si="12"/>
        <v>-78.641333389668546</v>
      </c>
      <c r="AN17" s="351"/>
      <c r="AO17" s="337">
        <f t="shared" si="13"/>
        <v>59.969742862732772</v>
      </c>
      <c r="AP17" s="730">
        <f t="shared" si="14"/>
        <v>-6.4271466310638944E-2</v>
      </c>
      <c r="AS17" s="351"/>
      <c r="AT17" s="351"/>
      <c r="AV17" s="405">
        <f t="shared" si="15"/>
        <v>0</v>
      </c>
      <c r="AW17" s="405">
        <f t="shared" si="16"/>
        <v>0</v>
      </c>
      <c r="AX17" s="405">
        <f t="shared" si="17"/>
        <v>0</v>
      </c>
      <c r="AY17" s="405">
        <f t="shared" si="18"/>
        <v>0</v>
      </c>
    </row>
    <row r="18" spans="2:51" ht="13.5" thickBot="1" x14ac:dyDescent="0.25">
      <c r="B18" s="345">
        <v>1.5849</v>
      </c>
      <c r="C18" s="728" t="str">
        <f t="shared" si="0"/>
        <v>2.16217503399043</v>
      </c>
      <c r="D18" s="728" t="str">
        <f t="shared" si="1"/>
        <v>1+0.00121158348119079i</v>
      </c>
      <c r="E18" s="337">
        <f t="shared" si="20"/>
        <v>1.0000007339669965</v>
      </c>
      <c r="F18" s="338">
        <f t="shared" si="21"/>
        <v>1.2115828883495687E-3</v>
      </c>
      <c r="G18" s="338" t="str">
        <f t="shared" si="2"/>
        <v>1+4.97911019667446E-06i</v>
      </c>
      <c r="H18" s="337">
        <f t="shared" si="22"/>
        <v>1.0000000000123959</v>
      </c>
      <c r="I18" s="338">
        <f t="shared" si="23"/>
        <v>4.9791101966333134E-6</v>
      </c>
      <c r="J18" s="340">
        <f t="shared" si="3"/>
        <v>1</v>
      </c>
      <c r="K18" s="338">
        <f t="shared" si="24"/>
        <v>1</v>
      </c>
      <c r="L18" s="339">
        <f t="shared" si="25"/>
        <v>0</v>
      </c>
      <c r="M18" s="731" t="str">
        <f t="shared" si="4"/>
        <v>0.99999999988836+0.0000234082419947697i</v>
      </c>
      <c r="N18" s="338">
        <f t="shared" si="26"/>
        <v>1.0000000001623328</v>
      </c>
      <c r="O18" s="339">
        <f t="shared" si="27"/>
        <v>2.3408241993107512E-5</v>
      </c>
      <c r="P18" s="732" t="str">
        <f t="shared" si="19"/>
        <v>2.16217181109442-0.0026594986584786i</v>
      </c>
      <c r="Q18" s="337">
        <f t="shared" si="28"/>
        <v>2.1621734467022851</v>
      </c>
      <c r="R18" s="339">
        <f t="shared" si="29"/>
        <v>-1.2300120201460438E-3</v>
      </c>
      <c r="S18" s="731" t="str">
        <f t="shared" si="5"/>
        <v>6000</v>
      </c>
      <c r="T18" s="337" t="str">
        <f t="shared" si="6"/>
        <v>1+10.0578025972824i</v>
      </c>
      <c r="U18" s="346">
        <f t="shared" si="30"/>
        <v>10.107392991563184</v>
      </c>
      <c r="V18" s="347">
        <f t="shared" si="31"/>
        <v>1.471696720517123</v>
      </c>
      <c r="W18" s="340" t="str">
        <f t="shared" si="7"/>
        <v>1+0.0995822039334893i</v>
      </c>
      <c r="X18" s="337">
        <f t="shared" si="32"/>
        <v>1.0049460758370328</v>
      </c>
      <c r="Y18" s="339">
        <f t="shared" si="33"/>
        <v>9.9254975930842787E-2</v>
      </c>
      <c r="Z18" s="337" t="str">
        <f t="shared" si="8"/>
        <v>1+0.00100313696241182i</v>
      </c>
      <c r="AA18" s="346">
        <f t="shared" si="34"/>
        <v>1.000000503141756</v>
      </c>
      <c r="AB18" s="347">
        <f t="shared" si="35"/>
        <v>1.0031366259318764E-3</v>
      </c>
      <c r="AC18" s="732" t="str">
        <f t="shared" si="36"/>
        <v>116.969372633193-584.981053236647i</v>
      </c>
      <c r="AD18" s="337">
        <f t="shared" si="37"/>
        <v>596.56069832001128</v>
      </c>
      <c r="AE18" s="339">
        <f t="shared" si="38"/>
        <v>-1.3734448812122124</v>
      </c>
      <c r="AF18" s="736" t="str">
        <f t="shared" si="9"/>
        <v>251.352123942571-1265.1406232222i</v>
      </c>
      <c r="AG18" s="337">
        <f t="shared" si="39"/>
        <v>62.210903360062851</v>
      </c>
      <c r="AH18" s="730">
        <f t="shared" si="40"/>
        <v>-78.763069584811149</v>
      </c>
      <c r="AI18" s="360">
        <f t="shared" si="10"/>
        <v>101.23693041518885</v>
      </c>
      <c r="AL18" s="337">
        <f t="shared" si="11"/>
        <v>55.513092769157268</v>
      </c>
      <c r="AM18" s="730">
        <f t="shared" si="12"/>
        <v>-78.692595087306458</v>
      </c>
      <c r="AN18" s="351"/>
      <c r="AO18" s="337">
        <f t="shared" si="13"/>
        <v>59.969741789645042</v>
      </c>
      <c r="AP18" s="730">
        <f t="shared" si="14"/>
        <v>-7.0474497504728909E-2</v>
      </c>
      <c r="AS18" s="351"/>
      <c r="AT18" s="351"/>
      <c r="AV18" s="405">
        <f t="shared" si="15"/>
        <v>0</v>
      </c>
      <c r="AW18" s="405">
        <f t="shared" si="16"/>
        <v>0</v>
      </c>
      <c r="AX18" s="405">
        <f t="shared" si="17"/>
        <v>0</v>
      </c>
      <c r="AY18" s="405">
        <f t="shared" si="18"/>
        <v>0</v>
      </c>
    </row>
    <row r="19" spans="2:51" ht="13.5" thickBot="1" x14ac:dyDescent="0.25">
      <c r="B19" s="345">
        <v>1.7378</v>
      </c>
      <c r="C19" s="728" t="str">
        <f t="shared" si="0"/>
        <v>2.16217503399043</v>
      </c>
      <c r="D19" s="728" t="str">
        <f t="shared" si="1"/>
        <v>1+0.0013284685302627i</v>
      </c>
      <c r="E19" s="337">
        <f t="shared" si="20"/>
        <v>1.0000008824139286</v>
      </c>
      <c r="F19" s="338">
        <f t="shared" si="21"/>
        <v>1.3284677487570928E-3</v>
      </c>
      <c r="G19" s="338" t="str">
        <f t="shared" si="2"/>
        <v>1+5.45945971340835E-06i</v>
      </c>
      <c r="H19" s="337">
        <f t="shared" si="22"/>
        <v>1.0000000000149027</v>
      </c>
      <c r="I19" s="338">
        <f t="shared" si="23"/>
        <v>5.4594597133541096E-6</v>
      </c>
      <c r="J19" s="340">
        <f t="shared" si="3"/>
        <v>1</v>
      </c>
      <c r="K19" s="338">
        <f t="shared" si="24"/>
        <v>1</v>
      </c>
      <c r="L19" s="339">
        <f t="shared" si="25"/>
        <v>0</v>
      </c>
      <c r="M19" s="731" t="str">
        <f t="shared" si="4"/>
        <v>0.99999999986578+0.0000256665044725287i</v>
      </c>
      <c r="N19" s="338">
        <f t="shared" si="26"/>
        <v>1.0000000001951648</v>
      </c>
      <c r="O19" s="339">
        <f t="shared" si="27"/>
        <v>2.5666504470337555E-5</v>
      </c>
      <c r="P19" s="732" t="str">
        <f t="shared" si="19"/>
        <v>2.16217115925532-0.00291606750978573i</v>
      </c>
      <c r="Q19" s="337">
        <f t="shared" si="28"/>
        <v>2.1621731256689913</v>
      </c>
      <c r="R19" s="339">
        <f t="shared" si="29"/>
        <v>-1.3486747935140715E-3</v>
      </c>
      <c r="S19" s="731" t="str">
        <f t="shared" si="5"/>
        <v>6000</v>
      </c>
      <c r="T19" s="337" t="str">
        <f t="shared" si="6"/>
        <v>1+11.0281086210849i</v>
      </c>
      <c r="U19" s="346">
        <f t="shared" si="30"/>
        <v>11.073354494390898</v>
      </c>
      <c r="V19" s="347">
        <f t="shared" si="31"/>
        <v>1.4803662556813939</v>
      </c>
      <c r="W19" s="340" t="str">
        <f t="shared" si="7"/>
        <v>1+0.109189194268167i</v>
      </c>
      <c r="X19" s="337">
        <f t="shared" si="32"/>
        <v>1.0059434776094189</v>
      </c>
      <c r="Y19" s="339">
        <f t="shared" si="33"/>
        <v>0.10875834406992553</v>
      </c>
      <c r="Z19" s="337" t="str">
        <f t="shared" si="8"/>
        <v>1+0.00109991255806629i</v>
      </c>
      <c r="AA19" s="346">
        <f t="shared" si="34"/>
        <v>1.0000006049036347</v>
      </c>
      <c r="AB19" s="347">
        <f t="shared" si="35"/>
        <v>1.0999121145057417E-3</v>
      </c>
      <c r="AC19" s="732" t="str">
        <f t="shared" si="36"/>
        <v>107.265655680948-534.402396503267i</v>
      </c>
      <c r="AD19" s="337">
        <f t="shared" si="37"/>
        <v>545.06131974035611</v>
      </c>
      <c r="AE19" s="339">
        <f t="shared" si="38"/>
        <v>-1.3727078237259744</v>
      </c>
      <c r="AF19" s="736" t="str">
        <f t="shared" si="9"/>
        <v>230.368353626363-1155.78224304974i</v>
      </c>
      <c r="AG19" s="337">
        <f t="shared" si="39"/>
        <v>61.426716569785036</v>
      </c>
      <c r="AH19" s="730">
        <f t="shared" si="40"/>
        <v>-78.727638177690537</v>
      </c>
      <c r="AI19" s="360">
        <f t="shared" si="10"/>
        <v>101.27236182230946</v>
      </c>
      <c r="AL19" s="337">
        <f t="shared" si="11"/>
        <v>54.728907268535416</v>
      </c>
      <c r="AM19" s="730">
        <f t="shared" si="12"/>
        <v>-78.650364804086507</v>
      </c>
      <c r="AN19" s="351"/>
      <c r="AO19" s="337">
        <f t="shared" si="13"/>
        <v>59.969740499989037</v>
      </c>
      <c r="AP19" s="730">
        <f t="shared" si="14"/>
        <v>-7.7273373604034357E-2</v>
      </c>
      <c r="AS19" s="351"/>
      <c r="AT19" s="351"/>
      <c r="AV19" s="405">
        <f t="shared" si="15"/>
        <v>0</v>
      </c>
      <c r="AW19" s="405">
        <f t="shared" si="16"/>
        <v>0</v>
      </c>
      <c r="AX19" s="405">
        <f t="shared" si="17"/>
        <v>0</v>
      </c>
      <c r="AY19" s="405">
        <f t="shared" si="18"/>
        <v>0</v>
      </c>
    </row>
    <row r="20" spans="2:51" ht="13.5" thickBot="1" x14ac:dyDescent="0.25">
      <c r="B20" s="345">
        <v>1.9055</v>
      </c>
      <c r="C20" s="728" t="str">
        <f t="shared" si="0"/>
        <v>2.16217503399043</v>
      </c>
      <c r="D20" s="728" t="str">
        <f t="shared" si="1"/>
        <v>1+0.00145666750167774i</v>
      </c>
      <c r="E20" s="337">
        <f t="shared" si="20"/>
        <v>1.0000010609395424</v>
      </c>
      <c r="F20" s="338">
        <f t="shared" si="21"/>
        <v>1.4566664713877367E-3</v>
      </c>
      <c r="G20" s="338" t="str">
        <f t="shared" si="2"/>
        <v>1+5.98630480141535E-06i</v>
      </c>
      <c r="H20" s="337">
        <f t="shared" si="22"/>
        <v>1.0000000000179179</v>
      </c>
      <c r="I20" s="338">
        <f t="shared" si="23"/>
        <v>5.9863048013438417E-6</v>
      </c>
      <c r="J20" s="340">
        <f t="shared" si="3"/>
        <v>1</v>
      </c>
      <c r="K20" s="338">
        <f t="shared" si="24"/>
        <v>1</v>
      </c>
      <c r="L20" s="339">
        <f t="shared" si="25"/>
        <v>0</v>
      </c>
      <c r="M20" s="731" t="str">
        <f t="shared" si="4"/>
        <v>0.999999999838625+0.0000281433561240669i</v>
      </c>
      <c r="N20" s="338">
        <f t="shared" si="26"/>
        <v>1.000000000234649</v>
      </c>
      <c r="O20" s="339">
        <f t="shared" si="27"/>
        <v>2.8143356121178233E-5</v>
      </c>
      <c r="P20" s="732" t="str">
        <f t="shared" si="19"/>
        <v>2.16217037533936-0.0031974707420235i</v>
      </c>
      <c r="Q20" s="337">
        <f t="shared" si="28"/>
        <v>2.1621727395872643</v>
      </c>
      <c r="R20" s="339">
        <f t="shared" si="29"/>
        <v>-1.4788235227075734E-3</v>
      </c>
      <c r="S20" s="731" t="str">
        <f t="shared" si="5"/>
        <v>6000</v>
      </c>
      <c r="T20" s="337" t="str">
        <f t="shared" si="6"/>
        <v>1+12.092335698859i</v>
      </c>
      <c r="U20" s="346">
        <f t="shared" si="30"/>
        <v>12.133613750812236</v>
      </c>
      <c r="V20" s="347">
        <f t="shared" si="31"/>
        <v>1.4882870635093195</v>
      </c>
      <c r="W20" s="340" t="str">
        <f t="shared" si="7"/>
        <v>1+0.119726096028307i</v>
      </c>
      <c r="X20" s="337">
        <f t="shared" si="32"/>
        <v>1.0071416673289708</v>
      </c>
      <c r="Y20" s="339">
        <f t="shared" si="33"/>
        <v>0.11915890153063194</v>
      </c>
      <c r="Z20" s="337" t="str">
        <f t="shared" si="8"/>
        <v>1+0.00120605557566769i</v>
      </c>
      <c r="AA20" s="346">
        <f t="shared" si="34"/>
        <v>1.0000007272847613</v>
      </c>
      <c r="AB20" s="347">
        <f t="shared" si="35"/>
        <v>1.2060549909040934E-3</v>
      </c>
      <c r="AC20" s="732" t="str">
        <f t="shared" si="36"/>
        <v>99.1678806303714-488.052094783696i</v>
      </c>
      <c r="AD20" s="337">
        <f t="shared" si="37"/>
        <v>498.02521599962523</v>
      </c>
      <c r="AE20" s="339">
        <f t="shared" si="38"/>
        <v>-1.3703342169695913</v>
      </c>
      <c r="AF20" s="736" t="str">
        <f t="shared" si="9"/>
        <v>212.857321390525-1055.56886736049i</v>
      </c>
      <c r="AG20" s="337">
        <f t="shared" si="39"/>
        <v>60.642834400344341</v>
      </c>
      <c r="AH20" s="730">
        <f t="shared" si="40"/>
        <v>-78.599097501217841</v>
      </c>
      <c r="AI20" s="360">
        <f t="shared" si="10"/>
        <v>101.40090249878216</v>
      </c>
      <c r="AL20" s="337">
        <f t="shared" si="11"/>
        <v>53.945026650063774</v>
      </c>
      <c r="AM20" s="730">
        <f t="shared" si="12"/>
        <v>-78.514367154722024</v>
      </c>
      <c r="AN20" s="351"/>
      <c r="AO20" s="337">
        <f t="shared" si="13"/>
        <v>59.969738949019991</v>
      </c>
      <c r="AP20" s="730">
        <f t="shared" si="14"/>
        <v>-8.4730346495812903E-2</v>
      </c>
      <c r="AS20" s="351"/>
      <c r="AT20" s="351"/>
      <c r="AV20" s="405">
        <f t="shared" si="15"/>
        <v>0</v>
      </c>
      <c r="AW20" s="405">
        <f t="shared" si="16"/>
        <v>0</v>
      </c>
      <c r="AX20" s="405">
        <f t="shared" si="17"/>
        <v>0</v>
      </c>
      <c r="AY20" s="405">
        <f t="shared" si="18"/>
        <v>0</v>
      </c>
    </row>
    <row r="21" spans="2:51" ht="13.5" thickBot="1" x14ac:dyDescent="0.25">
      <c r="B21" s="345">
        <v>2.0893000000000002</v>
      </c>
      <c r="C21" s="728" t="str">
        <f t="shared" si="0"/>
        <v>2.16217503399043</v>
      </c>
      <c r="D21" s="728" t="str">
        <f t="shared" si="1"/>
        <v>1+0.00159717418591199i</v>
      </c>
      <c r="E21" s="337">
        <f t="shared" si="20"/>
        <v>1.0000012754818766</v>
      </c>
      <c r="F21" s="338">
        <f t="shared" si="21"/>
        <v>1.5971728278020506E-3</v>
      </c>
      <c r="G21" s="338" t="str">
        <f t="shared" si="2"/>
        <v>1+6.56372953114515E-06i</v>
      </c>
      <c r="H21" s="337">
        <f t="shared" si="22"/>
        <v>1.0000000000215414</v>
      </c>
      <c r="I21" s="338">
        <f t="shared" si="23"/>
        <v>6.5637295310508898E-6</v>
      </c>
      <c r="J21" s="340">
        <f t="shared" si="3"/>
        <v>1</v>
      </c>
      <c r="K21" s="338">
        <f t="shared" si="24"/>
        <v>1</v>
      </c>
      <c r="L21" s="339">
        <f t="shared" si="25"/>
        <v>0</v>
      </c>
      <c r="M21" s="731" t="str">
        <f t="shared" si="4"/>
        <v>0.999999999805992+0.0000308579973497837i</v>
      </c>
      <c r="N21" s="338">
        <f t="shared" si="26"/>
        <v>1.0000000002820999</v>
      </c>
      <c r="O21" s="339">
        <f t="shared" si="27"/>
        <v>3.0857997345975906E-5</v>
      </c>
      <c r="P21" s="732" t="str">
        <f t="shared" si="19"/>
        <v>2.16216943327252-0.00350588966371048i</v>
      </c>
      <c r="Q21" s="337">
        <f t="shared" si="28"/>
        <v>2.1621722756155082</v>
      </c>
      <c r="R21" s="339">
        <f t="shared" si="29"/>
        <v>-1.6214670956169756E-3</v>
      </c>
      <c r="S21" s="731" t="str">
        <f t="shared" si="5"/>
        <v>6000</v>
      </c>
      <c r="T21" s="337" t="str">
        <f t="shared" si="6"/>
        <v>1+13.2587336529132i</v>
      </c>
      <c r="U21" s="346">
        <f t="shared" si="30"/>
        <v>13.29639116748951</v>
      </c>
      <c r="V21" s="347">
        <f t="shared" si="31"/>
        <v>1.4955168685047695</v>
      </c>
      <c r="W21" s="340" t="str">
        <f t="shared" si="7"/>
        <v>1+0.131274590622903i</v>
      </c>
      <c r="X21" s="337">
        <f t="shared" si="32"/>
        <v>1.00857970341625</v>
      </c>
      <c r="Y21" s="339">
        <f t="shared" si="33"/>
        <v>0.13052820721848013</v>
      </c>
      <c r="Z21" s="337" t="str">
        <f t="shared" si="8"/>
        <v>1+0.00132238882930595i</v>
      </c>
      <c r="AA21" s="346">
        <f t="shared" si="34"/>
        <v>1.0000008743557258</v>
      </c>
      <c r="AB21" s="347">
        <f t="shared" si="35"/>
        <v>1.3223880584809255E-3</v>
      </c>
      <c r="AC21" s="732" t="str">
        <f t="shared" si="36"/>
        <v>92.4184142017686-445.639291255912i</v>
      </c>
      <c r="AD21" s="337">
        <f t="shared" si="37"/>
        <v>455.12145762932471</v>
      </c>
      <c r="AE21" s="339">
        <f t="shared" si="38"/>
        <v>-1.3663110493447708</v>
      </c>
      <c r="AF21" s="736" t="str">
        <f t="shared" si="9"/>
        <v>198.261908073626-963.871662581849i</v>
      </c>
      <c r="AG21" s="337">
        <f t="shared" si="39"/>
        <v>59.86035212017444</v>
      </c>
      <c r="AH21" s="730">
        <f t="shared" si="40"/>
        <v>-78.376759850744293</v>
      </c>
      <c r="AI21" s="360">
        <f t="shared" si="10"/>
        <v>101.62324014925571</v>
      </c>
      <c r="AL21" s="337">
        <f t="shared" si="11"/>
        <v>53.162546233763415</v>
      </c>
      <c r="AM21" s="730">
        <f t="shared" si="12"/>
        <v>-78.283856629546122</v>
      </c>
      <c r="AN21" s="351"/>
      <c r="AO21" s="337">
        <f t="shared" si="13"/>
        <v>59.969737085150456</v>
      </c>
      <c r="AP21" s="730">
        <f t="shared" si="14"/>
        <v>-9.290322119818839E-2</v>
      </c>
      <c r="AS21" s="351"/>
      <c r="AT21" s="351"/>
      <c r="AV21" s="405">
        <f t="shared" si="15"/>
        <v>0</v>
      </c>
      <c r="AW21" s="405">
        <f t="shared" si="16"/>
        <v>0</v>
      </c>
      <c r="AX21" s="405">
        <f t="shared" si="17"/>
        <v>0</v>
      </c>
      <c r="AY21" s="405">
        <f t="shared" si="18"/>
        <v>0</v>
      </c>
    </row>
    <row r="22" spans="2:51" ht="13.5" thickBot="1" x14ac:dyDescent="0.25">
      <c r="B22" s="345">
        <v>2.2909000000000002</v>
      </c>
      <c r="C22" s="728" t="str">
        <f t="shared" si="0"/>
        <v>2.16217503399043</v>
      </c>
      <c r="D22" s="728" t="str">
        <f t="shared" si="1"/>
        <v>1+0.00175128815512649i</v>
      </c>
      <c r="E22" s="337">
        <f t="shared" si="20"/>
        <v>1.0000015335039254</v>
      </c>
      <c r="F22" s="338">
        <f t="shared" si="21"/>
        <v>1.7512863647235716E-3</v>
      </c>
      <c r="G22" s="338" t="str">
        <f t="shared" si="2"/>
        <v>1+7.19707461010885E-06i</v>
      </c>
      <c r="H22" s="337">
        <f t="shared" si="22"/>
        <v>1.0000000000258988</v>
      </c>
      <c r="I22" s="338">
        <f t="shared" si="23"/>
        <v>7.197074609984585E-6</v>
      </c>
      <c r="J22" s="340">
        <f t="shared" si="3"/>
        <v>1</v>
      </c>
      <c r="K22" s="338">
        <f t="shared" si="24"/>
        <v>1</v>
      </c>
      <c r="L22" s="339">
        <f t="shared" si="25"/>
        <v>0</v>
      </c>
      <c r="M22" s="731" t="str">
        <f t="shared" si="4"/>
        <v>0.999999999766746+0.0000338355363655863i</v>
      </c>
      <c r="N22" s="338">
        <f t="shared" si="26"/>
        <v>1.0000000003391676</v>
      </c>
      <c r="O22" s="339">
        <f t="shared" si="27"/>
        <v>3.3835536360566445E-5</v>
      </c>
      <c r="P22" s="732" t="str">
        <f t="shared" si="19"/>
        <v>2.16216830028473-0.00384417675059478i</v>
      </c>
      <c r="Q22" s="337">
        <f t="shared" si="28"/>
        <v>2.162171717614271</v>
      </c>
      <c r="R22" s="339">
        <f t="shared" si="29"/>
        <v>-1.7779248264741512E-3</v>
      </c>
      <c r="S22" s="731" t="str">
        <f t="shared" si="5"/>
        <v>6000</v>
      </c>
      <c r="T22" s="337" t="str">
        <f t="shared" si="6"/>
        <v>1+14.5380907124199i</v>
      </c>
      <c r="U22" s="346">
        <f t="shared" si="30"/>
        <v>14.572442539346302</v>
      </c>
      <c r="V22" s="347">
        <f t="shared" si="31"/>
        <v>1.5021196783607937</v>
      </c>
      <c r="W22" s="340" t="str">
        <f t="shared" si="7"/>
        <v>1+0.143941492202177i</v>
      </c>
      <c r="X22" s="337">
        <f t="shared" si="32"/>
        <v>1.0103064649785181</v>
      </c>
      <c r="Y22" s="339">
        <f t="shared" si="33"/>
        <v>0.14295955526534934</v>
      </c>
      <c r="Z22" s="337" t="str">
        <f t="shared" si="8"/>
        <v>1+0.00144998830663716i</v>
      </c>
      <c r="AA22" s="346">
        <f t="shared" si="34"/>
        <v>1.0000010512324922</v>
      </c>
      <c r="AB22" s="347">
        <f t="shared" si="35"/>
        <v>1.4499872904546937E-3</v>
      </c>
      <c r="AC22" s="732" t="str">
        <f t="shared" si="36"/>
        <v>86.7907330554324-406.824324281605i</v>
      </c>
      <c r="AD22" s="337">
        <f t="shared" si="37"/>
        <v>415.97916074183786</v>
      </c>
      <c r="AE22" s="339">
        <f t="shared" si="38"/>
        <v>-1.3606101103858992</v>
      </c>
      <c r="AF22" s="736" t="str">
        <f t="shared" si="9"/>
        <v>186.09226716195-879.95629666462i</v>
      </c>
      <c r="AG22" s="337">
        <f t="shared" si="39"/>
        <v>59.079235132267023</v>
      </c>
      <c r="AH22" s="730">
        <f t="shared" si="40"/>
        <v>-78.059084476789593</v>
      </c>
      <c r="AI22" s="360">
        <f t="shared" si="10"/>
        <v>101.94091552321041</v>
      </c>
      <c r="AL22" s="337">
        <f t="shared" si="11"/>
        <v>52.381431487461747</v>
      </c>
      <c r="AM22" s="730">
        <f t="shared" si="12"/>
        <v>-77.957216887941087</v>
      </c>
      <c r="AN22" s="351"/>
      <c r="AO22" s="337">
        <f t="shared" si="13"/>
        <v>59.969734843544714</v>
      </c>
      <c r="AP22" s="730">
        <f t="shared" si="14"/>
        <v>-0.10186758884849806</v>
      </c>
      <c r="AS22" s="351"/>
      <c r="AT22" s="351"/>
      <c r="AV22" s="405">
        <f t="shared" si="15"/>
        <v>0</v>
      </c>
      <c r="AW22" s="405">
        <f t="shared" si="16"/>
        <v>0</v>
      </c>
      <c r="AX22" s="405">
        <f t="shared" si="17"/>
        <v>0</v>
      </c>
      <c r="AY22" s="405">
        <f t="shared" si="18"/>
        <v>0</v>
      </c>
    </row>
    <row r="23" spans="2:51" ht="13.5" thickBot="1" x14ac:dyDescent="0.25">
      <c r="B23" s="345">
        <v>2.5118999999999998</v>
      </c>
      <c r="C23" s="728" t="str">
        <f t="shared" si="0"/>
        <v>2.16217503399043</v>
      </c>
      <c r="D23" s="728" t="str">
        <f t="shared" si="1"/>
        <v>1+0.00192023253606104i</v>
      </c>
      <c r="E23" s="337">
        <f t="shared" si="20"/>
        <v>1.0000018436447968</v>
      </c>
      <c r="F23" s="338">
        <f t="shared" si="21"/>
        <v>1.9202301759129368E-3</v>
      </c>
      <c r="G23" s="338" t="str">
        <f t="shared" si="2"/>
        <v>1+0.0000078913665865522i</v>
      </c>
      <c r="H23" s="337">
        <f t="shared" si="22"/>
        <v>1.0000000000311369</v>
      </c>
      <c r="I23" s="338">
        <f t="shared" si="23"/>
        <v>7.8913665863883926E-6</v>
      </c>
      <c r="J23" s="340">
        <f t="shared" si="3"/>
        <v>1</v>
      </c>
      <c r="K23" s="338">
        <f t="shared" si="24"/>
        <v>1</v>
      </c>
      <c r="L23" s="339">
        <f t="shared" si="25"/>
        <v>0</v>
      </c>
      <c r="M23" s="731" t="str">
        <f t="shared" si="4"/>
        <v>0.999999999719571+0.0000370996044335049i</v>
      </c>
      <c r="N23" s="338">
        <f t="shared" si="26"/>
        <v>1.0000000004077612</v>
      </c>
      <c r="O23" s="339">
        <f t="shared" si="27"/>
        <v>3.7099604426887648E-5</v>
      </c>
      <c r="P23" s="732" t="str">
        <f t="shared" si="19"/>
        <v>2.16216693844174-0.00421501662620414i</v>
      </c>
      <c r="Q23" s="337">
        <f t="shared" si="28"/>
        <v>2.1621710469007041</v>
      </c>
      <c r="R23" s="339">
        <f t="shared" si="29"/>
        <v>-1.9494384137534386E-3</v>
      </c>
      <c r="S23" s="731" t="str">
        <f t="shared" si="5"/>
        <v>6000</v>
      </c>
      <c r="T23" s="337" t="str">
        <f t="shared" si="6"/>
        <v>1+15.9405605048354i</v>
      </c>
      <c r="U23" s="346">
        <f t="shared" si="30"/>
        <v>15.97189623082739</v>
      </c>
      <c r="V23" s="347">
        <f t="shared" si="31"/>
        <v>1.508145375679437</v>
      </c>
      <c r="W23" s="340" t="str">
        <f t="shared" si="7"/>
        <v>1+0.157827331731044i</v>
      </c>
      <c r="X23" s="337">
        <f t="shared" si="32"/>
        <v>1.0123781243395873</v>
      </c>
      <c r="Y23" s="339">
        <f t="shared" si="33"/>
        <v>0.15653611077191312</v>
      </c>
      <c r="Z23" s="337" t="str">
        <f t="shared" si="8"/>
        <v>1+0.00158986670192583i</v>
      </c>
      <c r="AA23" s="346">
        <f t="shared" si="34"/>
        <v>1.0000012638372664</v>
      </c>
      <c r="AB23" s="347">
        <f t="shared" si="35"/>
        <v>1.5898653623718242E-3</v>
      </c>
      <c r="AC23" s="732" t="str">
        <f t="shared" si="36"/>
        <v>82.1027384006904-371.341248414446i</v>
      </c>
      <c r="AD23" s="337">
        <f t="shared" si="37"/>
        <v>380.30932466466226</v>
      </c>
      <c r="AE23" s="339">
        <f t="shared" si="38"/>
        <v>-1.353199130269896</v>
      </c>
      <c r="AF23" s="736" t="str">
        <f t="shared" si="9"/>
        <v>175.954616989442-803.247834608812i</v>
      </c>
      <c r="AG23" s="337">
        <f t="shared" si="39"/>
        <v>58.3005404273908</v>
      </c>
      <c r="AH23" s="730">
        <f t="shared" si="40"/>
        <v>-77.644293598767447</v>
      </c>
      <c r="AI23" s="360">
        <f t="shared" si="10"/>
        <v>102.35570640123255</v>
      </c>
      <c r="AL23" s="337">
        <f t="shared" si="11"/>
        <v>51.602739476980645</v>
      </c>
      <c r="AM23" s="730">
        <f t="shared" si="12"/>
        <v>-77.532599005238723</v>
      </c>
      <c r="AN23" s="351"/>
      <c r="AO23" s="337">
        <f t="shared" si="13"/>
        <v>59.9697321491496</v>
      </c>
      <c r="AP23" s="730">
        <f t="shared" si="14"/>
        <v>-0.11169459352875001</v>
      </c>
      <c r="AS23" s="351"/>
      <c r="AT23" s="351"/>
      <c r="AV23" s="405">
        <f t="shared" si="15"/>
        <v>0</v>
      </c>
      <c r="AW23" s="405">
        <f t="shared" si="16"/>
        <v>0</v>
      </c>
      <c r="AX23" s="405">
        <f t="shared" si="17"/>
        <v>0</v>
      </c>
      <c r="AY23" s="405">
        <f t="shared" si="18"/>
        <v>0</v>
      </c>
    </row>
    <row r="24" spans="2:51" ht="13.5" thickBot="1" x14ac:dyDescent="0.25">
      <c r="B24" s="345">
        <v>2.7542</v>
      </c>
      <c r="C24" s="728" t="str">
        <f t="shared" si="0"/>
        <v>2.16217503399043</v>
      </c>
      <c r="D24" s="728" t="str">
        <f t="shared" si="1"/>
        <v>1+0.00210545979171914i</v>
      </c>
      <c r="E24" s="337">
        <f t="shared" si="20"/>
        <v>1.0000022164780109</v>
      </c>
      <c r="F24" s="338">
        <f t="shared" si="21"/>
        <v>2.1054566805870797E-3</v>
      </c>
      <c r="G24" s="338" t="str">
        <f t="shared" si="2"/>
        <v>1+0.000008652574486517i</v>
      </c>
      <c r="H24" s="337">
        <f t="shared" si="22"/>
        <v>1.0000000000374336</v>
      </c>
      <c r="I24" s="338">
        <f t="shared" si="23"/>
        <v>8.6525744863010693E-6</v>
      </c>
      <c r="J24" s="340">
        <f t="shared" si="3"/>
        <v>1</v>
      </c>
      <c r="K24" s="338">
        <f t="shared" si="24"/>
        <v>1</v>
      </c>
      <c r="L24" s="339">
        <f t="shared" si="25"/>
        <v>0</v>
      </c>
      <c r="M24" s="731" t="str">
        <f t="shared" si="4"/>
        <v>0.999999999662861+0.0000406782636772002i</v>
      </c>
      <c r="N24" s="338">
        <f t="shared" si="26"/>
        <v>1.0000000004902214</v>
      </c>
      <c r="O24" s="339">
        <f t="shared" si="27"/>
        <v>4.0678263668477364E-5</v>
      </c>
      <c r="P24" s="732" t="str">
        <f t="shared" si="19"/>
        <v>2.16216530131543-0.00462159725052279i</v>
      </c>
      <c r="Q24" s="337">
        <f t="shared" si="28"/>
        <v>2.1621702406086318</v>
      </c>
      <c r="R24" s="339">
        <f t="shared" si="29"/>
        <v>-2.1374823697692578E-3</v>
      </c>
      <c r="S24" s="731" t="str">
        <f t="shared" si="5"/>
        <v>6000</v>
      </c>
      <c r="T24" s="337" t="str">
        <f t="shared" si="6"/>
        <v>1+17.4782004627643i</v>
      </c>
      <c r="U24" s="346">
        <f t="shared" si="30"/>
        <v>17.50678415405223</v>
      </c>
      <c r="V24" s="347">
        <f t="shared" si="31"/>
        <v>1.5136445056973888</v>
      </c>
      <c r="W24" s="340" t="str">
        <f t="shared" si="7"/>
        <v>1+0.17305148973034i</v>
      </c>
      <c r="X24" s="337">
        <f t="shared" si="32"/>
        <v>1.0148629553283979</v>
      </c>
      <c r="Y24" s="339">
        <f t="shared" si="33"/>
        <v>0.1713544326505233</v>
      </c>
      <c r="Z24" s="337" t="str">
        <f t="shared" si="8"/>
        <v>1+0.00174322658961109i</v>
      </c>
      <c r="AA24" s="346">
        <f t="shared" si="34"/>
        <v>1.0000015194183169</v>
      </c>
      <c r="AB24" s="347">
        <f t="shared" si="35"/>
        <v>1.7432248238193609E-3</v>
      </c>
      <c r="AC24" s="732" t="str">
        <f t="shared" si="36"/>
        <v>78.1979651131944-338.913254644123i</v>
      </c>
      <c r="AD24" s="337">
        <f t="shared" si="37"/>
        <v>347.81764751276859</v>
      </c>
      <c r="AE24" s="339">
        <f t="shared" si="38"/>
        <v>-1.3440332978706848</v>
      </c>
      <c r="AF24" s="736" t="str">
        <f t="shared" si="9"/>
        <v>167.510606235394-733.147878847967i</v>
      </c>
      <c r="AG24" s="337">
        <f t="shared" si="39"/>
        <v>57.524829979075761</v>
      </c>
      <c r="AH24" s="730">
        <f t="shared" si="40"/>
        <v>-77.129904211611091</v>
      </c>
      <c r="AI24" s="360">
        <f t="shared" si="10"/>
        <v>102.87009578838891</v>
      </c>
      <c r="AL24" s="337">
        <f t="shared" si="11"/>
        <v>50.827032267708717</v>
      </c>
      <c r="AM24" s="730">
        <f t="shared" si="12"/>
        <v>-77.007435493039651</v>
      </c>
      <c r="AN24" s="351"/>
      <c r="AO24" s="337">
        <f t="shared" si="13"/>
        <v>59.969728910106483</v>
      </c>
      <c r="AP24" s="730">
        <f t="shared" si="14"/>
        <v>-0.12246871857140032</v>
      </c>
      <c r="AS24" s="351"/>
      <c r="AT24" s="351"/>
      <c r="AV24" s="405">
        <f t="shared" si="15"/>
        <v>0</v>
      </c>
      <c r="AW24" s="405">
        <f t="shared" si="16"/>
        <v>0</v>
      </c>
      <c r="AX24" s="405">
        <f t="shared" si="17"/>
        <v>0</v>
      </c>
      <c r="AY24" s="405">
        <f t="shared" si="18"/>
        <v>0</v>
      </c>
    </row>
    <row r="25" spans="2:51" ht="13.5" thickBot="1" x14ac:dyDescent="0.25">
      <c r="B25" s="345">
        <v>3.02</v>
      </c>
      <c r="C25" s="728" t="str">
        <f t="shared" si="0"/>
        <v>2.16217503399043</v>
      </c>
      <c r="D25" s="728" t="str">
        <f t="shared" si="1"/>
        <v>1+0.00230865172136801i</v>
      </c>
      <c r="E25" s="337">
        <f t="shared" si="20"/>
        <v>1.0000026649328344</v>
      </c>
      <c r="F25" s="338">
        <f t="shared" si="21"/>
        <v>2.3086476197744779E-3</v>
      </c>
      <c r="G25" s="338" t="str">
        <f t="shared" si="2"/>
        <v>1+9.48760981384115E-06i</v>
      </c>
      <c r="H25" s="337">
        <f t="shared" si="22"/>
        <v>1.0000000000450073</v>
      </c>
      <c r="I25" s="338">
        <f t="shared" si="23"/>
        <v>9.4876098135564756E-6</v>
      </c>
      <c r="J25" s="340">
        <f t="shared" si="3"/>
        <v>1</v>
      </c>
      <c r="K25" s="338">
        <f t="shared" si="24"/>
        <v>1</v>
      </c>
      <c r="L25" s="339">
        <f t="shared" si="25"/>
        <v>0</v>
      </c>
      <c r="M25" s="731" t="str">
        <f t="shared" si="4"/>
        <v>0.999999999594649+0.0000446040070819637i</v>
      </c>
      <c r="N25" s="338">
        <f t="shared" si="26"/>
        <v>1.0000000005894076</v>
      </c>
      <c r="O25" s="339">
        <f t="shared" si="27"/>
        <v>4.4604007070463825E-5</v>
      </c>
      <c r="P25" s="732" t="str">
        <f t="shared" si="19"/>
        <v>2.16216333213388-0.0050676098959853i</v>
      </c>
      <c r="Q25" s="337">
        <f t="shared" si="28"/>
        <v>2.1621692707774622</v>
      </c>
      <c r="R25" s="339">
        <f t="shared" si="29"/>
        <v>-2.3437640170313806E-3</v>
      </c>
      <c r="S25" s="731" t="str">
        <f t="shared" si="5"/>
        <v>6000</v>
      </c>
      <c r="T25" s="337" t="str">
        <f t="shared" si="6"/>
        <v>1+19.1649718239591i</v>
      </c>
      <c r="U25" s="346">
        <f t="shared" si="30"/>
        <v>19.191043353948899</v>
      </c>
      <c r="V25" s="347">
        <f t="shared" si="31"/>
        <v>1.5186650763075349</v>
      </c>
      <c r="W25" s="340" t="str">
        <f t="shared" si="7"/>
        <v>1+0.189752196276823i</v>
      </c>
      <c r="X25" s="337">
        <f t="shared" si="32"/>
        <v>1.0178437483189047</v>
      </c>
      <c r="Y25" s="339">
        <f t="shared" si="33"/>
        <v>0.18752276595214182</v>
      </c>
      <c r="Z25" s="337" t="str">
        <f t="shared" si="8"/>
        <v>1+0.00191146042430669i</v>
      </c>
      <c r="AA25" s="346">
        <f t="shared" si="34"/>
        <v>1.0000018268388082</v>
      </c>
      <c r="AB25" s="347">
        <f t="shared" si="35"/>
        <v>1.911458096356278E-3</v>
      </c>
      <c r="AC25" s="732" t="str">
        <f t="shared" si="36"/>
        <v>74.9447155727754-309.273065037443i</v>
      </c>
      <c r="AD25" s="337">
        <f t="shared" si="37"/>
        <v>318.2240392395563</v>
      </c>
      <c r="AE25" s="339">
        <f t="shared" si="38"/>
        <v>-1.3330537684517503</v>
      </c>
      <c r="AF25" s="736" t="str">
        <f t="shared" si="9"/>
        <v>160.475440703712-669.078671422904i</v>
      </c>
      <c r="AG25" s="337">
        <f t="shared" si="39"/>
        <v>56.752453494708526</v>
      </c>
      <c r="AH25" s="730">
        <f t="shared" si="40"/>
        <v>-76.51264258264554</v>
      </c>
      <c r="AI25" s="360">
        <f t="shared" si="10"/>
        <v>103.48735741735446</v>
      </c>
      <c r="AL25" s="337">
        <f t="shared" si="11"/>
        <v>50.05465967935681</v>
      </c>
      <c r="AM25" s="730">
        <f t="shared" si="12"/>
        <v>-76.378354796294985</v>
      </c>
      <c r="AN25" s="351"/>
      <c r="AO25" s="337">
        <f t="shared" si="13"/>
        <v>59.969725014091146</v>
      </c>
      <c r="AP25" s="730">
        <f t="shared" si="14"/>
        <v>-0.13428778635052632</v>
      </c>
      <c r="AS25" s="351"/>
      <c r="AT25" s="351"/>
      <c r="AV25" s="405">
        <f t="shared" si="15"/>
        <v>0</v>
      </c>
      <c r="AW25" s="405">
        <f t="shared" si="16"/>
        <v>0</v>
      </c>
      <c r="AX25" s="405">
        <f t="shared" si="17"/>
        <v>0</v>
      </c>
      <c r="AY25" s="405">
        <f t="shared" si="18"/>
        <v>0</v>
      </c>
    </row>
    <row r="26" spans="2:51" ht="13.5" thickBot="1" x14ac:dyDescent="0.25">
      <c r="B26" s="345">
        <v>3.3113000000000001</v>
      </c>
      <c r="C26" s="728" t="str">
        <f t="shared" si="0"/>
        <v>2.16217503399043</v>
      </c>
      <c r="D26" s="728" t="str">
        <f t="shared" si="1"/>
        <v>1+0.00253133723343243i</v>
      </c>
      <c r="E26" s="337">
        <f t="shared" si="20"/>
        <v>1.0000032038289624</v>
      </c>
      <c r="F26" s="338">
        <f t="shared" si="21"/>
        <v>2.5313318267968605E-3</v>
      </c>
      <c r="G26" s="338" t="str">
        <f t="shared" si="2"/>
        <v>1+0.0000104027557538319i</v>
      </c>
      <c r="H26" s="337">
        <f t="shared" si="22"/>
        <v>1.0000000000541087</v>
      </c>
      <c r="I26" s="338">
        <f t="shared" si="23"/>
        <v>1.0402755753456647E-5</v>
      </c>
      <c r="J26" s="340">
        <f t="shared" si="3"/>
        <v>1</v>
      </c>
      <c r="K26" s="338">
        <f t="shared" si="24"/>
        <v>1</v>
      </c>
      <c r="L26" s="339">
        <f t="shared" si="25"/>
        <v>0</v>
      </c>
      <c r="M26" s="731" t="str">
        <f t="shared" si="4"/>
        <v>0.99999999951268+0.0000489063737253334i</v>
      </c>
      <c r="N26" s="338">
        <f t="shared" si="26"/>
        <v>1.0000000007085967</v>
      </c>
      <c r="O26" s="339">
        <f t="shared" si="27"/>
        <v>4.8906373710174482E-5</v>
      </c>
      <c r="P26" s="732" t="str">
        <f t="shared" si="19"/>
        <v>2.16216096582475-0.00555641011885568i</v>
      </c>
      <c r="Q26" s="337">
        <f t="shared" si="28"/>
        <v>2.1621681053585138</v>
      </c>
      <c r="R26" s="339">
        <f t="shared" si="29"/>
        <v>-2.5698354447535798E-3</v>
      </c>
      <c r="S26" s="731" t="str">
        <f t="shared" si="5"/>
        <v>6000</v>
      </c>
      <c r="T26" s="337" t="str">
        <f t="shared" si="6"/>
        <v>1+21.0135666227404i</v>
      </c>
      <c r="U26" s="346">
        <f t="shared" si="30"/>
        <v>21.037347318717472</v>
      </c>
      <c r="V26" s="347">
        <f t="shared" si="31"/>
        <v>1.5232438974630658</v>
      </c>
      <c r="W26" s="340" t="str">
        <f t="shared" si="7"/>
        <v>1+0.208055115076638i</v>
      </c>
      <c r="X26" s="337">
        <f t="shared" si="32"/>
        <v>1.0214141818623594</v>
      </c>
      <c r="Y26" s="339">
        <f t="shared" si="33"/>
        <v>0.20512872926494671</v>
      </c>
      <c r="Z26" s="337" t="str">
        <f t="shared" si="8"/>
        <v>1+0.0020958340738433i</v>
      </c>
      <c r="AA26" s="346">
        <f t="shared" si="34"/>
        <v>1.0000021962578207</v>
      </c>
      <c r="AB26" s="347">
        <f t="shared" si="35"/>
        <v>2.0958310051867003E-3</v>
      </c>
      <c r="AC26" s="732" t="str">
        <f t="shared" si="36"/>
        <v>72.2374123582692-282.215419286388i</v>
      </c>
      <c r="AD26" s="337">
        <f t="shared" si="37"/>
        <v>291.31389707188777</v>
      </c>
      <c r="AE26" s="339">
        <f t="shared" si="38"/>
        <v>-1.3202109992033058</v>
      </c>
      <c r="AF26" s="736" t="str">
        <f t="shared" si="9"/>
        <v>154.620808661816-610.596544223881i</v>
      </c>
      <c r="AG26" s="337">
        <f t="shared" si="39"/>
        <v>55.985013194702631</v>
      </c>
      <c r="AH26" s="730">
        <f t="shared" si="40"/>
        <v>-75.789759046126235</v>
      </c>
      <c r="AI26" s="360">
        <f t="shared" si="10"/>
        <v>104.21024095387376</v>
      </c>
      <c r="AL26" s="337">
        <f t="shared" si="11"/>
        <v>49.287224061085709</v>
      </c>
      <c r="AM26" s="730">
        <f t="shared" si="12"/>
        <v>-75.642518321098706</v>
      </c>
      <c r="AN26" s="351"/>
      <c r="AO26" s="337">
        <f t="shared" si="13"/>
        <v>59.96972033235636</v>
      </c>
      <c r="AP26" s="730">
        <f t="shared" si="14"/>
        <v>-0.14724072502750513</v>
      </c>
      <c r="AS26" s="351"/>
      <c r="AT26" s="351"/>
      <c r="AV26" s="405">
        <f t="shared" si="15"/>
        <v>0</v>
      </c>
      <c r="AW26" s="405">
        <f t="shared" si="16"/>
        <v>0</v>
      </c>
      <c r="AX26" s="405">
        <f t="shared" si="17"/>
        <v>0</v>
      </c>
      <c r="AY26" s="405">
        <f t="shared" si="18"/>
        <v>0</v>
      </c>
    </row>
    <row r="27" spans="2:51" ht="13.5" thickBot="1" x14ac:dyDescent="0.25">
      <c r="B27" s="345">
        <v>3.6307999999999998</v>
      </c>
      <c r="C27" s="728" t="str">
        <f t="shared" si="0"/>
        <v>2.16217503399043</v>
      </c>
      <c r="D27" s="728" t="str">
        <f t="shared" si="1"/>
        <v>1+0.00277558035428576i</v>
      </c>
      <c r="E27" s="337">
        <f t="shared" si="20"/>
        <v>1.0000038519157328</v>
      </c>
      <c r="F27" s="338">
        <f t="shared" si="21"/>
        <v>2.7755732267705554E-3</v>
      </c>
      <c r="G27" s="338" t="str">
        <f t="shared" si="2"/>
        <v>1+0.0000114064946066538i</v>
      </c>
      <c r="H27" s="337">
        <f t="shared" si="22"/>
        <v>1.0000000000650542</v>
      </c>
      <c r="I27" s="338">
        <f t="shared" si="23"/>
        <v>1.1406494606159107E-5</v>
      </c>
      <c r="J27" s="340">
        <f t="shared" si="3"/>
        <v>1</v>
      </c>
      <c r="K27" s="338">
        <f t="shared" si="24"/>
        <v>1</v>
      </c>
      <c r="L27" s="339">
        <f t="shared" si="25"/>
        <v>0</v>
      </c>
      <c r="M27" s="731" t="str">
        <f t="shared" si="4"/>
        <v>0.999999999414102+0.0000536252413619847i</v>
      </c>
      <c r="N27" s="338">
        <f t="shared" si="26"/>
        <v>1.0000000008519352</v>
      </c>
      <c r="O27" s="339">
        <f t="shared" si="27"/>
        <v>5.362524134200085E-5</v>
      </c>
      <c r="P27" s="732" t="str">
        <f t="shared" si="19"/>
        <v>2.16215812006129-0.00609252792096121i</v>
      </c>
      <c r="Q27" s="337">
        <f t="shared" si="28"/>
        <v>2.1621667038051067</v>
      </c>
      <c r="R27" s="339">
        <f t="shared" si="29"/>
        <v>-2.8177919735064005E-3</v>
      </c>
      <c r="S27" s="731" t="str">
        <f t="shared" si="5"/>
        <v>6000</v>
      </c>
      <c r="T27" s="337" t="str">
        <f t="shared" si="6"/>
        <v>1+23.0411191054407i</v>
      </c>
      <c r="U27" s="346">
        <f t="shared" si="30"/>
        <v>23.062809231121534</v>
      </c>
      <c r="V27" s="347">
        <f t="shared" si="31"/>
        <v>1.5274228764270381</v>
      </c>
      <c r="W27" s="340" t="str">
        <f t="shared" si="7"/>
        <v>1+0.228129892133076i</v>
      </c>
      <c r="X27" s="337">
        <f t="shared" si="32"/>
        <v>1.0256915948201237</v>
      </c>
      <c r="Y27" s="339">
        <f t="shared" si="33"/>
        <v>0.22429151442927597</v>
      </c>
      <c r="Z27" s="337" t="str">
        <f t="shared" si="8"/>
        <v>1+0.0022980564597923i</v>
      </c>
      <c r="AA27" s="346">
        <f t="shared" si="34"/>
        <v>1.00000264052826</v>
      </c>
      <c r="AB27" s="347">
        <f t="shared" si="35"/>
        <v>2.2980524144110936E-3</v>
      </c>
      <c r="AC27" s="732" t="str">
        <f t="shared" si="36"/>
        <v>69.9829597734714-257.501853207902i</v>
      </c>
      <c r="AD27" s="337">
        <f t="shared" si="37"/>
        <v>266.84231123298127</v>
      </c>
      <c r="AE27" s="339">
        <f t="shared" si="38"/>
        <v>-1.305429414412173</v>
      </c>
      <c r="AF27" s="736" t="str">
        <f t="shared" si="9"/>
        <v>149.745387509765-557.186095980707i</v>
      </c>
      <c r="AG27" s="337">
        <f t="shared" si="39"/>
        <v>55.222877375340211</v>
      </c>
      <c r="AH27" s="730">
        <f t="shared" si="40"/>
        <v>-74.957043485679833</v>
      </c>
      <c r="AI27" s="360">
        <f t="shared" si="10"/>
        <v>105.04295651432017</v>
      </c>
      <c r="AL27" s="337">
        <f t="shared" si="11"/>
        <v>48.52509387206355</v>
      </c>
      <c r="AM27" s="730">
        <f t="shared" si="12"/>
        <v>-74.795595898052028</v>
      </c>
      <c r="AN27" s="351"/>
      <c r="AO27" s="337">
        <f t="shared" si="13"/>
        <v>59.969714702016084</v>
      </c>
      <c r="AP27" s="730">
        <f t="shared" si="14"/>
        <v>-0.16144758762775591</v>
      </c>
      <c r="AS27" s="351"/>
      <c r="AT27" s="351"/>
      <c r="AV27" s="405">
        <f t="shared" si="15"/>
        <v>0</v>
      </c>
      <c r="AW27" s="405">
        <f t="shared" si="16"/>
        <v>0</v>
      </c>
      <c r="AX27" s="405">
        <f t="shared" si="17"/>
        <v>0</v>
      </c>
      <c r="AY27" s="405">
        <f t="shared" si="18"/>
        <v>0</v>
      </c>
    </row>
    <row r="28" spans="2:51" ht="13.5" thickBot="1" x14ac:dyDescent="0.25">
      <c r="B28" s="345">
        <v>3.9811000000000001</v>
      </c>
      <c r="C28" s="728" t="str">
        <f t="shared" si="0"/>
        <v>2.16217503399043</v>
      </c>
      <c r="D28" s="728" t="str">
        <f t="shared" si="1"/>
        <v>1+0.00304336866488021i</v>
      </c>
      <c r="E28" s="337">
        <f t="shared" si="20"/>
        <v>1.000004631035692</v>
      </c>
      <c r="F28" s="338">
        <f t="shared" si="21"/>
        <v>3.0433592689447287E-3</v>
      </c>
      <c r="G28" s="338" t="str">
        <f t="shared" si="2"/>
        <v>1+0.0000125069945132063i</v>
      </c>
      <c r="H28" s="337">
        <f t="shared" si="22"/>
        <v>1.0000000000782125</v>
      </c>
      <c r="I28" s="338">
        <f t="shared" si="23"/>
        <v>1.2506994512554164E-5</v>
      </c>
      <c r="J28" s="340">
        <f t="shared" si="3"/>
        <v>1</v>
      </c>
      <c r="K28" s="338">
        <f t="shared" si="24"/>
        <v>1</v>
      </c>
      <c r="L28" s="339">
        <f t="shared" si="25"/>
        <v>0</v>
      </c>
      <c r="M28" s="731" t="str">
        <f t="shared" si="4"/>
        <v>0.999999999295593+0.0000587990107927173i</v>
      </c>
      <c r="N28" s="338">
        <f t="shared" si="26"/>
        <v>1.0000000010242549</v>
      </c>
      <c r="O28" s="339">
        <f t="shared" si="27"/>
        <v>5.8799010766373332E-5</v>
      </c>
      <c r="P28" s="732" t="str">
        <f t="shared" si="19"/>
        <v>2.16215469893551-0.00668032530105049i</v>
      </c>
      <c r="Q28" s="337">
        <f t="shared" si="28"/>
        <v>2.1621650188815456</v>
      </c>
      <c r="R28" s="339">
        <f t="shared" si="29"/>
        <v>-3.0896512851985511E-3</v>
      </c>
      <c r="S28" s="731" t="str">
        <f t="shared" si="5"/>
        <v>6000</v>
      </c>
      <c r="T28" s="337" t="str">
        <f t="shared" si="6"/>
        <v>1+25.2641289166768i</v>
      </c>
      <c r="U28" s="346">
        <f t="shared" si="30"/>
        <v>25.283912077019743</v>
      </c>
      <c r="V28" s="347">
        <f t="shared" si="31"/>
        <v>1.5312351666328359</v>
      </c>
      <c r="W28" s="340" t="str">
        <f t="shared" si="7"/>
        <v>1+0.250139890264127i</v>
      </c>
      <c r="X28" s="337">
        <f t="shared" si="32"/>
        <v>1.0308103437108833</v>
      </c>
      <c r="Y28" s="339">
        <f t="shared" si="33"/>
        <v>0.24511032021762408</v>
      </c>
      <c r="Z28" s="337" t="str">
        <f t="shared" si="8"/>
        <v>1+0.00251977321033358i</v>
      </c>
      <c r="AA28" s="346">
        <f t="shared" si="34"/>
        <v>1.0000031746234765</v>
      </c>
      <c r="AB28" s="347">
        <f t="shared" si="35"/>
        <v>2.5197678774579713E-3</v>
      </c>
      <c r="AC28" s="732" t="str">
        <f t="shared" si="36"/>
        <v>68.106624361989-234.943268800937i</v>
      </c>
      <c r="AD28" s="337">
        <f t="shared" si="37"/>
        <v>244.61572279159489</v>
      </c>
      <c r="AE28" s="339">
        <f t="shared" si="38"/>
        <v>-1.28864461429267</v>
      </c>
      <c r="AF28" s="736" t="str">
        <f t="shared" si="9"/>
        <v>145.687560430028-508.438667027109i</v>
      </c>
      <c r="AG28" s="337">
        <f t="shared" si="39"/>
        <v>54.467464096197098</v>
      </c>
      <c r="AH28" s="730">
        <f t="shared" si="40"/>
        <v>-74.010921670042862</v>
      </c>
      <c r="AI28" s="360">
        <f t="shared" si="10"/>
        <v>105.98907832995714</v>
      </c>
      <c r="AL28" s="337">
        <f t="shared" si="11"/>
        <v>47.769687361624165</v>
      </c>
      <c r="AM28" s="730">
        <f t="shared" si="12"/>
        <v>-73.83389769123383</v>
      </c>
      <c r="AN28" s="351"/>
      <c r="AO28" s="337">
        <f t="shared" si="13"/>
        <v>59.969707933312371</v>
      </c>
      <c r="AP28" s="730">
        <f t="shared" si="14"/>
        <v>-0.17702397880904755</v>
      </c>
      <c r="AS28" s="351"/>
      <c r="AT28" s="351"/>
      <c r="AV28" s="405">
        <f t="shared" si="15"/>
        <v>0</v>
      </c>
      <c r="AW28" s="405">
        <f t="shared" si="16"/>
        <v>0</v>
      </c>
      <c r="AX28" s="405">
        <f t="shared" si="17"/>
        <v>0</v>
      </c>
      <c r="AY28" s="405">
        <f t="shared" si="18"/>
        <v>0</v>
      </c>
    </row>
    <row r="29" spans="2:51" ht="13.5" thickBot="1" x14ac:dyDescent="0.25">
      <c r="B29" s="345">
        <v>4.3651999999999997</v>
      </c>
      <c r="C29" s="728" t="str">
        <f t="shared" si="0"/>
        <v>2.16217503399043</v>
      </c>
      <c r="D29" s="728" t="str">
        <f t="shared" si="1"/>
        <v>1+0.00333699552785287i</v>
      </c>
      <c r="E29" s="337">
        <f t="shared" si="20"/>
        <v>1.0000055677540765</v>
      </c>
      <c r="F29" s="338">
        <f t="shared" si="21"/>
        <v>3.3369831415208428E-3</v>
      </c>
      <c r="G29" s="338" t="str">
        <f t="shared" si="2"/>
        <v>1+0.0000137136802514501i</v>
      </c>
      <c r="H29" s="337">
        <f t="shared" si="22"/>
        <v>1.0000000000940326</v>
      </c>
      <c r="I29" s="338">
        <f t="shared" si="23"/>
        <v>1.3713680250590412E-5</v>
      </c>
      <c r="J29" s="340">
        <f t="shared" si="3"/>
        <v>1</v>
      </c>
      <c r="K29" s="338">
        <f t="shared" si="24"/>
        <v>1</v>
      </c>
      <c r="L29" s="339">
        <f t="shared" si="25"/>
        <v>0</v>
      </c>
      <c r="M29" s="731" t="str">
        <f t="shared" si="4"/>
        <v>0.999999999153112+0.0000644719906338371i</v>
      </c>
      <c r="N29" s="338">
        <f t="shared" si="26"/>
        <v>1.0000000012314305</v>
      </c>
      <c r="O29" s="339">
        <f t="shared" si="27"/>
        <v>6.4471990599108763E-5</v>
      </c>
      <c r="P29" s="732" t="str">
        <f t="shared" si="19"/>
        <v>2.16215058580359-0.00732483518660222i</v>
      </c>
      <c r="Q29" s="337">
        <f t="shared" si="28"/>
        <v>2.1621629931393516</v>
      </c>
      <c r="R29" s="339">
        <f t="shared" si="29"/>
        <v>-3.3877414518693728E-3</v>
      </c>
      <c r="S29" s="731" t="str">
        <f t="shared" si="5"/>
        <v>6000</v>
      </c>
      <c r="T29" s="337" t="str">
        <f t="shared" si="6"/>
        <v>1+27.7016341079293i</v>
      </c>
      <c r="U29" s="346">
        <f t="shared" si="30"/>
        <v>27.719677708256135</v>
      </c>
      <c r="V29" s="347">
        <f t="shared" si="31"/>
        <v>1.5347130416978869</v>
      </c>
      <c r="W29" s="340" t="str">
        <f t="shared" si="7"/>
        <v>1+0.274273605029003i</v>
      </c>
      <c r="X29" s="337">
        <f t="shared" si="32"/>
        <v>1.0369310538389742</v>
      </c>
      <c r="Y29" s="339">
        <f t="shared" si="33"/>
        <v>0.26769076194620528</v>
      </c>
      <c r="Z29" s="337" t="str">
        <f t="shared" si="8"/>
        <v>1+0.00276288312721311i</v>
      </c>
      <c r="AA29" s="346">
        <f t="shared" si="34"/>
        <v>1.0000038167543035</v>
      </c>
      <c r="AB29" s="347">
        <f t="shared" si="35"/>
        <v>2.7628760970678486E-3</v>
      </c>
      <c r="AC29" s="732" t="str">
        <f t="shared" si="36"/>
        <v>66.5450233314294-214.353992025536i</v>
      </c>
      <c r="AD29" s="337">
        <f t="shared" si="37"/>
        <v>224.44570396303877</v>
      </c>
      <c r="AE29" s="339">
        <f t="shared" si="38"/>
        <v>-1.269785155848749</v>
      </c>
      <c r="AF29" s="736" t="str">
        <f t="shared" si="9"/>
        <v>142.310253515186-463.953040755742i</v>
      </c>
      <c r="AG29" s="337">
        <f t="shared" si="39"/>
        <v>53.719994539479295</v>
      </c>
      <c r="AH29" s="730">
        <f t="shared" si="40"/>
        <v>-72.947433605768481</v>
      </c>
      <c r="AI29" s="360">
        <f t="shared" si="10"/>
        <v>107.05256639423152</v>
      </c>
      <c r="AL29" s="337">
        <f t="shared" si="11"/>
        <v>47.022225942759491</v>
      </c>
      <c r="AM29" s="730">
        <f t="shared" si="12"/>
        <v>-72.75333031849479</v>
      </c>
      <c r="AN29" s="351"/>
      <c r="AO29" s="337">
        <f t="shared" si="13"/>
        <v>59.969699795459235</v>
      </c>
      <c r="AP29" s="730">
        <f t="shared" si="14"/>
        <v>-0.19410328727363715</v>
      </c>
      <c r="AS29" s="351"/>
      <c r="AT29" s="351"/>
      <c r="AV29" s="405">
        <f t="shared" si="15"/>
        <v>0</v>
      </c>
      <c r="AW29" s="405">
        <f t="shared" si="16"/>
        <v>0</v>
      </c>
      <c r="AX29" s="405">
        <f t="shared" si="17"/>
        <v>0</v>
      </c>
      <c r="AY29" s="405">
        <f t="shared" si="18"/>
        <v>0</v>
      </c>
    </row>
    <row r="30" spans="2:51" ht="13.5" thickBot="1" x14ac:dyDescent="0.25">
      <c r="B30" s="345">
        <v>4.7862999999999998</v>
      </c>
      <c r="C30" s="728" t="str">
        <f t="shared" si="0"/>
        <v>2.16217503399043</v>
      </c>
      <c r="D30" s="728" t="str">
        <f t="shared" si="1"/>
        <v>1+0.00365890719668337i</v>
      </c>
      <c r="E30" s="337">
        <f t="shared" si="20"/>
        <v>1.0000066937785337</v>
      </c>
      <c r="F30" s="338">
        <f t="shared" si="21"/>
        <v>3.6588908688169101E-3</v>
      </c>
      <c r="G30" s="338" t="str">
        <f t="shared" si="2"/>
        <v>1+0.0000150366049178769i</v>
      </c>
      <c r="H30" s="337">
        <f t="shared" si="22"/>
        <v>1.0000000001130498</v>
      </c>
      <c r="I30" s="338">
        <f t="shared" si="23"/>
        <v>1.5036604916743644E-5</v>
      </c>
      <c r="J30" s="340">
        <f t="shared" si="3"/>
        <v>1</v>
      </c>
      <c r="K30" s="338">
        <f t="shared" si="24"/>
        <v>1</v>
      </c>
      <c r="L30" s="339">
        <f t="shared" si="25"/>
        <v>0</v>
      </c>
      <c r="M30" s="731" t="str">
        <f t="shared" si="4"/>
        <v>0.999999998981837+0.0000706914434094052i</v>
      </c>
      <c r="N30" s="338">
        <f t="shared" si="26"/>
        <v>1.0000000014804769</v>
      </c>
      <c r="O30" s="339">
        <f t="shared" si="27"/>
        <v>7.069144336362563E-5</v>
      </c>
      <c r="P30" s="732" t="str">
        <f t="shared" si="19"/>
        <v>2.16214564144371-0.00803142574973992i</v>
      </c>
      <c r="Q30" s="337">
        <f t="shared" si="28"/>
        <v>2.1621605580098824</v>
      </c>
      <c r="R30" s="339">
        <f t="shared" si="29"/>
        <v>-3.7145457072637928E-3</v>
      </c>
      <c r="S30" s="731" t="str">
        <f t="shared" si="5"/>
        <v>6000</v>
      </c>
      <c r="T30" s="337" t="str">
        <f t="shared" si="6"/>
        <v>1+30.3739419341112i</v>
      </c>
      <c r="U30" s="346">
        <f t="shared" si="30"/>
        <v>30.390398954550744</v>
      </c>
      <c r="V30" s="347">
        <f t="shared" si="31"/>
        <v>1.5378852568415875</v>
      </c>
      <c r="W30" s="340" t="str">
        <f t="shared" si="7"/>
        <v>1+0.300732098357537i</v>
      </c>
      <c r="X30" s="337">
        <f t="shared" si="32"/>
        <v>1.0442412532468381</v>
      </c>
      <c r="Y30" s="339">
        <f t="shared" si="33"/>
        <v>0.29212830893943093</v>
      </c>
      <c r="Z30" s="337" t="str">
        <f t="shared" si="8"/>
        <v>1+0.00302941159895999i</v>
      </c>
      <c r="AA30" s="346">
        <f t="shared" si="34"/>
        <v>1.0000045886567901</v>
      </c>
      <c r="AB30" s="347">
        <f t="shared" si="35"/>
        <v>3.0294023317030214E-3</v>
      </c>
      <c r="AC30" s="732" t="str">
        <f t="shared" si="36"/>
        <v>65.245648662816-195.56781593897i</v>
      </c>
      <c r="AD30" s="337">
        <f t="shared" si="37"/>
        <v>206.16441327389768</v>
      </c>
      <c r="AE30" s="339">
        <f t="shared" si="38"/>
        <v>-1.2487863502338599</v>
      </c>
      <c r="AF30" s="736" t="str">
        <f t="shared" si="9"/>
        <v>139.499906486723-423.370116421839i</v>
      </c>
      <c r="AG30" s="337">
        <f t="shared" si="39"/>
        <v>52.982032862249454</v>
      </c>
      <c r="AH30" s="730">
        <f t="shared" si="40"/>
        <v>-71.763015173780644</v>
      </c>
      <c r="AI30" s="360">
        <f t="shared" si="10"/>
        <v>108.23698482621936</v>
      </c>
      <c r="AL30" s="337">
        <f t="shared" si="11"/>
        <v>46.284274047991829</v>
      </c>
      <c r="AM30" s="730">
        <f t="shared" si="12"/>
        <v>-71.550187381946031</v>
      </c>
      <c r="AN30" s="351"/>
      <c r="AO30" s="337">
        <f t="shared" si="13"/>
        <v>59.969690012997042</v>
      </c>
      <c r="AP30" s="730">
        <f t="shared" si="14"/>
        <v>-0.21282779183465295</v>
      </c>
      <c r="AS30" s="351"/>
      <c r="AT30" s="351"/>
      <c r="AV30" s="405">
        <f t="shared" si="15"/>
        <v>0</v>
      </c>
      <c r="AW30" s="405">
        <f t="shared" si="16"/>
        <v>0</v>
      </c>
      <c r="AX30" s="405">
        <f t="shared" si="17"/>
        <v>0</v>
      </c>
      <c r="AY30" s="405">
        <f t="shared" si="18"/>
        <v>0</v>
      </c>
    </row>
    <row r="31" spans="2:51" ht="13.5" thickBot="1" x14ac:dyDescent="0.25">
      <c r="B31" s="345">
        <v>5.2481</v>
      </c>
      <c r="C31" s="728" t="str">
        <f t="shared" si="0"/>
        <v>2.16217503399043</v>
      </c>
      <c r="D31" s="728" t="str">
        <f t="shared" si="1"/>
        <v>1+0.00401193215195745i</v>
      </c>
      <c r="E31" s="337">
        <f t="shared" si="20"/>
        <v>1.0000080477674127</v>
      </c>
      <c r="F31" s="338">
        <f t="shared" si="21"/>
        <v>4.0119106273474852E-3</v>
      </c>
      <c r="G31" s="338" t="str">
        <f t="shared" si="2"/>
        <v>1+0.0000164873924053046i</v>
      </c>
      <c r="H31" s="337">
        <f t="shared" si="22"/>
        <v>1.0000000001359171</v>
      </c>
      <c r="I31" s="338">
        <f t="shared" si="23"/>
        <v>1.6487392403810654E-5</v>
      </c>
      <c r="J31" s="340">
        <f t="shared" si="3"/>
        <v>1</v>
      </c>
      <c r="K31" s="338">
        <f t="shared" si="24"/>
        <v>1</v>
      </c>
      <c r="L31" s="339">
        <f t="shared" si="25"/>
        <v>0</v>
      </c>
      <c r="M31" s="731" t="str">
        <f t="shared" si="4"/>
        <v>0.999999998775887+0.0000775120164128657i</v>
      </c>
      <c r="N31" s="338">
        <f t="shared" si="26"/>
        <v>1.0000000017799433</v>
      </c>
      <c r="O31" s="339">
        <f t="shared" si="27"/>
        <v>7.7512016352515519E-5</v>
      </c>
      <c r="P31" s="732" t="str">
        <f t="shared" si="19"/>
        <v>2.1621396961169-0.00880630368193664i</v>
      </c>
      <c r="Q31" s="337">
        <f t="shared" si="28"/>
        <v>2.1621576298940415</v>
      </c>
      <c r="R31" s="339">
        <f t="shared" si="29"/>
        <v>-4.0729352512961954E-3</v>
      </c>
      <c r="S31" s="731" t="str">
        <f t="shared" si="5"/>
        <v>6000</v>
      </c>
      <c r="T31" s="337" t="str">
        <f t="shared" si="6"/>
        <v>1+33.3045326587153i</v>
      </c>
      <c r="U31" s="346">
        <f t="shared" si="30"/>
        <v>33.319542247987656</v>
      </c>
      <c r="V31" s="347">
        <f t="shared" si="31"/>
        <v>1.540779402263452</v>
      </c>
      <c r="W31" s="340" t="str">
        <f t="shared" si="7"/>
        <v>1+0.329747848106092i</v>
      </c>
      <c r="X31" s="337">
        <f t="shared" si="32"/>
        <v>1.0529642174977258</v>
      </c>
      <c r="Y31" s="339">
        <f t="shared" si="33"/>
        <v>0.31852015415130946</v>
      </c>
      <c r="Z31" s="337" t="str">
        <f t="shared" si="8"/>
        <v>1+0.00332170048106092i</v>
      </c>
      <c r="AA31" s="346">
        <f t="shared" si="34"/>
        <v>1.0000055168318251</v>
      </c>
      <c r="AB31" s="347">
        <f t="shared" si="35"/>
        <v>3.3216882642661469E-3</v>
      </c>
      <c r="AC31" s="732" t="str">
        <f t="shared" si="36"/>
        <v>64.1642296321878-178.424405435421i</v>
      </c>
      <c r="AD31" s="337">
        <f t="shared" si="37"/>
        <v>189.61096175927068</v>
      </c>
      <c r="AE31" s="339">
        <f t="shared" si="38"/>
        <v>-1.2255809363764099</v>
      </c>
      <c r="AF31" s="736" t="str">
        <f t="shared" si="9"/>
        <v>137.16076845998-386.343539439638i</v>
      </c>
      <c r="AG31" s="337">
        <f t="shared" si="39"/>
        <v>52.255015873193841</v>
      </c>
      <c r="AH31" s="730">
        <f t="shared" si="40"/>
        <v>-70.453977106189086</v>
      </c>
      <c r="AI31" s="360">
        <f t="shared" si="10"/>
        <v>109.54602289381091</v>
      </c>
      <c r="AL31" s="337">
        <f t="shared" si="11"/>
        <v>45.55726882185003</v>
      </c>
      <c r="AM31" s="730">
        <f t="shared" si="12"/>
        <v>-70.220615106059753</v>
      </c>
      <c r="AN31" s="351"/>
      <c r="AO31" s="337">
        <f t="shared" si="13"/>
        <v>59.969678250083248</v>
      </c>
      <c r="AP31" s="730">
        <f t="shared" si="14"/>
        <v>-0.23336200012932737</v>
      </c>
      <c r="AS31" s="351"/>
      <c r="AT31" s="351"/>
      <c r="AV31" s="405">
        <f t="shared" si="15"/>
        <v>0</v>
      </c>
      <c r="AW31" s="405">
        <f t="shared" si="16"/>
        <v>0</v>
      </c>
      <c r="AX31" s="405">
        <f t="shared" si="17"/>
        <v>0</v>
      </c>
      <c r="AY31" s="405">
        <f t="shared" si="18"/>
        <v>0</v>
      </c>
    </row>
    <row r="32" spans="2:51" ht="13.5" thickBot="1" x14ac:dyDescent="0.25">
      <c r="B32" s="345">
        <v>5.7544000000000004</v>
      </c>
      <c r="C32" s="728" t="str">
        <f t="shared" si="0"/>
        <v>2.16217503399043</v>
      </c>
      <c r="D32" s="728" t="str">
        <f t="shared" si="1"/>
        <v>1+0.00439897531968216i</v>
      </c>
      <c r="E32" s="337">
        <f t="shared" si="20"/>
        <v>1.0000096754451244</v>
      </c>
      <c r="F32" s="338">
        <f t="shared" si="21"/>
        <v>4.3989469451781293E-3</v>
      </c>
      <c r="G32" s="338" t="str">
        <f t="shared" si="2"/>
        <v>1+0.0000180779807658171i</v>
      </c>
      <c r="H32" s="337">
        <f t="shared" si="22"/>
        <v>1.0000000001634066</v>
      </c>
      <c r="I32" s="338">
        <f t="shared" si="23"/>
        <v>1.8077980763847726E-5</v>
      </c>
      <c r="J32" s="340">
        <f t="shared" si="3"/>
        <v>1</v>
      </c>
      <c r="K32" s="338">
        <f t="shared" si="24"/>
        <v>1</v>
      </c>
      <c r="L32" s="339">
        <f t="shared" si="25"/>
        <v>0</v>
      </c>
      <c r="M32" s="731" t="str">
        <f t="shared" si="4"/>
        <v>0.999999998528306+0.0000849898338915405i</v>
      </c>
      <c r="N32" s="338">
        <f t="shared" si="26"/>
        <v>1.0000000021399418</v>
      </c>
      <c r="O32" s="339">
        <f t="shared" si="27"/>
        <v>8.4989833811984636E-5</v>
      </c>
      <c r="P32" s="732" t="str">
        <f t="shared" si="19"/>
        <v>2.16213254906215-0.00965584285895068i</v>
      </c>
      <c r="Q32" s="337">
        <f t="shared" si="28"/>
        <v>2.1621541099133772</v>
      </c>
      <c r="R32" s="339">
        <f t="shared" si="29"/>
        <v>-4.4658587982262642E-3</v>
      </c>
      <c r="S32" s="731" t="str">
        <f t="shared" si="5"/>
        <v>6000</v>
      </c>
      <c r="T32" s="337" t="str">
        <f t="shared" si="6"/>
        <v>1+36.5175211469505i</v>
      </c>
      <c r="U32" s="346">
        <f t="shared" si="30"/>
        <v>36.531210638548195</v>
      </c>
      <c r="V32" s="347">
        <f t="shared" si="31"/>
        <v>1.5434190537009351</v>
      </c>
      <c r="W32" s="340" t="str">
        <f t="shared" si="7"/>
        <v>1+0.361559615316342i</v>
      </c>
      <c r="X32" s="337">
        <f t="shared" si="32"/>
        <v>1.0633557050336926</v>
      </c>
      <c r="Y32" s="339">
        <f t="shared" si="33"/>
        <v>0.34693557306899775</v>
      </c>
      <c r="Z32" s="337" t="str">
        <f t="shared" si="8"/>
        <v>1+0.00364215492239419i</v>
      </c>
      <c r="AA32" s="346">
        <f t="shared" si="34"/>
        <v>1.0000066326242434</v>
      </c>
      <c r="AB32" s="347">
        <f t="shared" si="35"/>
        <v>3.6421388177722697E-3</v>
      </c>
      <c r="AC32" s="732" t="str">
        <f t="shared" si="36"/>
        <v>63.2644997261784-162.786431139169i</v>
      </c>
      <c r="AD32" s="337">
        <f t="shared" si="37"/>
        <v>174.64769992367789</v>
      </c>
      <c r="AE32" s="339">
        <f t="shared" si="38"/>
        <v>-1.2001256194497096</v>
      </c>
      <c r="AF32" s="736" t="str">
        <f t="shared" si="9"/>
        <v>135.214393859455-352.576713379568i</v>
      </c>
      <c r="AG32" s="337">
        <f t="shared" si="39"/>
        <v>51.540990319497311</v>
      </c>
      <c r="AH32" s="730">
        <f t="shared" si="40"/>
        <v>-69.018007741031596</v>
      </c>
      <c r="AI32" s="360">
        <f t="shared" si="10"/>
        <v>110.9819922589684</v>
      </c>
      <c r="AL32" s="337">
        <f t="shared" si="11"/>
        <v>44.843257408745302</v>
      </c>
      <c r="AM32" s="730">
        <f t="shared" si="12"/>
        <v>-68.76213287999191</v>
      </c>
      <c r="AN32" s="351"/>
      <c r="AO32" s="337">
        <f t="shared" si="13"/>
        <v>59.969664109491433</v>
      </c>
      <c r="AP32" s="730">
        <f t="shared" si="14"/>
        <v>-0.25587486103973073</v>
      </c>
      <c r="AS32" s="351"/>
      <c r="AT32" s="351"/>
      <c r="AV32" s="405">
        <f t="shared" si="15"/>
        <v>0</v>
      </c>
      <c r="AW32" s="405">
        <f t="shared" si="16"/>
        <v>0</v>
      </c>
      <c r="AX32" s="405">
        <f t="shared" si="17"/>
        <v>0</v>
      </c>
      <c r="AY32" s="405">
        <f t="shared" si="18"/>
        <v>0</v>
      </c>
    </row>
    <row r="33" spans="2:51" ht="13.5" thickBot="1" x14ac:dyDescent="0.25">
      <c r="B33" s="345">
        <v>6.3095999999999997</v>
      </c>
      <c r="C33" s="728" t="str">
        <f t="shared" si="0"/>
        <v>2.16217503399043</v>
      </c>
      <c r="D33" s="728" t="str">
        <f t="shared" si="1"/>
        <v>1+0.00482340029839194i</v>
      </c>
      <c r="E33" s="337">
        <f t="shared" si="20"/>
        <v>1.0000116325275614</v>
      </c>
      <c r="F33" s="338">
        <f t="shared" si="21"/>
        <v>4.8233628931385816E-3</v>
      </c>
      <c r="G33" s="338" t="str">
        <f t="shared" si="2"/>
        <v>1+0.0000198221930070901i</v>
      </c>
      <c r="H33" s="337">
        <f t="shared" si="22"/>
        <v>1.0000000001964597</v>
      </c>
      <c r="I33" s="338">
        <f t="shared" si="23"/>
        <v>1.9822193004493925E-5</v>
      </c>
      <c r="J33" s="340">
        <f t="shared" si="3"/>
        <v>1</v>
      </c>
      <c r="K33" s="338">
        <f t="shared" si="24"/>
        <v>1</v>
      </c>
      <c r="L33" s="339">
        <f t="shared" si="25"/>
        <v>0</v>
      </c>
      <c r="M33" s="731" t="str">
        <f t="shared" si="4"/>
        <v>0.99999999823062+0.0000931898818160128i</v>
      </c>
      <c r="N33" s="338">
        <f t="shared" si="26"/>
        <v>1.0000000025727971</v>
      </c>
      <c r="O33" s="339">
        <f t="shared" si="27"/>
        <v>9.318988171113648E-5</v>
      </c>
      <c r="P33" s="732" t="str">
        <f t="shared" si="19"/>
        <v>2.16212395565325-0.0105874231171621i</v>
      </c>
      <c r="Q33" s="337">
        <f t="shared" si="28"/>
        <v>2.1621498775843269</v>
      </c>
      <c r="R33" s="339">
        <f t="shared" si="29"/>
        <v>-4.8967305818452484E-3</v>
      </c>
      <c r="S33" s="731" t="str">
        <f t="shared" si="5"/>
        <v>6000</v>
      </c>
      <c r="T33" s="337" t="str">
        <f t="shared" si="6"/>
        <v>1+40.0408298743221i</v>
      </c>
      <c r="U33" s="346">
        <f t="shared" si="30"/>
        <v>40.0533151814479</v>
      </c>
      <c r="V33" s="347">
        <f t="shared" si="31"/>
        <v>1.5458270099191522</v>
      </c>
      <c r="W33" s="340" t="str">
        <f t="shared" si="7"/>
        <v>1+0.396443860141803i</v>
      </c>
      <c r="X33" s="337">
        <f t="shared" si="32"/>
        <v>1.0757173114922589</v>
      </c>
      <c r="Y33" s="339">
        <f t="shared" si="33"/>
        <v>0.37743698507316203</v>
      </c>
      <c r="Z33" s="337" t="str">
        <f t="shared" si="8"/>
        <v>1+0.00399355983218726i</v>
      </c>
      <c r="AA33" s="346">
        <f t="shared" si="34"/>
        <v>1.0000079742282724</v>
      </c>
      <c r="AB33" s="347">
        <f t="shared" si="35"/>
        <v>3.9935386019339519E-3</v>
      </c>
      <c r="AC33" s="732" t="str">
        <f t="shared" si="36"/>
        <v>62.5158081510504-148.520590184459i</v>
      </c>
      <c r="AD33" s="337">
        <f t="shared" si="37"/>
        <v>161.14152778697039</v>
      </c>
      <c r="AE33" s="339">
        <f t="shared" si="38"/>
        <v>-1.1723835634479258</v>
      </c>
      <c r="AF33" s="736" t="str">
        <f t="shared" si="9"/>
        <v>133.594476080515-321.781807257984i</v>
      </c>
      <c r="AG33" s="337">
        <f t="shared" si="39"/>
        <v>50.841865446152468</v>
      </c>
      <c r="AH33" s="730">
        <f t="shared" si="40"/>
        <v>-67.453192151826514</v>
      </c>
      <c r="AI33" s="360">
        <f t="shared" si="10"/>
        <v>112.54680784817349</v>
      </c>
      <c r="AL33" s="337">
        <f t="shared" si="11"/>
        <v>44.144149537694091</v>
      </c>
      <c r="AM33" s="730">
        <f t="shared" si="12"/>
        <v>-67.172630156074121</v>
      </c>
      <c r="AN33" s="351"/>
      <c r="AO33" s="337">
        <f t="shared" si="13"/>
        <v>59.969647107197829</v>
      </c>
      <c r="AP33" s="730">
        <f t="shared" si="14"/>
        <v>-0.28056199575237234</v>
      </c>
      <c r="AS33" s="351"/>
      <c r="AT33" s="351"/>
      <c r="AV33" s="405">
        <f t="shared" si="15"/>
        <v>0</v>
      </c>
      <c r="AW33" s="405">
        <f t="shared" si="16"/>
        <v>0</v>
      </c>
      <c r="AX33" s="405">
        <f t="shared" si="17"/>
        <v>0</v>
      </c>
      <c r="AY33" s="405">
        <f t="shared" si="18"/>
        <v>0</v>
      </c>
    </row>
    <row r="34" spans="2:51" ht="13.5" thickBot="1" x14ac:dyDescent="0.25">
      <c r="B34" s="345">
        <v>6.9183000000000003</v>
      </c>
      <c r="C34" s="728" t="str">
        <f t="shared" si="0"/>
        <v>2.16217503399043</v>
      </c>
      <c r="D34" s="728" t="str">
        <f t="shared" si="1"/>
        <v>1+0.00528872357746369i</v>
      </c>
      <c r="E34" s="337">
        <f t="shared" si="20"/>
        <v>1.0000139852007466</v>
      </c>
      <c r="F34" s="338">
        <f t="shared" si="21"/>
        <v>5.2886742687057895E-3</v>
      </c>
      <c r="G34" s="338" t="str">
        <f t="shared" si="2"/>
        <v>1+0.0000217344804553303i</v>
      </c>
      <c r="H34" s="337">
        <f t="shared" si="22"/>
        <v>1.0000000002361937</v>
      </c>
      <c r="I34" s="338">
        <f t="shared" si="23"/>
        <v>2.1734480451907936E-5</v>
      </c>
      <c r="J34" s="340">
        <f t="shared" si="3"/>
        <v>1</v>
      </c>
      <c r="K34" s="338">
        <f t="shared" si="24"/>
        <v>1</v>
      </c>
      <c r="L34" s="339">
        <f t="shared" si="25"/>
        <v>0</v>
      </c>
      <c r="M34" s="731" t="str">
        <f t="shared" si="4"/>
        <v>0.999999997872761+0.000102180100064619i</v>
      </c>
      <c r="N34" s="338">
        <f t="shared" si="26"/>
        <v>1.0000000030931473</v>
      </c>
      <c r="O34" s="339">
        <f t="shared" si="27"/>
        <v>1.0218009992636743E-4</v>
      </c>
      <c r="P34" s="732" t="str">
        <f t="shared" si="19"/>
        <v>2.16211362530048-0.0116087588166192i</v>
      </c>
      <c r="Q34" s="337">
        <f t="shared" si="28"/>
        <v>2.1621447897842656</v>
      </c>
      <c r="R34" s="339">
        <f t="shared" si="29"/>
        <v>-5.3691198881802588E-3</v>
      </c>
      <c r="S34" s="731" t="str">
        <f t="shared" si="5"/>
        <v>6000</v>
      </c>
      <c r="T34" s="337" t="str">
        <f t="shared" si="6"/>
        <v>1+43.9036505197671i</v>
      </c>
      <c r="U34" s="346">
        <f t="shared" si="30"/>
        <v>43.915037617675402</v>
      </c>
      <c r="V34" s="347">
        <f t="shared" si="31"/>
        <v>1.5480231152479933</v>
      </c>
      <c r="W34" s="340" t="str">
        <f t="shared" si="7"/>
        <v>1+0.434689609106605i</v>
      </c>
      <c r="X34" s="337">
        <f t="shared" si="32"/>
        <v>1.0903921571000283</v>
      </c>
      <c r="Y34" s="339">
        <f t="shared" si="33"/>
        <v>0.41004912360101625</v>
      </c>
      <c r="Z34" s="337" t="str">
        <f t="shared" si="8"/>
        <v>1+0.00437882670645067i</v>
      </c>
      <c r="AA34" s="346">
        <f t="shared" si="34"/>
        <v>1.0000095870157071</v>
      </c>
      <c r="AB34" s="347">
        <f t="shared" si="35"/>
        <v>4.3787987200515424E-3</v>
      </c>
      <c r="AC34" s="732" t="str">
        <f t="shared" si="36"/>
        <v>61.892936281215-135.510653774606i</v>
      </c>
      <c r="AD34" s="337">
        <f t="shared" si="37"/>
        <v>148.97608146253441</v>
      </c>
      <c r="AE34" s="339">
        <f t="shared" si="38"/>
        <v>-1.1423527903670285</v>
      </c>
      <c r="AF34" s="736" t="str">
        <f t="shared" si="9"/>
        <v>132.246450346718-293.707931069193i</v>
      </c>
      <c r="AG34" s="337">
        <f t="shared" si="39"/>
        <v>50.160026405157119</v>
      </c>
      <c r="AH34" s="730">
        <f t="shared" si="40"/>
        <v>-65.759621512316059</v>
      </c>
      <c r="AI34" s="360">
        <f t="shared" si="10"/>
        <v>114.24037848768394</v>
      </c>
      <c r="AL34" s="337">
        <f t="shared" si="11"/>
        <v>43.462330935671183</v>
      </c>
      <c r="AM34" s="730">
        <f t="shared" si="12"/>
        <v>-65.451993603023624</v>
      </c>
      <c r="AN34" s="351"/>
      <c r="AO34" s="337">
        <f t="shared" si="13"/>
        <v>59.969626668225345</v>
      </c>
      <c r="AP34" s="730">
        <f t="shared" si="14"/>
        <v>-0.30762790929248124</v>
      </c>
      <c r="AS34" s="351"/>
      <c r="AT34" s="351"/>
      <c r="AV34" s="405">
        <f t="shared" si="15"/>
        <v>0</v>
      </c>
      <c r="AW34" s="405">
        <f t="shared" si="16"/>
        <v>0</v>
      </c>
      <c r="AX34" s="405">
        <f t="shared" si="17"/>
        <v>0</v>
      </c>
      <c r="AY34" s="405">
        <f t="shared" si="18"/>
        <v>0</v>
      </c>
    </row>
    <row r="35" spans="2:51" ht="13.5" thickBot="1" x14ac:dyDescent="0.25">
      <c r="B35" s="345">
        <v>7.5857999999999999</v>
      </c>
      <c r="C35" s="728" t="str">
        <f t="shared" si="0"/>
        <v>2.16217503399043</v>
      </c>
      <c r="D35" s="728" t="str">
        <f t="shared" si="1"/>
        <v>1+0.00579899676422302i</v>
      </c>
      <c r="E35" s="337">
        <f t="shared" si="20"/>
        <v>1.0000168140403798</v>
      </c>
      <c r="F35" s="338">
        <f t="shared" si="21"/>
        <v>5.7989317619442475E-3</v>
      </c>
      <c r="G35" s="338" t="str">
        <f t="shared" si="2"/>
        <v>1+0.0000238314935516014i</v>
      </c>
      <c r="H35" s="337">
        <f t="shared" si="22"/>
        <v>1.0000000002839702</v>
      </c>
      <c r="I35" s="338">
        <f t="shared" si="23"/>
        <v>2.383149354708978E-5</v>
      </c>
      <c r="J35" s="340">
        <f t="shared" si="3"/>
        <v>1</v>
      </c>
      <c r="K35" s="338">
        <f t="shared" si="24"/>
        <v>1</v>
      </c>
      <c r="L35" s="339">
        <f t="shared" si="25"/>
        <v>0</v>
      </c>
      <c r="M35" s="731" t="str">
        <f t="shared" si="4"/>
        <v>0.999999997442473+0.000112038767192835i</v>
      </c>
      <c r="N35" s="338">
        <f t="shared" si="26"/>
        <v>1.0000000037188155</v>
      </c>
      <c r="O35" s="339">
        <f t="shared" si="27"/>
        <v>1.1203876701058138E-4</v>
      </c>
      <c r="P35" s="732" t="str">
        <f t="shared" si="19"/>
        <v>2.16210120424497-0.012728737450936i</v>
      </c>
      <c r="Q35" s="337">
        <f t="shared" si="28"/>
        <v>2.1621386722767446</v>
      </c>
      <c r="R35" s="339">
        <f t="shared" si="29"/>
        <v>-5.8871390354077423E-3</v>
      </c>
      <c r="S35" s="731" t="str">
        <f t="shared" si="5"/>
        <v>6000</v>
      </c>
      <c r="T35" s="337" t="str">
        <f t="shared" si="6"/>
        <v>1+48.1396169742349i</v>
      </c>
      <c r="U35" s="346">
        <f t="shared" si="30"/>
        <v>48.150002309720037</v>
      </c>
      <c r="V35" s="347">
        <f t="shared" si="31"/>
        <v>1.5500264025178785</v>
      </c>
      <c r="W35" s="340" t="str">
        <f t="shared" si="7"/>
        <v>1+0.476629871032029i</v>
      </c>
      <c r="X35" s="337">
        <f t="shared" si="32"/>
        <v>1.1077797768329265</v>
      </c>
      <c r="Y35" s="339">
        <f t="shared" si="33"/>
        <v>0.44477732463779013</v>
      </c>
      <c r="Z35" s="337" t="str">
        <f t="shared" si="8"/>
        <v>1+0.00480131009493568i</v>
      </c>
      <c r="AA35" s="346">
        <f t="shared" si="34"/>
        <v>1.000011526222887</v>
      </c>
      <c r="AB35" s="347">
        <f t="shared" si="35"/>
        <v>4.8012732012531487E-3</v>
      </c>
      <c r="AC35" s="732" t="str">
        <f t="shared" si="36"/>
        <v>61.3746260815608-123.644885566256i</v>
      </c>
      <c r="AD35" s="337">
        <f t="shared" si="37"/>
        <v>138.03949599061835</v>
      </c>
      <c r="AE35" s="339">
        <f t="shared" si="38"/>
        <v>-1.1100503510813398</v>
      </c>
      <c r="AF35" s="736" t="str">
        <f t="shared" si="9"/>
        <v>131.124309675503-268.113977483075i</v>
      </c>
      <c r="AG35" s="337">
        <f t="shared" si="39"/>
        <v>49.497738192409358</v>
      </c>
      <c r="AH35" s="730">
        <f t="shared" si="40"/>
        <v>-63.938508384111714</v>
      </c>
      <c r="AI35" s="360">
        <f t="shared" si="10"/>
        <v>116.06149161588829</v>
      </c>
      <c r="AL35" s="337">
        <f t="shared" si="11"/>
        <v>42.800067298553444</v>
      </c>
      <c r="AM35" s="730">
        <f t="shared" si="12"/>
        <v>-63.601200163976067</v>
      </c>
      <c r="AN35" s="351"/>
      <c r="AO35" s="337">
        <f t="shared" si="13"/>
        <v>59.969602092595352</v>
      </c>
      <c r="AP35" s="730">
        <f t="shared" si="14"/>
        <v>-0.33730822013558209</v>
      </c>
      <c r="AS35" s="351"/>
      <c r="AT35" s="351"/>
      <c r="AV35" s="405">
        <f t="shared" si="15"/>
        <v>0</v>
      </c>
      <c r="AW35" s="405">
        <f t="shared" si="16"/>
        <v>0</v>
      </c>
      <c r="AX35" s="405">
        <f t="shared" si="17"/>
        <v>0</v>
      </c>
      <c r="AY35" s="405">
        <f t="shared" si="18"/>
        <v>0</v>
      </c>
    </row>
    <row r="36" spans="2:51" ht="13.5" thickBot="1" x14ac:dyDescent="0.25">
      <c r="B36" s="345">
        <v>8.3176000000000005</v>
      </c>
      <c r="C36" s="728" t="str">
        <f t="shared" si="0"/>
        <v>2.16217503399043</v>
      </c>
      <c r="D36" s="728" t="str">
        <f t="shared" si="1"/>
        <v>1+0.00635842435683796i</v>
      </c>
      <c r="E36" s="337">
        <f t="shared" si="20"/>
        <v>1.0000202145758363</v>
      </c>
      <c r="F36" s="338">
        <f t="shared" si="21"/>
        <v>6.3583386694828787E-3</v>
      </c>
      <c r="G36" s="338" t="str">
        <f t="shared" si="2"/>
        <v>1+0.0000261305110554984i</v>
      </c>
      <c r="H36" s="337">
        <f t="shared" si="22"/>
        <v>1.0000000003414018</v>
      </c>
      <c r="I36" s="338">
        <f t="shared" si="23"/>
        <v>2.6130511049551062E-5</v>
      </c>
      <c r="J36" s="340">
        <f t="shared" si="3"/>
        <v>1</v>
      </c>
      <c r="K36" s="338">
        <f t="shared" si="24"/>
        <v>1</v>
      </c>
      <c r="L36" s="339">
        <f t="shared" si="25"/>
        <v>0</v>
      </c>
      <c r="M36" s="731" t="str">
        <f t="shared" si="4"/>
        <v>0.999999996925224+0.000122847115663888i</v>
      </c>
      <c r="N36" s="338">
        <f t="shared" si="26"/>
        <v>1.000000004470931</v>
      </c>
      <c r="O36" s="339">
        <f t="shared" si="27"/>
        <v>1.2284711542363648E-4</v>
      </c>
      <c r="P36" s="732" t="str">
        <f t="shared" si="19"/>
        <v>2.16208627308928-0.0139565802465563i</v>
      </c>
      <c r="Q36" s="337">
        <f t="shared" si="28"/>
        <v>2.1621313184941546</v>
      </c>
      <c r="R36" s="339">
        <f t="shared" si="29"/>
        <v>-6.4550552738569704E-3</v>
      </c>
      <c r="S36" s="731" t="str">
        <f t="shared" si="5"/>
        <v>6000</v>
      </c>
      <c r="T36" s="337" t="str">
        <f t="shared" si="6"/>
        <v>1+52.7836323321069i</v>
      </c>
      <c r="U36" s="346">
        <f t="shared" si="30"/>
        <v>52.793104115699052</v>
      </c>
      <c r="V36" s="347">
        <f t="shared" si="31"/>
        <v>1.5518533260854706</v>
      </c>
      <c r="W36" s="340" t="str">
        <f t="shared" si="7"/>
        <v>1+0.522610221109969i</v>
      </c>
      <c r="X36" s="337">
        <f t="shared" si="32"/>
        <v>1.1283268335055276</v>
      </c>
      <c r="Y36" s="339">
        <f t="shared" si="33"/>
        <v>0.48157174131920955</v>
      </c>
      <c r="Z36" s="337" t="str">
        <f t="shared" si="8"/>
        <v>1+0.00526449113417661i</v>
      </c>
      <c r="AA36" s="346">
        <f t="shared" si="34"/>
        <v>1.000013857337438</v>
      </c>
      <c r="AB36" s="347">
        <f t="shared" si="35"/>
        <v>5.264442500094977E-3</v>
      </c>
      <c r="AC36" s="732" t="str">
        <f t="shared" si="36"/>
        <v>60.9434176085754-112.826594882427i</v>
      </c>
      <c r="AD36" s="337">
        <f t="shared" si="37"/>
        <v>128.23392945151653</v>
      </c>
      <c r="AE36" s="339">
        <f t="shared" si="38"/>
        <v>-1.0755460272663582</v>
      </c>
      <c r="AF36" s="736" t="str">
        <f t="shared" si="9"/>
        <v>130.190253221226-244.791393733054i</v>
      </c>
      <c r="AG36" s="337">
        <f t="shared" si="39"/>
        <v>48.857700361429806</v>
      </c>
      <c r="AH36" s="730">
        <f t="shared" si="40"/>
        <v>-61.994095458140563</v>
      </c>
      <c r="AI36" s="360">
        <f t="shared" si="10"/>
        <v>118.00590454185944</v>
      </c>
      <c r="AL36" s="337">
        <f t="shared" si="11"/>
        <v>42.160059009736685</v>
      </c>
      <c r="AM36" s="730">
        <f t="shared" si="12"/>
        <v>-61.624248034424888</v>
      </c>
      <c r="AN36" s="351"/>
      <c r="AO36" s="337">
        <f t="shared" si="13"/>
        <v>59.969572550432567</v>
      </c>
      <c r="AP36" s="730">
        <f t="shared" si="14"/>
        <v>-0.36984742371566831</v>
      </c>
      <c r="AS36" s="351"/>
      <c r="AT36" s="351"/>
      <c r="AV36" s="405">
        <f t="shared" si="15"/>
        <v>0</v>
      </c>
      <c r="AW36" s="405">
        <f t="shared" si="16"/>
        <v>0</v>
      </c>
      <c r="AX36" s="405">
        <f t="shared" si="17"/>
        <v>0</v>
      </c>
      <c r="AY36" s="405">
        <f t="shared" si="18"/>
        <v>0</v>
      </c>
    </row>
    <row r="37" spans="2:51" ht="13.5" thickBot="1" x14ac:dyDescent="0.25">
      <c r="B37" s="345">
        <v>9.1201000000000008</v>
      </c>
      <c r="C37" s="728" t="str">
        <f t="shared" si="0"/>
        <v>2.16217503399043</v>
      </c>
      <c r="D37" s="728" t="str">
        <f t="shared" si="1"/>
        <v>1+0.00697189886226771i</v>
      </c>
      <c r="E37" s="337">
        <f t="shared" si="20"/>
        <v>1.0000243033915455</v>
      </c>
      <c r="F37" s="338">
        <f t="shared" si="21"/>
        <v>6.9717859036641594E-3</v>
      </c>
      <c r="G37" s="338" t="str">
        <f t="shared" si="2"/>
        <v>1+0.0000286516391600043i</v>
      </c>
      <c r="H37" s="337">
        <f t="shared" si="22"/>
        <v>1.0000000004104581</v>
      </c>
      <c r="I37" s="338">
        <f t="shared" si="23"/>
        <v>2.8651639152164097E-5</v>
      </c>
      <c r="J37" s="340">
        <f t="shared" si="3"/>
        <v>1</v>
      </c>
      <c r="K37" s="338">
        <f t="shared" si="24"/>
        <v>1</v>
      </c>
      <c r="L37" s="339">
        <f t="shared" si="25"/>
        <v>0</v>
      </c>
      <c r="M37" s="731" t="str">
        <f t="shared" si="4"/>
        <v>0.999999996303279+0.0001346996705259i</v>
      </c>
      <c r="N37" s="338">
        <f t="shared" si="26"/>
        <v>1.0000000053752796</v>
      </c>
      <c r="O37" s="339">
        <f t="shared" si="27"/>
        <v>1.3469967020918346E-4</v>
      </c>
      <c r="P37" s="732" t="str">
        <f t="shared" si="19"/>
        <v>2.16206832001722-0.0153030160640603i</v>
      </c>
      <c r="Q37" s="337">
        <f t="shared" si="28"/>
        <v>2.1621224763465046</v>
      </c>
      <c r="R37" s="339">
        <f t="shared" si="29"/>
        <v>-7.0778339347211984E-3</v>
      </c>
      <c r="S37" s="731" t="str">
        <f t="shared" si="5"/>
        <v>6000</v>
      </c>
      <c r="T37" s="337" t="str">
        <f t="shared" si="6"/>
        <v>1+57.8763111032087i</v>
      </c>
      <c r="U37" s="346">
        <f t="shared" si="30"/>
        <v>57.884949571675349</v>
      </c>
      <c r="V37" s="347">
        <f t="shared" si="31"/>
        <v>1.5535198195954294</v>
      </c>
      <c r="W37" s="340" t="str">
        <f t="shared" si="7"/>
        <v>1+0.573032783200086i</v>
      </c>
      <c r="X37" s="337">
        <f t="shared" si="32"/>
        <v>1.1525478604474682</v>
      </c>
      <c r="Y37" s="339">
        <f t="shared" si="33"/>
        <v>0.52035460740846751</v>
      </c>
      <c r="Z37" s="337" t="str">
        <f t="shared" si="8"/>
        <v>1+0.00577242060123163i</v>
      </c>
      <c r="AA37" s="346">
        <f t="shared" si="34"/>
        <v>1.0000166602810163</v>
      </c>
      <c r="AB37" s="347">
        <f t="shared" si="35"/>
        <v>5.7723564885464171E-3</v>
      </c>
      <c r="AC37" s="732" t="str">
        <f t="shared" si="36"/>
        <v>60.5845589916216-102.962014427215i</v>
      </c>
      <c r="AD37" s="337">
        <f t="shared" si="37"/>
        <v>119.46407494774027</v>
      </c>
      <c r="AE37" s="339">
        <f t="shared" si="38"/>
        <v>-1.0389375686755113</v>
      </c>
      <c r="AF37" s="736" t="str">
        <f t="shared" si="9"/>
        <v>129.412326317232-223.53803603772i</v>
      </c>
      <c r="AG37" s="337">
        <f t="shared" si="39"/>
        <v>48.242352321242436</v>
      </c>
      <c r="AH37" s="730">
        <f t="shared" si="40"/>
        <v>-59.932267875243845</v>
      </c>
      <c r="AI37" s="360">
        <f t="shared" si="10"/>
        <v>120.06773212475616</v>
      </c>
      <c r="AL37" s="337">
        <f t="shared" si="11"/>
        <v>41.544746491016042</v>
      </c>
      <c r="AM37" s="730">
        <f t="shared" si="12"/>
        <v>-59.52673786268992</v>
      </c>
      <c r="AN37" s="351"/>
      <c r="AO37" s="337">
        <f t="shared" si="13"/>
        <v>59.969537028965838</v>
      </c>
      <c r="AP37" s="730">
        <f t="shared" si="14"/>
        <v>-0.40553001255399745</v>
      </c>
      <c r="AS37" s="351"/>
      <c r="AT37" s="351"/>
      <c r="AV37" s="405">
        <f t="shared" si="15"/>
        <v>0</v>
      </c>
      <c r="AW37" s="405">
        <f t="shared" si="16"/>
        <v>0</v>
      </c>
      <c r="AX37" s="405">
        <f t="shared" si="17"/>
        <v>0</v>
      </c>
      <c r="AY37" s="405">
        <f t="shared" si="18"/>
        <v>0</v>
      </c>
    </row>
    <row r="38" spans="2:51" ht="13.5" thickBot="1" x14ac:dyDescent="0.25">
      <c r="B38" s="345">
        <v>10</v>
      </c>
      <c r="C38" s="728" t="str">
        <f t="shared" si="0"/>
        <v>2.16217503399043</v>
      </c>
      <c r="D38" s="728" t="str">
        <f t="shared" si="1"/>
        <v>1+0.00764454212373517i</v>
      </c>
      <c r="E38" s="337">
        <f t="shared" si="20"/>
        <v>1.0000292190852633</v>
      </c>
      <c r="F38" s="338">
        <f t="shared" si="21"/>
        <v>7.6443932157620942E-3</v>
      </c>
      <c r="G38" s="338" t="str">
        <f t="shared" si="2"/>
        <v>1+0.0000314159265358979i</v>
      </c>
      <c r="H38" s="337">
        <f t="shared" si="22"/>
        <v>1.0000000004934801</v>
      </c>
      <c r="I38" s="338">
        <f t="shared" si="23"/>
        <v>3.1415926525562473E-5</v>
      </c>
      <c r="J38" s="340">
        <f t="shared" si="3"/>
        <v>1</v>
      </c>
      <c r="K38" s="338">
        <f t="shared" si="24"/>
        <v>1</v>
      </c>
      <c r="L38" s="339">
        <f t="shared" si="25"/>
        <v>0</v>
      </c>
      <c r="M38" s="731" t="str">
        <f t="shared" si="4"/>
        <v>0.999999995555556+0.000147695387688622i</v>
      </c>
      <c r="N38" s="338">
        <f t="shared" si="26"/>
        <v>1.0000000064625196</v>
      </c>
      <c r="O38" s="339">
        <f t="shared" si="27"/>
        <v>1.4769538727110707E-4</v>
      </c>
      <c r="P38" s="732" t="str">
        <f t="shared" si="19"/>
        <v>2.16204673660093-0.0167792738963525i</v>
      </c>
      <c r="Q38" s="337">
        <f t="shared" si="28"/>
        <v>2.162111846153945</v>
      </c>
      <c r="R38" s="339">
        <f t="shared" si="29"/>
        <v>-7.7606726765076031E-3</v>
      </c>
      <c r="S38" s="731" t="str">
        <f t="shared" si="5"/>
        <v>6000</v>
      </c>
      <c r="T38" s="337" t="str">
        <f t="shared" si="6"/>
        <v>1+63.4601716025139i</v>
      </c>
      <c r="U38" s="346">
        <f t="shared" si="30"/>
        <v>63.468050071043713</v>
      </c>
      <c r="V38" s="347">
        <f t="shared" si="31"/>
        <v>1.5550397157355607</v>
      </c>
      <c r="W38" s="340" t="str">
        <f t="shared" si="7"/>
        <v>1+0.628318530717959i</v>
      </c>
      <c r="X38" s="337">
        <f t="shared" si="32"/>
        <v>1.181009812001397</v>
      </c>
      <c r="Y38" s="339">
        <f t="shared" si="33"/>
        <v>0.56098211610862403</v>
      </c>
      <c r="Z38" s="337" t="str">
        <f t="shared" si="8"/>
        <v>1+0.00632933915333344i</v>
      </c>
      <c r="AA38" s="346">
        <f t="shared" si="34"/>
        <v>1.0000200300664572</v>
      </c>
      <c r="AB38" s="347">
        <f t="shared" si="35"/>
        <v>6.3292546364625401E-3</v>
      </c>
      <c r="AC38" s="732" t="str">
        <f t="shared" si="36"/>
        <v>60.285928380993-93.9697082133672i</v>
      </c>
      <c r="AD38" s="337">
        <f t="shared" si="37"/>
        <v>111.64541738228034</v>
      </c>
      <c r="AE38" s="339">
        <f t="shared" si="38"/>
        <v>-1.0003868542633996</v>
      </c>
      <c r="AF38" s="736" t="str">
        <f t="shared" si="9"/>
        <v>128.764251247011-204.178455086453i</v>
      </c>
      <c r="AG38" s="337">
        <f t="shared" si="39"/>
        <v>47.654381158363591</v>
      </c>
      <c r="AH38" s="730">
        <f t="shared" si="40"/>
        <v>-57.762598420208157</v>
      </c>
      <c r="AI38" s="360">
        <f t="shared" si="10"/>
        <v>122.23740157979185</v>
      </c>
      <c r="AL38" s="337">
        <f t="shared" si="11"/>
        <v>40.956818032890212</v>
      </c>
      <c r="AM38" s="730">
        <f t="shared" si="12"/>
        <v>-57.31794462966176</v>
      </c>
      <c r="AN38" s="351"/>
      <c r="AO38" s="337">
        <f t="shared" si="13"/>
        <v>59.969494324212803</v>
      </c>
      <c r="AP38" s="730">
        <f t="shared" si="14"/>
        <v>-0.44465379054638215</v>
      </c>
      <c r="AS38" s="351"/>
      <c r="AT38" s="351"/>
      <c r="AV38" s="405">
        <f t="shared" si="15"/>
        <v>0</v>
      </c>
      <c r="AW38" s="405">
        <f t="shared" si="16"/>
        <v>0</v>
      </c>
      <c r="AX38" s="405">
        <f t="shared" si="17"/>
        <v>0</v>
      </c>
      <c r="AY38" s="405">
        <f t="shared" si="18"/>
        <v>0</v>
      </c>
    </row>
    <row r="39" spans="2:51" ht="13.5" thickBot="1" x14ac:dyDescent="0.25">
      <c r="B39" s="345">
        <v>10.965</v>
      </c>
      <c r="C39" s="728" t="str">
        <f t="shared" si="0"/>
        <v>2.16217503399043</v>
      </c>
      <c r="D39" s="728" t="str">
        <f t="shared" si="1"/>
        <v>1+0.00838224043867561i</v>
      </c>
      <c r="E39" s="337">
        <f t="shared" si="20"/>
        <v>1.0000351303603148</v>
      </c>
      <c r="F39" s="338">
        <f t="shared" si="21"/>
        <v>8.3820441294185245E-3</v>
      </c>
      <c r="G39" s="338" t="str">
        <f t="shared" si="2"/>
        <v>1+0.0000344475634466121i</v>
      </c>
      <c r="H39" s="337">
        <f t="shared" si="22"/>
        <v>1.0000000005933172</v>
      </c>
      <c r="I39" s="338">
        <f t="shared" si="23"/>
        <v>3.4447563432986543E-5</v>
      </c>
      <c r="J39" s="340">
        <f t="shared" si="3"/>
        <v>1</v>
      </c>
      <c r="K39" s="338">
        <f t="shared" si="24"/>
        <v>1</v>
      </c>
      <c r="L39" s="339">
        <f t="shared" si="25"/>
        <v>0</v>
      </c>
      <c r="M39" s="731" t="str">
        <f t="shared" si="4"/>
        <v>0.99999999465639+0.000161947992600574i</v>
      </c>
      <c r="N39" s="338">
        <f t="shared" si="26"/>
        <v>1.0000000077699662</v>
      </c>
      <c r="O39" s="339">
        <f t="shared" si="27"/>
        <v>1.6194799205014937E-4</v>
      </c>
      <c r="P39" s="732" t="str">
        <f t="shared" si="19"/>
        <v>2.16202078229099-0.0183982562714304i</v>
      </c>
      <c r="Q39" s="337">
        <f t="shared" si="28"/>
        <v>2.1620990631541313</v>
      </c>
      <c r="R39" s="339">
        <f t="shared" si="29"/>
        <v>-8.5095445580357088E-3</v>
      </c>
      <c r="S39" s="731" t="str">
        <f t="shared" si="5"/>
        <v>6000</v>
      </c>
      <c r="T39" s="337" t="str">
        <f t="shared" si="6"/>
        <v>1+69.5840781621565i</v>
      </c>
      <c r="U39" s="346">
        <f t="shared" si="30"/>
        <v>69.591263343016749</v>
      </c>
      <c r="V39" s="347">
        <f t="shared" si="31"/>
        <v>1.5564262123654731</v>
      </c>
      <c r="W39" s="340" t="str">
        <f t="shared" si="7"/>
        <v>1+0.688951268932242i</v>
      </c>
      <c r="X39" s="337">
        <f t="shared" si="32"/>
        <v>1.2143532644841641</v>
      </c>
      <c r="Y39" s="339">
        <f t="shared" si="33"/>
        <v>0.60327215563952941</v>
      </c>
      <c r="Z39" s="337" t="str">
        <f t="shared" si="8"/>
        <v>1+0.00694012038163011i</v>
      </c>
      <c r="AA39" s="346">
        <f t="shared" si="34"/>
        <v>1.000024082345476</v>
      </c>
      <c r="AB39" s="347">
        <f t="shared" si="35"/>
        <v>6.9400089605906202E-3</v>
      </c>
      <c r="AC39" s="732" t="str">
        <f t="shared" si="36"/>
        <v>60.0373224243912-85.7719309394568i</v>
      </c>
      <c r="AD39" s="337">
        <f t="shared" si="37"/>
        <v>104.69624740635764</v>
      </c>
      <c r="AE39" s="339">
        <f t="shared" si="38"/>
        <v>-0.96009406568653366</v>
      </c>
      <c r="AF39" s="736" t="str">
        <f t="shared" si="9"/>
        <v>128.223884828319-186.545279272148i</v>
      </c>
      <c r="AG39" s="337">
        <f t="shared" si="39"/>
        <v>47.096134085584076</v>
      </c>
      <c r="AH39" s="730">
        <f t="shared" si="40"/>
        <v>-55.496898888148458</v>
      </c>
      <c r="AI39" s="360">
        <f t="shared" si="10"/>
        <v>124.50310111185155</v>
      </c>
      <c r="AL39" s="337">
        <f t="shared" si="11"/>
        <v>40.398622313630661</v>
      </c>
      <c r="AM39" s="730">
        <f t="shared" si="12"/>
        <v>-55.00933789939441</v>
      </c>
      <c r="AN39" s="351"/>
      <c r="AO39" s="337">
        <f t="shared" si="13"/>
        <v>59.969442970692839</v>
      </c>
      <c r="AP39" s="730">
        <f t="shared" si="14"/>
        <v>-0.48756098875396342</v>
      </c>
      <c r="AS39" s="351"/>
      <c r="AT39" s="351"/>
      <c r="AV39" s="405">
        <f t="shared" si="15"/>
        <v>0</v>
      </c>
      <c r="AW39" s="405">
        <f t="shared" si="16"/>
        <v>0</v>
      </c>
      <c r="AX39" s="405">
        <f t="shared" si="17"/>
        <v>0</v>
      </c>
      <c r="AY39" s="405">
        <f t="shared" si="18"/>
        <v>0</v>
      </c>
    </row>
    <row r="40" spans="2:51" ht="13.5" thickBot="1" x14ac:dyDescent="0.25">
      <c r="B40" s="345">
        <v>12.023</v>
      </c>
      <c r="C40" s="728" t="str">
        <f t="shared" si="0"/>
        <v>2.16217503399043</v>
      </c>
      <c r="D40" s="728" t="str">
        <f t="shared" si="1"/>
        <v>1+0.00919103299536679i</v>
      </c>
      <c r="E40" s="337">
        <f t="shared" si="20"/>
        <v>1.0000422366517936</v>
      </c>
      <c r="F40" s="338">
        <f t="shared" si="21"/>
        <v>9.1907742040446151E-3</v>
      </c>
      <c r="G40" s="338" t="str">
        <f t="shared" si="2"/>
        <v>1+0.0000377713684741101i</v>
      </c>
      <c r="H40" s="337">
        <f t="shared" si="22"/>
        <v>1.0000000007133381</v>
      </c>
      <c r="I40" s="338">
        <f t="shared" si="23"/>
        <v>3.7771368456147593E-5</v>
      </c>
      <c r="J40" s="340">
        <f t="shared" si="3"/>
        <v>1</v>
      </c>
      <c r="K40" s="338">
        <f t="shared" si="24"/>
        <v>1</v>
      </c>
      <c r="L40" s="339">
        <f t="shared" si="25"/>
        <v>0</v>
      </c>
      <c r="M40" s="731" t="str">
        <f t="shared" si="4"/>
        <v>0.999999993575443+0.00017757416461803i</v>
      </c>
      <c r="N40" s="338">
        <f t="shared" si="26"/>
        <v>1.0000000093417349</v>
      </c>
      <c r="O40" s="339">
        <f t="shared" si="27"/>
        <v>1.775741638924079E-4</v>
      </c>
      <c r="P40" s="732" t="str">
        <f t="shared" si="19"/>
        <v>2.16198958169744-0.020173195691402i</v>
      </c>
      <c r="Q40" s="337">
        <f t="shared" si="28"/>
        <v>2.1620836961581014</v>
      </c>
      <c r="R40" s="339">
        <f t="shared" si="29"/>
        <v>-9.3305769994809062E-3</v>
      </c>
      <c r="S40" s="731" t="str">
        <f t="shared" si="5"/>
        <v>6000</v>
      </c>
      <c r="T40" s="337" t="str">
        <f t="shared" si="6"/>
        <v>1+76.2981643177024i</v>
      </c>
      <c r="U40" s="346">
        <f t="shared" si="30"/>
        <v>76.304717273908537</v>
      </c>
      <c r="V40" s="347">
        <f t="shared" si="31"/>
        <v>1.5576906019724797</v>
      </c>
      <c r="W40" s="340" t="str">
        <f t="shared" si="7"/>
        <v>1+0.755427369482202i</v>
      </c>
      <c r="X40" s="337">
        <f t="shared" si="32"/>
        <v>1.2532639428958288</v>
      </c>
      <c r="Y40" s="339">
        <f t="shared" si="33"/>
        <v>0.64696558592602249</v>
      </c>
      <c r="Z40" s="337" t="str">
        <f t="shared" si="8"/>
        <v>1+0.00760976446405279i</v>
      </c>
      <c r="AA40" s="346">
        <f t="shared" si="34"/>
        <v>1.0000289538384368</v>
      </c>
      <c r="AB40" s="347">
        <f t="shared" si="35"/>
        <v>7.6096175791025818E-3</v>
      </c>
      <c r="AC40" s="732" t="str">
        <f t="shared" si="36"/>
        <v>59.8303776681613-78.3021714040416i</v>
      </c>
      <c r="AD40" s="337">
        <f t="shared" si="37"/>
        <v>98.543919845430977</v>
      </c>
      <c r="AE40" s="339">
        <f t="shared" si="38"/>
        <v>-0.91833463362555967</v>
      </c>
      <c r="AF40" s="736" t="str">
        <f t="shared" si="9"/>
        <v>127.773048160792-170.495448716815i</v>
      </c>
      <c r="AG40" s="337">
        <f t="shared" si="39"/>
        <v>46.570046707184616</v>
      </c>
      <c r="AH40" s="730">
        <f t="shared" si="40"/>
        <v>-53.151301369929428</v>
      </c>
      <c r="AI40" s="360">
        <f t="shared" si="10"/>
        <v>126.84869863007057</v>
      </c>
      <c r="AL40" s="337">
        <f t="shared" si="11"/>
        <v>39.872596669916845</v>
      </c>
      <c r="AM40" s="730">
        <f t="shared" si="12"/>
        <v>-52.616698687437299</v>
      </c>
      <c r="AN40" s="351"/>
      <c r="AO40" s="337">
        <f t="shared" si="13"/>
        <v>59.969381236007223</v>
      </c>
      <c r="AP40" s="730">
        <f t="shared" si="14"/>
        <v>-0.53460268249209564</v>
      </c>
      <c r="AS40" s="351"/>
      <c r="AT40" s="351"/>
      <c r="AV40" s="405">
        <f t="shared" si="15"/>
        <v>0</v>
      </c>
      <c r="AW40" s="405">
        <f t="shared" si="16"/>
        <v>0</v>
      </c>
      <c r="AX40" s="405">
        <f t="shared" si="17"/>
        <v>0</v>
      </c>
      <c r="AY40" s="405">
        <f t="shared" si="18"/>
        <v>0</v>
      </c>
    </row>
    <row r="41" spans="2:51" ht="13.5" thickBot="1" x14ac:dyDescent="0.25">
      <c r="B41" s="345">
        <v>13.183</v>
      </c>
      <c r="C41" s="728" t="str">
        <f t="shared" si="0"/>
        <v>2.16217503399043</v>
      </c>
      <c r="D41" s="728" t="str">
        <f t="shared" si="1"/>
        <v>1+0.0100777998817201i</v>
      </c>
      <c r="E41" s="337">
        <f t="shared" si="20"/>
        <v>1.0000507797359373</v>
      </c>
      <c r="F41" s="338">
        <f t="shared" si="21"/>
        <v>1.00774587285021E-2</v>
      </c>
      <c r="G41" s="338" t="str">
        <f t="shared" si="2"/>
        <v>1+0.0000414156159522743i</v>
      </c>
      <c r="H41" s="337">
        <f t="shared" si="22"/>
        <v>1.0000000008576266</v>
      </c>
      <c r="I41" s="338">
        <f t="shared" si="23"/>
        <v>4.1415615928594879E-5</v>
      </c>
      <c r="J41" s="340">
        <f t="shared" si="3"/>
        <v>1</v>
      </c>
      <c r="K41" s="338">
        <f t="shared" si="24"/>
        <v>1</v>
      </c>
      <c r="L41" s="339">
        <f t="shared" si="25"/>
        <v>0</v>
      </c>
      <c r="M41" s="731" t="str">
        <f t="shared" si="4"/>
        <v>0.999999992275934+0.00019470682958991i</v>
      </c>
      <c r="N41" s="338">
        <f t="shared" si="26"/>
        <v>1.0000000112313085</v>
      </c>
      <c r="O41" s="339">
        <f t="shared" si="27"/>
        <v>1.9470682863334451E-4</v>
      </c>
      <c r="P41" s="732" t="str">
        <f t="shared" si="19"/>
        <v>2.16195207366105-0.0221191627805299i</v>
      </c>
      <c r="Q41" s="337">
        <f t="shared" si="28"/>
        <v>2.162065222459634</v>
      </c>
      <c r="R41" s="339">
        <f t="shared" si="29"/>
        <v>-1.0230749941206872E-2</v>
      </c>
      <c r="S41" s="731" t="str">
        <f t="shared" si="5"/>
        <v>6000</v>
      </c>
      <c r="T41" s="337" t="str">
        <f t="shared" si="6"/>
        <v>1+83.659544223594i</v>
      </c>
      <c r="U41" s="346">
        <f t="shared" si="30"/>
        <v>83.665520614524837</v>
      </c>
      <c r="V41" s="347">
        <f t="shared" si="31"/>
        <v>1.5588436872370028</v>
      </c>
      <c r="W41" s="340" t="str">
        <f t="shared" si="7"/>
        <v>1+0.828312319045485i</v>
      </c>
      <c r="X41" s="337">
        <f t="shared" si="32"/>
        <v>1.2984996333778878</v>
      </c>
      <c r="Y41" s="339">
        <f t="shared" si="33"/>
        <v>0.69176772803883524</v>
      </c>
      <c r="Z41" s="337" t="str">
        <f t="shared" si="8"/>
        <v>1+0.00834396780583947i</v>
      </c>
      <c r="AA41" s="346">
        <f t="shared" si="34"/>
        <v>1.0000348102934942</v>
      </c>
      <c r="AB41" s="347">
        <f t="shared" si="35"/>
        <v>8.3437741732455984E-3</v>
      </c>
      <c r="AC41" s="732" t="str">
        <f t="shared" si="36"/>
        <v>59.6580396561485-71.496801652155i</v>
      </c>
      <c r="AD41" s="337">
        <f t="shared" si="37"/>
        <v>93.117529725085504</v>
      </c>
      <c r="AE41" s="339">
        <f t="shared" si="38"/>
        <v>-0.87541973337141565</v>
      </c>
      <c r="AF41" s="736" t="str">
        <f t="shared" si="9"/>
        <v>127.396373151132-155.892244482331i</v>
      </c>
      <c r="AG41" s="337">
        <f t="shared" si="39"/>
        <v>46.078004746213843</v>
      </c>
      <c r="AH41" s="730">
        <f t="shared" si="40"/>
        <v>-50.744034817534853</v>
      </c>
      <c r="AI41" s="360">
        <f t="shared" si="10"/>
        <v>129.25596518246516</v>
      </c>
      <c r="AL41" s="337">
        <f t="shared" si="11"/>
        <v>39.38062892494051</v>
      </c>
      <c r="AM41" s="730">
        <f t="shared" si="12"/>
        <v>-50.157856024649945</v>
      </c>
      <c r="AN41" s="351"/>
      <c r="AO41" s="337">
        <f t="shared" si="13"/>
        <v>59.969307020012764</v>
      </c>
      <c r="AP41" s="730">
        <f t="shared" si="14"/>
        <v>-0.58617879288486707</v>
      </c>
      <c r="AS41" s="351"/>
      <c r="AT41" s="351"/>
      <c r="AV41" s="405">
        <f t="shared" si="15"/>
        <v>0</v>
      </c>
      <c r="AW41" s="405">
        <f t="shared" si="16"/>
        <v>0</v>
      </c>
      <c r="AX41" s="405">
        <f t="shared" si="17"/>
        <v>0</v>
      </c>
      <c r="AY41" s="405">
        <f t="shared" si="18"/>
        <v>0</v>
      </c>
    </row>
    <row r="42" spans="2:51" ht="13.5" thickBot="1" x14ac:dyDescent="0.25">
      <c r="B42" s="345">
        <v>14.454000000000001</v>
      </c>
      <c r="C42" s="728" t="str">
        <f t="shared" si="0"/>
        <v>2.16217503399043</v>
      </c>
      <c r="D42" s="728" t="str">
        <f t="shared" si="1"/>
        <v>1+0.0110494211856468i</v>
      </c>
      <c r="E42" s="337">
        <f t="shared" si="20"/>
        <v>1.0000610429911456</v>
      </c>
      <c r="F42" s="338">
        <f t="shared" si="21"/>
        <v>1.1048971545046879E-2</v>
      </c>
      <c r="G42" s="338" t="str">
        <f t="shared" si="2"/>
        <v>1+0.0000454085802149869i</v>
      </c>
      <c r="H42" s="337">
        <f t="shared" si="22"/>
        <v>1.0000000010309695</v>
      </c>
      <c r="I42" s="338">
        <f t="shared" si="23"/>
        <v>4.5408580183776987E-5</v>
      </c>
      <c r="J42" s="340">
        <f t="shared" si="3"/>
        <v>1</v>
      </c>
      <c r="K42" s="338">
        <f t="shared" si="24"/>
        <v>1</v>
      </c>
      <c r="L42" s="339">
        <f t="shared" si="25"/>
        <v>0</v>
      </c>
      <c r="M42" s="731" t="str">
        <f t="shared" si="4"/>
        <v>0.99999999071475+0.000213478913365134i</v>
      </c>
      <c r="N42" s="338">
        <f t="shared" si="26"/>
        <v>1.0000000135013734</v>
      </c>
      <c r="O42" s="339">
        <f t="shared" si="27"/>
        <v>2.1347891210436338E-4</v>
      </c>
      <c r="P42" s="732" t="str">
        <f t="shared" si="19"/>
        <v>2.16190701456008-0.0242512186374692i</v>
      </c>
      <c r="Q42" s="337">
        <f t="shared" si="28"/>
        <v>2.1620430294537343</v>
      </c>
      <c r="R42" s="339">
        <f t="shared" si="29"/>
        <v>-1.1217041876967473E-2</v>
      </c>
      <c r="S42" s="731" t="str">
        <f t="shared" si="5"/>
        <v>6000</v>
      </c>
      <c r="T42" s="337" t="str">
        <f t="shared" si="6"/>
        <v>1+91.7253320342734i</v>
      </c>
      <c r="U42" s="346">
        <f t="shared" si="30"/>
        <v>91.730782929165613</v>
      </c>
      <c r="V42" s="347">
        <f t="shared" si="31"/>
        <v>1.5598946449807929</v>
      </c>
      <c r="W42" s="340" t="str">
        <f t="shared" si="7"/>
        <v>1+0.908171604299737i</v>
      </c>
      <c r="X42" s="337">
        <f t="shared" si="32"/>
        <v>1.3508425751568383</v>
      </c>
      <c r="Y42" s="339">
        <f t="shared" si="33"/>
        <v>0.73731149997518142</v>
      </c>
      <c r="Z42" s="337" t="str">
        <f t="shared" si="8"/>
        <v>1+0.00914842681222814i</v>
      </c>
      <c r="AA42" s="346">
        <f t="shared" si="34"/>
        <v>1.0000418459810263</v>
      </c>
      <c r="AB42" s="347">
        <f t="shared" si="35"/>
        <v>9.1481716031072257E-3</v>
      </c>
      <c r="AC42" s="732" t="str">
        <f t="shared" si="36"/>
        <v>59.5145236928123-65.3017994064858i</v>
      </c>
      <c r="AD42" s="337">
        <f t="shared" si="37"/>
        <v>88.353288202008798</v>
      </c>
      <c r="AE42" s="339">
        <f t="shared" si="38"/>
        <v>-0.83173131660871935</v>
      </c>
      <c r="AF42" s="736" t="str">
        <f t="shared" si="9"/>
        <v>127.081218024866-142.619717926456i</v>
      </c>
      <c r="AG42" s="337">
        <f t="shared" si="39"/>
        <v>45.621741004008868</v>
      </c>
      <c r="AH42" s="730">
        <f t="shared" si="40"/>
        <v>-48.297383288710584</v>
      </c>
      <c r="AI42" s="360">
        <f t="shared" si="10"/>
        <v>131.70261671128941</v>
      </c>
      <c r="AL42" s="337">
        <f t="shared" si="11"/>
        <v>38.924454341465506</v>
      </c>
      <c r="AM42" s="730">
        <f t="shared" si="12"/>
        <v>-47.65469413053885</v>
      </c>
      <c r="AN42" s="351"/>
      <c r="AO42" s="337">
        <f t="shared" si="13"/>
        <v>59.9692178612828</v>
      </c>
      <c r="AP42" s="730">
        <f t="shared" si="14"/>
        <v>-0.64268915817174077</v>
      </c>
      <c r="AS42" s="351"/>
      <c r="AT42" s="351"/>
      <c r="AV42" s="405">
        <f t="shared" si="15"/>
        <v>0</v>
      </c>
      <c r="AW42" s="405">
        <f t="shared" si="16"/>
        <v>0</v>
      </c>
      <c r="AX42" s="405">
        <f t="shared" si="17"/>
        <v>0</v>
      </c>
      <c r="AY42" s="405">
        <f t="shared" si="18"/>
        <v>0</v>
      </c>
    </row>
    <row r="43" spans="2:51" ht="13.5" thickBot="1" x14ac:dyDescent="0.25">
      <c r="B43" s="345">
        <v>15.849</v>
      </c>
      <c r="C43" s="728" t="str">
        <f t="shared" si="0"/>
        <v>2.16217503399043</v>
      </c>
      <c r="D43" s="728" t="str">
        <f t="shared" si="1"/>
        <v>1+0.0121158348119079i</v>
      </c>
      <c r="E43" s="337">
        <f t="shared" si="20"/>
        <v>1.0000733940332527</v>
      </c>
      <c r="F43" s="338">
        <f t="shared" si="21"/>
        <v>1.211524202237416E-2</v>
      </c>
      <c r="G43" s="338" t="str">
        <f t="shared" si="2"/>
        <v>1+0.0000497911019667447i</v>
      </c>
      <c r="H43" s="337">
        <f t="shared" si="22"/>
        <v>1.0000000012395769</v>
      </c>
      <c r="I43" s="338">
        <f t="shared" si="23"/>
        <v>4.97911019255981E-5</v>
      </c>
      <c r="J43" s="340">
        <f t="shared" si="3"/>
        <v>1</v>
      </c>
      <c r="K43" s="338">
        <f t="shared" si="24"/>
        <v>1</v>
      </c>
      <c r="L43" s="339">
        <f t="shared" si="25"/>
        <v>0</v>
      </c>
      <c r="M43" s="731" t="str">
        <f t="shared" si="4"/>
        <v>0.999999988835964+0.000234082419947697i</v>
      </c>
      <c r="N43" s="338">
        <f t="shared" si="26"/>
        <v>1.0000000162332536</v>
      </c>
      <c r="O43" s="339">
        <f t="shared" si="27"/>
        <v>2.34082418285519E-4</v>
      </c>
      <c r="P43" s="732" t="str">
        <f t="shared" si="19"/>
        <v>2.16185279122007-0.0265911213810691i</v>
      </c>
      <c r="Q43" s="337">
        <f t="shared" si="28"/>
        <v>2.1620163224736095</v>
      </c>
      <c r="R43" s="339">
        <f t="shared" si="29"/>
        <v>-1.2299533338734151E-2</v>
      </c>
      <c r="S43" s="731" t="str">
        <f t="shared" si="5"/>
        <v>6000</v>
      </c>
      <c r="T43" s="337" t="str">
        <f t="shared" si="6"/>
        <v>1+100.578025972824i</v>
      </c>
      <c r="U43" s="346">
        <f t="shared" si="30"/>
        <v>100.58299711477113</v>
      </c>
      <c r="V43" s="347">
        <f t="shared" si="31"/>
        <v>1.5608541247981482</v>
      </c>
      <c r="W43" s="340" t="str">
        <f t="shared" si="7"/>
        <v>1+0.995822039334893i</v>
      </c>
      <c r="X43" s="337">
        <f t="shared" si="32"/>
        <v>1.4112623902113686</v>
      </c>
      <c r="Y43" s="339">
        <f t="shared" si="33"/>
        <v>0.78330481314878131</v>
      </c>
      <c r="Z43" s="337" t="str">
        <f t="shared" si="8"/>
        <v>1+0.0100313696241182i</v>
      </c>
      <c r="AA43" s="346">
        <f t="shared" si="34"/>
        <v>1.0000503129225728</v>
      </c>
      <c r="AB43" s="347">
        <f t="shared" si="35"/>
        <v>1.0031033164285842E-2</v>
      </c>
      <c r="AC43" s="732" t="str">
        <f t="shared" si="36"/>
        <v>59.3947170241024-59.6545044351465i</v>
      </c>
      <c r="AD43" s="337">
        <f t="shared" si="37"/>
        <v>84.180712219463388</v>
      </c>
      <c r="AE43" s="339">
        <f t="shared" si="38"/>
        <v>-0.78758034481365335</v>
      </c>
      <c r="AF43" s="736" t="str">
        <f t="shared" si="9"/>
        <v>126.816354613919-130.543629051754i</v>
      </c>
      <c r="AG43" s="337">
        <f t="shared" si="39"/>
        <v>45.201431284450706</v>
      </c>
      <c r="AH43" s="730">
        <f t="shared" si="40"/>
        <v>-45.829741135570529</v>
      </c>
      <c r="AI43" s="360">
        <f t="shared" si="10"/>
        <v>134.17025886442946</v>
      </c>
      <c r="AL43" s="337">
        <f t="shared" si="11"/>
        <v>38.50425191640219</v>
      </c>
      <c r="AM43" s="730">
        <f t="shared" si="12"/>
        <v>-45.125029785280432</v>
      </c>
      <c r="AN43" s="351"/>
      <c r="AO43" s="337">
        <f t="shared" si="13"/>
        <v>59.969110566787947</v>
      </c>
      <c r="AP43" s="730">
        <f t="shared" si="14"/>
        <v>-0.70471135028991549</v>
      </c>
      <c r="AS43" s="351"/>
      <c r="AT43" s="351"/>
      <c r="AV43" s="405">
        <f t="shared" si="15"/>
        <v>0</v>
      </c>
      <c r="AW43" s="405">
        <f t="shared" si="16"/>
        <v>0</v>
      </c>
      <c r="AX43" s="405">
        <f t="shared" si="17"/>
        <v>0</v>
      </c>
      <c r="AY43" s="405">
        <f t="shared" si="18"/>
        <v>0</v>
      </c>
    </row>
    <row r="44" spans="2:51" ht="13.5" thickBot="1" x14ac:dyDescent="0.25">
      <c r="B44" s="345">
        <v>17.378</v>
      </c>
      <c r="C44" s="728" t="str">
        <f t="shared" si="0"/>
        <v>2.16217503399043</v>
      </c>
      <c r="D44" s="728" t="str">
        <f t="shared" si="1"/>
        <v>1+0.013284685302627i</v>
      </c>
      <c r="E44" s="337">
        <f t="shared" si="20"/>
        <v>1.0000882375388633</v>
      </c>
      <c r="F44" s="338">
        <f t="shared" si="21"/>
        <v>1.3283903878935367E-2</v>
      </c>
      <c r="G44" s="338" t="str">
        <f t="shared" si="2"/>
        <v>1+0.0000545945971340835i</v>
      </c>
      <c r="H44" s="337">
        <f t="shared" si="22"/>
        <v>1.000000001490285</v>
      </c>
      <c r="I44" s="338">
        <f t="shared" si="23"/>
        <v>5.459459707984249E-5</v>
      </c>
      <c r="J44" s="340">
        <f t="shared" si="3"/>
        <v>1</v>
      </c>
      <c r="K44" s="338">
        <f t="shared" si="24"/>
        <v>1</v>
      </c>
      <c r="L44" s="339">
        <f t="shared" si="25"/>
        <v>0</v>
      </c>
      <c r="M44" s="731" t="str">
        <f t="shared" si="4"/>
        <v>0.999999986578005+0.000256665044725287i</v>
      </c>
      <c r="N44" s="338">
        <f t="shared" si="26"/>
        <v>1.0000000195164778</v>
      </c>
      <c r="O44" s="339">
        <f t="shared" si="27"/>
        <v>2.5666504253414097E-4</v>
      </c>
      <c r="P44" s="732" t="str">
        <f t="shared" si="19"/>
        <v>2.16178762816616-0.0291555799927192i</v>
      </c>
      <c r="Q44" s="337">
        <f t="shared" si="28"/>
        <v>2.1619842268474079</v>
      </c>
      <c r="R44" s="339">
        <f t="shared" si="29"/>
        <v>-1.3485974324389638E-2</v>
      </c>
      <c r="S44" s="731" t="str">
        <f t="shared" si="5"/>
        <v>6000</v>
      </c>
      <c r="T44" s="337" t="str">
        <f t="shared" si="6"/>
        <v>1+110.281086210849i</v>
      </c>
      <c r="U44" s="346">
        <f t="shared" si="30"/>
        <v>110.28561998667237</v>
      </c>
      <c r="V44" s="347">
        <f t="shared" si="31"/>
        <v>1.5617288372755922</v>
      </c>
      <c r="W44" s="340" t="str">
        <f t="shared" si="7"/>
        <v>1+1.09189194268167i</v>
      </c>
      <c r="X44" s="337">
        <f t="shared" si="32"/>
        <v>1.480617443667726</v>
      </c>
      <c r="Y44" s="339">
        <f t="shared" si="33"/>
        <v>0.82929761298778648</v>
      </c>
      <c r="Z44" s="337" t="str">
        <f t="shared" si="8"/>
        <v>1+0.0109991255806629i</v>
      </c>
      <c r="AA44" s="346">
        <f t="shared" si="34"/>
        <v>1.0000604885523372</v>
      </c>
      <c r="AB44" s="347">
        <f t="shared" si="35"/>
        <v>1.0998682051987179E-2</v>
      </c>
      <c r="AC44" s="732" t="str">
        <f t="shared" si="36"/>
        <v>59.2947361226255-54.51551210225i</v>
      </c>
      <c r="AD44" s="337">
        <f t="shared" si="37"/>
        <v>80.546922918398039</v>
      </c>
      <c r="AE44" s="339">
        <f t="shared" si="38"/>
        <v>-0.74342990633979344</v>
      </c>
      <c r="AF44" s="736" t="str">
        <f t="shared" si="9"/>
        <v>126.593195591328-119.579732027957i</v>
      </c>
      <c r="AG44" s="337">
        <f t="shared" si="39"/>
        <v>44.818029503137225</v>
      </c>
      <c r="AH44" s="730">
        <f t="shared" si="40"/>
        <v>-43.368085408485491</v>
      </c>
      <c r="AI44" s="360">
        <f t="shared" si="10"/>
        <v>136.63191459151452</v>
      </c>
      <c r="AL44" s="337">
        <f t="shared" si="11"/>
        <v>38.120979080061709</v>
      </c>
      <c r="AM44" s="730">
        <f t="shared" si="12"/>
        <v>-42.595395997076245</v>
      </c>
      <c r="AN44" s="351"/>
      <c r="AO44" s="337">
        <f t="shared" si="13"/>
        <v>59.96898162181494</v>
      </c>
      <c r="AP44" s="730">
        <f t="shared" si="14"/>
        <v>-0.77268941140931635</v>
      </c>
      <c r="AS44" s="351"/>
      <c r="AT44" s="351"/>
      <c r="AV44" s="405">
        <f t="shared" si="15"/>
        <v>0</v>
      </c>
      <c r="AW44" s="405">
        <f t="shared" si="16"/>
        <v>0</v>
      </c>
      <c r="AX44" s="405">
        <f t="shared" si="17"/>
        <v>0</v>
      </c>
      <c r="AY44" s="405">
        <f t="shared" si="18"/>
        <v>0</v>
      </c>
    </row>
    <row r="45" spans="2:51" ht="13.5" thickBot="1" x14ac:dyDescent="0.25">
      <c r="B45" s="345">
        <v>19.055</v>
      </c>
      <c r="C45" s="728" t="str">
        <f t="shared" si="0"/>
        <v>2.16217503399043</v>
      </c>
      <c r="D45" s="728" t="str">
        <f t="shared" si="1"/>
        <v>1+0.0145666750167774i</v>
      </c>
      <c r="E45" s="337">
        <f t="shared" si="20"/>
        <v>1.0001060883831496</v>
      </c>
      <c r="F45" s="338">
        <f t="shared" si="21"/>
        <v>1.4565644856611805E-2</v>
      </c>
      <c r="G45" s="338" t="str">
        <f t="shared" si="2"/>
        <v>1+0.0000598630480141535i</v>
      </c>
      <c r="H45" s="337">
        <f t="shared" si="22"/>
        <v>1.0000000017917923</v>
      </c>
      <c r="I45" s="338">
        <f t="shared" si="23"/>
        <v>5.9863047942645397E-5</v>
      </c>
      <c r="J45" s="340">
        <f t="shared" si="3"/>
        <v>1</v>
      </c>
      <c r="K45" s="338">
        <f t="shared" si="24"/>
        <v>1</v>
      </c>
      <c r="L45" s="339">
        <f t="shared" si="25"/>
        <v>0</v>
      </c>
      <c r="M45" s="731" t="str">
        <f t="shared" si="4"/>
        <v>0.999999983862532+0.000281433561240669i</v>
      </c>
      <c r="N45" s="338">
        <f t="shared" si="26"/>
        <v>1.0000000234649564</v>
      </c>
      <c r="O45" s="339">
        <f t="shared" si="27"/>
        <v>2.8143355835199321E-4</v>
      </c>
      <c r="P45" s="732" t="str">
        <f t="shared" si="19"/>
        <v>2.16170926672517-0.0319679905807143i</v>
      </c>
      <c r="Q45" s="337">
        <f t="shared" si="28"/>
        <v>2.1619456298129331</v>
      </c>
      <c r="R45" s="339">
        <f t="shared" si="29"/>
        <v>-1.4787215367021116E-2</v>
      </c>
      <c r="S45" s="731" t="str">
        <f t="shared" si="5"/>
        <v>6000</v>
      </c>
      <c r="T45" s="337" t="str">
        <f t="shared" si="6"/>
        <v>1+120.92335698859i</v>
      </c>
      <c r="U45" s="346">
        <f t="shared" si="30"/>
        <v>120.92749176837324</v>
      </c>
      <c r="V45" s="347">
        <f t="shared" si="31"/>
        <v>1.5625268143545077</v>
      </c>
      <c r="W45" s="340" t="str">
        <f t="shared" si="7"/>
        <v>1+1.19726096028307i</v>
      </c>
      <c r="X45" s="337">
        <f t="shared" si="32"/>
        <v>1.5599467321091252</v>
      </c>
      <c r="Y45" s="339">
        <f t="shared" si="33"/>
        <v>0.87493397960909269</v>
      </c>
      <c r="Z45" s="337" t="str">
        <f t="shared" si="8"/>
        <v>1+0.0120605557566769i</v>
      </c>
      <c r="AA45" s="346">
        <f t="shared" si="34"/>
        <v>1.0000727258580548</v>
      </c>
      <c r="AB45" s="347">
        <f t="shared" si="35"/>
        <v>1.2059971043599443E-2</v>
      </c>
      <c r="AC45" s="732" t="str">
        <f t="shared" si="36"/>
        <v>59.2111075761221-49.8376957319237i</v>
      </c>
      <c r="AD45" s="337">
        <f t="shared" si="37"/>
        <v>77.393482776386989</v>
      </c>
      <c r="AE45" s="339">
        <f t="shared" si="38"/>
        <v>-0.6996528057890139</v>
      </c>
      <c r="AF45" s="736" t="str">
        <f t="shared" si="9"/>
        <v>126.403988952641-109.627468825196i</v>
      </c>
      <c r="AG45" s="337">
        <f t="shared" si="39"/>
        <v>44.470983170839553</v>
      </c>
      <c r="AH45" s="730">
        <f t="shared" si="40"/>
        <v>-40.934397927478138</v>
      </c>
      <c r="AI45" s="360">
        <f t="shared" si="10"/>
        <v>139.06560207252187</v>
      </c>
      <c r="AL45" s="337">
        <f t="shared" si="11"/>
        <v>37.774087814840961</v>
      </c>
      <c r="AM45" s="730">
        <f t="shared" si="12"/>
        <v>-40.087152896196748</v>
      </c>
      <c r="AN45" s="351"/>
      <c r="AO45" s="337">
        <f t="shared" si="13"/>
        <v>59.968826554738044</v>
      </c>
      <c r="AP45" s="730">
        <f t="shared" si="14"/>
        <v>-0.8472450312813038</v>
      </c>
      <c r="AS45" s="351"/>
      <c r="AT45" s="351"/>
      <c r="AV45" s="405">
        <f t="shared" si="15"/>
        <v>0</v>
      </c>
      <c r="AW45" s="405">
        <f t="shared" si="16"/>
        <v>0</v>
      </c>
      <c r="AX45" s="405">
        <f t="shared" si="17"/>
        <v>0</v>
      </c>
      <c r="AY45" s="405">
        <f t="shared" si="18"/>
        <v>0</v>
      </c>
    </row>
    <row r="46" spans="2:51" ht="13.5" thickBot="1" x14ac:dyDescent="0.25">
      <c r="B46" s="345">
        <v>20.893000000000001</v>
      </c>
      <c r="C46" s="728" t="str">
        <f t="shared" si="0"/>
        <v>2.16217503399043</v>
      </c>
      <c r="D46" s="728" t="str">
        <f t="shared" si="1"/>
        <v>1+0.0159717418591199i</v>
      </c>
      <c r="E46" s="337">
        <f t="shared" si="20"/>
        <v>1.0001275401357641</v>
      </c>
      <c r="F46" s="338">
        <f t="shared" si="21"/>
        <v>1.5970383954933731E-2</v>
      </c>
      <c r="G46" s="338" t="str">
        <f t="shared" si="2"/>
        <v>1+0.0000656372953114515i</v>
      </c>
      <c r="H46" s="337">
        <f t="shared" si="22"/>
        <v>1.0000000021541273</v>
      </c>
      <c r="I46" s="338">
        <f t="shared" si="23"/>
        <v>6.5637295217190776E-5</v>
      </c>
      <c r="J46" s="340">
        <f t="shared" si="3"/>
        <v>1</v>
      </c>
      <c r="K46" s="338">
        <f t="shared" si="24"/>
        <v>1</v>
      </c>
      <c r="L46" s="339">
        <f t="shared" si="25"/>
        <v>0</v>
      </c>
      <c r="M46" s="731" t="str">
        <f t="shared" si="4"/>
        <v>0.999999980599224+0.000308579973497837i</v>
      </c>
      <c r="N46" s="338">
        <f t="shared" si="26"/>
        <v>1.0000000282100237</v>
      </c>
      <c r="O46" s="339">
        <f t="shared" si="27"/>
        <v>3.085799696900351E-4</v>
      </c>
      <c r="P46" s="732" t="str">
        <f t="shared" si="19"/>
        <v>2.16161510360705-0.0350500430001689i</v>
      </c>
      <c r="Q46" s="337">
        <f t="shared" si="28"/>
        <v>2.1618992487293274</v>
      </c>
      <c r="R46" s="339">
        <f t="shared" si="29"/>
        <v>-1.6213326629406687E-2</v>
      </c>
      <c r="S46" s="731" t="str">
        <f t="shared" si="5"/>
        <v>6000</v>
      </c>
      <c r="T46" s="337" t="str">
        <f t="shared" si="6"/>
        <v>1+132.587336529132i</v>
      </c>
      <c r="U46" s="346">
        <f t="shared" si="30"/>
        <v>132.5911075747137</v>
      </c>
      <c r="V46" s="347">
        <f t="shared" si="31"/>
        <v>1.5632542713826758</v>
      </c>
      <c r="W46" s="340" t="str">
        <f t="shared" si="7"/>
        <v>1+1.31274590622903i</v>
      </c>
      <c r="X46" s="337">
        <f t="shared" si="32"/>
        <v>1.6502429561495111</v>
      </c>
      <c r="Y46" s="339">
        <f t="shared" si="33"/>
        <v>0.91980991314500049</v>
      </c>
      <c r="Z46" s="337" t="str">
        <f t="shared" si="8"/>
        <v>1+0.0132238882930595i</v>
      </c>
      <c r="AA46" s="346">
        <f t="shared" si="34"/>
        <v>1.0000874317886348</v>
      </c>
      <c r="AB46" s="347">
        <f t="shared" si="35"/>
        <v>1.3223117548093239E-2</v>
      </c>
      <c r="AC46" s="732" t="str">
        <f t="shared" si="36"/>
        <v>59.1410441024425-45.5846651013075i</v>
      </c>
      <c r="AD46" s="337">
        <f t="shared" si="37"/>
        <v>74.670106400924666</v>
      </c>
      <c r="AE46" s="339">
        <f t="shared" si="38"/>
        <v>-0.65666747578576823</v>
      </c>
      <c r="AF46" s="736" t="str">
        <f t="shared" si="9"/>
        <v>126.242429702981-100.609396714721i</v>
      </c>
      <c r="AG46" s="337">
        <f t="shared" si="39"/>
        <v>44.15964441564212</v>
      </c>
      <c r="AH46" s="730">
        <f t="shared" si="40"/>
        <v>-38.553230093765826</v>
      </c>
      <c r="AI46" s="360">
        <f t="shared" si="10"/>
        <v>141.44676990623418</v>
      </c>
      <c r="AL46" s="337">
        <f t="shared" si="11"/>
        <v>37.462935403504055</v>
      </c>
      <c r="AM46" s="730">
        <f t="shared" si="12"/>
        <v>-37.624274906033705</v>
      </c>
      <c r="AN46" s="351"/>
      <c r="AO46" s="337">
        <f t="shared" si="13"/>
        <v>59.96864021087751</v>
      </c>
      <c r="AP46" s="730">
        <f t="shared" si="14"/>
        <v>-0.92895518773207075</v>
      </c>
      <c r="AS46" s="351"/>
      <c r="AT46" s="351"/>
      <c r="AV46" s="405">
        <f t="shared" si="15"/>
        <v>0</v>
      </c>
      <c r="AW46" s="405">
        <f t="shared" si="16"/>
        <v>0</v>
      </c>
      <c r="AX46" s="405">
        <f t="shared" si="17"/>
        <v>0</v>
      </c>
      <c r="AY46" s="405">
        <f t="shared" si="18"/>
        <v>0</v>
      </c>
    </row>
    <row r="47" spans="2:51" ht="13.5" thickBot="1" x14ac:dyDescent="0.25">
      <c r="B47" s="345">
        <v>22.909000000000002</v>
      </c>
      <c r="C47" s="728" t="str">
        <f t="shared" si="0"/>
        <v>2.16217503399043</v>
      </c>
      <c r="D47" s="728" t="str">
        <f t="shared" si="1"/>
        <v>1+0.0175128815512649i</v>
      </c>
      <c r="E47" s="337">
        <f t="shared" si="20"/>
        <v>1.0001533387537276</v>
      </c>
      <c r="F47" s="338">
        <f t="shared" si="21"/>
        <v>1.7511091474451415E-2</v>
      </c>
      <c r="G47" s="338" t="str">
        <f t="shared" si="2"/>
        <v>1+0.0000719707461010885i</v>
      </c>
      <c r="H47" s="337">
        <f t="shared" si="22"/>
        <v>1.0000000025898941</v>
      </c>
      <c r="I47" s="338">
        <f t="shared" si="23"/>
        <v>7.1970745976824085E-5</v>
      </c>
      <c r="J47" s="340">
        <f t="shared" si="3"/>
        <v>1</v>
      </c>
      <c r="K47" s="338">
        <f t="shared" si="24"/>
        <v>1</v>
      </c>
      <c r="L47" s="339">
        <f t="shared" si="25"/>
        <v>0</v>
      </c>
      <c r="M47" s="731" t="str">
        <f t="shared" si="4"/>
        <v>0.999999976674565+0.000338355363655863i</v>
      </c>
      <c r="N47" s="338">
        <f t="shared" si="26"/>
        <v>1.0000000339167407</v>
      </c>
      <c r="O47" s="339">
        <f t="shared" si="27"/>
        <v>3.3835535863601767E-4</v>
      </c>
      <c r="P47" s="732" t="str">
        <f t="shared" si="19"/>
        <v>2.16150186781669-0.0384300963179874i</v>
      </c>
      <c r="Q47" s="337">
        <f t="shared" si="28"/>
        <v>2.1618434718725705</v>
      </c>
      <c r="R47" s="339">
        <f t="shared" si="29"/>
        <v>-1.777747608711068E-2</v>
      </c>
      <c r="S47" s="731" t="str">
        <f t="shared" si="5"/>
        <v>6000</v>
      </c>
      <c r="T47" s="337" t="str">
        <f t="shared" si="6"/>
        <v>1+145.380907124199i</v>
      </c>
      <c r="U47" s="346">
        <f t="shared" si="30"/>
        <v>145.38434632468164</v>
      </c>
      <c r="V47" s="347">
        <f t="shared" si="31"/>
        <v>1.5639179529488703</v>
      </c>
      <c r="W47" s="340" t="str">
        <f t="shared" si="7"/>
        <v>1+1.43941492202177i</v>
      </c>
      <c r="X47" s="337">
        <f t="shared" si="32"/>
        <v>1.7526880263580678</v>
      </c>
      <c r="Y47" s="339">
        <f t="shared" si="33"/>
        <v>0.96361825463021078</v>
      </c>
      <c r="Z47" s="337" t="str">
        <f t="shared" si="8"/>
        <v>1+0.0144998830663715i</v>
      </c>
      <c r="AA47" s="346">
        <f t="shared" si="34"/>
        <v>1.0001051177795954</v>
      </c>
      <c r="AB47" s="347">
        <f t="shared" si="35"/>
        <v>1.4498867010793528E-2</v>
      </c>
      <c r="AC47" s="732" t="str">
        <f t="shared" si="36"/>
        <v>59.0821057714144-41.7170216143522i</v>
      </c>
      <c r="AD47" s="337">
        <f t="shared" si="37"/>
        <v>72.325687793182638</v>
      </c>
      <c r="AE47" s="339">
        <f t="shared" si="38"/>
        <v>-0.61479856532945287</v>
      </c>
      <c r="AF47" s="736" t="str">
        <f t="shared" si="9"/>
        <v>126.102892820716-92.4419511546365i</v>
      </c>
      <c r="AG47" s="337">
        <f t="shared" si="39"/>
        <v>43.882336360580865</v>
      </c>
      <c r="AH47" s="730">
        <f t="shared" si="40"/>
        <v>-36.243937394261941</v>
      </c>
      <c r="AI47" s="360">
        <f t="shared" si="10"/>
        <v>143.75606260573807</v>
      </c>
      <c r="AL47" s="337">
        <f t="shared" si="11"/>
        <v>37.185851446708355</v>
      </c>
      <c r="AM47" s="730">
        <f t="shared" si="12"/>
        <v>-35.225363044075671</v>
      </c>
      <c r="AN47" s="351"/>
      <c r="AO47" s="337">
        <f t="shared" si="13"/>
        <v>59.968416112611962</v>
      </c>
      <c r="AP47" s="730">
        <f t="shared" si="14"/>
        <v>-1.018574350186187</v>
      </c>
      <c r="AS47" s="351"/>
      <c r="AT47" s="351"/>
      <c r="AV47" s="405">
        <f t="shared" si="15"/>
        <v>0</v>
      </c>
      <c r="AW47" s="405">
        <f t="shared" si="16"/>
        <v>0</v>
      </c>
      <c r="AX47" s="405">
        <f t="shared" si="17"/>
        <v>0</v>
      </c>
      <c r="AY47" s="405">
        <f t="shared" si="18"/>
        <v>0</v>
      </c>
    </row>
    <row r="48" spans="2:51" ht="13.5" thickBot="1" x14ac:dyDescent="0.25">
      <c r="B48" s="345">
        <v>25.119</v>
      </c>
      <c r="C48" s="728" t="str">
        <f t="shared" si="0"/>
        <v>2.16217503399043</v>
      </c>
      <c r="D48" s="728" t="str">
        <f t="shared" si="1"/>
        <v>1+0.0192023253606104i</v>
      </c>
      <c r="E48" s="337">
        <f t="shared" si="20"/>
        <v>1.000184347657598</v>
      </c>
      <c r="F48" s="338">
        <f t="shared" si="21"/>
        <v>1.9199965729302763E-2</v>
      </c>
      <c r="G48" s="338" t="str">
        <f t="shared" si="2"/>
        <v>1+0.000078913665865522i</v>
      </c>
      <c r="H48" s="337">
        <f t="shared" si="22"/>
        <v>1.0000000031136833</v>
      </c>
      <c r="I48" s="338">
        <f t="shared" si="23"/>
        <v>7.8913665701713895E-5</v>
      </c>
      <c r="J48" s="340">
        <f t="shared" si="3"/>
        <v>1</v>
      </c>
      <c r="K48" s="338">
        <f t="shared" si="24"/>
        <v>1</v>
      </c>
      <c r="L48" s="339">
        <f t="shared" si="25"/>
        <v>0</v>
      </c>
      <c r="M48" s="731" t="str">
        <f t="shared" si="4"/>
        <v>0.999999971957148+0.000370996044335049i</v>
      </c>
      <c r="N48" s="338">
        <f t="shared" si="26"/>
        <v>1.00000004077618</v>
      </c>
      <c r="O48" s="339">
        <f t="shared" si="27"/>
        <v>3.7099603771777721E-4</v>
      </c>
      <c r="P48" s="732" t="str">
        <f t="shared" si="19"/>
        <v>2.16136577453459-0.0421347820057782i</v>
      </c>
      <c r="Q48" s="337">
        <f t="shared" si="28"/>
        <v>2.1617764341356351</v>
      </c>
      <c r="R48" s="339">
        <f t="shared" si="29"/>
        <v>-1.9492048101318903E-2</v>
      </c>
      <c r="S48" s="731" t="str">
        <f t="shared" si="5"/>
        <v>6000</v>
      </c>
      <c r="T48" s="337" t="str">
        <f t="shared" si="6"/>
        <v>1+159.405605048354i</v>
      </c>
      <c r="U48" s="346">
        <f t="shared" si="30"/>
        <v>159.4087416700597</v>
      </c>
      <c r="V48" s="347">
        <f t="shared" si="31"/>
        <v>1.5645231039562937</v>
      </c>
      <c r="W48" s="340" t="str">
        <f t="shared" si="7"/>
        <v>1+1.57827331731044i</v>
      </c>
      <c r="X48" s="337">
        <f t="shared" si="32"/>
        <v>1.8684075208942243</v>
      </c>
      <c r="Y48" s="339">
        <f t="shared" si="33"/>
        <v>1.0060339064729407</v>
      </c>
      <c r="Z48" s="337" t="str">
        <f t="shared" si="8"/>
        <v>1+0.0158986670192583i</v>
      </c>
      <c r="AA48" s="346">
        <f t="shared" si="34"/>
        <v>1.0001263758210706</v>
      </c>
      <c r="AB48" s="347">
        <f t="shared" si="35"/>
        <v>1.5897327666342068E-2</v>
      </c>
      <c r="AC48" s="732" t="str">
        <f t="shared" si="36"/>
        <v>59.0323233570546-38.2042278768693i</v>
      </c>
      <c r="AD48" s="337">
        <f t="shared" si="37"/>
        <v>70.316272857707787</v>
      </c>
      <c r="AE48" s="339">
        <f t="shared" si="38"/>
        <v>-0.57438652514969479</v>
      </c>
      <c r="AF48" s="736" t="str">
        <f t="shared" si="9"/>
        <v>125.980716481906-85.0606246515297i</v>
      </c>
      <c r="AG48" s="337">
        <f t="shared" si="39"/>
        <v>43.637332418839385</v>
      </c>
      <c r="AH48" s="730">
        <f t="shared" si="40"/>
        <v>-34.026735790533934</v>
      </c>
      <c r="AI48" s="360">
        <f t="shared" si="10"/>
        <v>145.97326420946607</v>
      </c>
      <c r="AL48" s="337">
        <f t="shared" si="11"/>
        <v>36.941116854445902</v>
      </c>
      <c r="AM48" s="730">
        <f t="shared" si="12"/>
        <v>-32.909923700262425</v>
      </c>
      <c r="AN48" s="351"/>
      <c r="AO48" s="337">
        <f t="shared" si="13"/>
        <v>59.968146763132907</v>
      </c>
      <c r="AP48" s="730">
        <f t="shared" si="14"/>
        <v>-1.1168120902715599</v>
      </c>
      <c r="AS48" s="351"/>
      <c r="AT48" s="351"/>
      <c r="AV48" s="405">
        <f t="shared" si="15"/>
        <v>0</v>
      </c>
      <c r="AW48" s="405">
        <f t="shared" si="16"/>
        <v>0</v>
      </c>
      <c r="AX48" s="405">
        <f t="shared" si="17"/>
        <v>0</v>
      </c>
      <c r="AY48" s="405">
        <f t="shared" si="18"/>
        <v>0</v>
      </c>
    </row>
    <row r="49" spans="2:51" ht="13.5" thickBot="1" x14ac:dyDescent="0.25">
      <c r="B49" s="345">
        <v>27.542000000000002</v>
      </c>
      <c r="C49" s="728" t="str">
        <f t="shared" si="0"/>
        <v>2.16217503399043</v>
      </c>
      <c r="D49" s="728" t="str">
        <f t="shared" si="1"/>
        <v>1+0.0210545979171914i</v>
      </c>
      <c r="E49" s="337">
        <f t="shared" si="20"/>
        <v>1.000221623488242</v>
      </c>
      <c r="F49" s="338">
        <f t="shared" si="21"/>
        <v>2.1051487604087971E-2</v>
      </c>
      <c r="G49" s="338" t="str">
        <f t="shared" si="2"/>
        <v>1+0.00008652574486517i</v>
      </c>
      <c r="H49" s="337">
        <f t="shared" si="22"/>
        <v>1.0000000037433523</v>
      </c>
      <c r="I49" s="338">
        <f t="shared" si="23"/>
        <v>8.6525744649239097E-5</v>
      </c>
      <c r="J49" s="340">
        <f t="shared" si="3"/>
        <v>1</v>
      </c>
      <c r="K49" s="338">
        <f t="shared" si="24"/>
        <v>1</v>
      </c>
      <c r="L49" s="339">
        <f t="shared" si="25"/>
        <v>0</v>
      </c>
      <c r="M49" s="731" t="str">
        <f t="shared" si="4"/>
        <v>0.999999966286144+0.000406782636772002i</v>
      </c>
      <c r="N49" s="338">
        <f t="shared" si="26"/>
        <v>1.0000000490222001</v>
      </c>
      <c r="O49" s="339">
        <f t="shared" si="27"/>
        <v>4.0678262804915279E-4</v>
      </c>
      <c r="P49" s="732" t="str">
        <f t="shared" si="19"/>
        <v>2.16120219343327-0.0461956945950503i</v>
      </c>
      <c r="Q49" s="337">
        <f t="shared" si="28"/>
        <v>2.1616958535140638</v>
      </c>
      <c r="R49" s="339">
        <f t="shared" si="29"/>
        <v>-2.1371744487487899E-2</v>
      </c>
      <c r="S49" s="731" t="str">
        <f t="shared" si="5"/>
        <v>6000</v>
      </c>
      <c r="T49" s="337" t="str">
        <f t="shared" si="6"/>
        <v>1+174.782004627643i</v>
      </c>
      <c r="U49" s="346">
        <f t="shared" si="30"/>
        <v>174.78486531063672</v>
      </c>
      <c r="V49" s="347">
        <f t="shared" si="31"/>
        <v>1.5650749764143286</v>
      </c>
      <c r="W49" s="340" t="str">
        <f t="shared" si="7"/>
        <v>1+1.7305148973034i</v>
      </c>
      <c r="X49" s="337">
        <f t="shared" si="32"/>
        <v>1.9986700102290513</v>
      </c>
      <c r="Y49" s="339">
        <f t="shared" si="33"/>
        <v>1.0468133181077415</v>
      </c>
      <c r="Z49" s="337" t="str">
        <f t="shared" si="8"/>
        <v>1+0.0174322658961109i</v>
      </c>
      <c r="AA49" s="346">
        <f t="shared" si="34"/>
        <v>1.0001519304057123</v>
      </c>
      <c r="AB49" s="347">
        <f t="shared" si="35"/>
        <v>1.7430500423050183E-2</v>
      </c>
      <c r="AC49" s="732" t="str">
        <f t="shared" si="36"/>
        <v>58.9899921194425-35.0158076050707i</v>
      </c>
      <c r="AD49" s="337">
        <f t="shared" si="37"/>
        <v>68.599751839836969</v>
      </c>
      <c r="AE49" s="339">
        <f t="shared" si="38"/>
        <v>-0.53569215872963738</v>
      </c>
      <c r="AF49" s="736" t="str">
        <f t="shared" si="9"/>
        <v>125.871720805028-78.4013238610304i</v>
      </c>
      <c r="AG49" s="337">
        <f t="shared" si="39"/>
        <v>43.422342683110706</v>
      </c>
      <c r="AH49" s="730">
        <f t="shared" si="40"/>
        <v>-31.917410573425364</v>
      </c>
      <c r="AI49" s="360">
        <f t="shared" si="10"/>
        <v>148.08258942657463</v>
      </c>
      <c r="AL49" s="337">
        <f t="shared" si="11"/>
        <v>36.726450892915096</v>
      </c>
      <c r="AM49" s="730">
        <f t="shared" si="12"/>
        <v>-30.6928998134604</v>
      </c>
      <c r="AN49" s="351"/>
      <c r="AO49" s="337">
        <f t="shared" si="13"/>
        <v>59.967822988935012</v>
      </c>
      <c r="AP49" s="730">
        <f t="shared" si="14"/>
        <v>-1.224510759965038</v>
      </c>
      <c r="AS49" s="351"/>
      <c r="AT49" s="351"/>
      <c r="AV49" s="405">
        <f t="shared" si="15"/>
        <v>0</v>
      </c>
      <c r="AW49" s="405">
        <f t="shared" si="16"/>
        <v>0</v>
      </c>
      <c r="AX49" s="405">
        <f t="shared" si="17"/>
        <v>0</v>
      </c>
      <c r="AY49" s="405">
        <f t="shared" si="18"/>
        <v>0</v>
      </c>
    </row>
    <row r="50" spans="2:51" ht="13.5" thickBot="1" x14ac:dyDescent="0.25">
      <c r="B50" s="345">
        <v>30.2</v>
      </c>
      <c r="C50" s="728" t="str">
        <f t="shared" si="0"/>
        <v>2.16217503399043</v>
      </c>
      <c r="D50" s="728" t="str">
        <f t="shared" si="1"/>
        <v>1+0.0230865172136801i</v>
      </c>
      <c r="E50" s="337">
        <f t="shared" si="20"/>
        <v>1.000266458138559</v>
      </c>
      <c r="F50" s="338">
        <f t="shared" si="21"/>
        <v>2.3082416918194622E-2</v>
      </c>
      <c r="G50" s="338" t="str">
        <f t="shared" si="2"/>
        <v>1+0.0000948760981384115i</v>
      </c>
      <c r="H50" s="337">
        <f t="shared" si="22"/>
        <v>1.0000000045007369</v>
      </c>
      <c r="I50" s="338">
        <f t="shared" si="23"/>
        <v>9.4876097853736593E-5</v>
      </c>
      <c r="J50" s="340">
        <f t="shared" si="3"/>
        <v>1</v>
      </c>
      <c r="K50" s="338">
        <f t="shared" si="24"/>
        <v>1</v>
      </c>
      <c r="L50" s="339">
        <f t="shared" si="25"/>
        <v>0</v>
      </c>
      <c r="M50" s="731" t="str">
        <f t="shared" si="4"/>
        <v>0.999999959464889+0.000446040070819637i</v>
      </c>
      <c r="N50" s="338">
        <f t="shared" si="26"/>
        <v>1.0000000589407605</v>
      </c>
      <c r="O50" s="339">
        <f t="shared" si="27"/>
        <v>4.460400593197714E-4</v>
      </c>
      <c r="P50" s="732" t="str">
        <f t="shared" si="19"/>
        <v>2.16100546546516-0.0506493677706969i</v>
      </c>
      <c r="Q50" s="337">
        <f t="shared" si="28"/>
        <v>2.1615989406515408</v>
      </c>
      <c r="R50" s="339">
        <f t="shared" si="29"/>
        <v>-2.3433580879660652E-2</v>
      </c>
      <c r="S50" s="731" t="str">
        <f t="shared" si="5"/>
        <v>6000</v>
      </c>
      <c r="T50" s="337" t="str">
        <f t="shared" si="6"/>
        <v>1+191.649718239591i</v>
      </c>
      <c r="U50" s="346">
        <f t="shared" si="30"/>
        <v>191.65232714818421</v>
      </c>
      <c r="V50" s="347">
        <f t="shared" si="31"/>
        <v>1.5655785214466562</v>
      </c>
      <c r="W50" s="340" t="str">
        <f t="shared" si="7"/>
        <v>1+1.89752196276823i</v>
      </c>
      <c r="X50" s="337">
        <f t="shared" si="32"/>
        <v>2.1448985055679901</v>
      </c>
      <c r="Y50" s="339">
        <f t="shared" si="33"/>
        <v>1.0857803130635062</v>
      </c>
      <c r="Z50" s="337" t="str">
        <f t="shared" si="8"/>
        <v>1+0.0191146042430669i</v>
      </c>
      <c r="AA50" s="346">
        <f t="shared" si="34"/>
        <v>1.0001826673640015</v>
      </c>
      <c r="AB50" s="347">
        <f t="shared" si="35"/>
        <v>1.9112276797754815E-2</v>
      </c>
      <c r="AC50" s="732" t="str">
        <f t="shared" si="36"/>
        <v>58.9536529184827-32.1231765989249i</v>
      </c>
      <c r="AD50" s="337">
        <f t="shared" si="37"/>
        <v>67.137408851091664</v>
      </c>
      <c r="AE50" s="339">
        <f t="shared" si="38"/>
        <v>-0.49891048518090503</v>
      </c>
      <c r="AF50" s="736" t="str">
        <f t="shared" si="9"/>
        <v>125.772147580455-72.4043254464735i</v>
      </c>
      <c r="AG50" s="337">
        <f t="shared" si="39"/>
        <v>43.234793892117551</v>
      </c>
      <c r="AH50" s="730">
        <f t="shared" si="40"/>
        <v>-29.928110438973125</v>
      </c>
      <c r="AI50" s="360">
        <f t="shared" si="10"/>
        <v>150.07188956102686</v>
      </c>
      <c r="AL50" s="337">
        <f t="shared" si="11"/>
        <v>36.53929151530626</v>
      </c>
      <c r="AM50" s="730">
        <f t="shared" si="12"/>
        <v>-28.585465155690059</v>
      </c>
      <c r="AN50" s="351"/>
      <c r="AO50" s="337">
        <f t="shared" si="13"/>
        <v>59.967433575550743</v>
      </c>
      <c r="AP50" s="730">
        <f t="shared" si="14"/>
        <v>-1.3426452832830202</v>
      </c>
      <c r="AS50" s="351"/>
      <c r="AT50" s="351"/>
      <c r="AV50" s="405">
        <f t="shared" si="15"/>
        <v>0</v>
      </c>
      <c r="AW50" s="405">
        <f t="shared" si="16"/>
        <v>0</v>
      </c>
      <c r="AX50" s="405">
        <f t="shared" si="17"/>
        <v>0</v>
      </c>
      <c r="AY50" s="405">
        <f t="shared" si="18"/>
        <v>0</v>
      </c>
    </row>
    <row r="51" spans="2:51" ht="13.5" thickBot="1" x14ac:dyDescent="0.25">
      <c r="B51" s="345">
        <v>33.113</v>
      </c>
      <c r="C51" s="728" t="str">
        <f t="shared" si="0"/>
        <v>2.16217503399043</v>
      </c>
      <c r="D51" s="728" t="str">
        <f t="shared" si="1"/>
        <v>1+0.0253133723343243i</v>
      </c>
      <c r="E51" s="337">
        <f t="shared" si="20"/>
        <v>1.00032033210314</v>
      </c>
      <c r="F51" s="338">
        <f t="shared" si="21"/>
        <v>2.530796775566126E-2</v>
      </c>
      <c r="G51" s="338" t="str">
        <f t="shared" si="2"/>
        <v>1+0.000104027557538319i</v>
      </c>
      <c r="H51" s="337">
        <f t="shared" si="22"/>
        <v>1.0000000054108662</v>
      </c>
      <c r="I51" s="338">
        <f t="shared" si="23"/>
        <v>1.040275571630662E-4</v>
      </c>
      <c r="J51" s="340">
        <f t="shared" si="3"/>
        <v>1</v>
      </c>
      <c r="K51" s="338">
        <f t="shared" si="24"/>
        <v>1</v>
      </c>
      <c r="L51" s="339">
        <f t="shared" si="25"/>
        <v>0</v>
      </c>
      <c r="M51" s="731" t="str">
        <f t="shared" si="4"/>
        <v>0.999999951267966+0.000489063737253334i</v>
      </c>
      <c r="N51" s="338">
        <f t="shared" si="26"/>
        <v>1.0000000708596344</v>
      </c>
      <c r="O51" s="339">
        <f t="shared" si="27"/>
        <v>4.8906372209443977E-4</v>
      </c>
      <c r="P51" s="732" t="str">
        <f t="shared" si="19"/>
        <v>2.16076910928082-0.0555288684996721i</v>
      </c>
      <c r="Q51" s="337">
        <f t="shared" si="28"/>
        <v>2.1614825002435438</v>
      </c>
      <c r="R51" s="339">
        <f t="shared" si="29"/>
        <v>-2.5693003920592618E-2</v>
      </c>
      <c r="S51" s="731" t="str">
        <f t="shared" si="5"/>
        <v>6000</v>
      </c>
      <c r="T51" s="337" t="str">
        <f t="shared" si="6"/>
        <v>1+210.135666227404i</v>
      </c>
      <c r="U51" s="346">
        <f t="shared" si="30"/>
        <v>210.13804562914095</v>
      </c>
      <c r="V51" s="347">
        <f t="shared" si="31"/>
        <v>1.5660375323016378</v>
      </c>
      <c r="W51" s="340" t="str">
        <f t="shared" si="7"/>
        <v>1+2.08055115076638i</v>
      </c>
      <c r="X51" s="337">
        <f t="shared" si="32"/>
        <v>2.3083962161975808</v>
      </c>
      <c r="Y51" s="339">
        <f t="shared" si="33"/>
        <v>1.1227548047392584</v>
      </c>
      <c r="Z51" s="337" t="str">
        <f t="shared" si="8"/>
        <v>1+0.020958340738433i</v>
      </c>
      <c r="AA51" s="346">
        <f t="shared" si="34"/>
        <v>1.0002196019107545</v>
      </c>
      <c r="AB51" s="347">
        <f t="shared" si="35"/>
        <v>2.0955272882242762E-2</v>
      </c>
      <c r="AC51" s="732" t="str">
        <f t="shared" si="36"/>
        <v>58.922104622242-29.5045490392486i</v>
      </c>
      <c r="AD51" s="337">
        <f t="shared" si="37"/>
        <v>65.896379469010725</v>
      </c>
      <c r="AE51" s="339">
        <f t="shared" si="38"/>
        <v>-0.46423800044462238</v>
      </c>
      <c r="AF51" s="736" t="str">
        <f t="shared" si="9"/>
        <v>125.678709297811-67.0243959465619i</v>
      </c>
      <c r="AG51" s="337">
        <f t="shared" si="39"/>
        <v>43.0722655531046</v>
      </c>
      <c r="AH51" s="730">
        <f t="shared" si="40"/>
        <v>-28.070978802732256</v>
      </c>
      <c r="AI51" s="360">
        <f t="shared" si="10"/>
        <v>151.92902119726773</v>
      </c>
      <c r="AL51" s="337">
        <f t="shared" si="11"/>
        <v>36.377231077972823</v>
      </c>
      <c r="AM51" s="730">
        <f t="shared" si="12"/>
        <v>-26.598878115069297</v>
      </c>
      <c r="AN51" s="351"/>
      <c r="AO51" s="337">
        <f t="shared" si="13"/>
        <v>59.966965673871186</v>
      </c>
      <c r="AP51" s="730">
        <f t="shared" si="14"/>
        <v>-1.4721006876630334</v>
      </c>
      <c r="AS51" s="351"/>
      <c r="AT51" s="351"/>
      <c r="AV51" s="405">
        <f t="shared" si="15"/>
        <v>0</v>
      </c>
      <c r="AW51" s="405">
        <f t="shared" si="16"/>
        <v>0</v>
      </c>
      <c r="AX51" s="405">
        <f t="shared" si="17"/>
        <v>0</v>
      </c>
      <c r="AY51" s="405">
        <f t="shared" si="18"/>
        <v>0</v>
      </c>
    </row>
    <row r="52" spans="2:51" ht="13.5" thickBot="1" x14ac:dyDescent="0.25">
      <c r="B52" s="345">
        <v>36.308</v>
      </c>
      <c r="C52" s="728" t="str">
        <f t="shared" si="0"/>
        <v>2.16217503399043</v>
      </c>
      <c r="D52" s="728" t="str">
        <f t="shared" si="1"/>
        <v>1+0.0277558035428576i</v>
      </c>
      <c r="E52" s="337">
        <f t="shared" si="20"/>
        <v>1.0003851181571575</v>
      </c>
      <c r="F52" s="338">
        <f t="shared" si="21"/>
        <v>2.7748679287467458E-2</v>
      </c>
      <c r="G52" s="338" t="str">
        <f t="shared" si="2"/>
        <v>1+0.000114064946066538i</v>
      </c>
      <c r="H52" s="337">
        <f t="shared" si="22"/>
        <v>1.000000006505406</v>
      </c>
      <c r="I52" s="338">
        <f t="shared" si="23"/>
        <v>1.1406494557184548E-4</v>
      </c>
      <c r="J52" s="340">
        <f t="shared" si="3"/>
        <v>1</v>
      </c>
      <c r="K52" s="338">
        <f t="shared" si="24"/>
        <v>1</v>
      </c>
      <c r="L52" s="339">
        <f t="shared" si="25"/>
        <v>0</v>
      </c>
      <c r="M52" s="731" t="str">
        <f t="shared" si="4"/>
        <v>0.999999941410184+0.000536252413619847i</v>
      </c>
      <c r="N52" s="338">
        <f t="shared" si="26"/>
        <v>1.0000000851935078</v>
      </c>
      <c r="O52" s="339">
        <f t="shared" si="27"/>
        <v>5.3625239363600875E-4</v>
      </c>
      <c r="P52" s="732" t="str">
        <f t="shared" si="19"/>
        <v>2.16048493008074-0.060878838337546i</v>
      </c>
      <c r="Q52" s="337">
        <f t="shared" si="28"/>
        <v>2.1613424916156414</v>
      </c>
      <c r="R52" s="339">
        <f t="shared" si="29"/>
        <v>-2.8170866735531548E-2</v>
      </c>
      <c r="S52" s="731" t="str">
        <f t="shared" si="5"/>
        <v>6000</v>
      </c>
      <c r="T52" s="337" t="str">
        <f t="shared" si="6"/>
        <v>1+230.411191054407i</v>
      </c>
      <c r="U52" s="346">
        <f t="shared" si="30"/>
        <v>230.4133610776737</v>
      </c>
      <c r="V52" s="347">
        <f t="shared" si="31"/>
        <v>1.5664562870738759</v>
      </c>
      <c r="W52" s="340" t="str">
        <f t="shared" si="7"/>
        <v>1+2.28129892133076i</v>
      </c>
      <c r="X52" s="337">
        <f t="shared" si="32"/>
        <v>2.4908482026138987</v>
      </c>
      <c r="Y52" s="339">
        <f t="shared" si="33"/>
        <v>1.1576753796953994</v>
      </c>
      <c r="Z52" s="337" t="str">
        <f t="shared" si="8"/>
        <v>1+0.022980564597923i</v>
      </c>
      <c r="AA52" s="346">
        <f t="shared" si="34"/>
        <v>1.0002640183217826</v>
      </c>
      <c r="AB52" s="347">
        <f t="shared" si="35"/>
        <v>2.2976520485254205E-2</v>
      </c>
      <c r="AC52" s="732" t="str">
        <f t="shared" si="36"/>
        <v>58.894247172747-27.1355134796815i</v>
      </c>
      <c r="AD52" s="337">
        <f t="shared" si="37"/>
        <v>64.844956950024994</v>
      </c>
      <c r="AE52" s="339">
        <f t="shared" si="38"/>
        <v>-0.43175742786373084</v>
      </c>
      <c r="AF52" s="736" t="str">
        <f t="shared" si="9"/>
        <v>125.588154946834-62.2112812954958i</v>
      </c>
      <c r="AG52" s="337">
        <f t="shared" si="39"/>
        <v>42.931995959343709</v>
      </c>
      <c r="AH52" s="730">
        <f t="shared" si="40"/>
        <v>-26.351950159187364</v>
      </c>
      <c r="AI52" s="360">
        <f t="shared" si="10"/>
        <v>153.64804984081263</v>
      </c>
      <c r="AL52" s="337">
        <f t="shared" si="11"/>
        <v>36.237524125305725</v>
      </c>
      <c r="AM52" s="730">
        <f t="shared" si="12"/>
        <v>-24.737878390015869</v>
      </c>
      <c r="AN52" s="351"/>
      <c r="AO52" s="337">
        <f t="shared" si="13"/>
        <v>59.966403032777428</v>
      </c>
      <c r="AP52" s="730">
        <f t="shared" si="14"/>
        <v>-1.6140717691714392</v>
      </c>
      <c r="AS52" s="351"/>
      <c r="AT52" s="351"/>
      <c r="AV52" s="405">
        <f t="shared" si="15"/>
        <v>0</v>
      </c>
      <c r="AW52" s="405">
        <f t="shared" si="16"/>
        <v>0</v>
      </c>
      <c r="AX52" s="405">
        <f t="shared" si="17"/>
        <v>0</v>
      </c>
      <c r="AY52" s="405">
        <f t="shared" si="18"/>
        <v>0</v>
      </c>
    </row>
    <row r="53" spans="2:51" ht="13.5" thickBot="1" x14ac:dyDescent="0.25">
      <c r="B53" s="345">
        <v>39.811</v>
      </c>
      <c r="C53" s="728" t="str">
        <f t="shared" si="0"/>
        <v>2.16217503399043</v>
      </c>
      <c r="D53" s="728" t="str">
        <f t="shared" si="1"/>
        <v>1+0.0304336866488021i</v>
      </c>
      <c r="E53" s="337">
        <f t="shared" si="20"/>
        <v>1.0004629974581956</v>
      </c>
      <c r="F53" s="338">
        <f t="shared" si="21"/>
        <v>3.0424295879243658E-2</v>
      </c>
      <c r="G53" s="338" t="str">
        <f t="shared" si="2"/>
        <v>1+0.000125069945132063i</v>
      </c>
      <c r="H53" s="337">
        <f t="shared" si="22"/>
        <v>1.0000000078212454</v>
      </c>
      <c r="I53" s="338">
        <f t="shared" si="23"/>
        <v>1.2506994447992784E-4</v>
      </c>
      <c r="J53" s="340">
        <f t="shared" si="3"/>
        <v>1</v>
      </c>
      <c r="K53" s="338">
        <f t="shared" si="24"/>
        <v>1</v>
      </c>
      <c r="L53" s="339">
        <f t="shared" si="25"/>
        <v>0</v>
      </c>
      <c r="M53" s="731" t="str">
        <f t="shared" si="4"/>
        <v>0.999999929559301+0.000587990107927173i</v>
      </c>
      <c r="N53" s="338">
        <f t="shared" si="26"/>
        <v>1.0000001024254817</v>
      </c>
      <c r="O53" s="339">
        <f t="shared" si="27"/>
        <v>5.8799008158320594E-4</v>
      </c>
      <c r="P53" s="732" t="str">
        <f t="shared" si="19"/>
        <v>2.16014339139593-0.0667420413229612i</v>
      </c>
      <c r="Q53" s="337">
        <f t="shared" si="28"/>
        <v>2.1611742112729981</v>
      </c>
      <c r="R53" s="339">
        <f t="shared" si="29"/>
        <v>-3.0887216016346881E-2</v>
      </c>
      <c r="S53" s="731" t="str">
        <f t="shared" si="5"/>
        <v>6000</v>
      </c>
      <c r="T53" s="337" t="str">
        <f t="shared" si="6"/>
        <v>1+252.641289166768i</v>
      </c>
      <c r="U53" s="346">
        <f t="shared" si="30"/>
        <v>252.64326824961415</v>
      </c>
      <c r="V53" s="347">
        <f t="shared" si="31"/>
        <v>1.5668381662703532</v>
      </c>
      <c r="W53" s="340" t="str">
        <f t="shared" si="7"/>
        <v>1+2.50139890264127i</v>
      </c>
      <c r="X53" s="337">
        <f t="shared" si="32"/>
        <v>2.6938813021614281</v>
      </c>
      <c r="Y53" s="339">
        <f t="shared" si="33"/>
        <v>1.190482808737197</v>
      </c>
      <c r="Z53" s="337" t="str">
        <f t="shared" si="8"/>
        <v>1+0.0251977321033358i</v>
      </c>
      <c r="AA53" s="346">
        <f t="shared" si="34"/>
        <v>1.0003174124762357</v>
      </c>
      <c r="AB53" s="347">
        <f t="shared" si="35"/>
        <v>2.5192401238085995E-2</v>
      </c>
      <c r="AC53" s="732" t="str">
        <f t="shared" si="36"/>
        <v>58.8691451959912-24.99694825424i</v>
      </c>
      <c r="AD53" s="337">
        <f t="shared" si="37"/>
        <v>63.956420147877616</v>
      </c>
      <c r="AE53" s="339">
        <f t="shared" si="38"/>
        <v>-0.40154775877124282</v>
      </c>
      <c r="AF53" s="736" t="str">
        <f t="shared" si="9"/>
        <v>125.497447598915-57.9260394977808i</v>
      </c>
      <c r="AG53" s="337">
        <f t="shared" si="39"/>
        <v>42.811478468662827</v>
      </c>
      <c r="AH53" s="730">
        <f t="shared" si="40"/>
        <v>-24.776698969175126</v>
      </c>
      <c r="AI53" s="360">
        <f t="shared" si="10"/>
        <v>155.22330103082487</v>
      </c>
      <c r="AL53" s="337">
        <f t="shared" si="11"/>
        <v>36.117682937152139</v>
      </c>
      <c r="AM53" s="730">
        <f t="shared" si="12"/>
        <v>-23.006991850529499</v>
      </c>
      <c r="AN53" s="351"/>
      <c r="AO53" s="337">
        <f t="shared" si="13"/>
        <v>59.965726730250147</v>
      </c>
      <c r="AP53" s="730">
        <f t="shared" si="14"/>
        <v>-1.7697071186455577</v>
      </c>
      <c r="AS53" s="351"/>
      <c r="AT53" s="351"/>
      <c r="AV53" s="405">
        <f t="shared" si="15"/>
        <v>0</v>
      </c>
      <c r="AW53" s="405">
        <f t="shared" si="16"/>
        <v>0</v>
      </c>
      <c r="AX53" s="405">
        <f t="shared" si="17"/>
        <v>0</v>
      </c>
      <c r="AY53" s="405">
        <f t="shared" si="18"/>
        <v>0</v>
      </c>
    </row>
    <row r="54" spans="2:51" ht="13.5" thickBot="1" x14ac:dyDescent="0.25">
      <c r="B54" s="345">
        <v>43.652000000000001</v>
      </c>
      <c r="C54" s="728" t="str">
        <f t="shared" si="0"/>
        <v>2.16217503399043</v>
      </c>
      <c r="D54" s="728" t="str">
        <f t="shared" si="1"/>
        <v>1+0.0333699552785287i</v>
      </c>
      <c r="E54" s="337">
        <f t="shared" si="20"/>
        <v>1.0005566220435957</v>
      </c>
      <c r="F54" s="338">
        <f t="shared" si="21"/>
        <v>3.3357577132931797E-2</v>
      </c>
      <c r="G54" s="338" t="str">
        <f t="shared" si="2"/>
        <v>1+0.000137136802514502i</v>
      </c>
      <c r="H54" s="337">
        <f t="shared" si="22"/>
        <v>1.0000000094032513</v>
      </c>
      <c r="I54" s="338">
        <f t="shared" si="23"/>
        <v>1.3713680165481414E-4</v>
      </c>
      <c r="J54" s="340">
        <f t="shared" si="3"/>
        <v>1</v>
      </c>
      <c r="K54" s="338">
        <f t="shared" si="24"/>
        <v>1</v>
      </c>
      <c r="L54" s="339">
        <f t="shared" si="25"/>
        <v>0</v>
      </c>
      <c r="M54" s="731" t="str">
        <f t="shared" si="4"/>
        <v>0.99999991531124+0.000644719906338371i</v>
      </c>
      <c r="N54" s="338">
        <f t="shared" si="26"/>
        <v>1.0000001231431148</v>
      </c>
      <c r="O54" s="339">
        <f t="shared" si="27"/>
        <v>6.4471987161000496E-4</v>
      </c>
      <c r="P54" s="732" t="str">
        <f t="shared" si="19"/>
        <v>2.15973290753021-0.0731676738074295i</v>
      </c>
      <c r="Q54" s="337">
        <f t="shared" si="28"/>
        <v>2.160971943445654</v>
      </c>
      <c r="R54" s="339">
        <f t="shared" si="29"/>
        <v>-3.3865160202886962E-2</v>
      </c>
      <c r="S54" s="731" t="str">
        <f t="shared" si="5"/>
        <v>6000</v>
      </c>
      <c r="T54" s="337" t="str">
        <f t="shared" si="6"/>
        <v>1+277.016341079293i</v>
      </c>
      <c r="U54" s="346">
        <f t="shared" si="30"/>
        <v>277.01814602108504</v>
      </c>
      <c r="V54" s="347">
        <f t="shared" si="31"/>
        <v>1.5671864471309158</v>
      </c>
      <c r="W54" s="340" t="str">
        <f t="shared" si="7"/>
        <v>1+2.74273605029003i</v>
      </c>
      <c r="X54" s="337">
        <f t="shared" si="32"/>
        <v>2.9193494209430559</v>
      </c>
      <c r="Y54" s="339">
        <f t="shared" si="33"/>
        <v>1.2211749951531909</v>
      </c>
      <c r="Z54" s="337" t="str">
        <f t="shared" si="8"/>
        <v>1+0.0276288312721311i</v>
      </c>
      <c r="AA54" s="346">
        <f t="shared" si="34"/>
        <v>1.0003816033481743</v>
      </c>
      <c r="AB54" s="347">
        <f t="shared" si="35"/>
        <v>2.7621804312817706E-2</v>
      </c>
      <c r="AC54" s="732" t="str">
        <f t="shared" si="36"/>
        <v>58.845942891704-23.0704880130154i</v>
      </c>
      <c r="AD54" s="337">
        <f t="shared" si="37"/>
        <v>63.206743405845359</v>
      </c>
      <c r="AE54" s="339">
        <f t="shared" si="38"/>
        <v>-0.37363325629054384</v>
      </c>
      <c r="AF54" s="736" t="str">
        <f t="shared" si="9"/>
        <v>125.403505396342-54.1317129088814i</v>
      </c>
      <c r="AG54" s="337">
        <f t="shared" si="39"/>
        <v>42.708250862794664</v>
      </c>
      <c r="AH54" s="730">
        <f t="shared" si="40"/>
        <v>-23.347939423337795</v>
      </c>
      <c r="AI54" s="360">
        <f t="shared" si="10"/>
        <v>156.65206057666219</v>
      </c>
      <c r="AL54" s="337">
        <f t="shared" si="11"/>
        <v>36.015268295938107</v>
      </c>
      <c r="AM54" s="730">
        <f t="shared" si="12"/>
        <v>-21.407608671177979</v>
      </c>
      <c r="AN54" s="351"/>
      <c r="AO54" s="337">
        <f t="shared" si="13"/>
        <v>59.964913765595995</v>
      </c>
      <c r="AP54" s="730">
        <f t="shared" si="14"/>
        <v>-1.9403307521598221</v>
      </c>
      <c r="AS54" s="351"/>
      <c r="AT54" s="351"/>
      <c r="AV54" s="405">
        <f t="shared" si="15"/>
        <v>0</v>
      </c>
      <c r="AW54" s="405">
        <f t="shared" si="16"/>
        <v>0</v>
      </c>
      <c r="AX54" s="405">
        <f t="shared" si="17"/>
        <v>0</v>
      </c>
      <c r="AY54" s="405">
        <f t="shared" si="18"/>
        <v>0</v>
      </c>
    </row>
    <row r="55" spans="2:51" ht="13.5" thickBot="1" x14ac:dyDescent="0.25">
      <c r="B55" s="345">
        <v>47.863</v>
      </c>
      <c r="C55" s="728" t="str">
        <f t="shared" si="0"/>
        <v>2.16217503399043</v>
      </c>
      <c r="D55" s="728" t="str">
        <f t="shared" si="1"/>
        <v>1+0.0365890719668337i</v>
      </c>
      <c r="E55" s="337">
        <f t="shared" si="20"/>
        <v>1.0006691562086814</v>
      </c>
      <c r="F55" s="338">
        <f t="shared" si="21"/>
        <v>3.6572757072254478E-2</v>
      </c>
      <c r="G55" s="338" t="str">
        <f t="shared" si="2"/>
        <v>1+0.000150366049178768i</v>
      </c>
      <c r="H55" s="337">
        <f t="shared" si="22"/>
        <v>1.0000000113049743</v>
      </c>
      <c r="I55" s="338">
        <f t="shared" si="23"/>
        <v>1.503660480455118E-4</v>
      </c>
      <c r="J55" s="340">
        <f t="shared" si="3"/>
        <v>1</v>
      </c>
      <c r="K55" s="338">
        <f t="shared" si="24"/>
        <v>1</v>
      </c>
      <c r="L55" s="339">
        <f t="shared" si="25"/>
        <v>0</v>
      </c>
      <c r="M55" s="731" t="str">
        <f t="shared" si="4"/>
        <v>0.999999898183699+0.000706914434094052i</v>
      </c>
      <c r="N55" s="338">
        <f t="shared" si="26"/>
        <v>1.0000001480477017</v>
      </c>
      <c r="O55" s="339">
        <f t="shared" si="27"/>
        <v>7.0691438831448864E-4</v>
      </c>
      <c r="P55" s="732" t="str">
        <f t="shared" si="19"/>
        <v>2.15923966972963-0.0802079303692457i</v>
      </c>
      <c r="Q55" s="337">
        <f t="shared" si="28"/>
        <v>2.1607288731879897</v>
      </c>
      <c r="R55" s="339">
        <f t="shared" si="29"/>
        <v>-3.7129305412523482E-2</v>
      </c>
      <c r="S55" s="731" t="str">
        <f t="shared" si="5"/>
        <v>6000</v>
      </c>
      <c r="T55" s="337" t="str">
        <f t="shared" si="6"/>
        <v>1+303.739419341112i</v>
      </c>
      <c r="U55" s="346">
        <f t="shared" si="30"/>
        <v>303.74106548452727</v>
      </c>
      <c r="V55" s="347">
        <f t="shared" si="31"/>
        <v>1.5675040429381542</v>
      </c>
      <c r="W55" s="340" t="str">
        <f t="shared" si="7"/>
        <v>1+3.00732098357537i</v>
      </c>
      <c r="X55" s="337">
        <f t="shared" si="32"/>
        <v>3.1692238005941977</v>
      </c>
      <c r="Y55" s="339">
        <f t="shared" si="33"/>
        <v>1.249776266245533</v>
      </c>
      <c r="Z55" s="337" t="str">
        <f t="shared" si="8"/>
        <v>1+0.0302941159895999i</v>
      </c>
      <c r="AA55" s="346">
        <f t="shared" si="34"/>
        <v>1.0004587615007383</v>
      </c>
      <c r="AB55" s="347">
        <f t="shared" si="35"/>
        <v>3.028485378121052E-2</v>
      </c>
      <c r="AC55" s="732" t="str">
        <f t="shared" si="36"/>
        <v>58.8238548977836-21.3399972760542i</v>
      </c>
      <c r="AD55" s="337">
        <f t="shared" si="37"/>
        <v>62.575086006952482</v>
      </c>
      <c r="AE55" s="339">
        <f t="shared" si="38"/>
        <v>-0.34801263047383157</v>
      </c>
      <c r="AF55" s="736" t="str">
        <f t="shared" si="9"/>
        <v>125.303164006116-50.7963083280705i</v>
      </c>
      <c r="AG55" s="337">
        <f t="shared" si="39"/>
        <v>42.620034610445273</v>
      </c>
      <c r="AH55" s="730">
        <f t="shared" si="40"/>
        <v>-22.067007439786327</v>
      </c>
      <c r="AI55" s="360">
        <f t="shared" si="10"/>
        <v>157.93299256021368</v>
      </c>
      <c r="AL55" s="337">
        <f t="shared" si="11"/>
        <v>35.928029104021263</v>
      </c>
      <c r="AM55" s="730">
        <f t="shared" si="12"/>
        <v>-19.939654943396448</v>
      </c>
      <c r="AN55" s="351"/>
      <c r="AO55" s="337">
        <f t="shared" si="13"/>
        <v>59.963936705163469</v>
      </c>
      <c r="AP55" s="730">
        <f t="shared" si="14"/>
        <v>-2.1273524963898396</v>
      </c>
      <c r="AS55" s="351"/>
      <c r="AT55" s="351"/>
      <c r="AV55" s="405">
        <f t="shared" si="15"/>
        <v>0</v>
      </c>
      <c r="AW55" s="405">
        <f t="shared" si="16"/>
        <v>0</v>
      </c>
      <c r="AX55" s="405">
        <f t="shared" si="17"/>
        <v>0</v>
      </c>
      <c r="AY55" s="405">
        <f t="shared" si="18"/>
        <v>0</v>
      </c>
    </row>
    <row r="56" spans="2:51" ht="13.5" thickBot="1" x14ac:dyDescent="0.25">
      <c r="B56" s="345">
        <v>52.481000000000002</v>
      </c>
      <c r="C56" s="728" t="str">
        <f t="shared" si="0"/>
        <v>2.16217503399043</v>
      </c>
      <c r="D56" s="728" t="str">
        <f t="shared" si="1"/>
        <v>1+0.0401193215195745i</v>
      </c>
      <c r="E56" s="337">
        <f t="shared" si="20"/>
        <v>1.0008044564045422</v>
      </c>
      <c r="F56" s="338">
        <f t="shared" si="21"/>
        <v>4.0097817465160543E-2</v>
      </c>
      <c r="G56" s="338" t="str">
        <f t="shared" si="2"/>
        <v>1+0.000164873924053046i</v>
      </c>
      <c r="H56" s="337">
        <f t="shared" si="22"/>
        <v>1.0000000135917053</v>
      </c>
      <c r="I56" s="338">
        <f t="shared" si="23"/>
        <v>1.6487392255910081E-4</v>
      </c>
      <c r="J56" s="340">
        <f t="shared" si="3"/>
        <v>1</v>
      </c>
      <c r="K56" s="338">
        <f t="shared" si="24"/>
        <v>1</v>
      </c>
      <c r="L56" s="339">
        <f t="shared" si="25"/>
        <v>0</v>
      </c>
      <c r="M56" s="731" t="str">
        <f t="shared" si="4"/>
        <v>0.999999877588651+0.000775120164128657i</v>
      </c>
      <c r="N56" s="338">
        <f t="shared" si="26"/>
        <v>1.0000001779942771</v>
      </c>
      <c r="O56" s="339">
        <f t="shared" si="27"/>
        <v>7.751201037785293E-4</v>
      </c>
      <c r="P56" s="732" t="str">
        <f t="shared" si="19"/>
        <v>2.15864686857015-0.0879229065261923i</v>
      </c>
      <c r="Q56" s="337">
        <f t="shared" si="28"/>
        <v>2.1604367013823218</v>
      </c>
      <c r="R56" s="339">
        <f t="shared" si="29"/>
        <v>-4.0708063646379987E-2</v>
      </c>
      <c r="S56" s="731" t="str">
        <f t="shared" si="5"/>
        <v>6000</v>
      </c>
      <c r="T56" s="337" t="str">
        <f t="shared" si="6"/>
        <v>1+333.045326587153i</v>
      </c>
      <c r="U56" s="346">
        <f t="shared" si="30"/>
        <v>333.04682788092038</v>
      </c>
      <c r="V56" s="347">
        <f t="shared" si="31"/>
        <v>1.5677937415159715</v>
      </c>
      <c r="W56" s="340" t="str">
        <f t="shared" si="7"/>
        <v>1+3.29747848106092i</v>
      </c>
      <c r="X56" s="337">
        <f t="shared" si="32"/>
        <v>3.4457748523459615</v>
      </c>
      <c r="Y56" s="339">
        <f t="shared" si="33"/>
        <v>1.2763495426106402</v>
      </c>
      <c r="Z56" s="337" t="str">
        <f t="shared" si="8"/>
        <v>1+0.0332170048106092i</v>
      </c>
      <c r="AA56" s="346">
        <f t="shared" si="34"/>
        <v>1.0005515326101839</v>
      </c>
      <c r="AB56" s="347">
        <f t="shared" si="35"/>
        <v>3.3204796016425606E-2</v>
      </c>
      <c r="AC56" s="732" t="str">
        <f t="shared" si="36"/>
        <v>58.8021246892805-19.7902635223367i</v>
      </c>
      <c r="AD56" s="337">
        <f t="shared" si="37"/>
        <v>62.043085015634276</v>
      </c>
      <c r="AE56" s="339">
        <f t="shared" si="38"/>
        <v>-0.32464899492175764</v>
      </c>
      <c r="AF56" s="736" t="str">
        <f t="shared" si="9"/>
        <v>125.193004835984-47.8902440932673i</v>
      </c>
      <c r="AG56" s="337">
        <f t="shared" si="39"/>
        <v>42.544698617546146</v>
      </c>
      <c r="AH56" s="730">
        <f t="shared" si="40"/>
        <v>-20.933417471268275</v>
      </c>
      <c r="AI56" s="360">
        <f t="shared" si="10"/>
        <v>159.06658252873171</v>
      </c>
      <c r="AL56" s="337">
        <f t="shared" si="11"/>
        <v>35.853867688684318</v>
      </c>
      <c r="AM56" s="730">
        <f t="shared" si="12"/>
        <v>-18.601017232180808</v>
      </c>
      <c r="AN56" s="351"/>
      <c r="AO56" s="337">
        <f t="shared" si="13"/>
        <v>59.962762127601252</v>
      </c>
      <c r="AP56" s="730">
        <f t="shared" si="14"/>
        <v>-2.3324002390875078</v>
      </c>
      <c r="AS56" s="351"/>
      <c r="AT56" s="351"/>
      <c r="AV56" s="405">
        <f t="shared" si="15"/>
        <v>0</v>
      </c>
      <c r="AW56" s="405">
        <f t="shared" si="16"/>
        <v>0</v>
      </c>
      <c r="AX56" s="405">
        <f t="shared" si="17"/>
        <v>0</v>
      </c>
      <c r="AY56" s="405">
        <f t="shared" si="18"/>
        <v>0</v>
      </c>
    </row>
    <row r="57" spans="2:51" ht="13.5" thickBot="1" x14ac:dyDescent="0.25">
      <c r="B57" s="345">
        <v>57.544000000000004</v>
      </c>
      <c r="C57" s="728" t="str">
        <f t="shared" si="0"/>
        <v>2.16217503399043</v>
      </c>
      <c r="D57" s="728" t="str">
        <f t="shared" si="1"/>
        <v>1+0.0439897531968216i</v>
      </c>
      <c r="E57" s="337">
        <f t="shared" si="20"/>
        <v>1.0009670815697773</v>
      </c>
      <c r="F57" s="338">
        <f t="shared" si="21"/>
        <v>4.3961411262734673E-2</v>
      </c>
      <c r="G57" s="338" t="str">
        <f t="shared" si="2"/>
        <v>1+0.000180779807658171i</v>
      </c>
      <c r="H57" s="337">
        <f t="shared" si="22"/>
        <v>1.0000000163406693</v>
      </c>
      <c r="I57" s="338">
        <f t="shared" si="23"/>
        <v>1.8077980568879565E-4</v>
      </c>
      <c r="J57" s="340">
        <f t="shared" si="3"/>
        <v>1</v>
      </c>
      <c r="K57" s="338">
        <f t="shared" si="24"/>
        <v>1</v>
      </c>
      <c r="L57" s="339">
        <f t="shared" si="25"/>
        <v>0</v>
      </c>
      <c r="M57" s="731" t="str">
        <f t="shared" si="4"/>
        <v>0.999999852830581+0.000849898338915405i</v>
      </c>
      <c r="N57" s="338">
        <f t="shared" si="26"/>
        <v>1.0000002139941622</v>
      </c>
      <c r="O57" s="339">
        <f t="shared" si="27"/>
        <v>8.4989825935957448E-4</v>
      </c>
      <c r="P57" s="732" t="str">
        <f t="shared" si="19"/>
        <v>2.15793466450658-0.0963737641279081i</v>
      </c>
      <c r="Q57" s="337">
        <f t="shared" si="28"/>
        <v>2.1600856276294484</v>
      </c>
      <c r="R57" s="339">
        <f t="shared" si="29"/>
        <v>-4.4630529716405541E-2</v>
      </c>
      <c r="S57" s="731" t="str">
        <f t="shared" si="5"/>
        <v>6000</v>
      </c>
      <c r="T57" s="337" t="str">
        <f t="shared" si="6"/>
        <v>1+365.175211469505i</v>
      </c>
      <c r="U57" s="346">
        <f t="shared" si="30"/>
        <v>365.17658067268997</v>
      </c>
      <c r="V57" s="347">
        <f t="shared" si="31"/>
        <v>1.5680579221360629</v>
      </c>
      <c r="W57" s="340" t="str">
        <f t="shared" si="7"/>
        <v>1+3.61559615316342i</v>
      </c>
      <c r="X57" s="337">
        <f t="shared" si="32"/>
        <v>3.7513378337294712</v>
      </c>
      <c r="Y57" s="339">
        <f t="shared" si="33"/>
        <v>1.3009622036325565</v>
      </c>
      <c r="Z57" s="337" t="str">
        <f t="shared" si="8"/>
        <v>1+0.0364215492239419i</v>
      </c>
      <c r="AA57" s="346">
        <f t="shared" si="34"/>
        <v>1.0006630448097262</v>
      </c>
      <c r="AB57" s="347">
        <f t="shared" si="35"/>
        <v>3.6405457279762805E-2</v>
      </c>
      <c r="AC57" s="732" t="str">
        <f t="shared" si="36"/>
        <v>58.7800210375326-18.4085285518531i</v>
      </c>
      <c r="AD57" s="337">
        <f t="shared" si="37"/>
        <v>61.595168614244137</v>
      </c>
      <c r="AE57" s="339">
        <f t="shared" si="38"/>
        <v>-0.30350117578326913</v>
      </c>
      <c r="AF57" s="736" t="str">
        <f t="shared" si="9"/>
        <v>125.069345788719-45.3892537675076i</v>
      </c>
      <c r="AG57" s="337">
        <f t="shared" si="39"/>
        <v>42.480352314350966</v>
      </c>
      <c r="AH57" s="730">
        <f t="shared" si="40"/>
        <v>-19.946477439822754</v>
      </c>
      <c r="AI57" s="360">
        <f t="shared" si="10"/>
        <v>160.05352256017724</v>
      </c>
      <c r="AL57" s="337">
        <f t="shared" si="11"/>
        <v>35.790932968463082</v>
      </c>
      <c r="AM57" s="730">
        <f t="shared" si="12"/>
        <v>-17.38933644963943</v>
      </c>
      <c r="AN57" s="351"/>
      <c r="AO57" s="337">
        <f t="shared" si="13"/>
        <v>59.961350544627344</v>
      </c>
      <c r="AP57" s="730">
        <f t="shared" si="14"/>
        <v>-2.5571409901832407</v>
      </c>
      <c r="AS57" s="351"/>
      <c r="AT57" s="351"/>
      <c r="AV57" s="405">
        <f t="shared" si="15"/>
        <v>0</v>
      </c>
      <c r="AW57" s="405">
        <f t="shared" si="16"/>
        <v>0</v>
      </c>
      <c r="AX57" s="405">
        <f t="shared" si="17"/>
        <v>0</v>
      </c>
      <c r="AY57" s="405">
        <f t="shared" si="18"/>
        <v>0</v>
      </c>
    </row>
    <row r="58" spans="2:51" ht="13.5" thickBot="1" x14ac:dyDescent="0.25">
      <c r="B58" s="345">
        <v>63.095999999999997</v>
      </c>
      <c r="C58" s="728" t="str">
        <f t="shared" si="0"/>
        <v>2.16217503399043</v>
      </c>
      <c r="D58" s="728" t="str">
        <f t="shared" si="1"/>
        <v>1+0.0482340029839194i</v>
      </c>
      <c r="E58" s="337">
        <f t="shared" si="20"/>
        <v>1.0011625837214717</v>
      </c>
      <c r="F58" s="338">
        <f t="shared" si="21"/>
        <v>4.8196649336953334E-2</v>
      </c>
      <c r="G58" s="338" t="str">
        <f t="shared" si="2"/>
        <v>1+0.000198221930070902i</v>
      </c>
      <c r="H58" s="337">
        <f t="shared" si="22"/>
        <v>1.0000000196459666</v>
      </c>
      <c r="I58" s="338">
        <f t="shared" si="23"/>
        <v>1.9822192747472774E-4</v>
      </c>
      <c r="J58" s="340">
        <f t="shared" si="3"/>
        <v>1</v>
      </c>
      <c r="K58" s="338">
        <f t="shared" si="24"/>
        <v>1</v>
      </c>
      <c r="L58" s="339">
        <f t="shared" si="25"/>
        <v>0</v>
      </c>
      <c r="M58" s="731" t="str">
        <f t="shared" si="4"/>
        <v>0.99999982306199+0.000931898818160128i</v>
      </c>
      <c r="N58" s="338">
        <f t="shared" si="26"/>
        <v>1.0000002572796762</v>
      </c>
      <c r="O58" s="339">
        <f t="shared" si="27"/>
        <v>9.318987132838337E-4</v>
      </c>
      <c r="P58" s="732" t="str">
        <f t="shared" si="19"/>
        <v>2.1570789376391-0.105630889024645i</v>
      </c>
      <c r="Q58" s="337">
        <f t="shared" si="28"/>
        <v>2.1596637302882047</v>
      </c>
      <c r="R58" s="339">
        <f t="shared" si="29"/>
        <v>-4.8930326122762165E-2</v>
      </c>
      <c r="S58" s="731" t="str">
        <f t="shared" si="5"/>
        <v>6000</v>
      </c>
      <c r="T58" s="337" t="str">
        <f t="shared" si="6"/>
        <v>1+400.408298743221i</v>
      </c>
      <c r="U58" s="346">
        <f t="shared" si="30"/>
        <v>400.40954746664136</v>
      </c>
      <c r="V58" s="347">
        <f t="shared" si="31"/>
        <v>1.5682988812522847</v>
      </c>
      <c r="W58" s="340" t="str">
        <f t="shared" si="7"/>
        <v>1+3.96443860141803i</v>
      </c>
      <c r="X58" s="337">
        <f t="shared" si="32"/>
        <v>4.0886150985894174</v>
      </c>
      <c r="Y58" s="339">
        <f t="shared" si="33"/>
        <v>1.3237081688339545</v>
      </c>
      <c r="Z58" s="337" t="str">
        <f t="shared" si="8"/>
        <v>1+0.0399355983218726i</v>
      </c>
      <c r="AA58" s="346">
        <f t="shared" si="34"/>
        <v>1.0007971083158294</v>
      </c>
      <c r="AB58" s="347">
        <f t="shared" si="35"/>
        <v>3.9914388157957476E-2</v>
      </c>
      <c r="AC58" s="732" t="str">
        <f t="shared" si="36"/>
        <v>58.7567905487812-17.1827360485509i</v>
      </c>
      <c r="AD58" s="337">
        <f t="shared" si="37"/>
        <v>61.21770049346442</v>
      </c>
      <c r="AE58" s="339">
        <f t="shared" si="38"/>
        <v>-0.28450510057628753</v>
      </c>
      <c r="AF58" s="736" t="str">
        <f t="shared" si="9"/>
        <v>124.928007651364-43.2710500432439i</v>
      </c>
      <c r="AG58" s="337">
        <f t="shared" si="39"/>
        <v>42.425262940045421</v>
      </c>
      <c r="AH58" s="730">
        <f t="shared" si="40"/>
        <v>-19.104442689999267</v>
      </c>
      <c r="AI58" s="360">
        <f t="shared" si="10"/>
        <v>160.89555731000073</v>
      </c>
      <c r="AL58" s="337">
        <f t="shared" si="11"/>
        <v>35.73754024526044</v>
      </c>
      <c r="AM58" s="730">
        <f t="shared" si="12"/>
        <v>-16.300941512966279</v>
      </c>
      <c r="AN58" s="351"/>
      <c r="AO58" s="337">
        <f t="shared" si="13"/>
        <v>59.959653893524404</v>
      </c>
      <c r="AP58" s="730">
        <f t="shared" si="14"/>
        <v>-2.803501177032993</v>
      </c>
      <c r="AS58" s="351"/>
      <c r="AT58" s="351"/>
      <c r="AV58" s="405">
        <f t="shared" si="15"/>
        <v>0</v>
      </c>
      <c r="AW58" s="405">
        <f t="shared" si="16"/>
        <v>0</v>
      </c>
      <c r="AX58" s="405">
        <f t="shared" si="17"/>
        <v>0</v>
      </c>
      <c r="AY58" s="405">
        <f t="shared" si="18"/>
        <v>0</v>
      </c>
    </row>
    <row r="59" spans="2:51" ht="13.5" thickBot="1" x14ac:dyDescent="0.25">
      <c r="B59" s="345">
        <v>69.183000000000007</v>
      </c>
      <c r="C59" s="728" t="str">
        <f t="shared" si="0"/>
        <v>2.16217503399043</v>
      </c>
      <c r="D59" s="728" t="str">
        <f t="shared" si="1"/>
        <v>1+0.0528872357746369i</v>
      </c>
      <c r="E59" s="337">
        <f t="shared" si="20"/>
        <v>1.001397553276361</v>
      </c>
      <c r="F59" s="338">
        <f t="shared" si="21"/>
        <v>5.2838008777360584E-2</v>
      </c>
      <c r="G59" s="338" t="str">
        <f t="shared" si="2"/>
        <v>1+0.000217344804553303i</v>
      </c>
      <c r="H59" s="337">
        <f t="shared" si="22"/>
        <v>1.0000000236193818</v>
      </c>
      <c r="I59" s="338">
        <f t="shared" si="23"/>
        <v>2.1734480113093645E-4</v>
      </c>
      <c r="J59" s="340">
        <f t="shared" si="3"/>
        <v>1</v>
      </c>
      <c r="K59" s="338">
        <f t="shared" si="24"/>
        <v>1</v>
      </c>
      <c r="L59" s="339">
        <f t="shared" si="25"/>
        <v>0</v>
      </c>
      <c r="M59" s="731" t="str">
        <f t="shared" si="4"/>
        <v>0.999999787276112+0.00102180100064619i</v>
      </c>
      <c r="N59" s="338">
        <f t="shared" si="26"/>
        <v>1.0000003093147292</v>
      </c>
      <c r="O59" s="339">
        <f t="shared" si="27"/>
        <v>1.0218008623946423E-3</v>
      </c>
      <c r="P59" s="732" t="str">
        <f t="shared" si="19"/>
        <v>2.15605112223052-0.115766958170646i</v>
      </c>
      <c r="Q59" s="337">
        <f t="shared" si="28"/>
        <v>2.159156879496154</v>
      </c>
      <c r="R59" s="339">
        <f t="shared" si="29"/>
        <v>-5.3642464838624455E-2</v>
      </c>
      <c r="S59" s="731" t="str">
        <f t="shared" si="5"/>
        <v>6000</v>
      </c>
      <c r="T59" s="337" t="str">
        <f t="shared" si="6"/>
        <v>1+439.036505197671i</v>
      </c>
      <c r="U59" s="346">
        <f t="shared" si="30"/>
        <v>439.03764405365581</v>
      </c>
      <c r="V59" s="347">
        <f t="shared" si="31"/>
        <v>1.56851861580996</v>
      </c>
      <c r="W59" s="340" t="str">
        <f t="shared" si="7"/>
        <v>1+4.34689609106605i</v>
      </c>
      <c r="X59" s="337">
        <f t="shared" si="32"/>
        <v>4.4604378290169349</v>
      </c>
      <c r="Y59" s="339">
        <f t="shared" si="33"/>
        <v>1.3446812042782277</v>
      </c>
      <c r="Z59" s="337" t="str">
        <f t="shared" si="8"/>
        <v>1+0.0437882670645067i</v>
      </c>
      <c r="AA59" s="346">
        <f t="shared" si="34"/>
        <v>1.0009582470475542</v>
      </c>
      <c r="AB59" s="347">
        <f t="shared" si="35"/>
        <v>4.3760312496629865E-2</v>
      </c>
      <c r="AC59" s="732" t="str">
        <f t="shared" si="36"/>
        <v>58.7316522734022-16.1026668223217i</v>
      </c>
      <c r="AD59" s="337">
        <f t="shared" si="37"/>
        <v>60.89912033481707</v>
      </c>
      <c r="AE59" s="339">
        <f t="shared" si="38"/>
        <v>-0.26759772402836163</v>
      </c>
      <c r="AF59" s="736" t="str">
        <f t="shared" si="9"/>
        <v>124.764288038066-41.5173576051987i</v>
      </c>
      <c r="AG59" s="337">
        <f t="shared" si="39"/>
        <v>42.37790435598523</v>
      </c>
      <c r="AH59" s="730">
        <f t="shared" si="40"/>
        <v>-18.405707032063727</v>
      </c>
      <c r="AI59" s="360">
        <f t="shared" si="10"/>
        <v>161.59429296793627</v>
      </c>
      <c r="AL59" s="337">
        <f t="shared" si="11"/>
        <v>35.69222038911267</v>
      </c>
      <c r="AM59" s="730">
        <f t="shared" si="12"/>
        <v>-15.33222019413166</v>
      </c>
      <c r="AN59" s="351"/>
      <c r="AO59" s="337">
        <f t="shared" si="13"/>
        <v>59.95761516561199</v>
      </c>
      <c r="AP59" s="730">
        <f t="shared" si="14"/>
        <v>-3.073486837932101</v>
      </c>
      <c r="AS59" s="351"/>
      <c r="AT59" s="351"/>
      <c r="AV59" s="405">
        <f t="shared" si="15"/>
        <v>0</v>
      </c>
      <c r="AW59" s="405">
        <f t="shared" si="16"/>
        <v>0</v>
      </c>
      <c r="AX59" s="405">
        <f t="shared" si="17"/>
        <v>0</v>
      </c>
      <c r="AY59" s="405">
        <f t="shared" si="18"/>
        <v>0</v>
      </c>
    </row>
    <row r="60" spans="2:51" ht="13.5" thickBot="1" x14ac:dyDescent="0.25">
      <c r="B60" s="345">
        <v>75.858000000000004</v>
      </c>
      <c r="C60" s="728" t="str">
        <f t="shared" si="0"/>
        <v>2.16217503399043</v>
      </c>
      <c r="D60" s="728" t="str">
        <f t="shared" si="1"/>
        <v>1+0.0579899676422302i</v>
      </c>
      <c r="E60" s="337">
        <f t="shared" si="20"/>
        <v>1.0016800069618774</v>
      </c>
      <c r="F60" s="338">
        <f t="shared" si="21"/>
        <v>5.792509489555004E-2</v>
      </c>
      <c r="G60" s="338" t="str">
        <f t="shared" si="2"/>
        <v>1+0.000238314935516014i</v>
      </c>
      <c r="H60" s="337">
        <f t="shared" si="22"/>
        <v>1.0000000283970039</v>
      </c>
      <c r="I60" s="338">
        <f t="shared" si="23"/>
        <v>2.3831493100439399E-4</v>
      </c>
      <c r="J60" s="340">
        <f t="shared" si="3"/>
        <v>1</v>
      </c>
      <c r="K60" s="338">
        <f t="shared" si="24"/>
        <v>1</v>
      </c>
      <c r="L60" s="339">
        <f t="shared" si="25"/>
        <v>0</v>
      </c>
      <c r="M60" s="731" t="str">
        <f t="shared" si="4"/>
        <v>0.999999744247282+0.00112038767192835i</v>
      </c>
      <c r="N60" s="338">
        <f t="shared" si="26"/>
        <v>1.0000003718815134</v>
      </c>
      <c r="O60" s="339">
        <f t="shared" si="27"/>
        <v>1.1203874896748116E-3</v>
      </c>
      <c r="P60" s="732" t="str">
        <f t="shared" si="19"/>
        <v>2.15481655659781-0.126864936754166i</v>
      </c>
      <c r="Q60" s="337">
        <f t="shared" si="28"/>
        <v>2.1585479157910026</v>
      </c>
      <c r="R60" s="339">
        <f t="shared" si="29"/>
        <v>-5.8807167454220328E-2</v>
      </c>
      <c r="S60" s="731" t="str">
        <f t="shared" si="5"/>
        <v>6000</v>
      </c>
      <c r="T60" s="337" t="str">
        <f t="shared" si="6"/>
        <v>1+481.396169742349i</v>
      </c>
      <c r="U60" s="346">
        <f t="shared" si="30"/>
        <v>481.39720838680034</v>
      </c>
      <c r="V60" s="347">
        <f t="shared" si="31"/>
        <v>1.568719038639157</v>
      </c>
      <c r="W60" s="340" t="str">
        <f t="shared" si="7"/>
        <v>1+4.76629871032029i</v>
      </c>
      <c r="X60" s="337">
        <f t="shared" si="32"/>
        <v>4.8700722167131012</v>
      </c>
      <c r="Y60" s="339">
        <f t="shared" si="33"/>
        <v>1.3639895573677578</v>
      </c>
      <c r="Z60" s="337" t="str">
        <f t="shared" si="8"/>
        <v>1+0.0480131009493568i</v>
      </c>
      <c r="AA60" s="346">
        <f t="shared" si="34"/>
        <v>1.0011519654192231</v>
      </c>
      <c r="AB60" s="347">
        <f t="shared" si="35"/>
        <v>4.7976257703030226E-2</v>
      </c>
      <c r="AC60" s="732" t="str">
        <f t="shared" si="36"/>
        <v>58.7037520854426-15.1588393526356i</v>
      </c>
      <c r="AD60" s="337">
        <f t="shared" si="37"/>
        <v>60.629373404548069</v>
      </c>
      <c r="AE60" s="339">
        <f t="shared" si="38"/>
        <v>-0.25270573897442888</v>
      </c>
      <c r="AF60" s="736" t="str">
        <f t="shared" si="9"/>
        <v>124.572691732386-40.1119658114175i</v>
      </c>
      <c r="AG60" s="337">
        <f t="shared" si="39"/>
        <v>42.336895470550317</v>
      </c>
      <c r="AH60" s="730">
        <f t="shared" si="40"/>
        <v>-17.848374802215353</v>
      </c>
      <c r="AI60" s="360">
        <f t="shared" si="10"/>
        <v>162.15162519778465</v>
      </c>
      <c r="AL60" s="337">
        <f t="shared" si="11"/>
        <v>35.653661597800649</v>
      </c>
      <c r="AM60" s="730">
        <f t="shared" si="12"/>
        <v>-14.478972301969412</v>
      </c>
      <c r="AN60" s="351"/>
      <c r="AO60" s="337">
        <f t="shared" si="13"/>
        <v>59.955165071489127</v>
      </c>
      <c r="AP60" s="730">
        <f t="shared" si="14"/>
        <v>-3.369402500245918</v>
      </c>
      <c r="AS60" s="351"/>
      <c r="AT60" s="351"/>
      <c r="AV60" s="405">
        <f t="shared" si="15"/>
        <v>0</v>
      </c>
      <c r="AW60" s="405">
        <f t="shared" si="16"/>
        <v>0</v>
      </c>
      <c r="AX60" s="405">
        <f t="shared" si="17"/>
        <v>0</v>
      </c>
      <c r="AY60" s="405">
        <f t="shared" si="18"/>
        <v>0</v>
      </c>
    </row>
    <row r="61" spans="2:51" ht="13.5" thickBot="1" x14ac:dyDescent="0.25">
      <c r="B61" s="345">
        <v>83.176000000000002</v>
      </c>
      <c r="C61" s="728" t="str">
        <f t="shared" si="0"/>
        <v>2.16217503399043</v>
      </c>
      <c r="D61" s="728" t="str">
        <f t="shared" si="1"/>
        <v>1+0.0635842435683796i</v>
      </c>
      <c r="E61" s="337">
        <f t="shared" si="20"/>
        <v>1.0020194389482486</v>
      </c>
      <c r="F61" s="338">
        <f t="shared" si="21"/>
        <v>6.349876139950314E-2</v>
      </c>
      <c r="G61" s="338" t="str">
        <f t="shared" si="2"/>
        <v>1+0.000261305110554984i</v>
      </c>
      <c r="H61" s="337">
        <f t="shared" si="22"/>
        <v>1.0000000341401798</v>
      </c>
      <c r="I61" s="338">
        <f t="shared" si="23"/>
        <v>2.6130510460764848E-4</v>
      </c>
      <c r="J61" s="340">
        <f t="shared" si="3"/>
        <v>1</v>
      </c>
      <c r="K61" s="338">
        <f t="shared" si="24"/>
        <v>1</v>
      </c>
      <c r="L61" s="339">
        <f t="shared" si="25"/>
        <v>0</v>
      </c>
      <c r="M61" s="731" t="str">
        <f t="shared" si="4"/>
        <v>0.999999692522357+0.00122847115663888i</v>
      </c>
      <c r="N61" s="338">
        <f t="shared" si="26"/>
        <v>1.0000004470929957</v>
      </c>
      <c r="O61" s="339">
        <f t="shared" si="27"/>
        <v>1.2284709163875147E-3</v>
      </c>
      <c r="P61" s="732" t="str">
        <f t="shared" si="19"/>
        <v>2.15333432771461-0.139009314959941i</v>
      </c>
      <c r="Q61" s="337">
        <f t="shared" si="28"/>
        <v>2.1578165623054626</v>
      </c>
      <c r="R61" s="339">
        <f t="shared" si="29"/>
        <v>-6.4465927211283122E-2</v>
      </c>
      <c r="S61" s="731" t="str">
        <f t="shared" si="5"/>
        <v>6000</v>
      </c>
      <c r="T61" s="337" t="str">
        <f t="shared" si="6"/>
        <v>1+527.836323321069i</v>
      </c>
      <c r="U61" s="346">
        <f t="shared" si="30"/>
        <v>527.83727058356158</v>
      </c>
      <c r="V61" s="347">
        <f t="shared" si="31"/>
        <v>1.5689018023762278</v>
      </c>
      <c r="W61" s="340" t="str">
        <f t="shared" si="7"/>
        <v>1+5.22610221109969i</v>
      </c>
      <c r="X61" s="337">
        <f t="shared" si="32"/>
        <v>5.3209157408157726</v>
      </c>
      <c r="Y61" s="339">
        <f t="shared" si="33"/>
        <v>1.3817344461864778</v>
      </c>
      <c r="Z61" s="337" t="str">
        <f t="shared" si="8"/>
        <v>1+0.0526449113417661i</v>
      </c>
      <c r="AA61" s="346">
        <f t="shared" si="34"/>
        <v>1.0013847845309927</v>
      </c>
      <c r="AB61" s="347">
        <f t="shared" si="35"/>
        <v>5.2596357166216044E-2</v>
      </c>
      <c r="AC61" s="732" t="str">
        <f t="shared" si="36"/>
        <v>58.6721575521529-14.343364109347i</v>
      </c>
      <c r="AD61" s="337">
        <f t="shared" si="37"/>
        <v>60.399951703606156</v>
      </c>
      <c r="AE61" s="339">
        <f t="shared" si="38"/>
        <v>-0.23976371335596722</v>
      </c>
      <c r="AF61" s="736" t="str">
        <f t="shared" si="9"/>
        <v>124.34690971907-39.0420347401131i</v>
      </c>
      <c r="AG61" s="337">
        <f t="shared" si="39"/>
        <v>42.301022271069009</v>
      </c>
      <c r="AH61" s="730">
        <f t="shared" si="40"/>
        <v>-17.431074407285404</v>
      </c>
      <c r="AI61" s="360">
        <f t="shared" si="10"/>
        <v>162.56892559271461</v>
      </c>
      <c r="AL61" s="337">
        <f t="shared" si="11"/>
        <v>35.620731827102858</v>
      </c>
      <c r="AM61" s="730">
        <f t="shared" si="12"/>
        <v>-13.73744885568137</v>
      </c>
      <c r="AN61" s="351"/>
      <c r="AO61" s="337">
        <f t="shared" si="13"/>
        <v>59.952221642705553</v>
      </c>
      <c r="AP61" s="730">
        <f t="shared" si="14"/>
        <v>-3.6936255516040917</v>
      </c>
      <c r="AS61" s="351"/>
      <c r="AT61" s="351"/>
      <c r="AV61" s="405">
        <f t="shared" si="15"/>
        <v>0</v>
      </c>
      <c r="AW61" s="405">
        <f t="shared" si="16"/>
        <v>0</v>
      </c>
      <c r="AX61" s="405">
        <f t="shared" si="17"/>
        <v>0</v>
      </c>
      <c r="AY61" s="405">
        <f t="shared" si="18"/>
        <v>0</v>
      </c>
    </row>
    <row r="62" spans="2:51" ht="13.5" thickBot="1" x14ac:dyDescent="0.25">
      <c r="B62" s="345">
        <v>91.201000000000008</v>
      </c>
      <c r="C62" s="728" t="str">
        <f t="shared" si="0"/>
        <v>2.16217503399043</v>
      </c>
      <c r="D62" s="728" t="str">
        <f t="shared" si="1"/>
        <v>1+0.0697189886226771i</v>
      </c>
      <c r="E62" s="337">
        <f t="shared" si="20"/>
        <v>1.0024274224972944</v>
      </c>
      <c r="F62" s="338">
        <f t="shared" si="21"/>
        <v>6.9606355032125783E-2</v>
      </c>
      <c r="G62" s="338" t="str">
        <f t="shared" si="2"/>
        <v>1+0.000286516391600043i</v>
      </c>
      <c r="H62" s="337">
        <f t="shared" si="22"/>
        <v>1.0000000410458205</v>
      </c>
      <c r="I62" s="338">
        <f t="shared" si="23"/>
        <v>2.8651638375984297E-4</v>
      </c>
      <c r="J62" s="340">
        <f t="shared" si="3"/>
        <v>1</v>
      </c>
      <c r="K62" s="338">
        <f t="shared" si="24"/>
        <v>1</v>
      </c>
      <c r="L62" s="339">
        <f t="shared" si="25"/>
        <v>0</v>
      </c>
      <c r="M62" s="731" t="str">
        <f t="shared" si="4"/>
        <v>0.999999630327893+0.001346996705259i</v>
      </c>
      <c r="N62" s="338">
        <f t="shared" si="26"/>
        <v>1.0000005375278789</v>
      </c>
      <c r="O62" s="339">
        <f t="shared" si="27"/>
        <v>1.3469963885426146E-3</v>
      </c>
      <c r="P62" s="732" t="str">
        <f t="shared" si="19"/>
        <v>2.15155474057455-0.152297162301386i</v>
      </c>
      <c r="Q62" s="337">
        <f t="shared" si="28"/>
        <v>2.1569381602943265</v>
      </c>
      <c r="R62" s="339">
        <f t="shared" si="29"/>
        <v>-7.0666835036908487E-2</v>
      </c>
      <c r="S62" s="731" t="str">
        <f t="shared" si="5"/>
        <v>6000</v>
      </c>
      <c r="T62" s="337" t="str">
        <f t="shared" si="6"/>
        <v>1+578.763111032087i</v>
      </c>
      <c r="U62" s="346">
        <f t="shared" si="30"/>
        <v>578.76397494275659</v>
      </c>
      <c r="V62" s="347">
        <f t="shared" si="31"/>
        <v>1.5690685058854146</v>
      </c>
      <c r="W62" s="340" t="str">
        <f t="shared" si="7"/>
        <v>1+5.73032783200086i</v>
      </c>
      <c r="X62" s="337">
        <f t="shared" si="32"/>
        <v>5.8169284903807847</v>
      </c>
      <c r="Y62" s="339">
        <f t="shared" si="33"/>
        <v>1.3980260565387339</v>
      </c>
      <c r="Z62" s="337" t="str">
        <f t="shared" si="8"/>
        <v>1+0.0577242060123163i</v>
      </c>
      <c r="AA62" s="346">
        <f t="shared" si="34"/>
        <v>1.0016646564393457</v>
      </c>
      <c r="AB62" s="347">
        <f t="shared" si="35"/>
        <v>5.7660219920920568E-2</v>
      </c>
      <c r="AC62" s="732" t="str">
        <f t="shared" si="36"/>
        <v>58.6357996252396-13.648967179442i</v>
      </c>
      <c r="AD62" s="337">
        <f t="shared" si="37"/>
        <v>60.203416038931991</v>
      </c>
      <c r="AE62" s="339">
        <f t="shared" si="38"/>
        <v>-0.22870266926760197</v>
      </c>
      <c r="AF62" s="736" t="str">
        <f t="shared" si="9"/>
        <v>124.07943368129-38.2965659310715i</v>
      </c>
      <c r="AG62" s="337">
        <f t="shared" si="39"/>
        <v>42.269176570530163</v>
      </c>
      <c r="AH62" s="730">
        <f t="shared" si="40"/>
        <v>-17.152609111571952</v>
      </c>
      <c r="AI62" s="360">
        <f t="shared" si="10"/>
        <v>162.84739088842804</v>
      </c>
      <c r="AL62" s="337">
        <f t="shared" si="11"/>
        <v>35.592422690527698</v>
      </c>
      <c r="AM62" s="730">
        <f t="shared" si="12"/>
        <v>-13.103697712409911</v>
      </c>
      <c r="AN62" s="351"/>
      <c r="AO62" s="337">
        <f t="shared" si="13"/>
        <v>59.948685078741889</v>
      </c>
      <c r="AP62" s="730">
        <f t="shared" si="14"/>
        <v>-4.0489113991620655</v>
      </c>
      <c r="AS62" s="351"/>
      <c r="AT62" s="351"/>
      <c r="AV62" s="405">
        <f t="shared" si="15"/>
        <v>0</v>
      </c>
      <c r="AW62" s="405">
        <f t="shared" si="16"/>
        <v>0</v>
      </c>
      <c r="AX62" s="405">
        <f t="shared" si="17"/>
        <v>0</v>
      </c>
      <c r="AY62" s="405">
        <f t="shared" si="18"/>
        <v>0</v>
      </c>
    </row>
    <row r="63" spans="2:51" ht="13.5" thickBot="1" x14ac:dyDescent="0.25">
      <c r="B63" s="345">
        <v>100</v>
      </c>
      <c r="C63" s="728" t="str">
        <f t="shared" si="0"/>
        <v>2.16217503399043</v>
      </c>
      <c r="D63" s="728" t="str">
        <f t="shared" si="1"/>
        <v>1+0.0764454212373517i</v>
      </c>
      <c r="E63" s="337">
        <f t="shared" si="20"/>
        <v>1.002917694742772</v>
      </c>
      <c r="F63" s="338">
        <f t="shared" si="21"/>
        <v>7.6297028013926876E-2</v>
      </c>
      <c r="G63" s="338" t="str">
        <f t="shared" si="2"/>
        <v>1+0.000314159265358979i</v>
      </c>
      <c r="H63" s="337">
        <f t="shared" si="22"/>
        <v>1.0000000493480208</v>
      </c>
      <c r="I63" s="338">
        <f t="shared" si="23"/>
        <v>3.1415925502355403E-4</v>
      </c>
      <c r="J63" s="340">
        <f t="shared" si="3"/>
        <v>1</v>
      </c>
      <c r="K63" s="338">
        <f t="shared" si="24"/>
        <v>1</v>
      </c>
      <c r="L63" s="339">
        <f t="shared" si="25"/>
        <v>0</v>
      </c>
      <c r="M63" s="731" t="str">
        <f t="shared" si="4"/>
        <v>0.999999555555556+0.00147695387688622i</v>
      </c>
      <c r="N63" s="338">
        <f t="shared" si="26"/>
        <v>1.0000006462518232</v>
      </c>
      <c r="O63" s="339">
        <f t="shared" si="27"/>
        <v>1.4769534593716013E-3</v>
      </c>
      <c r="P63" s="732" t="str">
        <f t="shared" si="19"/>
        <v>2.14941909000087-0.166827410281755i</v>
      </c>
      <c r="Q63" s="337">
        <f t="shared" si="28"/>
        <v>2.1558835333295456</v>
      </c>
      <c r="R63" s="339">
        <f t="shared" si="29"/>
        <v>-7.7459822218274563E-2</v>
      </c>
      <c r="S63" s="731" t="str">
        <f t="shared" si="5"/>
        <v>6000</v>
      </c>
      <c r="T63" s="337" t="str">
        <f t="shared" si="6"/>
        <v>1+634.601716025139i</v>
      </c>
      <c r="U63" s="346">
        <f t="shared" si="30"/>
        <v>634.6025039204078</v>
      </c>
      <c r="V63" s="347">
        <f t="shared" si="31"/>
        <v>1.569220536583426</v>
      </c>
      <c r="W63" s="340" t="str">
        <f t="shared" si="7"/>
        <v>1+6.28318530717959i</v>
      </c>
      <c r="X63" s="337">
        <f t="shared" si="32"/>
        <v>6.362265131567332</v>
      </c>
      <c r="Y63" s="339">
        <f t="shared" si="33"/>
        <v>1.4129651365067379</v>
      </c>
      <c r="Z63" s="337" t="str">
        <f t="shared" si="8"/>
        <v>1+0.0632933915333344i</v>
      </c>
      <c r="AA63" s="346">
        <f t="shared" si="34"/>
        <v>1.0020010246560589</v>
      </c>
      <c r="AB63" s="347">
        <f t="shared" si="35"/>
        <v>6.3209075203803061E-2</v>
      </c>
      <c r="AC63" s="732" t="str">
        <f t="shared" si="36"/>
        <v>58.5934665188621-13.0696936903075i</v>
      </c>
      <c r="AD63" s="337">
        <f t="shared" si="37"/>
        <v>60.033417459407367</v>
      </c>
      <c r="AE63" s="339">
        <f t="shared" si="38"/>
        <v>-0.21946447528049154</v>
      </c>
      <c r="AF63" s="736" t="str">
        <f t="shared" si="9"/>
        <v>123.761532333439-37.8672453971833i</v>
      </c>
      <c r="AG63" s="337">
        <f t="shared" si="39"/>
        <v>42.24036724139647</v>
      </c>
      <c r="AH63" s="730">
        <f t="shared" si="40"/>
        <v>-17.012509081566172</v>
      </c>
      <c r="AI63" s="360">
        <f t="shared" si="10"/>
        <v>162.98749091843382</v>
      </c>
      <c r="AL63" s="337">
        <f t="shared" si="11"/>
        <v>35.567861333723393</v>
      </c>
      <c r="AM63" s="730">
        <f t="shared" si="12"/>
        <v>-12.574388186625349</v>
      </c>
      <c r="AN63" s="351"/>
      <c r="AO63" s="337">
        <f t="shared" si="13"/>
        <v>59.944437106412522</v>
      </c>
      <c r="AP63" s="730">
        <f t="shared" si="14"/>
        <v>-4.4381208949408162</v>
      </c>
      <c r="AS63" s="351"/>
      <c r="AT63" s="351"/>
      <c r="AV63" s="405">
        <f t="shared" si="15"/>
        <v>0</v>
      </c>
      <c r="AW63" s="405">
        <f t="shared" si="16"/>
        <v>0</v>
      </c>
      <c r="AX63" s="405">
        <f t="shared" si="17"/>
        <v>0</v>
      </c>
      <c r="AY63" s="405">
        <f t="shared" si="18"/>
        <v>0</v>
      </c>
    </row>
    <row r="64" spans="2:51" ht="13.5" thickBot="1" x14ac:dyDescent="0.25">
      <c r="B64" s="345">
        <v>109.65</v>
      </c>
      <c r="C64" s="728" t="str">
        <f t="shared" si="0"/>
        <v>2.16217503399043</v>
      </c>
      <c r="D64" s="728" t="str">
        <f t="shared" si="1"/>
        <v>1+0.0838224043867561i</v>
      </c>
      <c r="E64" s="337">
        <f t="shared" si="20"/>
        <v>1.0035069483950656</v>
      </c>
      <c r="F64" s="338">
        <f t="shared" si="21"/>
        <v>8.3626910342097363E-2</v>
      </c>
      <c r="G64" s="338" t="str">
        <f t="shared" si="2"/>
        <v>1+0.000344475634466121i</v>
      </c>
      <c r="H64" s="337">
        <f t="shared" si="22"/>
        <v>1.0000000593317298</v>
      </c>
      <c r="I64" s="338">
        <f t="shared" si="23"/>
        <v>3.4447562084056473E-4</v>
      </c>
      <c r="J64" s="340">
        <f t="shared" si="3"/>
        <v>1</v>
      </c>
      <c r="K64" s="338">
        <f t="shared" si="24"/>
        <v>1</v>
      </c>
      <c r="L64" s="339">
        <f t="shared" si="25"/>
        <v>0</v>
      </c>
      <c r="M64" s="731" t="str">
        <f t="shared" si="4"/>
        <v>0.999999465639+0.00161947992600574i</v>
      </c>
      <c r="N64" s="338">
        <f t="shared" si="26"/>
        <v>1.0000007769964563</v>
      </c>
      <c r="O64" s="339">
        <f t="shared" si="27"/>
        <v>1.6194793755815175E-3</v>
      </c>
      <c r="P64" s="732" t="str">
        <f t="shared" si="19"/>
        <v>2.14685641220219-0.182711444905295i</v>
      </c>
      <c r="Q64" s="337">
        <f t="shared" si="28"/>
        <v>2.154617350415855</v>
      </c>
      <c r="R64" s="339">
        <f t="shared" si="29"/>
        <v>-8.490191409683838E-2</v>
      </c>
      <c r="S64" s="731" t="str">
        <f t="shared" si="5"/>
        <v>6000</v>
      </c>
      <c r="T64" s="337" t="str">
        <f t="shared" si="6"/>
        <v>1+695.840781621564i</v>
      </c>
      <c r="U64" s="346">
        <f t="shared" si="30"/>
        <v>695.8415001763758</v>
      </c>
      <c r="V64" s="347">
        <f t="shared" si="31"/>
        <v>1.5693592174187521</v>
      </c>
      <c r="W64" s="340" t="str">
        <f t="shared" si="7"/>
        <v>1+6.88951268932242i</v>
      </c>
      <c r="X64" s="337">
        <f t="shared" si="32"/>
        <v>6.9617084897555603</v>
      </c>
      <c r="Y64" s="339">
        <f t="shared" si="33"/>
        <v>1.426654811873985</v>
      </c>
      <c r="Z64" s="337" t="str">
        <f t="shared" si="8"/>
        <v>1+0.0694012038163011i</v>
      </c>
      <c r="AA64" s="346">
        <f t="shared" si="34"/>
        <v>1.0024053706416141</v>
      </c>
      <c r="AB64" s="347">
        <f t="shared" si="35"/>
        <v>6.9290100459942341E-2</v>
      </c>
      <c r="AC64" s="732" t="str">
        <f t="shared" si="36"/>
        <v>58.5437351780954-12.6002773653022i</v>
      </c>
      <c r="AD64" s="337">
        <f t="shared" si="37"/>
        <v>59.88435453676955</v>
      </c>
      <c r="AE64" s="339">
        <f t="shared" si="38"/>
        <v>-0.21199450600470943</v>
      </c>
      <c r="AF64" s="736" t="str">
        <f t="shared" si="9"/>
        <v>123.382778377739-37.7475967017679i</v>
      </c>
      <c r="AG64" s="337">
        <f t="shared" si="39"/>
        <v>42.213670512564001</v>
      </c>
      <c r="AH64" s="730">
        <f t="shared" si="40"/>
        <v>-17.010911824361767</v>
      </c>
      <c r="AI64" s="360">
        <f t="shared" si="10"/>
        <v>162.98908817563824</v>
      </c>
      <c r="AL64" s="337">
        <f t="shared" si="11"/>
        <v>35.546267457511924</v>
      </c>
      <c r="AM64" s="730">
        <f t="shared" si="12"/>
        <v>-12.146390474030637</v>
      </c>
      <c r="AN64" s="351"/>
      <c r="AO64" s="337">
        <f t="shared" si="13"/>
        <v>59.939334253791515</v>
      </c>
      <c r="AP64" s="730">
        <f t="shared" si="14"/>
        <v>-4.8645213503311089</v>
      </c>
      <c r="AS64" s="351"/>
      <c r="AT64" s="351"/>
      <c r="AV64" s="405">
        <f t="shared" si="15"/>
        <v>0</v>
      </c>
      <c r="AW64" s="405">
        <f t="shared" si="16"/>
        <v>0</v>
      </c>
      <c r="AX64" s="405">
        <f t="shared" si="17"/>
        <v>0</v>
      </c>
      <c r="AY64" s="405">
        <f t="shared" si="18"/>
        <v>0</v>
      </c>
    </row>
    <row r="65" spans="2:51" ht="13.5" thickBot="1" x14ac:dyDescent="0.25">
      <c r="B65" s="345">
        <v>120.23</v>
      </c>
      <c r="C65" s="728" t="str">
        <f t="shared" si="0"/>
        <v>2.16217503399043</v>
      </c>
      <c r="D65" s="728" t="str">
        <f t="shared" si="1"/>
        <v>1+0.0919103299536679i</v>
      </c>
      <c r="E65" s="337">
        <f t="shared" si="20"/>
        <v>1.0042148718039343</v>
      </c>
      <c r="F65" s="338">
        <f t="shared" si="21"/>
        <v>9.1652829403048433E-2</v>
      </c>
      <c r="G65" s="338" t="str">
        <f t="shared" si="2"/>
        <v>1+0.000377713684741101i</v>
      </c>
      <c r="H65" s="337">
        <f t="shared" si="22"/>
        <v>1.0000000713338113</v>
      </c>
      <c r="I65" s="338">
        <f t="shared" si="23"/>
        <v>3.7771366677859746E-4</v>
      </c>
      <c r="J65" s="340">
        <f t="shared" si="3"/>
        <v>1</v>
      </c>
      <c r="K65" s="338">
        <f t="shared" si="24"/>
        <v>1</v>
      </c>
      <c r="L65" s="339">
        <f t="shared" si="25"/>
        <v>0</v>
      </c>
      <c r="M65" s="731" t="str">
        <f t="shared" si="4"/>
        <v>0.999999357544316+0.0017757416461803i</v>
      </c>
      <c r="N65" s="338">
        <f t="shared" si="26"/>
        <v>1.000000934173283</v>
      </c>
      <c r="O65" s="339">
        <f t="shared" si="27"/>
        <v>1.7757409205588636E-3</v>
      </c>
      <c r="P65" s="732" t="str">
        <f t="shared" si="19"/>
        <v>2.14378360035097-0.200058634089651i</v>
      </c>
      <c r="Q65" s="337">
        <f t="shared" si="28"/>
        <v>2.1530981357586989</v>
      </c>
      <c r="R65" s="339">
        <f t="shared" si="29"/>
        <v>-9.3050856656828718E-2</v>
      </c>
      <c r="S65" s="731" t="str">
        <f t="shared" si="5"/>
        <v>6000</v>
      </c>
      <c r="T65" s="337" t="str">
        <f t="shared" si="6"/>
        <v>1+762.981643177024i</v>
      </c>
      <c r="U65" s="346">
        <f t="shared" si="30"/>
        <v>762.98229850050359</v>
      </c>
      <c r="V65" s="347">
        <f t="shared" si="31"/>
        <v>1.5694856800233208</v>
      </c>
      <c r="W65" s="340" t="str">
        <f t="shared" si="7"/>
        <v>1+7.55427369482202i</v>
      </c>
      <c r="X65" s="337">
        <f t="shared" si="32"/>
        <v>7.6201739518386287</v>
      </c>
      <c r="Y65" s="339">
        <f t="shared" si="33"/>
        <v>1.4391861134911237</v>
      </c>
      <c r="Z65" s="337" t="str">
        <f t="shared" si="8"/>
        <v>1+0.0760976446405279i</v>
      </c>
      <c r="AA65" s="346">
        <f t="shared" si="34"/>
        <v>1.0028912461078898</v>
      </c>
      <c r="AB65" s="347">
        <f t="shared" si="35"/>
        <v>7.5951262856318771E-2</v>
      </c>
      <c r="AC65" s="732" t="str">
        <f t="shared" si="36"/>
        <v>58.4849703941009-12.2365800025439i</v>
      </c>
      <c r="AD65" s="337">
        <f t="shared" si="37"/>
        <v>59.751365274422938</v>
      </c>
      <c r="AE65" s="339">
        <f t="shared" si="38"/>
        <v>-0.20625082938851644</v>
      </c>
      <c r="AF65" s="736" t="str">
        <f t="shared" si="9"/>
        <v>122.931086916648-37.9330028256537i</v>
      </c>
      <c r="AG65" s="337">
        <f t="shared" si="39"/>
        <v>42.188233159254054</v>
      </c>
      <c r="AH65" s="730">
        <f t="shared" si="40"/>
        <v>-17.148723411547849</v>
      </c>
      <c r="AI65" s="360">
        <f t="shared" si="10"/>
        <v>162.85127658845215</v>
      </c>
      <c r="AL65" s="337">
        <f t="shared" si="11"/>
        <v>35.526956660813248</v>
      </c>
      <c r="AM65" s="730">
        <f t="shared" si="12"/>
        <v>-11.817302045034797</v>
      </c>
      <c r="AN65" s="351"/>
      <c r="AO65" s="337">
        <f t="shared" si="13"/>
        <v>59.933207697180237</v>
      </c>
      <c r="AP65" s="730">
        <f t="shared" si="14"/>
        <v>-5.3314213665130863</v>
      </c>
      <c r="AS65" s="351"/>
      <c r="AT65" s="351"/>
      <c r="AV65" s="405">
        <f t="shared" si="15"/>
        <v>0</v>
      </c>
      <c r="AW65" s="405">
        <f t="shared" si="16"/>
        <v>0</v>
      </c>
      <c r="AX65" s="405">
        <f t="shared" si="17"/>
        <v>0</v>
      </c>
      <c r="AY65" s="405">
        <f t="shared" si="18"/>
        <v>0</v>
      </c>
    </row>
    <row r="66" spans="2:51" ht="13.5" thickBot="1" x14ac:dyDescent="0.25">
      <c r="B66" s="345">
        <v>131.83000000000001</v>
      </c>
      <c r="C66" s="728" t="str">
        <f t="shared" si="0"/>
        <v>2.16217503399043</v>
      </c>
      <c r="D66" s="728" t="str">
        <f t="shared" si="1"/>
        <v>1+0.100777998817201i</v>
      </c>
      <c r="E66" s="337">
        <f t="shared" si="20"/>
        <v>1.0050652740223391</v>
      </c>
      <c r="F66" s="338">
        <f t="shared" si="21"/>
        <v>0.10043888886645824</v>
      </c>
      <c r="G66" s="338" t="str">
        <f t="shared" si="2"/>
        <v>1+0.000414156159522743i</v>
      </c>
      <c r="H66" s="337">
        <f t="shared" si="22"/>
        <v>1.0000000857626585</v>
      </c>
      <c r="I66" s="338">
        <f t="shared" si="23"/>
        <v>4.1415613584332221E-4</v>
      </c>
      <c r="J66" s="340">
        <f t="shared" si="3"/>
        <v>1</v>
      </c>
      <c r="K66" s="338">
        <f t="shared" si="24"/>
        <v>1</v>
      </c>
      <c r="L66" s="339">
        <f t="shared" si="25"/>
        <v>0</v>
      </c>
      <c r="M66" s="731" t="str">
        <f t="shared" si="4"/>
        <v>0.999999227593382+0.0019470682958991i</v>
      </c>
      <c r="N66" s="338">
        <f t="shared" si="26"/>
        <v>1.0000011231305241</v>
      </c>
      <c r="O66" s="339">
        <f t="shared" si="27"/>
        <v>1.9470673393346476E-3</v>
      </c>
      <c r="P66" s="732" t="str">
        <f t="shared" si="19"/>
        <v>2.14010092646745-0.218989506233423i</v>
      </c>
      <c r="Q66" s="337">
        <f t="shared" si="28"/>
        <v>2.1512759886419026</v>
      </c>
      <c r="R66" s="339">
        <f t="shared" si="29"/>
        <v>-0.10197180006994946</v>
      </c>
      <c r="S66" s="731" t="str">
        <f t="shared" si="5"/>
        <v>6000</v>
      </c>
      <c r="T66" s="337" t="str">
        <f t="shared" si="6"/>
        <v>1+836.59544223594i</v>
      </c>
      <c r="U66" s="346">
        <f t="shared" si="30"/>
        <v>836.59603989616653</v>
      </c>
      <c r="V66" s="347">
        <f t="shared" si="31"/>
        <v>1.5696010064844443</v>
      </c>
      <c r="W66" s="340" t="str">
        <f t="shared" si="7"/>
        <v>1+8.28312319045485i</v>
      </c>
      <c r="X66" s="337">
        <f t="shared" si="32"/>
        <v>8.343268531471999</v>
      </c>
      <c r="Y66" s="339">
        <f t="shared" si="33"/>
        <v>1.4506503797385111</v>
      </c>
      <c r="Z66" s="337" t="str">
        <f t="shared" si="8"/>
        <v>1+0.0834396780583947i</v>
      </c>
      <c r="AA66" s="346">
        <f t="shared" si="34"/>
        <v>1.0034750519442368</v>
      </c>
      <c r="AB66" s="347">
        <f t="shared" si="35"/>
        <v>8.3246842271742033E-2</v>
      </c>
      <c r="AC66" s="732" t="str">
        <f t="shared" si="36"/>
        <v>58.4152337820424-11.9750542720295i</v>
      </c>
      <c r="AD66" s="337">
        <f t="shared" si="37"/>
        <v>59.630038257817013</v>
      </c>
      <c r="AE66" s="339">
        <f t="shared" si="38"/>
        <v>-0.20219746901767419</v>
      </c>
      <c r="AF66" s="736" t="str">
        <f t="shared" si="9"/>
        <v>122.392084714611-38.4201479445078i</v>
      </c>
      <c r="AG66" s="337">
        <f t="shared" si="39"/>
        <v>42.163224357515475</v>
      </c>
      <c r="AH66" s="730">
        <f t="shared" si="40"/>
        <v>-17.427615376299965</v>
      </c>
      <c r="AI66" s="360">
        <f t="shared" si="10"/>
        <v>162.57238462370003</v>
      </c>
      <c r="AL66" s="337">
        <f t="shared" si="11"/>
        <v>35.509301759664574</v>
      </c>
      <c r="AM66" s="730">
        <f t="shared" si="12"/>
        <v>-11.585061602939954</v>
      </c>
      <c r="AN66" s="351"/>
      <c r="AO66" s="337">
        <f t="shared" si="13"/>
        <v>59.92585379659036</v>
      </c>
      <c r="AP66" s="730">
        <f t="shared" si="14"/>
        <v>-5.842553773359966</v>
      </c>
      <c r="AS66" s="351"/>
      <c r="AT66" s="351"/>
      <c r="AV66" s="405">
        <f t="shared" si="15"/>
        <v>0</v>
      </c>
      <c r="AW66" s="405">
        <f t="shared" si="16"/>
        <v>0</v>
      </c>
      <c r="AX66" s="405">
        <f t="shared" si="17"/>
        <v>0</v>
      </c>
      <c r="AY66" s="405">
        <f t="shared" si="18"/>
        <v>0</v>
      </c>
    </row>
    <row r="67" spans="2:51" ht="13.5" thickBot="1" x14ac:dyDescent="0.25">
      <c r="B67" s="345">
        <v>144.54</v>
      </c>
      <c r="C67" s="728" t="str">
        <f t="shared" si="0"/>
        <v>2.16217503399043</v>
      </c>
      <c r="D67" s="728" t="str">
        <f t="shared" si="1"/>
        <v>1+0.110494211856468i</v>
      </c>
      <c r="E67" s="337">
        <f t="shared" si="20"/>
        <v>1.0060859659362027</v>
      </c>
      <c r="F67" s="338">
        <f t="shared" si="21"/>
        <v>0.11004780389363078</v>
      </c>
      <c r="G67" s="338" t="str">
        <f t="shared" si="2"/>
        <v>1+0.000454085802149869i</v>
      </c>
      <c r="H67" s="337">
        <f t="shared" si="22"/>
        <v>1.0000001030969525</v>
      </c>
      <c r="I67" s="338">
        <f t="shared" si="23"/>
        <v>4.5408577093996298E-4</v>
      </c>
      <c r="J67" s="340">
        <f t="shared" si="3"/>
        <v>1</v>
      </c>
      <c r="K67" s="338">
        <f t="shared" si="24"/>
        <v>1</v>
      </c>
      <c r="L67" s="339">
        <f t="shared" si="25"/>
        <v>0</v>
      </c>
      <c r="M67" s="731" t="str">
        <f t="shared" si="4"/>
        <v>0.99999907147504+0.00213478913365134i</v>
      </c>
      <c r="N67" s="338">
        <f t="shared" si="26"/>
        <v>1.0000013501368821</v>
      </c>
      <c r="O67" s="339">
        <f t="shared" si="27"/>
        <v>2.1347878728822998E-3</v>
      </c>
      <c r="P67" s="732" t="str">
        <f t="shared" si="19"/>
        <v>2.13569313641654-0.23961569575746i</v>
      </c>
      <c r="Q67" s="337">
        <f t="shared" si="28"/>
        <v>2.1490930306969149</v>
      </c>
      <c r="R67" s="339">
        <f t="shared" si="29"/>
        <v>-0.11172850599557342</v>
      </c>
      <c r="S67" s="731" t="str">
        <f t="shared" si="5"/>
        <v>6000</v>
      </c>
      <c r="T67" s="337" t="str">
        <f t="shared" si="6"/>
        <v>1+917.253320342735i</v>
      </c>
      <c r="U67" s="346">
        <f t="shared" si="30"/>
        <v>917.25386544825847</v>
      </c>
      <c r="V67" s="347">
        <f t="shared" si="31"/>
        <v>1.5697061158557422</v>
      </c>
      <c r="W67" s="340" t="str">
        <f t="shared" si="7"/>
        <v>1+9.08171604299737i</v>
      </c>
      <c r="X67" s="337">
        <f t="shared" si="32"/>
        <v>9.1366058405534698</v>
      </c>
      <c r="Y67" s="339">
        <f t="shared" si="33"/>
        <v>1.4611267840825271</v>
      </c>
      <c r="Z67" s="337" t="str">
        <f t="shared" si="8"/>
        <v>1+0.0914842681222814i</v>
      </c>
      <c r="AA67" s="346">
        <f t="shared" si="34"/>
        <v>1.0041759663096252</v>
      </c>
      <c r="AB67" s="347">
        <f t="shared" si="35"/>
        <v>9.1230320201946713E-2</v>
      </c>
      <c r="AC67" s="732" t="str">
        <f t="shared" si="36"/>
        <v>58.332299220799-11.81298319894i</v>
      </c>
      <c r="AD67" s="337">
        <f t="shared" si="37"/>
        <v>59.516415419976923</v>
      </c>
      <c r="AE67" s="339">
        <f t="shared" si="38"/>
        <v>-0.19980965197516234</v>
      </c>
      <c r="AF67" s="736" t="str">
        <f t="shared" si="9"/>
        <v>121.749314889071-39.2062416015042i</v>
      </c>
      <c r="AG67" s="337">
        <f t="shared" si="39"/>
        <v>42.13783964486889</v>
      </c>
      <c r="AH67" s="730">
        <f t="shared" si="40"/>
        <v>-17.849821609003126</v>
      </c>
      <c r="AI67" s="360">
        <f t="shared" si="10"/>
        <v>162.15017839099687</v>
      </c>
      <c r="AL67" s="337">
        <f t="shared" si="11"/>
        <v>35.492735329048209</v>
      </c>
      <c r="AM67" s="730">
        <f t="shared" si="12"/>
        <v>-11.448249764154616</v>
      </c>
      <c r="AN67" s="351"/>
      <c r="AO67" s="337">
        <f t="shared" si="13"/>
        <v>59.917035514560126</v>
      </c>
      <c r="AP67" s="730">
        <f t="shared" si="14"/>
        <v>-6.4015718448484904</v>
      </c>
      <c r="AS67" s="351"/>
      <c r="AT67" s="351"/>
      <c r="AV67" s="405">
        <f t="shared" si="15"/>
        <v>0</v>
      </c>
      <c r="AW67" s="405">
        <f t="shared" si="16"/>
        <v>0</v>
      </c>
      <c r="AX67" s="405">
        <f t="shared" si="17"/>
        <v>0</v>
      </c>
      <c r="AY67" s="405">
        <f t="shared" si="18"/>
        <v>0</v>
      </c>
    </row>
    <row r="68" spans="2:51" ht="13.5" thickBot="1" x14ac:dyDescent="0.25">
      <c r="B68" s="345">
        <v>158.49</v>
      </c>
      <c r="C68" s="728" t="str">
        <f t="shared" si="0"/>
        <v>2.16217503399043</v>
      </c>
      <c r="D68" s="728" t="str">
        <f t="shared" si="1"/>
        <v>1+0.121158348119079i</v>
      </c>
      <c r="E68" s="337">
        <f t="shared" si="20"/>
        <v>1.0073129331637434</v>
      </c>
      <c r="F68" s="338">
        <f t="shared" si="21"/>
        <v>0.1205706737616159</v>
      </c>
      <c r="G68" s="338" t="str">
        <f t="shared" si="2"/>
        <v>1+0.000497911019667446i</v>
      </c>
      <c r="H68" s="337">
        <f t="shared" si="22"/>
        <v>1.0000001239576841</v>
      </c>
      <c r="I68" s="338">
        <f t="shared" si="23"/>
        <v>4.9791097852085165E-4</v>
      </c>
      <c r="J68" s="340">
        <f t="shared" si="3"/>
        <v>1</v>
      </c>
      <c r="K68" s="338">
        <f t="shared" si="24"/>
        <v>1</v>
      </c>
      <c r="L68" s="339">
        <f t="shared" si="25"/>
        <v>0</v>
      </c>
      <c r="M68" s="731" t="str">
        <f t="shared" si="4"/>
        <v>0.99999888359644+0.00234082419947697i</v>
      </c>
      <c r="N68" s="338">
        <f t="shared" si="26"/>
        <v>1.000001623324712</v>
      </c>
      <c r="O68" s="339">
        <f t="shared" si="27"/>
        <v>2.3408225373015177E-3</v>
      </c>
      <c r="P68" s="732" t="str">
        <f t="shared" si="19"/>
        <v>2.13041228443786-0.26210192232727i</v>
      </c>
      <c r="Q68" s="337">
        <f t="shared" si="28"/>
        <v>2.1464747656032186</v>
      </c>
      <c r="R68" s="339">
        <f t="shared" si="29"/>
        <v>-0.12241358532039705</v>
      </c>
      <c r="S68" s="731" t="str">
        <f t="shared" si="5"/>
        <v>6000</v>
      </c>
      <c r="T68" s="337" t="str">
        <f t="shared" si="6"/>
        <v>1+1005.78025972824i</v>
      </c>
      <c r="U68" s="346">
        <f t="shared" si="30"/>
        <v>1005.7807568545969</v>
      </c>
      <c r="V68" s="347">
        <f t="shared" si="31"/>
        <v>1.569802074162858</v>
      </c>
      <c r="W68" s="340" t="str">
        <f t="shared" si="7"/>
        <v>1+9.95822039334893i</v>
      </c>
      <c r="X68" s="337">
        <f t="shared" si="32"/>
        <v>10.008304222120273</v>
      </c>
      <c r="Y68" s="339">
        <f t="shared" si="33"/>
        <v>1.4707122966065445</v>
      </c>
      <c r="Z68" s="337" t="str">
        <f t="shared" si="8"/>
        <v>1+0.100313696241182i</v>
      </c>
      <c r="AA68" s="346">
        <f t="shared" si="34"/>
        <v>1.0050188245269678</v>
      </c>
      <c r="AB68" s="347">
        <f t="shared" si="35"/>
        <v>9.9979233172643553E-2</v>
      </c>
      <c r="AC68" s="732" t="str">
        <f t="shared" si="36"/>
        <v>58.2333230519183-11.7480472666802i</v>
      </c>
      <c r="AD68" s="337">
        <f t="shared" si="37"/>
        <v>59.406536073476225</v>
      </c>
      <c r="AE68" s="339">
        <f t="shared" si="38"/>
        <v>-0.19906901072895664</v>
      </c>
      <c r="AF68" s="736" t="str">
        <f t="shared" si="9"/>
        <v>120.981801021257-40.2912501305048i</v>
      </c>
      <c r="AG68" s="337">
        <f t="shared" si="39"/>
        <v>42.111200341915939</v>
      </c>
      <c r="AH68" s="730">
        <f t="shared" si="40"/>
        <v>-18.419595940537015</v>
      </c>
      <c r="AI68" s="360">
        <f t="shared" si="10"/>
        <v>161.58040405946298</v>
      </c>
      <c r="AL68" s="337">
        <f t="shared" si="11"/>
        <v>35.476684598103333</v>
      </c>
      <c r="AM68" s="730">
        <f t="shared" si="12"/>
        <v>-11.405814146613718</v>
      </c>
      <c r="AN68" s="351"/>
      <c r="AO68" s="337">
        <f t="shared" si="13"/>
        <v>59.906446942552009</v>
      </c>
      <c r="AP68" s="730">
        <f t="shared" si="14"/>
        <v>-7.0137817939233598</v>
      </c>
      <c r="AS68" s="351"/>
      <c r="AT68" s="351"/>
      <c r="AV68" s="405">
        <f t="shared" si="15"/>
        <v>0</v>
      </c>
      <c r="AW68" s="405">
        <f t="shared" si="16"/>
        <v>0</v>
      </c>
      <c r="AX68" s="405">
        <f t="shared" si="17"/>
        <v>0</v>
      </c>
      <c r="AY68" s="405">
        <f t="shared" si="18"/>
        <v>0</v>
      </c>
    </row>
    <row r="69" spans="2:51" ht="13.5" thickBot="1" x14ac:dyDescent="0.25">
      <c r="B69" s="345">
        <v>173.78</v>
      </c>
      <c r="C69" s="728" t="str">
        <f t="shared" si="0"/>
        <v>2.16217503399043</v>
      </c>
      <c r="D69" s="728" t="str">
        <f t="shared" si="1"/>
        <v>1+0.13284685302627i</v>
      </c>
      <c r="E69" s="337">
        <f t="shared" si="20"/>
        <v>1.0087855502330429</v>
      </c>
      <c r="F69" s="338">
        <f t="shared" si="21"/>
        <v>0.13207351903434444</v>
      </c>
      <c r="G69" s="338" t="str">
        <f t="shared" si="2"/>
        <v>1+0.000545945971340835i</v>
      </c>
      <c r="H69" s="337">
        <f t="shared" si="22"/>
        <v>1.0000001490284907</v>
      </c>
      <c r="I69" s="338">
        <f t="shared" si="23"/>
        <v>5.4594591709983785E-4</v>
      </c>
      <c r="J69" s="340">
        <f t="shared" si="3"/>
        <v>1</v>
      </c>
      <c r="K69" s="338">
        <f t="shared" si="24"/>
        <v>1</v>
      </c>
      <c r="L69" s="339">
        <f t="shared" si="25"/>
        <v>0</v>
      </c>
      <c r="M69" s="731" t="str">
        <f t="shared" si="4"/>
        <v>0.999998657800516+0.00256665044725287i</v>
      </c>
      <c r="N69" s="338">
        <f t="shared" si="26"/>
        <v>1.0000019516467715</v>
      </c>
      <c r="O69" s="339">
        <f t="shared" si="27"/>
        <v>2.5666482561109553E-3</v>
      </c>
      <c r="P69" s="732" t="str">
        <f t="shared" si="19"/>
        <v>2.12409958303904-0.28654904642051i</v>
      </c>
      <c r="Q69" s="337">
        <f t="shared" si="28"/>
        <v>2.1433407089567278</v>
      </c>
      <c r="R69" s="339">
        <f t="shared" si="29"/>
        <v>-0.13409422137335536</v>
      </c>
      <c r="S69" s="731" t="str">
        <f t="shared" si="5"/>
        <v>6000</v>
      </c>
      <c r="T69" s="337" t="str">
        <f t="shared" si="6"/>
        <v>1+1102.81086210849i</v>
      </c>
      <c r="U69" s="346">
        <f t="shared" si="30"/>
        <v>1102.8113154952985</v>
      </c>
      <c r="V69" s="347">
        <f t="shared" si="31"/>
        <v>1.5698895532399022</v>
      </c>
      <c r="W69" s="340" t="str">
        <f t="shared" si="7"/>
        <v>1+10.9189194268167i</v>
      </c>
      <c r="X69" s="337">
        <f t="shared" si="32"/>
        <v>10.9646158824336</v>
      </c>
      <c r="Y69" s="339">
        <f t="shared" si="33"/>
        <v>1.4794669505021685</v>
      </c>
      <c r="Z69" s="337" t="str">
        <f t="shared" si="8"/>
        <v>1+0.109991255806629i</v>
      </c>
      <c r="AA69" s="346">
        <f t="shared" si="34"/>
        <v>1.0060308525855057</v>
      </c>
      <c r="AB69" s="347">
        <f t="shared" si="35"/>
        <v>0.10955088711217086</v>
      </c>
      <c r="AC69" s="732" t="str">
        <f t="shared" si="36"/>
        <v>58.115244839596-11.7789394026359i</v>
      </c>
      <c r="AD69" s="337">
        <f t="shared" si="37"/>
        <v>59.296923159782565</v>
      </c>
      <c r="AE69" s="339">
        <f t="shared" si="38"/>
        <v>-0.1999734898499051</v>
      </c>
      <c r="AF69" s="736" t="str">
        <f t="shared" si="9"/>
        <v>120.067323478327-41.6725082650617i</v>
      </c>
      <c r="AG69" s="337">
        <f t="shared" si="39"/>
        <v>42.082467433323323</v>
      </c>
      <c r="AH69" s="730">
        <f t="shared" si="40"/>
        <v>-19.140669924688016</v>
      </c>
      <c r="AI69" s="360">
        <f t="shared" si="10"/>
        <v>160.85933007531199</v>
      </c>
      <c r="AL69" s="337">
        <f t="shared" si="11"/>
        <v>35.460643179462053</v>
      </c>
      <c r="AM69" s="730">
        <f t="shared" si="12"/>
        <v>-11.457636982901768</v>
      </c>
      <c r="AN69" s="351"/>
      <c r="AO69" s="337">
        <f t="shared" si="13"/>
        <v>59.893755452600729</v>
      </c>
      <c r="AP69" s="730">
        <f t="shared" si="14"/>
        <v>-7.6830329417862071</v>
      </c>
      <c r="AS69" s="351"/>
      <c r="AT69" s="351"/>
      <c r="AV69" s="405">
        <f t="shared" si="15"/>
        <v>0</v>
      </c>
      <c r="AW69" s="405">
        <f t="shared" si="16"/>
        <v>0</v>
      </c>
      <c r="AX69" s="405">
        <f t="shared" si="17"/>
        <v>0</v>
      </c>
      <c r="AY69" s="405">
        <f t="shared" si="18"/>
        <v>0</v>
      </c>
    </row>
    <row r="70" spans="2:51" ht="13.5" thickBot="1" x14ac:dyDescent="0.25">
      <c r="B70" s="345">
        <v>190.55</v>
      </c>
      <c r="C70" s="728" t="str">
        <f t="shared" si="0"/>
        <v>2.16217503399043</v>
      </c>
      <c r="D70" s="728" t="str">
        <f t="shared" si="1"/>
        <v>1+0.145666750167774i</v>
      </c>
      <c r="E70" s="337">
        <f t="shared" si="20"/>
        <v>1.0105537106479994</v>
      </c>
      <c r="F70" s="338">
        <f t="shared" si="21"/>
        <v>0.14464938020235671</v>
      </c>
      <c r="G70" s="338" t="str">
        <f t="shared" si="2"/>
        <v>1+0.000598630480141535i</v>
      </c>
      <c r="H70" s="337">
        <f t="shared" si="22"/>
        <v>1.0000001791792099</v>
      </c>
      <c r="I70" s="338">
        <f t="shared" si="23"/>
        <v>5.9863040863345298E-4</v>
      </c>
      <c r="J70" s="340">
        <f t="shared" si="3"/>
        <v>1</v>
      </c>
      <c r="K70" s="338">
        <f t="shared" si="24"/>
        <v>1</v>
      </c>
      <c r="L70" s="339">
        <f t="shared" si="25"/>
        <v>0</v>
      </c>
      <c r="M70" s="731" t="str">
        <f t="shared" si="4"/>
        <v>0.999998386253222+0.00281433561240669i</v>
      </c>
      <c r="N70" s="338">
        <f t="shared" si="26"/>
        <v>1.0000023464942407</v>
      </c>
      <c r="O70" s="339">
        <f t="shared" si="27"/>
        <v>2.8143327237374408E-3</v>
      </c>
      <c r="P70" s="732" t="str">
        <f t="shared" si="19"/>
        <v>2.11655640018569-0.313102614287434i</v>
      </c>
      <c r="Q70" s="337">
        <f t="shared" si="28"/>
        <v>2.1395897368983223</v>
      </c>
      <c r="R70" s="339">
        <f t="shared" si="29"/>
        <v>-0.14686508251746058</v>
      </c>
      <c r="S70" s="731" t="str">
        <f t="shared" si="5"/>
        <v>6000</v>
      </c>
      <c r="T70" s="337" t="str">
        <f t="shared" si="6"/>
        <v>1+1209.2335698859i</v>
      </c>
      <c r="U70" s="346">
        <f t="shared" si="30"/>
        <v>1209.2339833708768</v>
      </c>
      <c r="V70" s="347">
        <f t="shared" si="31"/>
        <v>1.5699693568885495</v>
      </c>
      <c r="W70" s="340" t="str">
        <f t="shared" si="7"/>
        <v>1+11.9726096028307i</v>
      </c>
      <c r="X70" s="337">
        <f t="shared" si="32"/>
        <v>12.014299010004448</v>
      </c>
      <c r="Y70" s="339">
        <f t="shared" si="33"/>
        <v>1.4874657664497553</v>
      </c>
      <c r="Z70" s="337" t="str">
        <f t="shared" si="8"/>
        <v>1+0.120605557566769i</v>
      </c>
      <c r="AA70" s="346">
        <f t="shared" si="34"/>
        <v>1.0072465936978845</v>
      </c>
      <c r="AB70" s="347">
        <f t="shared" si="35"/>
        <v>0.12002584451067422</v>
      </c>
      <c r="AC70" s="732" t="str">
        <f t="shared" si="36"/>
        <v>57.9742297094541-11.9047045717734i</v>
      </c>
      <c r="AD70" s="337">
        <f t="shared" si="37"/>
        <v>59.183893935307708</v>
      </c>
      <c r="AE70" s="339">
        <f t="shared" si="38"/>
        <v>-0.20252943494946749</v>
      </c>
      <c r="AF70" s="736" t="str">
        <f t="shared" si="9"/>
        <v>118.978332813639-43.3488615370371i</v>
      </c>
      <c r="AG70" s="337">
        <f t="shared" si="39"/>
        <v>42.050680833694628</v>
      </c>
      <c r="AH70" s="730">
        <f t="shared" si="40"/>
        <v>-20.018831235864827</v>
      </c>
      <c r="AI70" s="360">
        <f t="shared" si="10"/>
        <v>159.98116876413516</v>
      </c>
      <c r="AL70" s="337">
        <f t="shared" si="11"/>
        <v>35.444070713276112</v>
      </c>
      <c r="AM70" s="730">
        <f t="shared" si="12"/>
        <v>-11.604081849773838</v>
      </c>
      <c r="AN70" s="351"/>
      <c r="AO70" s="337">
        <f t="shared" si="13"/>
        <v>59.878541319157925</v>
      </c>
      <c r="AP70" s="730">
        <f t="shared" si="14"/>
        <v>-8.414749386091076</v>
      </c>
      <c r="AS70" s="351"/>
      <c r="AT70" s="351"/>
      <c r="AV70" s="405">
        <f t="shared" si="15"/>
        <v>0</v>
      </c>
      <c r="AW70" s="405">
        <f t="shared" si="16"/>
        <v>0</v>
      </c>
      <c r="AX70" s="405">
        <f t="shared" si="17"/>
        <v>0</v>
      </c>
      <c r="AY70" s="405">
        <f t="shared" si="18"/>
        <v>0</v>
      </c>
    </row>
    <row r="71" spans="2:51" ht="13.5" thickBot="1" x14ac:dyDescent="0.25">
      <c r="B71" s="345">
        <v>208.93</v>
      </c>
      <c r="C71" s="728" t="str">
        <f t="shared" si="0"/>
        <v>2.16217503399043</v>
      </c>
      <c r="D71" s="728" t="str">
        <f t="shared" si="1"/>
        <v>1+0.159717418591199i</v>
      </c>
      <c r="E71" s="337">
        <f t="shared" si="20"/>
        <v>1.0126745053576871</v>
      </c>
      <c r="F71" s="338">
        <f t="shared" si="21"/>
        <v>0.15837972215164303</v>
      </c>
      <c r="G71" s="338" t="str">
        <f t="shared" si="2"/>
        <v>1+0.000656372953114515i</v>
      </c>
      <c r="H71" s="337">
        <f t="shared" si="22"/>
        <v>1.0000002154127037</v>
      </c>
      <c r="I71" s="338">
        <f t="shared" si="23"/>
        <v>6.5637285885381425E-4</v>
      </c>
      <c r="J71" s="340">
        <f t="shared" si="3"/>
        <v>1</v>
      </c>
      <c r="K71" s="338">
        <f t="shared" si="24"/>
        <v>1</v>
      </c>
      <c r="L71" s="339">
        <f t="shared" si="25"/>
        <v>0</v>
      </c>
      <c r="M71" s="731" t="str">
        <f t="shared" si="4"/>
        <v>0.999998059922449+0.00308579973497837i</v>
      </c>
      <c r="N71" s="338">
        <f t="shared" si="26"/>
        <v>1.0000028210003542</v>
      </c>
      <c r="O71" s="339">
        <f t="shared" si="27"/>
        <v>3.085795927186791E-3</v>
      </c>
      <c r="P71" s="732" t="str">
        <f t="shared" si="19"/>
        <v>2.10756090388397-0.341867006143629i</v>
      </c>
      <c r="Q71" s="337">
        <f t="shared" si="28"/>
        <v>2.1351079629540575</v>
      </c>
      <c r="R71" s="339">
        <f t="shared" si="29"/>
        <v>-0.16080914521997564</v>
      </c>
      <c r="S71" s="731" t="str">
        <f t="shared" si="5"/>
        <v>6000</v>
      </c>
      <c r="T71" s="337" t="str">
        <f t="shared" si="6"/>
        <v>1+1325.87336529132i</v>
      </c>
      <c r="U71" s="346">
        <f t="shared" si="30"/>
        <v>1325.8737424011872</v>
      </c>
      <c r="V71" s="347">
        <f t="shared" si="31"/>
        <v>1.5700421070959705</v>
      </c>
      <c r="W71" s="340" t="str">
        <f t="shared" si="7"/>
        <v>1+13.1274590622903i</v>
      </c>
      <c r="X71" s="337">
        <f t="shared" si="32"/>
        <v>13.165492069501532</v>
      </c>
      <c r="Y71" s="339">
        <f t="shared" si="33"/>
        <v>1.4947669573143139</v>
      </c>
      <c r="Z71" s="337" t="str">
        <f t="shared" si="8"/>
        <v>1+0.132238882930595i</v>
      </c>
      <c r="AA71" s="346">
        <f t="shared" si="34"/>
        <v>1.0087056667624761</v>
      </c>
      <c r="AB71" s="347">
        <f t="shared" si="35"/>
        <v>0.13147604514517863</v>
      </c>
      <c r="AC71" s="732" t="str">
        <f t="shared" si="36"/>
        <v>57.8059621453891-12.1247072246103i</v>
      </c>
      <c r="AD71" s="337">
        <f t="shared" si="37"/>
        <v>59.063844988594127</v>
      </c>
      <c r="AE71" s="339">
        <f t="shared" si="38"/>
        <v>-0.20675119492683566</v>
      </c>
      <c r="AF71" s="736" t="str">
        <f t="shared" si="9"/>
        <v>117.684548469773-45.3155101335243i</v>
      </c>
      <c r="AG71" s="337">
        <f t="shared" si="39"/>
        <v>42.014831117742048</v>
      </c>
      <c r="AH71" s="730">
        <f t="shared" si="40"/>
        <v>-21.059656206805279</v>
      </c>
      <c r="AI71" s="360">
        <f t="shared" si="10"/>
        <v>158.94034379319473</v>
      </c>
      <c r="AL71" s="337">
        <f t="shared" si="11"/>
        <v>35.426434312444158</v>
      </c>
      <c r="AM71" s="730">
        <f t="shared" si="12"/>
        <v>-11.845970878594281</v>
      </c>
      <c r="AN71" s="351"/>
      <c r="AO71" s="337">
        <f t="shared" si="13"/>
        <v>59.860328004037335</v>
      </c>
      <c r="AP71" s="730">
        <f t="shared" si="14"/>
        <v>-9.2136853282109872</v>
      </c>
      <c r="AS71" s="351"/>
      <c r="AT71" s="351"/>
      <c r="AV71" s="405">
        <f t="shared" si="15"/>
        <v>0</v>
      </c>
      <c r="AW71" s="405">
        <f t="shared" si="16"/>
        <v>0</v>
      </c>
      <c r="AX71" s="405">
        <f t="shared" si="17"/>
        <v>0</v>
      </c>
      <c r="AY71" s="405">
        <f t="shared" si="18"/>
        <v>0</v>
      </c>
    </row>
    <row r="72" spans="2:51" ht="13.5" thickBot="1" x14ac:dyDescent="0.25">
      <c r="B72" s="345">
        <v>229.09</v>
      </c>
      <c r="C72" s="728" t="str">
        <f t="shared" si="0"/>
        <v>2.16217503399043</v>
      </c>
      <c r="D72" s="728" t="str">
        <f t="shared" si="1"/>
        <v>1+0.175128815512649i</v>
      </c>
      <c r="E72" s="337">
        <f t="shared" si="20"/>
        <v>1.0152192384026533</v>
      </c>
      <c r="F72" s="338">
        <f t="shared" si="21"/>
        <v>0.17337065148035904</v>
      </c>
      <c r="G72" s="338" t="str">
        <f t="shared" si="2"/>
        <v>1+0.000719707461010885i</v>
      </c>
      <c r="H72" s="337">
        <f t="shared" si="22"/>
        <v>1.0000002589893811</v>
      </c>
      <c r="I72" s="338">
        <f t="shared" si="23"/>
        <v>7.1970733674651423E-4</v>
      </c>
      <c r="J72" s="340">
        <f t="shared" si="3"/>
        <v>1</v>
      </c>
      <c r="K72" s="338">
        <f t="shared" si="24"/>
        <v>1</v>
      </c>
      <c r="L72" s="339">
        <f t="shared" si="25"/>
        <v>0</v>
      </c>
      <c r="M72" s="731" t="str">
        <f t="shared" si="4"/>
        <v>0.999997667456529+0.00338355363655863i</v>
      </c>
      <c r="N72" s="338">
        <f t="shared" si="26"/>
        <v>1.0000033916711033</v>
      </c>
      <c r="O72" s="339">
        <f t="shared" si="27"/>
        <v>3.3835486167297919E-3</v>
      </c>
      <c r="P72" s="732" t="str">
        <f t="shared" si="19"/>
        <v>2.09684156105205-0.372977045159794i</v>
      </c>
      <c r="Q72" s="337">
        <f t="shared" si="28"/>
        <v>2.1297550113502095</v>
      </c>
      <c r="R72" s="339">
        <f t="shared" si="29"/>
        <v>-0.17603449276034178</v>
      </c>
      <c r="S72" s="731" t="str">
        <f t="shared" si="5"/>
        <v>6000</v>
      </c>
      <c r="T72" s="337" t="str">
        <f t="shared" si="6"/>
        <v>1+1453.80907124199i</v>
      </c>
      <c r="U72" s="346">
        <f t="shared" si="30"/>
        <v>1453.8094151660655</v>
      </c>
      <c r="V72" s="347">
        <f t="shared" si="31"/>
        <v>1.5701084786709101</v>
      </c>
      <c r="W72" s="340" t="str">
        <f t="shared" si="7"/>
        <v>1+14.3941492202177i</v>
      </c>
      <c r="X72" s="337">
        <f t="shared" si="32"/>
        <v>14.42884374348457</v>
      </c>
      <c r="Y72" s="339">
        <f t="shared" si="33"/>
        <v>1.5014351015990819</v>
      </c>
      <c r="Z72" s="337" t="str">
        <f t="shared" si="8"/>
        <v>1+0.144998830663716i</v>
      </c>
      <c r="AA72" s="346">
        <f t="shared" si="34"/>
        <v>1.0104576492331803</v>
      </c>
      <c r="AB72" s="347">
        <f t="shared" si="35"/>
        <v>0.14399527645145152</v>
      </c>
      <c r="AC72" s="732" t="str">
        <f t="shared" si="36"/>
        <v>57.6051251993572-12.4389009843802i</v>
      </c>
      <c r="AD72" s="337">
        <f t="shared" si="37"/>
        <v>58.932815196058911</v>
      </c>
      <c r="AE72" s="339">
        <f t="shared" si="38"/>
        <v>-0.21266865352328074</v>
      </c>
      <c r="AF72" s="736" t="str">
        <f t="shared" si="9"/>
        <v>116.14939611343-47.5677939407759i</v>
      </c>
      <c r="AG72" s="337">
        <f t="shared" si="39"/>
        <v>41.973736729546388</v>
      </c>
      <c r="AH72" s="730">
        <f t="shared" si="40"/>
        <v>-22.27104976550774</v>
      </c>
      <c r="AI72" s="360">
        <f t="shared" si="10"/>
        <v>157.72895023449226</v>
      </c>
      <c r="AL72" s="337">
        <f t="shared" si="11"/>
        <v>35.407143753147267</v>
      </c>
      <c r="AM72" s="730">
        <f t="shared" si="12"/>
        <v>-12.185016281613992</v>
      </c>
      <c r="AN72" s="351"/>
      <c r="AO72" s="337">
        <f t="shared" si="13"/>
        <v>59.838524175138524</v>
      </c>
      <c r="AP72" s="730">
        <f t="shared" si="14"/>
        <v>-10.086033483893816</v>
      </c>
      <c r="AS72" s="351"/>
      <c r="AT72" s="351"/>
      <c r="AV72" s="405">
        <f t="shared" si="15"/>
        <v>0</v>
      </c>
      <c r="AW72" s="405">
        <f t="shared" si="16"/>
        <v>0</v>
      </c>
      <c r="AX72" s="405">
        <f t="shared" si="17"/>
        <v>0</v>
      </c>
      <c r="AY72" s="405">
        <f t="shared" si="18"/>
        <v>0</v>
      </c>
    </row>
    <row r="73" spans="2:51" ht="13.5" thickBot="1" x14ac:dyDescent="0.25">
      <c r="B73" s="345">
        <v>251.19</v>
      </c>
      <c r="C73" s="728" t="str">
        <f t="shared" si="0"/>
        <v>2.16217503399043</v>
      </c>
      <c r="D73" s="728" t="str">
        <f t="shared" si="1"/>
        <v>1+0.192023253606104i</v>
      </c>
      <c r="E73" s="337">
        <f t="shared" si="20"/>
        <v>1.018269576254478</v>
      </c>
      <c r="F73" s="338">
        <f t="shared" si="21"/>
        <v>0.18971397878806204</v>
      </c>
      <c r="G73" s="338" t="str">
        <f t="shared" si="2"/>
        <v>1+0.00078913665865522i</v>
      </c>
      <c r="H73" s="337">
        <f t="shared" si="22"/>
        <v>1.0000003113682845</v>
      </c>
      <c r="I73" s="338">
        <f t="shared" si="23"/>
        <v>7.8913649484717058E-4</v>
      </c>
      <c r="J73" s="340">
        <f t="shared" si="3"/>
        <v>1</v>
      </c>
      <c r="K73" s="338">
        <f t="shared" si="24"/>
        <v>1</v>
      </c>
      <c r="L73" s="339">
        <f t="shared" si="25"/>
        <v>0</v>
      </c>
      <c r="M73" s="731" t="str">
        <f t="shared" si="4"/>
        <v>0.99999719571484+0.00370996044335049i</v>
      </c>
      <c r="N73" s="338">
        <f t="shared" si="26"/>
        <v>1.000004077613704</v>
      </c>
      <c r="O73" s="339">
        <f t="shared" si="27"/>
        <v>3.7099538261048384E-3</v>
      </c>
      <c r="P73" s="732" t="str">
        <f t="shared" si="19"/>
        <v>2.08409818000982-0.406510598908119i</v>
      </c>
      <c r="Q73" s="337">
        <f t="shared" si="28"/>
        <v>2.1233737520617706</v>
      </c>
      <c r="R73" s="339">
        <f t="shared" si="29"/>
        <v>-0.19263479611931916</v>
      </c>
      <c r="S73" s="731" t="str">
        <f t="shared" si="5"/>
        <v>6000</v>
      </c>
      <c r="T73" s="337" t="str">
        <f t="shared" si="6"/>
        <v>1+1594.05605048354i</v>
      </c>
      <c r="U73" s="346">
        <f t="shared" si="30"/>
        <v>1594.0563641487656</v>
      </c>
      <c r="V73" s="347">
        <f t="shared" si="31"/>
        <v>1.5701689963641281</v>
      </c>
      <c r="W73" s="340" t="str">
        <f t="shared" si="7"/>
        <v>1+15.7827331731044i</v>
      </c>
      <c r="X73" s="337">
        <f t="shared" si="32"/>
        <v>15.814381632343711</v>
      </c>
      <c r="Y73" s="339">
        <f t="shared" si="33"/>
        <v>1.507520528882869</v>
      </c>
      <c r="Z73" s="337" t="str">
        <f t="shared" si="8"/>
        <v>1+0.158986670192583i</v>
      </c>
      <c r="AA73" s="346">
        <f t="shared" si="34"/>
        <v>1.0125595100036962</v>
      </c>
      <c r="AB73" s="347">
        <f t="shared" si="35"/>
        <v>0.15766707020524637</v>
      </c>
      <c r="AC73" s="732" t="str">
        <f t="shared" si="36"/>
        <v>57.3657599336053-12.8471056074688i</v>
      </c>
      <c r="AD73" s="337">
        <f t="shared" si="37"/>
        <v>58.786720739036731</v>
      </c>
      <c r="AE73" s="339">
        <f t="shared" si="38"/>
        <v>-0.220315537686505</v>
      </c>
      <c r="AF73" s="736" t="str">
        <f t="shared" si="9"/>
        <v>114.333391277779-50.0944188423489i</v>
      </c>
      <c r="AG73" s="337">
        <f t="shared" si="39"/>
        <v>41.926113589089205</v>
      </c>
      <c r="AH73" s="730">
        <f t="shared" si="40"/>
        <v>-23.660311275592235</v>
      </c>
      <c r="AI73" s="360">
        <f t="shared" si="10"/>
        <v>156.33968872440778</v>
      </c>
      <c r="AL73" s="337">
        <f t="shared" si="11"/>
        <v>35.385584698028289</v>
      </c>
      <c r="AM73" s="730">
        <f t="shared" si="12"/>
        <v>-12.623150470592169</v>
      </c>
      <c r="AN73" s="351"/>
      <c r="AO73" s="337">
        <f t="shared" si="13"/>
        <v>59.812460089800354</v>
      </c>
      <c r="AP73" s="730">
        <f t="shared" si="14"/>
        <v>-11.037160805000047</v>
      </c>
      <c r="AS73" s="351"/>
      <c r="AT73" s="351"/>
      <c r="AV73" s="405">
        <f t="shared" si="15"/>
        <v>0</v>
      </c>
      <c r="AW73" s="405">
        <f t="shared" si="16"/>
        <v>0</v>
      </c>
      <c r="AX73" s="405">
        <f t="shared" si="17"/>
        <v>0</v>
      </c>
      <c r="AY73" s="405">
        <f t="shared" si="18"/>
        <v>0</v>
      </c>
    </row>
    <row r="74" spans="2:51" ht="13.5" thickBot="1" x14ac:dyDescent="0.25">
      <c r="B74" s="345">
        <v>275.42</v>
      </c>
      <c r="C74" s="728" t="str">
        <f t="shared" si="0"/>
        <v>2.16217503399043</v>
      </c>
      <c r="D74" s="728" t="str">
        <f t="shared" si="1"/>
        <v>1+0.210545979171914i</v>
      </c>
      <c r="E74" s="337">
        <f t="shared" si="20"/>
        <v>1.0219244636202132</v>
      </c>
      <c r="F74" s="338">
        <f t="shared" si="21"/>
        <v>0.20751505522279431</v>
      </c>
      <c r="G74" s="338" t="str">
        <f t="shared" si="2"/>
        <v>1+0.0008652574486517i</v>
      </c>
      <c r="H74" s="337">
        <f t="shared" si="22"/>
        <v>1.0000003743351562</v>
      </c>
      <c r="I74" s="338">
        <f t="shared" si="23"/>
        <v>8.6525723272090182E-4</v>
      </c>
      <c r="J74" s="340">
        <f t="shared" si="3"/>
        <v>1</v>
      </c>
      <c r="K74" s="338">
        <f t="shared" si="24"/>
        <v>1</v>
      </c>
      <c r="L74" s="339">
        <f t="shared" si="25"/>
        <v>0</v>
      </c>
      <c r="M74" s="731" t="str">
        <f t="shared" si="4"/>
        <v>0.999996628614382+0.00406782636772002i</v>
      </c>
      <c r="N74" s="338">
        <f t="shared" si="26"/>
        <v>1.0000049022137281</v>
      </c>
      <c r="O74" s="339">
        <f t="shared" si="27"/>
        <v>4.0678176449125084E-3</v>
      </c>
      <c r="P74" s="732" t="str">
        <f t="shared" si="19"/>
        <v>2.06897920053721-0.442539704641727i</v>
      </c>
      <c r="Q74" s="337">
        <f t="shared" si="28"/>
        <v>2.1157779473375697</v>
      </c>
      <c r="R74" s="339">
        <f t="shared" si="29"/>
        <v>-0.21071761563498584</v>
      </c>
      <c r="S74" s="731" t="str">
        <f t="shared" si="5"/>
        <v>6000</v>
      </c>
      <c r="T74" s="337" t="str">
        <f t="shared" si="6"/>
        <v>1+1747.82004627643i</v>
      </c>
      <c r="U74" s="346">
        <f t="shared" si="30"/>
        <v>1747.8203323470473</v>
      </c>
      <c r="V74" s="347">
        <f t="shared" si="31"/>
        <v>1.5702241855764598</v>
      </c>
      <c r="W74" s="340" t="str">
        <f t="shared" si="7"/>
        <v>1+17.305148973034i</v>
      </c>
      <c r="X74" s="337">
        <f t="shared" si="32"/>
        <v>17.33401802753475</v>
      </c>
      <c r="Y74" s="339">
        <f t="shared" si="33"/>
        <v>1.5130742498532908</v>
      </c>
      <c r="Z74" s="337" t="str">
        <f t="shared" si="8"/>
        <v>1+0.174322658961109i</v>
      </c>
      <c r="AA74" s="346">
        <f t="shared" si="34"/>
        <v>1.0150804842116072</v>
      </c>
      <c r="AB74" s="347">
        <f t="shared" si="35"/>
        <v>0.17258837708626851</v>
      </c>
      <c r="AC74" s="732" t="str">
        <f t="shared" si="36"/>
        <v>57.0807938673665-13.3493337442229i</v>
      </c>
      <c r="AD74" s="337">
        <f t="shared" si="37"/>
        <v>58.621000843924804</v>
      </c>
      <c r="AE74" s="339">
        <f t="shared" si="38"/>
        <v>-0.22973831280943841</v>
      </c>
      <c r="AF74" s="736" t="str">
        <f t="shared" si="9"/>
        <v>112.191365049401-52.8800115166064i</v>
      </c>
      <c r="AG74" s="337">
        <f t="shared" si="39"/>
        <v>41.870466302355595</v>
      </c>
      <c r="AH74" s="730">
        <f t="shared" si="40"/>
        <v>-25.236265761381706</v>
      </c>
      <c r="AI74" s="360">
        <f t="shared" si="10"/>
        <v>154.7637342386183</v>
      </c>
      <c r="AL74" s="337">
        <f t="shared" si="11"/>
        <v>35.361064578630817</v>
      </c>
      <c r="AM74" s="730">
        <f t="shared" si="12"/>
        <v>-13.163035716437118</v>
      </c>
      <c r="AN74" s="351"/>
      <c r="AO74" s="337">
        <f t="shared" si="13"/>
        <v>59.781332922464202</v>
      </c>
      <c r="AP74" s="730">
        <f t="shared" si="14"/>
        <v>-12.073230044944561</v>
      </c>
      <c r="AS74" s="351"/>
      <c r="AT74" s="351"/>
      <c r="AV74" s="405">
        <f t="shared" si="15"/>
        <v>0</v>
      </c>
      <c r="AW74" s="405">
        <f t="shared" si="16"/>
        <v>0</v>
      </c>
      <c r="AX74" s="405">
        <f t="shared" si="17"/>
        <v>0</v>
      </c>
      <c r="AY74" s="405">
        <f t="shared" si="18"/>
        <v>0</v>
      </c>
    </row>
    <row r="75" spans="2:51" ht="13.5" thickBot="1" x14ac:dyDescent="0.25">
      <c r="B75" s="345">
        <v>302</v>
      </c>
      <c r="C75" s="728" t="str">
        <f t="shared" si="0"/>
        <v>2.16217503399043</v>
      </c>
      <c r="D75" s="728" t="str">
        <f t="shared" si="1"/>
        <v>1+0.230865172136801i</v>
      </c>
      <c r="E75" s="337">
        <f t="shared" si="20"/>
        <v>1.0263034286729023</v>
      </c>
      <c r="F75" s="338">
        <f t="shared" si="21"/>
        <v>0.22688993653842254</v>
      </c>
      <c r="G75" s="338" t="str">
        <f t="shared" si="2"/>
        <v>1+0.000948760981384115i</v>
      </c>
      <c r="H75" s="337">
        <f t="shared" si="22"/>
        <v>1.0000004500735986</v>
      </c>
      <c r="I75" s="338">
        <f t="shared" si="23"/>
        <v>9.487606967093586E-4</v>
      </c>
      <c r="J75" s="340">
        <f t="shared" si="3"/>
        <v>1</v>
      </c>
      <c r="K75" s="338">
        <f t="shared" si="24"/>
        <v>1</v>
      </c>
      <c r="L75" s="339">
        <f t="shared" si="25"/>
        <v>0</v>
      </c>
      <c r="M75" s="731" t="str">
        <f t="shared" si="4"/>
        <v>0.999995946488889+0.00446040070819637i</v>
      </c>
      <c r="N75" s="338">
        <f t="shared" si="26"/>
        <v>1.0000058940669732</v>
      </c>
      <c r="O75" s="339">
        <f t="shared" si="27"/>
        <v>4.4603892083967698E-3</v>
      </c>
      <c r="P75" s="732" t="str">
        <f t="shared" si="19"/>
        <v>2.05107723509504-0.481114997503082i</v>
      </c>
      <c r="Q75" s="337">
        <f t="shared" si="28"/>
        <v>2.1067485529002994</v>
      </c>
      <c r="R75" s="339">
        <f t="shared" si="29"/>
        <v>-0.23040156505010967</v>
      </c>
      <c r="S75" s="731" t="str">
        <f t="shared" si="5"/>
        <v>6000</v>
      </c>
      <c r="T75" s="337" t="str">
        <f t="shared" si="6"/>
        <v>1+1916.49718239591i</v>
      </c>
      <c r="U75" s="346">
        <f t="shared" si="30"/>
        <v>1916.4974432885274</v>
      </c>
      <c r="V75" s="347">
        <f t="shared" si="31"/>
        <v>1.5702745415721306</v>
      </c>
      <c r="W75" s="340" t="str">
        <f t="shared" si="7"/>
        <v>1+18.9752196276823i</v>
      </c>
      <c r="X75" s="337">
        <f t="shared" si="32"/>
        <v>19.001551513462779</v>
      </c>
      <c r="Y75" s="339">
        <f t="shared" si="33"/>
        <v>1.5181447219677096</v>
      </c>
      <c r="Z75" s="337" t="str">
        <f t="shared" si="8"/>
        <v>1+0.191146042430669i</v>
      </c>
      <c r="AA75" s="346">
        <f t="shared" si="34"/>
        <v>1.0181045179827595</v>
      </c>
      <c r="AB75" s="347">
        <f t="shared" si="35"/>
        <v>0.18886782544466565</v>
      </c>
      <c r="AC75" s="732" t="str">
        <f t="shared" si="36"/>
        <v>56.7418922747374-13.9457017803741i</v>
      </c>
      <c r="AD75" s="337">
        <f t="shared" si="37"/>
        <v>58.430513749795431</v>
      </c>
      <c r="AE75" s="339">
        <f t="shared" si="38"/>
        <v>-0.2409976450490868</v>
      </c>
      <c r="AF75" s="736" t="str">
        <f t="shared" si="9"/>
        <v>109.672517243686-55.9030868092301i</v>
      </c>
      <c r="AG75" s="337">
        <f t="shared" si="39"/>
        <v>41.805048182788653</v>
      </c>
      <c r="AH75" s="730">
        <f t="shared" si="40"/>
        <v>-27.009185204484641</v>
      </c>
      <c r="AI75" s="360">
        <f t="shared" si="10"/>
        <v>152.99081479551535</v>
      </c>
      <c r="AL75" s="337">
        <f t="shared" si="11"/>
        <v>35.332794097151904</v>
      </c>
      <c r="AM75" s="730">
        <f t="shared" si="12"/>
        <v>-13.808147933904554</v>
      </c>
      <c r="AN75" s="351"/>
      <c r="AO75" s="337">
        <f t="shared" si="13"/>
        <v>59.744185284376144</v>
      </c>
      <c r="AP75" s="730">
        <f t="shared" si="14"/>
        <v>-13.201037270580182</v>
      </c>
      <c r="AS75" s="351"/>
      <c r="AT75" s="351"/>
      <c r="AV75" s="405">
        <f t="shared" si="15"/>
        <v>0</v>
      </c>
      <c r="AW75" s="405">
        <f t="shared" si="16"/>
        <v>0</v>
      </c>
      <c r="AX75" s="405">
        <f t="shared" si="17"/>
        <v>0</v>
      </c>
      <c r="AY75" s="405">
        <f t="shared" si="18"/>
        <v>0</v>
      </c>
    </row>
    <row r="76" spans="2:51" ht="13.5" thickBot="1" x14ac:dyDescent="0.25">
      <c r="B76" s="345">
        <v>331.13</v>
      </c>
      <c r="C76" s="728" t="str">
        <f t="shared" si="0"/>
        <v>2.16217503399043</v>
      </c>
      <c r="D76" s="728" t="str">
        <f t="shared" si="1"/>
        <v>1+0.253133723343243i</v>
      </c>
      <c r="E76" s="337">
        <f t="shared" si="20"/>
        <v>1.0315409259421624</v>
      </c>
      <c r="F76" s="338">
        <f t="shared" si="21"/>
        <v>0.24792586815157011</v>
      </c>
      <c r="G76" s="338" t="str">
        <f t="shared" si="2"/>
        <v>1+0.00104027557538319i</v>
      </c>
      <c r="H76" s="337">
        <f t="shared" si="22"/>
        <v>1.0000005410864901</v>
      </c>
      <c r="I76" s="338">
        <f t="shared" si="23"/>
        <v>1.0402752001306258E-3</v>
      </c>
      <c r="J76" s="340">
        <f t="shared" si="3"/>
        <v>1</v>
      </c>
      <c r="K76" s="338">
        <f t="shared" si="24"/>
        <v>1</v>
      </c>
      <c r="L76" s="339">
        <f t="shared" si="25"/>
        <v>0</v>
      </c>
      <c r="M76" s="731" t="str">
        <f t="shared" si="4"/>
        <v>0.999995126796582+0.00489063737253334i</v>
      </c>
      <c r="N76" s="338">
        <f t="shared" si="26"/>
        <v>1.0000070859503054</v>
      </c>
      <c r="O76" s="339">
        <f t="shared" si="27"/>
        <v>4.8906222137438662E-3</v>
      </c>
      <c r="P76" s="732" t="str">
        <f t="shared" si="19"/>
        <v>2.02996413871118-0.522177429813751i</v>
      </c>
      <c r="Q76" s="337">
        <f t="shared" si="28"/>
        <v>2.0960495396484116</v>
      </c>
      <c r="R76" s="339">
        <f t="shared" si="29"/>
        <v>-0.25177621516518228</v>
      </c>
      <c r="S76" s="731" t="str">
        <f t="shared" si="5"/>
        <v>6000</v>
      </c>
      <c r="T76" s="337" t="str">
        <f t="shared" si="6"/>
        <v>1+2101.35666227404i</v>
      </c>
      <c r="U76" s="346">
        <f t="shared" si="30"/>
        <v>2101.3569002155473</v>
      </c>
      <c r="V76" s="347">
        <f t="shared" si="31"/>
        <v>1.5703204437891867</v>
      </c>
      <c r="W76" s="340" t="str">
        <f t="shared" si="7"/>
        <v>1+20.8055115076638i</v>
      </c>
      <c r="X76" s="337">
        <f t="shared" si="32"/>
        <v>20.829529737743261</v>
      </c>
      <c r="Y76" s="339">
        <f t="shared" si="33"/>
        <v>1.5227691004571362</v>
      </c>
      <c r="Z76" s="337" t="str">
        <f t="shared" si="8"/>
        <v>1+0.20958340738433i</v>
      </c>
      <c r="AA76" s="346">
        <f t="shared" si="34"/>
        <v>1.0217265801822062</v>
      </c>
      <c r="AB76" s="347">
        <f t="shared" si="35"/>
        <v>0.20659316395212393</v>
      </c>
      <c r="AC76" s="732" t="str">
        <f t="shared" si="36"/>
        <v>56.3400401157399-14.6349649095055i</v>
      </c>
      <c r="AD76" s="337">
        <f t="shared" si="37"/>
        <v>58.209812902513598</v>
      </c>
      <c r="AE76" s="339">
        <f t="shared" si="38"/>
        <v>-0.25414450728417592</v>
      </c>
      <c r="AF76" s="736" t="str">
        <f t="shared" si="9"/>
        <v>106.726212646641-59.1279512808334i</v>
      </c>
      <c r="AG76" s="337">
        <f t="shared" si="39"/>
        <v>41.727954925291861</v>
      </c>
      <c r="AH76" s="730">
        <f t="shared" si="40"/>
        <v>-28.987122164557817</v>
      </c>
      <c r="AI76" s="360">
        <f t="shared" si="10"/>
        <v>151.01287783544217</v>
      </c>
      <c r="AL76" s="337">
        <f t="shared" si="11"/>
        <v>35.299924067629753</v>
      </c>
      <c r="AM76" s="730">
        <f t="shared" si="12"/>
        <v>-14.561407653815088</v>
      </c>
      <c r="AN76" s="351"/>
      <c r="AO76" s="337">
        <f t="shared" si="13"/>
        <v>59.699962056401546</v>
      </c>
      <c r="AP76" s="730">
        <f t="shared" si="14"/>
        <v>-14.425714510742655</v>
      </c>
      <c r="AS76" s="351"/>
      <c r="AT76" s="351"/>
      <c r="AV76" s="405">
        <f t="shared" si="15"/>
        <v>0</v>
      </c>
      <c r="AW76" s="405">
        <f t="shared" si="16"/>
        <v>0</v>
      </c>
      <c r="AX76" s="405">
        <f t="shared" si="17"/>
        <v>0</v>
      </c>
      <c r="AY76" s="405">
        <f t="shared" si="18"/>
        <v>0</v>
      </c>
    </row>
    <row r="77" spans="2:51" ht="13.5" thickBot="1" x14ac:dyDescent="0.25">
      <c r="B77" s="345">
        <v>363.08</v>
      </c>
      <c r="C77" s="728" t="str">
        <f t="shared" ref="C77:C140" si="41">COMPLEX(Am*Afb,0)</f>
        <v>2.16217503399043</v>
      </c>
      <c r="D77" s="728" t="str">
        <f t="shared" ref="D77:D140" si="42">IMSUM(COMPLEX(1,0),IMDIV(COMPLEX(0,2*PI()*B77),COMPLEX(2*PI()*PS_Pole1,0)))</f>
        <v>1+0.277558035428576i</v>
      </c>
      <c r="E77" s="337">
        <f t="shared" si="20"/>
        <v>1.0378046362543245</v>
      </c>
      <c r="F77" s="338">
        <f t="shared" si="21"/>
        <v>0.27074283728718485</v>
      </c>
      <c r="G77" s="338" t="str">
        <f t="shared" ref="G77:G140" si="43">IMSUM(COMPLEX(1,0),IMDIV(COMPLEX(0,2*PI()*B77),COMPLEX(2*PI()*PS_Zero1,0)))</f>
        <v>1+0.00114064946066538i</v>
      </c>
      <c r="H77" s="337">
        <f t="shared" si="22"/>
        <v>1.0000006505403845</v>
      </c>
      <c r="I77" s="338">
        <f t="shared" si="23"/>
        <v>1.1406489659732462E-3</v>
      </c>
      <c r="J77" s="340">
        <f t="shared" ref="J77:J140" si="44">IF(VIN_nom&gt;Vout, 1,IMSUB(COMPLEX(1,0),IMDIV(COMPLEX(0,2*PI()*B77),COMPLEX(2*PI()*PS_RHPZ,0))))</f>
        <v>1</v>
      </c>
      <c r="K77" s="338">
        <f t="shared" si="24"/>
        <v>1</v>
      </c>
      <c r="L77" s="339">
        <f t="shared" si="25"/>
        <v>0</v>
      </c>
      <c r="M77" s="731" t="str">
        <f t="shared" ref="M77:M140" si="45">IMSUM(COMPLEX(1,0),IMDIV(COMPLEX(0,2*PI()*B77),COMPLEX(Q*(2*PI()*PS_Pole2/2),0)),IMDIV(IMPOWER(COMPLEX(0,2*PI()*B77),2),IMPOWER(COMPLEX(2*PI()*PS_Pole2/2,0),2)))</f>
        <v>0.999994141018382+0.00536252413619847i</v>
      </c>
      <c r="N77" s="338">
        <f t="shared" si="26"/>
        <v>1.000008519331812</v>
      </c>
      <c r="O77" s="339">
        <f t="shared" si="27"/>
        <v>5.3625041525260453E-3</v>
      </c>
      <c r="P77" s="732" t="str">
        <f t="shared" si="19"/>
        <v>2.00513277368461-0.565669004372797i</v>
      </c>
      <c r="Q77" s="337">
        <f t="shared" si="28"/>
        <v>2.0833959927513175</v>
      </c>
      <c r="R77" s="339">
        <f t="shared" si="29"/>
        <v>-0.27496469247373811</v>
      </c>
      <c r="S77" s="731" t="str">
        <f t="shared" ref="S77:S140" si="46">COMPLEX(AEA,0)</f>
        <v>6000</v>
      </c>
      <c r="T77" s="337" t="str">
        <f t="shared" ref="T77:T140" si="47">IMSUM(COMPLEX(1,0),IMDIV(COMPLEX(0,2*PI()*B77),COMPLEX(2*PI()*EA_Pole1,0)))</f>
        <v>1+2304.11191054407i</v>
      </c>
      <c r="U77" s="346">
        <f t="shared" si="30"/>
        <v>2304.1121275474084</v>
      </c>
      <c r="V77" s="347">
        <f t="shared" si="31"/>
        <v>1.5703623201250658</v>
      </c>
      <c r="W77" s="340" t="str">
        <f t="shared" ref="W77:W140" si="48">IMSUM(COMPLEX(1,0),IMDIV(COMPLEX(0,2*PI()*B77),COMPLEX(2*PI()*EA_Zero1,0)))</f>
        <v>1+22.8129892133076i</v>
      </c>
      <c r="X77" s="337">
        <f t="shared" si="32"/>
        <v>22.834896033187647</v>
      </c>
      <c r="Y77" s="339">
        <f t="shared" si="33"/>
        <v>1.526989693867133</v>
      </c>
      <c r="Z77" s="337" t="str">
        <f t="shared" ref="Z77:Z140" si="49">IMSUM(COMPLEX(1,0),IMDIV(COMPLEX(0,2*PI()*B77),COMPLEX(2*PI()*EA_Pole2,0)))</f>
        <v>1+0.22980564597923i</v>
      </c>
      <c r="AA77" s="346">
        <f t="shared" si="34"/>
        <v>1.0260656094636109</v>
      </c>
      <c r="AB77" s="347">
        <f t="shared" si="35"/>
        <v>0.22588379090934113</v>
      </c>
      <c r="AC77" s="732" t="str">
        <f t="shared" si="36"/>
        <v>55.8643307550038-15.416195737127i</v>
      </c>
      <c r="AD77" s="337">
        <f t="shared" si="37"/>
        <v>57.952416185262507</v>
      </c>
      <c r="AE77" s="339">
        <f t="shared" si="38"/>
        <v>-0.26925641716727344</v>
      </c>
      <c r="AF77" s="736" t="str">
        <f t="shared" ref="AF77:AF140" si="50">IMPRODUCT(P77,AC77)</f>
        <v>103.294936382978-62.5122396761859i</v>
      </c>
      <c r="AG77" s="337">
        <f t="shared" si="39"/>
        <v>41.636867440516163</v>
      </c>
      <c r="AH77" s="730">
        <f t="shared" si="40"/>
        <v>-31.181572704356487</v>
      </c>
      <c r="AI77" s="360">
        <f t="shared" ref="AI77:AI140" si="51">IF(AH77&gt;0,AH77-180,AH77+180)</f>
        <v>148.81842729564352</v>
      </c>
      <c r="AL77" s="337">
        <f t="shared" ref="AL77:AL140" si="52">20*LOG10(IMABS(AC77))</f>
        <v>35.261430950617559</v>
      </c>
      <c r="AM77" s="730">
        <f t="shared" ref="AM77:AM140" si="53">(180/PI())*IMARGUMENT(AC77)</f>
        <v>-15.427256310498613</v>
      </c>
      <c r="AN77" s="351"/>
      <c r="AO77" s="337">
        <f t="shared" ref="AO77:AO140" si="54">20*LOG10(IMABS(IMPRODUCT(COMPLEX(Am/Afb,0),P77)))</f>
        <v>59.64736768863807</v>
      </c>
      <c r="AP77" s="730">
        <f t="shared" ref="AP77:AP140" si="55">180/PI()*IMARGUMENT(IMPRODUCT(COMPLEX(Am/Afb,0),P77))</f>
        <v>-15.754316393857767</v>
      </c>
      <c r="AS77" s="351"/>
      <c r="AT77" s="351"/>
      <c r="AV77" s="405">
        <f t="shared" ref="AV77:AV140" si="56">SUM((AG78&lt;0)*(AG77&gt;0))*B77</f>
        <v>0</v>
      </c>
      <c r="AW77" s="405">
        <f t="shared" ref="AW77:AW89" si="57">IF(AV77&gt;0,AI75,0)</f>
        <v>0</v>
      </c>
      <c r="AX77" s="405">
        <f t="shared" ref="AX77:AX140" si="58">SUM((AL78&lt;0)*(AL77&gt;0))*B77</f>
        <v>0</v>
      </c>
      <c r="AY77" s="405">
        <f t="shared" ref="AY77:AY140" si="59">IF(AX77&gt;0,AM77,0)</f>
        <v>0</v>
      </c>
    </row>
    <row r="78" spans="2:51" ht="13.5" thickBot="1" x14ac:dyDescent="0.25">
      <c r="B78" s="345">
        <v>398.11</v>
      </c>
      <c r="C78" s="728" t="str">
        <f t="shared" si="41"/>
        <v>2.16217503399043</v>
      </c>
      <c r="D78" s="728" t="str">
        <f t="shared" si="42"/>
        <v>1+0.304336866488021i</v>
      </c>
      <c r="E78" s="337">
        <f t="shared" si="20"/>
        <v>1.0452850942703371</v>
      </c>
      <c r="F78" s="338">
        <f t="shared" si="21"/>
        <v>0.29543080661511184</v>
      </c>
      <c r="G78" s="338" t="str">
        <f t="shared" si="43"/>
        <v>1+0.00125069945132064i</v>
      </c>
      <c r="H78" s="337">
        <f t="shared" si="22"/>
        <v>1.0000007821242529</v>
      </c>
      <c r="I78" s="338">
        <f t="shared" si="23"/>
        <v>1.250698799186081E-3</v>
      </c>
      <c r="J78" s="340">
        <f t="shared" si="44"/>
        <v>1</v>
      </c>
      <c r="K78" s="338">
        <f t="shared" si="24"/>
        <v>1</v>
      </c>
      <c r="L78" s="339">
        <f t="shared" si="25"/>
        <v>0</v>
      </c>
      <c r="M78" s="731" t="str">
        <f t="shared" si="45"/>
        <v>0.999992955930129+0.00587990107927173i</v>
      </c>
      <c r="N78" s="338">
        <f t="shared" si="26"/>
        <v>1.0000102425208348</v>
      </c>
      <c r="O78" s="339">
        <f t="shared" si="27"/>
        <v>5.8798747355672748E-3</v>
      </c>
      <c r="P78" s="732" t="str">
        <f t="shared" ref="P78:P141" si="60">(IMDIV(IMPRODUCT(C78,G78,J78),IMPRODUCT(D78,M78)))</f>
        <v>1.97606073763131-0.611397091081802i</v>
      </c>
      <c r="Q78" s="337">
        <f t="shared" si="28"/>
        <v>2.0684831258173912</v>
      </c>
      <c r="R78" s="339">
        <f t="shared" si="29"/>
        <v>-0.30005998255149341</v>
      </c>
      <c r="S78" s="731" t="str">
        <f t="shared" si="46"/>
        <v>6000</v>
      </c>
      <c r="T78" s="337" t="str">
        <f t="shared" si="47"/>
        <v>1+2526.41289166768i</v>
      </c>
      <c r="U78" s="346">
        <f t="shared" si="30"/>
        <v>2526.4130895767321</v>
      </c>
      <c r="V78" s="347">
        <f t="shared" si="31"/>
        <v>1.5704005086960127</v>
      </c>
      <c r="W78" s="340" t="str">
        <f t="shared" si="48"/>
        <v>1+25.0139890264127i</v>
      </c>
      <c r="X78" s="337">
        <f t="shared" si="32"/>
        <v>25.033969861240447</v>
      </c>
      <c r="Y78" s="339">
        <f t="shared" si="33"/>
        <v>1.5308399738817726</v>
      </c>
      <c r="Z78" s="337" t="str">
        <f t="shared" si="49"/>
        <v>1+0.251977321033358i</v>
      </c>
      <c r="AA78" s="346">
        <f t="shared" si="34"/>
        <v>1.0312577613357137</v>
      </c>
      <c r="AB78" s="347">
        <f t="shared" si="35"/>
        <v>0.24683880357774121</v>
      </c>
      <c r="AC78" s="732" t="str">
        <f t="shared" si="36"/>
        <v>55.3030410350911-16.2865065262576i</v>
      </c>
      <c r="AD78" s="337">
        <f t="shared" si="37"/>
        <v>57.651336867056258</v>
      </c>
      <c r="AE78" s="339">
        <f t="shared" si="38"/>
        <v>-0.28639933839198201</v>
      </c>
      <c r="AF78" s="736" t="str">
        <f t="shared" si="50"/>
        <v>99.324645347018-65.995244516546i</v>
      </c>
      <c r="AG78" s="337">
        <f t="shared" si="39"/>
        <v>41.529227298111884</v>
      </c>
      <c r="AH78" s="730">
        <f t="shared" si="40"/>
        <v>-33.601643946169368</v>
      </c>
      <c r="AI78" s="360">
        <f t="shared" si="51"/>
        <v>146.39835605383064</v>
      </c>
      <c r="AL78" s="337">
        <f t="shared" si="52"/>
        <v>35.216187650568862</v>
      </c>
      <c r="AM78" s="730">
        <f t="shared" si="53"/>
        <v>-16.409473345199654</v>
      </c>
      <c r="AN78" s="351"/>
      <c r="AO78" s="337">
        <f t="shared" si="54"/>
        <v>59.584970846282452</v>
      </c>
      <c r="AP78" s="730">
        <f t="shared" si="55"/>
        <v>-17.192170600969671</v>
      </c>
      <c r="AS78" s="351"/>
      <c r="AT78" s="351"/>
      <c r="AV78" s="405">
        <f t="shared" si="56"/>
        <v>0</v>
      </c>
      <c r="AW78" s="405">
        <f t="shared" si="57"/>
        <v>0</v>
      </c>
      <c r="AX78" s="405">
        <f t="shared" si="58"/>
        <v>0</v>
      </c>
      <c r="AY78" s="405">
        <f t="shared" si="59"/>
        <v>0</v>
      </c>
    </row>
    <row r="79" spans="2:51" ht="13.5" thickBot="1" x14ac:dyDescent="0.25">
      <c r="B79" s="345">
        <v>436.52</v>
      </c>
      <c r="C79" s="728" t="str">
        <f t="shared" si="41"/>
        <v>2.16217503399043</v>
      </c>
      <c r="D79" s="728" t="str">
        <f t="shared" si="42"/>
        <v>1+0.333699552785287i</v>
      </c>
      <c r="E79" s="337">
        <f t="shared" si="20"/>
        <v>1.0542084193977492</v>
      </c>
      <c r="F79" s="338">
        <f t="shared" si="21"/>
        <v>0.32208011568394168</v>
      </c>
      <c r="G79" s="338" t="str">
        <f t="shared" si="43"/>
        <v>1+0.00137136802514501i</v>
      </c>
      <c r="H79" s="337">
        <f t="shared" si="22"/>
        <v>1.0000009403246881</v>
      </c>
      <c r="I79" s="338">
        <f t="shared" si="23"/>
        <v>1.3713671654581022E-3</v>
      </c>
      <c r="J79" s="340">
        <f t="shared" si="44"/>
        <v>1</v>
      </c>
      <c r="K79" s="338">
        <f t="shared" si="24"/>
        <v>1</v>
      </c>
      <c r="L79" s="339">
        <f t="shared" si="25"/>
        <v>0</v>
      </c>
      <c r="M79" s="731" t="str">
        <f t="shared" si="45"/>
        <v>0.999991531123982+0.00644719906338371i</v>
      </c>
      <c r="N79" s="338">
        <f t="shared" si="26"/>
        <v>1.0000123142719037</v>
      </c>
      <c r="O79" s="339">
        <f t="shared" si="27"/>
        <v>6.4471643354343123E-3</v>
      </c>
      <c r="P79" s="732" t="str">
        <f t="shared" si="60"/>
        <v>1.94218734174483-0.659081637334678i</v>
      </c>
      <c r="Q79" s="337">
        <f t="shared" si="28"/>
        <v>2.0509705690491051</v>
      </c>
      <c r="R79" s="339">
        <f t="shared" si="29"/>
        <v>-0.32715591285391776</v>
      </c>
      <c r="S79" s="731" t="str">
        <f t="shared" si="46"/>
        <v>6000</v>
      </c>
      <c r="T79" s="337" t="str">
        <f t="shared" si="47"/>
        <v>1+2770.16341079293i</v>
      </c>
      <c r="U79" s="346">
        <f t="shared" si="30"/>
        <v>2770.1635912876909</v>
      </c>
      <c r="V79" s="347">
        <f t="shared" si="31"/>
        <v>1.5704353372761317</v>
      </c>
      <c r="W79" s="340" t="str">
        <f t="shared" si="48"/>
        <v>1+27.4273605029003i</v>
      </c>
      <c r="X79" s="337">
        <f t="shared" si="32"/>
        <v>27.44558442001291</v>
      </c>
      <c r="Y79" s="339">
        <f t="shared" si="33"/>
        <v>1.5343525266766165</v>
      </c>
      <c r="Z79" s="337" t="str">
        <f t="shared" si="49"/>
        <v>1+0.276288312721311i</v>
      </c>
      <c r="AA79" s="346">
        <f t="shared" si="34"/>
        <v>1.0374657737710622</v>
      </c>
      <c r="AB79" s="347">
        <f t="shared" si="35"/>
        <v>0.26956355003912708</v>
      </c>
      <c r="AC79" s="732" t="str">
        <f t="shared" si="36"/>
        <v>54.6430284180772-17.2417221279915i</v>
      </c>
      <c r="AD79" s="337">
        <f t="shared" si="37"/>
        <v>57.298669588723122</v>
      </c>
      <c r="AE79" s="339">
        <f t="shared" si="38"/>
        <v>-0.30564636063864242</v>
      </c>
      <c r="AF79" s="736" t="str">
        <f t="shared" si="50"/>
        <v>94.7632956576064-69.5008711055785i</v>
      </c>
      <c r="AG79" s="337">
        <f t="shared" si="39"/>
        <v>41.40207933277226</v>
      </c>
      <c r="AH79" s="730">
        <f t="shared" si="40"/>
        <v>-36.256899537406944</v>
      </c>
      <c r="AI79" s="360">
        <f t="shared" si="51"/>
        <v>143.74310046259305</v>
      </c>
      <c r="AL79" s="337">
        <f t="shared" si="52"/>
        <v>35.162890765007838</v>
      </c>
      <c r="AM79" s="730">
        <f t="shared" si="53"/>
        <v>-17.512246488127701</v>
      </c>
      <c r="AN79" s="351"/>
      <c r="AO79" s="337">
        <f t="shared" si="54"/>
        <v>59.511119766503853</v>
      </c>
      <c r="AP79" s="730">
        <f t="shared" si="55"/>
        <v>-18.744653049279279</v>
      </c>
      <c r="AS79" s="351"/>
      <c r="AT79" s="351"/>
      <c r="AV79" s="405">
        <f t="shared" si="56"/>
        <v>0</v>
      </c>
      <c r="AW79" s="405">
        <f t="shared" si="57"/>
        <v>0</v>
      </c>
      <c r="AX79" s="405">
        <f t="shared" si="58"/>
        <v>0</v>
      </c>
      <c r="AY79" s="405">
        <f t="shared" si="59"/>
        <v>0</v>
      </c>
    </row>
    <row r="80" spans="2:51" ht="13.5" thickBot="1" x14ac:dyDescent="0.25">
      <c r="B80" s="345">
        <v>478.63</v>
      </c>
      <c r="C80" s="728" t="str">
        <f t="shared" si="41"/>
        <v>2.16217503399043</v>
      </c>
      <c r="D80" s="728" t="str">
        <f t="shared" si="42"/>
        <v>1+0.365890719668337i</v>
      </c>
      <c r="E80" s="337">
        <f t="shared" si="20"/>
        <v>1.0648361464278968</v>
      </c>
      <c r="F80" s="338">
        <f t="shared" si="21"/>
        <v>0.35076063398663976</v>
      </c>
      <c r="G80" s="338" t="str">
        <f t="shared" si="43"/>
        <v>1+0.00150366049178768i</v>
      </c>
      <c r="H80" s="337">
        <f t="shared" si="22"/>
        <v>1.0000011304967984</v>
      </c>
      <c r="I80" s="338">
        <f t="shared" si="23"/>
        <v>1.5036593585329957E-3</v>
      </c>
      <c r="J80" s="340">
        <f t="shared" si="44"/>
        <v>1</v>
      </c>
      <c r="K80" s="338">
        <f t="shared" si="24"/>
        <v>1</v>
      </c>
      <c r="L80" s="339">
        <f t="shared" si="25"/>
        <v>0</v>
      </c>
      <c r="M80" s="731" t="str">
        <f t="shared" si="45"/>
        <v>0.999989818369916+0.00706914434094052i</v>
      </c>
      <c r="N80" s="338">
        <f t="shared" si="26"/>
        <v>1.0000148047130155</v>
      </c>
      <c r="O80" s="339">
        <f t="shared" si="27"/>
        <v>7.0690985620371297E-3</v>
      </c>
      <c r="P80" s="732" t="str">
        <f t="shared" si="60"/>
        <v>1.90294979471891-0.708304896915834i</v>
      </c>
      <c r="Q80" s="337">
        <f t="shared" si="28"/>
        <v>2.0304959365178972</v>
      </c>
      <c r="R80" s="339">
        <f t="shared" si="29"/>
        <v>-0.35632607319014503</v>
      </c>
      <c r="S80" s="731" t="str">
        <f t="shared" si="46"/>
        <v>6000</v>
      </c>
      <c r="T80" s="337" t="str">
        <f t="shared" si="47"/>
        <v>1+3037.39419341112i</v>
      </c>
      <c r="U80" s="346">
        <f t="shared" si="30"/>
        <v>3037.3943580259033</v>
      </c>
      <c r="V80" s="347">
        <f t="shared" si="31"/>
        <v>1.5704670972315957</v>
      </c>
      <c r="W80" s="340" t="str">
        <f t="shared" si="48"/>
        <v>1+30.0732098357537i</v>
      </c>
      <c r="X80" s="337">
        <f t="shared" si="32"/>
        <v>30.089831335939277</v>
      </c>
      <c r="Y80" s="339">
        <f t="shared" si="33"/>
        <v>1.5375563873115801</v>
      </c>
      <c r="Z80" s="337" t="str">
        <f t="shared" si="49"/>
        <v>1+0.302941159895999i</v>
      </c>
      <c r="AA80" s="346">
        <f t="shared" si="34"/>
        <v>1.0448795846216603</v>
      </c>
      <c r="AB80" s="347">
        <f t="shared" si="35"/>
        <v>0.29415291727696169</v>
      </c>
      <c r="AC80" s="732" t="str">
        <f t="shared" si="36"/>
        <v>53.8702347086465-18.2753304331027i</v>
      </c>
      <c r="AD80" s="337">
        <f t="shared" si="37"/>
        <v>56.885761751107374</v>
      </c>
      <c r="AE80" s="339">
        <f t="shared" si="38"/>
        <v>-0.32706362719697707</v>
      </c>
      <c r="AF80" s="736" t="str">
        <f t="shared" si="50"/>
        <v>89.5678460417568-72.9335873382327i</v>
      </c>
      <c r="AG80" s="337">
        <f t="shared" si="39"/>
        <v>41.252114055145547</v>
      </c>
      <c r="AH80" s="730">
        <f t="shared" si="40"/>
        <v>-39.155345594891941</v>
      </c>
      <c r="AI80" s="360">
        <f t="shared" si="51"/>
        <v>140.84465440510806</v>
      </c>
      <c r="AL80" s="337">
        <f t="shared" si="52"/>
        <v>35.100071561038803</v>
      </c>
      <c r="AM80" s="730">
        <f t="shared" si="53"/>
        <v>-18.739365470626954</v>
      </c>
      <c r="AN80" s="351"/>
      <c r="AO80" s="337">
        <f t="shared" si="54"/>
        <v>59.423973692846161</v>
      </c>
      <c r="AP80" s="730">
        <f t="shared" si="55"/>
        <v>-20.415980124264987</v>
      </c>
      <c r="AS80" s="351"/>
      <c r="AT80" s="351"/>
      <c r="AV80" s="405">
        <f t="shared" si="56"/>
        <v>0</v>
      </c>
      <c r="AW80" s="405">
        <f t="shared" si="57"/>
        <v>0</v>
      </c>
      <c r="AX80" s="405">
        <f t="shared" si="58"/>
        <v>0</v>
      </c>
      <c r="AY80" s="405">
        <f t="shared" si="59"/>
        <v>0</v>
      </c>
    </row>
    <row r="81" spans="2:51" ht="13.5" thickBot="1" x14ac:dyDescent="0.25">
      <c r="B81" s="345">
        <v>524.80999999999995</v>
      </c>
      <c r="C81" s="728" t="str">
        <f t="shared" si="41"/>
        <v>2.16217503399043</v>
      </c>
      <c r="D81" s="728" t="str">
        <f t="shared" si="42"/>
        <v>1+0.401193215195745i</v>
      </c>
      <c r="E81" s="337">
        <f t="shared" ref="E81:E144" si="61">IMABS(D81)</f>
        <v>1.0774766799885274</v>
      </c>
      <c r="F81" s="338">
        <f t="shared" ref="F81:F144" si="62">IMARGUMENT(D81)</f>
        <v>0.38153458747853386</v>
      </c>
      <c r="G81" s="338" t="str">
        <f t="shared" si="43"/>
        <v>1+0.00164873924053046i</v>
      </c>
      <c r="H81" s="337">
        <f t="shared" ref="H81:H144" si="63">IMABS(G81)</f>
        <v>1.000001359169618</v>
      </c>
      <c r="I81" s="338">
        <f t="shared" ref="I81:I144" si="64">IMARGUMENT(G81)</f>
        <v>1.6487377465876922E-3</v>
      </c>
      <c r="J81" s="340">
        <f t="shared" si="44"/>
        <v>1</v>
      </c>
      <c r="K81" s="338">
        <f t="shared" ref="K81:K144" si="65">IMABS(J81)</f>
        <v>1</v>
      </c>
      <c r="L81" s="339">
        <f t="shared" ref="L81:L144" si="66">IMARGUMENT(J81)</f>
        <v>0</v>
      </c>
      <c r="M81" s="731" t="str">
        <f t="shared" si="45"/>
        <v>0.999987758865062+0.00775120164128656i</v>
      </c>
      <c r="N81" s="338">
        <f t="shared" ref="N81:N144" si="67">IMABS(M81)</f>
        <v>1.0000177993450181</v>
      </c>
      <c r="O81" s="339">
        <f t="shared" ref="O81:O144" si="68">IMARGUMENT(M81)</f>
        <v>7.7511412922053975E-3</v>
      </c>
      <c r="P81" s="732" t="str">
        <f t="shared" si="60"/>
        <v>1.85778429818757-0.758524621517589i</v>
      </c>
      <c r="Q81" s="337">
        <f t="shared" ref="Q81:Q144" si="69">IMABS(P81)</f>
        <v>2.0066694047701739</v>
      </c>
      <c r="R81" s="339">
        <f t="shared" ref="R81:R144" si="70">IMARGUMENT(P81)</f>
        <v>-0.38763699102415083</v>
      </c>
      <c r="S81" s="731" t="str">
        <f t="shared" si="46"/>
        <v>6000</v>
      </c>
      <c r="T81" s="337" t="str">
        <f t="shared" si="47"/>
        <v>1+3330.45326587153i</v>
      </c>
      <c r="U81" s="346">
        <f t="shared" ref="U81:U144" si="71">IMABS(T81)</f>
        <v>3330.4534160012417</v>
      </c>
      <c r="V81" s="347">
        <f t="shared" ref="V81:V144" si="72">IMARGUMENT(T81)</f>
        <v>1.5704960673736954</v>
      </c>
      <c r="W81" s="340" t="str">
        <f t="shared" si="48"/>
        <v>1+32.9747848106092i</v>
      </c>
      <c r="X81" s="337">
        <f t="shared" ref="X81:X144" si="73">IMABS(W81)</f>
        <v>32.989944427142994</v>
      </c>
      <c r="Y81" s="339">
        <f t="shared" ref="Y81:Y144" si="74">IMARGUMENT(W81)</f>
        <v>1.5404794160015729</v>
      </c>
      <c r="Z81" s="337" t="str">
        <f t="shared" si="49"/>
        <v>1+0.332170048106092i</v>
      </c>
      <c r="AA81" s="346">
        <f t="shared" ref="AA81:AA144" si="75">IMABS(Z81)</f>
        <v>1.0537252682074221</v>
      </c>
      <c r="AB81" s="347">
        <f t="shared" ref="AB81:AB144" si="76">IMARGUMENT(Z81)</f>
        <v>0.32070323257472028</v>
      </c>
      <c r="AC81" s="732" t="str">
        <f t="shared" ref="AC81:AC144" si="77">IMPRODUCT(S81,IMDIV(W81,IMPRODUCT(T81,Z81)))</f>
        <v>52.9694869250772-19.3785962467178i</v>
      </c>
      <c r="AD81" s="337">
        <f t="shared" ref="AD81:AD144" si="78">IMABS(AC81)</f>
        <v>56.402983410447625</v>
      </c>
      <c r="AE81" s="339">
        <f t="shared" ref="AE81:AE144" si="79">IMARGUMENT(AC81)</f>
        <v>-0.35071988394684217</v>
      </c>
      <c r="AF81" s="736" t="str">
        <f t="shared" si="50"/>
        <v>83.7067387088764-76.179911849894i</v>
      </c>
      <c r="AG81" s="337">
        <f t="shared" ref="AG81:AG144" si="80">20*LOG10(IMABS(AF81))</f>
        <v>41.075558110726348</v>
      </c>
      <c r="AH81" s="730">
        <f t="shared" ref="AH81:AH144" si="81">(180/PI())*IMARGUMENT(AF81)</f>
        <v>-42.304732710306524</v>
      </c>
      <c r="AI81" s="360">
        <f t="shared" si="51"/>
        <v>137.69526728969348</v>
      </c>
      <c r="AL81" s="337">
        <f t="shared" si="52"/>
        <v>35.02604152804517</v>
      </c>
      <c r="AM81" s="730">
        <f t="shared" si="53"/>
        <v>-20.094769141472089</v>
      </c>
      <c r="AN81" s="351"/>
      <c r="AO81" s="337">
        <f t="shared" si="54"/>
        <v>59.321447781420609</v>
      </c>
      <c r="AP81" s="730">
        <f t="shared" si="55"/>
        <v>-22.209963568834418</v>
      </c>
      <c r="AS81" s="351"/>
      <c r="AT81" s="351"/>
      <c r="AV81" s="405">
        <f t="shared" si="56"/>
        <v>0</v>
      </c>
      <c r="AW81" s="405">
        <f t="shared" si="57"/>
        <v>0</v>
      </c>
      <c r="AX81" s="405">
        <f t="shared" si="58"/>
        <v>0</v>
      </c>
      <c r="AY81" s="405">
        <f t="shared" si="59"/>
        <v>0</v>
      </c>
    </row>
    <row r="82" spans="2:51" ht="13.5" thickBot="1" x14ac:dyDescent="0.25">
      <c r="B82" s="345">
        <v>575.44000000000005</v>
      </c>
      <c r="C82" s="728" t="str">
        <f t="shared" si="41"/>
        <v>2.16217503399043</v>
      </c>
      <c r="D82" s="728" t="str">
        <f t="shared" si="42"/>
        <v>1+0.439897531968216i</v>
      </c>
      <c r="E82" s="337">
        <f t="shared" si="61"/>
        <v>1.092478758892697</v>
      </c>
      <c r="F82" s="338">
        <f t="shared" si="62"/>
        <v>0.41442102346027992</v>
      </c>
      <c r="G82" s="338" t="str">
        <f t="shared" si="43"/>
        <v>1+0.00180779807658171i</v>
      </c>
      <c r="H82" s="337">
        <f t="shared" si="63"/>
        <v>1.0000016340656077</v>
      </c>
      <c r="I82" s="338">
        <f t="shared" si="64"/>
        <v>1.8077961072101875E-3</v>
      </c>
      <c r="J82" s="340">
        <f t="shared" si="44"/>
        <v>1</v>
      </c>
      <c r="K82" s="338">
        <f t="shared" si="65"/>
        <v>1</v>
      </c>
      <c r="L82" s="339">
        <f t="shared" si="66"/>
        <v>0</v>
      </c>
      <c r="M82" s="731" t="str">
        <f t="shared" si="45"/>
        <v>0.999985283058062+0.00849898338915405i</v>
      </c>
      <c r="N82" s="338">
        <f t="shared" si="67"/>
        <v>1.0000213992967157</v>
      </c>
      <c r="O82" s="339">
        <f t="shared" si="68"/>
        <v>8.4989038349818739E-3</v>
      </c>
      <c r="P82" s="732" t="str">
        <f t="shared" si="60"/>
        <v>1.80620205425189-0.809010778085373i</v>
      </c>
      <c r="Q82" s="337">
        <f t="shared" si="69"/>
        <v>1.979106945023954</v>
      </c>
      <c r="R82" s="339">
        <f t="shared" si="70"/>
        <v>-0.42111213118805141</v>
      </c>
      <c r="S82" s="731" t="str">
        <f t="shared" si="46"/>
        <v>6000</v>
      </c>
      <c r="T82" s="337" t="str">
        <f t="shared" si="47"/>
        <v>1+3651.75211469505i</v>
      </c>
      <c r="U82" s="346">
        <f t="shared" si="71"/>
        <v>3651.7522516156223</v>
      </c>
      <c r="V82" s="347">
        <f t="shared" si="72"/>
        <v>1.5705224856513591</v>
      </c>
      <c r="W82" s="340" t="str">
        <f t="shared" si="48"/>
        <v>1+36.1559615316342i</v>
      </c>
      <c r="X82" s="337">
        <f t="shared" si="73"/>
        <v>36.169787866077009</v>
      </c>
      <c r="Y82" s="339">
        <f t="shared" si="74"/>
        <v>1.5431454198045957</v>
      </c>
      <c r="Z82" s="337" t="str">
        <f t="shared" si="49"/>
        <v>1+0.364215492239419i</v>
      </c>
      <c r="AA82" s="346">
        <f t="shared" si="75"/>
        <v>1.0642616805970242</v>
      </c>
      <c r="AB82" s="347">
        <f t="shared" si="76"/>
        <v>0.34928240156633122</v>
      </c>
      <c r="AC82" s="732" t="str">
        <f t="shared" si="77"/>
        <v>51.9257812130095-20.5389529536056i</v>
      </c>
      <c r="AD82" s="337">
        <f t="shared" si="78"/>
        <v>55.840266322894216</v>
      </c>
      <c r="AE82" s="339">
        <f t="shared" si="79"/>
        <v>-0.37665946741309464</v>
      </c>
      <c r="AF82" s="736" t="str">
        <f t="shared" si="50"/>
        <v>77.1722183855166-79.106015678813i</v>
      </c>
      <c r="AG82" s="337">
        <f t="shared" si="80"/>
        <v>40.868334874947394</v>
      </c>
      <c r="AH82" s="730">
        <f t="shared" si="81"/>
        <v>-45.708945615250478</v>
      </c>
      <c r="AI82" s="360">
        <f t="shared" si="51"/>
        <v>134.29105438474951</v>
      </c>
      <c r="AL82" s="337">
        <f t="shared" si="52"/>
        <v>34.938949618622843</v>
      </c>
      <c r="AM82" s="730">
        <f t="shared" si="53"/>
        <v>-21.580997796415687</v>
      </c>
      <c r="AN82" s="351"/>
      <c r="AO82" s="337">
        <f t="shared" si="54"/>
        <v>59.201316455063989</v>
      </c>
      <c r="AP82" s="730">
        <f t="shared" si="55"/>
        <v>-24.127947818834805</v>
      </c>
      <c r="AS82" s="351"/>
      <c r="AT82" s="351"/>
      <c r="AV82" s="405">
        <f t="shared" si="56"/>
        <v>0</v>
      </c>
      <c r="AW82" s="405">
        <f t="shared" si="57"/>
        <v>0</v>
      </c>
      <c r="AX82" s="405">
        <f t="shared" si="58"/>
        <v>0</v>
      </c>
      <c r="AY82" s="405">
        <f t="shared" si="59"/>
        <v>0</v>
      </c>
    </row>
    <row r="83" spans="2:51" ht="13.5" thickBot="1" x14ac:dyDescent="0.25">
      <c r="B83" s="345">
        <v>630.96</v>
      </c>
      <c r="C83" s="728" t="str">
        <f t="shared" si="41"/>
        <v>2.16217503399043</v>
      </c>
      <c r="D83" s="728" t="str">
        <f t="shared" si="42"/>
        <v>1+0.482340029839194i</v>
      </c>
      <c r="E83" s="337">
        <f t="shared" si="61"/>
        <v>1.1102485777452158</v>
      </c>
      <c r="F83" s="338">
        <f t="shared" si="62"/>
        <v>0.44942008308515907</v>
      </c>
      <c r="G83" s="338" t="str">
        <f t="shared" si="43"/>
        <v>1+0.00198221930070901i</v>
      </c>
      <c r="H83" s="337">
        <f t="shared" si="63"/>
        <v>1.0000019645947482</v>
      </c>
      <c r="I83" s="338">
        <f t="shared" si="64"/>
        <v>1.9822167045408282E-3</v>
      </c>
      <c r="J83" s="340">
        <f t="shared" si="44"/>
        <v>1</v>
      </c>
      <c r="K83" s="338">
        <f t="shared" si="65"/>
        <v>1</v>
      </c>
      <c r="L83" s="339">
        <f t="shared" si="66"/>
        <v>0</v>
      </c>
      <c r="M83" s="731" t="str">
        <f t="shared" si="45"/>
        <v>0.99998230619904+0.00931898818160128i</v>
      </c>
      <c r="N83" s="338">
        <f t="shared" si="67"/>
        <v>1.00002572779498</v>
      </c>
      <c r="O83" s="339">
        <f t="shared" si="68"/>
        <v>9.318883307934402E-3</v>
      </c>
      <c r="P83" s="732" t="str">
        <f t="shared" si="60"/>
        <v>1.74778805955458-0.858890782904614i</v>
      </c>
      <c r="Q83" s="337">
        <f t="shared" si="69"/>
        <v>1.9474230352134756</v>
      </c>
      <c r="R83" s="339">
        <f t="shared" si="70"/>
        <v>-0.45675674968855173</v>
      </c>
      <c r="S83" s="731" t="str">
        <f t="shared" si="46"/>
        <v>6000</v>
      </c>
      <c r="T83" s="337" t="str">
        <f t="shared" si="47"/>
        <v>1+4004.08298743221i</v>
      </c>
      <c r="U83" s="346">
        <f t="shared" si="71"/>
        <v>4004.0831123047446</v>
      </c>
      <c r="V83" s="347">
        <f t="shared" si="72"/>
        <v>1.5705465817265882</v>
      </c>
      <c r="W83" s="340" t="str">
        <f t="shared" si="48"/>
        <v>1+39.6443860141803i</v>
      </c>
      <c r="X83" s="337">
        <f t="shared" si="73"/>
        <v>39.656996134873033</v>
      </c>
      <c r="Y83" s="339">
        <f t="shared" si="74"/>
        <v>1.5455774220820091</v>
      </c>
      <c r="Z83" s="337" t="str">
        <f t="shared" si="49"/>
        <v>1+0.399355983218726i</v>
      </c>
      <c r="AA83" s="346">
        <f t="shared" si="75"/>
        <v>1.0767939456240434</v>
      </c>
      <c r="AB83" s="347">
        <f t="shared" si="76"/>
        <v>0.37995106696866127</v>
      </c>
      <c r="AC83" s="732" t="str">
        <f t="shared" si="77"/>
        <v>50.7240738725774-21.7405964017097i</v>
      </c>
      <c r="AD83" s="337">
        <f t="shared" si="78"/>
        <v>55.186820909821591</v>
      </c>
      <c r="AE83" s="339">
        <f t="shared" si="79"/>
        <v>-0.40492022661323973</v>
      </c>
      <c r="AF83" s="736" t="str">
        <f t="shared" si="50"/>
        <v>69.9821327821776-81.564394319033i</v>
      </c>
      <c r="AG83" s="337">
        <f t="shared" si="80"/>
        <v>40.625913592240217</v>
      </c>
      <c r="AH83" s="730">
        <f t="shared" si="81"/>
        <v>-49.370454045686898</v>
      </c>
      <c r="AI83" s="360">
        <f t="shared" si="51"/>
        <v>130.6295459543131</v>
      </c>
      <c r="AL83" s="337">
        <f t="shared" si="52"/>
        <v>34.836707536645605</v>
      </c>
      <c r="AM83" s="730">
        <f t="shared" si="53"/>
        <v>-23.200220024419512</v>
      </c>
      <c r="AN83" s="351"/>
      <c r="AO83" s="337">
        <f t="shared" si="54"/>
        <v>59.061137254334035</v>
      </c>
      <c r="AP83" s="730">
        <f t="shared" si="55"/>
        <v>-26.170234021267355</v>
      </c>
      <c r="AS83" s="351"/>
      <c r="AT83" s="351"/>
      <c r="AV83" s="405">
        <f t="shared" si="56"/>
        <v>0</v>
      </c>
      <c r="AW83" s="405">
        <f t="shared" si="57"/>
        <v>0</v>
      </c>
      <c r="AX83" s="405">
        <f t="shared" si="58"/>
        <v>0</v>
      </c>
      <c r="AY83" s="405">
        <f t="shared" si="59"/>
        <v>0</v>
      </c>
    </row>
    <row r="84" spans="2:51" ht="13.5" thickBot="1" x14ac:dyDescent="0.25">
      <c r="B84" s="345">
        <v>691.83</v>
      </c>
      <c r="C84" s="728" t="str">
        <f t="shared" si="41"/>
        <v>2.16217503399043</v>
      </c>
      <c r="D84" s="728" t="str">
        <f t="shared" si="42"/>
        <v>1+0.528872357746369i</v>
      </c>
      <c r="E84" s="337">
        <f t="shared" si="61"/>
        <v>1.1312408986543065</v>
      </c>
      <c r="F84" s="338">
        <f t="shared" si="62"/>
        <v>0.48647781726774547</v>
      </c>
      <c r="G84" s="338" t="str">
        <f t="shared" si="43"/>
        <v>1+0.00217344804553302i</v>
      </c>
      <c r="H84" s="337">
        <f t="shared" si="63"/>
        <v>1.0000023619354139</v>
      </c>
      <c r="I84" s="338">
        <f t="shared" si="64"/>
        <v>2.1734446231760724E-3</v>
      </c>
      <c r="J84" s="340">
        <f t="shared" si="44"/>
        <v>1</v>
      </c>
      <c r="K84" s="338">
        <f t="shared" si="65"/>
        <v>1</v>
      </c>
      <c r="L84" s="339">
        <f t="shared" si="66"/>
        <v>0</v>
      </c>
      <c r="M84" s="731" t="str">
        <f t="shared" si="45"/>
        <v>0.99997872761116+0.0102180100064619i</v>
      </c>
      <c r="N84" s="338">
        <f t="shared" si="67"/>
        <v>1.0000309312232931</v>
      </c>
      <c r="O84" s="339">
        <f t="shared" si="68"/>
        <v>1.0217871759079107E-2</v>
      </c>
      <c r="P84" s="732" t="str">
        <f t="shared" si="60"/>
        <v>1.68229640048291-0.907112838773614i</v>
      </c>
      <c r="Q84" s="337">
        <f t="shared" si="69"/>
        <v>1.9112757209114755</v>
      </c>
      <c r="R84" s="339">
        <f t="shared" si="70"/>
        <v>-0.49452224440364845</v>
      </c>
      <c r="S84" s="731" t="str">
        <f t="shared" si="46"/>
        <v>6000</v>
      </c>
      <c r="T84" s="337" t="str">
        <f t="shared" si="47"/>
        <v>1+4390.36505197671i</v>
      </c>
      <c r="U84" s="346">
        <f t="shared" si="71"/>
        <v>4390.365165862454</v>
      </c>
      <c r="V84" s="347">
        <f t="shared" si="72"/>
        <v>1.5705685553064515</v>
      </c>
      <c r="W84" s="340" t="str">
        <f t="shared" si="48"/>
        <v>1+43.4689609106605i</v>
      </c>
      <c r="X84" s="337">
        <f t="shared" si="73"/>
        <v>43.480461849577104</v>
      </c>
      <c r="Y84" s="339">
        <f t="shared" si="74"/>
        <v>1.5477954630462274</v>
      </c>
      <c r="Z84" s="337" t="str">
        <f t="shared" si="49"/>
        <v>1+0.437882670645067i</v>
      </c>
      <c r="AA84" s="346">
        <f t="shared" si="75"/>
        <v>1.091669012682533</v>
      </c>
      <c r="AB84" s="347">
        <f t="shared" si="76"/>
        <v>0.412731588868477</v>
      </c>
      <c r="AC84" s="732" t="str">
        <f t="shared" si="77"/>
        <v>49.351108299517-22.9630930058473i</v>
      </c>
      <c r="AD84" s="337">
        <f t="shared" si="78"/>
        <v>54.431934843305442</v>
      </c>
      <c r="AE84" s="339">
        <f t="shared" si="79"/>
        <v>-0.43550468112870128</v>
      </c>
      <c r="AF84" s="736" t="str">
        <f t="shared" si="50"/>
        <v>62.193075368563-83.3977526538901i</v>
      </c>
      <c r="AG84" s="337">
        <f t="shared" si="80"/>
        <v>40.343542300562873</v>
      </c>
      <c r="AH84" s="730">
        <f t="shared" si="81"/>
        <v>-53.286617666531349</v>
      </c>
      <c r="AI84" s="360">
        <f t="shared" si="51"/>
        <v>126.71338233346864</v>
      </c>
      <c r="AL84" s="337">
        <f t="shared" si="52"/>
        <v>34.717075441379571</v>
      </c>
      <c r="AM84" s="730">
        <f t="shared" si="53"/>
        <v>-24.952580186865291</v>
      </c>
      <c r="AN84" s="351"/>
      <c r="AO84" s="337">
        <f t="shared" si="54"/>
        <v>58.898398057922741</v>
      </c>
      <c r="AP84" s="730">
        <f t="shared" si="55"/>
        <v>-28.334037479666087</v>
      </c>
      <c r="AS84" s="351"/>
      <c r="AT84" s="351"/>
      <c r="AV84" s="405">
        <f t="shared" si="56"/>
        <v>0</v>
      </c>
      <c r="AW84" s="405">
        <f t="shared" si="57"/>
        <v>0</v>
      </c>
      <c r="AX84" s="405">
        <f t="shared" si="58"/>
        <v>0</v>
      </c>
      <c r="AY84" s="405">
        <f t="shared" si="59"/>
        <v>0</v>
      </c>
    </row>
    <row r="85" spans="2:51" ht="13.5" thickBot="1" x14ac:dyDescent="0.25">
      <c r="B85" s="345">
        <v>758.58</v>
      </c>
      <c r="C85" s="728" t="str">
        <f t="shared" si="41"/>
        <v>2.16217503399043</v>
      </c>
      <c r="D85" s="728" t="str">
        <f t="shared" si="42"/>
        <v>1+0.579899676422302i</v>
      </c>
      <c r="E85" s="337">
        <f t="shared" si="61"/>
        <v>1.1559773504332558</v>
      </c>
      <c r="F85" s="338">
        <f t="shared" si="62"/>
        <v>0.52550872026079176</v>
      </c>
      <c r="G85" s="338" t="str">
        <f t="shared" si="43"/>
        <v>1+0.00238314935516015i</v>
      </c>
      <c r="H85" s="337">
        <f t="shared" si="63"/>
        <v>1.0000028396963925</v>
      </c>
      <c r="I85" s="338">
        <f t="shared" si="64"/>
        <v>2.3831448435553673E-3</v>
      </c>
      <c r="J85" s="340">
        <f t="shared" si="44"/>
        <v>1</v>
      </c>
      <c r="K85" s="338">
        <f t="shared" si="65"/>
        <v>1</v>
      </c>
      <c r="L85" s="339">
        <f t="shared" si="66"/>
        <v>0</v>
      </c>
      <c r="M85" s="731" t="str">
        <f t="shared" si="45"/>
        <v>0.99997442472816+0.0112038767192835i</v>
      </c>
      <c r="N85" s="338">
        <f t="shared" si="67"/>
        <v>1.0000371877905119</v>
      </c>
      <c r="O85" s="339">
        <f t="shared" si="68"/>
        <v>1.1203694472346142E-2</v>
      </c>
      <c r="P85" s="732" t="str">
        <f t="shared" si="60"/>
        <v>1.60965646182012-0.952509931214277i</v>
      </c>
      <c r="Q85" s="337">
        <f t="shared" si="69"/>
        <v>1.8703660321287634</v>
      </c>
      <c r="R85" s="339">
        <f t="shared" si="70"/>
        <v>-0.53432926988958196</v>
      </c>
      <c r="S85" s="731" t="str">
        <f t="shared" si="46"/>
        <v>6000</v>
      </c>
      <c r="T85" s="337" t="str">
        <f t="shared" si="47"/>
        <v>1+4813.96169742349i</v>
      </c>
      <c r="U85" s="346">
        <f t="shared" si="71"/>
        <v>4813.9618012880446</v>
      </c>
      <c r="V85" s="347">
        <f t="shared" si="72"/>
        <v>1.5705885976835181</v>
      </c>
      <c r="W85" s="340" t="str">
        <f t="shared" si="48"/>
        <v>1+47.6629871032029i</v>
      </c>
      <c r="X85" s="337">
        <f t="shared" si="73"/>
        <v>47.673476269306036</v>
      </c>
      <c r="Y85" s="339">
        <f t="shared" si="74"/>
        <v>1.5498187639014254</v>
      </c>
      <c r="Z85" s="337" t="str">
        <f t="shared" si="49"/>
        <v>1+0.480131009493568i</v>
      </c>
      <c r="AA85" s="346">
        <f t="shared" si="75"/>
        <v>1.109290668074564</v>
      </c>
      <c r="AB85" s="347">
        <f t="shared" si="76"/>
        <v>0.44762644687177194</v>
      </c>
      <c r="AC85" s="732" t="str">
        <f t="shared" si="77"/>
        <v>47.79558418492-24.1821763735614i</v>
      </c>
      <c r="AD85" s="337">
        <f t="shared" si="78"/>
        <v>53.564872087402641</v>
      </c>
      <c r="AE85" s="339">
        <f t="shared" si="79"/>
        <v>-0.46839628065386429</v>
      </c>
      <c r="AF85" s="736" t="str">
        <f t="shared" si="50"/>
        <v>53.9007077755315-84.4507650649013i</v>
      </c>
      <c r="AG85" s="337">
        <f t="shared" si="80"/>
        <v>40.016133575773082</v>
      </c>
      <c r="AH85" s="730">
        <f t="shared" si="81"/>
        <v>-57.45194205607141</v>
      </c>
      <c r="AI85" s="360">
        <f t="shared" si="51"/>
        <v>122.5480579439286</v>
      </c>
      <c r="AL85" s="337">
        <f t="shared" si="52"/>
        <v>34.577601443141006</v>
      </c>
      <c r="AM85" s="730">
        <f t="shared" si="53"/>
        <v>-26.837130021091635</v>
      </c>
      <c r="AN85" s="351"/>
      <c r="AO85" s="337">
        <f t="shared" si="54"/>
        <v>58.710463331371507</v>
      </c>
      <c r="AP85" s="730">
        <f t="shared" si="55"/>
        <v>-30.614812034979753</v>
      </c>
      <c r="AS85" s="351"/>
      <c r="AT85" s="351"/>
      <c r="AV85" s="405">
        <f t="shared" si="56"/>
        <v>0</v>
      </c>
      <c r="AW85" s="405">
        <f t="shared" si="57"/>
        <v>0</v>
      </c>
      <c r="AX85" s="405">
        <f t="shared" si="58"/>
        <v>0</v>
      </c>
      <c r="AY85" s="405">
        <f t="shared" si="59"/>
        <v>0</v>
      </c>
    </row>
    <row r="86" spans="2:51" ht="13.5" thickBot="1" x14ac:dyDescent="0.25">
      <c r="B86" s="345">
        <v>831.76</v>
      </c>
      <c r="C86" s="728" t="str">
        <f t="shared" si="41"/>
        <v>2.16217503399043</v>
      </c>
      <c r="D86" s="728" t="str">
        <f t="shared" si="42"/>
        <v>1+0.635842435683796i</v>
      </c>
      <c r="E86" s="337">
        <f t="shared" si="61"/>
        <v>1.18502978992779</v>
      </c>
      <c r="F86" s="338">
        <f t="shared" si="62"/>
        <v>0.56635815769464048</v>
      </c>
      <c r="G86" s="338" t="str">
        <f t="shared" si="43"/>
        <v>1+0.00261305110554984i</v>
      </c>
      <c r="H86" s="337">
        <f t="shared" si="63"/>
        <v>1.0000034140122125</v>
      </c>
      <c r="I86" s="338">
        <f t="shared" si="64"/>
        <v>2.6130451582384623E-3</v>
      </c>
      <c r="J86" s="340">
        <f t="shared" si="44"/>
        <v>1</v>
      </c>
      <c r="K86" s="338">
        <f t="shared" si="65"/>
        <v>1</v>
      </c>
      <c r="L86" s="339">
        <f t="shared" si="66"/>
        <v>0</v>
      </c>
      <c r="M86" s="731" t="str">
        <f t="shared" si="45"/>
        <v>0.999969252235662+0.0122847115663888i</v>
      </c>
      <c r="N86" s="338">
        <f t="shared" si="67"/>
        <v>1.0000447087780717</v>
      </c>
      <c r="O86" s="339">
        <f t="shared" si="68"/>
        <v>1.22844713254847E-2</v>
      </c>
      <c r="P86" s="732" t="str">
        <f t="shared" si="60"/>
        <v>1.53008318532194-0.993801946086343i</v>
      </c>
      <c r="Q86" s="337">
        <f t="shared" si="69"/>
        <v>1.8244990715398945</v>
      </c>
      <c r="R86" s="339">
        <f t="shared" si="70"/>
        <v>-0.57602958386188619</v>
      </c>
      <c r="S86" s="731" t="str">
        <f t="shared" si="46"/>
        <v>6000</v>
      </c>
      <c r="T86" s="337" t="str">
        <f t="shared" si="47"/>
        <v>1+5278.36323321069i</v>
      </c>
      <c r="U86" s="346">
        <f t="shared" si="71"/>
        <v>5278.3633279370233</v>
      </c>
      <c r="V86" s="347">
        <f t="shared" si="72"/>
        <v>1.5706068741286336</v>
      </c>
      <c r="W86" s="340" t="str">
        <f t="shared" si="48"/>
        <v>1+52.2610221109969i</v>
      </c>
      <c r="X86" s="337">
        <f t="shared" si="73"/>
        <v>52.270588595175646</v>
      </c>
      <c r="Y86" s="339">
        <f t="shared" si="74"/>
        <v>1.5516639420732528</v>
      </c>
      <c r="Z86" s="337" t="str">
        <f t="shared" si="49"/>
        <v>1+0.526449113417661i</v>
      </c>
      <c r="AA86" s="346">
        <f t="shared" si="75"/>
        <v>1.1301100251826108</v>
      </c>
      <c r="AB86" s="347">
        <f t="shared" si="76"/>
        <v>0.48458232664883993</v>
      </c>
      <c r="AC86" s="732" t="str">
        <f t="shared" si="77"/>
        <v>46.0507512625363-25.3688385311893i</v>
      </c>
      <c r="AD86" s="337">
        <f t="shared" si="78"/>
        <v>52.576132039791055</v>
      </c>
      <c r="AE86" s="339">
        <f t="shared" si="79"/>
        <v>-0.50352525870422138</v>
      </c>
      <c r="AF86" s="736" t="str">
        <f t="shared" si="50"/>
        <v>45.2498790760038-84.5817594911668i</v>
      </c>
      <c r="AG86" s="337">
        <f t="shared" si="80"/>
        <v>39.638645582781372</v>
      </c>
      <c r="AH86" s="730">
        <f t="shared" si="81"/>
        <v>-61.853936231947991</v>
      </c>
      <c r="AI86" s="360">
        <f t="shared" si="51"/>
        <v>118.14606376805202</v>
      </c>
      <c r="AL86" s="337">
        <f t="shared" si="52"/>
        <v>34.415772648885358</v>
      </c>
      <c r="AM86" s="730">
        <f t="shared" si="53"/>
        <v>-28.849872201984805</v>
      </c>
      <c r="AN86" s="351"/>
      <c r="AO86" s="337">
        <f t="shared" si="54"/>
        <v>58.494804132635451</v>
      </c>
      <c r="AP86" s="730">
        <f t="shared" si="55"/>
        <v>-33.004064029963175</v>
      </c>
      <c r="AS86" s="351"/>
      <c r="AT86" s="351"/>
      <c r="AV86" s="405">
        <f t="shared" si="56"/>
        <v>0</v>
      </c>
      <c r="AW86" s="405">
        <f t="shared" si="57"/>
        <v>0</v>
      </c>
      <c r="AX86" s="405">
        <f t="shared" si="58"/>
        <v>0</v>
      </c>
      <c r="AY86" s="405">
        <f t="shared" si="59"/>
        <v>0</v>
      </c>
    </row>
    <row r="87" spans="2:51" ht="13.5" thickBot="1" x14ac:dyDescent="0.25">
      <c r="B87" s="345">
        <v>912.01</v>
      </c>
      <c r="C87" s="728" t="str">
        <f t="shared" si="41"/>
        <v>2.16217503399043</v>
      </c>
      <c r="D87" s="728" t="str">
        <f t="shared" si="42"/>
        <v>1+0.69718988622677i</v>
      </c>
      <c r="E87" s="337">
        <f t="shared" si="61"/>
        <v>1.2190462409018359</v>
      </c>
      <c r="F87" s="338">
        <f t="shared" si="62"/>
        <v>0.60883749109390495</v>
      </c>
      <c r="G87" s="338" t="str">
        <f t="shared" si="43"/>
        <v>1+0.00286516391600043i</v>
      </c>
      <c r="H87" s="337">
        <f t="shared" si="63"/>
        <v>1.0000041045737089</v>
      </c>
      <c r="I87" s="338">
        <f t="shared" si="64"/>
        <v>2.8651560758386355E-3</v>
      </c>
      <c r="J87" s="340">
        <f t="shared" si="44"/>
        <v>1</v>
      </c>
      <c r="K87" s="338">
        <f t="shared" si="65"/>
        <v>1</v>
      </c>
      <c r="L87" s="339">
        <f t="shared" si="66"/>
        <v>0</v>
      </c>
      <c r="M87" s="731" t="str">
        <f t="shared" si="45"/>
        <v>0.999963032789329+0.01346996705259i</v>
      </c>
      <c r="N87" s="338">
        <f t="shared" si="67"/>
        <v>1.0000537520341746</v>
      </c>
      <c r="O87" s="339">
        <f t="shared" si="68"/>
        <v>1.3469650352783394E-2</v>
      </c>
      <c r="P87" s="732" t="str">
        <f t="shared" si="60"/>
        <v>1.44404779994977-1.02970272611263i</v>
      </c>
      <c r="Q87" s="337">
        <f t="shared" si="69"/>
        <v>1.7735731596704865</v>
      </c>
      <c r="R87" s="339">
        <f t="shared" si="70"/>
        <v>-0.61944198537084838</v>
      </c>
      <c r="S87" s="731" t="str">
        <f t="shared" si="46"/>
        <v>6000</v>
      </c>
      <c r="T87" s="337" t="str">
        <f t="shared" si="47"/>
        <v>1+5787.63111032086i</v>
      </c>
      <c r="U87" s="346">
        <f t="shared" si="71"/>
        <v>5787.6311967119909</v>
      </c>
      <c r="V87" s="347">
        <f t="shared" si="72"/>
        <v>1.5706235445337284</v>
      </c>
      <c r="W87" s="340" t="str">
        <f t="shared" si="48"/>
        <v>1+57.3032783200085i</v>
      </c>
      <c r="X87" s="337">
        <f t="shared" si="73"/>
        <v>57.312003160074205</v>
      </c>
      <c r="Y87" s="339">
        <f t="shared" si="74"/>
        <v>1.5533470894162913</v>
      </c>
      <c r="Z87" s="337" t="str">
        <f t="shared" si="49"/>
        <v>1+0.577242060123162i</v>
      </c>
      <c r="AA87" s="346">
        <f t="shared" si="75"/>
        <v>1.1546464376488728</v>
      </c>
      <c r="AB87" s="347">
        <f t="shared" si="76"/>
        <v>0.5235176149957762</v>
      </c>
      <c r="AC87" s="732" t="str">
        <f t="shared" si="77"/>
        <v>44.1143485019464-26.4910866640928i</v>
      </c>
      <c r="AD87" s="337">
        <f t="shared" si="78"/>
        <v>51.457297017970696</v>
      </c>
      <c r="AE87" s="339">
        <f t="shared" si="79"/>
        <v>-0.5407940701132129</v>
      </c>
      <c r="AF87" s="736" t="str">
        <f t="shared" si="50"/>
        <v>36.4252837447508-83.6790603286987i</v>
      </c>
      <c r="AG87" s="337">
        <f t="shared" si="80"/>
        <v>39.20592154687381</v>
      </c>
      <c r="AH87" s="730">
        <f t="shared" si="81"/>
        <v>-66.476629218143131</v>
      </c>
      <c r="AI87" s="360">
        <f t="shared" si="51"/>
        <v>113.52337078185687</v>
      </c>
      <c r="AL87" s="337">
        <f t="shared" si="52"/>
        <v>34.228939391466</v>
      </c>
      <c r="AM87" s="730">
        <f t="shared" si="53"/>
        <v>-30.98521780318903</v>
      </c>
      <c r="AN87" s="351"/>
      <c r="AO87" s="337">
        <f t="shared" si="54"/>
        <v>58.248913354147255</v>
      </c>
      <c r="AP87" s="730">
        <f t="shared" si="55"/>
        <v>-35.491411414954094</v>
      </c>
      <c r="AS87" s="351"/>
      <c r="AT87" s="351"/>
      <c r="AV87" s="405">
        <f t="shared" si="56"/>
        <v>0</v>
      </c>
      <c r="AW87" s="405">
        <f t="shared" si="57"/>
        <v>0</v>
      </c>
      <c r="AX87" s="405">
        <f t="shared" si="58"/>
        <v>0</v>
      </c>
      <c r="AY87" s="405">
        <f t="shared" si="59"/>
        <v>0</v>
      </c>
    </row>
    <row r="88" spans="2:51" ht="13.5" thickBot="1" x14ac:dyDescent="0.25">
      <c r="B88" s="345">
        <v>1000</v>
      </c>
      <c r="C88" s="728" t="str">
        <f t="shared" si="41"/>
        <v>2.16217503399043</v>
      </c>
      <c r="D88" s="728" t="str">
        <f t="shared" si="42"/>
        <v>1+0.764454212373517i</v>
      </c>
      <c r="E88" s="337">
        <f t="shared" si="61"/>
        <v>1.2587256423921831</v>
      </c>
      <c r="F88" s="338">
        <f t="shared" si="62"/>
        <v>0.65268780695865114</v>
      </c>
      <c r="G88" s="338" t="str">
        <f t="shared" si="43"/>
        <v>1+0.0031415926535898i</v>
      </c>
      <c r="H88" s="337">
        <f t="shared" si="63"/>
        <v>1.0000049347900244</v>
      </c>
      <c r="I88" s="338">
        <f t="shared" si="64"/>
        <v>3.1415823182254434E-3</v>
      </c>
      <c r="J88" s="340">
        <f t="shared" si="44"/>
        <v>1</v>
      </c>
      <c r="K88" s="338">
        <f t="shared" si="65"/>
        <v>1</v>
      </c>
      <c r="L88" s="339">
        <f t="shared" si="66"/>
        <v>0</v>
      </c>
      <c r="M88" s="731" t="str">
        <f t="shared" si="45"/>
        <v>0.999955555555556+0.0147695387688622i</v>
      </c>
      <c r="N88" s="338">
        <f t="shared" si="67"/>
        <v>1.0000646240927962</v>
      </c>
      <c r="O88" s="339">
        <f t="shared" si="68"/>
        <v>1.476912128052031E-2</v>
      </c>
      <c r="P88" s="732" t="str">
        <f t="shared" si="60"/>
        <v>1.35237038364011-1.05896394390917i</v>
      </c>
      <c r="Q88" s="337">
        <f t="shared" si="69"/>
        <v>1.7176467299903557</v>
      </c>
      <c r="R88" s="339">
        <f t="shared" si="70"/>
        <v>-0.6643153459209441</v>
      </c>
      <c r="S88" s="731" t="str">
        <f t="shared" si="46"/>
        <v>6000</v>
      </c>
      <c r="T88" s="337" t="str">
        <f t="shared" si="47"/>
        <v>1+6346.01716025139i</v>
      </c>
      <c r="U88" s="346">
        <f t="shared" si="71"/>
        <v>6346.0172390409662</v>
      </c>
      <c r="V88" s="347">
        <f t="shared" si="72"/>
        <v>1.5706387476446249</v>
      </c>
      <c r="W88" s="340" t="str">
        <f t="shared" si="48"/>
        <v>1+62.8318530717959i</v>
      </c>
      <c r="X88" s="337">
        <f t="shared" si="73"/>
        <v>62.839810315084087</v>
      </c>
      <c r="Y88" s="339">
        <f t="shared" si="74"/>
        <v>1.5548821760954434</v>
      </c>
      <c r="Z88" s="337" t="str">
        <f t="shared" si="49"/>
        <v>1+0.632933915333344i</v>
      </c>
      <c r="AA88" s="346">
        <f t="shared" si="75"/>
        <v>1.1834717323109989</v>
      </c>
      <c r="AB88" s="347">
        <f t="shared" si="76"/>
        <v>0.56428426987437508</v>
      </c>
      <c r="AC88" s="732" t="str">
        <f t="shared" si="77"/>
        <v>41.9915505366568-27.5139902405788i</v>
      </c>
      <c r="AD88" s="337">
        <f t="shared" si="78"/>
        <v>50.202688926304212</v>
      </c>
      <c r="AE88" s="339">
        <f t="shared" si="79"/>
        <v>-0.58004084142355683</v>
      </c>
      <c r="AF88" s="736" t="str">
        <f t="shared" si="50"/>
        <v>27.6518056910599-81.6766435042811i</v>
      </c>
      <c r="AG88" s="337">
        <f t="shared" si="80"/>
        <v>38.713216522311029</v>
      </c>
      <c r="AH88" s="730">
        <f t="shared" si="81"/>
        <v>-71.296357745830278</v>
      </c>
      <c r="AI88" s="360">
        <f t="shared" si="51"/>
        <v>108.70364225416972</v>
      </c>
      <c r="AL88" s="337">
        <f t="shared" si="52"/>
        <v>34.014539583769505</v>
      </c>
      <c r="AM88" s="730">
        <f t="shared" si="53"/>
        <v>-33.233892158786858</v>
      </c>
      <c r="AN88" s="351"/>
      <c r="AO88" s="337">
        <f t="shared" si="54"/>
        <v>57.970608137280955</v>
      </c>
      <c r="AP88" s="730">
        <f t="shared" si="55"/>
        <v>-38.062465587043434</v>
      </c>
      <c r="AS88" s="351"/>
      <c r="AT88" s="351"/>
      <c r="AV88" s="405">
        <f t="shared" si="56"/>
        <v>0</v>
      </c>
      <c r="AW88" s="405">
        <f t="shared" si="57"/>
        <v>0</v>
      </c>
      <c r="AX88" s="405">
        <f t="shared" si="58"/>
        <v>0</v>
      </c>
      <c r="AY88" s="405">
        <f t="shared" si="59"/>
        <v>0</v>
      </c>
    </row>
    <row r="89" spans="2:51" ht="13.5" thickBot="1" x14ac:dyDescent="0.25">
      <c r="B89" s="345">
        <v>1096.5</v>
      </c>
      <c r="C89" s="728" t="str">
        <f t="shared" si="41"/>
        <v>2.16217503399043</v>
      </c>
      <c r="D89" s="728" t="str">
        <f t="shared" si="42"/>
        <v>1+0.838224043867561i</v>
      </c>
      <c r="E89" s="337">
        <f t="shared" si="61"/>
        <v>1.3048446450507765</v>
      </c>
      <c r="F89" s="338">
        <f t="shared" si="62"/>
        <v>0.69761766349439569</v>
      </c>
      <c r="G89" s="338" t="str">
        <f t="shared" si="43"/>
        <v>1+0.00344475634466121i</v>
      </c>
      <c r="H89" s="337">
        <f t="shared" si="63"/>
        <v>1.0000059331555358</v>
      </c>
      <c r="I89" s="338">
        <f t="shared" si="64"/>
        <v>3.4447427192010154E-3</v>
      </c>
      <c r="J89" s="340">
        <f t="shared" si="44"/>
        <v>1</v>
      </c>
      <c r="K89" s="338">
        <f t="shared" si="65"/>
        <v>1</v>
      </c>
      <c r="L89" s="339">
        <f t="shared" si="66"/>
        <v>0</v>
      </c>
      <c r="M89" s="731" t="str">
        <f t="shared" si="45"/>
        <v>0.9999465639+0.0161947992600574i</v>
      </c>
      <c r="N89" s="338">
        <f t="shared" si="67"/>
        <v>1.0000776980707502</v>
      </c>
      <c r="O89" s="339">
        <f t="shared" si="68"/>
        <v>1.6194248877482997E-2</v>
      </c>
      <c r="P89" s="732" t="str">
        <f t="shared" si="60"/>
        <v>1.25614639425696-1.08049604926249i</v>
      </c>
      <c r="Q89" s="337">
        <f t="shared" si="69"/>
        <v>1.656917462119526</v>
      </c>
      <c r="R89" s="339">
        <f t="shared" si="70"/>
        <v>-0.71036716965267865</v>
      </c>
      <c r="S89" s="731" t="str">
        <f t="shared" si="46"/>
        <v>6000</v>
      </c>
      <c r="T89" s="337" t="str">
        <f t="shared" si="47"/>
        <v>1+6958.40781621564i</v>
      </c>
      <c r="U89" s="346">
        <f t="shared" si="71"/>
        <v>6958.4078880711586</v>
      </c>
      <c r="V89" s="347">
        <f t="shared" si="72"/>
        <v>1.5706526157593368</v>
      </c>
      <c r="W89" s="340" t="str">
        <f t="shared" si="48"/>
        <v>1+68.8951268932242i</v>
      </c>
      <c r="X89" s="337">
        <f t="shared" si="73"/>
        <v>68.90238391836283</v>
      </c>
      <c r="Y89" s="339">
        <f t="shared" si="74"/>
        <v>1.5562825313009074</v>
      </c>
      <c r="Z89" s="337" t="str">
        <f t="shared" si="49"/>
        <v>1+0.694012038163011i</v>
      </c>
      <c r="AA89" s="346">
        <f t="shared" si="75"/>
        <v>1.2172315757961494</v>
      </c>
      <c r="AB89" s="347">
        <f t="shared" si="76"/>
        <v>0.60669588264290208</v>
      </c>
      <c r="AC89" s="732" t="str">
        <f t="shared" si="77"/>
        <v>39.6945686259646-28.4022373884701i</v>
      </c>
      <c r="AD89" s="337">
        <f t="shared" si="78"/>
        <v>48.809280542458538</v>
      </c>
      <c r="AE89" s="339">
        <f t="shared" si="79"/>
        <v>-0.62106596710133044</v>
      </c>
      <c r="AF89" s="736" t="str">
        <f t="shared" si="50"/>
        <v>19.1736839626336-78.5671926618905i</v>
      </c>
      <c r="AG89" s="337">
        <f t="shared" si="80"/>
        <v>38.15606562174397</v>
      </c>
      <c r="AH89" s="730">
        <f t="shared" si="81"/>
        <v>-76.28549943986927</v>
      </c>
      <c r="AI89" s="360">
        <f t="shared" si="51"/>
        <v>103.71450056013073</v>
      </c>
      <c r="AL89" s="337">
        <f t="shared" si="52"/>
        <v>33.770048122504306</v>
      </c>
      <c r="AM89" s="730">
        <f t="shared" si="53"/>
        <v>-35.584458714117069</v>
      </c>
      <c r="AN89" s="351"/>
      <c r="AO89" s="337">
        <f t="shared" si="54"/>
        <v>57.657948697979094</v>
      </c>
      <c r="AP89" s="730">
        <f t="shared" si="55"/>
        <v>-40.701040725752236</v>
      </c>
      <c r="AS89" s="351"/>
      <c r="AT89" s="351"/>
      <c r="AV89" s="405">
        <f t="shared" si="56"/>
        <v>0</v>
      </c>
      <c r="AW89" s="405">
        <f t="shared" si="57"/>
        <v>0</v>
      </c>
      <c r="AX89" s="405">
        <f t="shared" si="58"/>
        <v>0</v>
      </c>
      <c r="AY89" s="405">
        <f t="shared" si="59"/>
        <v>0</v>
      </c>
    </row>
    <row r="90" spans="2:51" ht="13.5" thickBot="1" x14ac:dyDescent="0.25">
      <c r="B90" s="345">
        <v>1202.3</v>
      </c>
      <c r="C90" s="728" t="str">
        <f t="shared" si="41"/>
        <v>2.16217503399043</v>
      </c>
      <c r="D90" s="728" t="str">
        <f t="shared" si="42"/>
        <v>1+0.919103299536679i</v>
      </c>
      <c r="E90" s="337">
        <f t="shared" si="61"/>
        <v>1.3582160635256859</v>
      </c>
      <c r="F90" s="338">
        <f t="shared" si="62"/>
        <v>0.74326971925654128</v>
      </c>
      <c r="G90" s="338" t="str">
        <f t="shared" si="43"/>
        <v>1+0.00377713684741101i</v>
      </c>
      <c r="H90" s="337">
        <f t="shared" si="63"/>
        <v>1.0000071333559397</v>
      </c>
      <c r="I90" s="338">
        <f t="shared" si="64"/>
        <v>3.7771188850596587E-3</v>
      </c>
      <c r="J90" s="340">
        <f t="shared" si="44"/>
        <v>1</v>
      </c>
      <c r="K90" s="338">
        <f t="shared" si="65"/>
        <v>1</v>
      </c>
      <c r="L90" s="339">
        <f t="shared" si="66"/>
        <v>0</v>
      </c>
      <c r="M90" s="731" t="str">
        <f t="shared" si="45"/>
        <v>0.999935754431556+0.017757416461803i</v>
      </c>
      <c r="N90" s="338">
        <f t="shared" si="67"/>
        <v>1.0000934150518155</v>
      </c>
      <c r="O90" s="339">
        <f t="shared" si="68"/>
        <v>1.7756690906377062E-2</v>
      </c>
      <c r="P90" s="732" t="str">
        <f t="shared" si="60"/>
        <v>1.15679547670987-1.09343722899435i</v>
      </c>
      <c r="Q90" s="337">
        <f t="shared" si="69"/>
        <v>1.5917853965554709</v>
      </c>
      <c r="R90" s="339">
        <f t="shared" si="70"/>
        <v>-0.75724929127785778</v>
      </c>
      <c r="S90" s="731" t="str">
        <f t="shared" si="46"/>
        <v>6000</v>
      </c>
      <c r="T90" s="337" t="str">
        <f t="shared" si="47"/>
        <v>1+7629.81643177024i</v>
      </c>
      <c r="U90" s="346">
        <f t="shared" si="71"/>
        <v>7629.8164973026169</v>
      </c>
      <c r="V90" s="347">
        <f t="shared" si="72"/>
        <v>1.570665262043442</v>
      </c>
      <c r="W90" s="340" t="str">
        <f t="shared" si="48"/>
        <v>1+75.5427369482202i</v>
      </c>
      <c r="X90" s="337">
        <f t="shared" si="73"/>
        <v>75.549355428276115</v>
      </c>
      <c r="Y90" s="339">
        <f t="shared" si="74"/>
        <v>1.5575595599564855</v>
      </c>
      <c r="Z90" s="337" t="str">
        <f t="shared" si="49"/>
        <v>1+0.760976446405279i</v>
      </c>
      <c r="AA90" s="346">
        <f t="shared" si="75"/>
        <v>1.2566165493035679</v>
      </c>
      <c r="AB90" s="347">
        <f t="shared" si="76"/>
        <v>0.65048910254244408</v>
      </c>
      <c r="AC90" s="732" t="str">
        <f t="shared" si="77"/>
        <v>37.2453280451363-29.1214198559587i</v>
      </c>
      <c r="AD90" s="337">
        <f t="shared" si="78"/>
        <v>47.278658564058709</v>
      </c>
      <c r="AE90" s="339">
        <f t="shared" si="79"/>
        <v>-0.66359480462940001</v>
      </c>
      <c r="AF90" s="736" t="str">
        <f t="shared" si="50"/>
        <v>11.2427823795084-74.4129550554014i</v>
      </c>
      <c r="AG90" s="337">
        <f t="shared" si="80"/>
        <v>37.530993237599446</v>
      </c>
      <c r="AH90" s="730">
        <f t="shared" si="81"/>
        <v>-81.408370041567039</v>
      </c>
      <c r="AI90" s="360">
        <f t="shared" si="51"/>
        <v>98.591629958432961</v>
      </c>
      <c r="AL90" s="337">
        <f t="shared" si="52"/>
        <v>33.493302916477603</v>
      </c>
      <c r="AM90" s="730">
        <f t="shared" si="53"/>
        <v>-38.021181612073043</v>
      </c>
      <c r="AN90" s="351"/>
      <c r="AO90" s="337">
        <f t="shared" si="54"/>
        <v>57.309621519861274</v>
      </c>
      <c r="AP90" s="730">
        <f t="shared" si="55"/>
        <v>-43.387188429493968</v>
      </c>
      <c r="AS90" s="351"/>
      <c r="AT90" s="351"/>
      <c r="AV90" s="405">
        <f t="shared" si="56"/>
        <v>0</v>
      </c>
      <c r="AW90" s="405">
        <f t="shared" ref="AW90:AW153" si="82">IF(AV90&gt;0,AI90,0)</f>
        <v>0</v>
      </c>
      <c r="AX90" s="405">
        <f t="shared" si="58"/>
        <v>0</v>
      </c>
      <c r="AY90" s="405">
        <f t="shared" si="59"/>
        <v>0</v>
      </c>
    </row>
    <row r="91" spans="2:51" ht="13.5" thickBot="1" x14ac:dyDescent="0.25">
      <c r="B91" s="345">
        <v>1318.3</v>
      </c>
      <c r="C91" s="728" t="str">
        <f t="shared" si="41"/>
        <v>2.16217503399043</v>
      </c>
      <c r="D91" s="728" t="str">
        <f t="shared" si="42"/>
        <v>1+1.00777998817201i</v>
      </c>
      <c r="E91" s="337">
        <f t="shared" si="61"/>
        <v>1.4197255032434886</v>
      </c>
      <c r="F91" s="338">
        <f t="shared" si="62"/>
        <v>0.78927306467115654</v>
      </c>
      <c r="G91" s="338" t="str">
        <f t="shared" si="43"/>
        <v>1+0.00414156159522742i</v>
      </c>
      <c r="H91" s="337">
        <f t="shared" si="63"/>
        <v>1.0000085762294477</v>
      </c>
      <c r="I91" s="338">
        <f t="shared" si="64"/>
        <v>4.1415379160478997E-3</v>
      </c>
      <c r="J91" s="340">
        <f t="shared" si="44"/>
        <v>1</v>
      </c>
      <c r="K91" s="338">
        <f t="shared" si="65"/>
        <v>1</v>
      </c>
      <c r="L91" s="339">
        <f t="shared" si="66"/>
        <v>0</v>
      </c>
      <c r="M91" s="731" t="str">
        <f t="shared" si="45"/>
        <v>0.999922759338222+0.019470682958991i</v>
      </c>
      <c r="N91" s="338">
        <f t="shared" si="67"/>
        <v>1.0001123097619853</v>
      </c>
      <c r="O91" s="339">
        <f t="shared" si="68"/>
        <v>1.946972649915563E-2</v>
      </c>
      <c r="P91" s="732" t="str">
        <f t="shared" si="60"/>
        <v>1.05590387166234-1.09725628272808i</v>
      </c>
      <c r="Q91" s="337">
        <f t="shared" si="69"/>
        <v>1.5227949094273214</v>
      </c>
      <c r="R91" s="339">
        <f t="shared" si="70"/>
        <v>-0.80460125325426535</v>
      </c>
      <c r="S91" s="731" t="str">
        <f t="shared" si="46"/>
        <v>6000</v>
      </c>
      <c r="T91" s="337" t="str">
        <f t="shared" si="47"/>
        <v>1+8365.9544223594i</v>
      </c>
      <c r="U91" s="346">
        <f t="shared" si="71"/>
        <v>8365.9544821254422</v>
      </c>
      <c r="V91" s="347">
        <f t="shared" si="72"/>
        <v>1.570676794707492</v>
      </c>
      <c r="W91" s="340" t="str">
        <f t="shared" si="48"/>
        <v>1+82.8312319045485i</v>
      </c>
      <c r="X91" s="337">
        <f t="shared" si="73"/>
        <v>82.837268055055347</v>
      </c>
      <c r="Y91" s="339">
        <f t="shared" si="74"/>
        <v>1.5587241723965446</v>
      </c>
      <c r="Z91" s="337" t="str">
        <f t="shared" si="49"/>
        <v>1+0.834396780583947i</v>
      </c>
      <c r="AA91" s="346">
        <f t="shared" si="75"/>
        <v>1.3023893378897324</v>
      </c>
      <c r="AB91" s="347">
        <f t="shared" si="76"/>
        <v>0.69536555625609842</v>
      </c>
      <c r="AC91" s="732" t="str">
        <f t="shared" si="77"/>
        <v>34.6733307639125-29.641407163112i</v>
      </c>
      <c r="AD91" s="337">
        <f t="shared" si="78"/>
        <v>45.616366414622163</v>
      </c>
      <c r="AE91" s="339">
        <f t="shared" si="79"/>
        <v>-0.70731817856704626</v>
      </c>
      <c r="AF91" s="736" t="str">
        <f t="shared" si="50"/>
        <v>4.08748395841837-69.3440066088616i</v>
      </c>
      <c r="AG91" s="337">
        <f t="shared" si="80"/>
        <v>36.835242095928692</v>
      </c>
      <c r="AH91" s="730">
        <f t="shared" si="81"/>
        <v>-86.626602407178567</v>
      </c>
      <c r="AI91" s="360">
        <f t="shared" si="51"/>
        <v>93.373397592821433</v>
      </c>
      <c r="AL91" s="337">
        <f t="shared" si="52"/>
        <v>33.182413769217106</v>
      </c>
      <c r="AM91" s="730">
        <f t="shared" si="53"/>
        <v>-40.526346404772475</v>
      </c>
      <c r="AN91" s="351"/>
      <c r="AO91" s="337">
        <f t="shared" si="54"/>
        <v>56.924759525451016</v>
      </c>
      <c r="AP91" s="730">
        <f t="shared" si="55"/>
        <v>-46.100256002406134</v>
      </c>
      <c r="AS91" s="351"/>
      <c r="AT91" s="351"/>
      <c r="AV91" s="405">
        <f t="shared" si="56"/>
        <v>0</v>
      </c>
      <c r="AW91" s="405">
        <f t="shared" si="82"/>
        <v>0</v>
      </c>
      <c r="AX91" s="405">
        <f t="shared" si="58"/>
        <v>0</v>
      </c>
      <c r="AY91" s="405">
        <f t="shared" si="59"/>
        <v>0</v>
      </c>
    </row>
    <row r="92" spans="2:51" ht="13.5" thickBot="1" x14ac:dyDescent="0.25">
      <c r="B92" s="345">
        <v>1445.4</v>
      </c>
      <c r="C92" s="728" t="str">
        <f t="shared" si="41"/>
        <v>2.16217503399043</v>
      </c>
      <c r="D92" s="728" t="str">
        <f t="shared" si="42"/>
        <v>1+1.10494211856468i</v>
      </c>
      <c r="E92" s="337">
        <f t="shared" si="61"/>
        <v>1.4902674543108707</v>
      </c>
      <c r="F92" s="338">
        <f t="shared" si="62"/>
        <v>0.83521202830770347</v>
      </c>
      <c r="G92" s="338" t="str">
        <f t="shared" si="43"/>
        <v>1+0.00454085802149868i</v>
      </c>
      <c r="H92" s="337">
        <f t="shared" si="63"/>
        <v>1.0000103096426414</v>
      </c>
      <c r="I92" s="338">
        <f t="shared" si="64"/>
        <v>4.54082681197492E-3</v>
      </c>
      <c r="J92" s="340">
        <f t="shared" si="44"/>
        <v>1</v>
      </c>
      <c r="K92" s="338">
        <f t="shared" si="65"/>
        <v>1</v>
      </c>
      <c r="L92" s="339">
        <f t="shared" si="66"/>
        <v>0</v>
      </c>
      <c r="M92" s="731" t="str">
        <f t="shared" si="45"/>
        <v>0.999907147504+0.0213478913365134i</v>
      </c>
      <c r="N92" s="338">
        <f t="shared" si="67"/>
        <v>1.0001350089333449</v>
      </c>
      <c r="O92" s="339">
        <f t="shared" si="68"/>
        <v>2.1346630733225468E-2</v>
      </c>
      <c r="P92" s="732" t="str">
        <f t="shared" si="60"/>
        <v>0.955225114141003-1.09179931015167i</v>
      </c>
      <c r="Q92" s="337">
        <f t="shared" si="69"/>
        <v>1.4506828572549393</v>
      </c>
      <c r="R92" s="339">
        <f t="shared" si="70"/>
        <v>-0.85201783222895489</v>
      </c>
      <c r="S92" s="731" t="str">
        <f t="shared" si="46"/>
        <v>6000</v>
      </c>
      <c r="T92" s="337" t="str">
        <f t="shared" si="47"/>
        <v>1+9172.53320342735i</v>
      </c>
      <c r="U92" s="346">
        <f t="shared" si="71"/>
        <v>9172.5332579379174</v>
      </c>
      <c r="V92" s="347">
        <f t="shared" si="72"/>
        <v>1.5706873056582205</v>
      </c>
      <c r="W92" s="340" t="str">
        <f t="shared" si="48"/>
        <v>1+90.8171604299737i</v>
      </c>
      <c r="X92" s="337">
        <f t="shared" si="73"/>
        <v>90.822665830527015</v>
      </c>
      <c r="Y92" s="339">
        <f t="shared" si="74"/>
        <v>1.5597856369299492</v>
      </c>
      <c r="Z92" s="337" t="str">
        <f t="shared" si="49"/>
        <v>1+0.914842681222814i</v>
      </c>
      <c r="AA92" s="346">
        <f t="shared" si="75"/>
        <v>1.3553365380550129</v>
      </c>
      <c r="AB92" s="347">
        <f t="shared" si="76"/>
        <v>0.74095522019757409</v>
      </c>
      <c r="AC92" s="732" t="str">
        <f t="shared" si="77"/>
        <v>32.0171616377117-29.9383163095452i</v>
      </c>
      <c r="AD92" s="337">
        <f t="shared" si="78"/>
        <v>43.833793159909604</v>
      </c>
      <c r="AE92" s="339">
        <f t="shared" si="79"/>
        <v>-0.75185688892584712</v>
      </c>
      <c r="AF92" s="736" t="str">
        <f t="shared" si="50"/>
        <v>-2.10303621400984-63.5541466030429i</v>
      </c>
      <c r="AG92" s="337">
        <f t="shared" si="80"/>
        <v>36.067630659853023</v>
      </c>
      <c r="AH92" s="730">
        <f t="shared" si="81"/>
        <v>-91.895252389891922</v>
      </c>
      <c r="AI92" s="360">
        <f t="shared" si="51"/>
        <v>88.104747610108078</v>
      </c>
      <c r="AL92" s="337">
        <f t="shared" si="52"/>
        <v>32.83618107958111</v>
      </c>
      <c r="AM92" s="730">
        <f t="shared" si="53"/>
        <v>-43.078226533287364</v>
      </c>
      <c r="AN92" s="351"/>
      <c r="AO92" s="337">
        <f t="shared" si="54"/>
        <v>56.503380779011351</v>
      </c>
      <c r="AP92" s="730">
        <f t="shared" si="55"/>
        <v>-48.81702585660458</v>
      </c>
      <c r="AS92" s="351"/>
      <c r="AT92" s="351"/>
      <c r="AV92" s="405">
        <f t="shared" si="56"/>
        <v>0</v>
      </c>
      <c r="AW92" s="405">
        <f t="shared" si="82"/>
        <v>0</v>
      </c>
      <c r="AX92" s="405">
        <f t="shared" si="58"/>
        <v>0</v>
      </c>
      <c r="AY92" s="405">
        <f t="shared" si="59"/>
        <v>0</v>
      </c>
    </row>
    <row r="93" spans="2:51" ht="13.5" thickBot="1" x14ac:dyDescent="0.25">
      <c r="B93" s="345">
        <v>1584.9</v>
      </c>
      <c r="C93" s="728" t="str">
        <f t="shared" si="41"/>
        <v>2.16217503399043</v>
      </c>
      <c r="D93" s="728" t="str">
        <f t="shared" si="42"/>
        <v>1+1.21158348119079i</v>
      </c>
      <c r="E93" s="337">
        <f t="shared" si="61"/>
        <v>1.5709661141776396</v>
      </c>
      <c r="F93" s="338">
        <f t="shared" si="62"/>
        <v>0.88077845253714748</v>
      </c>
      <c r="G93" s="338" t="str">
        <f t="shared" si="43"/>
        <v>1+0.00497911019667447i</v>
      </c>
      <c r="H93" s="337">
        <f t="shared" si="63"/>
        <v>1.0000123956923488</v>
      </c>
      <c r="I93" s="338">
        <f t="shared" si="64"/>
        <v>4.9790690506860474E-3</v>
      </c>
      <c r="J93" s="340">
        <f t="shared" si="44"/>
        <v>1</v>
      </c>
      <c r="K93" s="338">
        <f t="shared" si="65"/>
        <v>1</v>
      </c>
      <c r="L93" s="339">
        <f t="shared" si="66"/>
        <v>0</v>
      </c>
      <c r="M93" s="731" t="str">
        <f t="shared" si="45"/>
        <v>0.999888359644+0.0234082419947697i</v>
      </c>
      <c r="N93" s="338">
        <f t="shared" si="67"/>
        <v>1.0001623255976275</v>
      </c>
      <c r="O93" s="339">
        <f t="shared" si="68"/>
        <v>2.3406580082050914E-2</v>
      </c>
      <c r="P93" s="732" t="str">
        <f t="shared" si="60"/>
        <v>0.856270730928123-1.07727874995917i</v>
      </c>
      <c r="Q93" s="337">
        <f t="shared" si="69"/>
        <v>1.3761282897163964</v>
      </c>
      <c r="R93" s="339">
        <f t="shared" si="70"/>
        <v>-0.89920596356851268</v>
      </c>
      <c r="S93" s="731" t="str">
        <f t="shared" si="46"/>
        <v>6000</v>
      </c>
      <c r="T93" s="337" t="str">
        <f t="shared" si="47"/>
        <v>1+10057.8025972824i</v>
      </c>
      <c r="U93" s="346">
        <f t="shared" si="71"/>
        <v>10057.802646995047</v>
      </c>
      <c r="V93" s="347">
        <f t="shared" si="72"/>
        <v>1.5706969014992584</v>
      </c>
      <c r="W93" s="340" t="str">
        <f t="shared" si="48"/>
        <v>1+99.5822039334893i</v>
      </c>
      <c r="X93" s="337">
        <f t="shared" si="73"/>
        <v>99.587224784362036</v>
      </c>
      <c r="Y93" s="339">
        <f t="shared" si="74"/>
        <v>1.5607547094283825</v>
      </c>
      <c r="Z93" s="337" t="str">
        <f t="shared" si="49"/>
        <v>1+1.00313696241182i</v>
      </c>
      <c r="AA93" s="346">
        <f t="shared" si="75"/>
        <v>1.4164334666184688</v>
      </c>
      <c r="AB93" s="347">
        <f t="shared" si="76"/>
        <v>0.78696418704250604</v>
      </c>
      <c r="AC93" s="732" t="str">
        <f t="shared" si="77"/>
        <v>29.314647402232-29.9972516659788i</v>
      </c>
      <c r="AD93" s="337">
        <f t="shared" si="78"/>
        <v>41.942623425690186</v>
      </c>
      <c r="AE93" s="339">
        <f t="shared" si="79"/>
        <v>-0.79690637911338402</v>
      </c>
      <c r="AF93" s="736" t="str">
        <f t="shared" si="50"/>
        <v>-7.21412721892688-57.2658153188328i</v>
      </c>
      <c r="AG93" s="337">
        <f t="shared" si="80"/>
        <v>35.226290283074469</v>
      </c>
      <c r="AH93" s="730">
        <f t="shared" si="81"/>
        <v>-97.180078815719483</v>
      </c>
      <c r="AI93" s="360">
        <f t="shared" si="51"/>
        <v>82.819921184280517</v>
      </c>
      <c r="AL93" s="337">
        <f t="shared" si="52"/>
        <v>32.453111824288221</v>
      </c>
      <c r="AM93" s="730">
        <f t="shared" si="53"/>
        <v>-45.659372190249243</v>
      </c>
      <c r="AN93" s="351"/>
      <c r="AO93" s="337">
        <f t="shared" si="54"/>
        <v>56.045109657525686</v>
      </c>
      <c r="AP93" s="730">
        <f t="shared" si="55"/>
        <v>-51.520706625470233</v>
      </c>
      <c r="AS93" s="351"/>
      <c r="AT93" s="351"/>
      <c r="AV93" s="405">
        <f t="shared" si="56"/>
        <v>0</v>
      </c>
      <c r="AW93" s="405">
        <f t="shared" si="82"/>
        <v>0</v>
      </c>
      <c r="AX93" s="405">
        <f t="shared" si="58"/>
        <v>0</v>
      </c>
      <c r="AY93" s="405">
        <f t="shared" si="59"/>
        <v>0</v>
      </c>
    </row>
    <row r="94" spans="2:51" ht="13.5" thickBot="1" x14ac:dyDescent="0.25">
      <c r="B94" s="345">
        <v>1737.8</v>
      </c>
      <c r="C94" s="728" t="str">
        <f t="shared" si="41"/>
        <v>2.16217503399043</v>
      </c>
      <c r="D94" s="728" t="str">
        <f t="shared" si="42"/>
        <v>1+1.3284685302627i</v>
      </c>
      <c r="E94" s="337">
        <f t="shared" si="61"/>
        <v>1.6627773861519581</v>
      </c>
      <c r="F94" s="338">
        <f t="shared" si="62"/>
        <v>0.92553979158927979</v>
      </c>
      <c r="G94" s="338" t="str">
        <f t="shared" si="43"/>
        <v>1+0.00545945971340835i</v>
      </c>
      <c r="H94" s="337">
        <f t="shared" si="63"/>
        <v>1.0000149027391354</v>
      </c>
      <c r="I94" s="338">
        <f t="shared" si="64"/>
        <v>5.4594054733715577E-3</v>
      </c>
      <c r="J94" s="340">
        <f t="shared" si="44"/>
        <v>1</v>
      </c>
      <c r="K94" s="338">
        <f t="shared" si="65"/>
        <v>1</v>
      </c>
      <c r="L94" s="339">
        <f t="shared" si="66"/>
        <v>0</v>
      </c>
      <c r="M94" s="731" t="str">
        <f t="shared" si="45"/>
        <v>0.999865780051556+0.0256665044725287i</v>
      </c>
      <c r="N94" s="338">
        <f t="shared" si="67"/>
        <v>1.0001951547422858</v>
      </c>
      <c r="O94" s="339">
        <f t="shared" si="68"/>
        <v>2.5664313746993135E-2</v>
      </c>
      <c r="P94" s="732" t="str">
        <f t="shared" si="60"/>
        <v>0.760742384571273-1.05429802089771i</v>
      </c>
      <c r="Q94" s="337">
        <f t="shared" si="69"/>
        <v>1.3001051082708717</v>
      </c>
      <c r="R94" s="339">
        <f t="shared" si="70"/>
        <v>-0.94574469986290166</v>
      </c>
      <c r="S94" s="731" t="str">
        <f t="shared" si="46"/>
        <v>6000</v>
      </c>
      <c r="T94" s="337" t="str">
        <f t="shared" si="47"/>
        <v>1+11028.1086210849i</v>
      </c>
      <c r="U94" s="346">
        <f t="shared" si="71"/>
        <v>11028.10866642359</v>
      </c>
      <c r="V94" s="347">
        <f t="shared" si="72"/>
        <v>1.5707056494147928</v>
      </c>
      <c r="W94" s="340" t="str">
        <f t="shared" si="48"/>
        <v>1+109.189194268167i</v>
      </c>
      <c r="X94" s="337">
        <f t="shared" si="73"/>
        <v>109.19377337985675</v>
      </c>
      <c r="Y94" s="339">
        <f t="shared" si="74"/>
        <v>1.5616381674252668</v>
      </c>
      <c r="Z94" s="337" t="str">
        <f t="shared" si="49"/>
        <v>1+1.09991255806629i</v>
      </c>
      <c r="AA94" s="346">
        <f t="shared" si="75"/>
        <v>1.4865421741047007</v>
      </c>
      <c r="AB94" s="347">
        <f t="shared" si="76"/>
        <v>0.83294169846647836</v>
      </c>
      <c r="AC94" s="732" t="str">
        <f t="shared" si="77"/>
        <v>26.6147561208965-29.8125819898595i</v>
      </c>
      <c r="AD94" s="337">
        <f t="shared" si="78"/>
        <v>39.964175060632648</v>
      </c>
      <c r="AE94" s="339">
        <f t="shared" si="79"/>
        <v>-0.84200918045600337</v>
      </c>
      <c r="AF94" s="736" t="str">
        <f t="shared" si="50"/>
        <v>-11.1843731535659-50.7395794181287i</v>
      </c>
      <c r="AG94" s="337">
        <f t="shared" si="80"/>
        <v>34.312986347860281</v>
      </c>
      <c r="AH94" s="730">
        <f t="shared" si="81"/>
        <v>-102.43075215040935</v>
      </c>
      <c r="AI94" s="360">
        <f t="shared" si="51"/>
        <v>77.569247849590653</v>
      </c>
      <c r="AL94" s="337">
        <f t="shared" si="52"/>
        <v>32.033417054080992</v>
      </c>
      <c r="AM94" s="730">
        <f t="shared" si="53"/>
        <v>-48.243572351398313</v>
      </c>
      <c r="AN94" s="351"/>
      <c r="AO94" s="337">
        <f t="shared" si="54"/>
        <v>55.55150049251872</v>
      </c>
      <c r="AP94" s="730">
        <f t="shared" si="55"/>
        <v>-54.187179799011027</v>
      </c>
      <c r="AS94" s="351"/>
      <c r="AT94" s="351"/>
      <c r="AV94" s="405">
        <f t="shared" si="56"/>
        <v>0</v>
      </c>
      <c r="AW94" s="405">
        <f t="shared" si="82"/>
        <v>0</v>
      </c>
      <c r="AX94" s="405">
        <f t="shared" si="58"/>
        <v>0</v>
      </c>
      <c r="AY94" s="405">
        <f t="shared" si="59"/>
        <v>0</v>
      </c>
    </row>
    <row r="95" spans="2:51" ht="13.5" thickBot="1" x14ac:dyDescent="0.25">
      <c r="B95" s="345">
        <v>1905.5</v>
      </c>
      <c r="C95" s="728" t="str">
        <f t="shared" si="41"/>
        <v>2.16217503399043</v>
      </c>
      <c r="D95" s="728" t="str">
        <f t="shared" si="42"/>
        <v>1+1.45666750167774i</v>
      </c>
      <c r="E95" s="337">
        <f t="shared" si="61"/>
        <v>1.7668843228814013</v>
      </c>
      <c r="F95" s="338">
        <f t="shared" si="62"/>
        <v>0.96918938794022602</v>
      </c>
      <c r="G95" s="338" t="str">
        <f t="shared" si="43"/>
        <v>1+0.00598630480141535i</v>
      </c>
      <c r="H95" s="337">
        <f t="shared" si="63"/>
        <v>1.0000179177620647</v>
      </c>
      <c r="I95" s="338">
        <f t="shared" si="64"/>
        <v>5.9862332948554973E-3</v>
      </c>
      <c r="J95" s="340">
        <f t="shared" si="44"/>
        <v>1</v>
      </c>
      <c r="K95" s="338">
        <f t="shared" si="65"/>
        <v>1</v>
      </c>
      <c r="L95" s="339">
        <f t="shared" si="66"/>
        <v>0</v>
      </c>
      <c r="M95" s="731" t="str">
        <f t="shared" si="45"/>
        <v>0.999838625322222+0.0281433561240669i</v>
      </c>
      <c r="N95" s="338">
        <f t="shared" si="67"/>
        <v>1.000234635063272</v>
      </c>
      <c r="O95" s="339">
        <f t="shared" si="68"/>
        <v>2.8140468114768974E-2</v>
      </c>
      <c r="P95" s="732" t="str">
        <f t="shared" si="60"/>
        <v>0.669923398433896-1.02374268045968i</v>
      </c>
      <c r="Q95" s="337">
        <f t="shared" si="69"/>
        <v>1.2234567567200694</v>
      </c>
      <c r="R95" s="339">
        <f t="shared" si="70"/>
        <v>-0.99134362276013965</v>
      </c>
      <c r="S95" s="731" t="str">
        <f t="shared" si="46"/>
        <v>6000</v>
      </c>
      <c r="T95" s="337" t="str">
        <f t="shared" si="47"/>
        <v>1+12092.335698859i</v>
      </c>
      <c r="U95" s="346">
        <f t="shared" si="71"/>
        <v>12092.335740207505</v>
      </c>
      <c r="V95" s="347">
        <f t="shared" si="72"/>
        <v>1.5707136297855988</v>
      </c>
      <c r="W95" s="340" t="str">
        <f t="shared" si="48"/>
        <v>1+119.726096028307i</v>
      </c>
      <c r="X95" s="337">
        <f t="shared" si="73"/>
        <v>119.73027215445303</v>
      </c>
      <c r="Y95" s="339">
        <f t="shared" si="74"/>
        <v>1.5624441230568493</v>
      </c>
      <c r="Z95" s="337" t="str">
        <f t="shared" si="49"/>
        <v>1+1.20605557566769i</v>
      </c>
      <c r="AA95" s="346">
        <f t="shared" si="75"/>
        <v>1.566706753543599</v>
      </c>
      <c r="AB95" s="347">
        <f t="shared" si="76"/>
        <v>0.87853246964353982</v>
      </c>
      <c r="AC95" s="732" t="str">
        <f t="shared" si="77"/>
        <v>23.9608085463103-29.3893361047088i</v>
      </c>
      <c r="AD95" s="337">
        <f t="shared" si="78"/>
        <v>37.919037736583938</v>
      </c>
      <c r="AE95" s="339">
        <f t="shared" si="79"/>
        <v>-0.8868019763722893</v>
      </c>
      <c r="AF95" s="736" t="str">
        <f t="shared" si="50"/>
        <v>-14.0352114301969-44.2183062881634i</v>
      </c>
      <c r="AG95" s="337">
        <f t="shared" si="80"/>
        <v>33.328918631115812</v>
      </c>
      <c r="AH95" s="730">
        <f t="shared" si="81"/>
        <v>-107.60981614135754</v>
      </c>
      <c r="AI95" s="360">
        <f t="shared" si="51"/>
        <v>72.390183858642459</v>
      </c>
      <c r="AL95" s="337">
        <f t="shared" si="52"/>
        <v>31.577146156129515</v>
      </c>
      <c r="AM95" s="730">
        <f t="shared" si="53"/>
        <v>-50.810010509992324</v>
      </c>
      <c r="AN95" s="351"/>
      <c r="AO95" s="337">
        <f t="shared" si="54"/>
        <v>55.023703673725734</v>
      </c>
      <c r="AP95" s="730">
        <f t="shared" si="55"/>
        <v>-56.799805631365167</v>
      </c>
      <c r="AS95" s="351"/>
      <c r="AT95" s="351"/>
      <c r="AV95" s="405">
        <f t="shared" si="56"/>
        <v>0</v>
      </c>
      <c r="AW95" s="405">
        <f t="shared" si="82"/>
        <v>0</v>
      </c>
      <c r="AX95" s="405">
        <f t="shared" si="58"/>
        <v>0</v>
      </c>
      <c r="AY95" s="405">
        <f t="shared" si="59"/>
        <v>0</v>
      </c>
    </row>
    <row r="96" spans="2:51" ht="13.5" thickBot="1" x14ac:dyDescent="0.25">
      <c r="B96" s="345">
        <v>2089.3000000000002</v>
      </c>
      <c r="C96" s="728" t="str">
        <f t="shared" si="41"/>
        <v>2.16217503399043</v>
      </c>
      <c r="D96" s="728" t="str">
        <f t="shared" si="42"/>
        <v>1+1.59717418591199i</v>
      </c>
      <c r="E96" s="337">
        <f t="shared" si="61"/>
        <v>1.8844005360176557</v>
      </c>
      <c r="F96" s="338">
        <f t="shared" si="62"/>
        <v>1.0114022342262492</v>
      </c>
      <c r="G96" s="338" t="str">
        <f t="shared" si="43"/>
        <v>1+0.00656372953114515i</v>
      </c>
      <c r="H96" s="337">
        <f t="shared" si="63"/>
        <v>1.0000215410406708</v>
      </c>
      <c r="I96" s="338">
        <f t="shared" si="64"/>
        <v>6.5636352728565897E-3</v>
      </c>
      <c r="J96" s="340">
        <f t="shared" si="44"/>
        <v>1</v>
      </c>
      <c r="K96" s="338">
        <f t="shared" si="65"/>
        <v>1</v>
      </c>
      <c r="L96" s="339">
        <f t="shared" si="66"/>
        <v>0</v>
      </c>
      <c r="M96" s="731" t="str">
        <f t="shared" si="45"/>
        <v>0.999805992244889+0.0308579973497837i</v>
      </c>
      <c r="N96" s="338">
        <f t="shared" si="67"/>
        <v>1.0002820792802529</v>
      </c>
      <c r="O96" s="339">
        <f t="shared" si="68"/>
        <v>3.0854190603998542E-2</v>
      </c>
      <c r="P96" s="732" t="str">
        <f t="shared" si="60"/>
        <v>0.584945157256314-0.986760894636918i</v>
      </c>
      <c r="Q96" s="337">
        <f t="shared" si="69"/>
        <v>1.1471084953840525</v>
      </c>
      <c r="R96" s="339">
        <f t="shared" si="70"/>
        <v>-1.0356927895573904</v>
      </c>
      <c r="S96" s="731" t="str">
        <f t="shared" si="46"/>
        <v>6000</v>
      </c>
      <c r="T96" s="337" t="str">
        <f t="shared" si="47"/>
        <v>1+13258.7336529132i</v>
      </c>
      <c r="U96" s="346">
        <f t="shared" si="71"/>
        <v>13258.733690624191</v>
      </c>
      <c r="V96" s="347">
        <f t="shared" si="72"/>
        <v>1.5707209048108459</v>
      </c>
      <c r="W96" s="340" t="str">
        <f t="shared" si="48"/>
        <v>1+131.274590622903i</v>
      </c>
      <c r="X96" s="337">
        <f t="shared" si="73"/>
        <v>131.27839937785183</v>
      </c>
      <c r="Y96" s="339">
        <f t="shared" si="74"/>
        <v>1.5631788537316409</v>
      </c>
      <c r="Z96" s="337" t="str">
        <f t="shared" si="49"/>
        <v>1+1.32238882930595i</v>
      </c>
      <c r="AA96" s="346">
        <f t="shared" si="75"/>
        <v>1.6579240681868279</v>
      </c>
      <c r="AB96" s="347">
        <f t="shared" si="76"/>
        <v>0.92333440959535962</v>
      </c>
      <c r="AC96" s="732" t="str">
        <f t="shared" si="77"/>
        <v>21.3967384057073-28.7428592399906i</v>
      </c>
      <c r="AD96" s="337">
        <f t="shared" si="78"/>
        <v>35.832560216822117</v>
      </c>
      <c r="AE96" s="339">
        <f t="shared" si="79"/>
        <v>-0.93087646067456487</v>
      </c>
      <c r="AF96" s="736" t="str">
        <f t="shared" si="50"/>
        <v>-15.8464109865775-37.9264610496602i</v>
      </c>
      <c r="AG96" s="337">
        <f t="shared" si="80"/>
        <v>32.277646709980004</v>
      </c>
      <c r="AH96" s="730">
        <f t="shared" si="81"/>
        <v>-112.6761181584978</v>
      </c>
      <c r="AI96" s="360">
        <f t="shared" si="51"/>
        <v>67.3238818415022</v>
      </c>
      <c r="AL96" s="337">
        <f t="shared" si="52"/>
        <v>31.08555678755636</v>
      </c>
      <c r="AM96" s="730">
        <f t="shared" si="53"/>
        <v>-53.335292444728317</v>
      </c>
      <c r="AN96" s="351"/>
      <c r="AO96" s="337">
        <f t="shared" si="54"/>
        <v>54.464021121163086</v>
      </c>
      <c r="AP96" s="730">
        <f t="shared" si="55"/>
        <v>-59.340825713769398</v>
      </c>
      <c r="AS96" s="351"/>
      <c r="AT96" s="351"/>
      <c r="AV96" s="405">
        <f t="shared" si="56"/>
        <v>0</v>
      </c>
      <c r="AW96" s="405">
        <f t="shared" si="82"/>
        <v>0</v>
      </c>
      <c r="AX96" s="405">
        <f t="shared" si="58"/>
        <v>0</v>
      </c>
      <c r="AY96" s="405">
        <f t="shared" si="59"/>
        <v>0</v>
      </c>
    </row>
    <row r="97" spans="2:51" ht="13.5" thickBot="1" x14ac:dyDescent="0.25">
      <c r="B97" s="345">
        <v>2290.9</v>
      </c>
      <c r="C97" s="728" t="str">
        <f t="shared" si="41"/>
        <v>2.16217503399043</v>
      </c>
      <c r="D97" s="728" t="str">
        <f t="shared" si="42"/>
        <v>1+1.75128815512649i</v>
      </c>
      <c r="E97" s="337">
        <f t="shared" si="61"/>
        <v>2.0166829701979299</v>
      </c>
      <c r="F97" s="338">
        <f t="shared" si="62"/>
        <v>1.0519671210248362</v>
      </c>
      <c r="G97" s="338" t="str">
        <f t="shared" si="43"/>
        <v>1+0.00719707461010885i</v>
      </c>
      <c r="H97" s="337">
        <f t="shared" si="63"/>
        <v>1.0000258986061028</v>
      </c>
      <c r="I97" s="338">
        <f t="shared" si="64"/>
        <v>7.1969503495612902E-3</v>
      </c>
      <c r="J97" s="340">
        <f t="shared" si="44"/>
        <v>1</v>
      </c>
      <c r="K97" s="338">
        <f t="shared" si="65"/>
        <v>1</v>
      </c>
      <c r="L97" s="339">
        <f t="shared" si="66"/>
        <v>0</v>
      </c>
      <c r="M97" s="731" t="str">
        <f t="shared" si="45"/>
        <v>0.999766745652889+0.0338355363655863i</v>
      </c>
      <c r="N97" s="338">
        <f t="shared" si="67"/>
        <v>1.0003391371102679</v>
      </c>
      <c r="O97" s="339">
        <f t="shared" si="68"/>
        <v>3.3830518194204996E-2</v>
      </c>
      <c r="P97" s="732" t="str">
        <f t="shared" si="60"/>
        <v>0.506496015512918-0.944582070119096i</v>
      </c>
      <c r="Q97" s="337">
        <f t="shared" si="69"/>
        <v>1.0718085187760633</v>
      </c>
      <c r="R97" s="339">
        <f t="shared" si="70"/>
        <v>-1.0786006888694799</v>
      </c>
      <c r="S97" s="731" t="str">
        <f t="shared" si="46"/>
        <v>6000</v>
      </c>
      <c r="T97" s="337" t="str">
        <f t="shared" si="47"/>
        <v>1+14538.0907124199i</v>
      </c>
      <c r="U97" s="346">
        <f t="shared" si="71"/>
        <v>14538.090746812311</v>
      </c>
      <c r="V97" s="347">
        <f t="shared" si="72"/>
        <v>1.5707275419717583</v>
      </c>
      <c r="W97" s="340" t="str">
        <f t="shared" si="48"/>
        <v>1+143.941492202177i</v>
      </c>
      <c r="X97" s="337">
        <f t="shared" si="73"/>
        <v>143.94496579383866</v>
      </c>
      <c r="Y97" s="339">
        <f t="shared" si="74"/>
        <v>1.5638491714125715</v>
      </c>
      <c r="Z97" s="337" t="str">
        <f t="shared" si="49"/>
        <v>1+1.44998830663716i</v>
      </c>
      <c r="AA97" s="346">
        <f t="shared" si="75"/>
        <v>1.761381869267564</v>
      </c>
      <c r="AB97" s="347">
        <f t="shared" si="76"/>
        <v>0.96704322436385981</v>
      </c>
      <c r="AC97" s="732" t="str">
        <f t="shared" si="77"/>
        <v>18.9570067342225-27.8960608038886i</v>
      </c>
      <c r="AD97" s="337">
        <f t="shared" si="78"/>
        <v>33.727708381916599</v>
      </c>
      <c r="AE97" s="339">
        <f t="shared" si="79"/>
        <v>-0.97392159492304808</v>
      </c>
      <c r="AF97" s="736" t="str">
        <f t="shared" si="50"/>
        <v>-16.74847048537-32.0356923099492i</v>
      </c>
      <c r="AG97" s="337">
        <f t="shared" si="80"/>
        <v>31.162080774126789</v>
      </c>
      <c r="AH97" s="730">
        <f t="shared" si="81"/>
        <v>-117.60086421786487</v>
      </c>
      <c r="AI97" s="360">
        <f t="shared" si="51"/>
        <v>62.399135782135133</v>
      </c>
      <c r="AL97" s="337">
        <f t="shared" si="52"/>
        <v>30.559736683909726</v>
      </c>
      <c r="AM97" s="730">
        <f t="shared" si="53"/>
        <v>-55.801596965740437</v>
      </c>
      <c r="AN97" s="351"/>
      <c r="AO97" s="337">
        <f t="shared" si="54"/>
        <v>53.874275288956504</v>
      </c>
      <c r="AP97" s="730">
        <f t="shared" si="55"/>
        <v>-61.799267252124451</v>
      </c>
      <c r="AS97" s="351"/>
      <c r="AT97" s="351"/>
      <c r="AV97" s="405">
        <f t="shared" si="56"/>
        <v>0</v>
      </c>
      <c r="AW97" s="405">
        <f t="shared" si="82"/>
        <v>0</v>
      </c>
      <c r="AX97" s="405">
        <f t="shared" si="58"/>
        <v>0</v>
      </c>
      <c r="AY97" s="405">
        <f t="shared" si="59"/>
        <v>0</v>
      </c>
    </row>
    <row r="98" spans="2:51" ht="13.5" thickBot="1" x14ac:dyDescent="0.25">
      <c r="B98" s="345">
        <v>2511.9</v>
      </c>
      <c r="C98" s="728" t="str">
        <f t="shared" si="41"/>
        <v>2.16217503399043</v>
      </c>
      <c r="D98" s="728" t="str">
        <f t="shared" si="42"/>
        <v>1+1.92023253606104i</v>
      </c>
      <c r="E98" s="337">
        <f t="shared" si="61"/>
        <v>2.1650157026098942</v>
      </c>
      <c r="F98" s="338">
        <f t="shared" si="62"/>
        <v>1.0906709118016147</v>
      </c>
      <c r="G98" s="338" t="str">
        <f t="shared" si="43"/>
        <v>1+0.0078913665865522i</v>
      </c>
      <c r="H98" s="337">
        <f t="shared" si="63"/>
        <v>1.0000311363485657</v>
      </c>
      <c r="I98" s="338">
        <f t="shared" si="64"/>
        <v>7.8912027845618685E-3</v>
      </c>
      <c r="J98" s="340">
        <f t="shared" si="44"/>
        <v>1</v>
      </c>
      <c r="K98" s="338">
        <f t="shared" si="65"/>
        <v>1</v>
      </c>
      <c r="L98" s="339">
        <f t="shared" si="66"/>
        <v>0</v>
      </c>
      <c r="M98" s="731" t="str">
        <f t="shared" si="45"/>
        <v>0.999719571484+0.0370996044335049i</v>
      </c>
      <c r="N98" s="338">
        <f t="shared" si="67"/>
        <v>1.0004077180116491</v>
      </c>
      <c r="O98" s="339">
        <f t="shared" si="68"/>
        <v>3.7092989814408422E-2</v>
      </c>
      <c r="P98" s="732" t="str">
        <f t="shared" si="60"/>
        <v>0.435061396022065-0.898525685385188i</v>
      </c>
      <c r="Q98" s="337">
        <f t="shared" si="69"/>
        <v>0.99831198811072575</v>
      </c>
      <c r="R98" s="339">
        <f t="shared" si="70"/>
        <v>-1.1198726988314607</v>
      </c>
      <c r="S98" s="731" t="str">
        <f t="shared" si="46"/>
        <v>6000</v>
      </c>
      <c r="T98" s="337" t="str">
        <f t="shared" si="47"/>
        <v>1+15940.5605048354i</v>
      </c>
      <c r="U98" s="346">
        <f t="shared" si="71"/>
        <v>15940.560536201923</v>
      </c>
      <c r="V98" s="347">
        <f t="shared" si="72"/>
        <v>1.5707335937436726</v>
      </c>
      <c r="W98" s="340" t="str">
        <f t="shared" si="48"/>
        <v>1+157.827331731044i</v>
      </c>
      <c r="X98" s="337">
        <f t="shared" si="73"/>
        <v>157.83049971834029</v>
      </c>
      <c r="Y98" s="339">
        <f t="shared" si="74"/>
        <v>1.5644603733984777</v>
      </c>
      <c r="Z98" s="337" t="str">
        <f t="shared" si="49"/>
        <v>1+1.58986670192583i</v>
      </c>
      <c r="AA98" s="346">
        <f t="shared" si="75"/>
        <v>1.8782108853620554</v>
      </c>
      <c r="AB98" s="347">
        <f t="shared" si="76"/>
        <v>1.0093375644112337</v>
      </c>
      <c r="AC98" s="732" t="str">
        <f t="shared" si="77"/>
        <v>16.6720139987071-26.8789515010373i</v>
      </c>
      <c r="AD98" s="337">
        <f t="shared" si="78"/>
        <v>31.629639336675986</v>
      </c>
      <c r="AE98" s="339">
        <f t="shared" si="79"/>
        <v>-1.015610784756428</v>
      </c>
      <c r="AF98" s="736" t="str">
        <f t="shared" si="50"/>
        <v>-16.8980786351278-26.6742269685904i</v>
      </c>
      <c r="AG98" s="337">
        <f t="shared" si="80"/>
        <v>29.987210522636087</v>
      </c>
      <c r="AH98" s="730">
        <f t="shared" si="81"/>
        <v>-122.35419082948057</v>
      </c>
      <c r="AI98" s="360">
        <f t="shared" si="51"/>
        <v>57.645809170519428</v>
      </c>
      <c r="AL98" s="337">
        <f t="shared" si="52"/>
        <v>30.00188479627559</v>
      </c>
      <c r="AM98" s="730">
        <f t="shared" si="53"/>
        <v>-58.190211594512803</v>
      </c>
      <c r="AN98" s="351"/>
      <c r="AO98" s="337">
        <f t="shared" si="54"/>
        <v>53.257256925099945</v>
      </c>
      <c r="AP98" s="730">
        <f t="shared" si="55"/>
        <v>-64.163979234967783</v>
      </c>
      <c r="AS98" s="351"/>
      <c r="AT98" s="351"/>
      <c r="AV98" s="405">
        <f t="shared" si="56"/>
        <v>0</v>
      </c>
      <c r="AW98" s="405">
        <f t="shared" si="82"/>
        <v>0</v>
      </c>
      <c r="AX98" s="405">
        <f t="shared" si="58"/>
        <v>0</v>
      </c>
      <c r="AY98" s="405">
        <f t="shared" si="59"/>
        <v>0</v>
      </c>
    </row>
    <row r="99" spans="2:51" ht="13.5" thickBot="1" x14ac:dyDescent="0.25">
      <c r="B99" s="345">
        <v>2754.2</v>
      </c>
      <c r="C99" s="728" t="str">
        <f t="shared" si="41"/>
        <v>2.16217503399043</v>
      </c>
      <c r="D99" s="728" t="str">
        <f t="shared" si="42"/>
        <v>1+2.10545979171914i</v>
      </c>
      <c r="E99" s="337">
        <f t="shared" si="61"/>
        <v>2.3308712822775104</v>
      </c>
      <c r="F99" s="338">
        <f t="shared" si="62"/>
        <v>1.1273841858883962</v>
      </c>
      <c r="G99" s="338" t="str">
        <f t="shared" si="43"/>
        <v>1+0.008652574486517i</v>
      </c>
      <c r="H99" s="337">
        <f t="shared" si="63"/>
        <v>1.0000374328220143</v>
      </c>
      <c r="I99" s="338">
        <f t="shared" si="64"/>
        <v>8.6523585653209573E-3</v>
      </c>
      <c r="J99" s="340">
        <f t="shared" si="44"/>
        <v>1</v>
      </c>
      <c r="K99" s="338">
        <f t="shared" si="65"/>
        <v>1</v>
      </c>
      <c r="L99" s="339">
        <f t="shared" si="66"/>
        <v>0</v>
      </c>
      <c r="M99" s="731" t="str">
        <f t="shared" si="45"/>
        <v>0.999662861438222+0.0406782636772002i</v>
      </c>
      <c r="N99" s="338">
        <f t="shared" si="67"/>
        <v>1.0004901587095427</v>
      </c>
      <c r="O99" s="339">
        <f t="shared" si="68"/>
        <v>4.06695450317427E-2</v>
      </c>
      <c r="P99" s="732" t="str">
        <f t="shared" si="60"/>
        <v>0.370778608547788-0.849843066333812i</v>
      </c>
      <c r="Q99" s="337">
        <f t="shared" si="69"/>
        <v>0.92720548636873912</v>
      </c>
      <c r="R99" s="339">
        <f t="shared" si="70"/>
        <v>-1.1594013723548184</v>
      </c>
      <c r="S99" s="731" t="str">
        <f t="shared" si="46"/>
        <v>6000</v>
      </c>
      <c r="T99" s="337" t="str">
        <f t="shared" si="47"/>
        <v>1+17478.2004627643i</v>
      </c>
      <c r="U99" s="346">
        <f t="shared" si="71"/>
        <v>17478.200491371361</v>
      </c>
      <c r="V99" s="347">
        <f t="shared" si="72"/>
        <v>1.5707391126668724</v>
      </c>
      <c r="W99" s="340" t="str">
        <f t="shared" si="48"/>
        <v>1+173.05148973034i</v>
      </c>
      <c r="X99" s="337">
        <f t="shared" si="73"/>
        <v>173.05437901968841</v>
      </c>
      <c r="Y99" s="339">
        <f t="shared" si="74"/>
        <v>1.5650177641778502</v>
      </c>
      <c r="Z99" s="337" t="str">
        <f t="shared" si="49"/>
        <v>1+1.74322658961109i</v>
      </c>
      <c r="AA99" s="346">
        <f t="shared" si="75"/>
        <v>2.0096862796782764</v>
      </c>
      <c r="AB99" s="347">
        <f t="shared" si="76"/>
        <v>1.0499780340399616</v>
      </c>
      <c r="AC99" s="732" t="str">
        <f t="shared" si="77"/>
        <v>14.5619725672493-25.7247036847291i</v>
      </c>
      <c r="AD99" s="337">
        <f t="shared" si="78"/>
        <v>29.560301499078726</v>
      </c>
      <c r="AE99" s="339">
        <f t="shared" si="79"/>
        <v>-1.0556993825289849</v>
      </c>
      <c r="AF99" s="736" t="str">
        <f t="shared" si="50"/>
        <v>-16.4626931337631-21.913561255948i</v>
      </c>
      <c r="AG99" s="337">
        <f t="shared" si="80"/>
        <v>28.757697040832738</v>
      </c>
      <c r="AH99" s="730">
        <f t="shared" si="81"/>
        <v>-126.91592445108456</v>
      </c>
      <c r="AI99" s="360">
        <f t="shared" si="51"/>
        <v>53.084075548915436</v>
      </c>
      <c r="AL99" s="337">
        <f t="shared" si="52"/>
        <v>29.414177186281492</v>
      </c>
      <c r="AM99" s="730">
        <f t="shared" si="53"/>
        <v>-60.487119053477869</v>
      </c>
      <c r="AN99" s="351"/>
      <c r="AO99" s="337">
        <f t="shared" si="54"/>
        <v>52.615451053290684</v>
      </c>
      <c r="AP99" s="730">
        <f t="shared" si="55"/>
        <v>-66.428805397606794</v>
      </c>
      <c r="AS99" s="351"/>
      <c r="AT99" s="351"/>
      <c r="AV99" s="405">
        <f t="shared" si="56"/>
        <v>0</v>
      </c>
      <c r="AW99" s="405">
        <f t="shared" si="82"/>
        <v>0</v>
      </c>
      <c r="AX99" s="405">
        <f t="shared" si="58"/>
        <v>0</v>
      </c>
      <c r="AY99" s="405">
        <f t="shared" si="59"/>
        <v>0</v>
      </c>
    </row>
    <row r="100" spans="2:51" ht="13.5" thickBot="1" x14ac:dyDescent="0.25">
      <c r="B100" s="345">
        <v>3020</v>
      </c>
      <c r="C100" s="728" t="str">
        <f t="shared" si="41"/>
        <v>2.16217503399043</v>
      </c>
      <c r="D100" s="728" t="str">
        <f t="shared" si="42"/>
        <v>1+2.30865172136801i</v>
      </c>
      <c r="E100" s="337">
        <f t="shared" si="61"/>
        <v>2.5159238403766273</v>
      </c>
      <c r="F100" s="338">
        <f t="shared" si="62"/>
        <v>1.1620401200864918</v>
      </c>
      <c r="G100" s="338" t="str">
        <f t="shared" si="43"/>
        <v>1+0.00948760981384115i</v>
      </c>
      <c r="H100" s="337">
        <f t="shared" si="63"/>
        <v>1.0000450063572037</v>
      </c>
      <c r="I100" s="338">
        <f t="shared" si="64"/>
        <v>9.4873251543049833E-3</v>
      </c>
      <c r="J100" s="340">
        <f t="shared" si="44"/>
        <v>1</v>
      </c>
      <c r="K100" s="338">
        <f t="shared" si="65"/>
        <v>1</v>
      </c>
      <c r="L100" s="339">
        <f t="shared" si="66"/>
        <v>0</v>
      </c>
      <c r="M100" s="731" t="str">
        <f t="shared" si="45"/>
        <v>0.999594648888889+0.0446040070819637i</v>
      </c>
      <c r="N100" s="338">
        <f t="shared" si="67"/>
        <v>1.0005893161207895</v>
      </c>
      <c r="O100" s="339">
        <f t="shared" si="68"/>
        <v>4.4592513878841347E-2</v>
      </c>
      <c r="P100" s="732" t="str">
        <f t="shared" si="60"/>
        <v>0.31352348921149-0.79966323413889i</v>
      </c>
      <c r="Q100" s="337">
        <f t="shared" si="69"/>
        <v>0.85892855716923056</v>
      </c>
      <c r="R100" s="339">
        <f t="shared" si="70"/>
        <v>-1.197145308811028</v>
      </c>
      <c r="S100" s="731" t="str">
        <f t="shared" si="46"/>
        <v>6000</v>
      </c>
      <c r="T100" s="337" t="str">
        <f t="shared" si="47"/>
        <v>1+19164.9718239591i</v>
      </c>
      <c r="U100" s="346">
        <f t="shared" si="71"/>
        <v>19164.971850048361</v>
      </c>
      <c r="V100" s="347">
        <f t="shared" si="72"/>
        <v>1.5707441482679321</v>
      </c>
      <c r="W100" s="340" t="str">
        <f t="shared" si="48"/>
        <v>1+189.752196276823i</v>
      </c>
      <c r="X100" s="337">
        <f t="shared" si="73"/>
        <v>189.75483127414162</v>
      </c>
      <c r="Y100" s="339">
        <f t="shared" si="74"/>
        <v>1.56552634435447</v>
      </c>
      <c r="Z100" s="337" t="str">
        <f t="shared" si="49"/>
        <v>1+1.91146042430669i</v>
      </c>
      <c r="AA100" s="346">
        <f t="shared" si="75"/>
        <v>2.1572391971431242</v>
      </c>
      <c r="AB100" s="347">
        <f t="shared" si="76"/>
        <v>1.0887926978693256</v>
      </c>
      <c r="AC100" s="732" t="str">
        <f t="shared" si="77"/>
        <v>12.6380512974656-24.4671063422152i</v>
      </c>
      <c r="AD100" s="337">
        <f t="shared" si="78"/>
        <v>27.538330257273028</v>
      </c>
      <c r="AE100" s="339">
        <f t="shared" si="79"/>
        <v>-1.0940105017827872</v>
      </c>
      <c r="AF100" s="736" t="str">
        <f t="shared" si="50"/>
        <v>-15.6031194480207-17.7771975250644i</v>
      </c>
      <c r="AG100" s="337">
        <f t="shared" si="80"/>
        <v>27.477892922476567</v>
      </c>
      <c r="AH100" s="730">
        <f t="shared" si="81"/>
        <v>-131.27355815390061</v>
      </c>
      <c r="AI100" s="360">
        <f t="shared" si="51"/>
        <v>48.726441846099391</v>
      </c>
      <c r="AL100" s="337">
        <f t="shared" si="52"/>
        <v>28.798752079321119</v>
      </c>
      <c r="AM100" s="730">
        <f t="shared" si="53"/>
        <v>-62.682184495143133</v>
      </c>
      <c r="AN100" s="351"/>
      <c r="AO100" s="337">
        <f t="shared" si="54"/>
        <v>51.951072041894903</v>
      </c>
      <c r="AP100" s="730">
        <f t="shared" si="55"/>
        <v>-68.591373658757448</v>
      </c>
      <c r="AS100" s="351"/>
      <c r="AT100" s="351"/>
      <c r="AV100" s="405">
        <f t="shared" si="56"/>
        <v>0</v>
      </c>
      <c r="AW100" s="405">
        <f t="shared" si="82"/>
        <v>0</v>
      </c>
      <c r="AX100" s="405">
        <f t="shared" si="58"/>
        <v>0</v>
      </c>
      <c r="AY100" s="405">
        <f t="shared" si="59"/>
        <v>0</v>
      </c>
    </row>
    <row r="101" spans="2:51" ht="13.5" thickBot="1" x14ac:dyDescent="0.25">
      <c r="B101" s="345">
        <v>3311.3</v>
      </c>
      <c r="C101" s="728" t="str">
        <f t="shared" si="41"/>
        <v>2.16217503399043</v>
      </c>
      <c r="D101" s="728" t="str">
        <f t="shared" si="42"/>
        <v>1+2.53133723343243i</v>
      </c>
      <c r="E101" s="337">
        <f t="shared" si="61"/>
        <v>2.7217031780415271</v>
      </c>
      <c r="F101" s="338">
        <f t="shared" si="62"/>
        <v>1.194566092607364</v>
      </c>
      <c r="G101" s="338" t="str">
        <f t="shared" si="43"/>
        <v>1+0.0104027557538319i</v>
      </c>
      <c r="H101" s="337">
        <f t="shared" si="63"/>
        <v>1.0000541071998423</v>
      </c>
      <c r="I101" s="338">
        <f t="shared" si="64"/>
        <v>1.0402380525387342E-2</v>
      </c>
      <c r="J101" s="340">
        <f t="shared" si="44"/>
        <v>1</v>
      </c>
      <c r="K101" s="338">
        <f t="shared" si="65"/>
        <v>1</v>
      </c>
      <c r="L101" s="339">
        <f t="shared" si="66"/>
        <v>0</v>
      </c>
      <c r="M101" s="731" t="str">
        <f t="shared" si="45"/>
        <v>0.999512679658222+0.0489063737253334i</v>
      </c>
      <c r="N101" s="338">
        <f t="shared" si="67"/>
        <v>1.0007084641335464</v>
      </c>
      <c r="O101" s="339">
        <f t="shared" si="68"/>
        <v>4.8891225388022111E-2</v>
      </c>
      <c r="P101" s="732" t="str">
        <f t="shared" si="60"/>
        <v>0.263064392446407-0.749049362210895i</v>
      </c>
      <c r="Q101" s="337">
        <f t="shared" si="69"/>
        <v>0.79390038518805739</v>
      </c>
      <c r="R101" s="339">
        <f t="shared" si="70"/>
        <v>-1.2330549374699979</v>
      </c>
      <c r="S101" s="731" t="str">
        <f t="shared" si="46"/>
        <v>6000</v>
      </c>
      <c r="T101" s="337" t="str">
        <f t="shared" si="47"/>
        <v>1+21013.5666227404i</v>
      </c>
      <c r="U101" s="346">
        <f t="shared" si="71"/>
        <v>21013.566646534553</v>
      </c>
      <c r="V101" s="347">
        <f t="shared" si="72"/>
        <v>1.5707487384907692</v>
      </c>
      <c r="W101" s="340" t="str">
        <f t="shared" si="48"/>
        <v>1+208.055115076638i</v>
      </c>
      <c r="X101" s="337">
        <f t="shared" si="73"/>
        <v>208.0575182721189</v>
      </c>
      <c r="Y101" s="339">
        <f t="shared" si="74"/>
        <v>1.5659899450859693</v>
      </c>
      <c r="Z101" s="337" t="str">
        <f t="shared" si="49"/>
        <v>1+2.0958340738433i</v>
      </c>
      <c r="AA101" s="346">
        <f t="shared" si="75"/>
        <v>2.3221801103882109</v>
      </c>
      <c r="AB101" s="347">
        <f t="shared" si="76"/>
        <v>1.1256058280011882</v>
      </c>
      <c r="AC101" s="732" t="str">
        <f t="shared" si="77"/>
        <v>10.9064872863867-23.1408904771178i</v>
      </c>
      <c r="AD101" s="337">
        <f t="shared" si="78"/>
        <v>25.582264891953489</v>
      </c>
      <c r="AE101" s="339">
        <f t="shared" si="79"/>
        <v>-1.1303646214059875</v>
      </c>
      <c r="AF101" s="736" t="str">
        <f t="shared" si="50"/>
        <v>-14.4645608011595-14.257041639861i</v>
      </c>
      <c r="AG101" s="337">
        <f t="shared" si="80"/>
        <v>26.154100083781987</v>
      </c>
      <c r="AH101" s="730">
        <f t="shared" si="81"/>
        <v>-135.41396594226484</v>
      </c>
      <c r="AI101" s="360">
        <f t="shared" si="51"/>
        <v>44.586034057735162</v>
      </c>
      <c r="AL101" s="337">
        <f t="shared" si="52"/>
        <v>28.158779830635368</v>
      </c>
      <c r="AM101" s="730">
        <f t="shared" si="53"/>
        <v>-64.765122117466234</v>
      </c>
      <c r="AN101" s="351"/>
      <c r="AO101" s="337">
        <f t="shared" si="54"/>
        <v>51.267251451886054</v>
      </c>
      <c r="AP101" s="730">
        <f t="shared" si="55"/>
        <v>-70.648843824798547</v>
      </c>
      <c r="AS101" s="351"/>
      <c r="AT101" s="351"/>
      <c r="AV101" s="405">
        <f t="shared" si="56"/>
        <v>0</v>
      </c>
      <c r="AW101" s="405">
        <f t="shared" si="82"/>
        <v>0</v>
      </c>
      <c r="AX101" s="405">
        <f t="shared" si="58"/>
        <v>0</v>
      </c>
      <c r="AY101" s="405">
        <f t="shared" si="59"/>
        <v>0</v>
      </c>
    </row>
    <row r="102" spans="2:51" ht="13.5" thickBot="1" x14ac:dyDescent="0.25">
      <c r="B102" s="345">
        <v>3630.8</v>
      </c>
      <c r="C102" s="728" t="str">
        <f t="shared" si="41"/>
        <v>2.16217503399043</v>
      </c>
      <c r="D102" s="728" t="str">
        <f t="shared" si="42"/>
        <v>1+2.77558035428576i</v>
      </c>
      <c r="E102" s="337">
        <f t="shared" si="61"/>
        <v>2.9502281781409834</v>
      </c>
      <c r="F102" s="338">
        <f t="shared" si="62"/>
        <v>1.2249884572105247</v>
      </c>
      <c r="G102" s="338" t="str">
        <f t="shared" si="43"/>
        <v>1+0.0114064946066538i</v>
      </c>
      <c r="H102" s="337">
        <f t="shared" si="63"/>
        <v>1.0000650519437282</v>
      </c>
      <c r="I102" s="338">
        <f t="shared" si="64"/>
        <v>1.1405999952748297E-2</v>
      </c>
      <c r="J102" s="340">
        <f t="shared" si="44"/>
        <v>1</v>
      </c>
      <c r="K102" s="338">
        <f t="shared" si="65"/>
        <v>1</v>
      </c>
      <c r="L102" s="339">
        <f t="shared" si="66"/>
        <v>0</v>
      </c>
      <c r="M102" s="731" t="str">
        <f t="shared" si="45"/>
        <v>0.999414101838222+0.0536252413619847i</v>
      </c>
      <c r="N102" s="338">
        <f t="shared" si="67"/>
        <v>1.0008517439981963</v>
      </c>
      <c r="O102" s="339">
        <f t="shared" si="68"/>
        <v>5.3605274252917411E-2</v>
      </c>
      <c r="P102" s="732" t="str">
        <f t="shared" si="60"/>
        <v>0.218934953880755-0.698814999088567i</v>
      </c>
      <c r="Q102" s="337">
        <f t="shared" si="69"/>
        <v>0.73230793863095756</v>
      </c>
      <c r="R102" s="339">
        <f t="shared" si="70"/>
        <v>-1.2671877315106941</v>
      </c>
      <c r="S102" s="731" t="str">
        <f t="shared" si="46"/>
        <v>6000</v>
      </c>
      <c r="T102" s="337" t="str">
        <f t="shared" si="47"/>
        <v>1+23041.1191054407i</v>
      </c>
      <c r="U102" s="346">
        <f t="shared" si="71"/>
        <v>23041.119127141035</v>
      </c>
      <c r="V102" s="347">
        <f t="shared" si="72"/>
        <v>1.5707529261252158</v>
      </c>
      <c r="W102" s="340" t="str">
        <f t="shared" si="48"/>
        <v>1+228.129892133076i</v>
      </c>
      <c r="X102" s="337">
        <f t="shared" si="73"/>
        <v>228.1320838563679</v>
      </c>
      <c r="Y102" s="339">
        <f t="shared" si="74"/>
        <v>1.5664128872298571</v>
      </c>
      <c r="Z102" s="337" t="str">
        <f t="shared" si="49"/>
        <v>1+2.2980564597923i</v>
      </c>
      <c r="AA102" s="346">
        <f t="shared" si="75"/>
        <v>2.5062049980783936</v>
      </c>
      <c r="AB102" s="347">
        <f t="shared" si="76"/>
        <v>1.1603597776123182</v>
      </c>
      <c r="AC102" s="732" t="str">
        <f t="shared" si="77"/>
        <v>9.36361393281084-21.7759392454535i</v>
      </c>
      <c r="AD102" s="337">
        <f t="shared" si="78"/>
        <v>23.703771765362813</v>
      </c>
      <c r="AE102" s="339">
        <f t="shared" si="79"/>
        <v>-1.164699816507675</v>
      </c>
      <c r="AF102" s="736" t="str">
        <f t="shared" si="50"/>
        <v>-13.1673305794271-11.3109481163364i</v>
      </c>
      <c r="AG102" s="337">
        <f t="shared" si="80"/>
        <v>24.790223979890698</v>
      </c>
      <c r="AH102" s="730">
        <f t="shared" si="81"/>
        <v>-139.33689275187075</v>
      </c>
      <c r="AI102" s="360">
        <f t="shared" si="51"/>
        <v>40.663107248129251</v>
      </c>
      <c r="AL102" s="337">
        <f t="shared" si="52"/>
        <v>27.496349136702207</v>
      </c>
      <c r="AM102" s="730">
        <f t="shared" si="53"/>
        <v>-66.732383885551187</v>
      </c>
      <c r="AN102" s="351"/>
      <c r="AO102" s="337">
        <f t="shared" si="54"/>
        <v>50.565806041927949</v>
      </c>
      <c r="AP102" s="730">
        <f t="shared" si="55"/>
        <v>-72.604508866319762</v>
      </c>
      <c r="AS102" s="351"/>
      <c r="AT102" s="351"/>
      <c r="AV102" s="405">
        <f t="shared" si="56"/>
        <v>0</v>
      </c>
      <c r="AW102" s="405">
        <f t="shared" si="82"/>
        <v>0</v>
      </c>
      <c r="AX102" s="405">
        <f t="shared" si="58"/>
        <v>0</v>
      </c>
      <c r="AY102" s="405">
        <f t="shared" si="59"/>
        <v>0</v>
      </c>
    </row>
    <row r="103" spans="2:51" ht="13.5" thickBot="1" x14ac:dyDescent="0.25">
      <c r="B103" s="345">
        <v>3981.1</v>
      </c>
      <c r="C103" s="728" t="str">
        <f t="shared" si="41"/>
        <v>2.16217503399043</v>
      </c>
      <c r="D103" s="728" t="str">
        <f t="shared" si="42"/>
        <v>1+3.04336866488021i</v>
      </c>
      <c r="E103" s="337">
        <f t="shared" si="61"/>
        <v>3.2034501448242882</v>
      </c>
      <c r="F103" s="338">
        <f t="shared" si="62"/>
        <v>1.2533269121955002</v>
      </c>
      <c r="G103" s="338" t="str">
        <f t="shared" si="43"/>
        <v>1+0.0125069945132063i</v>
      </c>
      <c r="H103" s="337">
        <f t="shared" si="63"/>
        <v>1.0000782093975218</v>
      </c>
      <c r="I103" s="338">
        <f t="shared" si="64"/>
        <v>1.2506342439234566E-2</v>
      </c>
      <c r="J103" s="340">
        <f t="shared" si="44"/>
        <v>1</v>
      </c>
      <c r="K103" s="338">
        <f t="shared" si="65"/>
        <v>1</v>
      </c>
      <c r="L103" s="339">
        <f t="shared" si="66"/>
        <v>0</v>
      </c>
      <c r="M103" s="731" t="str">
        <f t="shared" si="45"/>
        <v>0.999295593012889+0.0587990107927173i</v>
      </c>
      <c r="N103" s="338">
        <f t="shared" si="67"/>
        <v>1.0010239786764268</v>
      </c>
      <c r="O103" s="339">
        <f t="shared" si="68"/>
        <v>5.8772693334069287E-2</v>
      </c>
      <c r="P103" s="732" t="str">
        <f t="shared" si="60"/>
        <v>0.18064254119962-0.649667632559316i</v>
      </c>
      <c r="Q103" s="337">
        <f t="shared" si="69"/>
        <v>0.67431428910136759</v>
      </c>
      <c r="R103" s="339">
        <f t="shared" si="70"/>
        <v>-1.299593263090334</v>
      </c>
      <c r="S103" s="731" t="str">
        <f t="shared" si="46"/>
        <v>6000</v>
      </c>
      <c r="T103" s="337" t="str">
        <f t="shared" si="47"/>
        <v>1+25264.1289166768i</v>
      </c>
      <c r="U103" s="346">
        <f t="shared" si="71"/>
        <v>25264.128936467703</v>
      </c>
      <c r="V103" s="347">
        <f t="shared" si="72"/>
        <v>1.5707567449829618</v>
      </c>
      <c r="W103" s="340" t="str">
        <f t="shared" si="48"/>
        <v>1+250.139890264127i</v>
      </c>
      <c r="X103" s="337">
        <f t="shared" si="73"/>
        <v>250.14188913764423</v>
      </c>
      <c r="Y103" s="339">
        <f t="shared" si="74"/>
        <v>1.5667985850847459</v>
      </c>
      <c r="Z103" s="337" t="str">
        <f t="shared" si="49"/>
        <v>1+2.51977321033358i</v>
      </c>
      <c r="AA103" s="346">
        <f t="shared" si="75"/>
        <v>2.7109513148551367</v>
      </c>
      <c r="AB103" s="347">
        <f t="shared" si="76"/>
        <v>1.1929988123981312</v>
      </c>
      <c r="AC103" s="732" t="str">
        <f t="shared" si="77"/>
        <v>8.00263910967984-20.3999751171341i</v>
      </c>
      <c r="AD103" s="337">
        <f t="shared" si="78"/>
        <v>21.913493959190255</v>
      </c>
      <c r="AE103" s="339">
        <f t="shared" si="79"/>
        <v>-1.1969569722963465</v>
      </c>
      <c r="AF103" s="736" t="str">
        <f t="shared" si="50"/>
        <v>-11.8075864735414-8.88415895018041i</v>
      </c>
      <c r="AG103" s="337">
        <f t="shared" si="80"/>
        <v>23.391479822701505</v>
      </c>
      <c r="AH103" s="730">
        <f t="shared" si="81"/>
        <v>-143.04179183004894</v>
      </c>
      <c r="AI103" s="360">
        <f t="shared" si="51"/>
        <v>36.958208169951064</v>
      </c>
      <c r="AL103" s="337">
        <f t="shared" si="52"/>
        <v>26.814232568301929</v>
      </c>
      <c r="AM103" s="730">
        <f t="shared" si="53"/>
        <v>-68.580582771338058</v>
      </c>
      <c r="AN103" s="351"/>
      <c r="AO103" s="337">
        <f t="shared" si="54"/>
        <v>49.849178453139046</v>
      </c>
      <c r="AP103" s="730">
        <f t="shared" si="55"/>
        <v>-74.461209058710992</v>
      </c>
      <c r="AS103" s="351"/>
      <c r="AT103" s="351"/>
      <c r="AV103" s="405">
        <f t="shared" si="56"/>
        <v>0</v>
      </c>
      <c r="AW103" s="405">
        <f t="shared" si="82"/>
        <v>0</v>
      </c>
      <c r="AX103" s="405">
        <f t="shared" si="58"/>
        <v>0</v>
      </c>
      <c r="AY103" s="405">
        <f t="shared" si="59"/>
        <v>0</v>
      </c>
    </row>
    <row r="104" spans="2:51" ht="13.5" thickBot="1" x14ac:dyDescent="0.25">
      <c r="B104" s="345">
        <v>4365.2</v>
      </c>
      <c r="C104" s="728" t="str">
        <f t="shared" si="41"/>
        <v>2.16217503399043</v>
      </c>
      <c r="D104" s="728" t="str">
        <f t="shared" si="42"/>
        <v>1+3.33699552785287i</v>
      </c>
      <c r="E104" s="337">
        <f t="shared" si="61"/>
        <v>3.4836100747514855</v>
      </c>
      <c r="F104" s="338">
        <f t="shared" si="62"/>
        <v>1.2796416108634641</v>
      </c>
      <c r="G104" s="338" t="str">
        <f t="shared" si="43"/>
        <v>1+0.0137136802514502i</v>
      </c>
      <c r="H104" s="337">
        <f t="shared" si="63"/>
        <v>1.0000940280923785</v>
      </c>
      <c r="I104" s="338">
        <f t="shared" si="64"/>
        <v>1.3712820660565644E-2</v>
      </c>
      <c r="J104" s="340">
        <f t="shared" si="44"/>
        <v>1</v>
      </c>
      <c r="K104" s="338">
        <f t="shared" si="65"/>
        <v>1</v>
      </c>
      <c r="L104" s="339">
        <f t="shared" si="66"/>
        <v>0</v>
      </c>
      <c r="M104" s="731" t="str">
        <f t="shared" si="45"/>
        <v>0.999153112398222+0.0644719906338371i</v>
      </c>
      <c r="N104" s="338">
        <f t="shared" si="67"/>
        <v>1.0012310320756863</v>
      </c>
      <c r="O104" s="339">
        <f t="shared" si="68"/>
        <v>6.4437304271122264E-2</v>
      </c>
      <c r="P104" s="732" t="str">
        <f t="shared" si="60"/>
        <v>0.147626607097909-0.602133019477465i</v>
      </c>
      <c r="Q104" s="337">
        <f t="shared" si="69"/>
        <v>0.61996595734628013</v>
      </c>
      <c r="R104" s="339">
        <f t="shared" si="70"/>
        <v>-1.3303660944740203</v>
      </c>
      <c r="S104" s="731" t="str">
        <f t="shared" si="46"/>
        <v>6000</v>
      </c>
      <c r="T104" s="337" t="str">
        <f t="shared" si="47"/>
        <v>1+27701.6341079293i</v>
      </c>
      <c r="U104" s="346">
        <f t="shared" si="71"/>
        <v>27701.634125978781</v>
      </c>
      <c r="V104" s="347">
        <f t="shared" si="72"/>
        <v>1.5707602278414678</v>
      </c>
      <c r="W104" s="340" t="str">
        <f t="shared" si="48"/>
        <v>1+274.273605029003i</v>
      </c>
      <c r="X104" s="337">
        <f t="shared" si="73"/>
        <v>274.27542802009361</v>
      </c>
      <c r="Y104" s="339">
        <f t="shared" si="74"/>
        <v>1.5671503486526028</v>
      </c>
      <c r="Z104" s="337" t="str">
        <f t="shared" si="49"/>
        <v>1+2.76288312721311i</v>
      </c>
      <c r="AA104" s="346">
        <f t="shared" si="75"/>
        <v>2.9382857544219374</v>
      </c>
      <c r="AB104" s="347">
        <f t="shared" si="76"/>
        <v>1.223523721042723</v>
      </c>
      <c r="AC104" s="732" t="str">
        <f t="shared" si="77"/>
        <v>6.81221895068808-19.0358140258415i</v>
      </c>
      <c r="AD104" s="337">
        <f t="shared" si="78"/>
        <v>20.218025191856345</v>
      </c>
      <c r="AE104" s="339">
        <f t="shared" si="79"/>
        <v>-1.2271336002315882</v>
      </c>
      <c r="AF104" s="736" t="str">
        <f t="shared" si="50"/>
        <v>-10.4564274070933-6.91205460410119i</v>
      </c>
      <c r="AG104" s="337">
        <f t="shared" si="80"/>
        <v>21.962131523210143</v>
      </c>
      <c r="AH104" s="730">
        <f t="shared" si="81"/>
        <v>-146.53393861262799</v>
      </c>
      <c r="AI104" s="360">
        <f t="shared" si="51"/>
        <v>33.466061387372008</v>
      </c>
      <c r="AL104" s="337">
        <f t="shared" si="52"/>
        <v>26.114774666876194</v>
      </c>
      <c r="AM104" s="730">
        <f t="shared" si="53"/>
        <v>-70.309576191963984</v>
      </c>
      <c r="AN104" s="351"/>
      <c r="AO104" s="337">
        <f t="shared" si="54"/>
        <v>49.119288055073355</v>
      </c>
      <c r="AP104" s="730">
        <f t="shared" si="55"/>
        <v>-76.224362420663908</v>
      </c>
      <c r="AS104" s="351"/>
      <c r="AT104" s="351"/>
      <c r="AV104" s="405">
        <f t="shared" si="56"/>
        <v>0</v>
      </c>
      <c r="AW104" s="405">
        <f t="shared" si="82"/>
        <v>0</v>
      </c>
      <c r="AX104" s="405">
        <f t="shared" si="58"/>
        <v>0</v>
      </c>
      <c r="AY104" s="405">
        <f t="shared" si="59"/>
        <v>0</v>
      </c>
    </row>
    <row r="105" spans="2:51" ht="13.5" thickBot="1" x14ac:dyDescent="0.25">
      <c r="B105" s="345">
        <v>4786.3</v>
      </c>
      <c r="C105" s="728" t="str">
        <f t="shared" si="41"/>
        <v>2.16217503399043</v>
      </c>
      <c r="D105" s="728" t="str">
        <f t="shared" si="42"/>
        <v>1+3.65890719668337i</v>
      </c>
      <c r="E105" s="337">
        <f t="shared" si="61"/>
        <v>3.7930992438824163</v>
      </c>
      <c r="F105" s="338">
        <f t="shared" si="62"/>
        <v>1.3040060234144772</v>
      </c>
      <c r="G105" s="338" t="str">
        <f t="shared" si="43"/>
        <v>1+0.0150366049178768i</v>
      </c>
      <c r="H105" s="337">
        <f t="shared" si="63"/>
        <v>1.0001130433543282</v>
      </c>
      <c r="I105" s="338">
        <f t="shared" si="64"/>
        <v>1.5035471815367494E-2</v>
      </c>
      <c r="J105" s="340">
        <f t="shared" si="44"/>
        <v>1</v>
      </c>
      <c r="K105" s="338">
        <f t="shared" si="65"/>
        <v>1</v>
      </c>
      <c r="L105" s="339">
        <f t="shared" si="66"/>
        <v>0</v>
      </c>
      <c r="M105" s="731" t="str">
        <f t="shared" si="45"/>
        <v>0.998981836991556+0.0706914434094052i</v>
      </c>
      <c r="N105" s="338">
        <f t="shared" si="67"/>
        <v>1.0014799003526376</v>
      </c>
      <c r="O105" s="339">
        <f t="shared" si="68"/>
        <v>7.0645730393036649E-2</v>
      </c>
      <c r="P105" s="732" t="str">
        <f t="shared" si="60"/>
        <v>0.119322823778203-0.556604265462401i</v>
      </c>
      <c r="Q105" s="337">
        <f t="shared" si="69"/>
        <v>0.56925059912602904</v>
      </c>
      <c r="R105" s="339">
        <f t="shared" si="70"/>
        <v>-1.3596162819921469</v>
      </c>
      <c r="S105" s="731" t="str">
        <f t="shared" si="46"/>
        <v>6000</v>
      </c>
      <c r="T105" s="337" t="str">
        <f t="shared" si="47"/>
        <v>1+30373.9419341112i</v>
      </c>
      <c r="U105" s="346">
        <f t="shared" si="71"/>
        <v>30373.941950572676</v>
      </c>
      <c r="V105" s="347">
        <f t="shared" si="72"/>
        <v>1.570763403837389</v>
      </c>
      <c r="W105" s="340" t="str">
        <f t="shared" si="48"/>
        <v>1+300.732098357537i</v>
      </c>
      <c r="X105" s="337">
        <f t="shared" si="73"/>
        <v>300.73376096229583</v>
      </c>
      <c r="Y105" s="339">
        <f t="shared" si="74"/>
        <v>1.5674711203410701</v>
      </c>
      <c r="Z105" s="337" t="str">
        <f t="shared" si="49"/>
        <v>1+3.02941159895999i</v>
      </c>
      <c r="AA105" s="346">
        <f t="shared" si="75"/>
        <v>3.190193510731492</v>
      </c>
      <c r="AB105" s="347">
        <f t="shared" si="76"/>
        <v>1.2519611997472446</v>
      </c>
      <c r="AC105" s="732" t="str">
        <f t="shared" si="77"/>
        <v>5.77886558545048-17.7021443590415i</v>
      </c>
      <c r="AD105" s="337">
        <f t="shared" si="78"/>
        <v>18.621525242660674</v>
      </c>
      <c r="AE105" s="339">
        <f t="shared" si="79"/>
        <v>-1.2552534832435633</v>
      </c>
      <c r="AF105" s="736" t="str">
        <f t="shared" si="50"/>
        <v>-9.16353849818305-5.32881108624583i</v>
      </c>
      <c r="AG105" s="337">
        <f t="shared" si="80"/>
        <v>20.506374929079119</v>
      </c>
      <c r="AH105" s="730">
        <f t="shared" si="81"/>
        <v>-149.82100152437059</v>
      </c>
      <c r="AI105" s="360">
        <f t="shared" si="51"/>
        <v>30.178998475629413</v>
      </c>
      <c r="AL105" s="337">
        <f t="shared" si="52"/>
        <v>25.400305001587896</v>
      </c>
      <c r="AM105" s="730">
        <f t="shared" si="53"/>
        <v>-71.920726808951784</v>
      </c>
      <c r="AN105" s="351"/>
      <c r="AO105" s="337">
        <f t="shared" si="54"/>
        <v>48.378001126230643</v>
      </c>
      <c r="AP105" s="730">
        <f t="shared" si="55"/>
        <v>-77.900274715418789</v>
      </c>
      <c r="AS105" s="351"/>
      <c r="AT105" s="351"/>
      <c r="AV105" s="405">
        <f t="shared" si="56"/>
        <v>0</v>
      </c>
      <c r="AW105" s="405">
        <f t="shared" si="82"/>
        <v>0</v>
      </c>
      <c r="AX105" s="405">
        <f t="shared" si="58"/>
        <v>0</v>
      </c>
      <c r="AY105" s="405">
        <f t="shared" si="59"/>
        <v>0</v>
      </c>
    </row>
    <row r="106" spans="2:51" ht="13.5" thickBot="1" x14ac:dyDescent="0.25">
      <c r="B106" s="345">
        <v>5248.1</v>
      </c>
      <c r="C106" s="728" t="str">
        <f t="shared" si="41"/>
        <v>2.16217503399043</v>
      </c>
      <c r="D106" s="728" t="str">
        <f t="shared" si="42"/>
        <v>1+4.01193215195745i</v>
      </c>
      <c r="E106" s="337">
        <f t="shared" si="61"/>
        <v>4.1346825261330444</v>
      </c>
      <c r="F106" s="338">
        <f t="shared" si="62"/>
        <v>1.3265175897569228</v>
      </c>
      <c r="G106" s="338" t="str">
        <f t="shared" si="43"/>
        <v>1+0.0164873924053046i</v>
      </c>
      <c r="H106" s="337">
        <f t="shared" si="63"/>
        <v>1.0001359078186958</v>
      </c>
      <c r="I106" s="338">
        <f t="shared" si="64"/>
        <v>1.6485898703716081E-2</v>
      </c>
      <c r="J106" s="340">
        <f t="shared" si="44"/>
        <v>1</v>
      </c>
      <c r="K106" s="338">
        <f t="shared" si="65"/>
        <v>1</v>
      </c>
      <c r="L106" s="339">
        <f t="shared" si="66"/>
        <v>0</v>
      </c>
      <c r="M106" s="731" t="str">
        <f t="shared" si="45"/>
        <v>0.998775886506222+0.0775120164128656i</v>
      </c>
      <c r="N106" s="338">
        <f t="shared" si="67"/>
        <v>1.0017791094620998</v>
      </c>
      <c r="O106" s="339">
        <f t="shared" si="68"/>
        <v>7.7451771719700524E-2</v>
      </c>
      <c r="P106" s="732" t="str">
        <f t="shared" si="60"/>
        <v>0.0951685891598952-0.513331081789709i</v>
      </c>
      <c r="Q106" s="337">
        <f t="shared" si="69"/>
        <v>0.52207840397212157</v>
      </c>
      <c r="R106" s="339">
        <f t="shared" si="70"/>
        <v>-1.3874834627729073</v>
      </c>
      <c r="S106" s="731" t="str">
        <f t="shared" si="46"/>
        <v>6000</v>
      </c>
      <c r="T106" s="337" t="str">
        <f t="shared" si="47"/>
        <v>1+33304.5326587153i</v>
      </c>
      <c r="U106" s="346">
        <f t="shared" si="71"/>
        <v>33304.532673728274</v>
      </c>
      <c r="V106" s="347">
        <f t="shared" si="72"/>
        <v>1.5707663008518833</v>
      </c>
      <c r="W106" s="340" t="str">
        <f t="shared" si="48"/>
        <v>1+329.747848106092i</v>
      </c>
      <c r="X106" s="337">
        <f t="shared" si="73"/>
        <v>329.74936441272837</v>
      </c>
      <c r="Y106" s="339">
        <f t="shared" si="74"/>
        <v>1.5677637158463635</v>
      </c>
      <c r="Z106" s="337" t="str">
        <f t="shared" si="49"/>
        <v>1+3.32170048106092i</v>
      </c>
      <c r="AA106" s="346">
        <f t="shared" si="75"/>
        <v>3.468961528452045</v>
      </c>
      <c r="AB106" s="347">
        <f t="shared" si="76"/>
        <v>1.2783759367298615</v>
      </c>
      <c r="AC106" s="732" t="str">
        <f t="shared" si="77"/>
        <v>4.88739761671712-16.4128429531717i</v>
      </c>
      <c r="AD106" s="337">
        <f t="shared" si="78"/>
        <v>17.125071365380354</v>
      </c>
      <c r="AE106" s="339">
        <f t="shared" si="79"/>
        <v>-1.2813785217353815</v>
      </c>
      <c r="AF106" s="736" t="str">
        <f t="shared" si="50"/>
        <v>-7.96009569254983-4.07084021368212i</v>
      </c>
      <c r="AG106" s="337">
        <f t="shared" si="80"/>
        <v>19.027362375691318</v>
      </c>
      <c r="AH106" s="730">
        <f t="shared" si="81"/>
        <v>-152.91452781523427</v>
      </c>
      <c r="AI106" s="360">
        <f t="shared" si="51"/>
        <v>27.085472184765734</v>
      </c>
      <c r="AL106" s="337">
        <f t="shared" si="52"/>
        <v>24.672647800108308</v>
      </c>
      <c r="AM106" s="730">
        <f t="shared" si="53"/>
        <v>-73.417581254149781</v>
      </c>
      <c r="AN106" s="351"/>
      <c r="AO106" s="337">
        <f t="shared" si="54"/>
        <v>47.626645774322427</v>
      </c>
      <c r="AP106" s="730">
        <f t="shared" si="55"/>
        <v>-79.496946561084457</v>
      </c>
      <c r="AS106" s="351"/>
      <c r="AT106" s="351"/>
      <c r="AV106" s="405">
        <f t="shared" si="56"/>
        <v>0</v>
      </c>
      <c r="AW106" s="405">
        <f t="shared" si="82"/>
        <v>0</v>
      </c>
      <c r="AX106" s="405">
        <f t="shared" si="58"/>
        <v>0</v>
      </c>
      <c r="AY106" s="405">
        <f t="shared" si="59"/>
        <v>0</v>
      </c>
    </row>
    <row r="107" spans="2:51" ht="13.5" thickBot="1" x14ac:dyDescent="0.25">
      <c r="B107" s="345">
        <v>5370.3</v>
      </c>
      <c r="C107" s="728" t="str">
        <f t="shared" si="41"/>
        <v>2.16217503399043</v>
      </c>
      <c r="D107" s="728" t="str">
        <f t="shared" si="42"/>
        <v>1+4.10534845670949i</v>
      </c>
      <c r="E107" s="337">
        <f t="shared" si="61"/>
        <v>4.2253858937388182</v>
      </c>
      <c r="F107" s="338">
        <f t="shared" si="62"/>
        <v>1.3318646639074396</v>
      </c>
      <c r="G107" s="338" t="str">
        <f t="shared" si="43"/>
        <v>1+0.0168712950275733i</v>
      </c>
      <c r="H107" s="337">
        <f t="shared" si="63"/>
        <v>1.0001423101718612</v>
      </c>
      <c r="I107" s="338">
        <f t="shared" si="64"/>
        <v>1.6869694549077642E-2</v>
      </c>
      <c r="J107" s="340">
        <f t="shared" si="44"/>
        <v>1</v>
      </c>
      <c r="K107" s="338">
        <f t="shared" si="65"/>
        <v>1</v>
      </c>
      <c r="L107" s="339">
        <f t="shared" si="66"/>
        <v>0</v>
      </c>
      <c r="M107" s="731" t="str">
        <f t="shared" si="45"/>
        <v>0.998718216796+0.0793168540504205i</v>
      </c>
      <c r="N107" s="338">
        <f t="shared" si="67"/>
        <v>1.0018628847784701</v>
      </c>
      <c r="O107" s="339">
        <f t="shared" si="68"/>
        <v>7.9252307594331009E-2</v>
      </c>
      <c r="P107" s="732" t="str">
        <f t="shared" si="60"/>
        <v>0.0897190961644946-0.502891321119659i</v>
      </c>
      <c r="Q107" s="337">
        <f t="shared" si="69"/>
        <v>0.51083186771583644</v>
      </c>
      <c r="R107" s="339">
        <f t="shared" si="70"/>
        <v>-1.394247276952693</v>
      </c>
      <c r="S107" s="731" t="str">
        <f t="shared" si="46"/>
        <v>6000</v>
      </c>
      <c r="T107" s="337" t="str">
        <f t="shared" si="47"/>
        <v>1+34080.015955698i</v>
      </c>
      <c r="U107" s="346">
        <f t="shared" si="71"/>
        <v>34080.01597036935</v>
      </c>
      <c r="V107" s="347">
        <f t="shared" si="72"/>
        <v>1.5707669840856382</v>
      </c>
      <c r="W107" s="340" t="str">
        <f t="shared" si="48"/>
        <v>1+337.425900551465i</v>
      </c>
      <c r="X107" s="337">
        <f t="shared" si="73"/>
        <v>337.42738235502935</v>
      </c>
      <c r="Y107" s="339">
        <f t="shared" si="74"/>
        <v>1.5678327218353707</v>
      </c>
      <c r="Z107" s="337" t="str">
        <f t="shared" si="49"/>
        <v>1+3.39904500551465i</v>
      </c>
      <c r="AA107" s="346">
        <f t="shared" si="75"/>
        <v>3.543092850817501</v>
      </c>
      <c r="AB107" s="347">
        <f t="shared" si="76"/>
        <v>1.2846688308235781</v>
      </c>
      <c r="AC107" s="732" t="str">
        <f t="shared" si="77"/>
        <v>4.68502130848151-16.0989114035317i</v>
      </c>
      <c r="AD107" s="337">
        <f t="shared" si="78"/>
        <v>16.766763940596555</v>
      </c>
      <c r="AE107" s="339">
        <f t="shared" si="79"/>
        <v>-1.2876030930738465</v>
      </c>
      <c r="AF107" s="736" t="str">
        <f t="shared" si="50"/>
        <v>-7.67566694700204-3.80043633565316i</v>
      </c>
      <c r="AG107" s="337">
        <f t="shared" si="80"/>
        <v>18.654544647801877</v>
      </c>
      <c r="AH107" s="730">
        <f t="shared" si="81"/>
        <v>-153.65870748811884</v>
      </c>
      <c r="AI107" s="360">
        <f t="shared" si="51"/>
        <v>26.341292511881164</v>
      </c>
      <c r="AL107" s="337">
        <f t="shared" si="52"/>
        <v>24.488984998862602</v>
      </c>
      <c r="AM107" s="730">
        <f t="shared" si="53"/>
        <v>-73.774222921121918</v>
      </c>
      <c r="AN107" s="351"/>
      <c r="AO107" s="337">
        <f t="shared" si="54"/>
        <v>47.43749084767871</v>
      </c>
      <c r="AP107" s="730">
        <f t="shared" si="55"/>
        <v>-79.884484566996932</v>
      </c>
      <c r="AS107" s="351"/>
      <c r="AT107" s="351"/>
      <c r="AV107" s="405">
        <f t="shared" si="56"/>
        <v>0</v>
      </c>
      <c r="AW107" s="405">
        <f t="shared" si="82"/>
        <v>0</v>
      </c>
      <c r="AX107" s="405">
        <f t="shared" si="58"/>
        <v>0</v>
      </c>
      <c r="AY107" s="405">
        <f t="shared" si="59"/>
        <v>0</v>
      </c>
    </row>
    <row r="108" spans="2:51" ht="13.5" thickBot="1" x14ac:dyDescent="0.25">
      <c r="B108" s="345">
        <v>5432.85</v>
      </c>
      <c r="C108" s="728" t="str">
        <f t="shared" si="41"/>
        <v>2.16217503399043</v>
      </c>
      <c r="D108" s="728" t="str">
        <f t="shared" si="42"/>
        <v>1+4.15316506769346i</v>
      </c>
      <c r="E108" s="337">
        <f t="shared" si="61"/>
        <v>4.2718590893789115</v>
      </c>
      <c r="F108" s="338">
        <f t="shared" si="62"/>
        <v>1.3345137495767478</v>
      </c>
      <c r="G108" s="338" t="str">
        <f t="shared" si="43"/>
        <v>1+0.0170678016480553i</v>
      </c>
      <c r="H108" s="337">
        <f t="shared" si="63"/>
        <v>1.0001456443204146</v>
      </c>
      <c r="I108" s="338">
        <f t="shared" si="64"/>
        <v>1.7066144598077721E-2</v>
      </c>
      <c r="J108" s="340">
        <f t="shared" si="44"/>
        <v>1</v>
      </c>
      <c r="K108" s="338">
        <f t="shared" si="65"/>
        <v>1</v>
      </c>
      <c r="L108" s="339">
        <f t="shared" si="66"/>
        <v>0</v>
      </c>
      <c r="M108" s="731" t="str">
        <f t="shared" si="45"/>
        <v>0.998688184039+0.0802406887004129i</v>
      </c>
      <c r="N108" s="338">
        <f t="shared" si="67"/>
        <v>1.0019065111387548</v>
      </c>
      <c r="O108" s="339">
        <f t="shared" si="68"/>
        <v>8.0173863341843149E-2</v>
      </c>
      <c r="P108" s="732" t="str">
        <f t="shared" si="60"/>
        <v>0.0870606551904486-0.497696999495762i</v>
      </c>
      <c r="Q108" s="337">
        <f t="shared" si="69"/>
        <v>0.50525425380621469</v>
      </c>
      <c r="R108" s="339">
        <f t="shared" si="70"/>
        <v>-1.3976214683205133</v>
      </c>
      <c r="S108" s="731" t="str">
        <f t="shared" si="46"/>
        <v>6000</v>
      </c>
      <c r="T108" s="337" t="str">
        <f t="shared" si="47"/>
        <v>1+34476.9593290717i</v>
      </c>
      <c r="U108" s="346">
        <f t="shared" si="71"/>
        <v>34476.959343574141</v>
      </c>
      <c r="V108" s="347">
        <f t="shared" si="72"/>
        <v>1.5707673219168801</v>
      </c>
      <c r="W108" s="340" t="str">
        <f t="shared" si="48"/>
        <v>1+341.356032961106i</v>
      </c>
      <c r="X108" s="337">
        <f t="shared" si="73"/>
        <v>341.35749770430368</v>
      </c>
      <c r="Y108" s="339">
        <f t="shared" si="74"/>
        <v>1.5678668424945965</v>
      </c>
      <c r="Z108" s="337" t="str">
        <f t="shared" si="49"/>
        <v>1+3.43863502191875i</v>
      </c>
      <c r="AA108" s="346">
        <f t="shared" si="75"/>
        <v>3.5810907296473466</v>
      </c>
      <c r="AB108" s="347">
        <f t="shared" si="76"/>
        <v>1.287789074620012</v>
      </c>
      <c r="AC108" s="732" t="str">
        <f t="shared" si="77"/>
        <v>4.58612606192371-15.9423198974071i</v>
      </c>
      <c r="AD108" s="337">
        <f t="shared" si="78"/>
        <v>16.588855173492782</v>
      </c>
      <c r="AE108" s="339">
        <f t="shared" si="79"/>
        <v>-1.2906895540422945</v>
      </c>
      <c r="AF108" s="736" t="str">
        <f t="shared" si="50"/>
        <v>-7.53517363820403-3.67044999585273i</v>
      </c>
      <c r="AG108" s="337">
        <f t="shared" si="80"/>
        <v>18.466527884195656</v>
      </c>
      <c r="AH108" s="730">
        <f t="shared" si="81"/>
        <v>-154.02887559988838</v>
      </c>
      <c r="AI108" s="360">
        <f t="shared" si="51"/>
        <v>25.97112440011162</v>
      </c>
      <c r="AL108" s="337">
        <f t="shared" si="52"/>
        <v>24.396328312421542</v>
      </c>
      <c r="AM108" s="730">
        <f t="shared" si="53"/>
        <v>-73.951064108245859</v>
      </c>
      <c r="AN108" s="351"/>
      <c r="AO108" s="337">
        <f t="shared" si="54"/>
        <v>47.342130770513549</v>
      </c>
      <c r="AP108" s="730">
        <f t="shared" si="55"/>
        <v>-80.077811491642507</v>
      </c>
      <c r="AS108" s="351"/>
      <c r="AT108" s="351"/>
      <c r="AV108" s="405">
        <f t="shared" si="56"/>
        <v>0</v>
      </c>
      <c r="AW108" s="405">
        <f t="shared" si="82"/>
        <v>0</v>
      </c>
      <c r="AX108" s="405">
        <f t="shared" si="58"/>
        <v>0</v>
      </c>
      <c r="AY108" s="405">
        <f t="shared" si="59"/>
        <v>0</v>
      </c>
    </row>
    <row r="109" spans="2:51" ht="13.5" thickBot="1" x14ac:dyDescent="0.25">
      <c r="B109" s="345">
        <v>5495.4</v>
      </c>
      <c r="C109" s="728" t="str">
        <f t="shared" si="41"/>
        <v>2.16217503399043</v>
      </c>
      <c r="D109" s="728" t="str">
        <f t="shared" si="42"/>
        <v>1+4.20098167867742i</v>
      </c>
      <c r="E109" s="337">
        <f t="shared" si="61"/>
        <v>4.318361618088896</v>
      </c>
      <c r="F109" s="338">
        <f t="shared" si="62"/>
        <v>1.337105799444418</v>
      </c>
      <c r="G109" s="338" t="str">
        <f t="shared" si="43"/>
        <v>1+0.0172643082685373i</v>
      </c>
      <c r="H109" s="337">
        <f t="shared" si="63"/>
        <v>1.0001490170669525</v>
      </c>
      <c r="I109" s="338">
        <f t="shared" si="64"/>
        <v>1.7262593329704222E-2</v>
      </c>
      <c r="J109" s="340">
        <f t="shared" si="44"/>
        <v>1</v>
      </c>
      <c r="K109" s="338">
        <f t="shared" si="65"/>
        <v>1</v>
      </c>
      <c r="L109" s="339">
        <f t="shared" si="66"/>
        <v>0</v>
      </c>
      <c r="M109" s="731" t="str">
        <f t="shared" si="45"/>
        <v>0.998657803504+0.0811645233504052i</v>
      </c>
      <c r="N109" s="338">
        <f t="shared" si="67"/>
        <v>1.0019506416735968</v>
      </c>
      <c r="O109" s="339">
        <f t="shared" si="68"/>
        <v>8.1095366172539249E-2</v>
      </c>
      <c r="P109" s="732" t="str">
        <f t="shared" si="60"/>
        <v>0.0844860954900456-0.492600454483928i</v>
      </c>
      <c r="Q109" s="337">
        <f t="shared" si="69"/>
        <v>0.49979306526694178</v>
      </c>
      <c r="R109" s="339">
        <f t="shared" si="70"/>
        <v>-1.4009385722872527</v>
      </c>
      <c r="S109" s="731" t="str">
        <f t="shared" si="46"/>
        <v>6000</v>
      </c>
      <c r="T109" s="337" t="str">
        <f t="shared" si="47"/>
        <v>1+34873.9027024454i</v>
      </c>
      <c r="U109" s="346">
        <f t="shared" si="71"/>
        <v>34873.902716782766</v>
      </c>
      <c r="V109" s="347">
        <f t="shared" si="72"/>
        <v>1.5707676520575649</v>
      </c>
      <c r="W109" s="340" t="str">
        <f t="shared" si="48"/>
        <v>1+345.286165370747i</v>
      </c>
      <c r="X109" s="337">
        <f t="shared" si="73"/>
        <v>345.28761344194618</v>
      </c>
      <c r="Y109" s="339">
        <f t="shared" si="74"/>
        <v>1.5679001864208728</v>
      </c>
      <c r="Z109" s="337" t="str">
        <f t="shared" si="49"/>
        <v>1+3.47822503832286i</v>
      </c>
      <c r="AA109" s="346">
        <f t="shared" si="75"/>
        <v>3.6191227413858269</v>
      </c>
      <c r="AB109" s="347">
        <f t="shared" si="76"/>
        <v>1.2908437686804628</v>
      </c>
      <c r="AC109" s="732" t="str">
        <f t="shared" si="77"/>
        <v>4.4902447265999-15.7884266104117i</v>
      </c>
      <c r="AD109" s="337">
        <f t="shared" si="78"/>
        <v>16.414527484430199</v>
      </c>
      <c r="AE109" s="339">
        <f t="shared" si="79"/>
        <v>-1.2937112343171557</v>
      </c>
      <c r="AF109" s="736" t="str">
        <f t="shared" si="50"/>
        <v>-7.39802287912975-3.54579911131199i</v>
      </c>
      <c r="AG109" s="337">
        <f t="shared" si="80"/>
        <v>18.28037222730617</v>
      </c>
      <c r="AH109" s="730">
        <f t="shared" si="81"/>
        <v>-154.3920611841761</v>
      </c>
      <c r="AI109" s="360">
        <f t="shared" si="51"/>
        <v>25.6079388158239</v>
      </c>
      <c r="AL109" s="337">
        <f t="shared" si="52"/>
        <v>24.304567709192412</v>
      </c>
      <c r="AM109" s="730">
        <f t="shared" si="53"/>
        <v>-74.124193635033336</v>
      </c>
      <c r="AN109" s="351"/>
      <c r="AO109" s="337">
        <f t="shared" si="54"/>
        <v>47.2477357168532</v>
      </c>
      <c r="AP109" s="730">
        <f t="shared" si="55"/>
        <v>-80.267867549142778</v>
      </c>
      <c r="AS109" s="351"/>
      <c r="AT109" s="351"/>
      <c r="AV109" s="405">
        <f t="shared" si="56"/>
        <v>0</v>
      </c>
      <c r="AW109" s="405">
        <f t="shared" si="82"/>
        <v>0</v>
      </c>
      <c r="AX109" s="405">
        <f t="shared" si="58"/>
        <v>0</v>
      </c>
      <c r="AY109" s="405">
        <f t="shared" si="59"/>
        <v>0</v>
      </c>
    </row>
    <row r="110" spans="2:51" ht="13.5" thickBot="1" x14ac:dyDescent="0.25">
      <c r="B110" s="345">
        <v>5559.4</v>
      </c>
      <c r="C110" s="728" t="str">
        <f t="shared" si="41"/>
        <v>2.16217503399043</v>
      </c>
      <c r="D110" s="728" t="str">
        <f t="shared" si="42"/>
        <v>1+4.24990674826933i</v>
      </c>
      <c r="E110" s="337">
        <f t="shared" si="61"/>
        <v>4.3659715263598766</v>
      </c>
      <c r="F110" s="338">
        <f t="shared" si="62"/>
        <v>1.3397007676032244</v>
      </c>
      <c r="G110" s="338" t="str">
        <f t="shared" si="43"/>
        <v>1+0.0174653701983671i</v>
      </c>
      <c r="H110" s="337">
        <f t="shared" si="63"/>
        <v>1.0001525079487459</v>
      </c>
      <c r="I110" s="338">
        <f t="shared" si="64"/>
        <v>1.7463594649393805E-2</v>
      </c>
      <c r="J110" s="340">
        <f t="shared" si="44"/>
        <v>1</v>
      </c>
      <c r="K110" s="338">
        <f t="shared" si="65"/>
        <v>1</v>
      </c>
      <c r="L110" s="339">
        <f t="shared" si="66"/>
        <v>0</v>
      </c>
      <c r="M110" s="731" t="str">
        <f t="shared" si="45"/>
        <v>0.998626358739556+0.0821097738316124i</v>
      </c>
      <c r="N110" s="338">
        <f t="shared" si="67"/>
        <v>1.0019963170232227</v>
      </c>
      <c r="O110" s="339">
        <f t="shared" si="68"/>
        <v>8.2038175381010645E-2</v>
      </c>
      <c r="P110" s="732" t="str">
        <f t="shared" si="60"/>
        <v>0.0819351096041767-0.487484363587579i</v>
      </c>
      <c r="Q110" s="337">
        <f t="shared" si="69"/>
        <v>0.49432212870580189</v>
      </c>
      <c r="R110" s="339">
        <f t="shared" si="70"/>
        <v>-1.4042753483348414</v>
      </c>
      <c r="S110" s="731" t="str">
        <f t="shared" si="46"/>
        <v>6000</v>
      </c>
      <c r="T110" s="337" t="str">
        <f t="shared" si="47"/>
        <v>1+35280.0478007015i</v>
      </c>
      <c r="U110" s="346">
        <f t="shared" si="71"/>
        <v>35280.047814873811</v>
      </c>
      <c r="V110" s="347">
        <f t="shared" si="72"/>
        <v>1.5707679821621063</v>
      </c>
      <c r="W110" s="340" t="str">
        <f t="shared" si="48"/>
        <v>1+349.307403967342i</v>
      </c>
      <c r="X110" s="337">
        <f t="shared" si="73"/>
        <v>349.30883536836541</v>
      </c>
      <c r="Y110" s="339">
        <f t="shared" si="74"/>
        <v>1.5679335267031551</v>
      </c>
      <c r="Z110" s="337" t="str">
        <f t="shared" si="49"/>
        <v>1+3.51873280890419i</v>
      </c>
      <c r="AA110" s="346">
        <f t="shared" si="75"/>
        <v>3.6580706090039827</v>
      </c>
      <c r="AB110" s="347">
        <f t="shared" si="76"/>
        <v>1.2939035023314029</v>
      </c>
      <c r="AC110" s="732" t="str">
        <f t="shared" si="77"/>
        <v>4.39513750806164-15.6336985063413i</v>
      </c>
      <c r="AD110" s="337">
        <f t="shared" si="78"/>
        <v>16.239758702085094</v>
      </c>
      <c r="AE110" s="339">
        <f t="shared" si="79"/>
        <v>-1.2967379577903542</v>
      </c>
      <c r="AF110" s="736" t="str">
        <f t="shared" si="50"/>
        <v>-7.26106749343541-3.42350961163305i</v>
      </c>
      <c r="AG110" s="337">
        <f t="shared" si="80"/>
        <v>18.091792488429746</v>
      </c>
      <c r="AH110" s="730">
        <f t="shared" si="81"/>
        <v>-154.75666284965072</v>
      </c>
      <c r="AI110" s="360">
        <f t="shared" si="51"/>
        <v>25.243337150349276</v>
      </c>
      <c r="AL110" s="337">
        <f t="shared" si="52"/>
        <v>24.21159144005944</v>
      </c>
      <c r="AM110" s="730">
        <f t="shared" si="53"/>
        <v>-74.297612115800789</v>
      </c>
      <c r="AN110" s="351"/>
      <c r="AO110" s="337">
        <f t="shared" si="54"/>
        <v>47.152132247109748</v>
      </c>
      <c r="AP110" s="730">
        <f t="shared" si="55"/>
        <v>-80.459050733849949</v>
      </c>
      <c r="AS110" s="351"/>
      <c r="AT110" s="351"/>
      <c r="AV110" s="405">
        <f t="shared" si="56"/>
        <v>0</v>
      </c>
      <c r="AW110" s="405">
        <f t="shared" si="82"/>
        <v>0</v>
      </c>
      <c r="AX110" s="405">
        <f t="shared" si="58"/>
        <v>0</v>
      </c>
      <c r="AY110" s="405">
        <f t="shared" si="59"/>
        <v>0</v>
      </c>
    </row>
    <row r="111" spans="2:51" ht="13.5" thickBot="1" x14ac:dyDescent="0.25">
      <c r="B111" s="345">
        <v>5623.4</v>
      </c>
      <c r="C111" s="728" t="str">
        <f t="shared" si="41"/>
        <v>2.16217503399043</v>
      </c>
      <c r="D111" s="728" t="str">
        <f t="shared" si="42"/>
        <v>1+4.29883181786123i</v>
      </c>
      <c r="E111" s="337">
        <f t="shared" si="61"/>
        <v>4.4136102000806652</v>
      </c>
      <c r="F111" s="338">
        <f t="shared" si="62"/>
        <v>1.3422397345378163</v>
      </c>
      <c r="G111" s="338" t="str">
        <f t="shared" si="43"/>
        <v>1+0.0176664321281969i</v>
      </c>
      <c r="H111" s="337">
        <f t="shared" si="63"/>
        <v>1.0001560392379483</v>
      </c>
      <c r="I111" s="338">
        <f t="shared" si="64"/>
        <v>1.7664594557837938E-2</v>
      </c>
      <c r="J111" s="340">
        <f t="shared" si="44"/>
        <v>1</v>
      </c>
      <c r="K111" s="338">
        <f t="shared" si="65"/>
        <v>1</v>
      </c>
      <c r="L111" s="339">
        <f t="shared" si="66"/>
        <v>0</v>
      </c>
      <c r="M111" s="731" t="str">
        <f t="shared" si="45"/>
        <v>0.998594549886222+0.0830550243128196i</v>
      </c>
      <c r="N111" s="338">
        <f t="shared" si="67"/>
        <v>1.0020425201188168</v>
      </c>
      <c r="O111" s="339">
        <f t="shared" si="68"/>
        <v>8.2980927917074843E-2</v>
      </c>
      <c r="P111" s="732" t="str">
        <f t="shared" si="60"/>
        <v>0.0794648818111593-0.482465425722726i</v>
      </c>
      <c r="Q111" s="337">
        <f t="shared" si="69"/>
        <v>0.48896580090950409</v>
      </c>
      <c r="R111" s="339">
        <f t="shared" si="70"/>
        <v>-1.4075560678970533</v>
      </c>
      <c r="S111" s="731" t="str">
        <f t="shared" si="46"/>
        <v>6000</v>
      </c>
      <c r="T111" s="337" t="str">
        <f t="shared" si="47"/>
        <v>1+35686.1928989576i</v>
      </c>
      <c r="U111" s="346">
        <f t="shared" si="71"/>
        <v>35686.19291296861</v>
      </c>
      <c r="V111" s="347">
        <f t="shared" si="72"/>
        <v>1.5707683047527985</v>
      </c>
      <c r="W111" s="340" t="str">
        <f t="shared" si="48"/>
        <v>1+353.328642563937i</v>
      </c>
      <c r="X111" s="337">
        <f t="shared" si="73"/>
        <v>353.33005767422952</v>
      </c>
      <c r="Y111" s="339">
        <f t="shared" si="74"/>
        <v>1.5679661080990781</v>
      </c>
      <c r="Z111" s="337" t="str">
        <f t="shared" si="49"/>
        <v>1+3.55924057948553i</v>
      </c>
      <c r="AA111" s="346">
        <f t="shared" si="75"/>
        <v>3.6970520016164898</v>
      </c>
      <c r="AB111" s="347">
        <f t="shared" si="76"/>
        <v>1.2968987404057184</v>
      </c>
      <c r="AC111" s="732" t="str">
        <f t="shared" si="77"/>
        <v>4.30294223542498-15.4816741922404i</v>
      </c>
      <c r="AD111" s="337">
        <f t="shared" si="78"/>
        <v>16.068526618084391</v>
      </c>
      <c r="AE111" s="339">
        <f t="shared" si="79"/>
        <v>-1.2997009370594372</v>
      </c>
      <c r="AF111" s="736" t="str">
        <f t="shared" si="50"/>
        <v>-7.12743973388151-3.30627026739987i</v>
      </c>
      <c r="AG111" s="337">
        <f t="shared" si="80"/>
        <v>17.905090828808685</v>
      </c>
      <c r="AH111" s="730">
        <f t="shared" si="81"/>
        <v>-155.11440044123466</v>
      </c>
      <c r="AI111" s="360">
        <f t="shared" si="51"/>
        <v>24.885599558765335</v>
      </c>
      <c r="AL111" s="337">
        <f t="shared" si="52"/>
        <v>24.119521130822172</v>
      </c>
      <c r="AM111" s="730">
        <f t="shared" si="53"/>
        <v>-74.467378322704008</v>
      </c>
      <c r="AN111" s="351"/>
      <c r="AO111" s="337">
        <f t="shared" si="54"/>
        <v>47.057500896725941</v>
      </c>
      <c r="AP111" s="730">
        <f t="shared" si="55"/>
        <v>-80.647022118530671</v>
      </c>
      <c r="AS111" s="351"/>
      <c r="AT111" s="351"/>
      <c r="AV111" s="405">
        <f t="shared" si="56"/>
        <v>0</v>
      </c>
      <c r="AW111" s="405">
        <f t="shared" si="82"/>
        <v>0</v>
      </c>
      <c r="AX111" s="405">
        <f t="shared" si="58"/>
        <v>0</v>
      </c>
      <c r="AY111" s="405">
        <f t="shared" si="59"/>
        <v>0</v>
      </c>
    </row>
    <row r="112" spans="2:51" ht="13.5" thickBot="1" x14ac:dyDescent="0.25">
      <c r="B112" s="345">
        <v>5688.9</v>
      </c>
      <c r="C112" s="728" t="str">
        <f t="shared" si="41"/>
        <v>2.16217503399043</v>
      </c>
      <c r="D112" s="728" t="str">
        <f t="shared" si="42"/>
        <v>1+4.34890356877169i</v>
      </c>
      <c r="E112" s="337">
        <f t="shared" si="61"/>
        <v>4.4623942284915996</v>
      </c>
      <c r="F112" s="338">
        <f t="shared" si="62"/>
        <v>1.344782061106391</v>
      </c>
      <c r="G112" s="338" t="str">
        <f t="shared" si="43"/>
        <v>1+0.017872206447007i</v>
      </c>
      <c r="H112" s="337">
        <f t="shared" si="63"/>
        <v>1.0001596951303748</v>
      </c>
      <c r="I112" s="338">
        <f t="shared" si="64"/>
        <v>1.7870303923456683E-2</v>
      </c>
      <c r="J112" s="340">
        <f t="shared" si="44"/>
        <v>1</v>
      </c>
      <c r="K112" s="338">
        <f t="shared" si="65"/>
        <v>1</v>
      </c>
      <c r="L112" s="339">
        <f t="shared" si="66"/>
        <v>0</v>
      </c>
      <c r="M112" s="731" t="str">
        <f t="shared" si="45"/>
        <v>0.998561618524+0.08402242910218i</v>
      </c>
      <c r="N112" s="338">
        <f t="shared" si="67"/>
        <v>1.0020903525039553</v>
      </c>
      <c r="O112" s="339">
        <f t="shared" si="68"/>
        <v>8.3945716863572828E-2</v>
      </c>
      <c r="P112" s="732" t="str">
        <f t="shared" si="60"/>
        <v>0.0770169299256562-0.477426823146735i</v>
      </c>
      <c r="Q112" s="337">
        <f t="shared" si="69"/>
        <v>0.48359898568458276</v>
      </c>
      <c r="R112" s="339">
        <f t="shared" si="70"/>
        <v>-1.4108574740465074</v>
      </c>
      <c r="S112" s="731" t="str">
        <f t="shared" si="46"/>
        <v>6000</v>
      </c>
      <c r="T112" s="337" t="str">
        <f t="shared" si="47"/>
        <v>1+36101.857022954i</v>
      </c>
      <c r="U112" s="346">
        <f t="shared" si="71"/>
        <v>36101.857036803696</v>
      </c>
      <c r="V112" s="347">
        <f t="shared" si="72"/>
        <v>1.5707686273887662</v>
      </c>
      <c r="W112" s="340" t="str">
        <f t="shared" si="48"/>
        <v>1+357.444128940139i</v>
      </c>
      <c r="X112" s="337">
        <f t="shared" si="73"/>
        <v>357.44552775741192</v>
      </c>
      <c r="Y112" s="339">
        <f t="shared" si="74"/>
        <v>1.5679986940738124</v>
      </c>
      <c r="Z112" s="337" t="str">
        <f t="shared" si="49"/>
        <v>1+3.60069775093985i</v>
      </c>
      <c r="AA112" s="346">
        <f t="shared" si="75"/>
        <v>3.7369806386471014</v>
      </c>
      <c r="AB112" s="347">
        <f t="shared" si="76"/>
        <v>1.299899449623489</v>
      </c>
      <c r="AC112" s="732" t="str">
        <f t="shared" si="77"/>
        <v>4.21148189656844-15.3288243205216i</v>
      </c>
      <c r="AD112" s="337">
        <f t="shared" si="78"/>
        <v>15.896837258226498</v>
      </c>
      <c r="AE112" s="339">
        <f t="shared" si="79"/>
        <v>-1.3026693829384417</v>
      </c>
      <c r="AF112" s="736" t="str">
        <f t="shared" si="50"/>
        <v>-6.99403649180986-3.19125341115496i</v>
      </c>
      <c r="AG112" s="337">
        <f t="shared" si="80"/>
        <v>17.715922190227282</v>
      </c>
      <c r="AH112" s="730">
        <f t="shared" si="81"/>
        <v>-155.47363650063693</v>
      </c>
      <c r="AI112" s="360">
        <f t="shared" si="51"/>
        <v>24.526363499363072</v>
      </c>
      <c r="AL112" s="337">
        <f t="shared" si="52"/>
        <v>24.026214564486111</v>
      </c>
      <c r="AM112" s="730">
        <f t="shared" si="53"/>
        <v>-74.63745774328396</v>
      </c>
      <c r="AN112" s="351"/>
      <c r="AO112" s="337">
        <f t="shared" si="54"/>
        <v>46.96163882448058</v>
      </c>
      <c r="AP112" s="730">
        <f t="shared" si="55"/>
        <v>-80.83617875735294</v>
      </c>
      <c r="AS112" s="351"/>
      <c r="AT112" s="351"/>
      <c r="AV112" s="405">
        <f t="shared" si="56"/>
        <v>0</v>
      </c>
      <c r="AW112" s="405">
        <f t="shared" si="82"/>
        <v>0</v>
      </c>
      <c r="AX112" s="405">
        <f t="shared" si="58"/>
        <v>0</v>
      </c>
      <c r="AY112" s="405">
        <f t="shared" si="59"/>
        <v>0</v>
      </c>
    </row>
    <row r="113" spans="2:51" ht="13.5" thickBot="1" x14ac:dyDescent="0.25">
      <c r="B113" s="345">
        <v>5754.4</v>
      </c>
      <c r="C113" s="728" t="str">
        <f t="shared" si="41"/>
        <v>2.16217503399043</v>
      </c>
      <c r="D113" s="728" t="str">
        <f t="shared" si="42"/>
        <v>1+4.39897531968216i</v>
      </c>
      <c r="E113" s="337">
        <f t="shared" si="61"/>
        <v>4.5112064753425738</v>
      </c>
      <c r="F113" s="338">
        <f t="shared" si="62"/>
        <v>1.3472693863970819</v>
      </c>
      <c r="G113" s="338" t="str">
        <f t="shared" si="43"/>
        <v>1+0.0180779807658171i</v>
      </c>
      <c r="H113" s="337">
        <f t="shared" si="63"/>
        <v>1.000163393345592</v>
      </c>
      <c r="I113" s="338">
        <f t="shared" si="64"/>
        <v>1.8076011776513735E-2</v>
      </c>
      <c r="J113" s="340">
        <f t="shared" si="44"/>
        <v>1</v>
      </c>
      <c r="K113" s="338">
        <f t="shared" si="65"/>
        <v>1</v>
      </c>
      <c r="L113" s="339">
        <f t="shared" si="66"/>
        <v>0</v>
      </c>
      <c r="M113" s="731" t="str">
        <f t="shared" si="45"/>
        <v>0.998528305806222+0.0849898338915405i</v>
      </c>
      <c r="N113" s="338">
        <f t="shared" si="67"/>
        <v>1.0021387375813569</v>
      </c>
      <c r="O113" s="339">
        <f t="shared" si="68"/>
        <v>8.4910445085965541E-2</v>
      </c>
      <c r="P113" s="732" t="str">
        <f t="shared" si="60"/>
        <v>0.0746467405039303-0.472484722791165i</v>
      </c>
      <c r="Q113" s="337">
        <f t="shared" si="69"/>
        <v>0.47834501057176831</v>
      </c>
      <c r="R113" s="339">
        <f t="shared" si="70"/>
        <v>-1.4141038197065341</v>
      </c>
      <c r="S113" s="731" t="str">
        <f t="shared" si="46"/>
        <v>6000</v>
      </c>
      <c r="T113" s="337" t="str">
        <f t="shared" si="47"/>
        <v>1+36517.5211469506i</v>
      </c>
      <c r="U113" s="346">
        <f t="shared" si="71"/>
        <v>36517.521160642653</v>
      </c>
      <c r="V113" s="347">
        <f t="shared" si="72"/>
        <v>1.5707689426798652</v>
      </c>
      <c r="W113" s="340" t="str">
        <f t="shared" si="48"/>
        <v>1+361.559615316342i</v>
      </c>
      <c r="X113" s="337">
        <f t="shared" si="73"/>
        <v>361.56099821150679</v>
      </c>
      <c r="Y113" s="339">
        <f t="shared" si="74"/>
        <v>1.5680305382284341</v>
      </c>
      <c r="Z113" s="337" t="str">
        <f t="shared" si="49"/>
        <v>1+3.64215492239419i</v>
      </c>
      <c r="AA113" s="346">
        <f t="shared" si="75"/>
        <v>3.7769422127853938</v>
      </c>
      <c r="AB113" s="347">
        <f t="shared" si="76"/>
        <v>1.3028366873936155</v>
      </c>
      <c r="AC113" s="732" t="str">
        <f t="shared" si="77"/>
        <v>4.12283498444093-15.1786816437968i</v>
      </c>
      <c r="AD113" s="337">
        <f t="shared" si="78"/>
        <v>15.728640906087975</v>
      </c>
      <c r="AE113" s="339">
        <f t="shared" si="79"/>
        <v>-1.3055750918450455</v>
      </c>
      <c r="AF113" s="736" t="str">
        <f t="shared" si="50"/>
        <v>-6.86393899558059-3.08101565459356i</v>
      </c>
      <c r="AG113" s="337">
        <f t="shared" si="80"/>
        <v>17.528648914433319</v>
      </c>
      <c r="AH113" s="730">
        <f t="shared" si="81"/>
        <v>-155.82612326263902</v>
      </c>
      <c r="AI113" s="360">
        <f t="shared" si="51"/>
        <v>24.173876737360985</v>
      </c>
      <c r="AL113" s="337">
        <f t="shared" si="52"/>
        <v>23.933823947078668</v>
      </c>
      <c r="AM113" s="730">
        <f t="shared" si="53"/>
        <v>-74.803942600125936</v>
      </c>
      <c r="AN113" s="351"/>
      <c r="AO113" s="337">
        <f t="shared" si="54"/>
        <v>46.866756166094071</v>
      </c>
      <c r="AP113" s="730">
        <f t="shared" si="55"/>
        <v>-81.022180662513065</v>
      </c>
      <c r="AS113" s="351"/>
      <c r="AT113" s="351"/>
      <c r="AV113" s="405">
        <f t="shared" si="56"/>
        <v>0</v>
      </c>
      <c r="AW113" s="405">
        <f t="shared" si="82"/>
        <v>0</v>
      </c>
      <c r="AX113" s="405">
        <f t="shared" si="58"/>
        <v>0</v>
      </c>
      <c r="AY113" s="405">
        <f t="shared" si="59"/>
        <v>0</v>
      </c>
    </row>
    <row r="114" spans="2:51" ht="13.5" thickBot="1" x14ac:dyDescent="0.25">
      <c r="B114" s="345">
        <v>5821.4</v>
      </c>
      <c r="C114" s="728" t="str">
        <f t="shared" si="41"/>
        <v>2.16217503399043</v>
      </c>
      <c r="D114" s="728" t="str">
        <f t="shared" si="42"/>
        <v>1+4.45019375191118i</v>
      </c>
      <c r="E114" s="337">
        <f t="shared" si="61"/>
        <v>4.5611648106102569</v>
      </c>
      <c r="F114" s="338">
        <f t="shared" si="62"/>
        <v>1.3497585776101373</v>
      </c>
      <c r="G114" s="338" t="str">
        <f t="shared" si="43"/>
        <v>1+0.0182884674736076i</v>
      </c>
      <c r="H114" s="337">
        <f t="shared" si="63"/>
        <v>1.0001672200399958</v>
      </c>
      <c r="I114" s="338">
        <f t="shared" si="64"/>
        <v>1.8286428913386304E-2</v>
      </c>
      <c r="J114" s="340">
        <f t="shared" si="44"/>
        <v>1</v>
      </c>
      <c r="K114" s="338">
        <f t="shared" si="65"/>
        <v>1</v>
      </c>
      <c r="L114" s="339">
        <f t="shared" si="66"/>
        <v>0</v>
      </c>
      <c r="M114" s="731" t="str">
        <f t="shared" si="45"/>
        <v>0.998493835646222+0.0859793929890542i</v>
      </c>
      <c r="N114" s="338">
        <f t="shared" si="67"/>
        <v>1.0021888024929588</v>
      </c>
      <c r="O114" s="339">
        <f t="shared" si="68"/>
        <v>8.5897202776368059E-2</v>
      </c>
      <c r="P114" s="732" t="str">
        <f t="shared" si="60"/>
        <v>0.0722993958326889-0.467526639767707i</v>
      </c>
      <c r="Q114" s="337">
        <f t="shared" si="69"/>
        <v>0.47308388424280012</v>
      </c>
      <c r="R114" s="339">
        <f t="shared" si="70"/>
        <v>-1.4173693514731189</v>
      </c>
      <c r="S114" s="731" t="str">
        <f t="shared" si="46"/>
        <v>6000</v>
      </c>
      <c r="T114" s="337" t="str">
        <f t="shared" si="47"/>
        <v>1+36942.7042966874i</v>
      </c>
      <c r="U114" s="346">
        <f t="shared" si="71"/>
        <v>36942.704310221867</v>
      </c>
      <c r="V114" s="347">
        <f t="shared" si="72"/>
        <v>1.5707692578507357</v>
      </c>
      <c r="W114" s="340" t="str">
        <f t="shared" si="48"/>
        <v>1+365.769349472152i</v>
      </c>
      <c r="X114" s="337">
        <f t="shared" si="73"/>
        <v>365.77071645127808</v>
      </c>
      <c r="Y114" s="339">
        <f t="shared" si="74"/>
        <v>1.5680623702456786</v>
      </c>
      <c r="Z114" s="337" t="str">
        <f t="shared" si="49"/>
        <v>1+3.68456149472152i</v>
      </c>
      <c r="AA114" s="346">
        <f t="shared" si="75"/>
        <v>3.8178519364145704</v>
      </c>
      <c r="AB114" s="347">
        <f t="shared" si="76"/>
        <v>1.3057775475577504</v>
      </c>
      <c r="AC114" s="732" t="str">
        <f t="shared" si="77"/>
        <v>4.034952894446-15.0278376766883i</v>
      </c>
      <c r="AD114" s="337">
        <f t="shared" si="78"/>
        <v>15.560101223876744</v>
      </c>
      <c r="AE114" s="339">
        <f t="shared" si="79"/>
        <v>-1.3084844351628071</v>
      </c>
      <c r="AF114" s="736" t="str">
        <f t="shared" si="50"/>
        <v>-6.73418979547482-2.9729515530576i</v>
      </c>
      <c r="AG114" s="337">
        <f t="shared" si="80"/>
        <v>17.339011436334278</v>
      </c>
      <c r="AH114" s="730">
        <f t="shared" si="81"/>
        <v>-156.17991754399259</v>
      </c>
      <c r="AI114" s="360">
        <f t="shared" si="51"/>
        <v>23.820082456007412</v>
      </c>
      <c r="AL114" s="337">
        <f t="shared" si="52"/>
        <v>23.840248357993858</v>
      </c>
      <c r="AM114" s="730">
        <f t="shared" si="53"/>
        <v>-74.97063569338826</v>
      </c>
      <c r="AN114" s="351"/>
      <c r="AO114" s="337">
        <f t="shared" si="54"/>
        <v>46.770694277079855</v>
      </c>
      <c r="AP114" s="730">
        <f t="shared" si="55"/>
        <v>-81.209281850604299</v>
      </c>
      <c r="AS114" s="351"/>
      <c r="AT114" s="351"/>
      <c r="AV114" s="405">
        <f t="shared" si="56"/>
        <v>0</v>
      </c>
      <c r="AW114" s="405">
        <f t="shared" si="82"/>
        <v>0</v>
      </c>
      <c r="AX114" s="405">
        <f t="shared" si="58"/>
        <v>0</v>
      </c>
      <c r="AY114" s="405">
        <f t="shared" si="59"/>
        <v>0</v>
      </c>
    </row>
    <row r="115" spans="2:51" ht="13.5" thickBot="1" x14ac:dyDescent="0.25">
      <c r="B115" s="345">
        <v>5888.4</v>
      </c>
      <c r="C115" s="728" t="str">
        <f t="shared" si="41"/>
        <v>2.16217503399043</v>
      </c>
      <c r="D115" s="728" t="str">
        <f t="shared" si="42"/>
        <v>1+4.50141218414022i</v>
      </c>
      <c r="E115" s="337">
        <f t="shared" si="61"/>
        <v>4.6111507947068935</v>
      </c>
      <c r="F115" s="338">
        <f t="shared" si="62"/>
        <v>1.3521938167774092</v>
      </c>
      <c r="G115" s="338" t="str">
        <f t="shared" si="43"/>
        <v>1+0.0184989541813981i</v>
      </c>
      <c r="H115" s="337">
        <f t="shared" si="63"/>
        <v>1.0001710910168347</v>
      </c>
      <c r="I115" s="338">
        <f t="shared" si="64"/>
        <v>1.8496844430813977E-2</v>
      </c>
      <c r="J115" s="340">
        <f t="shared" si="44"/>
        <v>1</v>
      </c>
      <c r="K115" s="338">
        <f t="shared" si="65"/>
        <v>1</v>
      </c>
      <c r="L115" s="339">
        <f t="shared" si="66"/>
        <v>0</v>
      </c>
      <c r="M115" s="731" t="str">
        <f t="shared" si="45"/>
        <v>0.998458966464+0.0869689520865681i</v>
      </c>
      <c r="N115" s="338">
        <f t="shared" si="67"/>
        <v>1.0022394456113743</v>
      </c>
      <c r="O115" s="339">
        <f t="shared" si="68"/>
        <v>8.6883895470647052E-2</v>
      </c>
      <c r="P115" s="732" t="str">
        <f t="shared" si="60"/>
        <v>0.0700268259921283-0.462664238096546i</v>
      </c>
      <c r="Q115" s="337">
        <f t="shared" si="69"/>
        <v>0.46793370638583975</v>
      </c>
      <c r="R115" s="339">
        <f t="shared" si="70"/>
        <v>-1.4205808678172422</v>
      </c>
      <c r="S115" s="731" t="str">
        <f t="shared" si="46"/>
        <v>6000</v>
      </c>
      <c r="T115" s="337" t="str">
        <f t="shared" si="47"/>
        <v>1+37367.8874464243i</v>
      </c>
      <c r="U115" s="346">
        <f t="shared" si="71"/>
        <v>37367.88745980477</v>
      </c>
      <c r="V115" s="347">
        <f t="shared" si="72"/>
        <v>1.570769565849387</v>
      </c>
      <c r="W115" s="340" t="str">
        <f t="shared" si="48"/>
        <v>1+369.979083627963i</v>
      </c>
      <c r="X115" s="337">
        <f t="shared" si="73"/>
        <v>369.98043505324341</v>
      </c>
      <c r="Y115" s="339">
        <f t="shared" si="74"/>
        <v>1.5680934778795952</v>
      </c>
      <c r="Z115" s="337" t="str">
        <f t="shared" si="49"/>
        <v>1+3.72696806704886i</v>
      </c>
      <c r="AA115" s="346">
        <f t="shared" si="75"/>
        <v>3.8587939790563994</v>
      </c>
      <c r="AB115" s="347">
        <f t="shared" si="76"/>
        <v>1.308656026762413</v>
      </c>
      <c r="AC115" s="732" t="str">
        <f t="shared" si="77"/>
        <v>3.94978491699805-14.8796981712052i</v>
      </c>
      <c r="AD115" s="337">
        <f t="shared" si="78"/>
        <v>15.395006286348593</v>
      </c>
      <c r="AE115" s="339">
        <f t="shared" si="79"/>
        <v>-1.3113321147322039</v>
      </c>
      <c r="AF115" s="736" t="str">
        <f t="shared" si="50"/>
        <v>-6.60771331639827-2.86940226391851i</v>
      </c>
      <c r="AG115" s="337">
        <f t="shared" si="80"/>
        <v>17.151284003371082</v>
      </c>
      <c r="AH115" s="730">
        <f t="shared" si="81"/>
        <v>-156.52708389708016</v>
      </c>
      <c r="AI115" s="360">
        <f t="shared" si="51"/>
        <v>23.472916102919839</v>
      </c>
      <c r="AL115" s="337">
        <f t="shared" si="52"/>
        <v>23.747597411554004</v>
      </c>
      <c r="AM115" s="730">
        <f t="shared" si="53"/>
        <v>-75.133795714120325</v>
      </c>
      <c r="AN115" s="351"/>
      <c r="AO115" s="337">
        <f t="shared" si="54"/>
        <v>46.675617790556529</v>
      </c>
      <c r="AP115" s="730">
        <f t="shared" si="55"/>
        <v>-81.393288182959864</v>
      </c>
      <c r="AS115" s="351"/>
      <c r="AT115" s="351"/>
      <c r="AV115" s="405">
        <f t="shared" si="56"/>
        <v>0</v>
      </c>
      <c r="AW115" s="405">
        <f t="shared" si="82"/>
        <v>0</v>
      </c>
      <c r="AX115" s="405">
        <f t="shared" si="58"/>
        <v>0</v>
      </c>
      <c r="AY115" s="405">
        <f t="shared" si="59"/>
        <v>0</v>
      </c>
    </row>
    <row r="116" spans="2:51" ht="13.5" thickBot="1" x14ac:dyDescent="0.25">
      <c r="B116" s="345">
        <v>5957</v>
      </c>
      <c r="C116" s="728" t="str">
        <f t="shared" si="41"/>
        <v>2.16217503399043</v>
      </c>
      <c r="D116" s="728" t="str">
        <f t="shared" si="42"/>
        <v>1+4.55385374310904i</v>
      </c>
      <c r="E116" s="337">
        <f t="shared" si="61"/>
        <v>4.6623581923344561</v>
      </c>
      <c r="F116" s="338">
        <f t="shared" si="62"/>
        <v>1.354633093457601</v>
      </c>
      <c r="G116" s="338" t="str">
        <f t="shared" si="43"/>
        <v>1+0.0187144674374344i</v>
      </c>
      <c r="H116" s="337">
        <f t="shared" si="63"/>
        <v>1.0001751003156731</v>
      </c>
      <c r="I116" s="338">
        <f t="shared" si="64"/>
        <v>1.8712283099063646E-2</v>
      </c>
      <c r="J116" s="340">
        <f t="shared" si="44"/>
        <v>1</v>
      </c>
      <c r="K116" s="338">
        <f t="shared" si="65"/>
        <v>1</v>
      </c>
      <c r="L116" s="339">
        <f t="shared" si="66"/>
        <v>0</v>
      </c>
      <c r="M116" s="731" t="str">
        <f t="shared" si="45"/>
        <v>0.998422851155556+0.087982142446112i</v>
      </c>
      <c r="N116" s="338">
        <f t="shared" si="67"/>
        <v>1.0022918971532182</v>
      </c>
      <c r="O116" s="339">
        <f t="shared" si="68"/>
        <v>8.7894082862793141E-2</v>
      </c>
      <c r="P116" s="732" t="str">
        <f t="shared" si="60"/>
        <v>0.0677742415981889-0.457782190886226i</v>
      </c>
      <c r="Q116" s="337">
        <f t="shared" si="69"/>
        <v>0.46277195476476612</v>
      </c>
      <c r="R116" s="339">
        <f t="shared" si="70"/>
        <v>-1.4238148932213304</v>
      </c>
      <c r="S116" s="731" t="str">
        <f t="shared" si="46"/>
        <v>6000</v>
      </c>
      <c r="T116" s="337" t="str">
        <f t="shared" si="47"/>
        <v>1+37803.2242236175i</v>
      </c>
      <c r="U116" s="346">
        <f t="shared" si="71"/>
        <v>37803.224236843889</v>
      </c>
      <c r="V116" s="347">
        <f t="shared" si="72"/>
        <v>1.5707698740247875</v>
      </c>
      <c r="W116" s="340" t="str">
        <f t="shared" si="48"/>
        <v>1+374.289348748688i</v>
      </c>
      <c r="X116" s="337">
        <f t="shared" si="73"/>
        <v>374.29068461119493</v>
      </c>
      <c r="Y116" s="339">
        <f t="shared" si="74"/>
        <v>1.5681246033702965</v>
      </c>
      <c r="Z116" s="337" t="str">
        <f t="shared" si="49"/>
        <v>1+3.77038733364073i</v>
      </c>
      <c r="AA116" s="346">
        <f t="shared" si="75"/>
        <v>3.9007461652456259</v>
      </c>
      <c r="AB116" s="347">
        <f t="shared" si="76"/>
        <v>1.3115406148336715</v>
      </c>
      <c r="AC116" s="732" t="str">
        <f t="shared" si="77"/>
        <v>3.86528258752566-14.7307576778399i</v>
      </c>
      <c r="AD116" s="337">
        <f t="shared" si="78"/>
        <v>15.229433057230603</v>
      </c>
      <c r="AE116" s="339">
        <f t="shared" si="79"/>
        <v>-1.3141858854881621</v>
      </c>
      <c r="AF116" s="736" t="str">
        <f t="shared" si="50"/>
        <v>-6.48151192724341-2.76782346109417i</v>
      </c>
      <c r="AG116" s="337">
        <f t="shared" si="80"/>
        <v>16.96101535810843</v>
      </c>
      <c r="AH116" s="730">
        <f t="shared" si="81"/>
        <v>-156.87588892358681</v>
      </c>
      <c r="AI116" s="360">
        <f t="shared" si="51"/>
        <v>23.124111076413186</v>
      </c>
      <c r="AL116" s="337">
        <f t="shared" si="52"/>
        <v>23.653674725027827</v>
      </c>
      <c r="AM116" s="730">
        <f t="shared" si="53"/>
        <v>-75.297304734134585</v>
      </c>
      <c r="AN116" s="351"/>
      <c r="AO116" s="337">
        <f t="shared" si="54"/>
        <v>46.579271831820023</v>
      </c>
      <c r="AP116" s="730">
        <f t="shared" si="55"/>
        <v>-81.578584189452201</v>
      </c>
      <c r="AS116" s="351"/>
      <c r="AT116" s="351"/>
      <c r="AV116" s="405">
        <f t="shared" si="56"/>
        <v>0</v>
      </c>
      <c r="AW116" s="405">
        <f t="shared" si="82"/>
        <v>0</v>
      </c>
      <c r="AX116" s="405">
        <f t="shared" si="58"/>
        <v>0</v>
      </c>
      <c r="AY116" s="405">
        <f t="shared" si="59"/>
        <v>0</v>
      </c>
    </row>
    <row r="117" spans="2:51" ht="13.5" thickBot="1" x14ac:dyDescent="0.25">
      <c r="B117" s="345">
        <v>6025.6</v>
      </c>
      <c r="C117" s="728" t="str">
        <f t="shared" si="41"/>
        <v>2.16217503399043</v>
      </c>
      <c r="D117" s="728" t="str">
        <f t="shared" si="42"/>
        <v>1+4.60629530207786i</v>
      </c>
      <c r="E117" s="337">
        <f t="shared" si="61"/>
        <v>4.7135927284762902</v>
      </c>
      <c r="F117" s="338">
        <f t="shared" si="62"/>
        <v>1.3570193564995587</v>
      </c>
      <c r="G117" s="338" t="str">
        <f t="shared" si="43"/>
        <v>1+0.0189299806934707i</v>
      </c>
      <c r="H117" s="337">
        <f t="shared" si="63"/>
        <v>1.0001791560360849</v>
      </c>
      <c r="I117" s="338">
        <f t="shared" si="64"/>
        <v>1.8927720030107509E-2</v>
      </c>
      <c r="J117" s="340">
        <f t="shared" si="44"/>
        <v>1</v>
      </c>
      <c r="K117" s="338">
        <f t="shared" si="65"/>
        <v>1</v>
      </c>
      <c r="L117" s="339">
        <f t="shared" si="66"/>
        <v>0</v>
      </c>
      <c r="M117" s="731" t="str">
        <f t="shared" si="45"/>
        <v>0.998386317539556+0.0889953328056559i</v>
      </c>
      <c r="N117" s="338">
        <f t="shared" si="67"/>
        <v>1.0023449547493042</v>
      </c>
      <c r="O117" s="339">
        <f t="shared" si="68"/>
        <v>8.890420055380463E-2</v>
      </c>
      <c r="P117" s="732" t="str">
        <f t="shared" si="60"/>
        <v>0.0655936730134456-0.45299512242306i</v>
      </c>
      <c r="Q117" s="337">
        <f t="shared" si="69"/>
        <v>0.45771946744537523</v>
      </c>
      <c r="R117" s="339">
        <f t="shared" si="70"/>
        <v>-1.4269958370232563</v>
      </c>
      <c r="S117" s="731" t="str">
        <f t="shared" si="46"/>
        <v>6000</v>
      </c>
      <c r="T117" s="337" t="str">
        <f t="shared" si="47"/>
        <v>1+38238.5610008107i</v>
      </c>
      <c r="U117" s="346">
        <f t="shared" si="71"/>
        <v>38238.561013886509</v>
      </c>
      <c r="V117" s="347">
        <f t="shared" si="72"/>
        <v>1.5707701751831833</v>
      </c>
      <c r="W117" s="340" t="str">
        <f t="shared" si="48"/>
        <v>1+378.599613869413i</v>
      </c>
      <c r="X117" s="337">
        <f t="shared" si="73"/>
        <v>378.60093452350151</v>
      </c>
      <c r="Y117" s="339">
        <f t="shared" si="74"/>
        <v>1.5681550201536183</v>
      </c>
      <c r="Z117" s="337" t="str">
        <f t="shared" si="49"/>
        <v>1+3.81380660023259i</v>
      </c>
      <c r="AA117" s="346">
        <f t="shared" si="75"/>
        <v>3.9427301180752488</v>
      </c>
      <c r="AB117" s="347">
        <f t="shared" si="76"/>
        <v>1.3143637932145951</v>
      </c>
      <c r="AC117" s="732" t="str">
        <f t="shared" si="77"/>
        <v>3.78340234983262-14.5845209622448i</v>
      </c>
      <c r="AD117" s="337">
        <f t="shared" si="78"/>
        <v>15.067262028612797</v>
      </c>
      <c r="AE117" s="339">
        <f t="shared" si="79"/>
        <v>-1.3169789482441605</v>
      </c>
      <c r="AF117" s="736" t="str">
        <f t="shared" si="50"/>
        <v>-6.35854960216055-2.67051510969335i</v>
      </c>
      <c r="AG117" s="337">
        <f t="shared" si="80"/>
        <v>16.772674498854247</v>
      </c>
      <c r="AH117" s="730">
        <f t="shared" si="81"/>
        <v>-157.21817428613932</v>
      </c>
      <c r="AI117" s="360">
        <f t="shared" si="51"/>
        <v>22.781825713860684</v>
      </c>
      <c r="AL117" s="337">
        <f t="shared" si="52"/>
        <v>23.560686819488605</v>
      </c>
      <c r="AM117" s="730">
        <f t="shared" si="53"/>
        <v>-75.457335441968482</v>
      </c>
      <c r="AN117" s="351"/>
      <c r="AO117" s="337">
        <f t="shared" si="54"/>
        <v>46.483918878105079</v>
      </c>
      <c r="AP117" s="730">
        <f t="shared" si="55"/>
        <v>-81.760838844170848</v>
      </c>
      <c r="AS117" s="351"/>
      <c r="AT117" s="351"/>
      <c r="AV117" s="405">
        <f t="shared" si="56"/>
        <v>0</v>
      </c>
      <c r="AW117" s="405">
        <f t="shared" si="82"/>
        <v>0</v>
      </c>
      <c r="AX117" s="405">
        <f t="shared" si="58"/>
        <v>0</v>
      </c>
      <c r="AY117" s="405">
        <f t="shared" si="59"/>
        <v>0</v>
      </c>
    </row>
    <row r="118" spans="2:51" ht="13.5" thickBot="1" x14ac:dyDescent="0.25">
      <c r="B118" s="345">
        <v>6095.8</v>
      </c>
      <c r="C118" s="728" t="str">
        <f t="shared" si="41"/>
        <v>2.16217503399043</v>
      </c>
      <c r="D118" s="728" t="str">
        <f t="shared" si="42"/>
        <v>1+4.65995998778648i</v>
      </c>
      <c r="E118" s="337">
        <f t="shared" si="61"/>
        <v>4.7660494214570379</v>
      </c>
      <c r="F118" s="338">
        <f t="shared" si="62"/>
        <v>1.3594081488883727</v>
      </c>
      <c r="G118" s="338" t="str">
        <f t="shared" si="43"/>
        <v>1+0.0191505204977526i</v>
      </c>
      <c r="H118" s="337">
        <f t="shared" si="63"/>
        <v>1.0001833544082479</v>
      </c>
      <c r="I118" s="338">
        <f t="shared" si="64"/>
        <v>1.9148179909924987E-2</v>
      </c>
      <c r="J118" s="340">
        <f t="shared" si="44"/>
        <v>1</v>
      </c>
      <c r="K118" s="338">
        <f t="shared" si="65"/>
        <v>1</v>
      </c>
      <c r="L118" s="339">
        <f t="shared" si="66"/>
        <v>0</v>
      </c>
      <c r="M118" s="731" t="str">
        <f t="shared" si="45"/>
        <v>0.998348498771556+0.09003215442723i</v>
      </c>
      <c r="N118" s="338">
        <f t="shared" si="67"/>
        <v>1.0023998772098028</v>
      </c>
      <c r="O118" s="339">
        <f t="shared" si="68"/>
        <v>8.9937804857821949E-2</v>
      </c>
      <c r="P118" s="732" t="str">
        <f t="shared" si="60"/>
        <v>0.0634336905765171-0.4481920519419i</v>
      </c>
      <c r="Q118" s="337">
        <f t="shared" si="69"/>
        <v>0.45265875505069836</v>
      </c>
      <c r="R118" s="339">
        <f t="shared" si="70"/>
        <v>-1.4301977738362697</v>
      </c>
      <c r="S118" s="731" t="str">
        <f t="shared" si="46"/>
        <v>6000</v>
      </c>
      <c r="T118" s="337" t="str">
        <f t="shared" si="47"/>
        <v>1+38684.0514054604i</v>
      </c>
      <c r="U118" s="346">
        <f t="shared" si="71"/>
        <v>38684.051418385621</v>
      </c>
      <c r="V118" s="347">
        <f t="shared" si="72"/>
        <v>1.5707704763484349</v>
      </c>
      <c r="W118" s="340" t="str">
        <f t="shared" si="48"/>
        <v>1+383.010409955053i</v>
      </c>
      <c r="X118" s="337">
        <f t="shared" si="73"/>
        <v>383.0117154003749</v>
      </c>
      <c r="Y118" s="339">
        <f t="shared" si="74"/>
        <v>1.568185437634289</v>
      </c>
      <c r="Z118" s="337" t="str">
        <f t="shared" si="49"/>
        <v>1+3.85823856108899i</v>
      </c>
      <c r="AA118" s="346">
        <f t="shared" si="75"/>
        <v>3.9857251277871684</v>
      </c>
      <c r="AB118" s="347">
        <f t="shared" si="76"/>
        <v>1.317191221923617</v>
      </c>
      <c r="AC118" s="732" t="str">
        <f t="shared" si="77"/>
        <v>3.70221759159265-14.4376056820396i</v>
      </c>
      <c r="AD118" s="337">
        <f t="shared" si="78"/>
        <v>14.904726529713994</v>
      </c>
      <c r="AE118" s="339">
        <f t="shared" si="79"/>
        <v>-1.3197762606377643</v>
      </c>
      <c r="AF118" s="736" t="str">
        <f t="shared" si="50"/>
        <v>-6.23597479060934-2.57513511061157i</v>
      </c>
      <c r="AG118" s="337">
        <f t="shared" si="80"/>
        <v>16.58189873404211</v>
      </c>
      <c r="AH118" s="730">
        <f t="shared" si="81"/>
        <v>-157.56190594592573</v>
      </c>
      <c r="AI118" s="360">
        <f t="shared" si="51"/>
        <v>22.43809405407427</v>
      </c>
      <c r="AL118" s="337">
        <f t="shared" si="52"/>
        <v>23.466480241085534</v>
      </c>
      <c r="AM118" s="730">
        <f t="shared" si="53"/>
        <v>-75.617609636101619</v>
      </c>
      <c r="AN118" s="351"/>
      <c r="AO118" s="337">
        <f t="shared" si="54"/>
        <v>46.387349691696016</v>
      </c>
      <c r="AP118" s="730">
        <f t="shared" si="55"/>
        <v>-81.944296309824111</v>
      </c>
      <c r="AS118" s="351"/>
      <c r="AT118" s="351"/>
      <c r="AV118" s="405">
        <f t="shared" si="56"/>
        <v>0</v>
      </c>
      <c r="AW118" s="405">
        <f t="shared" si="82"/>
        <v>0</v>
      </c>
      <c r="AX118" s="405">
        <f t="shared" si="58"/>
        <v>0</v>
      </c>
      <c r="AY118" s="405">
        <f t="shared" si="59"/>
        <v>0</v>
      </c>
    </row>
    <row r="119" spans="2:51" ht="13.5" thickBot="1" x14ac:dyDescent="0.25">
      <c r="B119" s="345">
        <v>6166</v>
      </c>
      <c r="C119" s="728" t="str">
        <f t="shared" si="41"/>
        <v>2.16217503399043</v>
      </c>
      <c r="D119" s="728" t="str">
        <f t="shared" si="42"/>
        <v>1+4.7136246734951i</v>
      </c>
      <c r="E119" s="337">
        <f t="shared" si="61"/>
        <v>4.8185327188452076</v>
      </c>
      <c r="F119" s="338">
        <f t="shared" si="62"/>
        <v>1.361744917076821</v>
      </c>
      <c r="G119" s="338" t="str">
        <f t="shared" si="43"/>
        <v>1+0.0193710603020346i</v>
      </c>
      <c r="H119" s="337">
        <f t="shared" si="63"/>
        <v>1.0001876013914714</v>
      </c>
      <c r="I119" s="338">
        <f t="shared" si="64"/>
        <v>1.9368637928229727E-2</v>
      </c>
      <c r="J119" s="340">
        <f t="shared" si="44"/>
        <v>1</v>
      </c>
      <c r="K119" s="338">
        <f t="shared" si="65"/>
        <v>1</v>
      </c>
      <c r="L119" s="339">
        <f t="shared" si="66"/>
        <v>0</v>
      </c>
      <c r="M119" s="731" t="str">
        <f t="shared" si="45"/>
        <v>0.998310241955556+0.0910689760488042i</v>
      </c>
      <c r="N119" s="338">
        <f t="shared" si="67"/>
        <v>1.0024554342173713</v>
      </c>
      <c r="O119" s="339">
        <f t="shared" si="68"/>
        <v>9.0971334497084874E-2</v>
      </c>
      <c r="P119" s="732" t="str">
        <f t="shared" si="60"/>
        <v>0.0613429679950729-0.44348309290607i</v>
      </c>
      <c r="Q119" s="337">
        <f t="shared" si="69"/>
        <v>0.44770549853221425</v>
      </c>
      <c r="R119" s="339">
        <f t="shared" si="70"/>
        <v>-1.4333476136456764</v>
      </c>
      <c r="S119" s="731" t="str">
        <f t="shared" si="46"/>
        <v>6000</v>
      </c>
      <c r="T119" s="337" t="str">
        <f t="shared" si="47"/>
        <v>1+39129.54181011i</v>
      </c>
      <c r="U119" s="346">
        <f t="shared" si="71"/>
        <v>39129.541822888066</v>
      </c>
      <c r="V119" s="347">
        <f t="shared" si="72"/>
        <v>1.5707707706561451</v>
      </c>
      <c r="W119" s="340" t="str">
        <f t="shared" si="48"/>
        <v>1+387.421206040693i</v>
      </c>
      <c r="X119" s="337">
        <f t="shared" si="73"/>
        <v>387.42249662355061</v>
      </c>
      <c r="Y119" s="339">
        <f t="shared" si="74"/>
        <v>1.5682151625127045</v>
      </c>
      <c r="Z119" s="337" t="str">
        <f t="shared" si="49"/>
        <v>1+3.90267052194539i</v>
      </c>
      <c r="AA119" s="346">
        <f t="shared" si="75"/>
        <v>4.0287513205534919</v>
      </c>
      <c r="AB119" s="347">
        <f t="shared" si="76"/>
        <v>1.3199582797073481</v>
      </c>
      <c r="AC119" s="732" t="str">
        <f t="shared" si="77"/>
        <v>3.6235620864481-14.2933875852024i</v>
      </c>
      <c r="AD119" s="337">
        <f t="shared" si="78"/>
        <v>14.745546136212187</v>
      </c>
      <c r="AE119" s="339">
        <f t="shared" si="79"/>
        <v>-1.3225138878507883</v>
      </c>
      <c r="AF119" s="736" t="str">
        <f t="shared" si="50"/>
        <v>-6.11659568129364-2.48378733861542i</v>
      </c>
      <c r="AG119" s="337">
        <f t="shared" si="80"/>
        <v>16.393065810999154</v>
      </c>
      <c r="AH119" s="730">
        <f t="shared" si="81"/>
        <v>-157.89923295833344</v>
      </c>
      <c r="AI119" s="360">
        <f t="shared" si="51"/>
        <v>22.100767041666558</v>
      </c>
      <c r="AL119" s="337">
        <f t="shared" si="52"/>
        <v>23.373217246201143</v>
      </c>
      <c r="AM119" s="730">
        <f t="shared" si="53"/>
        <v>-75.774464121288048</v>
      </c>
      <c r="AN119" s="351"/>
      <c r="AO119" s="337">
        <f t="shared" si="54"/>
        <v>46.291779763537448</v>
      </c>
      <c r="AP119" s="730">
        <f t="shared" si="55"/>
        <v>-82.12476883704538</v>
      </c>
      <c r="AS119" s="351"/>
      <c r="AT119" s="351"/>
      <c r="AV119" s="405">
        <f t="shared" si="56"/>
        <v>0</v>
      </c>
      <c r="AW119" s="405">
        <f t="shared" si="82"/>
        <v>0</v>
      </c>
      <c r="AX119" s="405">
        <f t="shared" si="58"/>
        <v>0</v>
      </c>
      <c r="AY119" s="405">
        <f t="shared" si="59"/>
        <v>0</v>
      </c>
    </row>
    <row r="120" spans="2:51" ht="13.5" thickBot="1" x14ac:dyDescent="0.25">
      <c r="B120" s="345">
        <v>6237.8</v>
      </c>
      <c r="C120" s="728" t="str">
        <f t="shared" si="41"/>
        <v>2.16217503399043</v>
      </c>
      <c r="D120" s="728" t="str">
        <f t="shared" si="42"/>
        <v>1+4.76851248594352i</v>
      </c>
      <c r="E120" s="337">
        <f t="shared" si="61"/>
        <v>4.872238841497742</v>
      </c>
      <c r="F120" s="338">
        <f t="shared" si="62"/>
        <v>1.3640828547870063</v>
      </c>
      <c r="G120" s="338" t="str">
        <f t="shared" si="43"/>
        <v>1+0.0195966266545624i</v>
      </c>
      <c r="H120" s="337">
        <f t="shared" si="63"/>
        <v>1.0001919954569913</v>
      </c>
      <c r="I120" s="338">
        <f t="shared" si="64"/>
        <v>1.9594118682763569E-2</v>
      </c>
      <c r="J120" s="340">
        <f t="shared" si="44"/>
        <v>1</v>
      </c>
      <c r="K120" s="338">
        <f t="shared" si="65"/>
        <v>1</v>
      </c>
      <c r="L120" s="339">
        <f t="shared" si="66"/>
        <v>0</v>
      </c>
      <c r="M120" s="731" t="str">
        <f t="shared" si="45"/>
        <v>0.998270660051556+0.0921294289324085i</v>
      </c>
      <c r="N120" s="338">
        <f t="shared" si="67"/>
        <v>1.0025129138296329</v>
      </c>
      <c r="O120" s="339">
        <f t="shared" si="68"/>
        <v>9.2028342248723402E-2</v>
      </c>
      <c r="P120" s="732" t="str">
        <f t="shared" si="60"/>
        <v>0.0592732407557011-0.43876147790414i</v>
      </c>
      <c r="Q120" s="337">
        <f t="shared" si="69"/>
        <v>0.44274705144394627</v>
      </c>
      <c r="R120" s="339">
        <f t="shared" si="70"/>
        <v>-1.4365170783529659</v>
      </c>
      <c r="S120" s="731" t="str">
        <f t="shared" si="46"/>
        <v>6000</v>
      </c>
      <c r="T120" s="337" t="str">
        <f t="shared" si="47"/>
        <v>1+39585.1858422161i</v>
      </c>
      <c r="U120" s="346">
        <f t="shared" si="71"/>
        <v>39585.185854847099</v>
      </c>
      <c r="V120" s="347">
        <f t="shared" si="72"/>
        <v>1.5707710648192734</v>
      </c>
      <c r="W120" s="340" t="str">
        <f t="shared" si="48"/>
        <v>1+391.932533091248i</v>
      </c>
      <c r="X120" s="337">
        <f t="shared" si="73"/>
        <v>391.93380881894097</v>
      </c>
      <c r="Y120" s="339">
        <f t="shared" si="74"/>
        <v>1.5682448727930067</v>
      </c>
      <c r="Z120" s="337" t="str">
        <f t="shared" si="49"/>
        <v>1+3.94811517706633i</v>
      </c>
      <c r="AA120" s="346">
        <f t="shared" si="75"/>
        <v>4.0727893944300018</v>
      </c>
      <c r="AB120" s="347">
        <f t="shared" si="76"/>
        <v>1.3227279045953819</v>
      </c>
      <c r="AC120" s="732" t="str">
        <f t="shared" si="77"/>
        <v>3.54562435417061-14.1486044671294i</v>
      </c>
      <c r="AD120" s="337">
        <f t="shared" si="78"/>
        <v>14.586105046521562</v>
      </c>
      <c r="AE120" s="339">
        <f t="shared" si="79"/>
        <v>-1.3252540966216491</v>
      </c>
      <c r="AF120" s="736" t="str">
        <f t="shared" si="50"/>
        <v>-5.99770196030478-2.39431702066616i</v>
      </c>
      <c r="AG120" s="337">
        <f t="shared" si="80"/>
        <v>16.201900291132439</v>
      </c>
      <c r="AH120" s="730">
        <f t="shared" si="81"/>
        <v>-158.23783230693181</v>
      </c>
      <c r="AI120" s="360">
        <f t="shared" si="51"/>
        <v>21.762167693068193</v>
      </c>
      <c r="AL120" s="337">
        <f t="shared" si="52"/>
        <v>23.278786738989581</v>
      </c>
      <c r="AM120" s="730">
        <f t="shared" si="53"/>
        <v>-75.931466518843095</v>
      </c>
      <c r="AN120" s="351"/>
      <c r="AO120" s="337">
        <f t="shared" si="54"/>
        <v>46.195044750882282</v>
      </c>
      <c r="AP120" s="730">
        <f t="shared" si="55"/>
        <v>-82.306365788088755</v>
      </c>
      <c r="AS120" s="351"/>
      <c r="AT120" s="351"/>
      <c r="AV120" s="405">
        <f t="shared" si="56"/>
        <v>0</v>
      </c>
      <c r="AW120" s="405">
        <f t="shared" si="82"/>
        <v>0</v>
      </c>
      <c r="AX120" s="405">
        <f t="shared" si="58"/>
        <v>0</v>
      </c>
      <c r="AY120" s="405">
        <f t="shared" si="59"/>
        <v>0</v>
      </c>
    </row>
    <row r="121" spans="2:51" ht="13.5" thickBot="1" x14ac:dyDescent="0.25">
      <c r="B121" s="345">
        <v>6309.6</v>
      </c>
      <c r="C121" s="728" t="str">
        <f t="shared" si="41"/>
        <v>2.16217503399043</v>
      </c>
      <c r="D121" s="728" t="str">
        <f t="shared" si="42"/>
        <v>1+4.82340029839194i</v>
      </c>
      <c r="E121" s="337">
        <f t="shared" si="61"/>
        <v>4.9259710147875868</v>
      </c>
      <c r="F121" s="338">
        <f t="shared" si="62"/>
        <v>1.3663698006245963</v>
      </c>
      <c r="G121" s="338" t="str">
        <f t="shared" si="43"/>
        <v>1+0.0198221930070901i</v>
      </c>
      <c r="H121" s="337">
        <f t="shared" si="63"/>
        <v>1.0001964403733949</v>
      </c>
      <c r="I121" s="338">
        <f t="shared" si="64"/>
        <v>1.9819597444668397E-2</v>
      </c>
      <c r="J121" s="340">
        <f t="shared" si="44"/>
        <v>1</v>
      </c>
      <c r="K121" s="338">
        <f t="shared" si="65"/>
        <v>1</v>
      </c>
      <c r="L121" s="339">
        <f t="shared" si="66"/>
        <v>0</v>
      </c>
      <c r="M121" s="731" t="str">
        <f t="shared" si="45"/>
        <v>0.998230619904+0.0931898818160128i</v>
      </c>
      <c r="N121" s="338">
        <f t="shared" si="67"/>
        <v>1.0025710571260307</v>
      </c>
      <c r="O121" s="339">
        <f t="shared" si="68"/>
        <v>9.3085270103342596E-2</v>
      </c>
      <c r="P121" s="732" t="str">
        <f t="shared" si="60"/>
        <v>0.0572700352342275-0.434132957655899i</v>
      </c>
      <c r="Q121" s="337">
        <f t="shared" si="69"/>
        <v>0.43789414458152814</v>
      </c>
      <c r="R121" s="339">
        <f t="shared" si="70"/>
        <v>-1.4396354732832704</v>
      </c>
      <c r="S121" s="731" t="str">
        <f t="shared" si="46"/>
        <v>6000</v>
      </c>
      <c r="T121" s="337" t="str">
        <f t="shared" si="47"/>
        <v>1+40040.8298743221i</v>
      </c>
      <c r="U121" s="346">
        <f t="shared" si="71"/>
        <v>40040.829886809355</v>
      </c>
      <c r="V121" s="347">
        <f t="shared" si="72"/>
        <v>1.5707713522875517</v>
      </c>
      <c r="W121" s="340" t="str">
        <f t="shared" si="48"/>
        <v>1+396.443860141803i</v>
      </c>
      <c r="X121" s="337">
        <f t="shared" si="73"/>
        <v>396.44512135241808</v>
      </c>
      <c r="Y121" s="339">
        <f t="shared" si="74"/>
        <v>1.5682739069022691</v>
      </c>
      <c r="Z121" s="337" t="str">
        <f t="shared" si="49"/>
        <v>1+3.99355983218726i</v>
      </c>
      <c r="AA121" s="346">
        <f t="shared" si="75"/>
        <v>4.1168580414266813</v>
      </c>
      <c r="AB121" s="347">
        <f t="shared" si="76"/>
        <v>1.3254382553552952</v>
      </c>
      <c r="AC121" s="732" t="str">
        <f t="shared" si="77"/>
        <v>3.470122800254-14.0065064377595i</v>
      </c>
      <c r="AD121" s="337">
        <f t="shared" si="78"/>
        <v>14.429967943132826</v>
      </c>
      <c r="AE121" s="339">
        <f t="shared" si="79"/>
        <v>-1.327935700740577</v>
      </c>
      <c r="AF121" s="736" t="str">
        <f t="shared" si="50"/>
        <v>-5.88195201121328-2.30864779190236i</v>
      </c>
      <c r="AG121" s="337">
        <f t="shared" si="80"/>
        <v>16.012690084696729</v>
      </c>
      <c r="AH121" s="730">
        <f t="shared" si="81"/>
        <v>-158.57014777363275</v>
      </c>
      <c r="AI121" s="360">
        <f t="shared" si="51"/>
        <v>21.429852226367245</v>
      </c>
      <c r="AL121" s="337">
        <f t="shared" si="52"/>
        <v>23.185307325770115</v>
      </c>
      <c r="AM121" s="730">
        <f t="shared" si="53"/>
        <v>-76.085111117182564</v>
      </c>
      <c r="AN121" s="351"/>
      <c r="AO121" s="337">
        <f t="shared" si="54"/>
        <v>46.099313957666041</v>
      </c>
      <c r="AP121" s="730">
        <f t="shared" si="55"/>
        <v>-82.485036656450191</v>
      </c>
      <c r="AS121" s="351"/>
      <c r="AT121" s="351"/>
      <c r="AV121" s="405">
        <f t="shared" si="56"/>
        <v>0</v>
      </c>
      <c r="AW121" s="405">
        <f t="shared" si="82"/>
        <v>0</v>
      </c>
      <c r="AX121" s="405">
        <f t="shared" si="58"/>
        <v>0</v>
      </c>
      <c r="AY121" s="405">
        <f t="shared" si="59"/>
        <v>0</v>
      </c>
    </row>
    <row r="122" spans="2:51" ht="13.5" thickBot="1" x14ac:dyDescent="0.25">
      <c r="B122" s="345">
        <v>6383.05</v>
      </c>
      <c r="C122" s="728" t="str">
        <f t="shared" si="41"/>
        <v>2.16217503399043</v>
      </c>
      <c r="D122" s="728" t="str">
        <f t="shared" si="42"/>
        <v>1+4.87954946029078i</v>
      </c>
      <c r="E122" s="337">
        <f t="shared" si="61"/>
        <v>4.9809640568291629</v>
      </c>
      <c r="F122" s="338">
        <f t="shared" si="62"/>
        <v>1.3686582346552059</v>
      </c>
      <c r="G122" s="338" t="str">
        <f t="shared" si="43"/>
        <v>1+0.0200529429874963i</v>
      </c>
      <c r="H122" s="337">
        <f t="shared" si="63"/>
        <v>1.0002010400526784</v>
      </c>
      <c r="I122" s="338">
        <f t="shared" si="64"/>
        <v>2.0050255735855602E-2</v>
      </c>
      <c r="J122" s="340">
        <f t="shared" si="44"/>
        <v>1</v>
      </c>
      <c r="K122" s="338">
        <f t="shared" si="65"/>
        <v>1</v>
      </c>
      <c r="L122" s="339">
        <f t="shared" si="66"/>
        <v>0</v>
      </c>
      <c r="M122" s="731" t="str">
        <f t="shared" si="45"/>
        <v>0.998189185453222+0.0942747044385858i</v>
      </c>
      <c r="N122" s="338">
        <f t="shared" si="67"/>
        <v>1.0026312232584569</v>
      </c>
      <c r="O122" s="339">
        <f t="shared" si="68"/>
        <v>9.4166403074898292E-2</v>
      </c>
      <c r="P122" s="732" t="str">
        <f t="shared" si="60"/>
        <v>0.0552867382684284-0.429491716962339i</v>
      </c>
      <c r="Q122" s="337">
        <f t="shared" si="69"/>
        <v>0.43303551628892939</v>
      </c>
      <c r="R122" s="339">
        <f t="shared" si="70"/>
        <v>-1.4427743819942485</v>
      </c>
      <c r="S122" s="731" t="str">
        <f t="shared" si="46"/>
        <v>6000</v>
      </c>
      <c r="T122" s="337" t="str">
        <f t="shared" si="47"/>
        <v>1+40506.9448347426i</v>
      </c>
      <c r="U122" s="346">
        <f t="shared" si="71"/>
        <v>40506.944847086153</v>
      </c>
      <c r="V122" s="347">
        <f t="shared" si="72"/>
        <v>1.570771639670161</v>
      </c>
      <c r="W122" s="340" t="str">
        <f t="shared" si="48"/>
        <v>1+401.058859749927i</v>
      </c>
      <c r="X122" s="337">
        <f t="shared" si="73"/>
        <v>401.06010644778871</v>
      </c>
      <c r="Y122" s="339">
        <f t="shared" si="74"/>
        <v>1.5683029323632562</v>
      </c>
      <c r="Z122" s="337" t="str">
        <f t="shared" si="49"/>
        <v>1+4.0400488282685i</v>
      </c>
      <c r="AA122" s="346">
        <f t="shared" si="75"/>
        <v>4.1619700305016218</v>
      </c>
      <c r="AB122" s="347">
        <f t="shared" si="76"/>
        <v>1.3281514806687411</v>
      </c>
      <c r="AC122" s="732" t="str">
        <f t="shared" si="77"/>
        <v>3.39530450388148-13.8638521690102i</v>
      </c>
      <c r="AD122" s="337">
        <f t="shared" si="78"/>
        <v>14.273559109004546</v>
      </c>
      <c r="AE122" s="339">
        <f t="shared" si="79"/>
        <v>-1.3306201879756463</v>
      </c>
      <c r="AF122" s="736" t="str">
        <f t="shared" si="50"/>
        <v>-5.76669436033253-2.22474232724227i</v>
      </c>
      <c r="AG122" s="337">
        <f t="shared" si="80"/>
        <v>15.821115904336374</v>
      </c>
      <c r="AH122" s="730">
        <f t="shared" si="81"/>
        <v>-158.90380378377486</v>
      </c>
      <c r="AI122" s="360">
        <f t="shared" si="51"/>
        <v>21.096196216225138</v>
      </c>
      <c r="AL122" s="337">
        <f t="shared" si="52"/>
        <v>23.090645557142253</v>
      </c>
      <c r="AM122" s="730">
        <f t="shared" si="53"/>
        <v>-76.238920905908785</v>
      </c>
      <c r="AN122" s="351"/>
      <c r="AO122" s="337">
        <f t="shared" si="54"/>
        <v>46.002401545933566</v>
      </c>
      <c r="AP122" s="730">
        <f t="shared" si="55"/>
        <v>-82.664882877866077</v>
      </c>
      <c r="AS122" s="351"/>
      <c r="AT122" s="351"/>
      <c r="AV122" s="405">
        <f t="shared" si="56"/>
        <v>0</v>
      </c>
      <c r="AW122" s="405">
        <f t="shared" si="82"/>
        <v>0</v>
      </c>
      <c r="AX122" s="405">
        <f t="shared" si="58"/>
        <v>0</v>
      </c>
      <c r="AY122" s="405">
        <f t="shared" si="59"/>
        <v>0</v>
      </c>
    </row>
    <row r="123" spans="2:51" ht="13.5" thickBot="1" x14ac:dyDescent="0.25">
      <c r="B123" s="345">
        <v>6456.5</v>
      </c>
      <c r="C123" s="728" t="str">
        <f t="shared" si="41"/>
        <v>2.16217503399043</v>
      </c>
      <c r="D123" s="728" t="str">
        <f t="shared" si="42"/>
        <v>1+4.93569862218961i</v>
      </c>
      <c r="E123" s="337">
        <f t="shared" si="61"/>
        <v>5.0359826140570041</v>
      </c>
      <c r="F123" s="338">
        <f t="shared" si="62"/>
        <v>1.3708966775059399</v>
      </c>
      <c r="G123" s="338" t="str">
        <f t="shared" si="43"/>
        <v>1+0.0202836929679025i</v>
      </c>
      <c r="H123" s="337">
        <f t="shared" si="63"/>
        <v>1.0002056929454142</v>
      </c>
      <c r="I123" s="338">
        <f t="shared" si="64"/>
        <v>2.0280911893299211E-2</v>
      </c>
      <c r="J123" s="340">
        <f t="shared" si="44"/>
        <v>1</v>
      </c>
      <c r="K123" s="338">
        <f t="shared" si="65"/>
        <v>1</v>
      </c>
      <c r="L123" s="339">
        <f t="shared" si="66"/>
        <v>0</v>
      </c>
      <c r="M123" s="731" t="str">
        <f t="shared" si="45"/>
        <v>0.998147271455556+0.0953595270611587i</v>
      </c>
      <c r="N123" s="338">
        <f t="shared" si="67"/>
        <v>1.0026920838001561</v>
      </c>
      <c r="O123" s="339">
        <f t="shared" si="68"/>
        <v>9.5247450521240451E-2</v>
      </c>
      <c r="P123" s="732" t="str">
        <f t="shared" si="60"/>
        <v>0.0533673406622677-0.424942543499908i</v>
      </c>
      <c r="Q123" s="337">
        <f t="shared" si="69"/>
        <v>0.42828056029375622</v>
      </c>
      <c r="R123" s="339">
        <f t="shared" si="70"/>
        <v>-1.4458632161338811</v>
      </c>
      <c r="S123" s="731" t="str">
        <f t="shared" si="46"/>
        <v>6000</v>
      </c>
      <c r="T123" s="337" t="str">
        <f t="shared" si="47"/>
        <v>1+40973.0597951631i</v>
      </c>
      <c r="U123" s="346">
        <f t="shared" si="71"/>
        <v>40973.05980736624</v>
      </c>
      <c r="V123" s="347">
        <f t="shared" si="72"/>
        <v>1.5707719205141648</v>
      </c>
      <c r="W123" s="340" t="str">
        <f t="shared" si="48"/>
        <v>1+405.67385935805i</v>
      </c>
      <c r="X123" s="337">
        <f t="shared" si="73"/>
        <v>405.67509187335486</v>
      </c>
      <c r="Y123" s="339">
        <f t="shared" si="74"/>
        <v>1.5683312974333179</v>
      </c>
      <c r="Z123" s="337" t="str">
        <f t="shared" si="49"/>
        <v>1+4.08653782434973i</v>
      </c>
      <c r="AA123" s="346">
        <f t="shared" si="75"/>
        <v>4.2071120011049175</v>
      </c>
      <c r="AB123" s="347">
        <f t="shared" si="76"/>
        <v>1.3308064998042481</v>
      </c>
      <c r="AC123" s="732" t="str">
        <f t="shared" si="77"/>
        <v>3.32283272061825-13.7238694030633i</v>
      </c>
      <c r="AD123" s="337">
        <f t="shared" si="78"/>
        <v>14.120403984360657</v>
      </c>
      <c r="AE123" s="339">
        <f t="shared" si="79"/>
        <v>-1.3332471228850948</v>
      </c>
      <c r="AF123" s="736" t="str">
        <f t="shared" si="50"/>
        <v>-5.65452522503332-2.14441940156199i</v>
      </c>
      <c r="AG123" s="337">
        <f t="shared" si="80"/>
        <v>15.63150968423005</v>
      </c>
      <c r="AH123" s="730">
        <f t="shared" si="81"/>
        <v>-159.23129322695871</v>
      </c>
      <c r="AI123" s="360">
        <f t="shared" si="51"/>
        <v>20.768706773041288</v>
      </c>
      <c r="AL123" s="337">
        <f t="shared" si="52"/>
        <v>22.996942440928731</v>
      </c>
      <c r="AM123" s="730">
        <f t="shared" si="53"/>
        <v>-76.389433189275763</v>
      </c>
      <c r="AN123" s="351"/>
      <c r="AO123" s="337">
        <f t="shared" si="54"/>
        <v>45.906498442040743</v>
      </c>
      <c r="AP123" s="730">
        <f t="shared" si="55"/>
        <v>-82.841860037682949</v>
      </c>
      <c r="AS123" s="351"/>
      <c r="AT123" s="351"/>
      <c r="AV123" s="405">
        <f t="shared" si="56"/>
        <v>0</v>
      </c>
      <c r="AW123" s="405">
        <f t="shared" si="82"/>
        <v>0</v>
      </c>
      <c r="AX123" s="405">
        <f t="shared" si="58"/>
        <v>0</v>
      </c>
      <c r="AY123" s="405">
        <f t="shared" si="59"/>
        <v>0</v>
      </c>
    </row>
    <row r="124" spans="2:51" ht="13.5" thickBot="1" x14ac:dyDescent="0.25">
      <c r="B124" s="345">
        <v>6531.7</v>
      </c>
      <c r="C124" s="728" t="str">
        <f t="shared" si="41"/>
        <v>2.16217503399043</v>
      </c>
      <c r="D124" s="728" t="str">
        <f t="shared" si="42"/>
        <v>1+4.9931855789601i</v>
      </c>
      <c r="E124" s="337">
        <f t="shared" si="61"/>
        <v>5.0923375993678093</v>
      </c>
      <c r="F124" s="338">
        <f t="shared" si="62"/>
        <v>1.3731383299194235</v>
      </c>
      <c r="G124" s="338" t="str">
        <f t="shared" si="43"/>
        <v>1+0.0205199407354524i</v>
      </c>
      <c r="H124" s="337">
        <f t="shared" si="63"/>
        <v>1.0002105118262787</v>
      </c>
      <c r="I124" s="338">
        <f t="shared" si="64"/>
        <v>2.0517061366281952E-2</v>
      </c>
      <c r="J124" s="340">
        <f t="shared" si="44"/>
        <v>1</v>
      </c>
      <c r="K124" s="338">
        <f t="shared" si="65"/>
        <v>1</v>
      </c>
      <c r="L124" s="339">
        <f t="shared" si="66"/>
        <v>0</v>
      </c>
      <c r="M124" s="731" t="str">
        <f t="shared" si="45"/>
        <v>0.998103862004889+0.0964701963765771i</v>
      </c>
      <c r="N124" s="338">
        <f t="shared" si="67"/>
        <v>1.0027551137431361</v>
      </c>
      <c r="O124" s="339">
        <f t="shared" si="68"/>
        <v>9.6354165098328906E-2</v>
      </c>
      <c r="P124" s="732" t="str">
        <f t="shared" si="60"/>
        <v>0.0514656258247898-0.420377681617843i</v>
      </c>
      <c r="Q124" s="337">
        <f t="shared" si="69"/>
        <v>0.42351635841361535</v>
      </c>
      <c r="R124" s="339">
        <f t="shared" si="70"/>
        <v>-1.4489754336514706</v>
      </c>
      <c r="S124" s="731" t="str">
        <f t="shared" si="46"/>
        <v>6000</v>
      </c>
      <c r="T124" s="337" t="str">
        <f t="shared" si="47"/>
        <v>1+41450.280285614i</v>
      </c>
      <c r="U124" s="346">
        <f t="shared" si="71"/>
        <v>41450.28029767664</v>
      </c>
      <c r="V124" s="347">
        <f t="shared" si="72"/>
        <v>1.5707722015056846</v>
      </c>
      <c r="W124" s="340" t="str">
        <f t="shared" si="48"/>
        <v>1+410.398814709049i</v>
      </c>
      <c r="X124" s="337">
        <f t="shared" si="73"/>
        <v>410.40003303434605</v>
      </c>
      <c r="Y124" s="339">
        <f t="shared" si="74"/>
        <v>1.5683596774063708</v>
      </c>
      <c r="Z124" s="337" t="str">
        <f t="shared" si="49"/>
        <v>1+4.1341344547828i</v>
      </c>
      <c r="AA124" s="346">
        <f t="shared" si="75"/>
        <v>4.2533595768782915</v>
      </c>
      <c r="AB124" s="347">
        <f t="shared" si="76"/>
        <v>1.3334663706370251</v>
      </c>
      <c r="AC124" s="732" t="str">
        <f t="shared" si="77"/>
        <v>3.25096599627717-13.583249086255i</v>
      </c>
      <c r="AD124" s="337">
        <f t="shared" si="78"/>
        <v>13.966869214258351</v>
      </c>
      <c r="AE124" s="339">
        <f t="shared" si="79"/>
        <v>-1.3358788947363394</v>
      </c>
      <c r="AF124" s="736" t="str">
        <f t="shared" si="50"/>
        <v>-5.54278176018405-2.06570396349156i</v>
      </c>
      <c r="AG124" s="337">
        <f t="shared" si="80"/>
        <v>15.439385122885994</v>
      </c>
      <c r="AH124" s="730">
        <f t="shared" si="81"/>
        <v>-159.56039957536089</v>
      </c>
      <c r="AI124" s="360">
        <f t="shared" si="51"/>
        <v>20.43960042463911</v>
      </c>
      <c r="AL124" s="337">
        <f t="shared" si="52"/>
        <v>22.901981328651345</v>
      </c>
      <c r="AM124" s="730">
        <f t="shared" si="53"/>
        <v>-76.540222608993403</v>
      </c>
      <c r="AN124" s="351"/>
      <c r="AO124" s="337">
        <f t="shared" si="54"/>
        <v>45.809334992974051</v>
      </c>
      <c r="AP124" s="730">
        <f t="shared" si="55"/>
        <v>-83.020176966367501</v>
      </c>
      <c r="AS124" s="351"/>
      <c r="AT124" s="351"/>
      <c r="AV124" s="405">
        <f t="shared" si="56"/>
        <v>0</v>
      </c>
      <c r="AW124" s="405">
        <f t="shared" si="82"/>
        <v>0</v>
      </c>
      <c r="AX124" s="405">
        <f t="shared" si="58"/>
        <v>0</v>
      </c>
      <c r="AY124" s="405">
        <f t="shared" si="59"/>
        <v>0</v>
      </c>
    </row>
    <row r="125" spans="2:51" ht="13.5" thickBot="1" x14ac:dyDescent="0.25">
      <c r="B125" s="345">
        <v>6606.9</v>
      </c>
      <c r="C125" s="728" t="str">
        <f t="shared" si="41"/>
        <v>2.16217503399043</v>
      </c>
      <c r="D125" s="728" t="str">
        <f t="shared" si="42"/>
        <v>1+5.05067253573058i</v>
      </c>
      <c r="E125" s="337">
        <f t="shared" si="61"/>
        <v>5.1487176134629067</v>
      </c>
      <c r="F125" s="338">
        <f t="shared" si="62"/>
        <v>1.3753308996074656</v>
      </c>
      <c r="G125" s="338" t="str">
        <f t="shared" si="43"/>
        <v>1+0.0207561885030024i</v>
      </c>
      <c r="H125" s="337">
        <f t="shared" si="63"/>
        <v>1.000215386484917</v>
      </c>
      <c r="I125" s="338">
        <f t="shared" si="64"/>
        <v>2.075320855063344E-2</v>
      </c>
      <c r="J125" s="340">
        <f t="shared" si="44"/>
        <v>1</v>
      </c>
      <c r="K125" s="338">
        <f t="shared" si="65"/>
        <v>1</v>
      </c>
      <c r="L125" s="339">
        <f t="shared" si="66"/>
        <v>0</v>
      </c>
      <c r="M125" s="731" t="str">
        <f t="shared" si="45"/>
        <v>0.998059949884+0.0975808656919955i</v>
      </c>
      <c r="N125" s="338">
        <f t="shared" si="67"/>
        <v>1.0028188714377346</v>
      </c>
      <c r="O125" s="339">
        <f t="shared" si="68"/>
        <v>9.7460787975612168E-2</v>
      </c>
      <c r="P125" s="732" t="str">
        <f t="shared" si="60"/>
        <v>0.0496253755202839-0.415903966437071i</v>
      </c>
      <c r="Q125" s="337">
        <f t="shared" si="69"/>
        <v>0.41885413593949083</v>
      </c>
      <c r="R125" s="339">
        <f t="shared" si="70"/>
        <v>-1.4520384790324443</v>
      </c>
      <c r="S125" s="731" t="str">
        <f t="shared" si="46"/>
        <v>6000</v>
      </c>
      <c r="T125" s="337" t="str">
        <f t="shared" si="47"/>
        <v>1+41927.5007760649i</v>
      </c>
      <c r="U125" s="346">
        <f t="shared" si="71"/>
        <v>41927.500787990248</v>
      </c>
      <c r="V125" s="347">
        <f t="shared" si="72"/>
        <v>1.5707724761006912</v>
      </c>
      <c r="W125" s="340" t="str">
        <f t="shared" si="48"/>
        <v>1+415.123770060048i</v>
      </c>
      <c r="X125" s="337">
        <f t="shared" si="73"/>
        <v>415.12497451835833</v>
      </c>
      <c r="Y125" s="339">
        <f t="shared" si="74"/>
        <v>1.5683874113392402</v>
      </c>
      <c r="Z125" s="337" t="str">
        <f t="shared" si="49"/>
        <v>1+4.18173108521587i</v>
      </c>
      <c r="AA125" s="346">
        <f t="shared" si="75"/>
        <v>4.2996365973254882</v>
      </c>
      <c r="AB125" s="347">
        <f t="shared" si="76"/>
        <v>1.33606900313558</v>
      </c>
      <c r="AC125" s="732" t="str">
        <f t="shared" si="77"/>
        <v>3.18136224946388-13.4452887041715i</v>
      </c>
      <c r="AD125" s="337">
        <f t="shared" si="78"/>
        <v>13.816542769478753</v>
      </c>
      <c r="AE125" s="339">
        <f t="shared" si="79"/>
        <v>-1.3384540678970309</v>
      </c>
      <c r="AF125" s="736" t="str">
        <f t="shared" si="50"/>
        <v>-5.43407260566077-1.99036867914833i</v>
      </c>
      <c r="AG125" s="337">
        <f t="shared" si="80"/>
        <v>15.249243878707583</v>
      </c>
      <c r="AH125" s="730">
        <f t="shared" si="81"/>
        <v>-159.88344570177074</v>
      </c>
      <c r="AI125" s="360">
        <f t="shared" si="51"/>
        <v>20.116554298229261</v>
      </c>
      <c r="AL125" s="337">
        <f t="shared" si="52"/>
        <v>22.80798771463833</v>
      </c>
      <c r="AM125" s="730">
        <f t="shared" si="53"/>
        <v>-76.687769162616405</v>
      </c>
      <c r="AN125" s="351"/>
      <c r="AO125" s="337">
        <f t="shared" si="54"/>
        <v>45.713187362808682</v>
      </c>
      <c r="AP125" s="730">
        <f t="shared" si="55"/>
        <v>-83.19567653915432</v>
      </c>
      <c r="AS125" s="351"/>
      <c r="AT125" s="351"/>
      <c r="AV125" s="405">
        <f t="shared" si="56"/>
        <v>0</v>
      </c>
      <c r="AW125" s="405">
        <f t="shared" si="82"/>
        <v>0</v>
      </c>
      <c r="AX125" s="405">
        <f t="shared" si="58"/>
        <v>0</v>
      </c>
      <c r="AY125" s="405">
        <f t="shared" si="59"/>
        <v>0</v>
      </c>
    </row>
    <row r="126" spans="2:51" ht="13.5" thickBot="1" x14ac:dyDescent="0.25">
      <c r="B126" s="345">
        <v>6683.85</v>
      </c>
      <c r="C126" s="728" t="str">
        <f t="shared" si="41"/>
        <v>2.16217503399043</v>
      </c>
      <c r="D126" s="728" t="str">
        <f t="shared" si="42"/>
        <v>1+5.10949728737273i</v>
      </c>
      <c r="E126" s="337">
        <f t="shared" si="61"/>
        <v>5.206434723461852</v>
      </c>
      <c r="F126" s="338">
        <f t="shared" si="62"/>
        <v>1.3775253256564548</v>
      </c>
      <c r="G126" s="338" t="str">
        <f t="shared" si="43"/>
        <v>1+0.0209979340576962i</v>
      </c>
      <c r="H126" s="337">
        <f t="shared" si="63"/>
        <v>1.0002204323221413</v>
      </c>
      <c r="I126" s="338">
        <f t="shared" si="64"/>
        <v>2.0994848784848589E-2</v>
      </c>
      <c r="J126" s="340">
        <f t="shared" si="44"/>
        <v>1</v>
      </c>
      <c r="K126" s="338">
        <f t="shared" si="65"/>
        <v>1</v>
      </c>
      <c r="L126" s="339">
        <f t="shared" si="66"/>
        <v>0</v>
      </c>
      <c r="M126" s="731" t="str">
        <f t="shared" si="45"/>
        <v>0.998014495519+0.0987173817002596i</v>
      </c>
      <c r="N126" s="338">
        <f t="shared" si="67"/>
        <v>1.0028848661316008</v>
      </c>
      <c r="O126" s="339">
        <f t="shared" si="68"/>
        <v>9.8593067373161328E-2</v>
      </c>
      <c r="P126" s="732" t="str">
        <f t="shared" si="60"/>
        <v>0.0478032390793097-0.411417812295878i</v>
      </c>
      <c r="Q126" s="337">
        <f t="shared" si="69"/>
        <v>0.41418566602527412</v>
      </c>
      <c r="R126" s="339">
        <f t="shared" si="70"/>
        <v>-1.4551235442447674</v>
      </c>
      <c r="S126" s="731" t="str">
        <f t="shared" si="46"/>
        <v>6000</v>
      </c>
      <c r="T126" s="337" t="str">
        <f t="shared" si="47"/>
        <v>1+42415.8267965462i</v>
      </c>
      <c r="U126" s="346">
        <f t="shared" si="71"/>
        <v>42415.826808334255</v>
      </c>
      <c r="V126" s="347">
        <f t="shared" si="72"/>
        <v>1.5707727506895761</v>
      </c>
      <c r="W126" s="340" t="str">
        <f t="shared" si="48"/>
        <v>1+419.958681153923i</v>
      </c>
      <c r="X126" s="337">
        <f t="shared" si="73"/>
        <v>419.95987174555427</v>
      </c>
      <c r="Y126" s="339">
        <f t="shared" si="74"/>
        <v>1.5684151446575441</v>
      </c>
      <c r="Z126" s="337" t="str">
        <f t="shared" si="49"/>
        <v>1+4.23043535000077i</v>
      </c>
      <c r="AA126" s="346">
        <f t="shared" si="75"/>
        <v>4.3470200425735479</v>
      </c>
      <c r="AB126" s="347">
        <f t="shared" si="76"/>
        <v>1.3386748211970299</v>
      </c>
      <c r="AC126" s="732" t="str">
        <f t="shared" si="77"/>
        <v>3.11238518423442-13.3068003773634i</v>
      </c>
      <c r="AD126" s="337">
        <f t="shared" si="78"/>
        <v>13.665938599965999</v>
      </c>
      <c r="AE126" s="339">
        <f t="shared" si="79"/>
        <v>-1.3410324272290619</v>
      </c>
      <c r="AF126" s="736" t="str">
        <f t="shared" si="50"/>
        <v>-5.32587260684396-1.91659886333958i</v>
      </c>
      <c r="AG126" s="337">
        <f t="shared" si="80"/>
        <v>15.056690601267977</v>
      </c>
      <c r="AH126" s="730">
        <f t="shared" si="81"/>
        <v>-160.20793602575301</v>
      </c>
      <c r="AI126" s="360">
        <f t="shared" si="51"/>
        <v>19.792063974246986</v>
      </c>
      <c r="AL126" s="337">
        <f t="shared" si="52"/>
        <v>22.712789302772357</v>
      </c>
      <c r="AM126" s="730">
        <f t="shared" si="53"/>
        <v>-76.835498270409943</v>
      </c>
      <c r="AN126" s="351"/>
      <c r="AO126" s="337">
        <f t="shared" si="54"/>
        <v>45.615832497235054</v>
      </c>
      <c r="AP126" s="730">
        <f t="shared" si="55"/>
        <v>-83.372437755343086</v>
      </c>
      <c r="AS126" s="351"/>
      <c r="AT126" s="351"/>
      <c r="AV126" s="405">
        <f t="shared" si="56"/>
        <v>0</v>
      </c>
      <c r="AW126" s="405">
        <f t="shared" si="82"/>
        <v>0</v>
      </c>
      <c r="AX126" s="405">
        <f t="shared" si="58"/>
        <v>0</v>
      </c>
      <c r="AY126" s="405">
        <f t="shared" si="59"/>
        <v>0</v>
      </c>
    </row>
    <row r="127" spans="2:51" ht="13.5" thickBot="1" x14ac:dyDescent="0.25">
      <c r="B127" s="345">
        <v>6760.8</v>
      </c>
      <c r="C127" s="728" t="str">
        <f t="shared" si="41"/>
        <v>2.16217503399043</v>
      </c>
      <c r="D127" s="728" t="str">
        <f t="shared" si="42"/>
        <v>1+5.16832203901486i</v>
      </c>
      <c r="E127" s="337">
        <f t="shared" si="61"/>
        <v>5.2641763552303908</v>
      </c>
      <c r="F127" s="338">
        <f t="shared" si="62"/>
        <v>1.3796716214668581</v>
      </c>
      <c r="G127" s="338" t="str">
        <f t="shared" si="43"/>
        <v>1+0.0212396796123898i</v>
      </c>
      <c r="H127" s="337">
        <f t="shared" si="63"/>
        <v>1.0002255365616481</v>
      </c>
      <c r="I127" s="338">
        <f t="shared" si="64"/>
        <v>2.1236486566949608E-2</v>
      </c>
      <c r="J127" s="340">
        <f t="shared" si="44"/>
        <v>1</v>
      </c>
      <c r="K127" s="338">
        <f t="shared" si="65"/>
        <v>1</v>
      </c>
      <c r="L127" s="339">
        <f t="shared" si="66"/>
        <v>0</v>
      </c>
      <c r="M127" s="731" t="str">
        <f t="shared" si="45"/>
        <v>0.997968514816+0.0998538977085233i</v>
      </c>
      <c r="N127" s="338">
        <f t="shared" si="67"/>
        <v>1.0029516226875737</v>
      </c>
      <c r="O127" s="339">
        <f t="shared" si="68"/>
        <v>9.9725248558306362E-2</v>
      </c>
      <c r="P127" s="732" t="str">
        <f t="shared" si="60"/>
        <v>0.0460401444822826-0.407021743604072i</v>
      </c>
      <c r="Q127" s="337">
        <f t="shared" si="69"/>
        <v>0.40961737593814102</v>
      </c>
      <c r="R127" s="339">
        <f t="shared" si="70"/>
        <v>-1.4581603834582149</v>
      </c>
      <c r="S127" s="731" t="str">
        <f t="shared" si="46"/>
        <v>6000</v>
      </c>
      <c r="T127" s="337" t="str">
        <f t="shared" si="47"/>
        <v>1+42904.1528170275i</v>
      </c>
      <c r="U127" s="346">
        <f t="shared" si="71"/>
        <v>42904.152828681385</v>
      </c>
      <c r="V127" s="347">
        <f t="shared" si="72"/>
        <v>1.5707730190278353</v>
      </c>
      <c r="W127" s="340" t="str">
        <f t="shared" si="48"/>
        <v>1+424.793592247797i</v>
      </c>
      <c r="X127" s="337">
        <f t="shared" si="73"/>
        <v>424.79476928840313</v>
      </c>
      <c r="Y127" s="339">
        <f t="shared" si="74"/>
        <v>1.5684422466698251</v>
      </c>
      <c r="Z127" s="337" t="str">
        <f t="shared" si="49"/>
        <v>1+4.27913961478566i</v>
      </c>
      <c r="AA127" s="346">
        <f t="shared" si="75"/>
        <v>4.3944323686715192</v>
      </c>
      <c r="AB127" s="347">
        <f t="shared" si="76"/>
        <v>1.3412244269758562</v>
      </c>
      <c r="AC127" s="732" t="str">
        <f t="shared" si="77"/>
        <v>3.04558730798066-13.1709552823603i</v>
      </c>
      <c r="AD127" s="337">
        <f t="shared" si="78"/>
        <v>13.518493447883444</v>
      </c>
      <c r="AE127" s="339">
        <f t="shared" si="79"/>
        <v>-1.3435551993338664</v>
      </c>
      <c r="AF127" s="736" t="str">
        <f t="shared" si="50"/>
        <v>-5.22064590426472-1.84601294056227i</v>
      </c>
      <c r="AG127" s="337">
        <f t="shared" si="80"/>
        <v>14.866133319556782</v>
      </c>
      <c r="AH127" s="730">
        <f t="shared" si="81"/>
        <v>-160.52647829002203</v>
      </c>
      <c r="AI127" s="360">
        <f t="shared" si="51"/>
        <v>19.473521709977973</v>
      </c>
      <c r="AL127" s="337">
        <f t="shared" si="52"/>
        <v>22.618565897603922</v>
      </c>
      <c r="AM127" s="730">
        <f t="shared" si="53"/>
        <v>-76.98004246468858</v>
      </c>
      <c r="AN127" s="351"/>
      <c r="AO127" s="337">
        <f t="shared" si="54"/>
        <v>45.519498620692275</v>
      </c>
      <c r="AP127" s="730">
        <f t="shared" si="55"/>
        <v>-83.546435825333447</v>
      </c>
      <c r="AS127" s="351"/>
      <c r="AT127" s="351"/>
      <c r="AV127" s="405">
        <f t="shared" si="56"/>
        <v>0</v>
      </c>
      <c r="AW127" s="405">
        <f t="shared" si="82"/>
        <v>0</v>
      </c>
      <c r="AX127" s="405">
        <f t="shared" si="58"/>
        <v>0</v>
      </c>
      <c r="AY127" s="405">
        <f t="shared" si="59"/>
        <v>0</v>
      </c>
    </row>
    <row r="128" spans="2:51" ht="13.5" thickBot="1" x14ac:dyDescent="0.25">
      <c r="B128" s="345">
        <v>6839.55</v>
      </c>
      <c r="C128" s="728" t="str">
        <f t="shared" si="41"/>
        <v>2.16217503399043</v>
      </c>
      <c r="D128" s="728" t="str">
        <f t="shared" si="42"/>
        <v>1+5.22852280823928i</v>
      </c>
      <c r="E128" s="337">
        <f t="shared" si="61"/>
        <v>5.3232932247132849</v>
      </c>
      <c r="F128" s="338">
        <f t="shared" si="62"/>
        <v>1.381819904780869</v>
      </c>
      <c r="G128" s="338" t="str">
        <f t="shared" si="43"/>
        <v>1+0.02148708003386i</v>
      </c>
      <c r="H128" s="337">
        <f t="shared" si="63"/>
        <v>1.0002308206651009</v>
      </c>
      <c r="I128" s="338">
        <f t="shared" si="64"/>
        <v>2.1483774126602927E-2</v>
      </c>
      <c r="J128" s="340">
        <f t="shared" si="44"/>
        <v>1</v>
      </c>
      <c r="K128" s="338">
        <f t="shared" si="65"/>
        <v>1</v>
      </c>
      <c r="L128" s="339">
        <f t="shared" si="66"/>
        <v>0</v>
      </c>
      <c r="M128" s="731" t="str">
        <f t="shared" si="45"/>
        <v>0.997920913591+0.101016998886571i</v>
      </c>
      <c r="N128" s="338">
        <f t="shared" si="67"/>
        <v>1.0030207295197571</v>
      </c>
      <c r="O128" s="339">
        <f t="shared" si="68"/>
        <v>0.10088381067133348</v>
      </c>
      <c r="P128" s="732" t="str">
        <f t="shared" si="60"/>
        <v>0.0442943477496657-0.402613437004046i</v>
      </c>
      <c r="Q128" s="337">
        <f t="shared" si="69"/>
        <v>0.40504267540443095</v>
      </c>
      <c r="R128" s="339">
        <f t="shared" si="70"/>
        <v>-1.4612199413255995</v>
      </c>
      <c r="S128" s="731" t="str">
        <f t="shared" si="46"/>
        <v>6000</v>
      </c>
      <c r="T128" s="337" t="str">
        <f t="shared" si="47"/>
        <v>1+43403.9016683973i</v>
      </c>
      <c r="U128" s="346">
        <f t="shared" si="71"/>
        <v>43403.901679917006</v>
      </c>
      <c r="V128" s="347">
        <f t="shared" si="72"/>
        <v>1.5707732873914932</v>
      </c>
      <c r="W128" s="340" t="str">
        <f t="shared" si="48"/>
        <v>1+429.741600677201i</v>
      </c>
      <c r="X128" s="337">
        <f t="shared" si="73"/>
        <v>429.7427641654981</v>
      </c>
      <c r="Y128" s="339">
        <f t="shared" si="74"/>
        <v>1.5684693512507903</v>
      </c>
      <c r="Z128" s="337" t="str">
        <f t="shared" si="49"/>
        <v>1+4.32898316061817i</v>
      </c>
      <c r="AA128" s="346">
        <f t="shared" si="75"/>
        <v>4.4429826923943434</v>
      </c>
      <c r="AB128" s="347">
        <f t="shared" si="76"/>
        <v>1.3437773163486695</v>
      </c>
      <c r="AC128" s="732" t="str">
        <f t="shared" si="77"/>
        <v>2.97939016921938-13.0345976144045i</v>
      </c>
      <c r="AD128" s="337">
        <f t="shared" si="78"/>
        <v>13.370770387299327</v>
      </c>
      <c r="AE128" s="339">
        <f t="shared" si="79"/>
        <v>-1.3460812524893717</v>
      </c>
      <c r="AF128" s="736" t="str">
        <f t="shared" si="50"/>
        <v>-5.1159340012628-1.77690151571488i</v>
      </c>
      <c r="AG128" s="337">
        <f t="shared" si="80"/>
        <v>14.673144277072222</v>
      </c>
      <c r="AH128" s="730">
        <f t="shared" si="81"/>
        <v>-160.84651022763535</v>
      </c>
      <c r="AI128" s="360">
        <f t="shared" si="51"/>
        <v>19.153489772364651</v>
      </c>
      <c r="AL128" s="337">
        <f t="shared" si="52"/>
        <v>22.523128616913873</v>
      </c>
      <c r="AM128" s="730">
        <f t="shared" si="53"/>
        <v>-77.124774649324735</v>
      </c>
      <c r="AN128" s="351"/>
      <c r="AO128" s="337">
        <f t="shared" si="54"/>
        <v>45.42194685889779</v>
      </c>
      <c r="AP128" s="730">
        <f t="shared" si="55"/>
        <v>-83.721735578310657</v>
      </c>
      <c r="AS128" s="351"/>
      <c r="AT128" s="351"/>
      <c r="AV128" s="405">
        <f t="shared" si="56"/>
        <v>0</v>
      </c>
      <c r="AW128" s="405">
        <f t="shared" si="82"/>
        <v>0</v>
      </c>
      <c r="AX128" s="405">
        <f t="shared" si="58"/>
        <v>0</v>
      </c>
      <c r="AY128" s="405">
        <f t="shared" si="59"/>
        <v>0</v>
      </c>
    </row>
    <row r="129" spans="2:51" ht="13.5" thickBot="1" x14ac:dyDescent="0.25">
      <c r="B129" s="345">
        <v>6918.3</v>
      </c>
      <c r="C129" s="728" t="str">
        <f t="shared" si="41"/>
        <v>2.16217503399043</v>
      </c>
      <c r="D129" s="728" t="str">
        <f t="shared" si="42"/>
        <v>1+5.28872357746369i</v>
      </c>
      <c r="E129" s="337">
        <f t="shared" si="61"/>
        <v>5.3824341221068686</v>
      </c>
      <c r="F129" s="338">
        <f t="shared" si="62"/>
        <v>1.3839209879695071</v>
      </c>
      <c r="G129" s="338" t="str">
        <f t="shared" si="43"/>
        <v>1+0.0217344804553302i</v>
      </c>
      <c r="H129" s="337">
        <f t="shared" si="63"/>
        <v>1.0002361659331576</v>
      </c>
      <c r="I129" s="338">
        <f t="shared" si="64"/>
        <v>2.1731059058365466E-2</v>
      </c>
      <c r="J129" s="340">
        <f t="shared" si="44"/>
        <v>1</v>
      </c>
      <c r="K129" s="338">
        <f t="shared" si="65"/>
        <v>1</v>
      </c>
      <c r="L129" s="339">
        <f t="shared" si="66"/>
        <v>0</v>
      </c>
      <c r="M129" s="731" t="str">
        <f t="shared" si="45"/>
        <v>0.997872761116+0.102180100064619i</v>
      </c>
      <c r="N129" s="338">
        <f t="shared" si="67"/>
        <v>1.0030906341036612</v>
      </c>
      <c r="O129" s="339">
        <f t="shared" si="68"/>
        <v>0.10204226757404877</v>
      </c>
      <c r="P129" s="732" t="str">
        <f t="shared" si="60"/>
        <v>0.0426052647646337-0.398294139962833i</v>
      </c>
      <c r="Q129" s="337">
        <f t="shared" si="69"/>
        <v>0.40056638714999215</v>
      </c>
      <c r="R129" s="339">
        <f t="shared" si="70"/>
        <v>-1.4642321964851903</v>
      </c>
      <c r="S129" s="731" t="str">
        <f t="shared" si="46"/>
        <v>6000</v>
      </c>
      <c r="T129" s="337" t="str">
        <f t="shared" si="47"/>
        <v>1+43903.6505197671i</v>
      </c>
      <c r="U129" s="346">
        <f t="shared" si="71"/>
        <v>43903.650531155668</v>
      </c>
      <c r="V129" s="347">
        <f t="shared" si="72"/>
        <v>1.5707735496456621</v>
      </c>
      <c r="W129" s="340" t="str">
        <f t="shared" si="48"/>
        <v>1+434.689609106605i</v>
      </c>
      <c r="X129" s="337">
        <f t="shared" si="73"/>
        <v>434.69075935111971</v>
      </c>
      <c r="Y129" s="339">
        <f t="shared" si="74"/>
        <v>1.568495838780074</v>
      </c>
      <c r="Z129" s="337" t="str">
        <f t="shared" si="49"/>
        <v>1+4.37882670645067i</v>
      </c>
      <c r="AA129" s="346">
        <f t="shared" si="75"/>
        <v>4.4915613460271935</v>
      </c>
      <c r="AB129" s="347">
        <f t="shared" si="76"/>
        <v>1.346274999961991</v>
      </c>
      <c r="AC129" s="732" t="str">
        <f t="shared" si="77"/>
        <v>2.91529126563559-12.9008650484332i</v>
      </c>
      <c r="AD129" s="337">
        <f t="shared" si="78"/>
        <v>13.226157497980148</v>
      </c>
      <c r="AE129" s="339">
        <f t="shared" si="79"/>
        <v>-1.3485527108275788</v>
      </c>
      <c r="AF129" s="736" t="str">
        <f t="shared" si="50"/>
        <v>-5.01413219300384-1.71078819846879i</v>
      </c>
      <c r="AG129" s="337">
        <f t="shared" si="80"/>
        <v>14.4821638681486</v>
      </c>
      <c r="AH129" s="730">
        <f t="shared" si="81"/>
        <v>-161.16070386711809</v>
      </c>
      <c r="AI129" s="360">
        <f t="shared" si="51"/>
        <v>18.839296132881913</v>
      </c>
      <c r="AL129" s="337">
        <f t="shared" si="52"/>
        <v>22.428673800137769</v>
      </c>
      <c r="AM129" s="730">
        <f t="shared" si="53"/>
        <v>-77.266378781346418</v>
      </c>
      <c r="AN129" s="351"/>
      <c r="AO129" s="337">
        <f t="shared" si="54"/>
        <v>45.32542126675029</v>
      </c>
      <c r="AP129" s="730">
        <f t="shared" si="55"/>
        <v>-83.894325085771698</v>
      </c>
      <c r="AS129" s="351"/>
      <c r="AT129" s="351"/>
      <c r="AV129" s="405">
        <f t="shared" si="56"/>
        <v>0</v>
      </c>
      <c r="AW129" s="405">
        <f t="shared" si="82"/>
        <v>0</v>
      </c>
      <c r="AX129" s="405">
        <f t="shared" si="58"/>
        <v>0</v>
      </c>
      <c r="AY129" s="405">
        <f t="shared" si="59"/>
        <v>0</v>
      </c>
    </row>
    <row r="130" spans="2:51" ht="13.5" thickBot="1" x14ac:dyDescent="0.25">
      <c r="B130" s="345">
        <v>6998.9</v>
      </c>
      <c r="C130" s="728" t="str">
        <f t="shared" si="41"/>
        <v>2.16217503399043</v>
      </c>
      <c r="D130" s="728" t="str">
        <f t="shared" si="42"/>
        <v>1+5.350338586981i</v>
      </c>
      <c r="E130" s="337">
        <f t="shared" si="61"/>
        <v>5.4429884250600651</v>
      </c>
      <c r="F130" s="338">
        <f t="shared" si="62"/>
        <v>1.3860241401871241</v>
      </c>
      <c r="G130" s="338" t="str">
        <f t="shared" si="43"/>
        <v>1+0.0219876928232096i</v>
      </c>
      <c r="H130" s="337">
        <f t="shared" si="63"/>
        <v>1.0002417001083728</v>
      </c>
      <c r="I130" s="338">
        <f t="shared" si="64"/>
        <v>2.1984150470709975E-2</v>
      </c>
      <c r="J130" s="340">
        <f t="shared" si="44"/>
        <v>1</v>
      </c>
      <c r="K130" s="338">
        <f t="shared" si="65"/>
        <v>1</v>
      </c>
      <c r="L130" s="339">
        <f t="shared" si="66"/>
        <v>0</v>
      </c>
      <c r="M130" s="731" t="str">
        <f t="shared" si="45"/>
        <v>0.997822906612889+0.10337052488939i</v>
      </c>
      <c r="N130" s="338">
        <f t="shared" si="67"/>
        <v>1.003163006882382</v>
      </c>
      <c r="O130" s="339">
        <f t="shared" si="68"/>
        <v>0.10322782883425292</v>
      </c>
      <c r="P130" s="732" t="str">
        <f t="shared" si="60"/>
        <v>0.0409327345054398-0.393962875582966i</v>
      </c>
      <c r="Q130" s="337">
        <f t="shared" si="69"/>
        <v>0.39608362259968838</v>
      </c>
      <c r="R130" s="339">
        <f t="shared" si="70"/>
        <v>-1.4672678185506669</v>
      </c>
      <c r="S130" s="731" t="str">
        <f t="shared" si="46"/>
        <v>6000</v>
      </c>
      <c r="T130" s="337" t="str">
        <f t="shared" si="47"/>
        <v>1+44415.1395028834i</v>
      </c>
      <c r="U130" s="346">
        <f t="shared" si="71"/>
        <v>44415.139514140821</v>
      </c>
      <c r="V130" s="347">
        <f t="shared" si="72"/>
        <v>1.5707738119494852</v>
      </c>
      <c r="W130" s="340" t="str">
        <f t="shared" si="48"/>
        <v>1+439.753856464192i</v>
      </c>
      <c r="X130" s="337">
        <f t="shared" si="73"/>
        <v>439.7549934624156</v>
      </c>
      <c r="Y130" s="339">
        <f t="shared" si="74"/>
        <v>1.5685223313276262</v>
      </c>
      <c r="Z130" s="337" t="str">
        <f t="shared" si="49"/>
        <v>1+4.42984118002654i</v>
      </c>
      <c r="AA130" s="346">
        <f t="shared" si="75"/>
        <v>4.5413095996924637</v>
      </c>
      <c r="AB130" s="347">
        <f t="shared" si="76"/>
        <v>1.3487760098917259</v>
      </c>
      <c r="AC130" s="732" t="str">
        <f t="shared" si="77"/>
        <v>2.85176937740299-12.7666369808123i</v>
      </c>
      <c r="AD130" s="337">
        <f t="shared" si="78"/>
        <v>13.081269371958427</v>
      </c>
      <c r="AE130" s="339">
        <f t="shared" si="79"/>
        <v>-1.3510274905135846</v>
      </c>
      <c r="AF130" s="736" t="str">
        <f t="shared" si="50"/>
        <v>-4.91285029768867-1.64606462648405i</v>
      </c>
      <c r="AG130" s="337">
        <f t="shared" si="80"/>
        <v>14.288735484929134</v>
      </c>
      <c r="AH130" s="730">
        <f t="shared" si="81"/>
        <v>-161.47642663089951</v>
      </c>
      <c r="AI130" s="360">
        <f t="shared" si="51"/>
        <v>18.52357336910049</v>
      </c>
      <c r="AL130" s="337">
        <f t="shared" si="52"/>
        <v>22.332997776536715</v>
      </c>
      <c r="AM130" s="730">
        <f t="shared" si="53"/>
        <v>-77.408173212579257</v>
      </c>
      <c r="AN130" s="351"/>
      <c r="AO130" s="337">
        <f t="shared" si="54"/>
        <v>45.227668907131822</v>
      </c>
      <c r="AP130" s="730">
        <f t="shared" si="55"/>
        <v>-84.068253418320268</v>
      </c>
      <c r="AS130" s="351"/>
      <c r="AT130" s="351"/>
      <c r="AV130" s="405">
        <f t="shared" si="56"/>
        <v>0</v>
      </c>
      <c r="AW130" s="405">
        <f t="shared" si="82"/>
        <v>0</v>
      </c>
      <c r="AX130" s="405">
        <f t="shared" si="58"/>
        <v>0</v>
      </c>
      <c r="AY130" s="405">
        <f t="shared" si="59"/>
        <v>0</v>
      </c>
    </row>
    <row r="131" spans="2:51" ht="13.5" thickBot="1" x14ac:dyDescent="0.25">
      <c r="B131" s="345">
        <v>7079.5</v>
      </c>
      <c r="C131" s="728" t="str">
        <f t="shared" si="41"/>
        <v>2.16217503399043</v>
      </c>
      <c r="D131" s="728" t="str">
        <f t="shared" si="42"/>
        <v>1+5.41195359649831i</v>
      </c>
      <c r="E131" s="337">
        <f t="shared" si="61"/>
        <v>5.5035662738492563</v>
      </c>
      <c r="F131" s="338">
        <f t="shared" si="62"/>
        <v>1.3880810024712329</v>
      </c>
      <c r="G131" s="338" t="str">
        <f t="shared" si="43"/>
        <v>1+0.0222409051910889i</v>
      </c>
      <c r="H131" s="337">
        <f t="shared" si="63"/>
        <v>1.0002472983536217</v>
      </c>
      <c r="I131" s="338">
        <f t="shared" si="64"/>
        <v>2.2237239066230898E-2</v>
      </c>
      <c r="J131" s="340">
        <f t="shared" si="44"/>
        <v>1</v>
      </c>
      <c r="K131" s="338">
        <f t="shared" si="65"/>
        <v>1</v>
      </c>
      <c r="L131" s="339">
        <f t="shared" si="66"/>
        <v>0</v>
      </c>
      <c r="M131" s="731" t="str">
        <f t="shared" si="45"/>
        <v>0.997772474655556+0.10456094971416i</v>
      </c>
      <c r="N131" s="338">
        <f t="shared" si="67"/>
        <v>1.0032362151484562</v>
      </c>
      <c r="O131" s="339">
        <f t="shared" si="68"/>
        <v>0.1044132773675147</v>
      </c>
      <c r="P131" s="732" t="str">
        <f t="shared" si="60"/>
        <v>0.0393146787831627-0.3897195293875i</v>
      </c>
      <c r="Q131" s="337">
        <f t="shared" si="69"/>
        <v>0.39169753069663044</v>
      </c>
      <c r="R131" s="339">
        <f t="shared" si="70"/>
        <v>-1.4702570407725166</v>
      </c>
      <c r="S131" s="731" t="str">
        <f t="shared" si="46"/>
        <v>6000</v>
      </c>
      <c r="T131" s="337" t="str">
        <f t="shared" si="47"/>
        <v>1+44926.6284859997i</v>
      </c>
      <c r="U131" s="346">
        <f t="shared" si="71"/>
        <v>44926.628497128957</v>
      </c>
      <c r="V131" s="347">
        <f t="shared" si="72"/>
        <v>1.5707740682806584</v>
      </c>
      <c r="W131" s="340" t="str">
        <f t="shared" si="48"/>
        <v>1+444.818103821779i</v>
      </c>
      <c r="X131" s="337">
        <f t="shared" si="73"/>
        <v>444.81922787532807</v>
      </c>
      <c r="Y131" s="339">
        <f t="shared" si="74"/>
        <v>1.5685482206437593</v>
      </c>
      <c r="Z131" s="337" t="str">
        <f t="shared" si="49"/>
        <v>1+4.48085565360241i</v>
      </c>
      <c r="AA131" s="346">
        <f t="shared" si="75"/>
        <v>4.5910856437688761</v>
      </c>
      <c r="AB131" s="347">
        <f t="shared" si="76"/>
        <v>1.3512228035034812</v>
      </c>
      <c r="AC131" s="732" t="str">
        <f t="shared" si="77"/>
        <v>2.79026745189809-12.635014484312i</v>
      </c>
      <c r="AD131" s="337">
        <f t="shared" si="78"/>
        <v>12.939442935145852</v>
      </c>
      <c r="AE131" s="339">
        <f t="shared" si="79"/>
        <v>-1.3534486511403807</v>
      </c>
      <c r="AF131" s="736" t="str">
        <f t="shared" si="50"/>
        <v>-4.81441343003983-1.58416325409032i</v>
      </c>
      <c r="AG131" s="337">
        <f t="shared" si="80"/>
        <v>14.097328266843409</v>
      </c>
      <c r="AH131" s="730">
        <f t="shared" si="81"/>
        <v>-161.7864187336769</v>
      </c>
      <c r="AI131" s="360">
        <f t="shared" si="51"/>
        <v>18.213581266323104</v>
      </c>
      <c r="AL131" s="337">
        <f t="shared" si="52"/>
        <v>22.238311592496139</v>
      </c>
      <c r="AM131" s="730">
        <f t="shared" si="53"/>
        <v>-77.546895498017932</v>
      </c>
      <c r="AN131" s="351"/>
      <c r="AO131" s="337">
        <f t="shared" si="54"/>
        <v>45.130947873086676</v>
      </c>
      <c r="AP131" s="730">
        <f t="shared" si="55"/>
        <v>-84.239523235658993</v>
      </c>
      <c r="AS131" s="351"/>
      <c r="AT131" s="351"/>
      <c r="AV131" s="405">
        <f t="shared" si="56"/>
        <v>0</v>
      </c>
      <c r="AW131" s="405">
        <f t="shared" si="82"/>
        <v>0</v>
      </c>
      <c r="AX131" s="405">
        <f t="shared" si="58"/>
        <v>0</v>
      </c>
      <c r="AY131" s="405">
        <f t="shared" si="59"/>
        <v>0</v>
      </c>
    </row>
    <row r="132" spans="2:51" ht="13.5" thickBot="1" x14ac:dyDescent="0.25">
      <c r="B132" s="345">
        <v>7161.95</v>
      </c>
      <c r="C132" s="728" t="str">
        <f t="shared" si="41"/>
        <v>2.16217503399043</v>
      </c>
      <c r="D132" s="728" t="str">
        <f t="shared" si="42"/>
        <v>1+5.4749828463085i</v>
      </c>
      <c r="E132" s="337">
        <f t="shared" si="61"/>
        <v>5.5655581182278864</v>
      </c>
      <c r="F132" s="338">
        <f t="shared" si="62"/>
        <v>1.3901387378369112</v>
      </c>
      <c r="G132" s="338" t="str">
        <f t="shared" si="43"/>
        <v>1+0.0224999295053774i</v>
      </c>
      <c r="H132" s="337">
        <f t="shared" si="63"/>
        <v>1.0002530913862486</v>
      </c>
      <c r="I132" s="338">
        <f t="shared" si="64"/>
        <v>2.2496133818931039E-2</v>
      </c>
      <c r="J132" s="340">
        <f t="shared" si="44"/>
        <v>1</v>
      </c>
      <c r="K132" s="338">
        <f t="shared" si="65"/>
        <v>1</v>
      </c>
      <c r="L132" s="339">
        <f t="shared" si="66"/>
        <v>0</v>
      </c>
      <c r="M132" s="731" t="str">
        <f t="shared" si="45"/>
        <v>0.997720287653222+0.105778698185652i</v>
      </c>
      <c r="N132" s="338">
        <f t="shared" si="67"/>
        <v>1.0033119681259062</v>
      </c>
      <c r="O132" s="339">
        <f t="shared" si="68"/>
        <v>0.10562581736459752</v>
      </c>
      <c r="P132" s="732" t="str">
        <f t="shared" si="60"/>
        <v>0.0377134475540877-0.385467098881686i</v>
      </c>
      <c r="Q132" s="337">
        <f t="shared" si="69"/>
        <v>0.38730761475431702</v>
      </c>
      <c r="R132" s="339">
        <f t="shared" si="70"/>
        <v>-1.4732684213825775</v>
      </c>
      <c r="S132" s="731" t="str">
        <f t="shared" si="46"/>
        <v>6000</v>
      </c>
      <c r="T132" s="337" t="str">
        <f t="shared" si="47"/>
        <v>1+45449.8576008624i</v>
      </c>
      <c r="U132" s="346">
        <f t="shared" si="71"/>
        <v>45449.857611863532</v>
      </c>
      <c r="V132" s="347">
        <f t="shared" si="72"/>
        <v>1.5707743245257451</v>
      </c>
      <c r="W132" s="340" t="str">
        <f t="shared" si="48"/>
        <v>1+449.998590107548i</v>
      </c>
      <c r="X132" s="337">
        <f t="shared" si="73"/>
        <v>449.9997012207686</v>
      </c>
      <c r="Y132" s="339">
        <f t="shared" si="74"/>
        <v>1.5685741012682233</v>
      </c>
      <c r="Z132" s="337" t="str">
        <f t="shared" si="49"/>
        <v>1+4.53304105492164i</v>
      </c>
      <c r="AA132" s="346">
        <f t="shared" si="75"/>
        <v>4.6420320125571184</v>
      </c>
      <c r="AB132" s="347">
        <f t="shared" si="76"/>
        <v>1.3536714491220529</v>
      </c>
      <c r="AC132" s="732" t="str">
        <f t="shared" si="77"/>
        <v>2.72935708746311-12.5029942803853i</v>
      </c>
      <c r="AD132" s="337">
        <f t="shared" si="78"/>
        <v>12.797431620689858</v>
      </c>
      <c r="AE132" s="339">
        <f t="shared" si="79"/>
        <v>-1.3558716723795758</v>
      </c>
      <c r="AF132" s="736" t="str">
        <f t="shared" si="50"/>
        <v>-4.71655946722002-1.52360837737894i</v>
      </c>
      <c r="AG132" s="337">
        <f t="shared" si="80"/>
        <v>13.903577066492582</v>
      </c>
      <c r="AH132" s="730">
        <f t="shared" si="81"/>
        <v>-162.09778702381743</v>
      </c>
      <c r="AI132" s="360">
        <f t="shared" si="51"/>
        <v>17.902212976182568</v>
      </c>
      <c r="AL132" s="337">
        <f t="shared" si="52"/>
        <v>22.142456354074245</v>
      </c>
      <c r="AM132" s="730">
        <f t="shared" si="53"/>
        <v>-77.685724388694368</v>
      </c>
      <c r="AN132" s="351"/>
      <c r="AO132" s="337">
        <f t="shared" si="54"/>
        <v>45.033051911157784</v>
      </c>
      <c r="AP132" s="730">
        <f t="shared" si="55"/>
        <v>-84.41206263512305</v>
      </c>
      <c r="AS132" s="351"/>
      <c r="AT132" s="351"/>
      <c r="AV132" s="405">
        <f t="shared" si="56"/>
        <v>0</v>
      </c>
      <c r="AW132" s="405">
        <f t="shared" si="82"/>
        <v>0</v>
      </c>
      <c r="AX132" s="405">
        <f t="shared" si="58"/>
        <v>0</v>
      </c>
      <c r="AY132" s="405">
        <f t="shared" si="59"/>
        <v>0</v>
      </c>
    </row>
    <row r="133" spans="2:51" ht="13.5" thickBot="1" x14ac:dyDescent="0.25">
      <c r="B133" s="345">
        <v>7244.4</v>
      </c>
      <c r="C133" s="728" t="str">
        <f t="shared" si="41"/>
        <v>2.16217503399043</v>
      </c>
      <c r="D133" s="728" t="str">
        <f t="shared" si="42"/>
        <v>1+5.5380120961187i</v>
      </c>
      <c r="E133" s="337">
        <f t="shared" si="61"/>
        <v>5.6275730094559444</v>
      </c>
      <c r="F133" s="338">
        <f t="shared" si="62"/>
        <v>1.3921511297848583</v>
      </c>
      <c r="G133" s="338" t="str">
        <f t="shared" si="43"/>
        <v>1+0.0227589538196659i</v>
      </c>
      <c r="H133" s="337">
        <f t="shared" si="63"/>
        <v>1.0002589514615532</v>
      </c>
      <c r="I133" s="338">
        <f t="shared" si="64"/>
        <v>2.2755025555483647E-2</v>
      </c>
      <c r="J133" s="340">
        <f t="shared" si="44"/>
        <v>1</v>
      </c>
      <c r="K133" s="338">
        <f t="shared" si="65"/>
        <v>1</v>
      </c>
      <c r="L133" s="339">
        <f t="shared" si="66"/>
        <v>0</v>
      </c>
      <c r="M133" s="731" t="str">
        <f t="shared" si="45"/>
        <v>0.997667496384+0.106996446657145i</v>
      </c>
      <c r="N133" s="338">
        <f t="shared" si="67"/>
        <v>1.0033885951805381</v>
      </c>
      <c r="O133" s="339">
        <f t="shared" si="68"/>
        <v>0.10683823671115708</v>
      </c>
      <c r="P133" s="732" t="str">
        <f t="shared" si="60"/>
        <v>0.0361644734561454-0.381301375467342i</v>
      </c>
      <c r="Q133" s="337">
        <f t="shared" si="69"/>
        <v>0.38301254297169846</v>
      </c>
      <c r="R133" s="339">
        <f t="shared" si="70"/>
        <v>-1.4762343409405316</v>
      </c>
      <c r="S133" s="731" t="str">
        <f t="shared" si="46"/>
        <v>6000</v>
      </c>
      <c r="T133" s="337" t="str">
        <f t="shared" si="47"/>
        <v>1+45973.0867157251i</v>
      </c>
      <c r="U133" s="346">
        <f t="shared" si="71"/>
        <v>45973.086726601025</v>
      </c>
      <c r="V133" s="347">
        <f t="shared" si="72"/>
        <v>1.5707745749380759</v>
      </c>
      <c r="W133" s="340" t="str">
        <f t="shared" si="48"/>
        <v>1+455.179076393318i</v>
      </c>
      <c r="X133" s="337">
        <f t="shared" si="73"/>
        <v>455.18017486076212</v>
      </c>
      <c r="Y133" s="339">
        <f t="shared" si="74"/>
        <v>1.5685993927901891</v>
      </c>
      <c r="Z133" s="337" t="str">
        <f t="shared" si="49"/>
        <v>1+4.58522645624087i</v>
      </c>
      <c r="AA133" s="346">
        <f t="shared" si="75"/>
        <v>4.6930056099488322</v>
      </c>
      <c r="AB133" s="347">
        <f t="shared" si="76"/>
        <v>1.3560669163764734</v>
      </c>
      <c r="AC133" s="732" t="str">
        <f t="shared" si="77"/>
        <v>2.67038865393336-12.3735556558295i</v>
      </c>
      <c r="AD133" s="337">
        <f t="shared" si="78"/>
        <v>12.658430200106418</v>
      </c>
      <c r="AE133" s="339">
        <f t="shared" si="79"/>
        <v>-1.3582420985243595</v>
      </c>
      <c r="AF133" s="736" t="str">
        <f t="shared" si="50"/>
        <v>-4.62148059139673-1.46570599185056i</v>
      </c>
      <c r="AG133" s="337">
        <f t="shared" si="80"/>
        <v>13.711856955337806</v>
      </c>
      <c r="AH133" s="730">
        <f t="shared" si="81"/>
        <v>-162.40353711060698</v>
      </c>
      <c r="AI133" s="360">
        <f t="shared" si="51"/>
        <v>17.596462889393024</v>
      </c>
      <c r="AL133" s="337">
        <f t="shared" si="52"/>
        <v>22.047597024048958</v>
      </c>
      <c r="AM133" s="730">
        <f t="shared" si="53"/>
        <v>-77.82153980243794</v>
      </c>
      <c r="AN133" s="351"/>
      <c r="AO133" s="337">
        <f t="shared" si="54"/>
        <v>44.936191130028256</v>
      </c>
      <c r="AP133" s="730">
        <f t="shared" si="55"/>
        <v>-84.581997308169065</v>
      </c>
      <c r="AS133" s="351"/>
      <c r="AT133" s="351"/>
      <c r="AV133" s="405">
        <f t="shared" si="56"/>
        <v>0</v>
      </c>
      <c r="AW133" s="405">
        <f t="shared" si="82"/>
        <v>0</v>
      </c>
      <c r="AX133" s="405">
        <f t="shared" si="58"/>
        <v>0</v>
      </c>
      <c r="AY133" s="405">
        <f t="shared" si="59"/>
        <v>0</v>
      </c>
    </row>
    <row r="134" spans="2:51" ht="13.5" thickBot="1" x14ac:dyDescent="0.25">
      <c r="B134" s="345">
        <v>7328.75</v>
      </c>
      <c r="C134" s="728" t="str">
        <f t="shared" si="41"/>
        <v>2.16217503399043</v>
      </c>
      <c r="D134" s="728" t="str">
        <f t="shared" si="42"/>
        <v>1+5.60249380893241i</v>
      </c>
      <c r="E134" s="337">
        <f t="shared" si="61"/>
        <v>5.6910400524970814</v>
      </c>
      <c r="F134" s="338">
        <f t="shared" si="62"/>
        <v>1.394164502033878</v>
      </c>
      <c r="G134" s="338" t="str">
        <f t="shared" si="43"/>
        <v>1+0.0230239471599962i</v>
      </c>
      <c r="H134" s="337">
        <f t="shared" si="63"/>
        <v>1.0002650159546851</v>
      </c>
      <c r="I134" s="338">
        <f t="shared" si="64"/>
        <v>2.3019880105581796E-2</v>
      </c>
      <c r="J134" s="340">
        <f t="shared" si="44"/>
        <v>1</v>
      </c>
      <c r="K134" s="338">
        <f t="shared" si="65"/>
        <v>1</v>
      </c>
      <c r="L134" s="339">
        <f t="shared" si="66"/>
        <v>0</v>
      </c>
      <c r="M134" s="731" t="str">
        <f t="shared" si="45"/>
        <v>0.997612863263889+0.108242257252299i</v>
      </c>
      <c r="N134" s="338">
        <f t="shared" si="67"/>
        <v>1.0034678924632554</v>
      </c>
      <c r="O134" s="339">
        <f t="shared" si="68"/>
        <v>0.10807846910603418</v>
      </c>
      <c r="P134" s="732" t="str">
        <f t="shared" si="60"/>
        <v>0.0346315732600106-0.377126744244197i</v>
      </c>
      <c r="Q134" s="337">
        <f t="shared" si="69"/>
        <v>0.37871351585425556</v>
      </c>
      <c r="R134" s="339">
        <f t="shared" si="70"/>
        <v>-1.4792230910343303</v>
      </c>
      <c r="S134" s="731" t="str">
        <f t="shared" si="46"/>
        <v>6000</v>
      </c>
      <c r="T134" s="337" t="str">
        <f t="shared" si="47"/>
        <v>1+46508.3732631923i</v>
      </c>
      <c r="U134" s="346">
        <f t="shared" si="71"/>
        <v>46508.373273943049</v>
      </c>
      <c r="V134" s="347">
        <f t="shared" si="72"/>
        <v>1.5707748252903355</v>
      </c>
      <c r="W134" s="340" t="str">
        <f t="shared" si="48"/>
        <v>1+460.478943199924i</v>
      </c>
      <c r="X134" s="337">
        <f t="shared" si="73"/>
        <v>460.48002902462429</v>
      </c>
      <c r="Y134" s="339">
        <f t="shared" si="74"/>
        <v>1.5686246782477746</v>
      </c>
      <c r="Z134" s="337" t="str">
        <f t="shared" si="49"/>
        <v>1+4.63861443199924i</v>
      </c>
      <c r="AA134" s="346">
        <f t="shared" si="75"/>
        <v>4.7451811186456982</v>
      </c>
      <c r="AB134" s="347">
        <f t="shared" si="76"/>
        <v>1.3584643136307875</v>
      </c>
      <c r="AC134" s="732" t="str">
        <f t="shared" si="77"/>
        <v>2.61198713193488-12.2437329166138i</v>
      </c>
      <c r="AD134" s="337">
        <f t="shared" si="78"/>
        <v>12.519244087035194</v>
      </c>
      <c r="AE134" s="339">
        <f t="shared" si="79"/>
        <v>-1.3606144606733486</v>
      </c>
      <c r="AF134" s="736" t="str">
        <f t="shared" si="50"/>
        <v>-4.52698190852426-1.40906993655205i</v>
      </c>
      <c r="AG134" s="337">
        <f t="shared" si="80"/>
        <v>13.517778236067457</v>
      </c>
      <c r="AH134" s="730">
        <f t="shared" si="81"/>
        <v>-162.71070621561475</v>
      </c>
      <c r="AI134" s="360">
        <f t="shared" si="51"/>
        <v>17.289293784385251</v>
      </c>
      <c r="AL134" s="337">
        <f t="shared" si="52"/>
        <v>21.951562138606</v>
      </c>
      <c r="AM134" s="730">
        <f t="shared" si="53"/>
        <v>-77.957466141051597</v>
      </c>
      <c r="AN134" s="351"/>
      <c r="AO134" s="337">
        <f t="shared" si="54"/>
        <v>44.838147296200901</v>
      </c>
      <c r="AP134" s="730">
        <f t="shared" si="55"/>
        <v>-84.753240074563081</v>
      </c>
      <c r="AS134" s="351"/>
      <c r="AT134" s="351"/>
      <c r="AV134" s="405">
        <f t="shared" si="56"/>
        <v>0</v>
      </c>
      <c r="AW134" s="405">
        <f t="shared" si="82"/>
        <v>0</v>
      </c>
      <c r="AX134" s="405">
        <f t="shared" si="58"/>
        <v>0</v>
      </c>
      <c r="AY134" s="405">
        <f t="shared" si="59"/>
        <v>0</v>
      </c>
    </row>
    <row r="135" spans="2:51" ht="13.5" thickBot="1" x14ac:dyDescent="0.25">
      <c r="B135" s="345">
        <v>7413.1</v>
      </c>
      <c r="C135" s="728" t="str">
        <f t="shared" si="41"/>
        <v>2.16217503399043</v>
      </c>
      <c r="D135" s="728" t="str">
        <f t="shared" si="42"/>
        <v>1+5.66697552174612i</v>
      </c>
      <c r="E135" s="337">
        <f t="shared" si="61"/>
        <v>5.7545296561986454</v>
      </c>
      <c r="F135" s="338">
        <f t="shared" si="62"/>
        <v>1.3961334551316043</v>
      </c>
      <c r="G135" s="338" t="str">
        <f t="shared" si="43"/>
        <v>1+0.0232889405003265i</v>
      </c>
      <c r="H135" s="337">
        <f t="shared" si="63"/>
        <v>1.0002711506134863</v>
      </c>
      <c r="I135" s="338">
        <f t="shared" si="64"/>
        <v>2.3284731425554824E-2</v>
      </c>
      <c r="J135" s="340">
        <f t="shared" si="44"/>
        <v>1</v>
      </c>
      <c r="K135" s="338">
        <f t="shared" si="65"/>
        <v>1</v>
      </c>
      <c r="L135" s="339">
        <f t="shared" si="66"/>
        <v>0</v>
      </c>
      <c r="M135" s="731" t="str">
        <f t="shared" si="45"/>
        <v>0.997557597706222+0.109488067847452i</v>
      </c>
      <c r="N135" s="338">
        <f t="shared" si="67"/>
        <v>1.0035481043489529</v>
      </c>
      <c r="O135" s="339">
        <f t="shared" si="68"/>
        <v>0.10931857235055173</v>
      </c>
      <c r="P135" s="732" t="str">
        <f t="shared" si="60"/>
        <v>0.0331488024547847-0.37303760310876i</v>
      </c>
      <c r="Q135" s="337">
        <f t="shared" si="69"/>
        <v>0.37450753855872521</v>
      </c>
      <c r="R135" s="339">
        <f t="shared" si="70"/>
        <v>-1.4821672960566012</v>
      </c>
      <c r="S135" s="731" t="str">
        <f t="shared" si="46"/>
        <v>6000</v>
      </c>
      <c r="T135" s="337" t="str">
        <f t="shared" si="47"/>
        <v>1+47043.6598106595i</v>
      </c>
      <c r="U135" s="346">
        <f t="shared" si="71"/>
        <v>47043.659821287925</v>
      </c>
      <c r="V135" s="347">
        <f t="shared" si="72"/>
        <v>1.570775069945326</v>
      </c>
      <c r="W135" s="340" t="str">
        <f t="shared" si="48"/>
        <v>1+465.77881000653i</v>
      </c>
      <c r="X135" s="337">
        <f t="shared" si="73"/>
        <v>465.7798834761964</v>
      </c>
      <c r="Y135" s="339">
        <f t="shared" si="74"/>
        <v>1.5686493882866008</v>
      </c>
      <c r="Z135" s="337" t="str">
        <f t="shared" si="49"/>
        <v>1+4.69200240775761i</v>
      </c>
      <c r="AA135" s="346">
        <f t="shared" si="75"/>
        <v>4.7973833070126064</v>
      </c>
      <c r="AB135" s="347">
        <f t="shared" si="76"/>
        <v>1.3608095501023965</v>
      </c>
      <c r="AC135" s="732" t="str">
        <f t="shared" si="77"/>
        <v>2.55545231051299-12.1164667080799i</v>
      </c>
      <c r="AD135" s="337">
        <f t="shared" si="78"/>
        <v>12.383016676049287</v>
      </c>
      <c r="AE135" s="339">
        <f t="shared" si="79"/>
        <v>-1.3629352317611212</v>
      </c>
      <c r="AF135" s="736" t="str">
        <f t="shared" si="50"/>
        <v>-4.4351875151054-1.35492616612862i</v>
      </c>
      <c r="AG135" s="337">
        <f t="shared" si="80"/>
        <v>13.325740438642979</v>
      </c>
      <c r="AH135" s="730">
        <f t="shared" si="81"/>
        <v>-163.01236712595747</v>
      </c>
      <c r="AI135" s="360">
        <f t="shared" si="51"/>
        <v>16.987632874042532</v>
      </c>
      <c r="AL135" s="337">
        <f t="shared" si="52"/>
        <v>21.856529155663331</v>
      </c>
      <c r="AM135" s="730">
        <f t="shared" si="53"/>
        <v>-78.090436529596957</v>
      </c>
      <c r="AN135" s="351"/>
      <c r="AO135" s="337">
        <f t="shared" si="54"/>
        <v>44.741142481719052</v>
      </c>
      <c r="AP135" s="730">
        <f t="shared" si="55"/>
        <v>-84.92193059636044</v>
      </c>
      <c r="AS135" s="351"/>
      <c r="AT135" s="351"/>
      <c r="AV135" s="405">
        <f t="shared" si="56"/>
        <v>0</v>
      </c>
      <c r="AW135" s="405">
        <f t="shared" si="82"/>
        <v>0</v>
      </c>
      <c r="AX135" s="405">
        <f t="shared" si="58"/>
        <v>0</v>
      </c>
      <c r="AY135" s="405">
        <f t="shared" si="59"/>
        <v>0</v>
      </c>
    </row>
    <row r="136" spans="2:51" ht="13.5" thickBot="1" x14ac:dyDescent="0.25">
      <c r="B136" s="345">
        <v>7499.45</v>
      </c>
      <c r="C136" s="728" t="str">
        <f t="shared" si="41"/>
        <v>2.16217503399043</v>
      </c>
      <c r="D136" s="728" t="str">
        <f t="shared" si="42"/>
        <v>1+5.73298614298457i</v>
      </c>
      <c r="E136" s="337">
        <f t="shared" si="61"/>
        <v>5.819547243184223</v>
      </c>
      <c r="F136" s="338">
        <f t="shared" si="62"/>
        <v>1.3981045842361204</v>
      </c>
      <c r="G136" s="338" t="str">
        <f t="shared" si="43"/>
        <v>1+0.023560217025964i</v>
      </c>
      <c r="H136" s="337">
        <f t="shared" si="63"/>
        <v>1.0002775034090843</v>
      </c>
      <c r="I136" s="338">
        <f t="shared" si="64"/>
        <v>2.3555859178782418E-2</v>
      </c>
      <c r="J136" s="340">
        <f t="shared" si="44"/>
        <v>1</v>
      </c>
      <c r="K136" s="338">
        <f t="shared" si="65"/>
        <v>1</v>
      </c>
      <c r="L136" s="339">
        <f t="shared" si="66"/>
        <v>0</v>
      </c>
      <c r="M136" s="731" t="str">
        <f t="shared" si="45"/>
        <v>0.997500366653222+0.110763417520144i</v>
      </c>
      <c r="N136" s="338">
        <f t="shared" si="67"/>
        <v>1.0036311653859966</v>
      </c>
      <c r="O136" s="339">
        <f t="shared" si="68"/>
        <v>0.11058794405093078</v>
      </c>
      <c r="P136" s="732" t="str">
        <f t="shared" si="60"/>
        <v>0.0316805786840923-0.368937436583015i</v>
      </c>
      <c r="Q136" s="337">
        <f t="shared" si="69"/>
        <v>0.37029514063541963</v>
      </c>
      <c r="R136" s="339">
        <f t="shared" si="70"/>
        <v>-1.4851366691082688</v>
      </c>
      <c r="S136" s="731" t="str">
        <f t="shared" si="46"/>
        <v>6000</v>
      </c>
      <c r="T136" s="337" t="str">
        <f t="shared" si="47"/>
        <v>1+47591.6383924473i</v>
      </c>
      <c r="U136" s="346">
        <f t="shared" si="71"/>
        <v>47591.638402953344</v>
      </c>
      <c r="V136" s="347">
        <f t="shared" si="72"/>
        <v>1.5707753147004693</v>
      </c>
      <c r="W136" s="340" t="str">
        <f t="shared" si="48"/>
        <v>1+471.20434051928i</v>
      </c>
      <c r="X136" s="337">
        <f t="shared" si="73"/>
        <v>471.20540162885396</v>
      </c>
      <c r="Y136" s="339">
        <f t="shared" si="74"/>
        <v>1.5686741084434543</v>
      </c>
      <c r="Z136" s="337" t="str">
        <f t="shared" si="49"/>
        <v>1+4.74665625134665i</v>
      </c>
      <c r="AA136" s="346">
        <f t="shared" si="75"/>
        <v>4.8508499841211572</v>
      </c>
      <c r="AB136" s="347">
        <f t="shared" si="76"/>
        <v>1.3631580948816526</v>
      </c>
      <c r="AC136" s="732" t="str">
        <f t="shared" si="77"/>
        <v>2.4994297308309-11.988758079944i</v>
      </c>
      <c r="AD136" s="337">
        <f t="shared" si="78"/>
        <v>12.246528866531282</v>
      </c>
      <c r="AE136" s="339">
        <f t="shared" si="79"/>
        <v>-1.3652593011386673</v>
      </c>
      <c r="AF136" s="736" t="str">
        <f t="shared" si="50"/>
        <v>-4.3439182935755-1.30194399148834i</v>
      </c>
      <c r="AG136" s="337">
        <f t="shared" si="80"/>
        <v>13.131220467609259</v>
      </c>
      <c r="AH136" s="730">
        <f t="shared" si="81"/>
        <v>-163.31565903624681</v>
      </c>
      <c r="AI136" s="360">
        <f t="shared" si="51"/>
        <v>16.684340963753186</v>
      </c>
      <c r="AL136" s="337">
        <f t="shared" si="52"/>
        <v>21.760260210367104</v>
      </c>
      <c r="AM136" s="730">
        <f t="shared" si="53"/>
        <v>-78.223595896225945</v>
      </c>
      <c r="AN136" s="351"/>
      <c r="AO136" s="337">
        <f t="shared" si="54"/>
        <v>44.642891455981591</v>
      </c>
      <c r="AP136" s="730">
        <f t="shared" si="55"/>
        <v>-85.092063140020883</v>
      </c>
      <c r="AS136" s="351"/>
      <c r="AT136" s="351"/>
      <c r="AV136" s="405">
        <f t="shared" si="56"/>
        <v>0</v>
      </c>
      <c r="AW136" s="405">
        <f t="shared" si="82"/>
        <v>0</v>
      </c>
      <c r="AX136" s="405">
        <f t="shared" si="58"/>
        <v>0</v>
      </c>
      <c r="AY136" s="405">
        <f t="shared" si="59"/>
        <v>0</v>
      </c>
    </row>
    <row r="137" spans="2:51" ht="13.5" thickBot="1" x14ac:dyDescent="0.25">
      <c r="B137" s="345">
        <v>7585.8</v>
      </c>
      <c r="C137" s="728" t="str">
        <f t="shared" si="41"/>
        <v>2.16217503399043</v>
      </c>
      <c r="D137" s="728" t="str">
        <f t="shared" si="42"/>
        <v>1+5.79899676422302i</v>
      </c>
      <c r="E137" s="337">
        <f t="shared" si="61"/>
        <v>5.8845869414487417</v>
      </c>
      <c r="F137" s="338">
        <f t="shared" si="62"/>
        <v>1.4000321486820033</v>
      </c>
      <c r="G137" s="338" t="str">
        <f t="shared" si="43"/>
        <v>1+0.0238314935516014i</v>
      </c>
      <c r="H137" s="337">
        <f t="shared" si="63"/>
        <v>1.0002839297344028</v>
      </c>
      <c r="I137" s="338">
        <f t="shared" si="64"/>
        <v>2.382698346821896E-2</v>
      </c>
      <c r="J137" s="340">
        <f t="shared" si="44"/>
        <v>1</v>
      </c>
      <c r="K137" s="338">
        <f t="shared" si="65"/>
        <v>1</v>
      </c>
      <c r="L137" s="339">
        <f t="shared" si="66"/>
        <v>0</v>
      </c>
      <c r="M137" s="731" t="str">
        <f t="shared" si="45"/>
        <v>0.997442472816+0.112038767192835i</v>
      </c>
      <c r="N137" s="338">
        <f t="shared" si="67"/>
        <v>1.0037151846671382</v>
      </c>
      <c r="O137" s="339">
        <f t="shared" si="68"/>
        <v>0.11185717732514301</v>
      </c>
      <c r="P137" s="732" t="str">
        <f t="shared" si="60"/>
        <v>0.0302604956236527-0.364921632750007i</v>
      </c>
      <c r="Q137" s="337">
        <f t="shared" si="69"/>
        <v>0.36617413295359913</v>
      </c>
      <c r="R137" s="339">
        <f t="shared" si="70"/>
        <v>-1.4880623425389272</v>
      </c>
      <c r="S137" s="731" t="str">
        <f t="shared" si="46"/>
        <v>6000</v>
      </c>
      <c r="T137" s="337" t="str">
        <f t="shared" si="47"/>
        <v>1+48139.6169742349i</v>
      </c>
      <c r="U137" s="346">
        <f t="shared" si="71"/>
        <v>48139.61698462136</v>
      </c>
      <c r="V137" s="347">
        <f t="shared" si="72"/>
        <v>1.5707755538834629</v>
      </c>
      <c r="W137" s="340" t="str">
        <f t="shared" si="48"/>
        <v>1+476.629871032029i</v>
      </c>
      <c r="X137" s="337">
        <f t="shared" si="73"/>
        <v>476.63092006290219</v>
      </c>
      <c r="Y137" s="339">
        <f t="shared" si="74"/>
        <v>1.5686982658182573</v>
      </c>
      <c r="Z137" s="337" t="str">
        <f t="shared" si="49"/>
        <v>1+4.80131009493568i</v>
      </c>
      <c r="AA137" s="346">
        <f t="shared" si="75"/>
        <v>4.9043428334213406</v>
      </c>
      <c r="AB137" s="347">
        <f t="shared" si="76"/>
        <v>1.3654554198150053</v>
      </c>
      <c r="AC137" s="732" t="str">
        <f t="shared" si="77"/>
        <v>2.44520331534061-11.8635827963389i</v>
      </c>
      <c r="AD137" s="337">
        <f t="shared" si="78"/>
        <v>12.112952407193756</v>
      </c>
      <c r="AE137" s="339">
        <f t="shared" si="79"/>
        <v>-1.3675327078802104</v>
      </c>
      <c r="AF137" s="736" t="str">
        <f t="shared" si="50"/>
        <v>-4.25528494008208-1.25130548152928i</v>
      </c>
      <c r="AG137" s="337">
        <f t="shared" si="80"/>
        <v>12.938753454656366</v>
      </c>
      <c r="AH137" s="730">
        <f t="shared" si="81"/>
        <v>-163.61354438746412</v>
      </c>
      <c r="AI137" s="360">
        <f t="shared" si="51"/>
        <v>16.386455612535883</v>
      </c>
      <c r="AL137" s="337">
        <f t="shared" si="52"/>
        <v>21.665000216910006</v>
      </c>
      <c r="AM137" s="730">
        <f t="shared" si="53"/>
        <v>-78.353852507632951</v>
      </c>
      <c r="AN137" s="351"/>
      <c r="AO137" s="337">
        <f t="shared" si="54"/>
        <v>44.545684436485772</v>
      </c>
      <c r="AP137" s="730">
        <f t="shared" si="55"/>
        <v>-85.259691879831138</v>
      </c>
      <c r="AS137" s="351"/>
      <c r="AT137" s="351"/>
      <c r="AV137" s="405">
        <f t="shared" si="56"/>
        <v>0</v>
      </c>
      <c r="AW137" s="405">
        <f t="shared" si="82"/>
        <v>0</v>
      </c>
      <c r="AX137" s="405">
        <f t="shared" si="58"/>
        <v>0</v>
      </c>
      <c r="AY137" s="405">
        <f t="shared" si="59"/>
        <v>0</v>
      </c>
    </row>
    <row r="138" spans="2:51" ht="13.5" thickBot="1" x14ac:dyDescent="0.25">
      <c r="B138" s="345">
        <v>7674.15</v>
      </c>
      <c r="C138" s="728" t="str">
        <f t="shared" si="41"/>
        <v>2.16217503399043</v>
      </c>
      <c r="D138" s="728" t="str">
        <f t="shared" si="42"/>
        <v>1+5.86653629388622i</v>
      </c>
      <c r="E138" s="337">
        <f t="shared" si="61"/>
        <v>5.9511551893295698</v>
      </c>
      <c r="F138" s="338">
        <f t="shared" si="62"/>
        <v>1.4019607437059638</v>
      </c>
      <c r="G138" s="338" t="str">
        <f t="shared" si="43"/>
        <v>1+0.0241090532625461i</v>
      </c>
      <c r="H138" s="337">
        <f t="shared" si="63"/>
        <v>1.0002905810059477</v>
      </c>
      <c r="I138" s="338">
        <f t="shared" si="64"/>
        <v>2.4104383790372157E-2</v>
      </c>
      <c r="J138" s="340">
        <f t="shared" si="44"/>
        <v>1</v>
      </c>
      <c r="K138" s="338">
        <f t="shared" si="65"/>
        <v>1</v>
      </c>
      <c r="L138" s="339">
        <f t="shared" si="66"/>
        <v>0</v>
      </c>
      <c r="M138" s="731" t="str">
        <f t="shared" si="45"/>
        <v>0.997382552079+0.113343655943064i</v>
      </c>
      <c r="N138" s="338">
        <f t="shared" si="67"/>
        <v>1.003802141626605</v>
      </c>
      <c r="O138" s="339">
        <f t="shared" si="68"/>
        <v>0.11315566311671117</v>
      </c>
      <c r="P138" s="732" t="str">
        <f t="shared" si="60"/>
        <v>0.0288552102559051-0.360897527644775i</v>
      </c>
      <c r="Q138" s="337">
        <f t="shared" si="69"/>
        <v>0.3620492350758715</v>
      </c>
      <c r="R138" s="339">
        <f t="shared" si="70"/>
        <v>-1.491012023032303</v>
      </c>
      <c r="S138" s="731" t="str">
        <f t="shared" si="46"/>
        <v>6000</v>
      </c>
      <c r="T138" s="337" t="str">
        <f t="shared" si="47"/>
        <v>1+48700.2875903431i</v>
      </c>
      <c r="U138" s="346">
        <f t="shared" si="71"/>
        <v>48700.287600609976</v>
      </c>
      <c r="V138" s="347">
        <f t="shared" si="72"/>
        <v>1.5707757930352551</v>
      </c>
      <c r="W138" s="340" t="str">
        <f t="shared" si="48"/>
        <v>1+482.181065250922i</v>
      </c>
      <c r="X138" s="337">
        <f t="shared" si="73"/>
        <v>482.18210220466909</v>
      </c>
      <c r="Y138" s="339">
        <f t="shared" si="74"/>
        <v>1.5687224200441561</v>
      </c>
      <c r="Z138" s="337" t="str">
        <f t="shared" si="49"/>
        <v>1+4.85722980635537i</v>
      </c>
      <c r="AA138" s="346">
        <f t="shared" si="75"/>
        <v>4.9591008652523927</v>
      </c>
      <c r="AB138" s="347">
        <f t="shared" si="76"/>
        <v>1.3677546451748315</v>
      </c>
      <c r="AC138" s="732" t="str">
        <f t="shared" si="77"/>
        <v>2.39150192723864-11.73805717345i</v>
      </c>
      <c r="AD138" s="337">
        <f t="shared" si="78"/>
        <v>11.979201462333252</v>
      </c>
      <c r="AE138" s="339">
        <f t="shared" si="79"/>
        <v>-1.3698080181659302</v>
      </c>
      <c r="AF138" s="736" t="str">
        <f t="shared" si="50"/>
        <v>-4.16722852231325-1.20179124063387i</v>
      </c>
      <c r="AG138" s="337">
        <f t="shared" si="80"/>
        <v>12.743910061116399</v>
      </c>
      <c r="AH138" s="730">
        <f t="shared" si="81"/>
        <v>-163.91291430710112</v>
      </c>
      <c r="AI138" s="360">
        <f t="shared" si="51"/>
        <v>16.087085692898881</v>
      </c>
      <c r="AL138" s="337">
        <f t="shared" si="52"/>
        <v>21.568557375989187</v>
      </c>
      <c r="AM138" s="730">
        <f t="shared" si="53"/>
        <v>-78.48421818408741</v>
      </c>
      <c r="AN138" s="351"/>
      <c r="AO138" s="337">
        <f t="shared" si="54"/>
        <v>44.447283883866632</v>
      </c>
      <c r="AP138" s="730">
        <f t="shared" si="55"/>
        <v>-85.428696123013637</v>
      </c>
      <c r="AS138" s="351"/>
      <c r="AT138" s="351"/>
      <c r="AV138" s="405">
        <f t="shared" si="56"/>
        <v>0</v>
      </c>
      <c r="AW138" s="405">
        <f t="shared" si="82"/>
        <v>0</v>
      </c>
      <c r="AX138" s="405">
        <f t="shared" si="58"/>
        <v>0</v>
      </c>
      <c r="AY138" s="405">
        <f t="shared" si="59"/>
        <v>0</v>
      </c>
    </row>
    <row r="139" spans="2:51" ht="13.5" thickBot="1" x14ac:dyDescent="0.25">
      <c r="B139" s="345">
        <v>7762.5</v>
      </c>
      <c r="C139" s="728" t="str">
        <f t="shared" si="41"/>
        <v>2.16217503399043</v>
      </c>
      <c r="D139" s="728" t="str">
        <f t="shared" si="42"/>
        <v>1+5.93407582354942i</v>
      </c>
      <c r="E139" s="337">
        <f t="shared" si="61"/>
        <v>6.017745082639653</v>
      </c>
      <c r="F139" s="338">
        <f t="shared" si="62"/>
        <v>1.4038466635363289</v>
      </c>
      <c r="G139" s="338" t="str">
        <f t="shared" si="43"/>
        <v>1+0.0243866129734908i</v>
      </c>
      <c r="H139" s="337">
        <f t="shared" si="63"/>
        <v>1.0002973092497645</v>
      </c>
      <c r="I139" s="338">
        <f t="shared" si="64"/>
        <v>2.4381780402146513E-2</v>
      </c>
      <c r="J139" s="340">
        <f t="shared" si="44"/>
        <v>1</v>
      </c>
      <c r="K139" s="338">
        <f t="shared" si="65"/>
        <v>1</v>
      </c>
      <c r="L139" s="339">
        <f t="shared" si="66"/>
        <v>0</v>
      </c>
      <c r="M139" s="731" t="str">
        <f t="shared" si="45"/>
        <v>0.9973219375+0.114648544693293i</v>
      </c>
      <c r="N139" s="338">
        <f t="shared" si="67"/>
        <v>1.0038901014648185</v>
      </c>
      <c r="O139" s="339">
        <f t="shared" si="68"/>
        <v>0.11445400070248804</v>
      </c>
      <c r="P139" s="732" t="str">
        <f t="shared" si="60"/>
        <v>0.0274960966286356-0.356956548148333i</v>
      </c>
      <c r="Q139" s="337">
        <f t="shared" si="69"/>
        <v>0.35801398379921479</v>
      </c>
      <c r="R139" s="339">
        <f t="shared" si="70"/>
        <v>-1.4939188838366706</v>
      </c>
      <c r="S139" s="731" t="str">
        <f t="shared" si="46"/>
        <v>6000</v>
      </c>
      <c r="T139" s="337" t="str">
        <f t="shared" si="47"/>
        <v>1+49260.9582064513i</v>
      </c>
      <c r="U139" s="346">
        <f t="shared" si="71"/>
        <v>49260.958216601328</v>
      </c>
      <c r="V139" s="347">
        <f t="shared" si="72"/>
        <v>1.5707760267431665</v>
      </c>
      <c r="W139" s="340" t="str">
        <f t="shared" si="48"/>
        <v>1+487.732259469815i</v>
      </c>
      <c r="X139" s="337">
        <f t="shared" si="73"/>
        <v>487.73328462135015</v>
      </c>
      <c r="Y139" s="339">
        <f t="shared" si="74"/>
        <v>1.5687460244428642</v>
      </c>
      <c r="Z139" s="337" t="str">
        <f t="shared" si="49"/>
        <v>1+4.91314951777508i</v>
      </c>
      <c r="AA139" s="346">
        <f t="shared" si="75"/>
        <v>5.0138845403552637</v>
      </c>
      <c r="AB139" s="347">
        <f t="shared" si="76"/>
        <v>1.370003637726565</v>
      </c>
      <c r="AC139" s="732" t="str">
        <f t="shared" si="77"/>
        <v>2.33952645511441-11.6150376414474i</v>
      </c>
      <c r="AD139" s="337">
        <f t="shared" si="78"/>
        <v>11.848311417515163</v>
      </c>
      <c r="AE139" s="339">
        <f t="shared" si="79"/>
        <v>-1.3720336400268669</v>
      </c>
      <c r="AF139" s="736" t="str">
        <f t="shared" si="50"/>
        <v>-4.08173589762894-1.15447748505382i</v>
      </c>
      <c r="AG139" s="337">
        <f t="shared" si="80"/>
        <v>12.551129015464733</v>
      </c>
      <c r="AH139" s="730">
        <f t="shared" si="81"/>
        <v>-164.20698390224706</v>
      </c>
      <c r="AI139" s="360">
        <f t="shared" si="51"/>
        <v>15.79301609775294</v>
      </c>
      <c r="AL139" s="337">
        <f t="shared" si="52"/>
        <v>21.473129210619209</v>
      </c>
      <c r="AM139" s="730">
        <f t="shared" si="53"/>
        <v>-78.611736923511131</v>
      </c>
      <c r="AN139" s="351"/>
      <c r="AO139" s="337">
        <f t="shared" si="54"/>
        <v>44.349931003584956</v>
      </c>
      <c r="AP139" s="730">
        <f t="shared" si="55"/>
        <v>-85.595246978735915</v>
      </c>
      <c r="AS139" s="351"/>
      <c r="AT139" s="351"/>
      <c r="AV139" s="405">
        <f t="shared" si="56"/>
        <v>0</v>
      </c>
      <c r="AW139" s="405">
        <f t="shared" si="82"/>
        <v>0</v>
      </c>
      <c r="AX139" s="405">
        <f t="shared" si="58"/>
        <v>0</v>
      </c>
      <c r="AY139" s="405">
        <f t="shared" si="59"/>
        <v>0</v>
      </c>
    </row>
    <row r="140" spans="2:51" ht="13.5" thickBot="1" x14ac:dyDescent="0.25">
      <c r="B140" s="345">
        <v>7852.9</v>
      </c>
      <c r="C140" s="728" t="str">
        <f t="shared" si="41"/>
        <v>2.16217503399043</v>
      </c>
      <c r="D140" s="728" t="str">
        <f t="shared" si="42"/>
        <v>1+6.00318248434799i</v>
      </c>
      <c r="E140" s="337">
        <f t="shared" si="61"/>
        <v>6.0859017360110661</v>
      </c>
      <c r="F140" s="338">
        <f t="shared" si="62"/>
        <v>1.4057336181039304</v>
      </c>
      <c r="G140" s="338" t="str">
        <f t="shared" si="43"/>
        <v>1+0.0246706129493753i</v>
      </c>
      <c r="H140" s="337">
        <f t="shared" si="63"/>
        <v>1.0003042732805343</v>
      </c>
      <c r="I140" s="338">
        <f t="shared" si="64"/>
        <v>2.4665609609475305E-2</v>
      </c>
      <c r="J140" s="340">
        <f t="shared" si="44"/>
        <v>1</v>
      </c>
      <c r="K140" s="338">
        <f t="shared" si="65"/>
        <v>1</v>
      </c>
      <c r="L140" s="339">
        <f t="shared" si="66"/>
        <v>0</v>
      </c>
      <c r="M140" s="731" t="str">
        <f t="shared" si="45"/>
        <v>0.997259198292889+0.115983710997998i</v>
      </c>
      <c r="N140" s="338">
        <f t="shared" si="67"/>
        <v>1.0039811401598351</v>
      </c>
      <c r="O140" s="339">
        <f t="shared" si="68"/>
        <v>0.11578230869613593</v>
      </c>
      <c r="P140" s="732" t="str">
        <f t="shared" si="60"/>
        <v>0.0261511844992423-0.353007582891i</v>
      </c>
      <c r="Q140" s="337">
        <f t="shared" si="69"/>
        <v>0.35397491158168204</v>
      </c>
      <c r="R140" s="339">
        <f t="shared" si="70"/>
        <v>-1.4968503171905911</v>
      </c>
      <c r="S140" s="731" t="str">
        <f t="shared" si="46"/>
        <v>6000</v>
      </c>
      <c r="T140" s="337" t="str">
        <f t="shared" si="47"/>
        <v>1+49834.6381577381i</v>
      </c>
      <c r="U140" s="346">
        <f t="shared" si="71"/>
        <v>49834.638167771293</v>
      </c>
      <c r="V140" s="347">
        <f t="shared" si="72"/>
        <v>1.5707762604306803</v>
      </c>
      <c r="W140" s="340" t="str">
        <f t="shared" si="48"/>
        <v>1+493.412258987506i</v>
      </c>
      <c r="X140" s="337">
        <f t="shared" si="73"/>
        <v>493.41327233785847</v>
      </c>
      <c r="Y140" s="339">
        <f t="shared" si="74"/>
        <v>1.5687696267836715</v>
      </c>
      <c r="Z140" s="337" t="str">
        <f t="shared" si="49"/>
        <v>1+4.97036674372122i</v>
      </c>
      <c r="AA140" s="346">
        <f t="shared" si="75"/>
        <v>5.0699650459435999</v>
      </c>
      <c r="AB140" s="347">
        <f t="shared" si="76"/>
        <v>1.3722544945520183</v>
      </c>
      <c r="AC140" s="732" t="str">
        <f t="shared" si="77"/>
        <v>2.28805619916841-11.4916845641377i</v>
      </c>
      <c r="AD140" s="337">
        <f t="shared" si="78"/>
        <v>11.717252890169847</v>
      </c>
      <c r="AE140" s="339">
        <f t="shared" si="79"/>
        <v>-1.3742611281990276</v>
      </c>
      <c r="AF140" s="736" t="str">
        <f t="shared" si="50"/>
        <v>-3.99681641152298-1.10822235163107i</v>
      </c>
      <c r="AG140" s="337">
        <f t="shared" si="80"/>
        <v>12.355965704525651</v>
      </c>
      <c r="AH140" s="730">
        <f t="shared" si="81"/>
        <v>-164.50256833253067</v>
      </c>
      <c r="AI140" s="360">
        <f t="shared" si="51"/>
        <v>15.497431667469328</v>
      </c>
      <c r="AL140" s="337">
        <f t="shared" si="52"/>
        <v>21.376516065577761</v>
      </c>
      <c r="AM140" s="730">
        <f t="shared" si="53"/>
        <v>-78.739362594691244</v>
      </c>
      <c r="AN140" s="351"/>
      <c r="AO140" s="337">
        <f t="shared" si="54"/>
        <v>44.2513808376873</v>
      </c>
      <c r="AP140" s="730">
        <f t="shared" si="55"/>
        <v>-85.763205737839442</v>
      </c>
      <c r="AS140" s="351"/>
      <c r="AT140" s="351"/>
      <c r="AV140" s="405">
        <f t="shared" si="56"/>
        <v>0</v>
      </c>
      <c r="AW140" s="405">
        <f t="shared" si="82"/>
        <v>0</v>
      </c>
      <c r="AX140" s="405">
        <f t="shared" si="58"/>
        <v>0</v>
      </c>
      <c r="AY140" s="405">
        <f t="shared" si="59"/>
        <v>0</v>
      </c>
    </row>
    <row r="141" spans="2:51" ht="13.5" thickBot="1" x14ac:dyDescent="0.25">
      <c r="B141" s="345">
        <v>7943.3</v>
      </c>
      <c r="C141" s="728" t="str">
        <f t="shared" ref="C141:C204" si="83">COMPLEX(Am*Afb,0)</f>
        <v>2.16217503399043</v>
      </c>
      <c r="D141" s="728" t="str">
        <f t="shared" ref="D141:D204" si="84">IMSUM(COMPLEX(1,0),IMDIV(COMPLEX(0,2*PI()*B141),COMPLEX(2*PI()*PS_Pole1,0)))</f>
        <v>1+6.07228914514655i</v>
      </c>
      <c r="E141" s="337">
        <f t="shared" si="61"/>
        <v>6.1540795788049909</v>
      </c>
      <c r="F141" s="338">
        <f t="shared" si="62"/>
        <v>1.4075787699466522</v>
      </c>
      <c r="G141" s="338" t="str">
        <f t="shared" ref="G141:G204" si="85">IMSUM(COMPLEX(1,0),IMDIV(COMPLEX(0,2*PI()*B141),COMPLEX(2*PI()*PS_Zero1,0)))</f>
        <v>1+0.0249546129252598i</v>
      </c>
      <c r="H141" s="337">
        <f t="shared" si="63"/>
        <v>1.0003113178937093</v>
      </c>
      <c r="I141" s="338">
        <f t="shared" si="64"/>
        <v>2.4949434841979121E-2</v>
      </c>
      <c r="J141" s="340">
        <f t="shared" ref="J141:J204" si="86">IF(VIN_nom&gt;Vout, 1,IMSUB(COMPLEX(1,0),IMDIV(COMPLEX(0,2*PI()*B141),COMPLEX(2*PI()*PS_RHPZ,0))))</f>
        <v>1</v>
      </c>
      <c r="K141" s="338">
        <f t="shared" si="65"/>
        <v>1</v>
      </c>
      <c r="L141" s="339">
        <f t="shared" si="66"/>
        <v>0</v>
      </c>
      <c r="M141" s="731" t="str">
        <f t="shared" ref="M141:M204" si="87">IMSUM(COMPLEX(1,0),IMDIV(COMPLEX(0,2*PI()*B141),COMPLEX(Q*(2*PI()*PS_Pole2/2),0)),IMDIV(IMPOWER(COMPLEX(0,2*PI()*B141),2),IMPOWER(COMPLEX(2*PI()*PS_Pole2/2,0),2)))</f>
        <v>0.997195732671556+0.117318877302703i</v>
      </c>
      <c r="N141" s="338">
        <f t="shared" si="67"/>
        <v>1.0040732285196774</v>
      </c>
      <c r="O141" s="339">
        <f t="shared" si="68"/>
        <v>0.11711045800507046</v>
      </c>
      <c r="P141" s="732" t="str">
        <f t="shared" si="60"/>
        <v>0.0248505514563976-0.349140499125328i</v>
      </c>
      <c r="Q141" s="337">
        <f t="shared" si="69"/>
        <v>0.35002376781751582</v>
      </c>
      <c r="R141" s="339">
        <f t="shared" si="70"/>
        <v>-1.4997397931097434</v>
      </c>
      <c r="S141" s="731" t="str">
        <f t="shared" ref="S141:S204" si="88">COMPLEX(AEA,0)</f>
        <v>6000</v>
      </c>
      <c r="T141" s="337" t="str">
        <f t="shared" ref="T141:T204" si="89">IMSUM(COMPLEX(1,0),IMDIV(COMPLEX(0,2*PI()*B141),COMPLEX(2*PI()*EA_Pole1,0)))</f>
        <v>1+50408.3181090248i</v>
      </c>
      <c r="U141" s="346">
        <f t="shared" si="71"/>
        <v>50408.318118943804</v>
      </c>
      <c r="V141" s="347">
        <f t="shared" si="72"/>
        <v>1.5707764887991573</v>
      </c>
      <c r="W141" s="340" t="str">
        <f t="shared" ref="W141:W204" si="90">IMSUM(COMPLEX(1,0),IMDIV(COMPLEX(0,2*PI()*B141),COMPLEX(2*PI()*EA_Zero1,0)))</f>
        <v>1+499.092258505196i</v>
      </c>
      <c r="X141" s="337">
        <f t="shared" si="73"/>
        <v>499.09326032297554</v>
      </c>
      <c r="Y141" s="339">
        <f t="shared" si="74"/>
        <v>1.5687926919062081</v>
      </c>
      <c r="Z141" s="337" t="str">
        <f t="shared" ref="Z141:Z204" si="91">IMSUM(COMPLEX(1,0),IMDIV(COMPLEX(0,2*PI()*B141),COMPLEX(2*PI()*EA_Pole2,0)))</f>
        <v>1+5.02758396966735i</v>
      </c>
      <c r="AA141" s="346">
        <f t="shared" si="75"/>
        <v>5.1260706756789949</v>
      </c>
      <c r="AB141" s="347">
        <f t="shared" si="76"/>
        <v>1.374456090382659</v>
      </c>
      <c r="AC141" s="732" t="str">
        <f t="shared" si="77"/>
        <v>2.23824404592088-11.3708093650833i</v>
      </c>
      <c r="AD141" s="337">
        <f t="shared" si="78"/>
        <v>11.589005221595437</v>
      </c>
      <c r="AE141" s="339">
        <f t="shared" si="79"/>
        <v>-1.3764398872756083</v>
      </c>
      <c r="AF141" s="736" t="str">
        <f t="shared" ref="AF141:AF204" si="92">IMPRODUCT(P141,AC141)</f>
        <v>-3.91438845834901-1.064032526585i</v>
      </c>
      <c r="AG141" s="337">
        <f t="shared" si="80"/>
        <v>12.162873879652036</v>
      </c>
      <c r="AH141" s="730">
        <f t="shared" si="81"/>
        <v>-164.79295680736672</v>
      </c>
      <c r="AI141" s="360">
        <f t="shared" ref="AI141:AI204" si="93">IF(AH141&gt;0,AH141-180,AH141+180)</f>
        <v>15.207043192633279</v>
      </c>
      <c r="AL141" s="337">
        <f t="shared" ref="AL141:AL204" si="94">20*LOG10(IMABS(AC141))</f>
        <v>21.280923170844879</v>
      </c>
      <c r="AM141" s="730">
        <f t="shared" ref="AM141:AM204" si="95">(180/PI())*IMARGUMENT(AC141)</f>
        <v>-78.864196294355139</v>
      </c>
      <c r="AN141" s="351"/>
      <c r="AO141" s="337">
        <f t="shared" ref="AO141:AO204" si="96">20*LOG10(IMABS(IMPRODUCT(COMPLEX(Am/Afb,0),P141)))</f>
        <v>44.153881907546563</v>
      </c>
      <c r="AP141" s="730">
        <f t="shared" ref="AP141:AP204" si="97">180/PI()*IMARGUMENT(IMPRODUCT(COMPLEX(Am/Afb,0),P141))</f>
        <v>-85.928760513011554</v>
      </c>
      <c r="AS141" s="351"/>
      <c r="AT141" s="351"/>
      <c r="AV141" s="405">
        <f t="shared" ref="AV141:AV204" si="98">SUM((AG142&lt;0)*(AG141&gt;0))*B141</f>
        <v>0</v>
      </c>
      <c r="AW141" s="405">
        <f t="shared" si="82"/>
        <v>0</v>
      </c>
      <c r="AX141" s="405">
        <f t="shared" ref="AX141:AX204" si="99">SUM((AL142&lt;0)*(AL141&gt;0))*B141</f>
        <v>0</v>
      </c>
      <c r="AY141" s="405">
        <f t="shared" ref="AY141:AY204" si="100">IF(AX141&gt;0,AM141,0)</f>
        <v>0</v>
      </c>
    </row>
    <row r="142" spans="2:51" ht="13.5" thickBot="1" x14ac:dyDescent="0.25">
      <c r="B142" s="345">
        <v>8035.8</v>
      </c>
      <c r="C142" s="728" t="str">
        <f t="shared" si="83"/>
        <v>2.16217503399043</v>
      </c>
      <c r="D142" s="728" t="str">
        <f t="shared" si="84"/>
        <v>1+6.1430011597911i</v>
      </c>
      <c r="E142" s="337">
        <f t="shared" si="61"/>
        <v>6.2238624060301007</v>
      </c>
      <c r="F142" s="338">
        <f t="shared" si="62"/>
        <v>1.4094249343239387</v>
      </c>
      <c r="G142" s="338" t="str">
        <f t="shared" si="85"/>
        <v>1+0.0252452102457169i</v>
      </c>
      <c r="H142" s="337">
        <f t="shared" si="63"/>
        <v>1.0003186095641481</v>
      </c>
      <c r="I142" s="338">
        <f t="shared" si="64"/>
        <v>2.5239849197738355E-2</v>
      </c>
      <c r="J142" s="340">
        <f t="shared" si="86"/>
        <v>1</v>
      </c>
      <c r="K142" s="338">
        <f t="shared" si="65"/>
        <v>1</v>
      </c>
      <c r="L142" s="339">
        <f t="shared" si="66"/>
        <v>0</v>
      </c>
      <c r="M142" s="731" t="str">
        <f t="shared" si="87"/>
        <v>0.997130040816+0.118685059638823i</v>
      </c>
      <c r="N142" s="338">
        <f t="shared" si="67"/>
        <v>1.004168542466447</v>
      </c>
      <c r="O142" s="339">
        <f t="shared" si="68"/>
        <v>0.11846929422784822</v>
      </c>
      <c r="P142" s="732" t="str">
        <f t="shared" ref="P142:P205" si="101">(IMDIV(IMPRODUCT(C142,G142,J142),IMPRODUCT(D142,M142)))</f>
        <v>0.0235635649442556-0.345265778808769i</v>
      </c>
      <c r="Q142" s="337">
        <f t="shared" si="69"/>
        <v>0.34606892320650223</v>
      </c>
      <c r="R142" s="339">
        <f t="shared" si="70"/>
        <v>-1.5026543793540486</v>
      </c>
      <c r="S142" s="731" t="str">
        <f t="shared" si="88"/>
        <v>6000</v>
      </c>
      <c r="T142" s="337" t="str">
        <f t="shared" si="89"/>
        <v>1+50995.324696348i</v>
      </c>
      <c r="U142" s="346">
        <f t="shared" si="71"/>
        <v>50995.324706152809</v>
      </c>
      <c r="V142" s="347">
        <f t="shared" si="72"/>
        <v>1.5707767171540947</v>
      </c>
      <c r="W142" s="340" t="str">
        <f t="shared" si="90"/>
        <v>1+504.904204914337i</v>
      </c>
      <c r="X142" s="337">
        <f t="shared" si="73"/>
        <v>504.9051952002265</v>
      </c>
      <c r="Y142" s="339">
        <f t="shared" si="74"/>
        <v>1.5688157556633582</v>
      </c>
      <c r="Z142" s="337" t="str">
        <f t="shared" si="91"/>
        <v>1+5.08613035683568i</v>
      </c>
      <c r="AA142" s="346">
        <f t="shared" si="75"/>
        <v>5.1835047995275785</v>
      </c>
      <c r="AB142" s="347">
        <f t="shared" si="76"/>
        <v>1.3766594853700838</v>
      </c>
      <c r="AC142" s="732" t="str">
        <f t="shared" si="77"/>
        <v>2.18891857637313-11.249618135558i</v>
      </c>
      <c r="AD142" s="337">
        <f t="shared" si="78"/>
        <v>11.460596525917262</v>
      </c>
      <c r="AE142" s="339">
        <f t="shared" si="79"/>
        <v>-1.3786204468608214</v>
      </c>
      <c r="AF142" s="736" t="str">
        <f t="shared" si="92"/>
        <v>-3.83252944184263-1.02083978455575i</v>
      </c>
      <c r="AG142" s="337">
        <f t="shared" si="80"/>
        <v>11.967396499291983</v>
      </c>
      <c r="AH142" s="730">
        <f t="shared" si="81"/>
        <v>-165.08488715940175</v>
      </c>
      <c r="AI142" s="360">
        <f t="shared" si="93"/>
        <v>14.915112840598255</v>
      </c>
      <c r="AL142" s="337">
        <f t="shared" si="94"/>
        <v>21.184144466365289</v>
      </c>
      <c r="AM142" s="730">
        <f t="shared" si="95"/>
        <v>-78.989133155564645</v>
      </c>
      <c r="AN142" s="351"/>
      <c r="AO142" s="337">
        <f t="shared" si="96"/>
        <v>44.055183231666113</v>
      </c>
      <c r="AP142" s="730">
        <f t="shared" si="97"/>
        <v>-86.095754003837101</v>
      </c>
      <c r="AS142" s="351"/>
      <c r="AT142" s="351"/>
      <c r="AV142" s="405">
        <f t="shared" si="98"/>
        <v>0</v>
      </c>
      <c r="AW142" s="405">
        <f t="shared" si="82"/>
        <v>0</v>
      </c>
      <c r="AX142" s="405">
        <f t="shared" si="99"/>
        <v>0</v>
      </c>
      <c r="AY142" s="405">
        <f t="shared" si="100"/>
        <v>0</v>
      </c>
    </row>
    <row r="143" spans="2:51" ht="13.5" thickBot="1" x14ac:dyDescent="0.25">
      <c r="B143" s="345">
        <v>8128.3</v>
      </c>
      <c r="C143" s="728" t="str">
        <f t="shared" si="83"/>
        <v>2.16217503399043</v>
      </c>
      <c r="D143" s="728" t="str">
        <f t="shared" si="84"/>
        <v>1+6.21371317443565i</v>
      </c>
      <c r="E143" s="337">
        <f t="shared" si="61"/>
        <v>6.2936659757374454</v>
      </c>
      <c r="F143" s="338">
        <f t="shared" si="62"/>
        <v>1.4112301528172728</v>
      </c>
      <c r="G143" s="338" t="str">
        <f t="shared" si="85"/>
        <v>1+0.0255358075661739i</v>
      </c>
      <c r="H143" s="337">
        <f t="shared" si="63"/>
        <v>1.0003259856007225</v>
      </c>
      <c r="I143" s="338">
        <f t="shared" si="64"/>
        <v>2.5530259295172844E-2</v>
      </c>
      <c r="J143" s="340">
        <f t="shared" si="86"/>
        <v>1</v>
      </c>
      <c r="K143" s="338">
        <f t="shared" si="65"/>
        <v>1</v>
      </c>
      <c r="L143" s="339">
        <f t="shared" si="66"/>
        <v>0</v>
      </c>
      <c r="M143" s="731" t="str">
        <f t="shared" si="87"/>
        <v>0.997063588404889+0.120051241974942i</v>
      </c>
      <c r="N143" s="338">
        <f t="shared" si="67"/>
        <v>1.0042649550903187</v>
      </c>
      <c r="O143" s="339">
        <f t="shared" si="68"/>
        <v>0.11982796054205436</v>
      </c>
      <c r="P143" s="732" t="str">
        <f t="shared" si="101"/>
        <v>0.0223190374477784-0.341471688775262i</v>
      </c>
      <c r="Q143" s="337">
        <f t="shared" si="69"/>
        <v>0.34220031219685459</v>
      </c>
      <c r="R143" s="339">
        <f t="shared" si="70"/>
        <v>-1.5055278540641543</v>
      </c>
      <c r="S143" s="731" t="str">
        <f t="shared" si="88"/>
        <v>6000</v>
      </c>
      <c r="T143" s="337" t="str">
        <f t="shared" si="89"/>
        <v>1+51582.3312836713i</v>
      </c>
      <c r="U143" s="346">
        <f t="shared" si="71"/>
        <v>51582.331293364543</v>
      </c>
      <c r="V143" s="347">
        <f t="shared" si="72"/>
        <v>1.5707769403116767</v>
      </c>
      <c r="W143" s="340" t="str">
        <f t="shared" si="90"/>
        <v>1+510.716151323478i</v>
      </c>
      <c r="X143" s="337">
        <f t="shared" si="73"/>
        <v>510.71713033994234</v>
      </c>
      <c r="Y143" s="339">
        <f t="shared" si="74"/>
        <v>1.5688382944917381</v>
      </c>
      <c r="Z143" s="337" t="str">
        <f t="shared" si="91"/>
        <v>1+5.14467674400401i</v>
      </c>
      <c r="AA143" s="346">
        <f t="shared" si="75"/>
        <v>5.2409635373942169</v>
      </c>
      <c r="AB143" s="347">
        <f t="shared" si="76"/>
        <v>1.3788145772639837</v>
      </c>
      <c r="AC143" s="732" t="str">
        <f t="shared" si="77"/>
        <v>2.1411857287292-11.1308756502065i</v>
      </c>
      <c r="AD143" s="337">
        <f t="shared" si="78"/>
        <v>11.334949010263502</v>
      </c>
      <c r="AE143" s="339">
        <f t="shared" si="79"/>
        <v>-1.3807532230839223</v>
      </c>
      <c r="AF143" s="736" t="str">
        <f t="shared" si="92"/>
        <v>-3.7530897013613-0.979584737234174i</v>
      </c>
      <c r="AG143" s="337">
        <f t="shared" si="80"/>
        <v>11.773999444704428</v>
      </c>
      <c r="AH143" s="730">
        <f t="shared" si="81"/>
        <v>-165.37172420905796</v>
      </c>
      <c r="AI143" s="360">
        <f t="shared" si="93"/>
        <v>14.628275790942041</v>
      </c>
      <c r="AL143" s="337">
        <f t="shared" si="94"/>
        <v>21.088391416271453</v>
      </c>
      <c r="AM143" s="730">
        <f t="shared" si="95"/>
        <v>-79.111332231794179</v>
      </c>
      <c r="AN143" s="351"/>
      <c r="AO143" s="337">
        <f t="shared" si="96"/>
        <v>43.957539227172397</v>
      </c>
      <c r="AP143" s="730">
        <f t="shared" si="97"/>
        <v>-86.260391977263779</v>
      </c>
      <c r="AS143" s="351"/>
      <c r="AT143" s="351"/>
      <c r="AV143" s="405">
        <f t="shared" si="98"/>
        <v>0</v>
      </c>
      <c r="AW143" s="405">
        <f t="shared" si="82"/>
        <v>0</v>
      </c>
      <c r="AX143" s="405">
        <f t="shared" si="99"/>
        <v>0</v>
      </c>
      <c r="AY143" s="405">
        <f t="shared" si="100"/>
        <v>0</v>
      </c>
    </row>
    <row r="144" spans="2:51" ht="13.5" thickBot="1" x14ac:dyDescent="0.25">
      <c r="B144" s="345">
        <v>8222.9500000000007</v>
      </c>
      <c r="C144" s="728" t="str">
        <f t="shared" si="83"/>
        <v>2.16217503399043</v>
      </c>
      <c r="D144" s="728" t="str">
        <f t="shared" si="84"/>
        <v>1+6.28606876563681i</v>
      </c>
      <c r="E144" s="337">
        <f t="shared" si="61"/>
        <v>6.3651127661899825</v>
      </c>
      <c r="F144" s="338">
        <f t="shared" si="62"/>
        <v>1.4130363391036733</v>
      </c>
      <c r="G144" s="338" t="str">
        <f t="shared" si="85"/>
        <v>1+0.0258331593108362i</v>
      </c>
      <c r="H144" s="337">
        <f t="shared" si="63"/>
        <v>1.000333620408701</v>
      </c>
      <c r="I144" s="338">
        <f t="shared" si="64"/>
        <v>2.5827415006201213E-2</v>
      </c>
      <c r="J144" s="340">
        <f t="shared" si="86"/>
        <v>1</v>
      </c>
      <c r="K144" s="338">
        <f t="shared" si="65"/>
        <v>1</v>
      </c>
      <c r="L144" s="339">
        <f t="shared" si="66"/>
        <v>0</v>
      </c>
      <c r="M144" s="731" t="str">
        <f t="shared" si="87"/>
        <v>0.996994804146556+0.121449178819415i</v>
      </c>
      <c r="N144" s="338">
        <f t="shared" si="67"/>
        <v>1.0043647457627829</v>
      </c>
      <c r="O144" s="339">
        <f t="shared" si="68"/>
        <v>0.12121802880573013</v>
      </c>
      <c r="P144" s="732" t="str">
        <f t="shared" si="101"/>
        <v>0.0210876379220124-0.3376703389404i</v>
      </c>
      <c r="Q144" s="337">
        <f t="shared" si="69"/>
        <v>0.33832816358271817</v>
      </c>
      <c r="R144" s="339">
        <f t="shared" si="70"/>
        <v>-1.5084269529032019</v>
      </c>
      <c r="S144" s="731" t="str">
        <f t="shared" si="88"/>
        <v>6000</v>
      </c>
      <c r="T144" s="337" t="str">
        <f t="shared" si="89"/>
        <v>1+52182.9818078891i</v>
      </c>
      <c r="U144" s="346">
        <f t="shared" si="71"/>
        <v>52182.981817470762</v>
      </c>
      <c r="V144" s="347">
        <f t="shared" si="72"/>
        <v>1.5707771634591647</v>
      </c>
      <c r="W144" s="340" t="str">
        <f t="shared" si="90"/>
        <v>1+516.663186216724i</v>
      </c>
      <c r="X144" s="337">
        <f t="shared" si="73"/>
        <v>516.66415396427226</v>
      </c>
      <c r="Y144" s="339">
        <f t="shared" si="74"/>
        <v>1.5688608323026159</v>
      </c>
      <c r="Z144" s="337" t="str">
        <f t="shared" si="91"/>
        <v>1+5.20458393909032i</v>
      </c>
      <c r="AA144" s="346">
        <f t="shared" si="75"/>
        <v>5.2997824463874839</v>
      </c>
      <c r="AB144" s="347">
        <f t="shared" si="76"/>
        <v>1.3809713785910587</v>
      </c>
      <c r="AC144" s="732" t="str">
        <f t="shared" si="77"/>
        <v>2.09392215199341-11.0118352003499i</v>
      </c>
      <c r="AD144" s="337">
        <f t="shared" si="78"/>
        <v>11.209149140691894</v>
      </c>
      <c r="AE144" s="339">
        <f t="shared" si="79"/>
        <v>-1.3828877097476067</v>
      </c>
      <c r="AF144" s="736" t="str">
        <f t="shared" si="92"/>
        <v>-3.67421425227986-0.939268996340276i</v>
      </c>
      <c r="AG144" s="337">
        <f t="shared" si="80"/>
        <v>11.578215980859227</v>
      </c>
      <c r="AH144" s="730">
        <f t="shared" si="81"/>
        <v>-165.66012741418271</v>
      </c>
      <c r="AI144" s="360">
        <f t="shared" si="93"/>
        <v>14.33987258581729</v>
      </c>
      <c r="AL144" s="337">
        <f t="shared" si="94"/>
        <v>20.991452952119182</v>
      </c>
      <c r="AM144" s="730">
        <f t="shared" si="95"/>
        <v>-79.233629309050258</v>
      </c>
      <c r="AN144" s="351"/>
      <c r="AO144" s="337">
        <f t="shared" si="96"/>
        <v>43.858694227479461</v>
      </c>
      <c r="AP144" s="730">
        <f t="shared" si="97"/>
        <v>-86.426498105132453</v>
      </c>
      <c r="AS144" s="351"/>
      <c r="AT144" s="351"/>
      <c r="AV144" s="405">
        <f t="shared" si="98"/>
        <v>0</v>
      </c>
      <c r="AW144" s="405">
        <f t="shared" si="82"/>
        <v>0</v>
      </c>
      <c r="AX144" s="405">
        <f t="shared" si="99"/>
        <v>0</v>
      </c>
      <c r="AY144" s="405">
        <f t="shared" si="100"/>
        <v>0</v>
      </c>
    </row>
    <row r="145" spans="2:51" ht="13.5" thickBot="1" x14ac:dyDescent="0.25">
      <c r="B145" s="345">
        <v>8270.2750000000015</v>
      </c>
      <c r="C145" s="728" t="str">
        <f t="shared" si="83"/>
        <v>2.16217503399043</v>
      </c>
      <c r="D145" s="728" t="str">
        <f t="shared" si="84"/>
        <v>1+6.32224656123739i</v>
      </c>
      <c r="E145" s="337">
        <f t="shared" ref="E145:E208" si="102">IMABS(D145)</f>
        <v>6.400843817894482</v>
      </c>
      <c r="F145" s="338">
        <f t="shared" ref="F145:F208" si="103">IMARGUMENT(D145)</f>
        <v>1.4139243101910099</v>
      </c>
      <c r="G145" s="338" t="str">
        <f t="shared" si="85"/>
        <v>1+0.0259818351831674i</v>
      </c>
      <c r="H145" s="337">
        <f t="shared" ref="H145:H208" si="104">IMABS(G145)</f>
        <v>1.0003374709364261</v>
      </c>
      <c r="I145" s="338">
        <f t="shared" ref="I145:I208" si="105">IMARGUMENT(G145)</f>
        <v>2.5975991154184638E-2</v>
      </c>
      <c r="J145" s="340">
        <f t="shared" si="86"/>
        <v>1</v>
      </c>
      <c r="K145" s="338">
        <f t="shared" ref="K145:K208" si="106">IMABS(J145)</f>
        <v>1</v>
      </c>
      <c r="L145" s="339">
        <f t="shared" ref="L145:L208" si="107">IMARGUMENT(J145)</f>
        <v>0</v>
      </c>
      <c r="M145" s="731" t="str">
        <f t="shared" si="87"/>
        <v>0.996960113396639+0.122148147241652i</v>
      </c>
      <c r="N145" s="338">
        <f t="shared" ref="N145:N208" si="108">IMABS(M145)</f>
        <v>1.004415072357244</v>
      </c>
      <c r="O145" s="339">
        <f t="shared" ref="O145:O208" si="109">IMARGUMENT(M145)</f>
        <v>0.12191299484262387</v>
      </c>
      <c r="P145" s="732" t="str">
        <f t="shared" si="101"/>
        <v>0.0204873150823201-0.33579958122039i</v>
      </c>
      <c r="Q145" s="337">
        <f t="shared" ref="Q145:Q208" si="110">IMABS(P145)</f>
        <v>0.33642397183772671</v>
      </c>
      <c r="R145" s="339">
        <f t="shared" ref="R145:R208" si="111">IMARGUMENT(P145)</f>
        <v>-1.5098613138794492</v>
      </c>
      <c r="S145" s="731" t="str">
        <f t="shared" si="88"/>
        <v>6000</v>
      </c>
      <c r="T145" s="337" t="str">
        <f t="shared" si="89"/>
        <v>1+52483.3070699981i</v>
      </c>
      <c r="U145" s="346">
        <f t="shared" ref="U145:U208" si="112">IMABS(T145)</f>
        <v>52483.307079524951</v>
      </c>
      <c r="V145" s="347">
        <f t="shared" ref="V145:V208" si="113">IMARGUMENT(T145)</f>
        <v>1.5707772731175331</v>
      </c>
      <c r="W145" s="340" t="str">
        <f t="shared" si="90"/>
        <v>1+519.636703663347i</v>
      </c>
      <c r="X145" s="337">
        <f t="shared" ref="X145:X208" si="114">IMABS(W145)</f>
        <v>519.6376658731632</v>
      </c>
      <c r="Y145" s="339">
        <f t="shared" ref="Y145:Y208" si="115">IMARGUMENT(W145)</f>
        <v>1.568871907756582</v>
      </c>
      <c r="Z145" s="337" t="str">
        <f t="shared" si="91"/>
        <v>1+5.23453753663347i</v>
      </c>
      <c r="AA145" s="346">
        <f t="shared" ref="AA145:AA208" si="116">IMABS(Z145)</f>
        <v>5.3292009928717077</v>
      </c>
      <c r="AB145" s="347">
        <f t="shared" ref="AB145:AB208" si="117">IMARGUMENT(Z145)</f>
        <v>1.3820319231720333</v>
      </c>
      <c r="AC145" s="732" t="str">
        <f t="shared" ref="AC145:AC208" si="118">IMPRODUCT(S145,IMDIV(W145,IMPRODUCT(T145,Z145)))</f>
        <v>2.07086799271708-10.9532264038182i</v>
      </c>
      <c r="AD145" s="337">
        <f t="shared" ref="AD145:AD208" si="119">IMABS(AC145)</f>
        <v>11.147271544936917</v>
      </c>
      <c r="AE145" s="339">
        <f t="shared" ref="AE145:AE208" si="120">IMARGUMENT(AC145)</f>
        <v>-1.3839372885329853</v>
      </c>
      <c r="AF145" s="736" t="str">
        <f t="shared" si="92"/>
        <v>-3.63566231435358-0.919798805220116i</v>
      </c>
      <c r="AG145" s="337">
        <f t="shared" ref="AG145:AG208" si="121">20*LOG10(IMABS(AF145))</f>
        <v>11.481110287673008</v>
      </c>
      <c r="AH145" s="730">
        <f t="shared" ref="AH145:AH208" si="122">(180/PI())*IMARGUMENT(AF145)</f>
        <v>-165.8024466790886</v>
      </c>
      <c r="AI145" s="360">
        <f t="shared" si="93"/>
        <v>14.197553320911396</v>
      </c>
      <c r="AL145" s="337">
        <f t="shared" si="94"/>
        <v>20.943371611390621</v>
      </c>
      <c r="AM145" s="730">
        <f t="shared" si="95"/>
        <v>-79.293765743718922</v>
      </c>
      <c r="AN145" s="351"/>
      <c r="AO145" s="337">
        <f t="shared" si="96"/>
        <v>43.809669875021825</v>
      </c>
      <c r="AP145" s="730">
        <f t="shared" si="97"/>
        <v>-86.508680935369711</v>
      </c>
      <c r="AS145" s="351"/>
      <c r="AT145" s="351"/>
      <c r="AV145" s="405">
        <f t="shared" si="98"/>
        <v>0</v>
      </c>
      <c r="AW145" s="405">
        <f t="shared" si="82"/>
        <v>0</v>
      </c>
      <c r="AX145" s="405">
        <f t="shared" si="99"/>
        <v>0</v>
      </c>
      <c r="AY145" s="405">
        <f t="shared" si="100"/>
        <v>0</v>
      </c>
    </row>
    <row r="146" spans="2:51" ht="13.5" thickBot="1" x14ac:dyDescent="0.25">
      <c r="B146" s="345">
        <v>8317.6</v>
      </c>
      <c r="C146" s="728" t="str">
        <f t="shared" si="83"/>
        <v>2.16217503399043</v>
      </c>
      <c r="D146" s="728" t="str">
        <f t="shared" si="84"/>
        <v>1+6.35842435683796i</v>
      </c>
      <c r="E146" s="337">
        <f t="shared" si="102"/>
        <v>6.4365798605804798</v>
      </c>
      <c r="F146" s="338">
        <f t="shared" si="103"/>
        <v>1.4148024218916393</v>
      </c>
      <c r="G146" s="338" t="str">
        <f t="shared" si="85"/>
        <v>1+0.0261305110554984i</v>
      </c>
      <c r="H146" s="337">
        <f t="shared" si="104"/>
        <v>1.0003413435463024</v>
      </c>
      <c r="I146" s="338">
        <f t="shared" si="105"/>
        <v>2.6124566155085367E-2</v>
      </c>
      <c r="J146" s="340">
        <f t="shared" si="86"/>
        <v>1</v>
      </c>
      <c r="K146" s="338">
        <f t="shared" si="106"/>
        <v>1</v>
      </c>
      <c r="L146" s="339">
        <f t="shared" si="107"/>
        <v>0</v>
      </c>
      <c r="M146" s="731" t="str">
        <f t="shared" si="87"/>
        <v>0.996925223566222+0.122847115663888i</v>
      </c>
      <c r="N146" s="338">
        <f t="shared" si="108"/>
        <v>1.0044656864271166</v>
      </c>
      <c r="O146" s="339">
        <f t="shared" si="109"/>
        <v>0.12260791514384237</v>
      </c>
      <c r="P146" s="732" t="str">
        <f t="shared" si="101"/>
        <v>0.0198969465569528-0.333948361212633i</v>
      </c>
      <c r="Q146" s="337">
        <f t="shared" si="110"/>
        <v>0.33454057517570784</v>
      </c>
      <c r="R146" s="339">
        <f t="shared" si="111"/>
        <v>-1.5112857708803964</v>
      </c>
      <c r="S146" s="731" t="str">
        <f t="shared" si="88"/>
        <v>6000</v>
      </c>
      <c r="T146" s="337" t="str">
        <f t="shared" si="89"/>
        <v>1+52783.6323321069i</v>
      </c>
      <c r="U146" s="346">
        <f t="shared" si="112"/>
        <v>52783.632341579534</v>
      </c>
      <c r="V146" s="347">
        <f t="shared" si="113"/>
        <v>1.5707773815280459</v>
      </c>
      <c r="W146" s="340" t="str">
        <f t="shared" si="90"/>
        <v>1+522.610221109969i</v>
      </c>
      <c r="X146" s="337">
        <f t="shared" si="114"/>
        <v>522.61117784506928</v>
      </c>
      <c r="Y146" s="339">
        <f t="shared" si="115"/>
        <v>1.5688828571780558</v>
      </c>
      <c r="Z146" s="337" t="str">
        <f t="shared" si="91"/>
        <v>1+5.26449113417661i</v>
      </c>
      <c r="AA146" s="346">
        <f t="shared" si="116"/>
        <v>5.3586254675825344</v>
      </c>
      <c r="AB146" s="347">
        <f t="shared" si="117"/>
        <v>1.3830808219175883</v>
      </c>
      <c r="AC146" s="732" t="str">
        <f t="shared" si="118"/>
        <v>2.04818795688055-10.8952134798051i</v>
      </c>
      <c r="AD146" s="337">
        <f t="shared" si="119"/>
        <v>11.086061098390054</v>
      </c>
      <c r="AE146" s="339">
        <f t="shared" si="120"/>
        <v>-1.3849753462675787</v>
      </c>
      <c r="AF146" s="736" t="str">
        <f t="shared" si="92"/>
        <v>-3.59768600032606-0.900770491989984i</v>
      </c>
      <c r="AG146" s="337">
        <f t="shared" si="121"/>
        <v>11.38452134068408</v>
      </c>
      <c r="AH146" s="730">
        <f t="shared" si="122"/>
        <v>-165.94353838042389</v>
      </c>
      <c r="AI146" s="360">
        <f t="shared" si="93"/>
        <v>14.056461619576112</v>
      </c>
      <c r="AL146" s="337">
        <f t="shared" si="94"/>
        <v>20.895545355633146</v>
      </c>
      <c r="AM146" s="730">
        <f t="shared" si="95"/>
        <v>-79.353242070802025</v>
      </c>
      <c r="AN146" s="351"/>
      <c r="AO146" s="337">
        <f t="shared" si="96"/>
        <v>43.760907183790337</v>
      </c>
      <c r="AP146" s="730">
        <f t="shared" si="97"/>
        <v>-86.590296309621834</v>
      </c>
      <c r="AS146" s="351"/>
      <c r="AT146" s="351"/>
      <c r="AV146" s="405">
        <f t="shared" si="98"/>
        <v>0</v>
      </c>
      <c r="AW146" s="405">
        <f t="shared" si="82"/>
        <v>0</v>
      </c>
      <c r="AX146" s="405">
        <f t="shared" si="99"/>
        <v>0</v>
      </c>
      <c r="AY146" s="405">
        <f t="shared" si="100"/>
        <v>0</v>
      </c>
    </row>
    <row r="147" spans="2:51" ht="13.5" thickBot="1" x14ac:dyDescent="0.25">
      <c r="B147" s="345">
        <v>8366.0499999999993</v>
      </c>
      <c r="C147" s="728" t="str">
        <f t="shared" si="83"/>
        <v>2.16217503399043</v>
      </c>
      <c r="D147" s="728" t="str">
        <f t="shared" si="84"/>
        <v>1+6.39546216342746i</v>
      </c>
      <c r="E147" s="337">
        <f t="shared" si="102"/>
        <v>6.4731704970464232</v>
      </c>
      <c r="F147" s="338">
        <f t="shared" si="103"/>
        <v>1.4156913632421653</v>
      </c>
      <c r="G147" s="338" t="str">
        <f t="shared" si="85"/>
        <v>1+0.0262827212195649i</v>
      </c>
      <c r="H147" s="337">
        <f t="shared" si="104"/>
        <v>1.0003453310905717</v>
      </c>
      <c r="I147" s="338">
        <f t="shared" si="105"/>
        <v>2.6276671854683062E-2</v>
      </c>
      <c r="J147" s="340">
        <f t="shared" si="86"/>
        <v>1</v>
      </c>
      <c r="K147" s="338">
        <f t="shared" si="106"/>
        <v>1</v>
      </c>
      <c r="L147" s="339">
        <f t="shared" si="107"/>
        <v>0</v>
      </c>
      <c r="M147" s="731" t="str">
        <f t="shared" si="87"/>
        <v>0.996889298106556+0.12356269981724i</v>
      </c>
      <c r="N147" s="338">
        <f t="shared" si="108"/>
        <v>1.004517801467703</v>
      </c>
      <c r="O147" s="339">
        <f t="shared" si="109"/>
        <v>0.12331930730032255</v>
      </c>
      <c r="P147" s="732" t="str">
        <f t="shared" si="101"/>
        <v>0.0193026312640498-0.332073063333909i</v>
      </c>
      <c r="Q147" s="337">
        <f t="shared" si="110"/>
        <v>0.33263359867229625</v>
      </c>
      <c r="R147" s="339">
        <f t="shared" si="111"/>
        <v>-1.5127339986878048</v>
      </c>
      <c r="S147" s="731" t="str">
        <f t="shared" si="88"/>
        <v>6000</v>
      </c>
      <c r="T147" s="337" t="str">
        <f t="shared" si="89"/>
        <v>1+53091.0968635211i</v>
      </c>
      <c r="U147" s="346">
        <f t="shared" si="112"/>
        <v>53091.096872938877</v>
      </c>
      <c r="V147" s="347">
        <f t="shared" si="113"/>
        <v>1.5707774912450783</v>
      </c>
      <c r="W147" s="340" t="str">
        <f t="shared" si="90"/>
        <v>1+525.654424391298i</v>
      </c>
      <c r="X147" s="337">
        <f t="shared" si="114"/>
        <v>525.65537558570327</v>
      </c>
      <c r="Y147" s="339">
        <f t="shared" si="115"/>
        <v>1.568893938557991</v>
      </c>
      <c r="Z147" s="337" t="str">
        <f t="shared" si="91"/>
        <v>1+5.29515678237452i</v>
      </c>
      <c r="AA147" s="346">
        <f t="shared" si="116"/>
        <v>5.3887554546413483</v>
      </c>
      <c r="AB147" s="347">
        <f t="shared" si="117"/>
        <v>1.3841427872790553</v>
      </c>
      <c r="AC147" s="732" t="str">
        <f t="shared" si="118"/>
        <v>2.02534804308092-10.8364297823187i</v>
      </c>
      <c r="AD147" s="337">
        <f t="shared" si="119"/>
        <v>11.024075703782852</v>
      </c>
      <c r="AE147" s="339">
        <f t="shared" si="120"/>
        <v>-1.3860263399661419</v>
      </c>
      <c r="AF147" s="736" t="str">
        <f t="shared" si="92"/>
        <v>-3.55939188696042-0.881735137290084i</v>
      </c>
      <c r="AG147" s="337">
        <f t="shared" si="121"/>
        <v>11.286166025413154</v>
      </c>
      <c r="AH147" s="730">
        <f t="shared" si="122"/>
        <v>-166.08673322478435</v>
      </c>
      <c r="AI147" s="360">
        <f t="shared" si="93"/>
        <v>13.913266775215646</v>
      </c>
      <c r="AL147" s="337">
        <f t="shared" si="94"/>
        <v>20.846843738626355</v>
      </c>
      <c r="AM147" s="730">
        <f t="shared" si="95"/>
        <v>-79.413459574024543</v>
      </c>
      <c r="AN147" s="351"/>
      <c r="AO147" s="337">
        <f t="shared" si="96"/>
        <v>43.711253485526214</v>
      </c>
      <c r="AP147" s="730">
        <f t="shared" si="97"/>
        <v>-86.673273650759825</v>
      </c>
      <c r="AS147" s="351"/>
      <c r="AT147" s="351"/>
      <c r="AV147" s="405">
        <f t="shared" si="98"/>
        <v>0</v>
      </c>
      <c r="AW147" s="405">
        <f t="shared" si="82"/>
        <v>0</v>
      </c>
      <c r="AX147" s="405">
        <f t="shared" si="99"/>
        <v>0</v>
      </c>
      <c r="AY147" s="405">
        <f t="shared" si="100"/>
        <v>0</v>
      </c>
    </row>
    <row r="148" spans="2:51" ht="13.5" thickBot="1" x14ac:dyDescent="0.25">
      <c r="B148" s="345">
        <v>8414.5</v>
      </c>
      <c r="C148" s="728" t="str">
        <f t="shared" si="83"/>
        <v>2.16217503399043</v>
      </c>
      <c r="D148" s="728" t="str">
        <f t="shared" si="84"/>
        <v>1+6.43249997001695i</v>
      </c>
      <c r="E148" s="337">
        <f t="shared" si="102"/>
        <v>6.5097661912136342</v>
      </c>
      <c r="F148" s="338">
        <f t="shared" si="103"/>
        <v>1.4165703106281566</v>
      </c>
      <c r="G148" s="338" t="str">
        <f t="shared" si="85"/>
        <v>1+0.0264349313836313i</v>
      </c>
      <c r="H148" s="337">
        <f t="shared" si="104"/>
        <v>1.0003493417787894</v>
      </c>
      <c r="I148" s="338">
        <f t="shared" si="105"/>
        <v>2.6428776338128752E-2</v>
      </c>
      <c r="J148" s="340">
        <f t="shared" si="86"/>
        <v>1</v>
      </c>
      <c r="K148" s="338">
        <f t="shared" si="106"/>
        <v>1</v>
      </c>
      <c r="L148" s="339">
        <f t="shared" si="107"/>
        <v>0</v>
      </c>
      <c r="M148" s="731" t="str">
        <f t="shared" si="87"/>
        <v>0.996853163988889+0.124278283970591i</v>
      </c>
      <c r="N148" s="338">
        <f t="shared" si="108"/>
        <v>1.0045702177654552</v>
      </c>
      <c r="O148" s="339">
        <f t="shared" si="109"/>
        <v>0.12403065098195243</v>
      </c>
      <c r="P148" s="732" t="str">
        <f t="shared" si="101"/>
        <v>0.0187182988460966-0.330217617662186i</v>
      </c>
      <c r="Q148" s="337">
        <f t="shared" si="110"/>
        <v>0.33074771310801443</v>
      </c>
      <c r="R148" s="339">
        <f t="shared" si="111"/>
        <v>-1.5141721852719805</v>
      </c>
      <c r="S148" s="731" t="str">
        <f t="shared" si="88"/>
        <v>6000</v>
      </c>
      <c r="T148" s="337" t="str">
        <f t="shared" si="89"/>
        <v>1+53398.5613949352i</v>
      </c>
      <c r="U148" s="346">
        <f t="shared" si="112"/>
        <v>53398.561404298751</v>
      </c>
      <c r="V148" s="347">
        <f t="shared" si="113"/>
        <v>1.5707775996986273</v>
      </c>
      <c r="W148" s="340" t="str">
        <f t="shared" si="90"/>
        <v>1+528.698627672626i</v>
      </c>
      <c r="X148" s="337">
        <f t="shared" si="114"/>
        <v>528.69957339014184</v>
      </c>
      <c r="Y148" s="339">
        <f t="shared" si="115"/>
        <v>1.5689048923270341</v>
      </c>
      <c r="Z148" s="337" t="str">
        <f t="shared" si="91"/>
        <v>1+5.32582243057242i</v>
      </c>
      <c r="AA148" s="346">
        <f t="shared" si="116"/>
        <v>5.4188914513937547</v>
      </c>
      <c r="AB148" s="347">
        <f t="shared" si="117"/>
        <v>1.3851929420310061</v>
      </c>
      <c r="AC148" s="732" t="str">
        <f t="shared" si="118"/>
        <v>2.00288360884112-10.778252526613i</v>
      </c>
      <c r="AD148" s="337">
        <f t="shared" si="119"/>
        <v>10.962767455255264</v>
      </c>
      <c r="AE148" s="339">
        <f t="shared" si="120"/>
        <v>-1.3870656494025997</v>
      </c>
      <c r="AF148" s="736" t="str">
        <f t="shared" si="92"/>
        <v>-3.52167829795535-0.863138005597994i</v>
      </c>
      <c r="AG148" s="337">
        <f t="shared" si="121"/>
        <v>11.188341037507524</v>
      </c>
      <c r="AH148" s="730">
        <f t="shared" si="122"/>
        <v>-166.22868329052716</v>
      </c>
      <c r="AI148" s="360">
        <f t="shared" si="93"/>
        <v>13.771316709472842</v>
      </c>
      <c r="AL148" s="337">
        <f t="shared" si="94"/>
        <v>20.798404037036541</v>
      </c>
      <c r="AM148" s="730">
        <f t="shared" si="95"/>
        <v>-79.473007618341697</v>
      </c>
      <c r="AN148" s="351"/>
      <c r="AO148" s="337">
        <f t="shared" si="96"/>
        <v>43.661868199210431</v>
      </c>
      <c r="AP148" s="730">
        <f t="shared" si="97"/>
        <v>-86.755675672185447</v>
      </c>
      <c r="AS148" s="351"/>
      <c r="AT148" s="351"/>
      <c r="AV148" s="405">
        <f t="shared" si="98"/>
        <v>0</v>
      </c>
      <c r="AW148" s="405">
        <f t="shared" si="82"/>
        <v>0</v>
      </c>
      <c r="AX148" s="405">
        <f t="shared" si="99"/>
        <v>0</v>
      </c>
      <c r="AY148" s="405">
        <f t="shared" si="100"/>
        <v>0</v>
      </c>
    </row>
    <row r="149" spans="2:51" ht="13.5" thickBot="1" x14ac:dyDescent="0.25">
      <c r="B149" s="345">
        <v>8462.9500000000007</v>
      </c>
      <c r="C149" s="728" t="str">
        <f t="shared" si="83"/>
        <v>2.16217503399043</v>
      </c>
      <c r="D149" s="728" t="str">
        <f t="shared" si="84"/>
        <v>1+6.46953777660645i</v>
      </c>
      <c r="E149" s="337">
        <f t="shared" si="102"/>
        <v>6.5463668582609946</v>
      </c>
      <c r="F149" s="338">
        <f t="shared" si="103"/>
        <v>1.4174394303084854</v>
      </c>
      <c r="G149" s="338" t="str">
        <f t="shared" si="85"/>
        <v>1+0.0265871415476977i</v>
      </c>
      <c r="H149" s="337">
        <f t="shared" si="104"/>
        <v>1.0003533756106775</v>
      </c>
      <c r="I149" s="338">
        <f t="shared" si="105"/>
        <v>2.6580879598399099E-2</v>
      </c>
      <c r="J149" s="340">
        <f t="shared" si="86"/>
        <v>1</v>
      </c>
      <c r="K149" s="338">
        <f t="shared" si="106"/>
        <v>1</v>
      </c>
      <c r="L149" s="339">
        <f t="shared" si="107"/>
        <v>0</v>
      </c>
      <c r="M149" s="731" t="str">
        <f t="shared" si="87"/>
        <v>0.996816821213222+0.124993868123942i</v>
      </c>
      <c r="N149" s="338">
        <f t="shared" si="108"/>
        <v>1.0046229352957345</v>
      </c>
      <c r="O149" s="339">
        <f t="shared" si="109"/>
        <v>0.12474194591633132</v>
      </c>
      <c r="P149" s="732" t="str">
        <f t="shared" si="101"/>
        <v>0.0181437306733414-0.328381717138804i</v>
      </c>
      <c r="Q149" s="337">
        <f t="shared" si="110"/>
        <v>0.32888257344191435</v>
      </c>
      <c r="R149" s="339">
        <f t="shared" si="111"/>
        <v>-1.5156004966264178</v>
      </c>
      <c r="S149" s="731" t="str">
        <f t="shared" si="88"/>
        <v>6000</v>
      </c>
      <c r="T149" s="337" t="str">
        <f t="shared" si="89"/>
        <v>1+53706.0259263495i</v>
      </c>
      <c r="U149" s="346">
        <f t="shared" si="112"/>
        <v>53706.02593565944</v>
      </c>
      <c r="V149" s="347">
        <f t="shared" si="113"/>
        <v>1.5707777069103932</v>
      </c>
      <c r="W149" s="340" t="str">
        <f t="shared" si="90"/>
        <v>1+531.742830953955i</v>
      </c>
      <c r="X149" s="337">
        <f t="shared" si="114"/>
        <v>531.7437712572912</v>
      </c>
      <c r="Y149" s="339">
        <f t="shared" si="115"/>
        <v>1.5689157206768742</v>
      </c>
      <c r="Z149" s="337" t="str">
        <f t="shared" si="91"/>
        <v>1+5.35648807877032i</v>
      </c>
      <c r="AA149" s="346">
        <f t="shared" si="116"/>
        <v>5.4490333581295456</v>
      </c>
      <c r="AB149" s="347">
        <f t="shared" si="117"/>
        <v>1.3862314798326627</v>
      </c>
      <c r="AC149" s="732" t="str">
        <f t="shared" si="118"/>
        <v>1.9807865668113-10.7206728069552i</v>
      </c>
      <c r="AD149" s="337">
        <f t="shared" si="119"/>
        <v>10.902125520147381</v>
      </c>
      <c r="AE149" s="339">
        <f t="shared" si="120"/>
        <v>-1.3880934660661821</v>
      </c>
      <c r="AF149" s="736" t="str">
        <f t="shared" si="92"/>
        <v>-3.48453408724163-0.844967094141381i</v>
      </c>
      <c r="AG149" s="337">
        <f t="shared" si="121"/>
        <v>11.091040799326651</v>
      </c>
      <c r="AH149" s="730">
        <f t="shared" si="122"/>
        <v>-166.36940905990349</v>
      </c>
      <c r="AI149" s="360">
        <f t="shared" si="93"/>
        <v>13.630590940096511</v>
      </c>
      <c r="AL149" s="337">
        <f t="shared" si="94"/>
        <v>20.750223558224612</v>
      </c>
      <c r="AM149" s="730">
        <f t="shared" si="95"/>
        <v>-79.531897175278189</v>
      </c>
      <c r="AN149" s="351"/>
      <c r="AO149" s="337">
        <f t="shared" si="96"/>
        <v>43.612748439841482</v>
      </c>
      <c r="AP149" s="730">
        <f t="shared" si="97"/>
        <v>-86.8375118846253</v>
      </c>
      <c r="AS149" s="351"/>
      <c r="AT149" s="351"/>
      <c r="AV149" s="405">
        <f t="shared" si="98"/>
        <v>0</v>
      </c>
      <c r="AW149" s="405">
        <f t="shared" si="82"/>
        <v>0</v>
      </c>
      <c r="AX149" s="405">
        <f t="shared" si="99"/>
        <v>0</v>
      </c>
      <c r="AY149" s="405">
        <f t="shared" si="100"/>
        <v>0</v>
      </c>
    </row>
    <row r="150" spans="2:51" ht="13.5" thickBot="1" x14ac:dyDescent="0.25">
      <c r="B150" s="345">
        <v>8511.4</v>
      </c>
      <c r="C150" s="728" t="str">
        <f t="shared" si="83"/>
        <v>2.16217503399043</v>
      </c>
      <c r="D150" s="728" t="str">
        <f t="shared" si="84"/>
        <v>1+6.50657558319594i</v>
      </c>
      <c r="E150" s="337">
        <f t="shared" si="102"/>
        <v>6.5829724152423408</v>
      </c>
      <c r="F150" s="338">
        <f t="shared" si="103"/>
        <v>1.4182988849041429</v>
      </c>
      <c r="G150" s="338" t="str">
        <f t="shared" si="85"/>
        <v>1+0.0267393517117641i</v>
      </c>
      <c r="H150" s="337">
        <f t="shared" si="104"/>
        <v>1.0003574325859559</v>
      </c>
      <c r="I150" s="338">
        <f t="shared" si="105"/>
        <v>2.6732981628471E-2</v>
      </c>
      <c r="J150" s="340">
        <f t="shared" si="86"/>
        <v>1</v>
      </c>
      <c r="K150" s="338">
        <f t="shared" si="106"/>
        <v>1</v>
      </c>
      <c r="L150" s="339">
        <f t="shared" si="107"/>
        <v>0</v>
      </c>
      <c r="M150" s="731" t="str">
        <f t="shared" si="87"/>
        <v>0.996780269779556+0.125709452277293i</v>
      </c>
      <c r="N150" s="338">
        <f t="shared" si="108"/>
        <v>1.0046759540337677</v>
      </c>
      <c r="O150" s="339">
        <f t="shared" si="109"/>
        <v>0.12545319183119963</v>
      </c>
      <c r="P150" s="732" t="str">
        <f t="shared" si="101"/>
        <v>0.0175787140288066-0.326565060788492i</v>
      </c>
      <c r="Q150" s="337">
        <f t="shared" si="110"/>
        <v>0.32703784202244557</v>
      </c>
      <c r="R150" s="339">
        <f t="shared" si="111"/>
        <v>-1.5170190951068718</v>
      </c>
      <c r="S150" s="731" t="str">
        <f t="shared" si="88"/>
        <v>6000</v>
      </c>
      <c r="T150" s="337" t="str">
        <f t="shared" si="89"/>
        <v>1+54013.4904577636i</v>
      </c>
      <c r="U150" s="346">
        <f t="shared" si="112"/>
        <v>54013.490467020536</v>
      </c>
      <c r="V150" s="347">
        <f t="shared" si="113"/>
        <v>1.5707778129015819</v>
      </c>
      <c r="W150" s="340" t="str">
        <f t="shared" si="90"/>
        <v>1+534.787034235283i</v>
      </c>
      <c r="X150" s="337">
        <f t="shared" si="114"/>
        <v>534.78796918607827</v>
      </c>
      <c r="Y150" s="339">
        <f t="shared" si="115"/>
        <v>1.5689264257492967</v>
      </c>
      <c r="Z150" s="337" t="str">
        <f t="shared" si="91"/>
        <v>1+5.38715372696822i</v>
      </c>
      <c r="AA150" s="346">
        <f t="shared" si="116"/>
        <v>5.4791810773132505</v>
      </c>
      <c r="AB150" s="347">
        <f t="shared" si="117"/>
        <v>1.3872585901825121</v>
      </c>
      <c r="AC150" s="732" t="str">
        <f t="shared" si="118"/>
        <v>1.95904904351308-10.6636818806913i</v>
      </c>
      <c r="AD150" s="337">
        <f t="shared" si="119"/>
        <v>10.842139291093501</v>
      </c>
      <c r="AE150" s="339">
        <f t="shared" si="120"/>
        <v>-1.3891099773347984</v>
      </c>
      <c r="AF150" s="736" t="str">
        <f t="shared" si="92"/>
        <v>-3.44794835869277-0.827210784257325i</v>
      </c>
      <c r="AG150" s="337">
        <f t="shared" si="121"/>
        <v>10.994259817169761</v>
      </c>
      <c r="AH150" s="730">
        <f t="shared" si="122"/>
        <v>-166.50893057117636</v>
      </c>
      <c r="AI150" s="360">
        <f t="shared" si="93"/>
        <v>13.491069428823636</v>
      </c>
      <c r="AL150" s="337">
        <f t="shared" si="94"/>
        <v>20.702299648938919</v>
      </c>
      <c r="AM150" s="730">
        <f t="shared" si="95"/>
        <v>-79.590138980797391</v>
      </c>
      <c r="AN150" s="351"/>
      <c r="AO150" s="337">
        <f t="shared" si="96"/>
        <v>43.56389136697026</v>
      </c>
      <c r="AP150" s="730">
        <f t="shared" si="97"/>
        <v>-86.918791590378973</v>
      </c>
      <c r="AS150" s="351"/>
      <c r="AT150" s="351"/>
      <c r="AV150" s="405">
        <f t="shared" si="98"/>
        <v>0</v>
      </c>
      <c r="AW150" s="405">
        <f t="shared" si="82"/>
        <v>0</v>
      </c>
      <c r="AX150" s="405">
        <f t="shared" si="99"/>
        <v>0</v>
      </c>
      <c r="AY150" s="405">
        <f t="shared" si="100"/>
        <v>0</v>
      </c>
    </row>
    <row r="151" spans="2:51" ht="13.5" thickBot="1" x14ac:dyDescent="0.25">
      <c r="B151" s="345">
        <v>8560.9500000000007</v>
      </c>
      <c r="C151" s="728" t="str">
        <f t="shared" si="83"/>
        <v>2.16217503399043</v>
      </c>
      <c r="D151" s="728" t="str">
        <f t="shared" si="84"/>
        <v>1+6.54445428941906i</v>
      </c>
      <c r="E151" s="337">
        <f t="shared" si="102"/>
        <v>6.6204140313348638</v>
      </c>
      <c r="F151" s="338">
        <f t="shared" si="103"/>
        <v>1.4191680214383031</v>
      </c>
      <c r="G151" s="338" t="str">
        <f t="shared" si="85"/>
        <v>1+0.0268950176277495i</v>
      </c>
      <c r="H151" s="337">
        <f t="shared" si="104"/>
        <v>1.0003616056072908</v>
      </c>
      <c r="I151" s="338">
        <f t="shared" si="105"/>
        <v>2.6888535675677817E-2</v>
      </c>
      <c r="J151" s="340">
        <f t="shared" si="86"/>
        <v>1</v>
      </c>
      <c r="K151" s="338">
        <f t="shared" si="106"/>
        <v>1</v>
      </c>
      <c r="L151" s="339">
        <f t="shared" si="107"/>
        <v>0</v>
      </c>
      <c r="M151" s="731" t="str">
        <f t="shared" si="87"/>
        <v>0.996742672671+0.126441282923291i</v>
      </c>
      <c r="N151" s="338">
        <f t="shared" si="108"/>
        <v>1.0047304880168693</v>
      </c>
      <c r="O151" s="339">
        <f t="shared" si="109"/>
        <v>0.12618053475901397</v>
      </c>
      <c r="P151" s="732" t="str">
        <f t="shared" si="101"/>
        <v>0.0170105329398155-0.324726756475818i</v>
      </c>
      <c r="Q151" s="337">
        <f t="shared" si="110"/>
        <v>0.32517199233974892</v>
      </c>
      <c r="R151" s="339">
        <f t="shared" si="111"/>
        <v>-1.5184600205216396</v>
      </c>
      <c r="S151" s="731" t="str">
        <f t="shared" si="88"/>
        <v>6000</v>
      </c>
      <c r="T151" s="337" t="str">
        <f t="shared" si="89"/>
        <v>1+54327.9356080541i</v>
      </c>
      <c r="U151" s="346">
        <f t="shared" si="112"/>
        <v>54327.93561725747</v>
      </c>
      <c r="V151" s="347">
        <f t="shared" si="113"/>
        <v>1.5707779200583127</v>
      </c>
      <c r="W151" s="340" t="str">
        <f t="shared" si="90"/>
        <v>1+537.900352554991i</v>
      </c>
      <c r="X151" s="337">
        <f t="shared" si="114"/>
        <v>537.90128209438535</v>
      </c>
      <c r="Y151" s="339">
        <f t="shared" si="115"/>
        <v>1.5689372485414756</v>
      </c>
      <c r="Z151" s="337" t="str">
        <f t="shared" si="91"/>
        <v>1+5.41851560247299i</v>
      </c>
      <c r="AA151" s="346">
        <f t="shared" si="116"/>
        <v>5.5100191773026728</v>
      </c>
      <c r="AB151" s="347">
        <f t="shared" si="117"/>
        <v>1.388297393531003</v>
      </c>
      <c r="AC151" s="732" t="str">
        <f t="shared" si="118"/>
        <v>1.93718186235794-10.6059970959931i</v>
      </c>
      <c r="AD151" s="337">
        <f t="shared" si="119"/>
        <v>10.781458526937005</v>
      </c>
      <c r="AE151" s="339">
        <f t="shared" si="120"/>
        <v>-1.3901380650478397</v>
      </c>
      <c r="AF151" s="736" t="str">
        <f t="shared" si="92"/>
        <v>-3.41109854029373-0.809468445828256i</v>
      </c>
      <c r="AG151" s="337">
        <f t="shared" si="121"/>
        <v>10.895812971745416</v>
      </c>
      <c r="AH151" s="730">
        <f t="shared" si="122"/>
        <v>-166.65039460296222</v>
      </c>
      <c r="AI151" s="360">
        <f t="shared" si="93"/>
        <v>13.349605397037777</v>
      </c>
      <c r="AL151" s="337">
        <f t="shared" si="94"/>
        <v>20.653550332697087</v>
      </c>
      <c r="AM151" s="730">
        <f t="shared" si="95"/>
        <v>-79.649044067723906</v>
      </c>
      <c r="AN151" s="351"/>
      <c r="AO151" s="337">
        <f t="shared" si="96"/>
        <v>43.514193837787758</v>
      </c>
      <c r="AP151" s="730">
        <f t="shared" si="97"/>
        <v>-87.001350535238316</v>
      </c>
      <c r="AS151" s="351"/>
      <c r="AT151" s="351"/>
      <c r="AV151" s="405">
        <f t="shared" si="98"/>
        <v>0</v>
      </c>
      <c r="AW151" s="405">
        <f t="shared" si="82"/>
        <v>0</v>
      </c>
      <c r="AX151" s="405">
        <f t="shared" si="99"/>
        <v>0</v>
      </c>
      <c r="AY151" s="405">
        <f t="shared" si="100"/>
        <v>0</v>
      </c>
    </row>
    <row r="152" spans="2:51" ht="13.5" thickBot="1" x14ac:dyDescent="0.25">
      <c r="B152" s="345">
        <v>8610.5</v>
      </c>
      <c r="C152" s="728" t="str">
        <f t="shared" si="83"/>
        <v>2.16217503399043</v>
      </c>
      <c r="D152" s="728" t="str">
        <f t="shared" si="84"/>
        <v>1+6.58233299564216i</v>
      </c>
      <c r="E152" s="337">
        <f t="shared" si="102"/>
        <v>6.6578605922262666</v>
      </c>
      <c r="F152" s="338">
        <f t="shared" si="103"/>
        <v>1.4200273818490663</v>
      </c>
      <c r="G152" s="338" t="str">
        <f t="shared" si="85"/>
        <v>1+0.0270506835437349i</v>
      </c>
      <c r="H152" s="337">
        <f t="shared" si="104"/>
        <v>1.0003658028342348</v>
      </c>
      <c r="I152" s="338">
        <f t="shared" si="105"/>
        <v>2.7044088421334739E-2</v>
      </c>
      <c r="J152" s="340">
        <f t="shared" si="86"/>
        <v>1</v>
      </c>
      <c r="K152" s="338">
        <f t="shared" si="106"/>
        <v>1</v>
      </c>
      <c r="L152" s="339">
        <f t="shared" si="107"/>
        <v>0</v>
      </c>
      <c r="M152" s="731" t="str">
        <f t="shared" si="87"/>
        <v>0.996704857322222+0.127173113569288i</v>
      </c>
      <c r="N152" s="338">
        <f t="shared" si="108"/>
        <v>1.0047853369872681</v>
      </c>
      <c r="O152" s="339">
        <f t="shared" si="109"/>
        <v>0.12690782584065677</v>
      </c>
      <c r="P152" s="732" t="str">
        <f t="shared" si="101"/>
        <v>0.0164519101156821-0.322907962210923i</v>
      </c>
      <c r="Q152" s="337">
        <f t="shared" si="110"/>
        <v>0.32332679660935215</v>
      </c>
      <c r="R152" s="339">
        <f t="shared" si="111"/>
        <v>-1.5198911192683882</v>
      </c>
      <c r="S152" s="731" t="str">
        <f t="shared" si="88"/>
        <v>6000</v>
      </c>
      <c r="T152" s="337" t="str">
        <f t="shared" si="89"/>
        <v>1+54642.3807583445i</v>
      </c>
      <c r="U152" s="346">
        <f t="shared" si="112"/>
        <v>54642.380767494906</v>
      </c>
      <c r="V152" s="347">
        <f t="shared" si="113"/>
        <v>1.5707780259817548</v>
      </c>
      <c r="W152" s="340" t="str">
        <f t="shared" si="90"/>
        <v>1+541.013670874698i</v>
      </c>
      <c r="X152" s="337">
        <f t="shared" si="114"/>
        <v>541.01459506497247</v>
      </c>
      <c r="Y152" s="339">
        <f t="shared" si="115"/>
        <v>1.5689479467723608</v>
      </c>
      <c r="Z152" s="337" t="str">
        <f t="shared" si="91"/>
        <v>1+5.44987747797775i</v>
      </c>
      <c r="AA152" s="346">
        <f t="shared" si="116"/>
        <v>5.5408631570333089</v>
      </c>
      <c r="AB152" s="347">
        <f t="shared" si="117"/>
        <v>1.389324632693228</v>
      </c>
      <c r="AC152" s="732" t="str">
        <f t="shared" si="118"/>
        <v>1.9156747093845-10.5489101556151i</v>
      </c>
      <c r="AD152" s="337">
        <f t="shared" si="119"/>
        <v>10.721441836964598</v>
      </c>
      <c r="AE152" s="339">
        <f t="shared" si="120"/>
        <v>-1.391154711902622</v>
      </c>
      <c r="AF152" s="736" t="str">
        <f t="shared" si="92"/>
        <v>-3.3748105737661-0.792136338364937i</v>
      </c>
      <c r="AG152" s="337">
        <f t="shared" si="121"/>
        <v>10.79789786764815</v>
      </c>
      <c r="AH152" s="730">
        <f t="shared" si="122"/>
        <v>-166.79064009525166</v>
      </c>
      <c r="AI152" s="360">
        <f t="shared" si="93"/>
        <v>13.209359904748339</v>
      </c>
      <c r="AL152" s="337">
        <f t="shared" si="94"/>
        <v>20.605063878274326</v>
      </c>
      <c r="AM152" s="730">
        <f t="shared" si="95"/>
        <v>-79.707293641758184</v>
      </c>
      <c r="AN152" s="351"/>
      <c r="AO152" s="337">
        <f t="shared" si="96"/>
        <v>43.464765188113262</v>
      </c>
      <c r="AP152" s="730">
        <f t="shared" si="97"/>
        <v>-87.08334645349349</v>
      </c>
      <c r="AS152" s="351"/>
      <c r="AT152" s="351"/>
      <c r="AV152" s="405">
        <f t="shared" si="98"/>
        <v>0</v>
      </c>
      <c r="AW152" s="405">
        <f t="shared" si="82"/>
        <v>0</v>
      </c>
      <c r="AX152" s="405">
        <f t="shared" si="99"/>
        <v>0</v>
      </c>
      <c r="AY152" s="405">
        <f t="shared" si="100"/>
        <v>0</v>
      </c>
    </row>
    <row r="153" spans="2:51" ht="13.5" thickBot="1" x14ac:dyDescent="0.25">
      <c r="B153" s="345">
        <v>8660.0499999999993</v>
      </c>
      <c r="C153" s="728" t="str">
        <f t="shared" si="83"/>
        <v>2.16217503399043</v>
      </c>
      <c r="D153" s="728" t="str">
        <f t="shared" si="84"/>
        <v>1+6.62021170186527i</v>
      </c>
      <c r="E153" s="337">
        <f t="shared" si="102"/>
        <v>6.6953120149485086</v>
      </c>
      <c r="F153" s="338">
        <f t="shared" si="103"/>
        <v>1.4208771289098618</v>
      </c>
      <c r="G153" s="338" t="str">
        <f t="shared" si="85"/>
        <v>1+0.0272063494597203i</v>
      </c>
      <c r="H153" s="337">
        <f t="shared" si="104"/>
        <v>1.0003700242664832</v>
      </c>
      <c r="I153" s="338">
        <f t="shared" si="105"/>
        <v>2.7199639857930485E-2</v>
      </c>
      <c r="J153" s="340">
        <f t="shared" si="86"/>
        <v>1</v>
      </c>
      <c r="K153" s="338">
        <f t="shared" si="106"/>
        <v>1</v>
      </c>
      <c r="L153" s="339">
        <f t="shared" si="107"/>
        <v>0</v>
      </c>
      <c r="M153" s="731" t="str">
        <f t="shared" si="87"/>
        <v>0.996666823733222+0.127904944215285i</v>
      </c>
      <c r="N153" s="338">
        <f t="shared" si="108"/>
        <v>1.0048405009180235</v>
      </c>
      <c r="O153" s="339">
        <f t="shared" si="109"/>
        <v>0.12763506478536718</v>
      </c>
      <c r="P153" s="732" t="str">
        <f t="shared" si="101"/>
        <v>0.0159026359998939-0.321108374871094i</v>
      </c>
      <c r="Q153" s="337">
        <f t="shared" si="110"/>
        <v>0.32150191639257791</v>
      </c>
      <c r="R153" s="339">
        <f t="shared" si="111"/>
        <v>-1.5213125538372987</v>
      </c>
      <c r="S153" s="731" t="str">
        <f t="shared" si="88"/>
        <v>6000</v>
      </c>
      <c r="T153" s="337" t="str">
        <f t="shared" si="89"/>
        <v>1+54956.825908635i</v>
      </c>
      <c r="U153" s="346">
        <f t="shared" si="112"/>
        <v>54956.82591773304</v>
      </c>
      <c r="V153" s="347">
        <f t="shared" si="113"/>
        <v>1.5707781306930775</v>
      </c>
      <c r="W153" s="340" t="str">
        <f t="shared" si="90"/>
        <v>1+544.126989194406i</v>
      </c>
      <c r="X153" s="337">
        <f t="shared" si="114"/>
        <v>544.12790809677199</v>
      </c>
      <c r="Y153" s="339">
        <f t="shared" si="115"/>
        <v>1.5689585225800409</v>
      </c>
      <c r="Z153" s="337" t="str">
        <f t="shared" si="91"/>
        <v>1+5.48123935348252i</v>
      </c>
      <c r="AA153" s="346">
        <f t="shared" si="116"/>
        <v>5.5717129188576715</v>
      </c>
      <c r="AB153" s="347">
        <f t="shared" si="117"/>
        <v>1.3903404975706986</v>
      </c>
      <c r="AC153" s="732" t="str">
        <f t="shared" si="118"/>
        <v>1.89451981407332-10.4924122151983i</v>
      </c>
      <c r="AD153" s="337">
        <f t="shared" si="119"/>
        <v>10.662078569376561</v>
      </c>
      <c r="AE153" s="339">
        <f t="shared" si="120"/>
        <v>-1.3921601056837358</v>
      </c>
      <c r="AF153" s="736" t="str">
        <f t="shared" si="92"/>
        <v>-3.33907357590215-0.77520319087731i</v>
      </c>
      <c r="AG153" s="337">
        <f t="shared" si="121"/>
        <v>10.700508890535357</v>
      </c>
      <c r="AH153" s="730">
        <f t="shared" si="122"/>
        <v>-166.92968711731075</v>
      </c>
      <c r="AI153" s="360">
        <f t="shared" si="93"/>
        <v>13.070312882689251</v>
      </c>
      <c r="AL153" s="337">
        <f t="shared" si="94"/>
        <v>20.556837570758763</v>
      </c>
      <c r="AM153" s="730">
        <f t="shared" si="95"/>
        <v>-79.764898462164709</v>
      </c>
      <c r="AN153" s="351"/>
      <c r="AO153" s="337">
        <f t="shared" si="96"/>
        <v>43.415602518516032</v>
      </c>
      <c r="AP153" s="730">
        <f t="shared" si="97"/>
        <v>-87.16478865514604</v>
      </c>
      <c r="AS153" s="351"/>
      <c r="AT153" s="351"/>
      <c r="AV153" s="405">
        <f t="shared" si="98"/>
        <v>0</v>
      </c>
      <c r="AW153" s="405">
        <f t="shared" si="82"/>
        <v>0</v>
      </c>
      <c r="AX153" s="405">
        <f t="shared" si="99"/>
        <v>0</v>
      </c>
      <c r="AY153" s="405">
        <f t="shared" si="100"/>
        <v>0</v>
      </c>
    </row>
    <row r="154" spans="2:51" ht="13.5" thickBot="1" x14ac:dyDescent="0.25">
      <c r="B154" s="345">
        <v>8709.6</v>
      </c>
      <c r="C154" s="728" t="str">
        <f t="shared" si="83"/>
        <v>2.16217503399043</v>
      </c>
      <c r="D154" s="728" t="str">
        <f t="shared" si="84"/>
        <v>1+6.65809040808838i</v>
      </c>
      <c r="E154" s="337">
        <f t="shared" si="102"/>
        <v>6.7327682183689115</v>
      </c>
      <c r="F154" s="338">
        <f t="shared" si="103"/>
        <v>1.4217174218281492</v>
      </c>
      <c r="G154" s="338" t="str">
        <f t="shared" si="85"/>
        <v>1+0.0273620153757057i</v>
      </c>
      <c r="H154" s="337">
        <f t="shared" si="104"/>
        <v>1.0003742699037297</v>
      </c>
      <c r="I154" s="338">
        <f t="shared" si="105"/>
        <v>2.7355189977954147E-2</v>
      </c>
      <c r="J154" s="340">
        <f t="shared" si="86"/>
        <v>1</v>
      </c>
      <c r="K154" s="338">
        <f t="shared" si="106"/>
        <v>1</v>
      </c>
      <c r="L154" s="339">
        <f t="shared" si="107"/>
        <v>0</v>
      </c>
      <c r="M154" s="731" t="str">
        <f t="shared" si="87"/>
        <v>0.996628571904+0.128636774861282i</v>
      </c>
      <c r="N154" s="338">
        <f t="shared" si="108"/>
        <v>1.0048959797820463</v>
      </c>
      <c r="O154" s="339">
        <f t="shared" si="109"/>
        <v>0.12836225130254214</v>
      </c>
      <c r="P154" s="732" t="str">
        <f t="shared" si="101"/>
        <v>0.0153625067124923-0.319327697379652i</v>
      </c>
      <c r="Q154" s="337">
        <f t="shared" si="110"/>
        <v>0.31969702051517773</v>
      </c>
      <c r="R154" s="339">
        <f t="shared" si="111"/>
        <v>-1.5227244831527373</v>
      </c>
      <c r="S154" s="731" t="str">
        <f t="shared" si="88"/>
        <v>6000</v>
      </c>
      <c r="T154" s="337" t="str">
        <f t="shared" si="89"/>
        <v>1+55271.2710589254i</v>
      </c>
      <c r="U154" s="346">
        <f t="shared" si="112"/>
        <v>55271.271067971691</v>
      </c>
      <c r="V154" s="347">
        <f t="shared" si="113"/>
        <v>1.5707782342129688</v>
      </c>
      <c r="W154" s="340" t="str">
        <f t="shared" si="90"/>
        <v>1+547.240307514113i</v>
      </c>
      <c r="X154" s="337">
        <f t="shared" si="114"/>
        <v>547.24122118873777</v>
      </c>
      <c r="Y154" s="339">
        <f t="shared" si="115"/>
        <v>1.5689689780539486</v>
      </c>
      <c r="Z154" s="337" t="str">
        <f t="shared" si="91"/>
        <v>1+5.51260122898729i</v>
      </c>
      <c r="AA154" s="346">
        <f t="shared" si="116"/>
        <v>5.6025683672608748</v>
      </c>
      <c r="AB154" s="347">
        <f t="shared" si="117"/>
        <v>1.3913451739765741</v>
      </c>
      <c r="AC154" s="732" t="str">
        <f t="shared" si="118"/>
        <v>1.87370961194584-10.4364945942745i</v>
      </c>
      <c r="AD154" s="337">
        <f t="shared" si="119"/>
        <v>10.60335829472055</v>
      </c>
      <c r="AE154" s="339">
        <f t="shared" si="120"/>
        <v>-1.3931544301355947</v>
      </c>
      <c r="AF154" s="736" t="str">
        <f t="shared" si="92"/>
        <v>-3.30387691101408-0.758658094200218i</v>
      </c>
      <c r="AG154" s="337">
        <f t="shared" si="121"/>
        <v>10.6036405110515</v>
      </c>
      <c r="AH154" s="730">
        <f t="shared" si="122"/>
        <v>-167.06755530261435</v>
      </c>
      <c r="AI154" s="360">
        <f t="shared" si="93"/>
        <v>12.932444697385648</v>
      </c>
      <c r="AL154" s="337">
        <f t="shared" si="94"/>
        <v>20.508868735248459</v>
      </c>
      <c r="AM154" s="730">
        <f t="shared" si="95"/>
        <v>-79.821869056722889</v>
      </c>
      <c r="AN154" s="351"/>
      <c r="AO154" s="337">
        <f t="shared" si="96"/>
        <v>43.366702974542491</v>
      </c>
      <c r="AP154" s="730">
        <f t="shared" si="97"/>
        <v>-87.245686245891477</v>
      </c>
      <c r="AS154" s="351"/>
      <c r="AT154" s="351"/>
      <c r="AV154" s="405">
        <f t="shared" si="98"/>
        <v>0</v>
      </c>
      <c r="AW154" s="405">
        <f t="shared" ref="AW154:AW217" si="123">IF(AV154&gt;0,AI154,0)</f>
        <v>0</v>
      </c>
      <c r="AX154" s="405">
        <f t="shared" si="99"/>
        <v>0</v>
      </c>
      <c r="AY154" s="405">
        <f t="shared" si="100"/>
        <v>0</v>
      </c>
    </row>
    <row r="155" spans="2:51" ht="13.5" thickBot="1" x14ac:dyDescent="0.25">
      <c r="B155" s="345">
        <v>8760.3250000000007</v>
      </c>
      <c r="C155" s="728" t="str">
        <f t="shared" si="83"/>
        <v>2.16217503399043</v>
      </c>
      <c r="D155" s="728" t="str">
        <f t="shared" si="84"/>
        <v>1+6.69686734801102i</v>
      </c>
      <c r="E155" s="337">
        <f t="shared" si="102"/>
        <v>6.771117505763443</v>
      </c>
      <c r="F155" s="338">
        <f t="shared" si="103"/>
        <v>1.4225680104556391</v>
      </c>
      <c r="G155" s="338" t="str">
        <f t="shared" si="85"/>
        <v>1+0.027521372663059i</v>
      </c>
      <c r="H155" s="337">
        <f t="shared" si="104"/>
        <v>1.0003786412920155</v>
      </c>
      <c r="I155" s="338">
        <f t="shared" si="105"/>
        <v>2.7514427351813173E-2</v>
      </c>
      <c r="J155" s="340">
        <f t="shared" si="86"/>
        <v>1</v>
      </c>
      <c r="K155" s="338">
        <f t="shared" si="106"/>
        <v>1</v>
      </c>
      <c r="L155" s="339">
        <f t="shared" si="107"/>
        <v>0</v>
      </c>
      <c r="M155" s="731" t="str">
        <f t="shared" si="87"/>
        <v>0.996589186928639+0.129385959715333i</v>
      </c>
      <c r="N155" s="338">
        <f t="shared" si="108"/>
        <v>1.0049531004353107</v>
      </c>
      <c r="O155" s="339">
        <f t="shared" si="109"/>
        <v>0.12910662728922634</v>
      </c>
      <c r="P155" s="732" t="str">
        <f t="shared" si="101"/>
        <v>0.0148188347052955-0.317524077762777i</v>
      </c>
      <c r="Q155" s="337">
        <f t="shared" si="110"/>
        <v>0.31786968685473133</v>
      </c>
      <c r="R155" s="339">
        <f t="shared" si="111"/>
        <v>-1.5241602103930521</v>
      </c>
      <c r="S155" s="731" t="str">
        <f t="shared" si="88"/>
        <v>6000</v>
      </c>
      <c r="T155" s="337" t="str">
        <f t="shared" si="89"/>
        <v>1+55593.1727793792i</v>
      </c>
      <c r="U155" s="346">
        <f t="shared" si="112"/>
        <v>55593.172788373107</v>
      </c>
      <c r="V155" s="347">
        <f t="shared" si="113"/>
        <v>1.5707783389746321</v>
      </c>
      <c r="W155" s="340" t="str">
        <f t="shared" si="90"/>
        <v>1+550.42745326118i</v>
      </c>
      <c r="X155" s="337">
        <f t="shared" si="114"/>
        <v>550.4283616453539</v>
      </c>
      <c r="Y155" s="339">
        <f t="shared" si="115"/>
        <v>1.5689795589468181</v>
      </c>
      <c r="Z155" s="337" t="str">
        <f t="shared" si="91"/>
        <v>1+5.54470680184257i</v>
      </c>
      <c r="AA155" s="346">
        <f t="shared" si="116"/>
        <v>5.6341612968035681</v>
      </c>
      <c r="AB155" s="347">
        <f t="shared" si="117"/>
        <v>1.3923622749206443</v>
      </c>
      <c r="AC155" s="732" t="str">
        <f t="shared" si="118"/>
        <v>1.8527552916028-10.3798432056821i</v>
      </c>
      <c r="AD155" s="337">
        <f t="shared" si="119"/>
        <v>10.543900945338354</v>
      </c>
      <c r="AE155" s="339">
        <f t="shared" si="120"/>
        <v>-1.394161054948458</v>
      </c>
      <c r="AF155" s="736" t="str">
        <f t="shared" si="92"/>
        <v>-3.26839446679081-0.742111596018172i</v>
      </c>
      <c r="AG155" s="337">
        <f t="shared" si="121"/>
        <v>10.505008627320041</v>
      </c>
      <c r="AH155" s="730">
        <f t="shared" si="122"/>
        <v>-167.20749176734654</v>
      </c>
      <c r="AI155" s="360">
        <f t="shared" si="93"/>
        <v>12.792508232653461</v>
      </c>
      <c r="AL155" s="337">
        <f t="shared" si="94"/>
        <v>20.460026345804785</v>
      </c>
      <c r="AM155" s="730">
        <f t="shared" si="95"/>
        <v>-79.8795444100531</v>
      </c>
      <c r="AN155" s="351"/>
      <c r="AO155" s="337">
        <f t="shared" si="96"/>
        <v>43.316913480254712</v>
      </c>
      <c r="AP155" s="730">
        <f t="shared" si="97"/>
        <v>-87.327947357293468</v>
      </c>
      <c r="AS155" s="351"/>
      <c r="AT155" s="351"/>
      <c r="AV155" s="405">
        <f t="shared" si="98"/>
        <v>0</v>
      </c>
      <c r="AW155" s="405">
        <f t="shared" si="123"/>
        <v>0</v>
      </c>
      <c r="AX155" s="405">
        <f t="shared" si="99"/>
        <v>0</v>
      </c>
      <c r="AY155" s="405">
        <f t="shared" si="100"/>
        <v>0</v>
      </c>
    </row>
    <row r="156" spans="2:51" ht="13.5" thickBot="1" x14ac:dyDescent="0.25">
      <c r="B156" s="345">
        <v>8811.0499999999993</v>
      </c>
      <c r="C156" s="728" t="str">
        <f t="shared" si="83"/>
        <v>2.16217503399043</v>
      </c>
      <c r="D156" s="728" t="str">
        <f t="shared" si="84"/>
        <v>1+6.73564428793367i</v>
      </c>
      <c r="E156" s="337">
        <f t="shared" si="102"/>
        <v>6.8094716368873645</v>
      </c>
      <c r="F156" s="338">
        <f t="shared" si="103"/>
        <v>1.4234090178594407</v>
      </c>
      <c r="G156" s="338" t="str">
        <f t="shared" si="85"/>
        <v>1+0.0276807299504124i</v>
      </c>
      <c r="H156" s="337">
        <f t="shared" si="104"/>
        <v>1.0003830380462213</v>
      </c>
      <c r="I156" s="338">
        <f t="shared" si="105"/>
        <v>2.7673663329990904E-2</v>
      </c>
      <c r="J156" s="340">
        <f t="shared" si="86"/>
        <v>1</v>
      </c>
      <c r="K156" s="338">
        <f t="shared" si="106"/>
        <v>1</v>
      </c>
      <c r="L156" s="339">
        <f t="shared" si="107"/>
        <v>0</v>
      </c>
      <c r="M156" s="731" t="str">
        <f t="shared" si="87"/>
        <v>0.996549573239889+0.130135144569383i</v>
      </c>
      <c r="N156" s="338">
        <f t="shared" si="108"/>
        <v>1.0050105510773004</v>
      </c>
      <c r="O156" s="339">
        <f t="shared" si="109"/>
        <v>0.12985094771661371</v>
      </c>
      <c r="P156" s="732" t="str">
        <f t="shared" si="101"/>
        <v>0.0142843314318417-0.315739664208343i</v>
      </c>
      <c r="Q156" s="337">
        <f t="shared" si="110"/>
        <v>0.3160626167056963</v>
      </c>
      <c r="R156" s="339">
        <f t="shared" si="111"/>
        <v>-1.5255863022460636</v>
      </c>
      <c r="S156" s="731" t="str">
        <f t="shared" si="88"/>
        <v>6000</v>
      </c>
      <c r="T156" s="337" t="str">
        <f t="shared" si="89"/>
        <v>1+55915.074499833i</v>
      </c>
      <c r="U156" s="346">
        <f t="shared" si="112"/>
        <v>55915.074508775142</v>
      </c>
      <c r="V156" s="347">
        <f t="shared" si="113"/>
        <v>1.5707784425300746</v>
      </c>
      <c r="W156" s="340" t="str">
        <f t="shared" si="90"/>
        <v>1+553.614599008247i</v>
      </c>
      <c r="X156" s="337">
        <f t="shared" si="114"/>
        <v>553.6155021628839</v>
      </c>
      <c r="Y156" s="339">
        <f t="shared" si="115"/>
        <v>1.5689900180122032</v>
      </c>
      <c r="Z156" s="337" t="str">
        <f t="shared" si="91"/>
        <v>1+5.57681237469786i</v>
      </c>
      <c r="AA156" s="346">
        <f t="shared" si="116"/>
        <v>5.6657599898498328</v>
      </c>
      <c r="AB156" s="347">
        <f t="shared" si="117"/>
        <v>1.3933680318824597</v>
      </c>
      <c r="AC156" s="732" t="str">
        <f t="shared" si="118"/>
        <v>1.83214679700224-10.3237820871205i</v>
      </c>
      <c r="AD156" s="337">
        <f t="shared" si="119"/>
        <v>10.48509601616102</v>
      </c>
      <c r="AE156" s="339">
        <f t="shared" si="120"/>
        <v>-1.3951564564003309</v>
      </c>
      <c r="AF156" s="736" t="str">
        <f t="shared" si="92"/>
        <v>-3.23345649746737-0.725949739428418i</v>
      </c>
      <c r="AG156" s="337">
        <f t="shared" si="121"/>
        <v>10.406910863295867</v>
      </c>
      <c r="AH156" s="730">
        <f t="shared" si="122"/>
        <v>-167.34623311383567</v>
      </c>
      <c r="AI156" s="360">
        <f t="shared" si="93"/>
        <v>12.653766886164334</v>
      </c>
      <c r="AL156" s="337">
        <f t="shared" si="94"/>
        <v>20.411448236509798</v>
      </c>
      <c r="AM156" s="730">
        <f t="shared" si="95"/>
        <v>-79.936576712166612</v>
      </c>
      <c r="AN156" s="351"/>
      <c r="AO156" s="337">
        <f t="shared" si="96"/>
        <v>43.267393825525474</v>
      </c>
      <c r="AP156" s="730">
        <f t="shared" si="97"/>
        <v>-87.409656401669025</v>
      </c>
      <c r="AS156" s="351"/>
      <c r="AT156" s="351"/>
      <c r="AV156" s="405">
        <f t="shared" si="98"/>
        <v>0</v>
      </c>
      <c r="AW156" s="405">
        <f t="shared" si="123"/>
        <v>0</v>
      </c>
      <c r="AX156" s="405">
        <f t="shared" si="99"/>
        <v>0</v>
      </c>
      <c r="AY156" s="405">
        <f t="shared" si="100"/>
        <v>0</v>
      </c>
    </row>
    <row r="157" spans="2:51" ht="13.5" thickBot="1" x14ac:dyDescent="0.25">
      <c r="B157" s="345">
        <v>8861.7749999999996</v>
      </c>
      <c r="C157" s="728" t="str">
        <f t="shared" si="83"/>
        <v>2.16217503399043</v>
      </c>
      <c r="D157" s="728" t="str">
        <f t="shared" si="84"/>
        <v>1+6.77442122785632i</v>
      </c>
      <c r="E157" s="337">
        <f t="shared" si="102"/>
        <v>6.8478305303526854</v>
      </c>
      <c r="F157" s="338">
        <f t="shared" si="103"/>
        <v>1.4242406038506774</v>
      </c>
      <c r="G157" s="338" t="str">
        <f t="shared" si="85"/>
        <v>1+0.0278400872377657i</v>
      </c>
      <c r="H157" s="337">
        <f t="shared" si="104"/>
        <v>1.000387460166013</v>
      </c>
      <c r="I157" s="338">
        <f t="shared" si="105"/>
        <v>2.7832897904430387E-2</v>
      </c>
      <c r="J157" s="340">
        <f t="shared" si="86"/>
        <v>1</v>
      </c>
      <c r="K157" s="338">
        <f t="shared" si="106"/>
        <v>1</v>
      </c>
      <c r="L157" s="339">
        <f t="shared" si="107"/>
        <v>0</v>
      </c>
      <c r="M157" s="731" t="str">
        <f t="shared" si="87"/>
        <v>0.99650973083775+0.130884329423434i</v>
      </c>
      <c r="N157" s="338">
        <f t="shared" si="108"/>
        <v>1.0050683316784719</v>
      </c>
      <c r="O157" s="339">
        <f t="shared" si="109"/>
        <v>0.13059521227345797</v>
      </c>
      <c r="P157" s="732" t="str">
        <f t="shared" si="101"/>
        <v>0.0137587954805106-0.31397415676154i</v>
      </c>
      <c r="Q157" s="337">
        <f t="shared" si="110"/>
        <v>0.31427547719666998</v>
      </c>
      <c r="R157" s="339">
        <f t="shared" si="111"/>
        <v>-1.5270029182197047</v>
      </c>
      <c r="S157" s="731" t="str">
        <f t="shared" si="88"/>
        <v>6000</v>
      </c>
      <c r="T157" s="337" t="str">
        <f t="shared" si="89"/>
        <v>1+56236.9762202867i</v>
      </c>
      <c r="U157" s="346">
        <f t="shared" si="112"/>
        <v>56236.97622917765</v>
      </c>
      <c r="V157" s="347">
        <f t="shared" si="113"/>
        <v>1.57077854490001</v>
      </c>
      <c r="W157" s="340" t="str">
        <f t="shared" si="90"/>
        <v>1+556.801744755314i</v>
      </c>
      <c r="X157" s="337">
        <f t="shared" si="114"/>
        <v>556.80264274028173</v>
      </c>
      <c r="Y157" s="339">
        <f t="shared" si="115"/>
        <v>1.5690003573421241</v>
      </c>
      <c r="Z157" s="337" t="str">
        <f t="shared" si="91"/>
        <v>1+5.60891794755314i</v>
      </c>
      <c r="AA157" s="346">
        <f t="shared" si="116"/>
        <v>5.6973643505031095</v>
      </c>
      <c r="AB157" s="347">
        <f t="shared" si="117"/>
        <v>1.3943626315918272</v>
      </c>
      <c r="AC157" s="732" t="str">
        <f t="shared" si="118"/>
        <v>1.811876642336-10.2683024370573i</v>
      </c>
      <c r="AD157" s="337">
        <f t="shared" si="119"/>
        <v>10.42693300572703</v>
      </c>
      <c r="AE157" s="339">
        <f t="shared" si="120"/>
        <v>-1.3961408191497129</v>
      </c>
      <c r="AF157" s="736" t="str">
        <f t="shared" si="92"/>
        <v>-3.19905235888972-0.710161914096876i</v>
      </c>
      <c r="AG157" s="337">
        <f t="shared" si="121"/>
        <v>10.309341553057344</v>
      </c>
      <c r="AH157" s="730">
        <f t="shared" si="122"/>
        <v>-167.48379906136557</v>
      </c>
      <c r="AI157" s="360">
        <f t="shared" si="93"/>
        <v>12.516200938634427</v>
      </c>
      <c r="AL157" s="337">
        <f t="shared" si="94"/>
        <v>20.36313166313327</v>
      </c>
      <c r="AM157" s="730">
        <f t="shared" si="95"/>
        <v>-79.992976543216088</v>
      </c>
      <c r="AN157" s="351"/>
      <c r="AO157" s="337">
        <f t="shared" si="96"/>
        <v>43.218141088663515</v>
      </c>
      <c r="AP157" s="730">
        <f t="shared" si="97"/>
        <v>-87.490822518149486</v>
      </c>
      <c r="AS157" s="351"/>
      <c r="AT157" s="351"/>
      <c r="AV157" s="405">
        <f t="shared" si="98"/>
        <v>0</v>
      </c>
      <c r="AW157" s="405">
        <f t="shared" si="123"/>
        <v>0</v>
      </c>
      <c r="AX157" s="405">
        <f t="shared" si="99"/>
        <v>0</v>
      </c>
      <c r="AY157" s="405">
        <f t="shared" si="100"/>
        <v>0</v>
      </c>
    </row>
    <row r="158" spans="2:51" ht="13.5" thickBot="1" x14ac:dyDescent="0.25">
      <c r="B158" s="345">
        <v>8912.5</v>
      </c>
      <c r="C158" s="728" t="str">
        <f t="shared" si="83"/>
        <v>2.16217503399043</v>
      </c>
      <c r="D158" s="728" t="str">
        <f t="shared" si="84"/>
        <v>1+6.81319816777897i</v>
      </c>
      <c r="E158" s="337">
        <f t="shared" si="102"/>
        <v>6.8861941065748873</v>
      </c>
      <c r="F158" s="338">
        <f t="shared" si="103"/>
        <v>1.4250629247319737</v>
      </c>
      <c r="G158" s="338" t="str">
        <f t="shared" si="85"/>
        <v>1+0.027999444525119i</v>
      </c>
      <c r="H158" s="337">
        <f t="shared" si="104"/>
        <v>1.0003919076510541</v>
      </c>
      <c r="I158" s="338">
        <f t="shared" si="105"/>
        <v>2.7992131067075401E-2</v>
      </c>
      <c r="J158" s="340">
        <f t="shared" si="86"/>
        <v>1</v>
      </c>
      <c r="K158" s="338">
        <f t="shared" si="106"/>
        <v>1</v>
      </c>
      <c r="L158" s="339">
        <f t="shared" si="107"/>
        <v>0</v>
      </c>
      <c r="M158" s="731" t="str">
        <f t="shared" si="87"/>
        <v>0.996469659722222+0.131633514277484i</v>
      </c>
      <c r="N158" s="338">
        <f t="shared" si="108"/>
        <v>1.0051264422091191</v>
      </c>
      <c r="O158" s="339">
        <f t="shared" si="109"/>
        <v>0.13133942064868662</v>
      </c>
      <c r="P158" s="732" t="str">
        <f t="shared" si="101"/>
        <v>0.0132420309091971-0.312227261494124i</v>
      </c>
      <c r="Q158" s="337">
        <f t="shared" si="110"/>
        <v>0.31250794262341591</v>
      </c>
      <c r="R158" s="339">
        <f t="shared" si="111"/>
        <v>-1.5284102143135849</v>
      </c>
      <c r="S158" s="731" t="str">
        <f t="shared" si="88"/>
        <v>6000</v>
      </c>
      <c r="T158" s="337" t="str">
        <f t="shared" si="89"/>
        <v>1+56558.8779407405i</v>
      </c>
      <c r="U158" s="346">
        <f t="shared" si="112"/>
        <v>56558.877949580849</v>
      </c>
      <c r="V158" s="347">
        <f t="shared" si="113"/>
        <v>1.5707786461046795</v>
      </c>
      <c r="W158" s="340" t="str">
        <f t="shared" si="90"/>
        <v>1+559.988890502381i</v>
      </c>
      <c r="X158" s="337">
        <f t="shared" si="114"/>
        <v>559.98978337652522</v>
      </c>
      <c r="Y158" s="339">
        <f t="shared" si="115"/>
        <v>1.5690105789809756</v>
      </c>
      <c r="Z158" s="337" t="str">
        <f t="shared" si="91"/>
        <v>1+5.64102352040843i</v>
      </c>
      <c r="AA158" s="346">
        <f t="shared" si="116"/>
        <v>5.7289742849659495</v>
      </c>
      <c r="AB158" s="347">
        <f t="shared" si="117"/>
        <v>1.3953462567467962</v>
      </c>
      <c r="AC158" s="732" t="str">
        <f t="shared" si="118"/>
        <v>1.79193754098083-10.2133956190236i</v>
      </c>
      <c r="AD158" s="337">
        <f t="shared" si="119"/>
        <v>10.369401632759091</v>
      </c>
      <c r="AE158" s="339">
        <f t="shared" si="120"/>
        <v>-1.3971143238705002</v>
      </c>
      <c r="AF158" s="736" t="str">
        <f t="shared" si="92"/>
        <v>-3.1651716523788-0.694737851663928i</v>
      </c>
      <c r="AG158" s="337">
        <f t="shared" si="121"/>
        <v>10.212295117007571</v>
      </c>
      <c r="AH158" s="730">
        <f t="shared" si="122"/>
        <v>-167.62020889990731</v>
      </c>
      <c r="AI158" s="360">
        <f t="shared" si="93"/>
        <v>12.379791100092689</v>
      </c>
      <c r="AL158" s="337">
        <f t="shared" si="94"/>
        <v>20.315073922209798</v>
      </c>
      <c r="AM158" s="730">
        <f t="shared" si="95"/>
        <v>-80.048754255053268</v>
      </c>
      <c r="AN158" s="351"/>
      <c r="AO158" s="337">
        <f t="shared" si="96"/>
        <v>43.169152393537217</v>
      </c>
      <c r="AP158" s="730">
        <f t="shared" si="97"/>
        <v>-87.571454644854057</v>
      </c>
      <c r="AS158" s="351"/>
      <c r="AT158" s="351"/>
      <c r="AV158" s="405">
        <f t="shared" si="98"/>
        <v>0</v>
      </c>
      <c r="AW158" s="405">
        <f t="shared" si="123"/>
        <v>0</v>
      </c>
      <c r="AX158" s="405">
        <f t="shared" si="99"/>
        <v>0</v>
      </c>
      <c r="AY158" s="405">
        <f t="shared" si="100"/>
        <v>0</v>
      </c>
    </row>
    <row r="159" spans="2:51" ht="13.5" thickBot="1" x14ac:dyDescent="0.25">
      <c r="B159" s="345">
        <v>8964.4</v>
      </c>
      <c r="C159" s="728" t="str">
        <f t="shared" si="83"/>
        <v>2.16217503399043</v>
      </c>
      <c r="D159" s="728" t="str">
        <f t="shared" si="84"/>
        <v>1+6.85287334140115i</v>
      </c>
      <c r="E159" s="337">
        <f t="shared" si="102"/>
        <v>6.9254511068439841</v>
      </c>
      <c r="F159" s="338">
        <f t="shared" si="103"/>
        <v>1.4258948638743918</v>
      </c>
      <c r="G159" s="338" t="str">
        <f t="shared" si="85"/>
        <v>1+0.0281624931838403i</v>
      </c>
      <c r="H159" s="337">
        <f t="shared" si="104"/>
        <v>1.0003964844112208</v>
      </c>
      <c r="I159" s="338">
        <f t="shared" si="105"/>
        <v>2.8155051256218699E-2</v>
      </c>
      <c r="J159" s="340">
        <f t="shared" si="86"/>
        <v>1</v>
      </c>
      <c r="K159" s="338">
        <f t="shared" si="106"/>
        <v>1</v>
      </c>
      <c r="L159" s="339">
        <f t="shared" si="107"/>
        <v>0</v>
      </c>
      <c r="M159" s="731" t="str">
        <f t="shared" si="87"/>
        <v>0.996428423672889+0.132400053339588i</v>
      </c>
      <c r="N159" s="338">
        <f t="shared" si="108"/>
        <v>1.0051862402697145</v>
      </c>
      <c r="O159" s="339">
        <f t="shared" si="109"/>
        <v>0.13210080948317066</v>
      </c>
      <c r="P159" s="732" t="str">
        <f t="shared" si="101"/>
        <v>0.0127221756300145-0.310458864410123i</v>
      </c>
      <c r="Q159" s="337">
        <f t="shared" si="110"/>
        <v>0.31071942366640692</v>
      </c>
      <c r="R159" s="339">
        <f t="shared" si="111"/>
        <v>-1.5298406221013439</v>
      </c>
      <c r="S159" s="731" t="str">
        <f t="shared" si="88"/>
        <v>6000</v>
      </c>
      <c r="T159" s="337" t="str">
        <f t="shared" si="89"/>
        <v>1+56888.2362313575i</v>
      </c>
      <c r="U159" s="346">
        <f t="shared" si="112"/>
        <v>56888.236240146653</v>
      </c>
      <c r="V159" s="347">
        <f t="shared" si="113"/>
        <v>1.5707787484682312</v>
      </c>
      <c r="W159" s="340" t="str">
        <f t="shared" si="90"/>
        <v>1+563.249863676807i</v>
      </c>
      <c r="X159" s="337">
        <f t="shared" si="114"/>
        <v>563.25075138160412</v>
      </c>
      <c r="Y159" s="339">
        <f t="shared" si="115"/>
        <v>1.5690209176669132</v>
      </c>
      <c r="Z159" s="337" t="str">
        <f t="shared" si="91"/>
        <v>1+5.67387279061423i</v>
      </c>
      <c r="AA159" s="346">
        <f t="shared" si="116"/>
        <v>5.7613221090364766</v>
      </c>
      <c r="AB159" s="347">
        <f t="shared" si="117"/>
        <v>1.3963414943290196</v>
      </c>
      <c r="AC159" s="732" t="str">
        <f t="shared" si="118"/>
        <v>1.77187181522467-10.1578009838012i</v>
      </c>
      <c r="AD159" s="337">
        <f t="shared" si="119"/>
        <v>10.311180851682323</v>
      </c>
      <c r="AE159" s="339">
        <f t="shared" si="120"/>
        <v>-1.3980993251303384</v>
      </c>
      <c r="AF159" s="736" t="str">
        <f t="shared" si="92"/>
        <v>-3.13103729390779-0.679322639765607i</v>
      </c>
      <c r="AG159" s="337">
        <f t="shared" si="121"/>
        <v>10.11353613723352</v>
      </c>
      <c r="AH159" s="730">
        <f t="shared" si="122"/>
        <v>-167.75860164413237</v>
      </c>
      <c r="AI159" s="360">
        <f t="shared" si="93"/>
        <v>12.241398355867631</v>
      </c>
      <c r="AL159" s="337">
        <f t="shared" si="94"/>
        <v>20.26616808356172</v>
      </c>
      <c r="AM159" s="730">
        <f t="shared" si="95"/>
        <v>-80.10519067005707</v>
      </c>
      <c r="AN159" s="351"/>
      <c r="AO159" s="337">
        <f t="shared" si="96"/>
        <v>43.119299252411253</v>
      </c>
      <c r="AP159" s="730">
        <f t="shared" si="97"/>
        <v>-87.6534109740753</v>
      </c>
      <c r="AS159" s="351"/>
      <c r="AT159" s="351"/>
      <c r="AV159" s="405">
        <f t="shared" si="98"/>
        <v>0</v>
      </c>
      <c r="AW159" s="405">
        <f t="shared" si="123"/>
        <v>0</v>
      </c>
      <c r="AX159" s="405">
        <f t="shared" si="99"/>
        <v>0</v>
      </c>
      <c r="AY159" s="405">
        <f t="shared" si="100"/>
        <v>0</v>
      </c>
    </row>
    <row r="160" spans="2:51" ht="13.5" thickBot="1" x14ac:dyDescent="0.25">
      <c r="B160" s="345">
        <v>9016.2999999999993</v>
      </c>
      <c r="C160" s="728" t="str">
        <f t="shared" si="83"/>
        <v>2.16217503399043</v>
      </c>
      <c r="D160" s="728" t="str">
        <f t="shared" si="84"/>
        <v>1+6.89254851502334i</v>
      </c>
      <c r="E160" s="337">
        <f t="shared" si="102"/>
        <v>6.964712846338351</v>
      </c>
      <c r="F160" s="338">
        <f t="shared" si="103"/>
        <v>1.426717423903948</v>
      </c>
      <c r="G160" s="338" t="str">
        <f t="shared" si="85"/>
        <v>1+0.0283255418425617i</v>
      </c>
      <c r="H160" s="337">
        <f t="shared" si="104"/>
        <v>1.0004010877246559</v>
      </c>
      <c r="I160" s="338">
        <f t="shared" si="105"/>
        <v>2.831796995034239E-2</v>
      </c>
      <c r="J160" s="340">
        <f t="shared" si="86"/>
        <v>1</v>
      </c>
      <c r="K160" s="338">
        <f t="shared" si="106"/>
        <v>1</v>
      </c>
      <c r="L160" s="339">
        <f t="shared" si="107"/>
        <v>0</v>
      </c>
      <c r="M160" s="731" t="str">
        <f t="shared" si="87"/>
        <v>0.996386948191556+0.133166592401692i</v>
      </c>
      <c r="N160" s="338">
        <f t="shared" si="108"/>
        <v>1.0052463836584349</v>
      </c>
      <c r="O160" s="339">
        <f t="shared" si="109"/>
        <v>0.13286213884483294</v>
      </c>
      <c r="P160" s="732" t="str">
        <f t="shared" si="101"/>
        <v>0.0122111045814555-0.308709347927272i</v>
      </c>
      <c r="Q160" s="337">
        <f t="shared" si="110"/>
        <v>0.30895076075773098</v>
      </c>
      <c r="R160" s="339">
        <f t="shared" si="111"/>
        <v>-1.5312615927984385</v>
      </c>
      <c r="S160" s="731" t="str">
        <f t="shared" si="88"/>
        <v>6000</v>
      </c>
      <c r="T160" s="337" t="str">
        <f t="shared" si="89"/>
        <v>1+57217.5945219745i</v>
      </c>
      <c r="U160" s="346">
        <f t="shared" si="112"/>
        <v>57217.594530713075</v>
      </c>
      <c r="V160" s="347">
        <f t="shared" si="113"/>
        <v>1.5707788496533241</v>
      </c>
      <c r="W160" s="340" t="str">
        <f t="shared" si="90"/>
        <v>1+566.510836851233i</v>
      </c>
      <c r="X160" s="337">
        <f t="shared" si="114"/>
        <v>566.51171944619489</v>
      </c>
      <c r="Y160" s="339">
        <f t="shared" si="115"/>
        <v>1.5690311373292782</v>
      </c>
      <c r="Z160" s="337" t="str">
        <f t="shared" si="91"/>
        <v>1+5.70672206082002i</v>
      </c>
      <c r="AA160" s="346">
        <f t="shared" si="116"/>
        <v>5.7936755759577956</v>
      </c>
      <c r="AB160" s="347">
        <f t="shared" si="117"/>
        <v>1.3973256175199595</v>
      </c>
      <c r="AC160" s="732" t="str">
        <f t="shared" si="118"/>
        <v>1.75213783645313-10.1027882482644i</v>
      </c>
      <c r="AD160" s="337">
        <f t="shared" si="119"/>
        <v>10.253600215885147</v>
      </c>
      <c r="AE160" s="339">
        <f t="shared" si="120"/>
        <v>-1.3990733298440063</v>
      </c>
      <c r="AF160" s="736" t="str">
        <f t="shared" si="92"/>
        <v>-3.09742963400695-0.664267532834003i</v>
      </c>
      <c r="AG160" s="337">
        <f t="shared" si="121"/>
        <v>10.015312988134795</v>
      </c>
      <c r="AH160" s="730">
        <f t="shared" si="122"/>
        <v>-167.89582362720665</v>
      </c>
      <c r="AI160" s="360">
        <f t="shared" si="93"/>
        <v>12.104176372793347</v>
      </c>
      <c r="AL160" s="337">
        <f t="shared" si="94"/>
        <v>20.217527609035614</v>
      </c>
      <c r="AM160" s="730">
        <f t="shared" si="95"/>
        <v>-80.160997029376091</v>
      </c>
      <c r="AN160" s="351"/>
      <c r="AO160" s="337">
        <f t="shared" si="96"/>
        <v>43.069716577838648</v>
      </c>
      <c r="AP160" s="730">
        <f t="shared" si="97"/>
        <v>-87.73482659783059</v>
      </c>
      <c r="AS160" s="351"/>
      <c r="AT160" s="351"/>
      <c r="AV160" s="405">
        <f t="shared" si="98"/>
        <v>0</v>
      </c>
      <c r="AW160" s="405">
        <f t="shared" si="123"/>
        <v>0</v>
      </c>
      <c r="AX160" s="405">
        <f t="shared" si="99"/>
        <v>0</v>
      </c>
      <c r="AY160" s="405">
        <f t="shared" si="100"/>
        <v>0</v>
      </c>
    </row>
    <row r="161" spans="2:51" ht="13.5" thickBot="1" x14ac:dyDescent="0.25">
      <c r="B161" s="345">
        <v>9068.2000000000007</v>
      </c>
      <c r="C161" s="728" t="str">
        <f t="shared" si="83"/>
        <v>2.16217503399043</v>
      </c>
      <c r="D161" s="728" t="str">
        <f t="shared" si="84"/>
        <v>1+6.93222368864552i</v>
      </c>
      <c r="E161" s="337">
        <f t="shared" si="102"/>
        <v>7.0039792453588907</v>
      </c>
      <c r="F161" s="338">
        <f t="shared" si="103"/>
        <v>1.4275307614444019</v>
      </c>
      <c r="G161" s="338" t="str">
        <f t="shared" si="85"/>
        <v>1+0.028488590501283i</v>
      </c>
      <c r="H161" s="337">
        <f t="shared" si="104"/>
        <v>1.0004057175909931</v>
      </c>
      <c r="I161" s="338">
        <f t="shared" si="105"/>
        <v>2.848088714081843E-2</v>
      </c>
      <c r="J161" s="340">
        <f t="shared" si="86"/>
        <v>1</v>
      </c>
      <c r="K161" s="338">
        <f t="shared" si="106"/>
        <v>1</v>
      </c>
      <c r="L161" s="339">
        <f t="shared" si="107"/>
        <v>0</v>
      </c>
      <c r="M161" s="731" t="str">
        <f t="shared" si="87"/>
        <v>0.996345233278222+0.133933131463796i</v>
      </c>
      <c r="N161" s="338">
        <f t="shared" si="108"/>
        <v>1.0053068723429344</v>
      </c>
      <c r="O161" s="339">
        <f t="shared" si="109"/>
        <v>0.1336234084010664</v>
      </c>
      <c r="P161" s="732" t="str">
        <f t="shared" si="101"/>
        <v>0.0117086245402011-0.30697841587113i</v>
      </c>
      <c r="Q161" s="337">
        <f t="shared" si="110"/>
        <v>0.30720162711055399</v>
      </c>
      <c r="R161" s="339">
        <f t="shared" si="111"/>
        <v>-1.5326732827046496</v>
      </c>
      <c r="S161" s="731" t="str">
        <f t="shared" si="88"/>
        <v>6000</v>
      </c>
      <c r="T161" s="337" t="str">
        <f t="shared" si="89"/>
        <v>1+57546.9528125916i</v>
      </c>
      <c r="U161" s="346">
        <f t="shared" si="112"/>
        <v>57546.952821280145</v>
      </c>
      <c r="V161" s="347">
        <f t="shared" si="113"/>
        <v>1.5707789496801925</v>
      </c>
      <c r="W161" s="340" t="str">
        <f t="shared" si="90"/>
        <v>1+569.771810025659i</v>
      </c>
      <c r="X161" s="337">
        <f t="shared" si="114"/>
        <v>569.77268756927583</v>
      </c>
      <c r="Y161" s="339">
        <f t="shared" si="115"/>
        <v>1.5690412400116838</v>
      </c>
      <c r="Z161" s="337" t="str">
        <f t="shared" si="91"/>
        <v>1+5.73957133102582i</v>
      </c>
      <c r="AA161" s="346">
        <f t="shared" si="116"/>
        <v>5.8260345917213279</v>
      </c>
      <c r="AB161" s="347">
        <f t="shared" si="117"/>
        <v>1.3982988095922857</v>
      </c>
      <c r="AC161" s="732" t="str">
        <f t="shared" si="118"/>
        <v>1.73272840728219-10.0483486752512i</v>
      </c>
      <c r="AD161" s="337">
        <f t="shared" si="119"/>
        <v>10.196649392463449</v>
      </c>
      <c r="AE161" s="339">
        <f t="shared" si="120"/>
        <v>-1.4000365192607933</v>
      </c>
      <c r="AF161" s="736" t="str">
        <f t="shared" si="92"/>
        <v>-3.06433829209837-0.649562563489936i</v>
      </c>
      <c r="AG161" s="337">
        <f t="shared" si="121"/>
        <v>9.9176199631067714</v>
      </c>
      <c r="AH161" s="730">
        <f t="shared" si="122"/>
        <v>-168.03189418926735</v>
      </c>
      <c r="AI161" s="360">
        <f t="shared" si="93"/>
        <v>11.968105810732652</v>
      </c>
      <c r="AL161" s="337">
        <f t="shared" si="94"/>
        <v>20.169149730496482</v>
      </c>
      <c r="AM161" s="730">
        <f t="shared" si="95"/>
        <v>-80.216183717829651</v>
      </c>
      <c r="AN161" s="351"/>
      <c r="AO161" s="337">
        <f t="shared" si="96"/>
        <v>43.020401431349704</v>
      </c>
      <c r="AP161" s="730">
        <f t="shared" si="97"/>
        <v>-87.815710471437697</v>
      </c>
      <c r="AS161" s="351"/>
      <c r="AT161" s="351"/>
      <c r="AV161" s="405">
        <f t="shared" si="98"/>
        <v>0</v>
      </c>
      <c r="AW161" s="405">
        <f t="shared" si="123"/>
        <v>0</v>
      </c>
      <c r="AX161" s="405">
        <f t="shared" si="99"/>
        <v>0</v>
      </c>
      <c r="AY161" s="405">
        <f t="shared" si="100"/>
        <v>0</v>
      </c>
    </row>
    <row r="162" spans="2:51" ht="13.5" thickBot="1" x14ac:dyDescent="0.25">
      <c r="B162" s="345">
        <v>9120.1</v>
      </c>
      <c r="C162" s="728" t="str">
        <f t="shared" si="83"/>
        <v>2.16217503399043</v>
      </c>
      <c r="D162" s="728" t="str">
        <f t="shared" si="84"/>
        <v>1+6.9718988622677i</v>
      </c>
      <c r="E162" s="337">
        <f t="shared" si="102"/>
        <v>7.0432502259744867</v>
      </c>
      <c r="F162" s="338">
        <f t="shared" si="103"/>
        <v>1.4283350296758026</v>
      </c>
      <c r="G162" s="338" t="str">
        <f t="shared" si="85"/>
        <v>1+0.0286516391600043i</v>
      </c>
      <c r="H162" s="337">
        <f t="shared" si="104"/>
        <v>1.0004103740098635</v>
      </c>
      <c r="I162" s="338">
        <f t="shared" si="105"/>
        <v>2.8643802819019563E-2</v>
      </c>
      <c r="J162" s="340">
        <f t="shared" si="86"/>
        <v>1</v>
      </c>
      <c r="K162" s="338">
        <f t="shared" si="106"/>
        <v>1</v>
      </c>
      <c r="L162" s="339">
        <f t="shared" si="107"/>
        <v>0</v>
      </c>
      <c r="M162" s="731" t="str">
        <f t="shared" si="87"/>
        <v>0.996303278932889+0.1346996705259i</v>
      </c>
      <c r="N162" s="338">
        <f t="shared" si="108"/>
        <v>1.0053677062906943</v>
      </c>
      <c r="O162" s="339">
        <f t="shared" si="109"/>
        <v>0.1343846178194627</v>
      </c>
      <c r="P162" s="732" t="str">
        <f t="shared" si="101"/>
        <v>0.0112145475398485-0.305265778055712i</v>
      </c>
      <c r="Q162" s="337">
        <f t="shared" si="110"/>
        <v>0.30547170299142723</v>
      </c>
      <c r="R162" s="339">
        <f t="shared" si="111"/>
        <v>-1.5340758446762457</v>
      </c>
      <c r="S162" s="731" t="str">
        <f t="shared" si="88"/>
        <v>6000</v>
      </c>
      <c r="T162" s="337" t="str">
        <f t="shared" si="89"/>
        <v>1+57876.3111032086i</v>
      </c>
      <c r="U162" s="346">
        <f t="shared" si="112"/>
        <v>57876.311111847717</v>
      </c>
      <c r="V162" s="347">
        <f t="shared" si="113"/>
        <v>1.5707790485686095</v>
      </c>
      <c r="W162" s="340" t="str">
        <f t="shared" si="90"/>
        <v>1+573.032783200085i</v>
      </c>
      <c r="X162" s="337">
        <f t="shared" si="114"/>
        <v>573.03365574984832</v>
      </c>
      <c r="Y162" s="339">
        <f t="shared" si="115"/>
        <v>1.5690512277112252</v>
      </c>
      <c r="Z162" s="337" t="str">
        <f t="shared" si="91"/>
        <v>1+5.77242060123162i</v>
      </c>
      <c r="AA162" s="346">
        <f t="shared" si="116"/>
        <v>5.8583990643795527</v>
      </c>
      <c r="AB162" s="347">
        <f t="shared" si="117"/>
        <v>1.3992612498526082</v>
      </c>
      <c r="AC162" s="732" t="str">
        <f t="shared" si="118"/>
        <v>1.71363652237761-9.99447369321288i</v>
      </c>
      <c r="AD162" s="337">
        <f t="shared" si="119"/>
        <v>10.140318265969306</v>
      </c>
      <c r="AE162" s="339">
        <f t="shared" si="120"/>
        <v>-1.4009890707099928</v>
      </c>
      <c r="AF162" s="736" t="str">
        <f t="shared" si="92"/>
        <v>-3.03175312996975-0.635198086676587i</v>
      </c>
      <c r="AG162" s="337">
        <f t="shared" si="121"/>
        <v>9.8204514429794472</v>
      </c>
      <c r="AH162" s="730">
        <f t="shared" si="122"/>
        <v>-168.16683224855353</v>
      </c>
      <c r="AI162" s="360">
        <f t="shared" si="93"/>
        <v>11.833167751446467</v>
      </c>
      <c r="AL162" s="337">
        <f t="shared" si="94"/>
        <v>20.121031721218742</v>
      </c>
      <c r="AM162" s="730">
        <f t="shared" si="95"/>
        <v>-80.270760895637849</v>
      </c>
      <c r="AN162" s="351"/>
      <c r="AO162" s="337">
        <f t="shared" si="96"/>
        <v>42.971350920500129</v>
      </c>
      <c r="AP162" s="730">
        <f t="shared" si="97"/>
        <v>-87.896071352915698</v>
      </c>
      <c r="AS162" s="351"/>
      <c r="AT162" s="351"/>
      <c r="AV162" s="405">
        <f t="shared" si="98"/>
        <v>0</v>
      </c>
      <c r="AW162" s="405">
        <f t="shared" si="123"/>
        <v>0</v>
      </c>
      <c r="AX162" s="405">
        <f t="shared" si="99"/>
        <v>0</v>
      </c>
      <c r="AY162" s="405">
        <f t="shared" si="100"/>
        <v>0</v>
      </c>
    </row>
    <row r="163" spans="2:51" ht="13.5" thickBot="1" x14ac:dyDescent="0.25">
      <c r="B163" s="345">
        <v>9173.2000000000007</v>
      </c>
      <c r="C163" s="728" t="str">
        <f t="shared" si="83"/>
        <v>2.16217503399043</v>
      </c>
      <c r="D163" s="728" t="str">
        <f t="shared" si="84"/>
        <v>1+7.01249138094474i</v>
      </c>
      <c r="E163" s="337">
        <f t="shared" si="102"/>
        <v>7.0834338683878642</v>
      </c>
      <c r="F163" s="338">
        <f t="shared" si="103"/>
        <v>1.4291486636702915</v>
      </c>
      <c r="G163" s="338" t="str">
        <f t="shared" si="85"/>
        <v>1+0.0288184577299099i</v>
      </c>
      <c r="H163" s="337">
        <f t="shared" si="104"/>
        <v>1.0004151655717393</v>
      </c>
      <c r="I163" s="338">
        <f t="shared" si="105"/>
        <v>2.8810483759585705E-2</v>
      </c>
      <c r="J163" s="340">
        <f t="shared" si="86"/>
        <v>1</v>
      </c>
      <c r="K163" s="338">
        <f t="shared" si="106"/>
        <v>1</v>
      </c>
      <c r="L163" s="339">
        <f t="shared" si="107"/>
        <v>0</v>
      </c>
      <c r="M163" s="731" t="str">
        <f t="shared" si="87"/>
        <v>0.996260106744889+0.135483933034527i</v>
      </c>
      <c r="N163" s="338">
        <f t="shared" si="108"/>
        <v>1.0054303040996135</v>
      </c>
      <c r="O163" s="339">
        <f t="shared" si="109"/>
        <v>0.13516336486954178</v>
      </c>
      <c r="P163" s="732" t="str">
        <f t="shared" si="101"/>
        <v>0.0107175528164947-0.303532178777272i</v>
      </c>
      <c r="Q163" s="337">
        <f t="shared" si="110"/>
        <v>0.30372133525923423</v>
      </c>
      <c r="R163" s="339">
        <f t="shared" si="111"/>
        <v>-1.5355015447802476</v>
      </c>
      <c r="S163" s="731" t="str">
        <f t="shared" si="88"/>
        <v>6000</v>
      </c>
      <c r="T163" s="337" t="str">
        <f t="shared" si="89"/>
        <v>1+58213.284614418i</v>
      </c>
      <c r="U163" s="346">
        <f t="shared" si="112"/>
        <v>58213.284623007108</v>
      </c>
      <c r="V163" s="347">
        <f t="shared" si="113"/>
        <v>1.5707791485853775</v>
      </c>
      <c r="W163" s="340" t="str">
        <f t="shared" si="90"/>
        <v>1+576.369154598198i</v>
      </c>
      <c r="X163" s="337">
        <f t="shared" si="114"/>
        <v>576.37002209712591</v>
      </c>
      <c r="Y163" s="339">
        <f t="shared" si="115"/>
        <v>1.5690613293742044</v>
      </c>
      <c r="Z163" s="337" t="str">
        <f t="shared" si="91"/>
        <v>1+5.80602939213583i</v>
      </c>
      <c r="AA163" s="346">
        <f t="shared" si="116"/>
        <v>5.891517402362922</v>
      </c>
      <c r="AB163" s="347">
        <f t="shared" si="117"/>
        <v>1.4002349984402791</v>
      </c>
      <c r="AC163" s="732" t="str">
        <f t="shared" si="118"/>
        <v>1.69442473788455-9.93992860032012i</v>
      </c>
      <c r="AD163" s="337">
        <f t="shared" si="119"/>
        <v>10.083315713187654</v>
      </c>
      <c r="AE163" s="339">
        <f t="shared" si="120"/>
        <v>-1.4019528176514529</v>
      </c>
      <c r="AF163" s="736" t="str">
        <f t="shared" si="92"/>
        <v>-2.99892809832383-0.620844142230323i</v>
      </c>
      <c r="AG163" s="337">
        <f t="shared" si="121"/>
        <v>9.7215733174231644</v>
      </c>
      <c r="AH163" s="730">
        <f t="shared" si="122"/>
        <v>-168.3037374796285</v>
      </c>
      <c r="AI163" s="360">
        <f t="shared" si="93"/>
        <v>11.696262520371505</v>
      </c>
      <c r="AL163" s="337">
        <f t="shared" si="94"/>
        <v>20.072067307183993</v>
      </c>
      <c r="AM163" s="730">
        <f t="shared" si="95"/>
        <v>-80.325979527902149</v>
      </c>
      <c r="AN163" s="351"/>
      <c r="AO163" s="337">
        <f t="shared" si="96"/>
        <v>42.92143720897861</v>
      </c>
      <c r="AP163" s="730">
        <f t="shared" si="97"/>
        <v>-87.977757951726375</v>
      </c>
      <c r="AS163" s="351"/>
      <c r="AT163" s="351"/>
      <c r="AV163" s="405">
        <f t="shared" si="98"/>
        <v>0</v>
      </c>
      <c r="AW163" s="405">
        <f t="shared" si="123"/>
        <v>0</v>
      </c>
      <c r="AX163" s="405">
        <f t="shared" si="99"/>
        <v>0</v>
      </c>
      <c r="AY163" s="405">
        <f t="shared" si="100"/>
        <v>0</v>
      </c>
    </row>
    <row r="164" spans="2:51" ht="13.5" thickBot="1" x14ac:dyDescent="0.25">
      <c r="B164" s="345">
        <v>9226.2999999999993</v>
      </c>
      <c r="C164" s="728" t="str">
        <f t="shared" si="83"/>
        <v>2.16217503399043</v>
      </c>
      <c r="D164" s="728" t="str">
        <f t="shared" si="84"/>
        <v>1+7.05308389962177i</v>
      </c>
      <c r="E164" s="337">
        <f t="shared" si="102"/>
        <v>7.1236221471316004</v>
      </c>
      <c r="F164" s="338">
        <f t="shared" si="103"/>
        <v>1.4299531178767324</v>
      </c>
      <c r="G164" s="338" t="str">
        <f t="shared" si="85"/>
        <v>1+0.0289852762998155i</v>
      </c>
      <c r="H164" s="337">
        <f t="shared" si="104"/>
        <v>1.0004199849274187</v>
      </c>
      <c r="I164" s="338">
        <f t="shared" si="105"/>
        <v>2.8977163098867574E-2</v>
      </c>
      <c r="J164" s="340">
        <f t="shared" si="86"/>
        <v>1</v>
      </c>
      <c r="K164" s="338">
        <f t="shared" si="106"/>
        <v>1</v>
      </c>
      <c r="L164" s="339">
        <f t="shared" si="107"/>
        <v>0</v>
      </c>
      <c r="M164" s="731" t="str">
        <f t="shared" si="87"/>
        <v>0.996216683924889+0.136268195543153i</v>
      </c>
      <c r="N164" s="338">
        <f t="shared" si="108"/>
        <v>1.0054932632528619</v>
      </c>
      <c r="O164" s="339">
        <f t="shared" si="109"/>
        <v>0.13594204826537629</v>
      </c>
      <c r="P164" s="732" t="str">
        <f t="shared" si="101"/>
        <v>0.010228972265859-0.301817133525749i</v>
      </c>
      <c r="Q164" s="337">
        <f t="shared" si="110"/>
        <v>0.30199042031712781</v>
      </c>
      <c r="R164" s="339">
        <f t="shared" si="111"/>
        <v>-1.5369180030432412</v>
      </c>
      <c r="S164" s="731" t="str">
        <f t="shared" si="88"/>
        <v>6000</v>
      </c>
      <c r="T164" s="337" t="str">
        <f t="shared" si="89"/>
        <v>1+58550.2581256273i</v>
      </c>
      <c r="U164" s="346">
        <f t="shared" si="112"/>
        <v>58550.258134166972</v>
      </c>
      <c r="V164" s="347">
        <f t="shared" si="113"/>
        <v>1.570779247450895</v>
      </c>
      <c r="W164" s="340" t="str">
        <f t="shared" si="90"/>
        <v>1+579.70552599631i</v>
      </c>
      <c r="X164" s="337">
        <f t="shared" si="114"/>
        <v>579.70638850254056</v>
      </c>
      <c r="Y164" s="339">
        <f t="shared" si="115"/>
        <v>1.569071314761602</v>
      </c>
      <c r="Z164" s="337" t="str">
        <f t="shared" si="91"/>
        <v>1+5.83963818304002i</v>
      </c>
      <c r="AA164" s="346">
        <f t="shared" si="116"/>
        <v>5.9246412641457837</v>
      </c>
      <c r="AB164" s="347">
        <f t="shared" si="117"/>
        <v>1.4011978597411692</v>
      </c>
      <c r="AC164" s="732" t="str">
        <f t="shared" si="118"/>
        <v>1.67553110570695-9.88595687125158i</v>
      </c>
      <c r="AD164" s="337">
        <f t="shared" si="119"/>
        <v>10.026941096188702</v>
      </c>
      <c r="AE164" s="339">
        <f t="shared" si="120"/>
        <v>-1.4029057924304627</v>
      </c>
      <c r="AF164" s="736" t="str">
        <f t="shared" si="92"/>
        <v>-2.96661220382947-0.606827174115211i</v>
      </c>
      <c r="AG164" s="337">
        <f t="shared" si="121"/>
        <v>9.6232326046147634</v>
      </c>
      <c r="AH164" s="730">
        <f t="shared" si="122"/>
        <v>-168.43949599277414</v>
      </c>
      <c r="AI164" s="360">
        <f t="shared" si="93"/>
        <v>11.560504007225859</v>
      </c>
      <c r="AL164" s="337">
        <f t="shared" si="94"/>
        <v>20.023369273246384</v>
      </c>
      <c r="AM164" s="730">
        <f t="shared" si="95"/>
        <v>-80.380580960721829</v>
      </c>
      <c r="AN164" s="351"/>
      <c r="AO164" s="337">
        <f t="shared" si="96"/>
        <v>42.871794530107849</v>
      </c>
      <c r="AP164" s="730">
        <f t="shared" si="97"/>
        <v>-88.05891503205234</v>
      </c>
      <c r="AS164" s="351"/>
      <c r="AT164" s="351"/>
      <c r="AV164" s="405">
        <f t="shared" si="98"/>
        <v>0</v>
      </c>
      <c r="AW164" s="405">
        <f t="shared" si="123"/>
        <v>0</v>
      </c>
      <c r="AX164" s="405">
        <f t="shared" si="99"/>
        <v>0</v>
      </c>
      <c r="AY164" s="405">
        <f t="shared" si="100"/>
        <v>0</v>
      </c>
    </row>
    <row r="165" spans="2:51" ht="13.5" thickBot="1" x14ac:dyDescent="0.25">
      <c r="B165" s="345">
        <v>9279.4</v>
      </c>
      <c r="C165" s="728" t="str">
        <f t="shared" si="83"/>
        <v>2.16217503399043</v>
      </c>
      <c r="D165" s="728" t="str">
        <f t="shared" si="84"/>
        <v>1+7.0936764182988i</v>
      </c>
      <c r="E165" s="337">
        <f t="shared" si="102"/>
        <v>7.1638149841776695</v>
      </c>
      <c r="F165" s="338">
        <f t="shared" si="103"/>
        <v>1.4307485457556408</v>
      </c>
      <c r="G165" s="338" t="str">
        <f t="shared" si="85"/>
        <v>1+0.0291520948697211i</v>
      </c>
      <c r="H165" s="337">
        <f t="shared" si="104"/>
        <v>1.0004248320764999</v>
      </c>
      <c r="I165" s="338">
        <f t="shared" si="105"/>
        <v>2.9143840827627006E-2</v>
      </c>
      <c r="J165" s="340">
        <f t="shared" si="86"/>
        <v>1</v>
      </c>
      <c r="K165" s="338">
        <f t="shared" si="106"/>
        <v>1</v>
      </c>
      <c r="L165" s="339">
        <f t="shared" si="107"/>
        <v>0</v>
      </c>
      <c r="M165" s="731" t="str">
        <f t="shared" si="87"/>
        <v>0.996173010472889+0.13705245805178i</v>
      </c>
      <c r="N165" s="338">
        <f t="shared" si="108"/>
        <v>1.0055565837150355</v>
      </c>
      <c r="O165" s="339">
        <f t="shared" si="109"/>
        <v>0.13672066765162014</v>
      </c>
      <c r="P165" s="732" t="str">
        <f t="shared" si="101"/>
        <v>0.00974862058075459-0.300120350045103i</v>
      </c>
      <c r="Q165" s="337">
        <f t="shared" si="110"/>
        <v>0.30027863745931488</v>
      </c>
      <c r="R165" s="339">
        <f t="shared" si="111"/>
        <v>-1.5383253725796338</v>
      </c>
      <c r="S165" s="731" t="str">
        <f t="shared" si="88"/>
        <v>6000</v>
      </c>
      <c r="T165" s="337" t="str">
        <f t="shared" si="89"/>
        <v>1+58887.2316368366i</v>
      </c>
      <c r="U165" s="346">
        <f t="shared" si="112"/>
        <v>58887.231645327403</v>
      </c>
      <c r="V165" s="347">
        <f t="shared" si="113"/>
        <v>1.5707793451849261</v>
      </c>
      <c r="W165" s="340" t="str">
        <f t="shared" si="90"/>
        <v>1+583.041897394422i</v>
      </c>
      <c r="X165" s="337">
        <f t="shared" si="114"/>
        <v>583.04275496509479</v>
      </c>
      <c r="Y165" s="339">
        <f t="shared" si="115"/>
        <v>1.5690811858695202</v>
      </c>
      <c r="Z165" s="337" t="str">
        <f t="shared" si="91"/>
        <v>1+5.87324697394422i</v>
      </c>
      <c r="AA165" s="346">
        <f t="shared" si="116"/>
        <v>5.9577705575949249</v>
      </c>
      <c r="AB165" s="347">
        <f t="shared" si="117"/>
        <v>1.4021500135772444</v>
      </c>
      <c r="AC165" s="732" t="str">
        <f t="shared" si="118"/>
        <v>1.65694870872142-9.83254984076988i</v>
      </c>
      <c r="AD165" s="337">
        <f t="shared" si="119"/>
        <v>9.9711842523622725</v>
      </c>
      <c r="AE165" s="339">
        <f t="shared" si="120"/>
        <v>-1.4038481728926511</v>
      </c>
      <c r="AF165" s="736" t="str">
        <f t="shared" si="92"/>
        <v>-2.93479533576468-0.593137824207279i</v>
      </c>
      <c r="AG165" s="337">
        <f t="shared" si="121"/>
        <v>9.5254235596558505</v>
      </c>
      <c r="AH165" s="730">
        <f t="shared" si="122"/>
        <v>-168.57412675060368</v>
      </c>
      <c r="AI165" s="360">
        <f t="shared" si="93"/>
        <v>11.425873249396318</v>
      </c>
      <c r="AL165" s="337">
        <f t="shared" si="94"/>
        <v>19.97493482866642</v>
      </c>
      <c r="AM165" s="730">
        <f t="shared" si="95"/>
        <v>-80.434575383900807</v>
      </c>
      <c r="AN165" s="351"/>
      <c r="AO165" s="337">
        <f t="shared" si="96"/>
        <v>42.822419929728895</v>
      </c>
      <c r="AP165" s="730">
        <f t="shared" si="97"/>
        <v>-88.139551366702918</v>
      </c>
      <c r="AS165" s="351"/>
      <c r="AT165" s="351"/>
      <c r="AV165" s="405">
        <f t="shared" si="98"/>
        <v>0</v>
      </c>
      <c r="AW165" s="405">
        <f t="shared" si="123"/>
        <v>0</v>
      </c>
      <c r="AX165" s="405">
        <f t="shared" si="99"/>
        <v>0</v>
      </c>
      <c r="AY165" s="405">
        <f t="shared" si="100"/>
        <v>0</v>
      </c>
    </row>
    <row r="166" spans="2:51" ht="13.5" thickBot="1" x14ac:dyDescent="0.25">
      <c r="B166" s="345">
        <v>9332.5</v>
      </c>
      <c r="C166" s="728" t="str">
        <f t="shared" si="83"/>
        <v>2.16217503399043</v>
      </c>
      <c r="D166" s="728" t="str">
        <f t="shared" si="84"/>
        <v>1+7.13426893697584i</v>
      </c>
      <c r="E166" s="337">
        <f t="shared" si="102"/>
        <v>7.2040123032306367</v>
      </c>
      <c r="F166" s="338">
        <f t="shared" si="103"/>
        <v>1.4315350973886571</v>
      </c>
      <c r="G166" s="338" t="str">
        <f t="shared" si="85"/>
        <v>1+0.0293189134396268i</v>
      </c>
      <c r="H166" s="337">
        <f t="shared" si="104"/>
        <v>1.0004297070185793</v>
      </c>
      <c r="I166" s="338">
        <f t="shared" si="105"/>
        <v>2.9310516936626466E-2</v>
      </c>
      <c r="J166" s="340">
        <f t="shared" si="86"/>
        <v>1</v>
      </c>
      <c r="K166" s="338">
        <f t="shared" si="106"/>
        <v>1</v>
      </c>
      <c r="L166" s="339">
        <f t="shared" si="107"/>
        <v>0</v>
      </c>
      <c r="M166" s="731" t="str">
        <f t="shared" si="87"/>
        <v>0.996129086388889+0.137836720560406i</v>
      </c>
      <c r="N166" s="338">
        <f t="shared" si="108"/>
        <v>1.0056202654505377</v>
      </c>
      <c r="O166" s="339">
        <f t="shared" si="109"/>
        <v>0.13749922267314613</v>
      </c>
      <c r="P166" s="732" t="str">
        <f t="shared" si="101"/>
        <v>0.00927631750426161-0.298441542023634i</v>
      </c>
      <c r="Q166" s="337">
        <f t="shared" si="110"/>
        <v>0.29858567291798238</v>
      </c>
      <c r="R166" s="339">
        <f t="shared" si="111"/>
        <v>-1.5397238031251768</v>
      </c>
      <c r="S166" s="731" t="str">
        <f t="shared" si="88"/>
        <v>6000</v>
      </c>
      <c r="T166" s="337" t="str">
        <f t="shared" si="89"/>
        <v>1+59224.205148046i</v>
      </c>
      <c r="U166" s="346">
        <f t="shared" si="112"/>
        <v>59224.20515648849</v>
      </c>
      <c r="V166" s="347">
        <f t="shared" si="113"/>
        <v>1.570779441806784</v>
      </c>
      <c r="W166" s="340" t="str">
        <f t="shared" si="90"/>
        <v>1+586.378268792535i</v>
      </c>
      <c r="X166" s="337">
        <f t="shared" si="114"/>
        <v>586.37912148381474</v>
      </c>
      <c r="Y166" s="339">
        <f t="shared" si="115"/>
        <v>1.5690909446486307</v>
      </c>
      <c r="Z166" s="337" t="str">
        <f t="shared" si="91"/>
        <v>1+5.90685576484843i</v>
      </c>
      <c r="AA166" s="346">
        <f t="shared" si="116"/>
        <v>5.9909051926001249</v>
      </c>
      <c r="AB166" s="347">
        <f t="shared" si="117"/>
        <v>1.4030916358708576</v>
      </c>
      <c r="AC166" s="732" t="str">
        <f t="shared" si="118"/>
        <v>1.63867081486357-9.77969900952174i</v>
      </c>
      <c r="AD166" s="337">
        <f t="shared" si="119"/>
        <v>9.916035233717464</v>
      </c>
      <c r="AE166" s="339">
        <f t="shared" si="120"/>
        <v>-1.4047801330290108</v>
      </c>
      <c r="AF166" s="736" t="str">
        <f t="shared" si="92"/>
        <v>-2.90346762216503-0.579767037965445i</v>
      </c>
      <c r="AG166" s="337">
        <f t="shared" si="121"/>
        <v>9.4281405261348254</v>
      </c>
      <c r="AH166" s="730">
        <f t="shared" si="122"/>
        <v>-168.70764830129337</v>
      </c>
      <c r="AI166" s="360">
        <f t="shared" si="93"/>
        <v>11.292351698706625</v>
      </c>
      <c r="AL166" s="337">
        <f t="shared" si="94"/>
        <v>19.926761224727066</v>
      </c>
      <c r="AM166" s="730">
        <f t="shared" si="95"/>
        <v>-80.487972766388665</v>
      </c>
      <c r="AN166" s="351"/>
      <c r="AO166" s="337">
        <f t="shared" si="96"/>
        <v>42.773310500147218</v>
      </c>
      <c r="AP166" s="730">
        <f t="shared" si="97"/>
        <v>-88.219675534904709</v>
      </c>
      <c r="AS166" s="351"/>
      <c r="AT166" s="351"/>
      <c r="AV166" s="405">
        <f t="shared" si="98"/>
        <v>0</v>
      </c>
      <c r="AW166" s="405">
        <f t="shared" si="123"/>
        <v>0</v>
      </c>
      <c r="AX166" s="405">
        <f t="shared" si="99"/>
        <v>0</v>
      </c>
      <c r="AY166" s="405">
        <f t="shared" si="100"/>
        <v>0</v>
      </c>
    </row>
    <row r="167" spans="2:51" ht="13.5" thickBot="1" x14ac:dyDescent="0.25">
      <c r="B167" s="345">
        <v>9386.85</v>
      </c>
      <c r="C167" s="728" t="str">
        <f t="shared" si="83"/>
        <v>2.16217503399043</v>
      </c>
      <c r="D167" s="728" t="str">
        <f t="shared" si="84"/>
        <v>1+7.17581702341834i</v>
      </c>
      <c r="E167" s="337">
        <f t="shared" si="102"/>
        <v>7.2451604505062859</v>
      </c>
      <c r="F167" s="338">
        <f t="shared" si="103"/>
        <v>1.4323311258920222</v>
      </c>
      <c r="G167" s="338" t="str">
        <f t="shared" si="85"/>
        <v>1+0.0294896590003494i</v>
      </c>
      <c r="H167" s="337">
        <f t="shared" si="104"/>
        <v>1.0004347255008479</v>
      </c>
      <c r="I167" s="338">
        <f t="shared" si="105"/>
        <v>2.9481114995798686E-2</v>
      </c>
      <c r="J167" s="340">
        <f t="shared" si="86"/>
        <v>1</v>
      </c>
      <c r="K167" s="338">
        <f t="shared" si="106"/>
        <v>1</v>
      </c>
      <c r="L167" s="339">
        <f t="shared" si="107"/>
        <v>0</v>
      </c>
      <c r="M167" s="731" t="str">
        <f t="shared" si="87"/>
        <v>0.996083868759+0.138639444992494i</v>
      </c>
      <c r="N167" s="338">
        <f t="shared" si="108"/>
        <v>1.0056858203781753</v>
      </c>
      <c r="O167" s="339">
        <f t="shared" si="109"/>
        <v>0.13829603823536313</v>
      </c>
      <c r="P167" s="732" t="str">
        <f t="shared" si="101"/>
        <v>0.0088010482164229-0.296741536465593i</v>
      </c>
      <c r="Q167" s="337">
        <f t="shared" si="110"/>
        <v>0.29687202278703972</v>
      </c>
      <c r="R167" s="339">
        <f t="shared" si="111"/>
        <v>-1.5411460491315865</v>
      </c>
      <c r="S167" s="731" t="str">
        <f t="shared" si="88"/>
        <v>6000</v>
      </c>
      <c r="T167" s="337" t="str">
        <f t="shared" si="89"/>
        <v>1+59569.1111807057i</v>
      </c>
      <c r="U167" s="346">
        <f t="shared" si="112"/>
        <v>59569.11118909932</v>
      </c>
      <c r="V167" s="347">
        <f t="shared" si="113"/>
        <v>1.5707795395711144</v>
      </c>
      <c r="W167" s="340" t="str">
        <f t="shared" si="90"/>
        <v>1+589.793180006987i</v>
      </c>
      <c r="X167" s="337">
        <f t="shared" si="114"/>
        <v>589.79402776117877</v>
      </c>
      <c r="Y167" s="339">
        <f t="shared" si="115"/>
        <v>1.5691008188174411</v>
      </c>
      <c r="Z167" s="337" t="str">
        <f t="shared" si="91"/>
        <v>1+5.94125572314679i</v>
      </c>
      <c r="AA167" s="346">
        <f t="shared" si="116"/>
        <v>6.0248252728045557</v>
      </c>
      <c r="AB167" s="347">
        <f t="shared" si="117"/>
        <v>1.4040446977056382</v>
      </c>
      <c r="AC167" s="732" t="str">
        <f t="shared" si="118"/>
        <v>1.62027115193257-9.72617133632562i</v>
      </c>
      <c r="AD167" s="337">
        <f t="shared" si="119"/>
        <v>9.8602072731432475</v>
      </c>
      <c r="AE167" s="339">
        <f t="shared" si="120"/>
        <v>-1.4057234184593113</v>
      </c>
      <c r="AF167" s="736" t="str">
        <f t="shared" si="92"/>
        <v>-2.87189894173704-0.566402254007539i</v>
      </c>
      <c r="AG167" s="337">
        <f t="shared" si="121"/>
        <v>9.329106320788668</v>
      </c>
      <c r="AH167" s="730">
        <f t="shared" si="122"/>
        <v>-168.84318326892239</v>
      </c>
      <c r="AI167" s="360">
        <f t="shared" si="93"/>
        <v>11.156816731077612</v>
      </c>
      <c r="AL167" s="337">
        <f t="shared" si="94"/>
        <v>19.877720888350016</v>
      </c>
      <c r="AM167" s="730">
        <f t="shared" si="95"/>
        <v>-80.542019040421053</v>
      </c>
      <c r="AN167" s="351"/>
      <c r="AO167" s="337">
        <f t="shared" si="96"/>
        <v>42.723316631178044</v>
      </c>
      <c r="AP167" s="730">
        <f t="shared" si="97"/>
        <v>-88.301164228501321</v>
      </c>
      <c r="AS167" s="351"/>
      <c r="AT167" s="351"/>
      <c r="AV167" s="405">
        <f t="shared" si="98"/>
        <v>0</v>
      </c>
      <c r="AW167" s="405">
        <f t="shared" si="123"/>
        <v>0</v>
      </c>
      <c r="AX167" s="405">
        <f t="shared" si="99"/>
        <v>0</v>
      </c>
      <c r="AY167" s="405">
        <f t="shared" si="100"/>
        <v>0</v>
      </c>
    </row>
    <row r="168" spans="2:51" ht="13.5" thickBot="1" x14ac:dyDescent="0.25">
      <c r="B168" s="345">
        <v>9441.2000000000007</v>
      </c>
      <c r="C168" s="728" t="str">
        <f t="shared" si="83"/>
        <v>2.16217503399043</v>
      </c>
      <c r="D168" s="728" t="str">
        <f t="shared" si="84"/>
        <v>1+7.21736510986084i</v>
      </c>
      <c r="E168" s="337">
        <f t="shared" si="102"/>
        <v>7.2863131369051493</v>
      </c>
      <c r="F168" s="338">
        <f t="shared" si="103"/>
        <v>1.4331181630410725</v>
      </c>
      <c r="G168" s="338" t="str">
        <f t="shared" si="85"/>
        <v>1+0.029660404561072i</v>
      </c>
      <c r="H168" s="337">
        <f t="shared" si="104"/>
        <v>1.0004397730991739</v>
      </c>
      <c r="I168" s="338">
        <f t="shared" si="105"/>
        <v>2.9651711338471946E-2</v>
      </c>
      <c r="J168" s="340">
        <f t="shared" si="86"/>
        <v>1</v>
      </c>
      <c r="K168" s="338">
        <f t="shared" si="106"/>
        <v>1</v>
      </c>
      <c r="L168" s="339">
        <f t="shared" si="107"/>
        <v>0</v>
      </c>
      <c r="M168" s="731" t="str">
        <f t="shared" si="87"/>
        <v>0.996038388558222+0.139442169424582i</v>
      </c>
      <c r="N168" s="338">
        <f t="shared" si="108"/>
        <v>1.0057517537123628</v>
      </c>
      <c r="O168" s="339">
        <f t="shared" si="109"/>
        <v>0.13909278561472063</v>
      </c>
      <c r="P168" s="732" t="str">
        <f t="shared" si="101"/>
        <v>0.00833384431117041-0.295059774121855i</v>
      </c>
      <c r="Q168" s="337">
        <f t="shared" si="110"/>
        <v>0.29517744369420051</v>
      </c>
      <c r="R168" s="339">
        <f t="shared" si="111"/>
        <v>-1.5425592373173211</v>
      </c>
      <c r="S168" s="731" t="str">
        <f t="shared" si="88"/>
        <v>6000</v>
      </c>
      <c r="T168" s="337" t="str">
        <f t="shared" si="89"/>
        <v>1+59914.0172133653i</v>
      </c>
      <c r="U168" s="346">
        <f t="shared" si="112"/>
        <v>59914.017221710586</v>
      </c>
      <c r="V168" s="347">
        <f t="shared" si="113"/>
        <v>1.5707796362098478</v>
      </c>
      <c r="W168" s="340" t="str">
        <f t="shared" si="90"/>
        <v>1+593.208091221439i</v>
      </c>
      <c r="X168" s="337">
        <f t="shared" si="114"/>
        <v>593.20893409538519</v>
      </c>
      <c r="Y168" s="339">
        <f t="shared" si="115"/>
        <v>1.5691105793016475</v>
      </c>
      <c r="Z168" s="337" t="str">
        <f t="shared" si="91"/>
        <v>1+5.97565568144516i</v>
      </c>
      <c r="AA168" s="346">
        <f t="shared" si="116"/>
        <v>6.0587507642407443</v>
      </c>
      <c r="AB168" s="347">
        <f t="shared" si="117"/>
        <v>1.4049870872010612</v>
      </c>
      <c r="AC168" s="732" t="str">
        <f t="shared" si="118"/>
        <v>1.60217679454525-9.6732088553736i</v>
      </c>
      <c r="AD168" s="337">
        <f t="shared" si="119"/>
        <v>9.8049956675491465</v>
      </c>
      <c r="AE168" s="339">
        <f t="shared" si="120"/>
        <v>-1.4066561441092609</v>
      </c>
      <c r="AF168" s="736" t="str">
        <f t="shared" si="92"/>
        <v>-2.84082252793535-0.553352939691918i</v>
      </c>
      <c r="AG168" s="337">
        <f t="shared" si="121"/>
        <v>9.2306114687796885</v>
      </c>
      <c r="AH168" s="730">
        <f t="shared" si="122"/>
        <v>-168.97759423080839</v>
      </c>
      <c r="AI168" s="360">
        <f t="shared" si="93"/>
        <v>11.022405769191607</v>
      </c>
      <c r="AL168" s="337">
        <f t="shared" si="94"/>
        <v>19.828948122116007</v>
      </c>
      <c r="AM168" s="730">
        <f t="shared" si="95"/>
        <v>-80.595460283606769</v>
      </c>
      <c r="AN168" s="351"/>
      <c r="AO168" s="337">
        <f t="shared" si="96"/>
        <v>42.673594545403105</v>
      </c>
      <c r="AP168" s="730">
        <f t="shared" si="97"/>
        <v>-88.382133947201666</v>
      </c>
      <c r="AS168" s="351"/>
      <c r="AT168" s="351"/>
      <c r="AV168" s="405">
        <f t="shared" si="98"/>
        <v>0</v>
      </c>
      <c r="AW168" s="405">
        <f t="shared" si="123"/>
        <v>0</v>
      </c>
      <c r="AX168" s="405">
        <f t="shared" si="99"/>
        <v>0</v>
      </c>
      <c r="AY168" s="405">
        <f t="shared" si="100"/>
        <v>0</v>
      </c>
    </row>
    <row r="169" spans="2:51" ht="13.5" thickBot="1" x14ac:dyDescent="0.25">
      <c r="B169" s="345">
        <v>9495.5499999999993</v>
      </c>
      <c r="C169" s="728" t="str">
        <f t="shared" si="83"/>
        <v>2.16217503399043</v>
      </c>
      <c r="D169" s="728" t="str">
        <f t="shared" si="84"/>
        <v>1+7.25891319630334i</v>
      </c>
      <c r="E169" s="337">
        <f t="shared" si="102"/>
        <v>7.3274702859490857</v>
      </c>
      <c r="F169" s="338">
        <f t="shared" si="103"/>
        <v>1.4338963593611807</v>
      </c>
      <c r="G169" s="338" t="str">
        <f t="shared" si="85"/>
        <v>1+0.0298311501217946i</v>
      </c>
      <c r="H169" s="337">
        <f t="shared" si="104"/>
        <v>1.0004448498131164</v>
      </c>
      <c r="I169" s="338">
        <f t="shared" si="105"/>
        <v>2.9822305954742532E-2</v>
      </c>
      <c r="J169" s="340">
        <f t="shared" si="86"/>
        <v>1</v>
      </c>
      <c r="K169" s="338">
        <f t="shared" si="106"/>
        <v>1</v>
      </c>
      <c r="L169" s="339">
        <f t="shared" si="107"/>
        <v>0</v>
      </c>
      <c r="M169" s="731" t="str">
        <f t="shared" si="87"/>
        <v>0.995992645786556+0.140244893856669i</v>
      </c>
      <c r="N169" s="338">
        <f t="shared" si="108"/>
        <v>1.0058180654143036</v>
      </c>
      <c r="O169" s="339">
        <f t="shared" si="109"/>
        <v>0.13988946443115102</v>
      </c>
      <c r="P169" s="732" t="str">
        <f t="shared" si="101"/>
        <v>0.00787452789146917-0.293395966390786i</v>
      </c>
      <c r="Q169" s="337">
        <f t="shared" si="110"/>
        <v>0.29350162058138074</v>
      </c>
      <c r="R169" s="339">
        <f t="shared" si="111"/>
        <v>-1.5439635178375892</v>
      </c>
      <c r="S169" s="731" t="str">
        <f t="shared" si="88"/>
        <v>6000</v>
      </c>
      <c r="T169" s="337" t="str">
        <f t="shared" si="89"/>
        <v>1+60258.923246025i</v>
      </c>
      <c r="U169" s="346">
        <f t="shared" si="112"/>
        <v>60258.923254322523</v>
      </c>
      <c r="V169" s="347">
        <f t="shared" si="113"/>
        <v>1.5707797317423129</v>
      </c>
      <c r="W169" s="340" t="str">
        <f t="shared" si="90"/>
        <v>1+596.623002435891i</v>
      </c>
      <c r="X169" s="337">
        <f t="shared" si="114"/>
        <v>596.623840485458</v>
      </c>
      <c r="Y169" s="339">
        <f t="shared" si="115"/>
        <v>1.5691202280533441</v>
      </c>
      <c r="Z169" s="337" t="str">
        <f t="shared" si="91"/>
        <v>1+6.01005563974353i</v>
      </c>
      <c r="AA169" s="346">
        <f t="shared" si="116"/>
        <v>6.0926815765156324</v>
      </c>
      <c r="AB169" s="347">
        <f t="shared" si="117"/>
        <v>1.4059189809754085</v>
      </c>
      <c r="AC169" s="732" t="str">
        <f t="shared" si="118"/>
        <v>1.58438108875804-9.62080296876972i</v>
      </c>
      <c r="AD169" s="337">
        <f t="shared" si="119"/>
        <v>9.7503904126092511</v>
      </c>
      <c r="AE169" s="339">
        <f t="shared" si="120"/>
        <v>-1.4075784846643771</v>
      </c>
      <c r="AF169" s="736" t="str">
        <f t="shared" si="92"/>
        <v>-2.81022853140339-0.540610301983357i</v>
      </c>
      <c r="AG169" s="337">
        <f t="shared" si="121"/>
        <v>9.1326501814755261</v>
      </c>
      <c r="AH169" s="730">
        <f t="shared" si="122"/>
        <v>-169.11089979895411</v>
      </c>
      <c r="AI169" s="360">
        <f t="shared" si="93"/>
        <v>10.889100201045892</v>
      </c>
      <c r="AL169" s="337">
        <f t="shared" si="94"/>
        <v>19.780440110170296</v>
      </c>
      <c r="AM169" s="730">
        <f t="shared" si="95"/>
        <v>-80.648306504688676</v>
      </c>
      <c r="AN169" s="351"/>
      <c r="AO169" s="337">
        <f t="shared" si="96"/>
        <v>42.624141270044703</v>
      </c>
      <c r="AP169" s="730">
        <f t="shared" si="97"/>
        <v>-88.46259329426546</v>
      </c>
      <c r="AS169" s="351"/>
      <c r="AT169" s="351"/>
      <c r="AV169" s="405">
        <f t="shared" si="98"/>
        <v>0</v>
      </c>
      <c r="AW169" s="405">
        <f t="shared" si="123"/>
        <v>0</v>
      </c>
      <c r="AX169" s="405">
        <f t="shared" si="99"/>
        <v>0</v>
      </c>
      <c r="AY169" s="405">
        <f t="shared" si="100"/>
        <v>0</v>
      </c>
    </row>
    <row r="170" spans="2:51" ht="13.5" thickBot="1" x14ac:dyDescent="0.25">
      <c r="B170" s="345">
        <v>9549.9</v>
      </c>
      <c r="C170" s="728" t="str">
        <f t="shared" si="83"/>
        <v>2.16217503399043</v>
      </c>
      <c r="D170" s="728" t="str">
        <f t="shared" si="84"/>
        <v>1+7.30046128274584i</v>
      </c>
      <c r="E170" s="337">
        <f t="shared" si="102"/>
        <v>7.3686318228604035</v>
      </c>
      <c r="F170" s="338">
        <f t="shared" si="103"/>
        <v>1.4346658620577315</v>
      </c>
      <c r="G170" s="338" t="str">
        <f t="shared" si="85"/>
        <v>1+0.0300018956825172i</v>
      </c>
      <c r="H170" s="337">
        <f t="shared" si="104"/>
        <v>1.0004499556422324</v>
      </c>
      <c r="I170" s="338">
        <f t="shared" si="105"/>
        <v>2.9992898834707338E-2</v>
      </c>
      <c r="J170" s="340">
        <f t="shared" si="86"/>
        <v>1</v>
      </c>
      <c r="K170" s="338">
        <f t="shared" si="106"/>
        <v>1</v>
      </c>
      <c r="L170" s="339">
        <f t="shared" si="107"/>
        <v>0</v>
      </c>
      <c r="M170" s="731" t="str">
        <f t="shared" si="87"/>
        <v>0.995946640444+0.141047618288757i</v>
      </c>
      <c r="N170" s="338">
        <f t="shared" si="108"/>
        <v>1.005884755444987</v>
      </c>
      <c r="O170" s="339">
        <f t="shared" si="109"/>
        <v>0.14068607430483998</v>
      </c>
      <c r="P170" s="732" t="str">
        <f t="shared" si="101"/>
        <v>0.0074229259185082-0.291749830575967i</v>
      </c>
      <c r="Q170" s="337">
        <f t="shared" si="110"/>
        <v>0.29184424522388158</v>
      </c>
      <c r="R170" s="339">
        <f t="shared" si="111"/>
        <v>-1.5453590375278641</v>
      </c>
      <c r="S170" s="731" t="str">
        <f t="shared" si="88"/>
        <v>6000</v>
      </c>
      <c r="T170" s="337" t="str">
        <f t="shared" si="89"/>
        <v>1+60603.8292786847i</v>
      </c>
      <c r="U170" s="346">
        <f t="shared" si="112"/>
        <v>60603.829286935012</v>
      </c>
      <c r="V170" s="347">
        <f t="shared" si="113"/>
        <v>1.5707798261873969</v>
      </c>
      <c r="W170" s="340" t="str">
        <f t="shared" si="90"/>
        <v>1+600.037913650343i</v>
      </c>
      <c r="X170" s="337">
        <f t="shared" si="114"/>
        <v>600.03874693044315</v>
      </c>
      <c r="Y170" s="339">
        <f t="shared" si="115"/>
        <v>1.5691297669801858</v>
      </c>
      <c r="Z170" s="337" t="str">
        <f t="shared" si="91"/>
        <v>1+6.04445559804189i</v>
      </c>
      <c r="AA170" s="346">
        <f t="shared" si="116"/>
        <v>6.1266176212246135</v>
      </c>
      <c r="AB170" s="347">
        <f t="shared" si="117"/>
        <v>1.4068405518075673</v>
      </c>
      <c r="AC170" s="732" t="str">
        <f t="shared" si="118"/>
        <v>1.56687755916432-9.56894524480878i</v>
      </c>
      <c r="AD170" s="337">
        <f t="shared" si="119"/>
        <v>9.6963817160609604</v>
      </c>
      <c r="AE170" s="339">
        <f t="shared" si="120"/>
        <v>-1.4084906110147786</v>
      </c>
      <c r="AF170" s="736" t="str">
        <f t="shared" si="92"/>
        <v>-2.78010733791862-0.528165834089952i</v>
      </c>
      <c r="AG170" s="337">
        <f t="shared" si="121"/>
        <v>9.0352167598869997</v>
      </c>
      <c r="AH170" s="730">
        <f t="shared" si="122"/>
        <v>-169.24311817769495</v>
      </c>
      <c r="AI170" s="360">
        <f t="shared" si="93"/>
        <v>10.756881822305047</v>
      </c>
      <c r="AL170" s="337">
        <f t="shared" si="94"/>
        <v>19.732194079339894</v>
      </c>
      <c r="AM170" s="730">
        <f t="shared" si="95"/>
        <v>-80.700567494949354</v>
      </c>
      <c r="AN170" s="351"/>
      <c r="AO170" s="337">
        <f t="shared" si="96"/>
        <v>42.574953879286511</v>
      </c>
      <c r="AP170" s="730">
        <f t="shared" si="97"/>
        <v>-88.542550682745613</v>
      </c>
      <c r="AS170" s="351"/>
      <c r="AT170" s="351"/>
      <c r="AV170" s="405">
        <f t="shared" si="98"/>
        <v>0</v>
      </c>
      <c r="AW170" s="405">
        <f t="shared" si="123"/>
        <v>0</v>
      </c>
      <c r="AX170" s="405">
        <f t="shared" si="99"/>
        <v>0</v>
      </c>
      <c r="AY170" s="405">
        <f t="shared" si="100"/>
        <v>0</v>
      </c>
    </row>
    <row r="171" spans="2:51" ht="13.5" thickBot="1" x14ac:dyDescent="0.25">
      <c r="B171" s="345">
        <v>9605.5249999999996</v>
      </c>
      <c r="C171" s="728" t="str">
        <f t="shared" si="83"/>
        <v>2.16217503399043</v>
      </c>
      <c r="D171" s="728" t="str">
        <f t="shared" si="84"/>
        <v>1+7.34298404830912i</v>
      </c>
      <c r="E171" s="337">
        <f t="shared" si="102"/>
        <v>7.4107634379814193</v>
      </c>
      <c r="F171" s="338">
        <f t="shared" si="103"/>
        <v>1.4354445648615679</v>
      </c>
      <c r="G171" s="338" t="str">
        <f t="shared" si="85"/>
        <v>1+0.0301766467738731i</v>
      </c>
      <c r="H171" s="337">
        <f t="shared" si="104"/>
        <v>1.0004552113965497</v>
      </c>
      <c r="I171" s="338">
        <f t="shared" si="105"/>
        <v>3.0167491855342569E-2</v>
      </c>
      <c r="J171" s="340">
        <f t="shared" si="86"/>
        <v>1</v>
      </c>
      <c r="K171" s="338">
        <f t="shared" si="106"/>
        <v>1</v>
      </c>
      <c r="L171" s="339">
        <f t="shared" si="107"/>
        <v>0</v>
      </c>
      <c r="M171" s="731" t="str">
        <f t="shared" si="87"/>
        <v>0.995899283976639+0.141869173882775i</v>
      </c>
      <c r="N171" s="338">
        <f t="shared" si="108"/>
        <v>1.0059534016659835</v>
      </c>
      <c r="O171" s="339">
        <f t="shared" si="109"/>
        <v>0.14150130011484721</v>
      </c>
      <c r="P171" s="732" t="str">
        <f t="shared" si="101"/>
        <v>0.00696854217423212-0.290083087622481i</v>
      </c>
      <c r="Q171" s="337">
        <f t="shared" si="110"/>
        <v>0.29016677670716545</v>
      </c>
      <c r="R171" s="339">
        <f t="shared" si="111"/>
        <v>-1.5467783731210725</v>
      </c>
      <c r="S171" s="731" t="str">
        <f t="shared" si="88"/>
        <v>6000</v>
      </c>
      <c r="T171" s="337" t="str">
        <f t="shared" si="89"/>
        <v>1+60956.8264832237i</v>
      </c>
      <c r="U171" s="346">
        <f t="shared" si="112"/>
        <v>60956.826491426233</v>
      </c>
      <c r="V171" s="347">
        <f t="shared" si="113"/>
        <v>1.5707799217413922</v>
      </c>
      <c r="W171" s="340" t="str">
        <f t="shared" si="90"/>
        <v>1+603.532935477462i</v>
      </c>
      <c r="X171" s="337">
        <f t="shared" si="114"/>
        <v>603.53376393209555</v>
      </c>
      <c r="Y171" s="339">
        <f t="shared" si="115"/>
        <v>1.5691394179070774</v>
      </c>
      <c r="Z171" s="337" t="str">
        <f t="shared" si="91"/>
        <v>1+6.07966254708231i</v>
      </c>
      <c r="AA171" s="346">
        <f t="shared" si="116"/>
        <v>6.1613551014687795</v>
      </c>
      <c r="AB171" s="347">
        <f t="shared" si="117"/>
        <v>1.4077732291776746</v>
      </c>
      <c r="AC171" s="732" t="str">
        <f t="shared" si="118"/>
        <v>1.54925937500822-9.51642996132804i</v>
      </c>
      <c r="AD171" s="337">
        <f t="shared" si="119"/>
        <v>9.6417137387454552</v>
      </c>
      <c r="AE171" s="339">
        <f t="shared" si="120"/>
        <v>-1.4094137330119885</v>
      </c>
      <c r="AF171" s="736" t="str">
        <f t="shared" si="92"/>
        <v>-2.74975930703156-0.5157295865641i</v>
      </c>
      <c r="AG171" s="337">
        <f t="shared" si="121"/>
        <v>8.9360383724502146</v>
      </c>
      <c r="AH171" s="730">
        <f t="shared" si="122"/>
        <v>-169.37733111131433</v>
      </c>
      <c r="AI171" s="360">
        <f t="shared" si="93"/>
        <v>10.622668888685666</v>
      </c>
      <c r="AL171" s="337">
        <f t="shared" si="94"/>
        <v>19.683084663809375</v>
      </c>
      <c r="AM171" s="730">
        <f t="shared" si="95"/>
        <v>-80.753458489365173</v>
      </c>
      <c r="AN171" s="351"/>
      <c r="AO171" s="337">
        <f t="shared" si="96"/>
        <v>42.524884907380248</v>
      </c>
      <c r="AP171" s="730">
        <f t="shared" si="97"/>
        <v>-88.623872621949147</v>
      </c>
      <c r="AS171" s="351"/>
      <c r="AT171" s="351"/>
      <c r="AV171" s="405">
        <f t="shared" si="98"/>
        <v>0</v>
      </c>
      <c r="AW171" s="405">
        <f t="shared" si="123"/>
        <v>0</v>
      </c>
      <c r="AX171" s="405">
        <f t="shared" si="99"/>
        <v>0</v>
      </c>
      <c r="AY171" s="405">
        <f t="shared" si="100"/>
        <v>0</v>
      </c>
    </row>
    <row r="172" spans="2:51" ht="13.5" thickBot="1" x14ac:dyDescent="0.25">
      <c r="B172" s="345">
        <v>9661.15</v>
      </c>
      <c r="C172" s="728" t="str">
        <f t="shared" si="83"/>
        <v>2.16217503399043</v>
      </c>
      <c r="D172" s="728" t="str">
        <f t="shared" si="84"/>
        <v>1+7.3855068138724i</v>
      </c>
      <c r="E172" s="337">
        <f t="shared" si="102"/>
        <v>7.4528994960186896</v>
      </c>
      <c r="F172" s="338">
        <f t="shared" si="103"/>
        <v>1.4362144631073348</v>
      </c>
      <c r="G172" s="338" t="str">
        <f t="shared" si="85"/>
        <v>1+0.0303513978652291i</v>
      </c>
      <c r="H172" s="337">
        <f t="shared" si="104"/>
        <v>1.0004604976471452</v>
      </c>
      <c r="I172" s="338">
        <f t="shared" si="105"/>
        <v>3.034208303626458E-2</v>
      </c>
      <c r="J172" s="340">
        <f t="shared" si="86"/>
        <v>1</v>
      </c>
      <c r="K172" s="338">
        <f t="shared" si="106"/>
        <v>1</v>
      </c>
      <c r="L172" s="339">
        <f t="shared" si="107"/>
        <v>0</v>
      </c>
      <c r="M172" s="731" t="str">
        <f t="shared" si="87"/>
        <v>0.995851652474556+0.142690729476793i</v>
      </c>
      <c r="N172" s="338">
        <f t="shared" si="108"/>
        <v>1.0060224440910466</v>
      </c>
      <c r="O172" s="339">
        <f t="shared" si="109"/>
        <v>0.14231645290528877</v>
      </c>
      <c r="P172" s="732" t="str">
        <f t="shared" si="101"/>
        <v>0.00652188722719824-0.288434274588296i</v>
      </c>
      <c r="Q172" s="337">
        <f t="shared" si="110"/>
        <v>0.28850799949096873</v>
      </c>
      <c r="R172" s="339">
        <f t="shared" si="111"/>
        <v>-1.5481888329763589</v>
      </c>
      <c r="S172" s="731" t="str">
        <f t="shared" si="88"/>
        <v>6000</v>
      </c>
      <c r="T172" s="337" t="str">
        <f t="shared" si="89"/>
        <v>1+61309.8236877627i</v>
      </c>
      <c r="U172" s="346">
        <f t="shared" si="112"/>
        <v>61309.823695917999</v>
      </c>
      <c r="V172" s="347">
        <f t="shared" si="113"/>
        <v>1.5707800161950651</v>
      </c>
      <c r="W172" s="340" t="str">
        <f t="shared" si="90"/>
        <v>1+607.027957304581i</v>
      </c>
      <c r="X172" s="337">
        <f t="shared" si="114"/>
        <v>607.02878098931376</v>
      </c>
      <c r="Y172" s="339">
        <f t="shared" si="115"/>
        <v>1.5691489577019937</v>
      </c>
      <c r="Z172" s="337" t="str">
        <f t="shared" si="91"/>
        <v>1+6.11486949612273i</v>
      </c>
      <c r="AA172" s="346">
        <f t="shared" si="116"/>
        <v>6.1960978812969252</v>
      </c>
      <c r="AB172" s="347">
        <f t="shared" si="117"/>
        <v>1.4086954479194715</v>
      </c>
      <c r="AC172" s="732" t="str">
        <f t="shared" si="118"/>
        <v>1.53193406014143-9.46447150687746i</v>
      </c>
      <c r="AD172" s="337">
        <f t="shared" si="119"/>
        <v>9.5876505395804195</v>
      </c>
      <c r="AE172" s="339">
        <f t="shared" si="120"/>
        <v>-1.4103265064125423</v>
      </c>
      <c r="AF172" s="736" t="str">
        <f t="shared" si="92"/>
        <v>-2.71988687226805-0.503588505186882i</v>
      </c>
      <c r="AG172" s="337">
        <f t="shared" si="121"/>
        <v>8.8374011086081232</v>
      </c>
      <c r="AH172" s="730">
        <f t="shared" si="122"/>
        <v>-169.51044257169841</v>
      </c>
      <c r="AI172" s="360">
        <f t="shared" si="93"/>
        <v>10.489557428301595</v>
      </c>
      <c r="AL172" s="337">
        <f t="shared" si="94"/>
        <v>19.634243920879083</v>
      </c>
      <c r="AM172" s="730">
        <f t="shared" si="95"/>
        <v>-80.805756552868701</v>
      </c>
      <c r="AN172" s="351"/>
      <c r="AO172" s="337">
        <f t="shared" si="96"/>
        <v>42.475088386468471</v>
      </c>
      <c r="AP172" s="730">
        <f t="shared" si="97"/>
        <v>-88.70468601882969</v>
      </c>
      <c r="AS172" s="351"/>
      <c r="AT172" s="351"/>
      <c r="AV172" s="405">
        <f t="shared" si="98"/>
        <v>0</v>
      </c>
      <c r="AW172" s="405">
        <f t="shared" si="123"/>
        <v>0</v>
      </c>
      <c r="AX172" s="405">
        <f t="shared" si="99"/>
        <v>0</v>
      </c>
      <c r="AY172" s="405">
        <f t="shared" si="100"/>
        <v>0</v>
      </c>
    </row>
    <row r="173" spans="2:51" ht="13.5" thickBot="1" x14ac:dyDescent="0.25">
      <c r="B173" s="345">
        <v>9716.7749999999996</v>
      </c>
      <c r="C173" s="728" t="str">
        <f t="shared" si="83"/>
        <v>2.16217503399043</v>
      </c>
      <c r="D173" s="728" t="str">
        <f t="shared" si="84"/>
        <v>1+7.42802957943567i</v>
      </c>
      <c r="E173" s="337">
        <f t="shared" si="102"/>
        <v>7.4950399220398589</v>
      </c>
      <c r="F173" s="338">
        <f t="shared" si="103"/>
        <v>1.4369757043838904</v>
      </c>
      <c r="G173" s="338" t="str">
        <f t="shared" si="85"/>
        <v>1+0.030526148956585i</v>
      </c>
      <c r="H173" s="337">
        <f t="shared" si="104"/>
        <v>1.0004658143935352</v>
      </c>
      <c r="I173" s="338">
        <f t="shared" si="105"/>
        <v>3.0516672366858625E-2</v>
      </c>
      <c r="J173" s="340">
        <f t="shared" si="86"/>
        <v>1</v>
      </c>
      <c r="K173" s="338">
        <f t="shared" si="106"/>
        <v>1</v>
      </c>
      <c r="L173" s="339">
        <f t="shared" si="107"/>
        <v>0</v>
      </c>
      <c r="M173" s="731" t="str">
        <f t="shared" si="87"/>
        <v>0.99580374593775+0.143512285070811i</v>
      </c>
      <c r="N173" s="338">
        <f t="shared" si="108"/>
        <v>1.006091882677671</v>
      </c>
      <c r="O173" s="339">
        <f t="shared" si="109"/>
        <v>0.14313153226980721</v>
      </c>
      <c r="P173" s="732" t="str">
        <f t="shared" si="101"/>
        <v>0.00608279037288529-0.286803106686991i</v>
      </c>
      <c r="Q173" s="337">
        <f t="shared" si="110"/>
        <v>0.28686760420798652</v>
      </c>
      <c r="R173" s="339">
        <f t="shared" si="111"/>
        <v>-1.5495905642868388</v>
      </c>
      <c r="S173" s="731" t="str">
        <f t="shared" si="88"/>
        <v>6000</v>
      </c>
      <c r="T173" s="337" t="str">
        <f t="shared" si="89"/>
        <v>1+61662.8208923016i</v>
      </c>
      <c r="U173" s="346">
        <f t="shared" si="112"/>
        <v>61662.820900410217</v>
      </c>
      <c r="V173" s="347">
        <f t="shared" si="113"/>
        <v>1.5707801095673122</v>
      </c>
      <c r="W173" s="340" t="str">
        <f t="shared" si="90"/>
        <v>1+610.522979131699i</v>
      </c>
      <c r="X173" s="337">
        <f t="shared" si="114"/>
        <v>610.5237981011428</v>
      </c>
      <c r="Y173" s="339">
        <f t="shared" si="115"/>
        <v>1.5691583882734979</v>
      </c>
      <c r="Z173" s="337" t="str">
        <f t="shared" si="91"/>
        <v>1+6.15007644516315i</v>
      </c>
      <c r="AA173" s="346">
        <f t="shared" si="116"/>
        <v>6.2308458720586728</v>
      </c>
      <c r="AB173" s="347">
        <f t="shared" si="117"/>
        <v>1.4096073814270962</v>
      </c>
      <c r="AC173" s="732" t="str">
        <f t="shared" si="118"/>
        <v>1.51489521731257-9.41306135871588i</v>
      </c>
      <c r="AD173" s="337">
        <f t="shared" si="119"/>
        <v>9.5341822754962333</v>
      </c>
      <c r="AE173" s="339">
        <f t="shared" si="120"/>
        <v>-1.4112291027209096</v>
      </c>
      <c r="AF173" s="736" t="str">
        <f t="shared" si="92"/>
        <v>-2.69048045107118-0.491734333642685i</v>
      </c>
      <c r="AG173" s="337">
        <f t="shared" si="121"/>
        <v>8.7392991389835224</v>
      </c>
      <c r="AH173" s="730">
        <f t="shared" si="122"/>
        <v>-169.64247081887376</v>
      </c>
      <c r="AI173" s="360">
        <f t="shared" si="93"/>
        <v>10.357529181126239</v>
      </c>
      <c r="AL173" s="337">
        <f t="shared" si="94"/>
        <v>19.585669011156501</v>
      </c>
      <c r="AM173" s="730">
        <f t="shared" si="95"/>
        <v>-80.857471511942236</v>
      </c>
      <c r="AN173" s="351"/>
      <c r="AO173" s="337">
        <f t="shared" si="96"/>
        <v>42.425561326566488</v>
      </c>
      <c r="AP173" s="730">
        <f t="shared" si="97"/>
        <v>-88.784999306931553</v>
      </c>
      <c r="AS173" s="351"/>
      <c r="AT173" s="351"/>
      <c r="AV173" s="405">
        <f t="shared" si="98"/>
        <v>0</v>
      </c>
      <c r="AW173" s="405">
        <f t="shared" si="123"/>
        <v>0</v>
      </c>
      <c r="AX173" s="405">
        <f t="shared" si="99"/>
        <v>0</v>
      </c>
      <c r="AY173" s="405">
        <f t="shared" si="100"/>
        <v>0</v>
      </c>
    </row>
    <row r="174" spans="2:51" ht="13.5" thickBot="1" x14ac:dyDescent="0.25">
      <c r="B174" s="345">
        <v>9772.4</v>
      </c>
      <c r="C174" s="728" t="str">
        <f t="shared" si="83"/>
        <v>2.16217503399043</v>
      </c>
      <c r="D174" s="728" t="str">
        <f t="shared" si="84"/>
        <v>1+7.47055234499895i</v>
      </c>
      <c r="E174" s="337">
        <f t="shared" si="102"/>
        <v>7.537184642780705</v>
      </c>
      <c r="F174" s="338">
        <f t="shared" si="103"/>
        <v>1.4377284330197264</v>
      </c>
      <c r="G174" s="338" t="str">
        <f t="shared" si="85"/>
        <v>1+0.0307009000479409i</v>
      </c>
      <c r="H174" s="337">
        <f t="shared" si="104"/>
        <v>1.0004711616352335</v>
      </c>
      <c r="I174" s="338">
        <f t="shared" si="105"/>
        <v>3.0691259836510908E-2</v>
      </c>
      <c r="J174" s="340">
        <f t="shared" si="86"/>
        <v>1</v>
      </c>
      <c r="K174" s="338">
        <f t="shared" si="106"/>
        <v>1</v>
      </c>
      <c r="L174" s="339">
        <f t="shared" si="107"/>
        <v>0</v>
      </c>
      <c r="M174" s="731" t="str">
        <f t="shared" si="87"/>
        <v>0.995755564366222+0.144333840664829i</v>
      </c>
      <c r="N174" s="338">
        <f t="shared" si="108"/>
        <v>1.0061617173831219</v>
      </c>
      <c r="O174" s="339">
        <f t="shared" si="109"/>
        <v>0.14394653780232453</v>
      </c>
      <c r="P174" s="732" t="str">
        <f t="shared" si="101"/>
        <v>0.00565108557732273-0.285189304991846i</v>
      </c>
      <c r="Q174" s="337">
        <f t="shared" si="110"/>
        <v>0.28524528821688611</v>
      </c>
      <c r="R174" s="339">
        <f t="shared" si="111"/>
        <v>-1.55098371098554</v>
      </c>
      <c r="S174" s="731" t="str">
        <f t="shared" si="88"/>
        <v>6000</v>
      </c>
      <c r="T174" s="337" t="str">
        <f t="shared" si="89"/>
        <v>1+62015.8180968406i</v>
      </c>
      <c r="U174" s="346">
        <f t="shared" si="112"/>
        <v>62015.818104903061</v>
      </c>
      <c r="V174" s="347">
        <f t="shared" si="113"/>
        <v>1.5707802018765999</v>
      </c>
      <c r="W174" s="340" t="str">
        <f t="shared" si="90"/>
        <v>1+614.018000958818i</v>
      </c>
      <c r="X174" s="337">
        <f t="shared" si="114"/>
        <v>614.01881526665215</v>
      </c>
      <c r="Y174" s="339">
        <f t="shared" si="115"/>
        <v>1.5691677114866989</v>
      </c>
      <c r="Z174" s="337" t="str">
        <f t="shared" si="91"/>
        <v>1+6.18528339420357i</v>
      </c>
      <c r="AA174" s="346">
        <f t="shared" si="116"/>
        <v>6.265598987057059</v>
      </c>
      <c r="AB174" s="347">
        <f t="shared" si="117"/>
        <v>1.4105091993169534</v>
      </c>
      <c r="AC174" s="732" t="str">
        <f t="shared" si="118"/>
        <v>1.49813662138456-9.3621911603232i</v>
      </c>
      <c r="AD174" s="337">
        <f t="shared" si="119"/>
        <v>9.481299312792915</v>
      </c>
      <c r="AE174" s="339">
        <f t="shared" si="120"/>
        <v>-1.4121216897068543</v>
      </c>
      <c r="AF174" s="736" t="str">
        <f t="shared" si="92"/>
        <v>-2.66153069195941-0.480159085273736i</v>
      </c>
      <c r="AG174" s="337">
        <f t="shared" si="121"/>
        <v>8.6417267249301926</v>
      </c>
      <c r="AH174" s="730">
        <f t="shared" si="122"/>
        <v>-169.77343371209486</v>
      </c>
      <c r="AI174" s="360">
        <f t="shared" si="93"/>
        <v>10.226566287905143</v>
      </c>
      <c r="AL174" s="337">
        <f t="shared" si="94"/>
        <v>19.537357138554217</v>
      </c>
      <c r="AM174" s="730">
        <f t="shared" si="95"/>
        <v>-80.908612979085177</v>
      </c>
      <c r="AN174" s="351"/>
      <c r="AO174" s="337">
        <f t="shared" si="96"/>
        <v>42.376300785115447</v>
      </c>
      <c r="AP174" s="730">
        <f t="shared" si="97"/>
        <v>-88.864820733009708</v>
      </c>
      <c r="AS174" s="351"/>
      <c r="AT174" s="351"/>
      <c r="AV174" s="405">
        <f t="shared" si="98"/>
        <v>0</v>
      </c>
      <c r="AW174" s="405">
        <f t="shared" si="123"/>
        <v>0</v>
      </c>
      <c r="AX174" s="405">
        <f t="shared" si="99"/>
        <v>0</v>
      </c>
      <c r="AY174" s="405">
        <f t="shared" si="100"/>
        <v>0</v>
      </c>
    </row>
    <row r="175" spans="2:51" ht="13.5" thickBot="1" x14ac:dyDescent="0.25">
      <c r="B175" s="345">
        <v>9829.2999999999993</v>
      </c>
      <c r="C175" s="728" t="str">
        <f t="shared" si="83"/>
        <v>2.16217503399043</v>
      </c>
      <c r="D175" s="728" t="str">
        <f t="shared" si="84"/>
        <v>1+7.514049789683i</v>
      </c>
      <c r="E175" s="337">
        <f t="shared" si="102"/>
        <v>7.5802997461733099</v>
      </c>
      <c r="F175" s="338">
        <f t="shared" si="103"/>
        <v>1.4384897547968585</v>
      </c>
      <c r="G175" s="338" t="str">
        <f t="shared" si="85"/>
        <v>1+0.0308796566699302i</v>
      </c>
      <c r="H175" s="337">
        <f t="shared" si="104"/>
        <v>1.0004766629942212</v>
      </c>
      <c r="I175" s="338">
        <f t="shared" si="105"/>
        <v>3.0869847149888184E-2</v>
      </c>
      <c r="J175" s="340">
        <f t="shared" si="86"/>
        <v>1</v>
      </c>
      <c r="K175" s="338">
        <f t="shared" si="106"/>
        <v>1</v>
      </c>
      <c r="L175" s="339">
        <f t="shared" si="107"/>
        <v>0</v>
      </c>
      <c r="M175" s="731" t="str">
        <f t="shared" si="87"/>
        <v>0.995705993844889+0.145174227420777i</v>
      </c>
      <c r="N175" s="338">
        <f t="shared" si="108"/>
        <v>1.006233562591637</v>
      </c>
      <c r="O175" s="339">
        <f t="shared" si="109"/>
        <v>0.14478014754757951</v>
      </c>
      <c r="P175" s="732" t="str">
        <f t="shared" si="101"/>
        <v>0.00521696531917223-0.283556195835001i</v>
      </c>
      <c r="Q175" s="337">
        <f t="shared" si="110"/>
        <v>0.28360418354382383</v>
      </c>
      <c r="R175" s="339">
        <f t="shared" si="111"/>
        <v>-1.5524000551945498</v>
      </c>
      <c r="S175" s="731" t="str">
        <f t="shared" si="88"/>
        <v>6000</v>
      </c>
      <c r="T175" s="337" t="str">
        <f t="shared" si="89"/>
        <v>1+62376.9064732589i</v>
      </c>
      <c r="U175" s="346">
        <f t="shared" si="112"/>
        <v>62376.906481274687</v>
      </c>
      <c r="V175" s="347">
        <f t="shared" si="113"/>
        <v>1.5707802952207701</v>
      </c>
      <c r="W175" s="340" t="str">
        <f t="shared" si="90"/>
        <v>1+617.593133398603i</v>
      </c>
      <c r="X175" s="337">
        <f t="shared" si="114"/>
        <v>617.59394299256576</v>
      </c>
      <c r="Y175" s="339">
        <f t="shared" si="115"/>
        <v>1.5691771392230172</v>
      </c>
      <c r="Z175" s="337" t="str">
        <f t="shared" si="91"/>
        <v>1+6.22129733398603i</v>
      </c>
      <c r="AA175" s="346">
        <f t="shared" si="116"/>
        <v>6.3011539036799986</v>
      </c>
      <c r="AB175" s="347">
        <f t="shared" si="117"/>
        <v>1.4114213949975944</v>
      </c>
      <c r="AC175" s="732" t="str">
        <f t="shared" si="118"/>
        <v>1.48127753650264-9.3107050627404i</v>
      </c>
      <c r="AD175" s="337">
        <f t="shared" si="119"/>
        <v>9.4277999504384393</v>
      </c>
      <c r="AE175" s="339">
        <f t="shared" si="120"/>
        <v>-1.4130245509953474</v>
      </c>
      <c r="AF175" s="736" t="str">
        <f t="shared" si="92"/>
        <v>-2.63238033459635-0.468599048635888i</v>
      </c>
      <c r="AG175" s="337">
        <f t="shared" si="121"/>
        <v>8.5424598318598122</v>
      </c>
      <c r="AH175" s="730">
        <f t="shared" si="122"/>
        <v>-169.90631439892533</v>
      </c>
      <c r="AI175" s="360">
        <f t="shared" si="93"/>
        <v>10.093685601074668</v>
      </c>
      <c r="AL175" s="337">
        <f t="shared" si="94"/>
        <v>19.488207172119015</v>
      </c>
      <c r="AM175" s="730">
        <f t="shared" si="95"/>
        <v>-80.960343120401575</v>
      </c>
      <c r="AN175" s="351"/>
      <c r="AO175" s="337">
        <f t="shared" si="96"/>
        <v>42.326183858480263</v>
      </c>
      <c r="AP175" s="730">
        <f t="shared" si="97"/>
        <v>-88.945971278523757</v>
      </c>
      <c r="AS175" s="351"/>
      <c r="AT175" s="351"/>
      <c r="AV175" s="405">
        <f t="shared" si="98"/>
        <v>0</v>
      </c>
      <c r="AW175" s="405">
        <f t="shared" si="123"/>
        <v>0</v>
      </c>
      <c r="AX175" s="405">
        <f t="shared" si="99"/>
        <v>0</v>
      </c>
      <c r="AY175" s="405">
        <f t="shared" si="100"/>
        <v>0</v>
      </c>
    </row>
    <row r="176" spans="2:51" ht="13.5" thickBot="1" x14ac:dyDescent="0.25">
      <c r="B176" s="345">
        <v>9886.2000000000007</v>
      </c>
      <c r="C176" s="728" t="str">
        <f t="shared" si="83"/>
        <v>2.16217503399043</v>
      </c>
      <c r="D176" s="728" t="str">
        <f t="shared" si="84"/>
        <v>1+7.55754723436706i</v>
      </c>
      <c r="E176" s="337">
        <f t="shared" si="102"/>
        <v>7.6234191934911468</v>
      </c>
      <c r="F176" s="338">
        <f t="shared" si="103"/>
        <v>1.4392424646569231</v>
      </c>
      <c r="G176" s="338" t="str">
        <f t="shared" si="85"/>
        <v>1+0.0310584132919194i</v>
      </c>
      <c r="H176" s="337">
        <f t="shared" si="104"/>
        <v>1.0004821962614885</v>
      </c>
      <c r="I176" s="338">
        <f t="shared" si="105"/>
        <v>3.1048432493570862E-2</v>
      </c>
      <c r="J176" s="340">
        <f t="shared" si="86"/>
        <v>1</v>
      </c>
      <c r="K176" s="338">
        <f t="shared" si="106"/>
        <v>1</v>
      </c>
      <c r="L176" s="339">
        <f t="shared" si="107"/>
        <v>0</v>
      </c>
      <c r="M176" s="731" t="str">
        <f t="shared" si="87"/>
        <v>0.995656135536+0.146014614176725i</v>
      </c>
      <c r="N176" s="338">
        <f t="shared" si="108"/>
        <v>1.006305822195052</v>
      </c>
      <c r="O176" s="339">
        <f t="shared" si="109"/>
        <v>0.14561367917873447</v>
      </c>
      <c r="P176" s="732" t="str">
        <f t="shared" si="101"/>
        <v>0.00479024274365857-0.28194068586099i</v>
      </c>
      <c r="Q176" s="337">
        <f t="shared" si="110"/>
        <v>0.28198137663560097</v>
      </c>
      <c r="R176" s="339">
        <f t="shared" si="111"/>
        <v>-1.5538077113420867</v>
      </c>
      <c r="S176" s="731" t="str">
        <f t="shared" si="88"/>
        <v>6000</v>
      </c>
      <c r="T176" s="337" t="str">
        <f t="shared" si="89"/>
        <v>1+62737.9948496772i</v>
      </c>
      <c r="U176" s="346">
        <f t="shared" si="112"/>
        <v>62737.99485764686</v>
      </c>
      <c r="V176" s="347">
        <f t="shared" si="113"/>
        <v>1.5707803874904558</v>
      </c>
      <c r="W176" s="340" t="str">
        <f t="shared" si="90"/>
        <v>1+621.168265838388i</v>
      </c>
      <c r="X176" s="337">
        <f t="shared" si="114"/>
        <v>621.16907077274084</v>
      </c>
      <c r="Y176" s="339">
        <f t="shared" si="115"/>
        <v>1.5691864584369919</v>
      </c>
      <c r="Z176" s="337" t="str">
        <f t="shared" si="91"/>
        <v>1+6.2573112737685i</v>
      </c>
      <c r="AA176" s="346">
        <f t="shared" si="116"/>
        <v>6.3367140046581216</v>
      </c>
      <c r="AB176" s="347">
        <f t="shared" si="117"/>
        <v>1.4123233533802406</v>
      </c>
      <c r="AC176" s="732" t="str">
        <f t="shared" si="118"/>
        <v>1.46469904417853-9.25976677907238i</v>
      </c>
      <c r="AD176" s="337">
        <f t="shared" si="119"/>
        <v>9.3748932843435604</v>
      </c>
      <c r="AE176" s="339">
        <f t="shared" si="120"/>
        <v>-1.4139172824337043</v>
      </c>
      <c r="AF176" s="736" t="str">
        <f t="shared" si="92"/>
        <v>-2.60368873263646-0.457314783717053i</v>
      </c>
      <c r="AG176" s="337">
        <f t="shared" si="121"/>
        <v>8.4437351846156616</v>
      </c>
      <c r="AH176" s="730">
        <f t="shared" si="122"/>
        <v>-170.03811689884134</v>
      </c>
      <c r="AI176" s="360">
        <f t="shared" si="93"/>
        <v>9.9618831011586622</v>
      </c>
      <c r="AL176" s="337">
        <f t="shared" si="94"/>
        <v>19.439326655921519</v>
      </c>
      <c r="AM176" s="730">
        <f t="shared" si="95"/>
        <v>-81.01149286405807</v>
      </c>
      <c r="AN176" s="351"/>
      <c r="AO176" s="337">
        <f t="shared" si="96"/>
        <v>42.27633972743358</v>
      </c>
      <c r="AP176" s="730">
        <f t="shared" si="97"/>
        <v>-89.026624034783268</v>
      </c>
      <c r="AS176" s="351"/>
      <c r="AT176" s="351"/>
      <c r="AV176" s="405">
        <f t="shared" si="98"/>
        <v>0</v>
      </c>
      <c r="AW176" s="405">
        <f t="shared" si="123"/>
        <v>0</v>
      </c>
      <c r="AX176" s="405">
        <f t="shared" si="99"/>
        <v>0</v>
      </c>
      <c r="AY176" s="405">
        <f t="shared" si="100"/>
        <v>0</v>
      </c>
    </row>
    <row r="177" spans="2:51" ht="13.5" thickBot="1" x14ac:dyDescent="0.25">
      <c r="B177" s="345">
        <v>9943.1</v>
      </c>
      <c r="C177" s="728" t="str">
        <f t="shared" si="83"/>
        <v>2.16217503399043</v>
      </c>
      <c r="D177" s="728" t="str">
        <f t="shared" si="84"/>
        <v>1+7.60104467905111i</v>
      </c>
      <c r="E177" s="337">
        <f t="shared" si="102"/>
        <v>7.6665429114387145</v>
      </c>
      <c r="F177" s="338">
        <f t="shared" si="103"/>
        <v>1.439986707063839</v>
      </c>
      <c r="G177" s="338" t="str">
        <f t="shared" si="85"/>
        <v>1+0.0312371699139086i</v>
      </c>
      <c r="H177" s="337">
        <f t="shared" si="104"/>
        <v>1.0004877614365058</v>
      </c>
      <c r="I177" s="338">
        <f t="shared" si="105"/>
        <v>3.1227015856200673E-2</v>
      </c>
      <c r="J177" s="340">
        <f t="shared" si="86"/>
        <v>1</v>
      </c>
      <c r="K177" s="338">
        <f t="shared" si="106"/>
        <v>1</v>
      </c>
      <c r="L177" s="339">
        <f t="shared" si="107"/>
        <v>0</v>
      </c>
      <c r="M177" s="731" t="str">
        <f t="shared" si="87"/>
        <v>0.995605989439556+0.146855000932673i</v>
      </c>
      <c r="N177" s="338">
        <f t="shared" si="108"/>
        <v>1.0063784961468785</v>
      </c>
      <c r="O177" s="339">
        <f t="shared" si="109"/>
        <v>0.14644713226206135</v>
      </c>
      <c r="P177" s="732" t="str">
        <f t="shared" si="101"/>
        <v>0.00437075433634425-0.280342494614723i</v>
      </c>
      <c r="Q177" s="337">
        <f t="shared" si="110"/>
        <v>0.28037656424935847</v>
      </c>
      <c r="R177" s="339">
        <f t="shared" si="111"/>
        <v>-1.5552068234696999</v>
      </c>
      <c r="S177" s="731" t="str">
        <f t="shared" si="88"/>
        <v>6000</v>
      </c>
      <c r="T177" s="337" t="str">
        <f t="shared" si="89"/>
        <v>1+63099.0832260955i</v>
      </c>
      <c r="U177" s="346">
        <f t="shared" si="112"/>
        <v>63099.083234019541</v>
      </c>
      <c r="V177" s="347">
        <f t="shared" si="113"/>
        <v>1.5707804787041038</v>
      </c>
      <c r="W177" s="340" t="str">
        <f t="shared" si="90"/>
        <v>1+624.743398278173i</v>
      </c>
      <c r="X177" s="337">
        <f t="shared" si="114"/>
        <v>624.7441986062455</v>
      </c>
      <c r="Y177" s="339">
        <f t="shared" si="115"/>
        <v>1.5691956709916934</v>
      </c>
      <c r="Z177" s="337" t="str">
        <f t="shared" si="91"/>
        <v>1+6.29332521355096i</v>
      </c>
      <c r="AA177" s="346">
        <f t="shared" si="116"/>
        <v>6.3722792031985094</v>
      </c>
      <c r="AB177" s="347">
        <f t="shared" si="117"/>
        <v>1.4132152443952806</v>
      </c>
      <c r="AC177" s="732" t="str">
        <f t="shared" si="118"/>
        <v>1.44839500531246-9.2093678801157i</v>
      </c>
      <c r="AD177" s="337">
        <f t="shared" si="119"/>
        <v>9.3225696480488036</v>
      </c>
      <c r="AE177" s="339">
        <f t="shared" si="120"/>
        <v>-1.4148000521076913</v>
      </c>
      <c r="AF177" s="736" t="str">
        <f t="shared" si="92"/>
        <v>-2.57544658658613-0.446298553573805i</v>
      </c>
      <c r="AG177" s="337">
        <f t="shared" si="121"/>
        <v>8.3455469237981674</v>
      </c>
      <c r="AH177" s="730">
        <f t="shared" si="122"/>
        <v>-170.16885909542074</v>
      </c>
      <c r="AI177" s="360">
        <f t="shared" si="93"/>
        <v>9.8311409045792573</v>
      </c>
      <c r="AL177" s="337">
        <f t="shared" si="94"/>
        <v>19.390712732381097</v>
      </c>
      <c r="AM177" s="730">
        <f t="shared" si="95"/>
        <v>-81.062071840659669</v>
      </c>
      <c r="AN177" s="351"/>
      <c r="AO177" s="337">
        <f t="shared" si="96"/>
        <v>42.226765390156508</v>
      </c>
      <c r="AP177" s="730">
        <f t="shared" si="97"/>
        <v>-89.106787254761059</v>
      </c>
      <c r="AS177" s="351"/>
      <c r="AT177" s="351"/>
      <c r="AV177" s="405">
        <f t="shared" si="98"/>
        <v>0</v>
      </c>
      <c r="AW177" s="405">
        <f t="shared" si="123"/>
        <v>0</v>
      </c>
      <c r="AX177" s="405">
        <f t="shared" si="99"/>
        <v>0</v>
      </c>
      <c r="AY177" s="405">
        <f t="shared" si="100"/>
        <v>0</v>
      </c>
    </row>
    <row r="178" spans="2:51" ht="13.5" thickBot="1" x14ac:dyDescent="0.25">
      <c r="B178" s="345">
        <v>10000</v>
      </c>
      <c r="C178" s="728" t="str">
        <f t="shared" si="83"/>
        <v>2.16217503399043</v>
      </c>
      <c r="D178" s="728" t="str">
        <f t="shared" si="84"/>
        <v>1+7.64454212373517i</v>
      </c>
      <c r="E178" s="337">
        <f t="shared" si="102"/>
        <v>7.7096708283532713</v>
      </c>
      <c r="F178" s="338">
        <f t="shared" si="103"/>
        <v>1.4407226232870034</v>
      </c>
      <c r="G178" s="338" t="str">
        <f t="shared" si="85"/>
        <v>1+0.0314159265358979i</v>
      </c>
      <c r="H178" s="337">
        <f t="shared" si="104"/>
        <v>1.0004933585187405</v>
      </c>
      <c r="I178" s="338">
        <f t="shared" si="105"/>
        <v>3.1405597226420098E-2</v>
      </c>
      <c r="J178" s="340">
        <f t="shared" si="86"/>
        <v>1</v>
      </c>
      <c r="K178" s="338">
        <f t="shared" si="106"/>
        <v>1</v>
      </c>
      <c r="L178" s="339">
        <f t="shared" si="107"/>
        <v>0</v>
      </c>
      <c r="M178" s="731" t="str">
        <f t="shared" si="87"/>
        <v>0.995555555555556+0.147695387688622i</v>
      </c>
      <c r="N178" s="338">
        <f t="shared" si="108"/>
        <v>1.0064515844003745</v>
      </c>
      <c r="O178" s="339">
        <f t="shared" si="109"/>
        <v>0.14728050636414614</v>
      </c>
      <c r="P178" s="732" t="str">
        <f t="shared" si="101"/>
        <v>0.00395834106233616-0.278761347439159i</v>
      </c>
      <c r="Q178" s="337">
        <f t="shared" si="110"/>
        <v>0.27878944974668834</v>
      </c>
      <c r="R178" s="339">
        <f t="shared" si="111"/>
        <v>-1.5565975324247294</v>
      </c>
      <c r="S178" s="731" t="str">
        <f t="shared" si="88"/>
        <v>6000</v>
      </c>
      <c r="T178" s="337" t="str">
        <f t="shared" si="89"/>
        <v>1+63460.1716025139i</v>
      </c>
      <c r="U178" s="346">
        <f t="shared" si="112"/>
        <v>63460.171610392848</v>
      </c>
      <c r="V178" s="347">
        <f t="shared" si="113"/>
        <v>1.5707805688797403</v>
      </c>
      <c r="W178" s="340" t="str">
        <f t="shared" si="90"/>
        <v>1+628.318530717959i</v>
      </c>
      <c r="X178" s="337">
        <f t="shared" si="114"/>
        <v>628.31932649217049</v>
      </c>
      <c r="Y178" s="339">
        <f t="shared" si="115"/>
        <v>1.5692047787077896</v>
      </c>
      <c r="Z178" s="337" t="str">
        <f t="shared" si="91"/>
        <v>1+6.32933915333344i</v>
      </c>
      <c r="AA178" s="346">
        <f t="shared" si="116"/>
        <v>6.4078494144228824</v>
      </c>
      <c r="AB178" s="347">
        <f t="shared" si="117"/>
        <v>1.4140972342648259</v>
      </c>
      <c r="AC178" s="732" t="str">
        <f t="shared" si="118"/>
        <v>1.43235944631599-9.1595001023655i</v>
      </c>
      <c r="AD178" s="337">
        <f t="shared" si="119"/>
        <v>9.2708195812821348</v>
      </c>
      <c r="AE178" s="339">
        <f t="shared" si="120"/>
        <v>-1.4156730244367768</v>
      </c>
      <c r="AF178" s="736" t="str">
        <f t="shared" si="92"/>
        <v>-2.54764482319214-0.435542874637919i</v>
      </c>
      <c r="AG178" s="337">
        <f t="shared" si="121"/>
        <v>8.2478892815968408</v>
      </c>
      <c r="AH178" s="730">
        <f t="shared" si="122"/>
        <v>-170.29855847916326</v>
      </c>
      <c r="AI178" s="360">
        <f t="shared" si="93"/>
        <v>9.7014415208367382</v>
      </c>
      <c r="AL178" s="337">
        <f t="shared" si="94"/>
        <v>19.342362587732495</v>
      </c>
      <c r="AM178" s="730">
        <f t="shared" si="95"/>
        <v>-81.112089470747961</v>
      </c>
      <c r="AN178" s="351"/>
      <c r="AO178" s="337">
        <f t="shared" si="96"/>
        <v>42.177457892603762</v>
      </c>
      <c r="AP178" s="730">
        <f t="shared" si="97"/>
        <v>-89.186469008415315</v>
      </c>
      <c r="AS178" s="351"/>
      <c r="AT178" s="351"/>
      <c r="AV178" s="405">
        <f t="shared" si="98"/>
        <v>0</v>
      </c>
      <c r="AW178" s="405">
        <f t="shared" si="123"/>
        <v>0</v>
      </c>
      <c r="AX178" s="405">
        <f t="shared" si="99"/>
        <v>0</v>
      </c>
      <c r="AY178" s="405">
        <f t="shared" si="100"/>
        <v>0</v>
      </c>
    </row>
    <row r="179" spans="2:51" ht="13.5" thickBot="1" x14ac:dyDescent="0.25">
      <c r="B179" s="345">
        <v>10058.25</v>
      </c>
      <c r="C179" s="728" t="str">
        <f t="shared" si="83"/>
        <v>2.16217503399043</v>
      </c>
      <c r="D179" s="728" t="str">
        <f t="shared" si="84"/>
        <v>1+7.68907158160592i</v>
      </c>
      <c r="E179" s="337">
        <f t="shared" si="102"/>
        <v>7.7538262675313891</v>
      </c>
      <c r="F179" s="338">
        <f t="shared" si="103"/>
        <v>1.4414675191223163</v>
      </c>
      <c r="G179" s="338" t="str">
        <f t="shared" si="85"/>
        <v>1+0.0315989243079696i</v>
      </c>
      <c r="H179" s="337">
        <f t="shared" si="104"/>
        <v>1.0004991214476007</v>
      </c>
      <c r="I179" s="338">
        <f t="shared" si="105"/>
        <v>3.1588413512991464E-2</v>
      </c>
      <c r="J179" s="340">
        <f t="shared" si="86"/>
        <v>1</v>
      </c>
      <c r="K179" s="338">
        <f t="shared" si="106"/>
        <v>1</v>
      </c>
      <c r="L179" s="339">
        <f t="shared" si="107"/>
        <v>0</v>
      </c>
      <c r="M179" s="731" t="str">
        <f t="shared" si="87"/>
        <v>0.995503626975+0.148555713321908i</v>
      </c>
      <c r="N179" s="338">
        <f t="shared" si="108"/>
        <v>1.0065268358473911</v>
      </c>
      <c r="O179" s="339">
        <f t="shared" si="109"/>
        <v>0.14813357069600164</v>
      </c>
      <c r="P179" s="732" t="str">
        <f t="shared" si="101"/>
        <v>0.0035433103676257-0.277160060849244i</v>
      </c>
      <c r="Q179" s="337">
        <f t="shared" si="110"/>
        <v>0.27718270937834116</v>
      </c>
      <c r="R179" s="339">
        <f t="shared" si="111"/>
        <v>-1.5580126763053266</v>
      </c>
      <c r="S179" s="731" t="str">
        <f t="shared" si="88"/>
        <v>6000</v>
      </c>
      <c r="T179" s="337" t="str">
        <f t="shared" si="89"/>
        <v>1+63829.8271020985i</v>
      </c>
      <c r="U179" s="346">
        <f t="shared" si="112"/>
        <v>63829.827109931823</v>
      </c>
      <c r="V179" s="347">
        <f t="shared" si="113"/>
        <v>1.5707806601380165</v>
      </c>
      <c r="W179" s="340" t="str">
        <f t="shared" si="90"/>
        <v>1+631.978486159391i</v>
      </c>
      <c r="X179" s="337">
        <f t="shared" si="114"/>
        <v>631.97927732506821</v>
      </c>
      <c r="Y179" s="339">
        <f t="shared" si="115"/>
        <v>1.5692139957704871</v>
      </c>
      <c r="Z179" s="337" t="str">
        <f t="shared" si="91"/>
        <v>1+6.3662075539016i</v>
      </c>
      <c r="AA179" s="346">
        <f t="shared" si="116"/>
        <v>6.4442686644299512</v>
      </c>
      <c r="AB179" s="347">
        <f t="shared" si="117"/>
        <v>1.4149900635354999</v>
      </c>
      <c r="AC179" s="732" t="str">
        <f t="shared" si="118"/>
        <v>1.41621547205629-9.10899088493388i</v>
      </c>
      <c r="AD179" s="337">
        <f t="shared" si="119"/>
        <v>9.2184261783180812</v>
      </c>
      <c r="AE179" s="339">
        <f t="shared" si="120"/>
        <v>-1.4165567279030289</v>
      </c>
      <c r="AF179" s="736" t="str">
        <f t="shared" si="92"/>
        <v>-2.51963037697855-0.424794348251956i</v>
      </c>
      <c r="AG179" s="337">
        <f t="shared" si="121"/>
        <v>8.1484583546200842</v>
      </c>
      <c r="AH179" s="730">
        <f t="shared" si="122"/>
        <v>-170.43027272988255</v>
      </c>
      <c r="AI179" s="360">
        <f t="shared" si="93"/>
        <v>9.5697272701174541</v>
      </c>
      <c r="AL179" s="337">
        <f t="shared" si="94"/>
        <v>19.293135643601222</v>
      </c>
      <c r="AM179" s="730">
        <f t="shared" si="95"/>
        <v>-81.162721949705286</v>
      </c>
      <c r="AN179" s="351"/>
      <c r="AO179" s="337">
        <f t="shared" si="96"/>
        <v>42.127253909758295</v>
      </c>
      <c r="AP179" s="730">
        <f t="shared" si="97"/>
        <v>-89.267550780177288</v>
      </c>
      <c r="AS179" s="351"/>
      <c r="AT179" s="351"/>
      <c r="AV179" s="405">
        <f t="shared" si="98"/>
        <v>0</v>
      </c>
      <c r="AW179" s="405">
        <f t="shared" si="123"/>
        <v>0</v>
      </c>
      <c r="AX179" s="405">
        <f t="shared" si="99"/>
        <v>0</v>
      </c>
      <c r="AY179" s="405">
        <f t="shared" si="100"/>
        <v>0</v>
      </c>
    </row>
    <row r="180" spans="2:51" ht="13.5" thickBot="1" x14ac:dyDescent="0.25">
      <c r="B180" s="345">
        <v>10116.5</v>
      </c>
      <c r="C180" s="728" t="str">
        <f t="shared" si="83"/>
        <v>2.16217503399043</v>
      </c>
      <c r="D180" s="728" t="str">
        <f t="shared" si="84"/>
        <v>1+7.73360103947668i</v>
      </c>
      <c r="E180" s="337">
        <f t="shared" si="102"/>
        <v>7.7979859603486581</v>
      </c>
      <c r="F180" s="338">
        <f t="shared" si="103"/>
        <v>1.4422039787298249</v>
      </c>
      <c r="G180" s="338" t="str">
        <f t="shared" si="85"/>
        <v>1+0.0317819220800412i</v>
      </c>
      <c r="H180" s="337">
        <f t="shared" si="104"/>
        <v>1.0005049178145513</v>
      </c>
      <c r="I180" s="338">
        <f t="shared" si="105"/>
        <v>3.1771227687401635E-2</v>
      </c>
      <c r="J180" s="340">
        <f t="shared" si="86"/>
        <v>1</v>
      </c>
      <c r="K180" s="338">
        <f t="shared" si="106"/>
        <v>1</v>
      </c>
      <c r="L180" s="339">
        <f t="shared" si="107"/>
        <v>0</v>
      </c>
      <c r="M180" s="731" t="str">
        <f t="shared" si="87"/>
        <v>0.995451396788889+0.149416038955194i</v>
      </c>
      <c r="N180" s="338">
        <f t="shared" si="108"/>
        <v>1.0066025213886611</v>
      </c>
      <c r="O180" s="339">
        <f t="shared" si="109"/>
        <v>0.14898655133614566</v>
      </c>
      <c r="P180" s="732" t="str">
        <f t="shared" si="101"/>
        <v>0.00313537098014387-0.275576072170107i</v>
      </c>
      <c r="Q180" s="337">
        <f t="shared" si="110"/>
        <v>0.27559390795858885</v>
      </c>
      <c r="R180" s="339">
        <f t="shared" si="111"/>
        <v>-1.559419302378569</v>
      </c>
      <c r="S180" s="731" t="str">
        <f t="shared" si="88"/>
        <v>6000</v>
      </c>
      <c r="T180" s="337" t="str">
        <f t="shared" si="89"/>
        <v>1+64199.4826016831i</v>
      </c>
      <c r="U180" s="346">
        <f t="shared" si="112"/>
        <v>64199.482609471313</v>
      </c>
      <c r="V180" s="347">
        <f t="shared" si="113"/>
        <v>1.5707807503453772</v>
      </c>
      <c r="W180" s="340" t="str">
        <f t="shared" si="90"/>
        <v>1+635.638441600823i</v>
      </c>
      <c r="X180" s="337">
        <f t="shared" si="114"/>
        <v>635.63922821103699</v>
      </c>
      <c r="Y180" s="339">
        <f t="shared" si="115"/>
        <v>1.5692231066912254</v>
      </c>
      <c r="Z180" s="337" t="str">
        <f t="shared" si="91"/>
        <v>1+6.40307595446977i</v>
      </c>
      <c r="AA180" s="346">
        <f t="shared" si="116"/>
        <v>6.4806929937090025</v>
      </c>
      <c r="AB180" s="347">
        <f t="shared" si="117"/>
        <v>1.415872857321262</v>
      </c>
      <c r="AC180" s="732" t="str">
        <f t="shared" si="118"/>
        <v>1.40034070812559-9.05902127973096i</v>
      </c>
      <c r="AD180" s="337">
        <f t="shared" si="119"/>
        <v>9.1666144593002308</v>
      </c>
      <c r="AE180" s="339">
        <f t="shared" si="120"/>
        <v>-1.4174305009754136</v>
      </c>
      <c r="AF180" s="736" t="str">
        <f t="shared" si="92"/>
        <v>-2.4920589143551-0.414303784474131i</v>
      </c>
      <c r="AG180" s="337">
        <f t="shared" si="121"/>
        <v>8.0495715769410623</v>
      </c>
      <c r="AH180" s="730">
        <f t="shared" si="122"/>
        <v>-170.56092997653224</v>
      </c>
      <c r="AI180" s="360">
        <f t="shared" si="93"/>
        <v>9.4390700234677638</v>
      </c>
      <c r="AL180" s="337">
        <f t="shared" si="94"/>
        <v>19.244179312897696</v>
      </c>
      <c r="AM180" s="730">
        <f t="shared" si="95"/>
        <v>-81.212785459005119</v>
      </c>
      <c r="AN180" s="351"/>
      <c r="AO180" s="337">
        <f t="shared" si="96"/>
        <v>42.077323462782779</v>
      </c>
      <c r="AP180" s="730">
        <f t="shared" si="97"/>
        <v>-89.348144517527132</v>
      </c>
      <c r="AS180" s="351"/>
      <c r="AT180" s="351"/>
      <c r="AV180" s="405">
        <f t="shared" si="98"/>
        <v>0</v>
      </c>
      <c r="AW180" s="405">
        <f t="shared" si="123"/>
        <v>0</v>
      </c>
      <c r="AX180" s="405">
        <f t="shared" si="99"/>
        <v>0</v>
      </c>
      <c r="AY180" s="405">
        <f t="shared" si="100"/>
        <v>0</v>
      </c>
    </row>
    <row r="181" spans="2:51" ht="13.5" thickBot="1" x14ac:dyDescent="0.25">
      <c r="B181" s="345">
        <v>10174.75</v>
      </c>
      <c r="C181" s="728" t="str">
        <f t="shared" si="83"/>
        <v>2.16217503399043</v>
      </c>
      <c r="D181" s="728" t="str">
        <f t="shared" si="84"/>
        <v>1+7.77813049734744i</v>
      </c>
      <c r="E181" s="337">
        <f t="shared" si="102"/>
        <v>7.8421498349474508</v>
      </c>
      <c r="F181" s="338">
        <f t="shared" si="103"/>
        <v>1.44293214383229</v>
      </c>
      <c r="G181" s="338" t="str">
        <f t="shared" si="85"/>
        <v>1+0.0319649198521127i</v>
      </c>
      <c r="H181" s="337">
        <f t="shared" si="104"/>
        <v>1.0005107476190109</v>
      </c>
      <c r="I181" s="338">
        <f t="shared" si="105"/>
        <v>3.1954039737467764E-2</v>
      </c>
      <c r="J181" s="340">
        <f t="shared" si="86"/>
        <v>1</v>
      </c>
      <c r="K181" s="338">
        <f t="shared" si="106"/>
        <v>1</v>
      </c>
      <c r="L181" s="339">
        <f t="shared" si="107"/>
        <v>0</v>
      </c>
      <c r="M181" s="731" t="str">
        <f t="shared" si="87"/>
        <v>0.995398864997222+0.150276364588481i</v>
      </c>
      <c r="N181" s="338">
        <f t="shared" si="108"/>
        <v>1.0066786409732194</v>
      </c>
      <c r="O181" s="339">
        <f t="shared" si="109"/>
        <v>0.14983944782060618</v>
      </c>
      <c r="P181" s="732" t="str">
        <f t="shared" si="101"/>
        <v>0.00273436593010816-0.274009104675257i</v>
      </c>
      <c r="Q181" s="337">
        <f t="shared" si="110"/>
        <v>0.27402274759949347</v>
      </c>
      <c r="R181" s="339">
        <f t="shared" si="111"/>
        <v>-1.5608175519154284</v>
      </c>
      <c r="S181" s="731" t="str">
        <f t="shared" si="88"/>
        <v>6000</v>
      </c>
      <c r="T181" s="337" t="str">
        <f t="shared" si="89"/>
        <v>1+64569.1381012678i</v>
      </c>
      <c r="U181" s="346">
        <f t="shared" si="112"/>
        <v>64569.138109011437</v>
      </c>
      <c r="V181" s="347">
        <f t="shared" si="113"/>
        <v>1.5707808395198712</v>
      </c>
      <c r="W181" s="340" t="str">
        <f t="shared" si="90"/>
        <v>1+639.298397042255i</v>
      </c>
      <c r="X181" s="337">
        <f t="shared" si="114"/>
        <v>639.29917914916541</v>
      </c>
      <c r="Y181" s="339">
        <f t="shared" si="115"/>
        <v>1.5692321132929725</v>
      </c>
      <c r="Z181" s="337" t="str">
        <f t="shared" si="91"/>
        <v>1+6.43994435503794i</v>
      </c>
      <c r="AA181" s="346">
        <f t="shared" si="116"/>
        <v>6.5171223170955619</v>
      </c>
      <c r="AB181" s="347">
        <f t="shared" si="117"/>
        <v>1.4167457825231395</v>
      </c>
      <c r="AC181" s="732" t="str">
        <f t="shared" si="118"/>
        <v>1.3847292507665-9.00958293572652i</v>
      </c>
      <c r="AD181" s="337">
        <f t="shared" si="119"/>
        <v>9.1153749113057803</v>
      </c>
      <c r="AE181" s="339">
        <f t="shared" si="120"/>
        <v>-1.418294508750038</v>
      </c>
      <c r="AF181" s="736" t="str">
        <f t="shared" si="92"/>
        <v>-2.46492139723018-0.404063918844103i</v>
      </c>
      <c r="AG181" s="337">
        <f t="shared" si="121"/>
        <v>7.9512230467566702</v>
      </c>
      <c r="AH181" s="730">
        <f t="shared" si="122"/>
        <v>-170.69054777265291</v>
      </c>
      <c r="AI181" s="360">
        <f t="shared" si="93"/>
        <v>9.3094522273470943</v>
      </c>
      <c r="AL181" s="337">
        <f t="shared" si="94"/>
        <v>19.195490713934792</v>
      </c>
      <c r="AM181" s="730">
        <f t="shared" si="95"/>
        <v>-81.262289457957593</v>
      </c>
      <c r="AN181" s="351"/>
      <c r="AO181" s="337">
        <f t="shared" si="96"/>
        <v>42.027663531561274</v>
      </c>
      <c r="AP181" s="730">
        <f t="shared" si="97"/>
        <v>-89.428258314695299</v>
      </c>
      <c r="AS181" s="351"/>
      <c r="AT181" s="351"/>
      <c r="AV181" s="405">
        <f t="shared" si="98"/>
        <v>0</v>
      </c>
      <c r="AW181" s="405">
        <f t="shared" si="123"/>
        <v>0</v>
      </c>
      <c r="AX181" s="405">
        <f t="shared" si="99"/>
        <v>0</v>
      </c>
      <c r="AY181" s="405">
        <f t="shared" si="100"/>
        <v>0</v>
      </c>
    </row>
    <row r="182" spans="2:51" ht="13.5" thickBot="1" x14ac:dyDescent="0.25">
      <c r="B182" s="345">
        <v>10233</v>
      </c>
      <c r="C182" s="728" t="str">
        <f t="shared" si="83"/>
        <v>2.16217503399043</v>
      </c>
      <c r="D182" s="728" t="str">
        <f t="shared" si="84"/>
        <v>1+7.82265995521819i</v>
      </c>
      <c r="E182" s="337">
        <f t="shared" si="102"/>
        <v>7.8863178210730425</v>
      </c>
      <c r="F182" s="338">
        <f t="shared" si="103"/>
        <v>1.4436521530131892</v>
      </c>
      <c r="G182" s="338" t="str">
        <f t="shared" si="85"/>
        <v>1+0.0321479176241843i</v>
      </c>
      <c r="H182" s="337">
        <f t="shared" si="104"/>
        <v>1.0005166108603951</v>
      </c>
      <c r="I182" s="338">
        <f t="shared" si="105"/>
        <v>3.2136849651008027E-2</v>
      </c>
      <c r="J182" s="340">
        <f t="shared" si="86"/>
        <v>1</v>
      </c>
      <c r="K182" s="338">
        <f t="shared" si="106"/>
        <v>1</v>
      </c>
      <c r="L182" s="339">
        <f t="shared" si="107"/>
        <v>0</v>
      </c>
      <c r="M182" s="731" t="str">
        <f t="shared" si="87"/>
        <v>0.9953460316+0.151136690221767i</v>
      </c>
      <c r="N182" s="338">
        <f t="shared" si="108"/>
        <v>1.0067551945498263</v>
      </c>
      <c r="O182" s="339">
        <f t="shared" si="109"/>
        <v>0.15069225968575856</v>
      </c>
      <c r="P182" s="732" t="str">
        <f t="shared" si="101"/>
        <v>0.00234014255648612-0.27245888738924i</v>
      </c>
      <c r="Q182" s="337">
        <f t="shared" si="110"/>
        <v>0.27246893691679286</v>
      </c>
      <c r="R182" s="339">
        <f t="shared" si="111"/>
        <v>-1.5622075630479397</v>
      </c>
      <c r="S182" s="731" t="str">
        <f t="shared" si="88"/>
        <v>6000</v>
      </c>
      <c r="T182" s="337" t="str">
        <f t="shared" si="89"/>
        <v>1+64938.7936008524i</v>
      </c>
      <c r="U182" s="346">
        <f t="shared" si="112"/>
        <v>64938.793608551961</v>
      </c>
      <c r="V182" s="347">
        <f t="shared" si="113"/>
        <v>1.5707809276791374</v>
      </c>
      <c r="W182" s="340" t="str">
        <f t="shared" si="90"/>
        <v>1+642.958352483687i</v>
      </c>
      <c r="X182" s="337">
        <f t="shared" si="114"/>
        <v>642.95913013856261</v>
      </c>
      <c r="Y182" s="339">
        <f t="shared" si="115"/>
        <v>1.5692410173571891</v>
      </c>
      <c r="Z182" s="337" t="str">
        <f t="shared" si="91"/>
        <v>1+6.4768127556061i</v>
      </c>
      <c r="AA182" s="346">
        <f t="shared" si="116"/>
        <v>6.5535565513072278</v>
      </c>
      <c r="AB182" s="347">
        <f t="shared" si="117"/>
        <v>1.4176090023915671</v>
      </c>
      <c r="AC182" s="732" t="str">
        <f t="shared" si="118"/>
        <v>1.36937535582385-8.96066766739716i</v>
      </c>
      <c r="AD182" s="337">
        <f t="shared" si="119"/>
        <v>9.0646982250196579</v>
      </c>
      <c r="AE182" s="339">
        <f t="shared" si="120"/>
        <v>-1.4191489127135151</v>
      </c>
      <c r="AF182" s="736" t="str">
        <f t="shared" si="92"/>
        <v>-2.4382090093778-0.394067725609016i</v>
      </c>
      <c r="AG182" s="337">
        <f t="shared" si="121"/>
        <v>7.8534069549620158</v>
      </c>
      <c r="AH182" s="730">
        <f t="shared" si="122"/>
        <v>-170.81914328512846</v>
      </c>
      <c r="AI182" s="360">
        <f t="shared" si="93"/>
        <v>9.1808567148715383</v>
      </c>
      <c r="AL182" s="337">
        <f t="shared" si="94"/>
        <v>19.14706700946833</v>
      </c>
      <c r="AM182" s="730">
        <f t="shared" si="95"/>
        <v>-81.311243199064066</v>
      </c>
      <c r="AN182" s="351"/>
      <c r="AO182" s="337">
        <f t="shared" si="96"/>
        <v>41.978271144233119</v>
      </c>
      <c r="AP182" s="730">
        <f t="shared" si="97"/>
        <v>-89.50790008606441</v>
      </c>
      <c r="AS182" s="351"/>
      <c r="AT182" s="351"/>
      <c r="AV182" s="405">
        <f t="shared" si="98"/>
        <v>0</v>
      </c>
      <c r="AW182" s="405">
        <f t="shared" si="123"/>
        <v>0</v>
      </c>
      <c r="AX182" s="405">
        <f t="shared" si="99"/>
        <v>0</v>
      </c>
      <c r="AY182" s="405">
        <f t="shared" si="100"/>
        <v>0</v>
      </c>
    </row>
    <row r="183" spans="2:51" ht="13.5" thickBot="1" x14ac:dyDescent="0.25">
      <c r="B183" s="345">
        <v>10292.5</v>
      </c>
      <c r="C183" s="728" t="str">
        <f t="shared" si="83"/>
        <v>2.16217503399043</v>
      </c>
      <c r="D183" s="728" t="str">
        <f t="shared" si="84"/>
        <v>1+7.86814498085442i</v>
      </c>
      <c r="E183" s="337">
        <f t="shared" si="102"/>
        <v>7.9314377914565144</v>
      </c>
      <c r="F183" s="338">
        <f t="shared" si="103"/>
        <v>1.4443793336139001</v>
      </c>
      <c r="G183" s="338" t="str">
        <f t="shared" si="85"/>
        <v>1+0.032334842387073i</v>
      </c>
      <c r="H183" s="337">
        <f t="shared" si="104"/>
        <v>1.0005226344427181</v>
      </c>
      <c r="I183" s="338">
        <f t="shared" si="105"/>
        <v>3.2323580305610264E-2</v>
      </c>
      <c r="J183" s="340">
        <f t="shared" si="86"/>
        <v>1</v>
      </c>
      <c r="K183" s="338">
        <f t="shared" si="106"/>
        <v>1</v>
      </c>
      <c r="L183" s="339">
        <f t="shared" si="107"/>
        <v>0</v>
      </c>
      <c r="M183" s="731" t="str">
        <f t="shared" si="87"/>
        <v>0.995291753055556+0.152015477778514i</v>
      </c>
      <c r="N183" s="338">
        <f t="shared" si="108"/>
        <v>1.0068338389151565</v>
      </c>
      <c r="O183" s="339">
        <f t="shared" si="109"/>
        <v>0.1515632843904163</v>
      </c>
      <c r="P183" s="732" t="str">
        <f t="shared" si="101"/>
        <v>0.00194430660539486-0.270892420971753i</v>
      </c>
      <c r="Q183" s="337">
        <f t="shared" si="110"/>
        <v>0.27089939842700506</v>
      </c>
      <c r="R183" s="339">
        <f t="shared" si="111"/>
        <v>-1.5636190376987062</v>
      </c>
      <c r="S183" s="731" t="str">
        <f t="shared" si="88"/>
        <v>6000</v>
      </c>
      <c r="T183" s="337" t="str">
        <f t="shared" si="89"/>
        <v>1+65316.3816218874i</v>
      </c>
      <c r="U183" s="346">
        <f t="shared" si="112"/>
        <v>65316.381629542448</v>
      </c>
      <c r="V183" s="347">
        <f t="shared" si="113"/>
        <v>1.5707810167000156</v>
      </c>
      <c r="W183" s="340" t="str">
        <f t="shared" si="90"/>
        <v>1+646.696847741459i</v>
      </c>
      <c r="X183" s="337">
        <f t="shared" si="114"/>
        <v>646.69762090078837</v>
      </c>
      <c r="Y183" s="339">
        <f t="shared" si="115"/>
        <v>1.5692500084442524</v>
      </c>
      <c r="Z183" s="337" t="str">
        <f t="shared" si="91"/>
        <v>1+6.51447232356844i</v>
      </c>
      <c r="AA183" s="346">
        <f t="shared" si="116"/>
        <v>6.5907776213842313</v>
      </c>
      <c r="AB183" s="347">
        <f t="shared" si="117"/>
        <v>1.4184808923555099</v>
      </c>
      <c r="AC183" s="732" t="str">
        <f t="shared" si="118"/>
        <v>1.3539520792033-8.91123440609328i</v>
      </c>
      <c r="AD183" s="337">
        <f t="shared" si="119"/>
        <v>9.0135056927435055</v>
      </c>
      <c r="AE183" s="339">
        <f t="shared" si="120"/>
        <v>-1.4200119006112728</v>
      </c>
      <c r="AF183" s="736" t="str">
        <f t="shared" si="92"/>
        <v>-2.41135336414241-0.38410152853311i</v>
      </c>
      <c r="AG183" s="337">
        <f t="shared" si="121"/>
        <v>7.7540355595642074</v>
      </c>
      <c r="AH183" s="730">
        <f t="shared" si="122"/>
        <v>-170.94946038981948</v>
      </c>
      <c r="AI183" s="360">
        <f t="shared" si="93"/>
        <v>9.0505396101805218</v>
      </c>
      <c r="AL183" s="337">
        <f t="shared" si="94"/>
        <v>19.09787474720812</v>
      </c>
      <c r="AM183" s="730">
        <f t="shared" si="95"/>
        <v>-81.360688763376459</v>
      </c>
      <c r="AN183" s="351"/>
      <c r="AO183" s="337">
        <f t="shared" si="96"/>
        <v>41.928092011095501</v>
      </c>
      <c r="AP183" s="730">
        <f t="shared" si="97"/>
        <v>-89.588771626443034</v>
      </c>
      <c r="AS183" s="351"/>
      <c r="AT183" s="351"/>
      <c r="AV183" s="405">
        <f t="shared" si="98"/>
        <v>0</v>
      </c>
      <c r="AW183" s="405">
        <f t="shared" si="123"/>
        <v>0</v>
      </c>
      <c r="AX183" s="405">
        <f t="shared" si="99"/>
        <v>0</v>
      </c>
      <c r="AY183" s="405">
        <f t="shared" si="100"/>
        <v>0</v>
      </c>
    </row>
    <row r="184" spans="2:51" ht="13.5" thickBot="1" x14ac:dyDescent="0.25">
      <c r="B184" s="345">
        <v>10352</v>
      </c>
      <c r="C184" s="728" t="str">
        <f t="shared" si="83"/>
        <v>2.16217503399043</v>
      </c>
      <c r="D184" s="728" t="str">
        <f t="shared" si="84"/>
        <v>1+7.91363000649064i</v>
      </c>
      <c r="E184" s="337">
        <f t="shared" si="102"/>
        <v>7.9765619084684012</v>
      </c>
      <c r="F184" s="338">
        <f t="shared" si="103"/>
        <v>1.4450982871411164</v>
      </c>
      <c r="G184" s="338" t="str">
        <f t="shared" si="85"/>
        <v>1+0.0325217671499616i</v>
      </c>
      <c r="H184" s="337">
        <f t="shared" si="104"/>
        <v>1.000528692911181</v>
      </c>
      <c r="I184" s="338">
        <f t="shared" si="105"/>
        <v>3.2510308705315259E-2</v>
      </c>
      <c r="J184" s="340">
        <f t="shared" si="86"/>
        <v>1</v>
      </c>
      <c r="K184" s="338">
        <f t="shared" si="106"/>
        <v>1</v>
      </c>
      <c r="L184" s="339">
        <f t="shared" si="107"/>
        <v>0</v>
      </c>
      <c r="M184" s="731" t="str">
        <f t="shared" si="87"/>
        <v>0.995237159822222+0.152894265335261i</v>
      </c>
      <c r="N184" s="338">
        <f t="shared" si="108"/>
        <v>1.0069129359897071</v>
      </c>
      <c r="O184" s="339">
        <f t="shared" si="109"/>
        <v>0.15243421982834787</v>
      </c>
      <c r="P184" s="732" t="str">
        <f t="shared" si="101"/>
        <v>0.00155523767815056-0.26934287757283i</v>
      </c>
      <c r="Q184" s="337">
        <f t="shared" si="110"/>
        <v>0.26934736765642986</v>
      </c>
      <c r="R184" s="339">
        <f t="shared" si="111"/>
        <v>-1.565022198264149</v>
      </c>
      <c r="S184" s="731" t="str">
        <f t="shared" si="88"/>
        <v>6000</v>
      </c>
      <c r="T184" s="337" t="str">
        <f t="shared" si="89"/>
        <v>1+65693.9696429223i</v>
      </c>
      <c r="U184" s="346">
        <f t="shared" si="112"/>
        <v>65693.969650533356</v>
      </c>
      <c r="V184" s="347">
        <f t="shared" si="113"/>
        <v>1.5707811046975662</v>
      </c>
      <c r="W184" s="340" t="str">
        <f t="shared" si="90"/>
        <v>1+650.435342999231i</v>
      </c>
      <c r="X184" s="337">
        <f t="shared" si="114"/>
        <v>650.43611171469195</v>
      </c>
      <c r="Y184" s="339">
        <f t="shared" si="115"/>
        <v>1.5692588961757499</v>
      </c>
      <c r="Z184" s="337" t="str">
        <f t="shared" si="91"/>
        <v>1+6.55213189153077i</v>
      </c>
      <c r="AA184" s="346">
        <f t="shared" si="116"/>
        <v>6.6280036454436715</v>
      </c>
      <c r="AB184" s="347">
        <f t="shared" si="117"/>
        <v>1.4193429890704039</v>
      </c>
      <c r="AC184" s="732" t="str">
        <f t="shared" si="118"/>
        <v>1.33878591000823-8.86233015785544i</v>
      </c>
      <c r="AD184" s="337">
        <f t="shared" si="119"/>
        <v>8.9628814306377276</v>
      </c>
      <c r="AE184" s="339">
        <f t="shared" si="120"/>
        <v>-1.4208651975922197</v>
      </c>
      <c r="AF184" s="736" t="str">
        <f t="shared" si="92"/>
        <v>-2.38492337642704-0.374375479233283i</v>
      </c>
      <c r="AG184" s="337">
        <f t="shared" si="121"/>
        <v>7.6552077346404976</v>
      </c>
      <c r="AH184" s="730">
        <f t="shared" si="122"/>
        <v>-171.07874588387807</v>
      </c>
      <c r="AI184" s="360">
        <f t="shared" si="93"/>
        <v>8.9212541161219292</v>
      </c>
      <c r="AL184" s="337">
        <f t="shared" si="94"/>
        <v>19.048953024164422</v>
      </c>
      <c r="AM184" s="730">
        <f t="shared" si="95"/>
        <v>-81.409579079055973</v>
      </c>
      <c r="AN184" s="351"/>
      <c r="AO184" s="337">
        <f t="shared" si="96"/>
        <v>41.878185909215517</v>
      </c>
      <c r="AP184" s="730">
        <f t="shared" si="97"/>
        <v>-89.669166804822083</v>
      </c>
      <c r="AS184" s="351"/>
      <c r="AT184" s="351"/>
      <c r="AV184" s="405">
        <f t="shared" si="98"/>
        <v>0</v>
      </c>
      <c r="AW184" s="405">
        <f t="shared" si="123"/>
        <v>0</v>
      </c>
      <c r="AX184" s="405">
        <f t="shared" si="99"/>
        <v>0</v>
      </c>
      <c r="AY184" s="405">
        <f t="shared" si="100"/>
        <v>0</v>
      </c>
    </row>
    <row r="185" spans="2:51" ht="13.5" thickBot="1" x14ac:dyDescent="0.25">
      <c r="B185" s="345">
        <v>10411.5</v>
      </c>
      <c r="C185" s="728" t="str">
        <f t="shared" si="83"/>
        <v>2.16217503399043</v>
      </c>
      <c r="D185" s="728" t="str">
        <f t="shared" si="84"/>
        <v>1+7.95911503212687i</v>
      </c>
      <c r="E185" s="337">
        <f t="shared" si="102"/>
        <v>8.0216901021310907</v>
      </c>
      <c r="F185" s="338">
        <f t="shared" si="103"/>
        <v>1.4458091516961504</v>
      </c>
      <c r="G185" s="338" t="str">
        <f t="shared" si="85"/>
        <v>1+0.0327086919128501i</v>
      </c>
      <c r="H185" s="337">
        <f t="shared" si="104"/>
        <v>1.0005347862651501</v>
      </c>
      <c r="I185" s="338">
        <f t="shared" si="105"/>
        <v>3.2697034837142605E-2</v>
      </c>
      <c r="J185" s="340">
        <f t="shared" si="86"/>
        <v>1</v>
      </c>
      <c r="K185" s="338">
        <f t="shared" si="106"/>
        <v>1</v>
      </c>
      <c r="L185" s="339">
        <f t="shared" si="107"/>
        <v>0</v>
      </c>
      <c r="M185" s="731" t="str">
        <f t="shared" si="87"/>
        <v>0.9951822519+0.153773052892009i</v>
      </c>
      <c r="N185" s="338">
        <f t="shared" si="108"/>
        <v>1.0069924857179837</v>
      </c>
      <c r="O185" s="339">
        <f t="shared" si="109"/>
        <v>0.15330506550658438</v>
      </c>
      <c r="P185" s="732" t="str">
        <f t="shared" si="101"/>
        <v>0.00117278610535254-0.2678099860539i</v>
      </c>
      <c r="Q185" s="337">
        <f t="shared" si="110"/>
        <v>0.26781255395787373</v>
      </c>
      <c r="R185" s="339">
        <f t="shared" si="111"/>
        <v>-1.5664171823655924</v>
      </c>
      <c r="S185" s="731" t="str">
        <f t="shared" si="88"/>
        <v>6000</v>
      </c>
      <c r="T185" s="337" t="str">
        <f t="shared" si="89"/>
        <v>1+66071.5576639573i</v>
      </c>
      <c r="U185" s="346">
        <f t="shared" si="112"/>
        <v>66071.557671524846</v>
      </c>
      <c r="V185" s="347">
        <f t="shared" si="113"/>
        <v>1.5707811916893342</v>
      </c>
      <c r="W185" s="340" t="str">
        <f t="shared" si="90"/>
        <v>1+654.173838257003i</v>
      </c>
      <c r="X185" s="337">
        <f t="shared" si="114"/>
        <v>654.17460257938751</v>
      </c>
      <c r="Y185" s="339">
        <f t="shared" si="115"/>
        <v>1.5692676823236558</v>
      </c>
      <c r="Z185" s="337" t="str">
        <f t="shared" si="91"/>
        <v>1+6.58979145949311i</v>
      </c>
      <c r="AA185" s="346">
        <f t="shared" si="116"/>
        <v>6.6652345404800517</v>
      </c>
      <c r="AB185" s="347">
        <f t="shared" si="117"/>
        <v>1.4201954553543508</v>
      </c>
      <c r="AC185" s="732" t="str">
        <f t="shared" si="118"/>
        <v>1.32387120960128-8.81394670867872i</v>
      </c>
      <c r="AD185" s="337">
        <f t="shared" si="119"/>
        <v>8.9128161409870685</v>
      </c>
      <c r="AE185" s="339">
        <f t="shared" si="120"/>
        <v>-1.4217089647200287</v>
      </c>
      <c r="AF185" s="736" t="str">
        <f t="shared" si="92"/>
        <v>-2.35891032737117-0.364882804413735i</v>
      </c>
      <c r="AG185" s="337">
        <f t="shared" si="121"/>
        <v>7.5569175765467609</v>
      </c>
      <c r="AH185" s="730">
        <f t="shared" si="122"/>
        <v>-171.20701688069394</v>
      </c>
      <c r="AI185" s="360">
        <f t="shared" si="93"/>
        <v>8.7929831193060579</v>
      </c>
      <c r="AL185" s="337">
        <f t="shared" si="94"/>
        <v>19.000298954480115</v>
      </c>
      <c r="AM185" s="730">
        <f t="shared" si="95"/>
        <v>-81.457923374371305</v>
      </c>
      <c r="AN185" s="351"/>
      <c r="AO185" s="337">
        <f t="shared" si="96"/>
        <v>41.82854982080606</v>
      </c>
      <c r="AP185" s="730">
        <f t="shared" si="97"/>
        <v>-89.749093506322637</v>
      </c>
      <c r="AS185" s="351"/>
      <c r="AT185" s="351"/>
      <c r="AV185" s="405">
        <f t="shared" si="98"/>
        <v>0</v>
      </c>
      <c r="AW185" s="405">
        <f t="shared" si="123"/>
        <v>0</v>
      </c>
      <c r="AX185" s="405">
        <f t="shared" si="99"/>
        <v>0</v>
      </c>
      <c r="AY185" s="405">
        <f t="shared" si="100"/>
        <v>0</v>
      </c>
    </row>
    <row r="186" spans="2:51" ht="13.5" thickBot="1" x14ac:dyDescent="0.25">
      <c r="B186" s="345">
        <v>10471</v>
      </c>
      <c r="C186" s="728" t="str">
        <f t="shared" si="83"/>
        <v>2.16217503399043</v>
      </c>
      <c r="D186" s="728" t="str">
        <f t="shared" si="84"/>
        <v>1+8.0046000577631i</v>
      </c>
      <c r="E186" s="337">
        <f t="shared" si="102"/>
        <v>8.0668223040265996</v>
      </c>
      <c r="F186" s="338">
        <f t="shared" si="103"/>
        <v>1.4465120623228427</v>
      </c>
      <c r="G186" s="338" t="str">
        <f t="shared" si="85"/>
        <v>1+0.0328956166757387i</v>
      </c>
      <c r="H186" s="337">
        <f t="shared" si="104"/>
        <v>1.0005409145039883</v>
      </c>
      <c r="I186" s="338">
        <f t="shared" si="105"/>
        <v>3.2883758688113024E-2</v>
      </c>
      <c r="J186" s="340">
        <f t="shared" si="86"/>
        <v>1</v>
      </c>
      <c r="K186" s="338">
        <f t="shared" si="106"/>
        <v>1</v>
      </c>
      <c r="L186" s="339">
        <f t="shared" si="107"/>
        <v>0</v>
      </c>
      <c r="M186" s="731" t="str">
        <f t="shared" si="87"/>
        <v>0.995127029288889+0.154651840448756i</v>
      </c>
      <c r="N186" s="338">
        <f t="shared" si="108"/>
        <v>1.0070724880441908</v>
      </c>
      <c r="O186" s="339">
        <f t="shared" si="109"/>
        <v>0.15417582093254376</v>
      </c>
      <c r="P186" s="732" t="str">
        <f t="shared" si="101"/>
        <v>0.000796806324841445-0.266293480927085i</v>
      </c>
      <c r="Q186" s="337">
        <f t="shared" si="110"/>
        <v>0.26629467303080451</v>
      </c>
      <c r="R186" s="339">
        <f t="shared" si="111"/>
        <v>-1.5678041245672736</v>
      </c>
      <c r="S186" s="731" t="str">
        <f t="shared" si="88"/>
        <v>6000</v>
      </c>
      <c r="T186" s="337" t="str">
        <f t="shared" si="89"/>
        <v>1+66449.1456849923i</v>
      </c>
      <c r="U186" s="346">
        <f t="shared" si="112"/>
        <v>66449.14569251686</v>
      </c>
      <c r="V186" s="347">
        <f t="shared" si="113"/>
        <v>1.5707812776924648</v>
      </c>
      <c r="W186" s="340" t="str">
        <f t="shared" si="90"/>
        <v>1+657.912333514775i</v>
      </c>
      <c r="X186" s="337">
        <f t="shared" si="114"/>
        <v>657.91309349400899</v>
      </c>
      <c r="Y186" s="339">
        <f t="shared" si="115"/>
        <v>1.5692763686196689</v>
      </c>
      <c r="Z186" s="337" t="str">
        <f t="shared" si="91"/>
        <v>1+6.62745102745544i</v>
      </c>
      <c r="AA186" s="346">
        <f t="shared" si="116"/>
        <v>6.7024702253214192</v>
      </c>
      <c r="AB186" s="347">
        <f t="shared" si="117"/>
        <v>1.421038450463997</v>
      </c>
      <c r="AC186" s="732" t="str">
        <f t="shared" si="118"/>
        <v>1.30920249184936-8.76607600824696i</v>
      </c>
      <c r="AD186" s="337">
        <f t="shared" si="119"/>
        <v>8.8633007252957157</v>
      </c>
      <c r="AE186" s="339">
        <f t="shared" si="120"/>
        <v>-1.4225433595367922</v>
      </c>
      <c r="AF186" s="736" t="str">
        <f t="shared" si="92"/>
        <v>-2.33330571348149-0.355616953600392i</v>
      </c>
      <c r="AG186" s="337">
        <f t="shared" si="121"/>
        <v>7.4591592745897897</v>
      </c>
      <c r="AH186" s="730">
        <f t="shared" si="122"/>
        <v>-171.334290116727</v>
      </c>
      <c r="AI186" s="360">
        <f t="shared" si="93"/>
        <v>8.6657098832729957</v>
      </c>
      <c r="AL186" s="337">
        <f t="shared" si="94"/>
        <v>18.951909696953731</v>
      </c>
      <c r="AM186" s="730">
        <f t="shared" si="95"/>
        <v>-81.505730675819436</v>
      </c>
      <c r="AN186" s="351"/>
      <c r="AO186" s="337">
        <f t="shared" si="96"/>
        <v>41.779180776375455</v>
      </c>
      <c r="AP186" s="730">
        <f t="shared" si="97"/>
        <v>-89.828559440907554</v>
      </c>
      <c r="AS186" s="351"/>
      <c r="AT186" s="351"/>
      <c r="AV186" s="405">
        <f t="shared" si="98"/>
        <v>0</v>
      </c>
      <c r="AW186" s="405">
        <f t="shared" si="123"/>
        <v>0</v>
      </c>
      <c r="AX186" s="405">
        <f t="shared" si="99"/>
        <v>0</v>
      </c>
      <c r="AY186" s="405">
        <f t="shared" si="100"/>
        <v>0</v>
      </c>
    </row>
    <row r="187" spans="2:51" ht="13.5" thickBot="1" x14ac:dyDescent="0.25">
      <c r="B187" s="345">
        <v>10532</v>
      </c>
      <c r="C187" s="728" t="str">
        <f t="shared" si="83"/>
        <v>2.16217503399043</v>
      </c>
      <c r="D187" s="728" t="str">
        <f t="shared" si="84"/>
        <v>1+8.05123176471787i</v>
      </c>
      <c r="E187" s="337">
        <f t="shared" si="102"/>
        <v>8.1130963835764973</v>
      </c>
      <c r="F187" s="338">
        <f t="shared" si="103"/>
        <v>1.44722457439005</v>
      </c>
      <c r="G187" s="338" t="str">
        <f t="shared" si="85"/>
        <v>1+0.0330872538276077i</v>
      </c>
      <c r="H187" s="337">
        <f t="shared" si="104"/>
        <v>1.0005472334507015</v>
      </c>
      <c r="I187" s="338">
        <f t="shared" si="105"/>
        <v>3.3075187481638138E-2</v>
      </c>
      <c r="J187" s="340">
        <f t="shared" si="86"/>
        <v>1</v>
      </c>
      <c r="K187" s="338">
        <f t="shared" si="106"/>
        <v>1</v>
      </c>
      <c r="L187" s="339">
        <f t="shared" si="107"/>
        <v>0</v>
      </c>
      <c r="M187" s="731" t="str">
        <f t="shared" si="87"/>
        <v>0.995070087822222+0.155552782313657i</v>
      </c>
      <c r="N187" s="338">
        <f t="shared" si="108"/>
        <v>1.0071549770338448</v>
      </c>
      <c r="O187" s="339">
        <f t="shared" si="109"/>
        <v>0.15506843396685949</v>
      </c>
      <c r="P187" s="732" t="str">
        <f t="shared" si="101"/>
        <v>0.000417918445388037-0.264755483704936i</v>
      </c>
      <c r="Q187" s="337">
        <f t="shared" si="110"/>
        <v>0.26475581354837452</v>
      </c>
      <c r="R187" s="339">
        <f t="shared" si="111"/>
        <v>-1.5692178208752714</v>
      </c>
      <c r="S187" s="731" t="str">
        <f t="shared" si="88"/>
        <v>6000</v>
      </c>
      <c r="T187" s="337" t="str">
        <f t="shared" si="89"/>
        <v>1+66836.2527317676i</v>
      </c>
      <c r="U187" s="346">
        <f t="shared" si="112"/>
        <v>66836.252739248564</v>
      </c>
      <c r="V187" s="347">
        <f t="shared" si="113"/>
        <v>1.5707813648549456</v>
      </c>
      <c r="W187" s="340" t="str">
        <f t="shared" si="90"/>
        <v>1+661.745076552154i</v>
      </c>
      <c r="X187" s="337">
        <f t="shared" si="114"/>
        <v>661.74583212969026</v>
      </c>
      <c r="Y187" s="339">
        <f t="shared" si="115"/>
        <v>1.5692851720100149</v>
      </c>
      <c r="Z187" s="337" t="str">
        <f t="shared" si="91"/>
        <v>1+6.66605999629077i</v>
      </c>
      <c r="AA187" s="346">
        <f t="shared" si="116"/>
        <v>6.740649514264045</v>
      </c>
      <c r="AB187" s="347">
        <f t="shared" si="117"/>
        <v>1.4218930282823221</v>
      </c>
      <c r="AC187" s="732" t="str">
        <f t="shared" si="118"/>
        <v>1.29441374946994-8.7175225255674i</v>
      </c>
      <c r="AD187" s="337">
        <f t="shared" si="119"/>
        <v>8.8130985435652462</v>
      </c>
      <c r="AE187" s="339">
        <f t="shared" si="120"/>
        <v>-1.4233892211272527</v>
      </c>
      <c r="AF187" s="736" t="str">
        <f t="shared" si="92"/>
        <v>-2.30747093358341-0.346346351816754i</v>
      </c>
      <c r="AG187" s="337">
        <f t="shared" si="121"/>
        <v>7.3594826279343213</v>
      </c>
      <c r="AH187" s="730">
        <f t="shared" si="122"/>
        <v>-171.46375324787414</v>
      </c>
      <c r="AI187" s="360">
        <f t="shared" si="93"/>
        <v>8.5362467521258623</v>
      </c>
      <c r="AL187" s="337">
        <f t="shared" si="94"/>
        <v>18.902572524165627</v>
      </c>
      <c r="AM187" s="730">
        <f t="shared" si="95"/>
        <v>-81.554194975005046</v>
      </c>
      <c r="AN187" s="351"/>
      <c r="AO187" s="337">
        <f t="shared" si="96"/>
        <v>41.728841302508073</v>
      </c>
      <c r="AP187" s="730">
        <f t="shared" si="97"/>
        <v>-89.909558272869063</v>
      </c>
      <c r="AS187" s="351"/>
      <c r="AT187" s="351"/>
      <c r="AV187" s="405">
        <f t="shared" si="98"/>
        <v>0</v>
      </c>
      <c r="AW187" s="405">
        <f t="shared" si="123"/>
        <v>0</v>
      </c>
      <c r="AX187" s="405">
        <f t="shared" si="99"/>
        <v>0</v>
      </c>
      <c r="AY187" s="405">
        <f t="shared" si="100"/>
        <v>0</v>
      </c>
    </row>
    <row r="188" spans="2:51" ht="13.5" thickBot="1" x14ac:dyDescent="0.25">
      <c r="B188" s="345">
        <v>10593</v>
      </c>
      <c r="C188" s="728" t="str">
        <f t="shared" si="83"/>
        <v>2.16217503399043</v>
      </c>
      <c r="D188" s="728" t="str">
        <f t="shared" si="84"/>
        <v>1+8.09786347167267i</v>
      </c>
      <c r="E188" s="337">
        <f t="shared" si="102"/>
        <v>8.1593745352110485</v>
      </c>
      <c r="F188" s="338">
        <f t="shared" si="103"/>
        <v>1.4479290043926027</v>
      </c>
      <c r="G188" s="338" t="str">
        <f t="shared" si="85"/>
        <v>1+0.0332788909794767i</v>
      </c>
      <c r="H188" s="337">
        <f t="shared" si="104"/>
        <v>1.0005535890619872</v>
      </c>
      <c r="I188" s="338">
        <f t="shared" si="105"/>
        <v>3.3266613850230289E-2</v>
      </c>
      <c r="J188" s="340">
        <f t="shared" si="86"/>
        <v>1</v>
      </c>
      <c r="K188" s="338">
        <f t="shared" si="106"/>
        <v>1</v>
      </c>
      <c r="L188" s="339">
        <f t="shared" si="107"/>
        <v>0</v>
      </c>
      <c r="M188" s="731" t="str">
        <f t="shared" si="87"/>
        <v>0.9950128156+0.156453724178557i</v>
      </c>
      <c r="N188" s="338">
        <f t="shared" si="108"/>
        <v>1.007237941609419</v>
      </c>
      <c r="O188" s="339">
        <f t="shared" si="109"/>
        <v>0.15596095109375763</v>
      </c>
      <c r="P188" s="732" t="str">
        <f t="shared" si="101"/>
        <v>0.0000455356037567262-0.263234161978078i</v>
      </c>
      <c r="Q188" s="337">
        <f t="shared" si="110"/>
        <v>0.26323416591656984</v>
      </c>
      <c r="R188" s="339">
        <f t="shared" si="111"/>
        <v>-1.5706233416361302</v>
      </c>
      <c r="S188" s="731" t="str">
        <f t="shared" si="88"/>
        <v>6000</v>
      </c>
      <c r="T188" s="337" t="str">
        <f t="shared" si="89"/>
        <v>1+67223.3597785429i</v>
      </c>
      <c r="U188" s="346">
        <f t="shared" si="112"/>
        <v>67223.359785980792</v>
      </c>
      <c r="V188" s="347">
        <f t="shared" si="113"/>
        <v>1.5707814510135727</v>
      </c>
      <c r="W188" s="340" t="str">
        <f t="shared" si="90"/>
        <v>1+665.577819589534i</v>
      </c>
      <c r="X188" s="337">
        <f t="shared" si="114"/>
        <v>665.57857081606699</v>
      </c>
      <c r="Y188" s="339">
        <f t="shared" si="115"/>
        <v>1.5692938740115965</v>
      </c>
      <c r="Z188" s="337" t="str">
        <f t="shared" si="91"/>
        <v>1+6.70466896512611i</v>
      </c>
      <c r="AA188" s="346">
        <f t="shared" si="116"/>
        <v>6.7788336704720251</v>
      </c>
      <c r="AB188" s="347">
        <f t="shared" si="117"/>
        <v>1.4227379792938621</v>
      </c>
      <c r="AC188" s="732" t="str">
        <f t="shared" si="118"/>
        <v>1.27987234148608-8.669491345434i</v>
      </c>
      <c r="AD188" s="337">
        <f t="shared" si="119"/>
        <v>8.7634555626793755</v>
      </c>
      <c r="AE188" s="339">
        <f t="shared" si="120"/>
        <v>-1.4242255562958384</v>
      </c>
      <c r="AF188" s="736" t="str">
        <f t="shared" si="92"/>
        <v>-2.28204800933172-0.337300893772687i</v>
      </c>
      <c r="AG188" s="337">
        <f t="shared" si="121"/>
        <v>7.2603529145731693</v>
      </c>
      <c r="AH188" s="730">
        <f t="shared" si="122"/>
        <v>-171.59220213090765</v>
      </c>
      <c r="AI188" s="360">
        <f t="shared" si="93"/>
        <v>8.4077978690923487</v>
      </c>
      <c r="AL188" s="337">
        <f t="shared" si="94"/>
        <v>18.853507776064895</v>
      </c>
      <c r="AM188" s="730">
        <f t="shared" si="95"/>
        <v>-81.602113450423374</v>
      </c>
      <c r="AN188" s="351"/>
      <c r="AO188" s="337">
        <f t="shared" si="96"/>
        <v>41.678776337247683</v>
      </c>
      <c r="AP188" s="730">
        <f t="shared" si="97"/>
        <v>-89.990088680484291</v>
      </c>
      <c r="AS188" s="351"/>
      <c r="AT188" s="351"/>
      <c r="AV188" s="405">
        <f t="shared" si="98"/>
        <v>0</v>
      </c>
      <c r="AW188" s="405">
        <f t="shared" si="123"/>
        <v>0</v>
      </c>
      <c r="AX188" s="405">
        <f t="shared" si="99"/>
        <v>0</v>
      </c>
      <c r="AY188" s="405">
        <f t="shared" si="100"/>
        <v>0</v>
      </c>
    </row>
    <row r="189" spans="2:51" ht="13.5" thickBot="1" x14ac:dyDescent="0.25">
      <c r="B189" s="345">
        <v>10654</v>
      </c>
      <c r="C189" s="728" t="str">
        <f t="shared" si="83"/>
        <v>2.16217503399043</v>
      </c>
      <c r="D189" s="728" t="str">
        <f t="shared" si="84"/>
        <v>1+8.14449517862744i</v>
      </c>
      <c r="E189" s="337">
        <f t="shared" si="102"/>
        <v>8.2056566900331411</v>
      </c>
      <c r="F189" s="338">
        <f t="shared" si="103"/>
        <v>1.4486254883805973</v>
      </c>
      <c r="G189" s="338" t="str">
        <f t="shared" si="85"/>
        <v>1+0.0334705281313456i</v>
      </c>
      <c r="H189" s="337">
        <f t="shared" si="104"/>
        <v>1.0005599813371466</v>
      </c>
      <c r="I189" s="338">
        <f t="shared" si="105"/>
        <v>3.3458037779906448E-2</v>
      </c>
      <c r="J189" s="340">
        <f t="shared" si="86"/>
        <v>1</v>
      </c>
      <c r="K189" s="338">
        <f t="shared" si="106"/>
        <v>1</v>
      </c>
      <c r="L189" s="339">
        <f t="shared" si="107"/>
        <v>0</v>
      </c>
      <c r="M189" s="731" t="str">
        <f t="shared" si="87"/>
        <v>0.994955212622222+0.157354666043458i</v>
      </c>
      <c r="N189" s="338">
        <f t="shared" si="108"/>
        <v>1.0073213817098192</v>
      </c>
      <c r="O189" s="339">
        <f t="shared" si="109"/>
        <v>0.15685337178374736</v>
      </c>
      <c r="P189" s="732" t="str">
        <f t="shared" si="101"/>
        <v>-0.000320486469076129-0.261729247238917i</v>
      </c>
      <c r="Q189" s="337">
        <f t="shared" si="110"/>
        <v>0.26172944345607546</v>
      </c>
      <c r="R189" s="339">
        <f t="shared" si="111"/>
        <v>-1.5720208223844381</v>
      </c>
      <c r="S189" s="731" t="str">
        <f t="shared" si="88"/>
        <v>6000</v>
      </c>
      <c r="T189" s="337" t="str">
        <f t="shared" si="89"/>
        <v>1+67610.4668253182i</v>
      </c>
      <c r="U189" s="346">
        <f t="shared" si="112"/>
        <v>67610.4668327135</v>
      </c>
      <c r="V189" s="347">
        <f t="shared" si="113"/>
        <v>1.5707815361855888</v>
      </c>
      <c r="W189" s="340" t="str">
        <f t="shared" si="90"/>
        <v>1+669.410562626913i</v>
      </c>
      <c r="X189" s="337">
        <f t="shared" si="114"/>
        <v>669.41130955226652</v>
      </c>
      <c r="Y189" s="339">
        <f t="shared" si="115"/>
        <v>1.5693024763659271</v>
      </c>
      <c r="Z189" s="337" t="str">
        <f t="shared" si="91"/>
        <v>1+6.74327793396144i</v>
      </c>
      <c r="AA189" s="346">
        <f t="shared" si="116"/>
        <v>6.8170226121563697</v>
      </c>
      <c r="AB189" s="347">
        <f t="shared" si="117"/>
        <v>1.4235734640699074</v>
      </c>
      <c r="AC189" s="732" t="str">
        <f t="shared" si="118"/>
        <v>1.26557282401021-8.62197430374498i</v>
      </c>
      <c r="AD189" s="337">
        <f t="shared" si="119"/>
        <v>8.7143625967314389</v>
      </c>
      <c r="AE189" s="339">
        <f t="shared" si="120"/>
        <v>-1.4250525238895679</v>
      </c>
      <c r="AF189" s="736" t="str">
        <f t="shared" si="92"/>
        <v>-2.25702844319818-0.32847419645315i</v>
      </c>
      <c r="AG189" s="337">
        <f t="shared" si="121"/>
        <v>7.1617641651439312</v>
      </c>
      <c r="AH189" s="730">
        <f t="shared" si="122"/>
        <v>-171.71965363265127</v>
      </c>
      <c r="AI189" s="360">
        <f t="shared" si="93"/>
        <v>8.2803463673487272</v>
      </c>
      <c r="AL189" s="337">
        <f t="shared" si="94"/>
        <v>18.804712531511353</v>
      </c>
      <c r="AM189" s="730">
        <f t="shared" si="95"/>
        <v>-81.649495203338162</v>
      </c>
      <c r="AN189" s="351"/>
      <c r="AO189" s="337">
        <f t="shared" si="96"/>
        <v>41.628982832372003</v>
      </c>
      <c r="AP189" s="730">
        <f t="shared" si="97"/>
        <v>-90.070158429313111</v>
      </c>
      <c r="AS189" s="351"/>
      <c r="AT189" s="351"/>
      <c r="AV189" s="405">
        <f t="shared" si="98"/>
        <v>0</v>
      </c>
      <c r="AW189" s="405">
        <f t="shared" si="123"/>
        <v>0</v>
      </c>
      <c r="AX189" s="405">
        <f t="shared" si="99"/>
        <v>0</v>
      </c>
      <c r="AY189" s="405">
        <f t="shared" si="100"/>
        <v>0</v>
      </c>
    </row>
    <row r="190" spans="2:51" ht="13.5" thickBot="1" x14ac:dyDescent="0.25">
      <c r="B190" s="345">
        <v>10715</v>
      </c>
      <c r="C190" s="728" t="str">
        <f t="shared" si="83"/>
        <v>2.16217503399043</v>
      </c>
      <c r="D190" s="728" t="str">
        <f t="shared" si="84"/>
        <v>1+8.19112688558223i</v>
      </c>
      <c r="E190" s="337">
        <f t="shared" si="102"/>
        <v>8.2519427806855301</v>
      </c>
      <c r="F190" s="338">
        <f t="shared" si="103"/>
        <v>1.4493141593828827</v>
      </c>
      <c r="G190" s="338" t="str">
        <f t="shared" si="85"/>
        <v>1+0.0336621652832146i</v>
      </c>
      <c r="H190" s="337">
        <f t="shared" si="104"/>
        <v>1.0005664102754772</v>
      </c>
      <c r="I190" s="338">
        <f t="shared" si="105"/>
        <v>3.3649459256684951E-2</v>
      </c>
      <c r="J190" s="340">
        <f t="shared" si="86"/>
        <v>1</v>
      </c>
      <c r="K190" s="338">
        <f t="shared" si="106"/>
        <v>1</v>
      </c>
      <c r="L190" s="339">
        <f t="shared" si="107"/>
        <v>0</v>
      </c>
      <c r="M190" s="731" t="str">
        <f t="shared" si="87"/>
        <v>0.994897278888889+0.158255607908358i</v>
      </c>
      <c r="N190" s="338">
        <f t="shared" si="108"/>
        <v>1.0074052972736245</v>
      </c>
      <c r="O190" s="339">
        <f t="shared" si="109"/>
        <v>0.15774569550777279</v>
      </c>
      <c r="P190" s="732" t="str">
        <f t="shared" si="101"/>
        <v>-0.000680288070123824-0.260240476610387i</v>
      </c>
      <c r="Q190" s="337">
        <f t="shared" si="110"/>
        <v>0.26024136577081625</v>
      </c>
      <c r="R190" s="339">
        <f t="shared" si="111"/>
        <v>-1.5734103956339704</v>
      </c>
      <c r="S190" s="731" t="str">
        <f t="shared" si="88"/>
        <v>6000</v>
      </c>
      <c r="T190" s="337" t="str">
        <f t="shared" si="89"/>
        <v>1+67997.5738720936i</v>
      </c>
      <c r="U190" s="346">
        <f t="shared" si="112"/>
        <v>67997.57387944682</v>
      </c>
      <c r="V190" s="347">
        <f t="shared" si="113"/>
        <v>1.5707816203878444</v>
      </c>
      <c r="W190" s="340" t="str">
        <f t="shared" si="90"/>
        <v>1+673.243305664293i</v>
      </c>
      <c r="X190" s="337">
        <f t="shared" si="114"/>
        <v>673.24404833743949</v>
      </c>
      <c r="Y190" s="339">
        <f t="shared" si="115"/>
        <v>1.5693109807748638</v>
      </c>
      <c r="Z190" s="337" t="str">
        <f t="shared" si="91"/>
        <v>1+6.78188690279678i</v>
      </c>
      <c r="AA190" s="346">
        <f t="shared" si="116"/>
        <v>6.8552162593405095</v>
      </c>
      <c r="AB190" s="347">
        <f t="shared" si="117"/>
        <v>1.4243996396568124</v>
      </c>
      <c r="AC190" s="732" t="str">
        <f t="shared" si="118"/>
        <v>1.251509900977-8.57496340051356i</v>
      </c>
      <c r="AD190" s="337">
        <f t="shared" si="119"/>
        <v>8.6658106575432718</v>
      </c>
      <c r="AE190" s="339">
        <f t="shared" si="120"/>
        <v>-1.425870279269793</v>
      </c>
      <c r="AF190" s="736" t="str">
        <f t="shared" si="92"/>
        <v>-2.23240394952155-0.319860087809755i</v>
      </c>
      <c r="AG190" s="337">
        <f t="shared" si="121"/>
        <v>7.0637105048203965</v>
      </c>
      <c r="AH190" s="730">
        <f t="shared" si="122"/>
        <v>-171.84612424713475</v>
      </c>
      <c r="AI190" s="360">
        <f t="shared" si="93"/>
        <v>8.1538757528652468</v>
      </c>
      <c r="AL190" s="337">
        <f t="shared" si="94"/>
        <v>18.756183914870693</v>
      </c>
      <c r="AM190" s="730">
        <f t="shared" si="95"/>
        <v>-81.696349135299172</v>
      </c>
      <c r="AN190" s="351"/>
      <c r="AO190" s="337">
        <f t="shared" si="96"/>
        <v>41.579457788689112</v>
      </c>
      <c r="AP190" s="730">
        <f t="shared" si="97"/>
        <v>-90.149775111835595</v>
      </c>
      <c r="AS190" s="351"/>
      <c r="AT190" s="351"/>
      <c r="AV190" s="405">
        <f t="shared" si="98"/>
        <v>0</v>
      </c>
      <c r="AW190" s="405">
        <f t="shared" si="123"/>
        <v>0</v>
      </c>
      <c r="AX190" s="405">
        <f t="shared" si="99"/>
        <v>0</v>
      </c>
      <c r="AY190" s="405">
        <f t="shared" si="100"/>
        <v>0</v>
      </c>
    </row>
    <row r="191" spans="2:51" ht="13.5" thickBot="1" x14ac:dyDescent="0.25">
      <c r="B191" s="345">
        <v>10777.5</v>
      </c>
      <c r="C191" s="728" t="str">
        <f t="shared" si="83"/>
        <v>2.16217503399043</v>
      </c>
      <c r="D191" s="728" t="str">
        <f t="shared" si="84"/>
        <v>1+8.23890527385557i</v>
      </c>
      <c r="E191" s="337">
        <f t="shared" si="102"/>
        <v>8.2993710672294387</v>
      </c>
      <c r="F191" s="338">
        <f t="shared" si="103"/>
        <v>1.4500117974020703</v>
      </c>
      <c r="G191" s="338" t="str">
        <f t="shared" si="85"/>
        <v>1+0.033858514824064i</v>
      </c>
      <c r="H191" s="337">
        <f t="shared" si="104"/>
        <v>1.000573035328302</v>
      </c>
      <c r="I191" s="338">
        <f t="shared" si="105"/>
        <v>3.3845585260223382E-2</v>
      </c>
      <c r="J191" s="340">
        <f t="shared" si="86"/>
        <v>1</v>
      </c>
      <c r="K191" s="338">
        <f t="shared" si="106"/>
        <v>1</v>
      </c>
      <c r="L191" s="339">
        <f t="shared" si="107"/>
        <v>0</v>
      </c>
      <c r="M191" s="731" t="str">
        <f t="shared" si="87"/>
        <v>0.9948375775+0.159178704081412i</v>
      </c>
      <c r="N191" s="338">
        <f t="shared" si="108"/>
        <v>1.0074917694150689</v>
      </c>
      <c r="O191" s="339">
        <f t="shared" si="109"/>
        <v>0.15865986049380087</v>
      </c>
      <c r="P191" s="732" t="str">
        <f t="shared" si="101"/>
        <v>-0.00104262812073973-0.258731572223627i</v>
      </c>
      <c r="Q191" s="337">
        <f t="shared" si="110"/>
        <v>0.25873367298963634</v>
      </c>
      <c r="R191" s="339">
        <f t="shared" si="111"/>
        <v>-1.5748260726356478</v>
      </c>
      <c r="S191" s="731" t="str">
        <f t="shared" si="88"/>
        <v>6000</v>
      </c>
      <c r="T191" s="337" t="str">
        <f t="shared" si="89"/>
        <v>1+68394.1999446093i</v>
      </c>
      <c r="U191" s="346">
        <f t="shared" si="112"/>
        <v>68394.199951919858</v>
      </c>
      <c r="V191" s="347">
        <f t="shared" si="113"/>
        <v>1.5707817056720421</v>
      </c>
      <c r="W191" s="340" t="str">
        <f t="shared" si="90"/>
        <v>1+677.17029648128i</v>
      </c>
      <c r="X191" s="337">
        <f t="shared" si="114"/>
        <v>677.17103484758172</v>
      </c>
      <c r="Y191" s="339">
        <f t="shared" si="115"/>
        <v>1.5693195944599385</v>
      </c>
      <c r="Z191" s="337" t="str">
        <f t="shared" si="91"/>
        <v>1+6.82144527250511i</v>
      </c>
      <c r="AA191" s="346">
        <f t="shared" si="116"/>
        <v>6.8943538932797983</v>
      </c>
      <c r="AB191" s="347">
        <f t="shared" si="117"/>
        <v>1.4252366362753879</v>
      </c>
      <c r="AC191" s="732" t="str">
        <f t="shared" si="118"/>
        <v>1.23734117364325-8.5273132549839i</v>
      </c>
      <c r="AD191" s="337">
        <f t="shared" si="119"/>
        <v>8.6166167681182717</v>
      </c>
      <c r="AE191" s="339">
        <f t="shared" si="120"/>
        <v>-1.4266987474874919</v>
      </c>
      <c r="AF191" s="736" t="str">
        <f t="shared" si="92"/>
        <v>-2.20757525200795-0.311248410639743i</v>
      </c>
      <c r="AG191" s="337">
        <f t="shared" si="121"/>
        <v>6.9637946308653991</v>
      </c>
      <c r="AH191" s="730">
        <f t="shared" si="122"/>
        <v>-171.97470429681951</v>
      </c>
      <c r="AI191" s="360">
        <f t="shared" si="93"/>
        <v>8.0252957031804897</v>
      </c>
      <c r="AL191" s="337">
        <f t="shared" si="94"/>
        <v>18.706735554646279</v>
      </c>
      <c r="AM191" s="730">
        <f t="shared" si="95"/>
        <v>-81.743816867634052</v>
      </c>
      <c r="AN191" s="351"/>
      <c r="AO191" s="337">
        <f t="shared" si="96"/>
        <v>41.528990274958574</v>
      </c>
      <c r="AP191" s="730">
        <f t="shared" si="97"/>
        <v>-90.230887429185444</v>
      </c>
      <c r="AS191" s="351"/>
      <c r="AT191" s="351"/>
      <c r="AV191" s="405">
        <f t="shared" si="98"/>
        <v>0</v>
      </c>
      <c r="AW191" s="405">
        <f t="shared" si="123"/>
        <v>0</v>
      </c>
      <c r="AX191" s="405">
        <f t="shared" si="99"/>
        <v>0</v>
      </c>
      <c r="AY191" s="405">
        <f t="shared" si="100"/>
        <v>0</v>
      </c>
    </row>
    <row r="192" spans="2:51" ht="13.5" thickBot="1" x14ac:dyDescent="0.25">
      <c r="B192" s="345">
        <v>10840</v>
      </c>
      <c r="C192" s="728" t="str">
        <f t="shared" si="83"/>
        <v>2.16217503399043</v>
      </c>
      <c r="D192" s="728" t="str">
        <f t="shared" si="84"/>
        <v>1+8.28668366212892i</v>
      </c>
      <c r="E192" s="337">
        <f t="shared" si="102"/>
        <v>8.3468033471619769</v>
      </c>
      <c r="F192" s="338">
        <f t="shared" si="103"/>
        <v>1.450701506835248</v>
      </c>
      <c r="G192" s="338" t="str">
        <f t="shared" si="85"/>
        <v>1+0.0340548643649134i</v>
      </c>
      <c r="H192" s="337">
        <f t="shared" si="104"/>
        <v>1.0005796988680675</v>
      </c>
      <c r="I192" s="338">
        <f t="shared" si="105"/>
        <v>3.4041708659033193E-2</v>
      </c>
      <c r="J192" s="340">
        <f t="shared" si="86"/>
        <v>1</v>
      </c>
      <c r="K192" s="338">
        <f t="shared" si="106"/>
        <v>1</v>
      </c>
      <c r="L192" s="339">
        <f t="shared" si="107"/>
        <v>0</v>
      </c>
      <c r="M192" s="731" t="str">
        <f t="shared" si="87"/>
        <v>0.994777528888889+0.160101800254466i</v>
      </c>
      <c r="N192" s="338">
        <f t="shared" si="108"/>
        <v>1.0075787405592702</v>
      </c>
      <c r="O192" s="339">
        <f t="shared" si="109"/>
        <v>0.15957392256339534</v>
      </c>
      <c r="P192" s="732" t="str">
        <f t="shared" si="101"/>
        <v>-0.001398723970454-0.257239074473186i</v>
      </c>
      <c r="Q192" s="337">
        <f t="shared" si="110"/>
        <v>0.25724287718917865</v>
      </c>
      <c r="R192" s="339">
        <f t="shared" si="111"/>
        <v>-1.57623372073961</v>
      </c>
      <c r="S192" s="731" t="str">
        <f t="shared" si="88"/>
        <v>6000</v>
      </c>
      <c r="T192" s="337" t="str">
        <f t="shared" si="89"/>
        <v>1+68790.826017125i</v>
      </c>
      <c r="U192" s="346">
        <f t="shared" si="112"/>
        <v>68790.826024393406</v>
      </c>
      <c r="V192" s="347">
        <f t="shared" si="113"/>
        <v>1.5707817899727965</v>
      </c>
      <c r="W192" s="340" t="str">
        <f t="shared" si="90"/>
        <v>1+681.097287298267i</v>
      </c>
      <c r="X192" s="337">
        <f t="shared" si="114"/>
        <v>681.09802140738748</v>
      </c>
      <c r="Y192" s="339">
        <f t="shared" si="115"/>
        <v>1.5693281088176794</v>
      </c>
      <c r="Z192" s="337" t="str">
        <f t="shared" si="91"/>
        <v>1+6.86100364221344i</v>
      </c>
      <c r="AA192" s="346">
        <f t="shared" si="116"/>
        <v>6.9334963026215055</v>
      </c>
      <c r="AB192" s="347">
        <f t="shared" si="117"/>
        <v>1.4260641830949428</v>
      </c>
      <c r="AC192" s="732" t="str">
        <f t="shared" si="118"/>
        <v>1.22341001884695-8.48017795422762i</v>
      </c>
      <c r="AD192" s="337">
        <f t="shared" si="119"/>
        <v>8.5679723511215453</v>
      </c>
      <c r="AE192" s="339">
        <f t="shared" si="120"/>
        <v>-1.4275178642500597</v>
      </c>
      <c r="AF192" s="736" t="str">
        <f t="shared" si="92"/>
        <v>-2.18314434123248-0.302847432771119i</v>
      </c>
      <c r="AG192" s="337">
        <f t="shared" si="121"/>
        <v>6.8644282951120204</v>
      </c>
      <c r="AH192" s="730">
        <f t="shared" si="122"/>
        <v>-172.10228852563966</v>
      </c>
      <c r="AI192" s="360">
        <f t="shared" si="93"/>
        <v>7.8977114743603352</v>
      </c>
      <c r="AL192" s="337">
        <f t="shared" si="94"/>
        <v>18.657561127123234</v>
      </c>
      <c r="AM192" s="730">
        <f t="shared" si="95"/>
        <v>-81.790748801057603</v>
      </c>
      <c r="AN192" s="351"/>
      <c r="AO192" s="337">
        <f t="shared" si="96"/>
        <v>41.478798366728249</v>
      </c>
      <c r="AP192" s="730">
        <f t="shared" si="97"/>
        <v>-90.311539724582076</v>
      </c>
      <c r="AS192" s="351"/>
      <c r="AT192" s="351"/>
      <c r="AV192" s="405">
        <f t="shared" si="98"/>
        <v>0</v>
      </c>
      <c r="AW192" s="405">
        <f t="shared" si="123"/>
        <v>0</v>
      </c>
      <c r="AX192" s="405">
        <f t="shared" si="99"/>
        <v>0</v>
      </c>
      <c r="AY192" s="405">
        <f t="shared" si="100"/>
        <v>0</v>
      </c>
    </row>
    <row r="193" spans="2:51" ht="13.5" thickBot="1" x14ac:dyDescent="0.25">
      <c r="B193" s="345">
        <v>10902.5</v>
      </c>
      <c r="C193" s="728" t="str">
        <f t="shared" si="83"/>
        <v>2.16217503399043</v>
      </c>
      <c r="D193" s="728" t="str">
        <f t="shared" si="84"/>
        <v>1+8.33446205040226i</v>
      </c>
      <c r="E193" s="337">
        <f t="shared" si="102"/>
        <v>8.3942395527882958</v>
      </c>
      <c r="F193" s="338">
        <f t="shared" si="103"/>
        <v>1.4513834214349339</v>
      </c>
      <c r="G193" s="338" t="str">
        <f t="shared" si="85"/>
        <v>1+0.0342512139057627i</v>
      </c>
      <c r="H193" s="337">
        <f t="shared" si="104"/>
        <v>1.0005864008940049</v>
      </c>
      <c r="I193" s="338">
        <f t="shared" si="105"/>
        <v>3.4237829438078911E-2</v>
      </c>
      <c r="J193" s="340">
        <f t="shared" si="86"/>
        <v>1</v>
      </c>
      <c r="K193" s="338">
        <f t="shared" si="106"/>
        <v>1</v>
      </c>
      <c r="L193" s="339">
        <f t="shared" si="107"/>
        <v>0</v>
      </c>
      <c r="M193" s="731" t="str">
        <f t="shared" si="87"/>
        <v>0.994717133055556+0.16102489642752i</v>
      </c>
      <c r="N193" s="338">
        <f t="shared" si="108"/>
        <v>1.0076662106390977</v>
      </c>
      <c r="O193" s="339">
        <f t="shared" si="109"/>
        <v>0.16048788114895535</v>
      </c>
      <c r="P193" s="732" t="str">
        <f t="shared" si="101"/>
        <v>-0.00174871438344956-0.255762718071852i</v>
      </c>
      <c r="Q193" s="337">
        <f t="shared" si="110"/>
        <v>0.2557686962032229</v>
      </c>
      <c r="R193" s="339">
        <f t="shared" si="111"/>
        <v>-1.5776334731458102</v>
      </c>
      <c r="S193" s="731" t="str">
        <f t="shared" si="88"/>
        <v>6000</v>
      </c>
      <c r="T193" s="337" t="str">
        <f t="shared" si="89"/>
        <v>1+69187.4520896407i</v>
      </c>
      <c r="U193" s="346">
        <f t="shared" si="112"/>
        <v>69187.452096867448</v>
      </c>
      <c r="V193" s="347">
        <f t="shared" si="113"/>
        <v>1.5707818733070209</v>
      </c>
      <c r="W193" s="340" t="str">
        <f t="shared" si="90"/>
        <v>1+685.024278115254i</v>
      </c>
      <c r="X193" s="337">
        <f t="shared" si="114"/>
        <v>685.02500801600297</v>
      </c>
      <c r="Y193" s="339">
        <f t="shared" si="115"/>
        <v>1.5693365255563021</v>
      </c>
      <c r="Z193" s="337" t="str">
        <f t="shared" si="91"/>
        <v>1+6.90056201192177i</v>
      </c>
      <c r="AA193" s="346">
        <f t="shared" si="116"/>
        <v>6.9726434069424368</v>
      </c>
      <c r="AB193" s="347">
        <f t="shared" si="117"/>
        <v>1.4268824381367893</v>
      </c>
      <c r="AC193" s="732" t="str">
        <f t="shared" si="118"/>
        <v>1.20971119241321-8.4335494039635i</v>
      </c>
      <c r="AD193" s="337">
        <f t="shared" si="119"/>
        <v>8.5198683509865862</v>
      </c>
      <c r="AE193" s="339">
        <f t="shared" si="120"/>
        <v>-1.4283277858875083</v>
      </c>
      <c r="AF193" s="736" t="str">
        <f t="shared" si="92"/>
        <v>-2.15910295791295-0.2946511535073i</v>
      </c>
      <c r="AG193" s="337">
        <f t="shared" si="121"/>
        <v>6.7656054748314842</v>
      </c>
      <c r="AH193" s="730">
        <f t="shared" si="122"/>
        <v>-172.22889352244039</v>
      </c>
      <c r="AI193" s="360">
        <f t="shared" si="93"/>
        <v>7.7711064775596128</v>
      </c>
      <c r="AL193" s="337">
        <f t="shared" si="94"/>
        <v>18.608657681996441</v>
      </c>
      <c r="AM193" s="730">
        <f t="shared" si="95"/>
        <v>-81.837153892619739</v>
      </c>
      <c r="AN193" s="351"/>
      <c r="AO193" s="337">
        <f t="shared" si="96"/>
        <v>41.428878991574443</v>
      </c>
      <c r="AP193" s="730">
        <f t="shared" si="97"/>
        <v>-90.39173962982062</v>
      </c>
      <c r="AS193" s="351"/>
      <c r="AT193" s="351"/>
      <c r="AV193" s="405">
        <f t="shared" si="98"/>
        <v>0</v>
      </c>
      <c r="AW193" s="405">
        <f t="shared" si="123"/>
        <v>0</v>
      </c>
      <c r="AX193" s="405">
        <f t="shared" si="99"/>
        <v>0</v>
      </c>
      <c r="AY193" s="405">
        <f t="shared" si="100"/>
        <v>0</v>
      </c>
    </row>
    <row r="194" spans="2:51" ht="13.5" thickBot="1" x14ac:dyDescent="0.25">
      <c r="B194" s="345">
        <v>10965</v>
      </c>
      <c r="C194" s="728" t="str">
        <f t="shared" si="83"/>
        <v>2.16217503399043</v>
      </c>
      <c r="D194" s="728" t="str">
        <f t="shared" si="84"/>
        <v>1+8.38224043867561i</v>
      </c>
      <c r="E194" s="337">
        <f t="shared" si="102"/>
        <v>8.4416796179296387</v>
      </c>
      <c r="F194" s="338">
        <f t="shared" si="103"/>
        <v>1.4520576719764007</v>
      </c>
      <c r="G194" s="338" t="str">
        <f t="shared" si="85"/>
        <v>1+0.0344475634466121i</v>
      </c>
      <c r="H194" s="337">
        <f t="shared" si="104"/>
        <v>1.0005931414053408</v>
      </c>
      <c r="I194" s="338">
        <f t="shared" si="105"/>
        <v>3.4433947582326638E-2</v>
      </c>
      <c r="J194" s="340">
        <f t="shared" si="86"/>
        <v>1</v>
      </c>
      <c r="K194" s="338">
        <f t="shared" si="106"/>
        <v>1</v>
      </c>
      <c r="L194" s="339">
        <f t="shared" si="107"/>
        <v>0</v>
      </c>
      <c r="M194" s="731" t="str">
        <f t="shared" si="87"/>
        <v>0.99465639+0.161947992600574i</v>
      </c>
      <c r="N194" s="338">
        <f t="shared" si="108"/>
        <v>1.0077541795870597</v>
      </c>
      <c r="O194" s="339">
        <f t="shared" si="109"/>
        <v>0.16140173568337413</v>
      </c>
      <c r="P194" s="732" t="str">
        <f t="shared" si="101"/>
        <v>-0.00209273429362347-0.254302243325075i</v>
      </c>
      <c r="Q194" s="337">
        <f t="shared" si="110"/>
        <v>0.25431085406838094</v>
      </c>
      <c r="R194" s="339">
        <f t="shared" si="111"/>
        <v>-1.579025460077448</v>
      </c>
      <c r="S194" s="731" t="str">
        <f t="shared" si="88"/>
        <v>6000</v>
      </c>
      <c r="T194" s="337" t="str">
        <f t="shared" si="89"/>
        <v>1+69584.0781621564i</v>
      </c>
      <c r="U194" s="346">
        <f t="shared" si="112"/>
        <v>69584.078169341941</v>
      </c>
      <c r="V194" s="347">
        <f t="shared" si="113"/>
        <v>1.5707819556912428</v>
      </c>
      <c r="W194" s="340" t="str">
        <f t="shared" si="90"/>
        <v>1+688.951268932242i</v>
      </c>
      <c r="X194" s="337">
        <f t="shared" si="114"/>
        <v>688.95199467259431</v>
      </c>
      <c r="Y194" s="339">
        <f t="shared" si="115"/>
        <v>1.5693448463450752</v>
      </c>
      <c r="Z194" s="337" t="str">
        <f t="shared" si="91"/>
        <v>1+6.94012038163011i</v>
      </c>
      <c r="AA194" s="346">
        <f t="shared" si="116"/>
        <v>7.011795127605887</v>
      </c>
      <c r="AB194" s="347">
        <f t="shared" si="117"/>
        <v>1.4276915559432763</v>
      </c>
      <c r="AC194" s="732" t="str">
        <f t="shared" si="118"/>
        <v>1.19623959302871-8.38741967387328i</v>
      </c>
      <c r="AD194" s="337">
        <f t="shared" si="119"/>
        <v>8.4722959078166102</v>
      </c>
      <c r="AE194" s="339">
        <f t="shared" si="120"/>
        <v>-1.429128665289443</v>
      </c>
      <c r="AF194" s="736" t="str">
        <f t="shared" si="92"/>
        <v>-2.13544305039457-0.286653771274949i</v>
      </c>
      <c r="AG194" s="337">
        <f t="shared" si="121"/>
        <v>6.6673202431551557</v>
      </c>
      <c r="AH194" s="730">
        <f t="shared" si="122"/>
        <v>-172.3545355083904</v>
      </c>
      <c r="AI194" s="360">
        <f t="shared" si="93"/>
        <v>7.6454644916096015</v>
      </c>
      <c r="AL194" s="337">
        <f t="shared" si="94"/>
        <v>18.560022315188892</v>
      </c>
      <c r="AM194" s="730">
        <f t="shared" si="95"/>
        <v>-81.883040902249562</v>
      </c>
      <c r="AN194" s="351"/>
      <c r="AO194" s="337">
        <f t="shared" si="96"/>
        <v>41.379229126705667</v>
      </c>
      <c r="AP194" s="730">
        <f t="shared" si="97"/>
        <v>-90.471494606140837</v>
      </c>
      <c r="AS194" s="351"/>
      <c r="AT194" s="351"/>
      <c r="AV194" s="405">
        <f t="shared" si="98"/>
        <v>0</v>
      </c>
      <c r="AW194" s="405">
        <f t="shared" si="123"/>
        <v>0</v>
      </c>
      <c r="AX194" s="405">
        <f t="shared" si="99"/>
        <v>0</v>
      </c>
      <c r="AY194" s="405">
        <f t="shared" si="100"/>
        <v>0</v>
      </c>
    </row>
    <row r="195" spans="2:51" ht="13.5" thickBot="1" x14ac:dyDescent="0.25">
      <c r="B195" s="345">
        <v>11028.75</v>
      </c>
      <c r="C195" s="728" t="str">
        <f t="shared" si="83"/>
        <v>2.16217503399043</v>
      </c>
      <c r="D195" s="728" t="str">
        <f t="shared" si="84"/>
        <v>1+8.43097439471442i</v>
      </c>
      <c r="E195" s="337">
        <f t="shared" si="102"/>
        <v>8.4900723933503759</v>
      </c>
      <c r="F195" s="338">
        <f t="shared" si="103"/>
        <v>1.4527376446215008</v>
      </c>
      <c r="G195" s="338" t="str">
        <f t="shared" si="85"/>
        <v>1+0.0346478399782784i</v>
      </c>
      <c r="H195" s="337">
        <f t="shared" si="104"/>
        <v>1.0006000563737545</v>
      </c>
      <c r="I195" s="338">
        <f t="shared" si="105"/>
        <v>3.4633985359500061E-2</v>
      </c>
      <c r="J195" s="340">
        <f t="shared" si="86"/>
        <v>1</v>
      </c>
      <c r="K195" s="338">
        <f t="shared" si="106"/>
        <v>1</v>
      </c>
      <c r="L195" s="339">
        <f t="shared" si="107"/>
        <v>0</v>
      </c>
      <c r="M195" s="731" t="str">
        <f t="shared" si="87"/>
        <v>0.994594074375+0.162889550697089i</v>
      </c>
      <c r="N195" s="338">
        <f t="shared" si="108"/>
        <v>1.0078444217775691</v>
      </c>
      <c r="O195" s="339">
        <f t="shared" si="109"/>
        <v>0.16233375952738419</v>
      </c>
      <c r="P195" s="732" t="str">
        <f t="shared" si="101"/>
        <v>-0.0024376198648858-0.252828656721706i</v>
      </c>
      <c r="Q195" s="337">
        <f t="shared" si="110"/>
        <v>0.25284040747140868</v>
      </c>
      <c r="R195" s="339">
        <f t="shared" si="111"/>
        <v>-1.5804374187893848</v>
      </c>
      <c r="S195" s="731" t="str">
        <f t="shared" si="88"/>
        <v>6000</v>
      </c>
      <c r="T195" s="337" t="str">
        <f t="shared" si="89"/>
        <v>1+69988.6367561225i</v>
      </c>
      <c r="U195" s="346">
        <f t="shared" si="112"/>
        <v>69988.636763266521</v>
      </c>
      <c r="V195" s="347">
        <f t="shared" si="113"/>
        <v>1.5707820387612059</v>
      </c>
      <c r="W195" s="340" t="str">
        <f t="shared" si="90"/>
        <v>1+692.956799565569i</v>
      </c>
      <c r="X195" s="337">
        <f t="shared" si="114"/>
        <v>692.95752111089473</v>
      </c>
      <c r="Y195" s="339">
        <f t="shared" si="115"/>
        <v>1.5693532363937968</v>
      </c>
      <c r="Z195" s="337" t="str">
        <f t="shared" si="91"/>
        <v>1+6.98046991873261i</v>
      </c>
      <c r="AA195" s="346">
        <f t="shared" si="116"/>
        <v>7.0517345586976576</v>
      </c>
      <c r="AB195" s="347">
        <f t="shared" si="117"/>
        <v>1.4285075996698959</v>
      </c>
      <c r="AC195" s="732" t="str">
        <f t="shared" si="118"/>
        <v>1.18272750462816-8.34087317616606i</v>
      </c>
      <c r="AD195" s="337">
        <f t="shared" si="119"/>
        <v>8.4243106359565392</v>
      </c>
      <c r="AE195" s="339">
        <f t="shared" si="120"/>
        <v>-1.4299364020373047</v>
      </c>
      <c r="AF195" s="736" t="str">
        <f t="shared" si="92"/>
        <v>-2.1116948010762-0.278695528118238i</v>
      </c>
      <c r="AG195" s="337">
        <f t="shared" si="121"/>
        <v>6.5676170819027959</v>
      </c>
      <c r="AH195" s="730">
        <f t="shared" si="122"/>
        <v>-172.48171469004117</v>
      </c>
      <c r="AI195" s="360">
        <f t="shared" si="93"/>
        <v>7.5182853099588272</v>
      </c>
      <c r="AL195" s="337">
        <f t="shared" si="94"/>
        <v>18.510687450810003</v>
      </c>
      <c r="AM195" s="730">
        <f t="shared" si="95"/>
        <v>-81.929320808859643</v>
      </c>
      <c r="AN195" s="351"/>
      <c r="AO195" s="337">
        <f t="shared" si="96"/>
        <v>41.328860829832266</v>
      </c>
      <c r="AP195" s="730">
        <f t="shared" si="97"/>
        <v>-90.552393881181544</v>
      </c>
      <c r="AS195" s="351"/>
      <c r="AT195" s="351"/>
      <c r="AV195" s="405">
        <f t="shared" si="98"/>
        <v>0</v>
      </c>
      <c r="AW195" s="405">
        <f t="shared" si="123"/>
        <v>0</v>
      </c>
      <c r="AX195" s="405">
        <f t="shared" si="99"/>
        <v>0</v>
      </c>
      <c r="AY195" s="405">
        <f t="shared" si="100"/>
        <v>0</v>
      </c>
    </row>
    <row r="196" spans="2:51" ht="13.5" thickBot="1" x14ac:dyDescent="0.25">
      <c r="B196" s="345">
        <v>11092.5</v>
      </c>
      <c r="C196" s="728" t="str">
        <f t="shared" si="83"/>
        <v>2.16217503399043</v>
      </c>
      <c r="D196" s="728" t="str">
        <f t="shared" si="84"/>
        <v>1+8.47970835075323i</v>
      </c>
      <c r="E196" s="337">
        <f t="shared" si="102"/>
        <v>8.538469049767297</v>
      </c>
      <c r="F196" s="338">
        <f t="shared" si="103"/>
        <v>1.4534099093068282</v>
      </c>
      <c r="G196" s="338" t="str">
        <f t="shared" si="85"/>
        <v>1+0.0348481165099448i</v>
      </c>
      <c r="H196" s="337">
        <f t="shared" si="104"/>
        <v>1.0006070113807373</v>
      </c>
      <c r="I196" s="338">
        <f t="shared" si="105"/>
        <v>3.4834020363837634E-2</v>
      </c>
      <c r="J196" s="340">
        <f t="shared" si="86"/>
        <v>1</v>
      </c>
      <c r="K196" s="338">
        <f t="shared" si="106"/>
        <v>1</v>
      </c>
      <c r="L196" s="339">
        <f t="shared" si="107"/>
        <v>0</v>
      </c>
      <c r="M196" s="731" t="str">
        <f t="shared" si="87"/>
        <v>0.9945313975+0.163831108793604i</v>
      </c>
      <c r="N196" s="338">
        <f t="shared" si="108"/>
        <v>1.0079351828475105</v>
      </c>
      <c r="O196" s="339">
        <f t="shared" si="109"/>
        <v>0.16326567392632976</v>
      </c>
      <c r="P196" s="732" t="str">
        <f t="shared" si="101"/>
        <v>-0.00277656566476065-0.251371064775661i</v>
      </c>
      <c r="Q196" s="337">
        <f t="shared" si="110"/>
        <v>0.25138639884317587</v>
      </c>
      <c r="R196" s="339">
        <f t="shared" si="111"/>
        <v>-1.5818415628693203</v>
      </c>
      <c r="S196" s="731" t="str">
        <f t="shared" si="88"/>
        <v>6000</v>
      </c>
      <c r="T196" s="337" t="str">
        <f t="shared" si="89"/>
        <v>1+70393.1953500885i</v>
      </c>
      <c r="U196" s="346">
        <f t="shared" si="112"/>
        <v>70393.195357191464</v>
      </c>
      <c r="V196" s="347">
        <f t="shared" si="113"/>
        <v>1.5707821208763422</v>
      </c>
      <c r="W196" s="340" t="str">
        <f t="shared" si="90"/>
        <v>1+696.962330198896i</v>
      </c>
      <c r="X196" s="337">
        <f t="shared" si="114"/>
        <v>696.96304759741372</v>
      </c>
      <c r="Y196" s="339">
        <f t="shared" si="115"/>
        <v>1.5693615300053763</v>
      </c>
      <c r="Z196" s="337" t="str">
        <f t="shared" si="91"/>
        <v>1+7.02081945583512i</v>
      </c>
      <c r="AA196" s="346">
        <f t="shared" si="116"/>
        <v>7.0916786328367243</v>
      </c>
      <c r="AB196" s="347">
        <f t="shared" si="117"/>
        <v>1.429314451151505</v>
      </c>
      <c r="AC196" s="732" t="str">
        <f t="shared" si="118"/>
        <v>1.16944153668433-8.29482948857682i</v>
      </c>
      <c r="AD196" s="337">
        <f t="shared" si="119"/>
        <v>8.3768603755993336</v>
      </c>
      <c r="AE196" s="339">
        <f t="shared" si="120"/>
        <v>-1.4307350420224705</v>
      </c>
      <c r="AF196" s="736" t="str">
        <f t="shared" si="92"/>
        <v>-2.08832715189381-0.270932625516199i</v>
      </c>
      <c r="AG196" s="337">
        <f t="shared" si="121"/>
        <v>6.4684610680508268</v>
      </c>
      <c r="AH196" s="730">
        <f t="shared" si="122"/>
        <v>-172.60792492015017</v>
      </c>
      <c r="AI196" s="360">
        <f t="shared" si="93"/>
        <v>7.3920750798498318</v>
      </c>
      <c r="AL196" s="337">
        <f t="shared" si="94"/>
        <v>18.461625534794983</v>
      </c>
      <c r="AM196" s="730">
        <f t="shared" si="95"/>
        <v>-81.975079509360043</v>
      </c>
      <c r="AN196" s="351"/>
      <c r="AO196" s="337">
        <f t="shared" si="96"/>
        <v>41.278766731995276</v>
      </c>
      <c r="AP196" s="730">
        <f t="shared" si="97"/>
        <v>-90.632845410790125</v>
      </c>
      <c r="AS196" s="351"/>
      <c r="AT196" s="351"/>
      <c r="AV196" s="405">
        <f t="shared" si="98"/>
        <v>0</v>
      </c>
      <c r="AW196" s="405">
        <f t="shared" si="123"/>
        <v>0</v>
      </c>
      <c r="AX196" s="405">
        <f t="shared" si="99"/>
        <v>0</v>
      </c>
      <c r="AY196" s="405">
        <f t="shared" si="100"/>
        <v>0</v>
      </c>
    </row>
    <row r="197" spans="2:51" ht="13.5" thickBot="1" x14ac:dyDescent="0.25">
      <c r="B197" s="345">
        <v>11156.25</v>
      </c>
      <c r="C197" s="728" t="str">
        <f t="shared" si="83"/>
        <v>2.16217503399043</v>
      </c>
      <c r="D197" s="728" t="str">
        <f t="shared" si="84"/>
        <v>1+8.52844230679205i</v>
      </c>
      <c r="E197" s="337">
        <f t="shared" si="102"/>
        <v>8.5868695215590929</v>
      </c>
      <c r="F197" s="338">
        <f t="shared" si="103"/>
        <v>1.4540745957588532</v>
      </c>
      <c r="G197" s="338" t="str">
        <f t="shared" si="85"/>
        <v>1+0.0350483930416111i</v>
      </c>
      <c r="H197" s="337">
        <f t="shared" si="104"/>
        <v>1.0006140064254545</v>
      </c>
      <c r="I197" s="338">
        <f t="shared" si="105"/>
        <v>3.5034052579388762E-2</v>
      </c>
      <c r="J197" s="340">
        <f t="shared" si="86"/>
        <v>1</v>
      </c>
      <c r="K197" s="338">
        <f t="shared" si="106"/>
        <v>1</v>
      </c>
      <c r="L197" s="339">
        <f t="shared" si="107"/>
        <v>0</v>
      </c>
      <c r="M197" s="731" t="str">
        <f t="shared" si="87"/>
        <v>0.994468359375+0.164772666890119i</v>
      </c>
      <c r="N197" s="338">
        <f t="shared" si="108"/>
        <v>1.0080264627241122</v>
      </c>
      <c r="O197" s="339">
        <f t="shared" si="109"/>
        <v>0.16419747827999637</v>
      </c>
      <c r="P197" s="732" t="str">
        <f t="shared" si="101"/>
        <v>-0.00310970336369159-0.249929208967593i</v>
      </c>
      <c r="Q197" s="337">
        <f t="shared" si="110"/>
        <v>0.24994855420701459</v>
      </c>
      <c r="R197" s="339">
        <f t="shared" si="111"/>
        <v>-1.5832380214594606</v>
      </c>
      <c r="S197" s="731" t="str">
        <f t="shared" si="88"/>
        <v>6000</v>
      </c>
      <c r="T197" s="337" t="str">
        <f t="shared" si="89"/>
        <v>1+70797.7539440545i</v>
      </c>
      <c r="U197" s="346">
        <f t="shared" si="112"/>
        <v>70797.753951116872</v>
      </c>
      <c r="V197" s="347">
        <f t="shared" si="113"/>
        <v>1.5707822020530195</v>
      </c>
      <c r="W197" s="340" t="str">
        <f t="shared" si="90"/>
        <v>1+700.967860832223i</v>
      </c>
      <c r="X197" s="337">
        <f t="shared" si="114"/>
        <v>700.96857413132489</v>
      </c>
      <c r="Y197" s="339">
        <f t="shared" si="115"/>
        <v>1.5693697288330175</v>
      </c>
      <c r="Z197" s="337" t="str">
        <f t="shared" si="91"/>
        <v>1+7.06116899293762i</v>
      </c>
      <c r="AA197" s="346">
        <f t="shared" si="116"/>
        <v>7.1316272720062761</v>
      </c>
      <c r="AB197" s="347">
        <f t="shared" si="117"/>
        <v>1.4301122638029287</v>
      </c>
      <c r="AC197" s="732" t="str">
        <f t="shared" si="118"/>
        <v>1.15637670585901-8.24928069724122i</v>
      </c>
      <c r="AD197" s="337">
        <f t="shared" si="119"/>
        <v>8.3299363207487929</v>
      </c>
      <c r="AE197" s="339">
        <f t="shared" si="120"/>
        <v>-1.4315247370229314</v>
      </c>
      <c r="AF197" s="736" t="str">
        <f t="shared" si="92"/>
        <v>-2.06533218774504-0.263359499431646i</v>
      </c>
      <c r="AG197" s="337">
        <f t="shared" si="121"/>
        <v>6.3698462075934517</v>
      </c>
      <c r="AH197" s="730">
        <f t="shared" si="122"/>
        <v>-172.733182294259</v>
      </c>
      <c r="AI197" s="360">
        <f t="shared" si="93"/>
        <v>7.2668177057410048</v>
      </c>
      <c r="AL197" s="337">
        <f t="shared" si="94"/>
        <v>18.412833628008215</v>
      </c>
      <c r="AM197" s="730">
        <f t="shared" si="95"/>
        <v>-82.02032569998903</v>
      </c>
      <c r="AN197" s="351"/>
      <c r="AO197" s="337">
        <f t="shared" si="96"/>
        <v>41.228943778324677</v>
      </c>
      <c r="AP197" s="730">
        <f t="shared" si="97"/>
        <v>-90.712856594269951</v>
      </c>
      <c r="AS197" s="351"/>
      <c r="AT197" s="351"/>
      <c r="AV197" s="405">
        <f t="shared" si="98"/>
        <v>0</v>
      </c>
      <c r="AW197" s="405">
        <f t="shared" si="123"/>
        <v>0</v>
      </c>
      <c r="AX197" s="405">
        <f t="shared" si="99"/>
        <v>0</v>
      </c>
      <c r="AY197" s="405">
        <f t="shared" si="100"/>
        <v>0</v>
      </c>
    </row>
    <row r="198" spans="2:51" ht="13.5" thickBot="1" x14ac:dyDescent="0.25">
      <c r="B198" s="345">
        <v>11220</v>
      </c>
      <c r="C198" s="728" t="str">
        <f t="shared" si="83"/>
        <v>2.16217503399043</v>
      </c>
      <c r="D198" s="728" t="str">
        <f t="shared" si="84"/>
        <v>1+8.57717626283086i</v>
      </c>
      <c r="E198" s="337">
        <f t="shared" si="102"/>
        <v>8.635273744570533</v>
      </c>
      <c r="F198" s="338">
        <f t="shared" si="103"/>
        <v>1.4547318308224972</v>
      </c>
      <c r="G198" s="338" t="str">
        <f t="shared" si="85"/>
        <v>1+0.0352486695732775i</v>
      </c>
      <c r="H198" s="337">
        <f t="shared" si="104"/>
        <v>1.0006210415070662</v>
      </c>
      <c r="I198" s="338">
        <f t="shared" si="105"/>
        <v>3.5234081990204544E-2</v>
      </c>
      <c r="J198" s="340">
        <f t="shared" si="86"/>
        <v>1</v>
      </c>
      <c r="K198" s="338">
        <f t="shared" si="106"/>
        <v>1</v>
      </c>
      <c r="L198" s="339">
        <f t="shared" si="107"/>
        <v>0</v>
      </c>
      <c r="M198" s="731" t="str">
        <f t="shared" si="87"/>
        <v>0.99440496+0.165714224986634i</v>
      </c>
      <c r="N198" s="338">
        <f t="shared" si="108"/>
        <v>1.0081182613342159</v>
      </c>
      <c r="O198" s="339">
        <f t="shared" si="109"/>
        <v>0.16512917198871482</v>
      </c>
      <c r="P198" s="732" t="str">
        <f t="shared" si="101"/>
        <v>-0.00343716100454803-0.248502836231831i</v>
      </c>
      <c r="Q198" s="337">
        <f t="shared" si="110"/>
        <v>0.24852660559995463</v>
      </c>
      <c r="R198" s="339">
        <f t="shared" si="111"/>
        <v>-1.5846269208210073</v>
      </c>
      <c r="S198" s="731" t="str">
        <f t="shared" si="88"/>
        <v>6000</v>
      </c>
      <c r="T198" s="337" t="str">
        <f t="shared" si="89"/>
        <v>1+71202.3125380205i</v>
      </c>
      <c r="U198" s="346">
        <f t="shared" si="112"/>
        <v>71202.312545042747</v>
      </c>
      <c r="V198" s="347">
        <f t="shared" si="113"/>
        <v>1.5707822823072348</v>
      </c>
      <c r="W198" s="340" t="str">
        <f t="shared" si="90"/>
        <v>1+704.97339146555i</v>
      </c>
      <c r="X198" s="337">
        <f t="shared" si="114"/>
        <v>704.97410071182014</v>
      </c>
      <c r="Y198" s="339">
        <f t="shared" si="115"/>
        <v>1.5693778344923515</v>
      </c>
      <c r="Z198" s="337" t="str">
        <f t="shared" si="91"/>
        <v>1+7.10151853004012i</v>
      </c>
      <c r="AA198" s="346">
        <f t="shared" si="116"/>
        <v>7.1715803999190566</v>
      </c>
      <c r="AB198" s="347">
        <f t="shared" si="117"/>
        <v>1.4309011876668891</v>
      </c>
      <c r="AC198" s="732" t="str">
        <f t="shared" si="118"/>
        <v>1.14352816439905-8.20421904906294i</v>
      </c>
      <c r="AD198" s="337">
        <f t="shared" si="119"/>
        <v>8.2835298555495704</v>
      </c>
      <c r="AE198" s="339">
        <f t="shared" si="120"/>
        <v>-1.4323056354817725</v>
      </c>
      <c r="AF198" s="736" t="str">
        <f t="shared" si="92"/>
        <v>-2.04270219317363-0.255970770375934i</v>
      </c>
      <c r="AG198" s="337">
        <f t="shared" si="121"/>
        <v>6.2717666019657194</v>
      </c>
      <c r="AH198" s="730">
        <f t="shared" si="122"/>
        <v>-172.8575025517639</v>
      </c>
      <c r="AI198" s="360">
        <f t="shared" si="93"/>
        <v>7.1424974482360994</v>
      </c>
      <c r="AL198" s="337">
        <f t="shared" si="94"/>
        <v>18.364308837420293</v>
      </c>
      <c r="AM198" s="730">
        <f t="shared" si="95"/>
        <v>-82.065067885908903</v>
      </c>
      <c r="AN198" s="351"/>
      <c r="AO198" s="337">
        <f t="shared" si="96"/>
        <v>41.179388963284836</v>
      </c>
      <c r="AP198" s="730">
        <f t="shared" si="97"/>
        <v>-90.792434665854998</v>
      </c>
      <c r="AS198" s="351"/>
      <c r="AT198" s="351"/>
      <c r="AV198" s="405">
        <f t="shared" si="98"/>
        <v>0</v>
      </c>
      <c r="AW198" s="405">
        <f t="shared" si="123"/>
        <v>0</v>
      </c>
      <c r="AX198" s="405">
        <f t="shared" si="99"/>
        <v>0</v>
      </c>
      <c r="AY198" s="405">
        <f t="shared" si="100"/>
        <v>0</v>
      </c>
    </row>
    <row r="199" spans="2:51" ht="13.5" thickBot="1" x14ac:dyDescent="0.25">
      <c r="B199" s="345">
        <v>11285.5</v>
      </c>
      <c r="C199" s="728" t="str">
        <f t="shared" si="83"/>
        <v>2.16217503399043</v>
      </c>
      <c r="D199" s="728" t="str">
        <f t="shared" si="84"/>
        <v>1+8.62724801374132i</v>
      </c>
      <c r="E199" s="337">
        <f t="shared" si="102"/>
        <v>8.6850105521296612</v>
      </c>
      <c r="F199" s="338">
        <f t="shared" si="103"/>
        <v>1.4553994769745808</v>
      </c>
      <c r="G199" s="338" t="str">
        <f t="shared" si="85"/>
        <v>1+0.0354544438920876i</v>
      </c>
      <c r="H199" s="337">
        <f t="shared" si="104"/>
        <v>1.0006283114082357</v>
      </c>
      <c r="I199" s="338">
        <f t="shared" si="105"/>
        <v>3.5439599466410711E-2</v>
      </c>
      <c r="J199" s="340">
        <f t="shared" si="86"/>
        <v>1</v>
      </c>
      <c r="K199" s="338">
        <f t="shared" si="106"/>
        <v>1</v>
      </c>
      <c r="L199" s="339">
        <f t="shared" si="107"/>
        <v>0</v>
      </c>
      <c r="M199" s="731" t="str">
        <f t="shared" si="87"/>
        <v>0.994339443988889+0.166681629775994i</v>
      </c>
      <c r="N199" s="338">
        <f t="shared" si="108"/>
        <v>1.0082131201174256</v>
      </c>
      <c r="O199" s="339">
        <f t="shared" si="109"/>
        <v>0.16608632573083465</v>
      </c>
      <c r="P199" s="732" t="str">
        <f t="shared" si="101"/>
        <v>-0.0037678224668091-0.247053174239434i</v>
      </c>
      <c r="Q199" s="337">
        <f t="shared" si="110"/>
        <v>0.24708190420976103</v>
      </c>
      <c r="R199" s="339">
        <f t="shared" si="111"/>
        <v>-1.5860462032390046</v>
      </c>
      <c r="S199" s="731" t="str">
        <f t="shared" si="88"/>
        <v>6000</v>
      </c>
      <c r="T199" s="337" t="str">
        <f t="shared" si="89"/>
        <v>1+71617.976662017i</v>
      </c>
      <c r="U199" s="346">
        <f t="shared" si="112"/>
        <v>71617.976668998497</v>
      </c>
      <c r="V199" s="347">
        <f t="shared" si="113"/>
        <v>1.5707823638201444</v>
      </c>
      <c r="W199" s="340" t="str">
        <f t="shared" si="90"/>
        <v>1+709.088877841752i</v>
      </c>
      <c r="X199" s="337">
        <f t="shared" si="114"/>
        <v>709.08958297162644</v>
      </c>
      <c r="Y199" s="339">
        <f t="shared" si="115"/>
        <v>1.569386067279757</v>
      </c>
      <c r="Z199" s="337" t="str">
        <f t="shared" si="91"/>
        <v>1+7.14297570149444i</v>
      </c>
      <c r="AA199" s="346">
        <f t="shared" si="116"/>
        <v>7.2126348772234401</v>
      </c>
      <c r="AB199" s="347">
        <f t="shared" si="117"/>
        <v>1.4317026643550606</v>
      </c>
      <c r="AC199" s="732" t="str">
        <f t="shared" si="118"/>
        <v>1.13054723821402-8.15841981680814i</v>
      </c>
      <c r="AD199" s="337">
        <f t="shared" si="119"/>
        <v>8.2363797244372545</v>
      </c>
      <c r="AE199" s="339">
        <f t="shared" si="120"/>
        <v>-1.4330989608954479</v>
      </c>
      <c r="AF199" s="736" t="str">
        <f t="shared" si="92"/>
        <v>-2.01982321380428-0.248565806348969i</v>
      </c>
      <c r="AG199" s="337">
        <f t="shared" si="121"/>
        <v>6.1715460104352182</v>
      </c>
      <c r="AH199" s="730">
        <f t="shared" si="122"/>
        <v>-172.98427564223633</v>
      </c>
      <c r="AI199" s="360">
        <f t="shared" si="93"/>
        <v>7.0157243577636734</v>
      </c>
      <c r="AL199" s="337">
        <f t="shared" si="94"/>
        <v>18.314727216487103</v>
      </c>
      <c r="AM199" s="730">
        <f t="shared" si="95"/>
        <v>-82.11052208389296</v>
      </c>
      <c r="AN199" s="351"/>
      <c r="AO199" s="337">
        <f t="shared" si="96"/>
        <v>41.128749992687538</v>
      </c>
      <c r="AP199" s="730">
        <f t="shared" si="97"/>
        <v>-90.873753558343367</v>
      </c>
      <c r="AS199" s="351"/>
      <c r="AT199" s="351"/>
      <c r="AV199" s="405">
        <f t="shared" si="98"/>
        <v>0</v>
      </c>
      <c r="AW199" s="405">
        <f t="shared" si="123"/>
        <v>0</v>
      </c>
      <c r="AX199" s="405">
        <f t="shared" si="99"/>
        <v>0</v>
      </c>
      <c r="AY199" s="405">
        <f t="shared" si="100"/>
        <v>0</v>
      </c>
    </row>
    <row r="200" spans="2:51" ht="13.5" thickBot="1" x14ac:dyDescent="0.25">
      <c r="B200" s="345">
        <v>11351</v>
      </c>
      <c r="C200" s="728" t="str">
        <f t="shared" si="83"/>
        <v>2.16217503399043</v>
      </c>
      <c r="D200" s="728" t="str">
        <f t="shared" si="84"/>
        <v>1+8.67731976465179i</v>
      </c>
      <c r="E200" s="337">
        <f t="shared" si="102"/>
        <v>8.7347511869552736</v>
      </c>
      <c r="F200" s="338">
        <f t="shared" si="103"/>
        <v>1.4560595195052326</v>
      </c>
      <c r="G200" s="338" t="str">
        <f t="shared" si="85"/>
        <v>1+0.0356602182108978i</v>
      </c>
      <c r="H200" s="337">
        <f t="shared" si="104"/>
        <v>1.0006356235727614</v>
      </c>
      <c r="I200" s="338">
        <f t="shared" si="105"/>
        <v>3.5645113947651269E-2</v>
      </c>
      <c r="J200" s="340">
        <f t="shared" si="86"/>
        <v>1</v>
      </c>
      <c r="K200" s="338">
        <f t="shared" si="106"/>
        <v>1</v>
      </c>
      <c r="L200" s="339">
        <f t="shared" si="107"/>
        <v>0</v>
      </c>
      <c r="M200" s="731" t="str">
        <f t="shared" si="87"/>
        <v>0.994273546622222+0.167649034565355i</v>
      </c>
      <c r="N200" s="338">
        <f t="shared" si="108"/>
        <v>1.0083085263466869</v>
      </c>
      <c r="O200" s="339">
        <f t="shared" si="109"/>
        <v>0.1670433613883211</v>
      </c>
      <c r="P200" s="732" t="str">
        <f t="shared" si="101"/>
        <v>-0.00409275053599745-0.245619332491909i</v>
      </c>
      <c r="Q200" s="337">
        <f t="shared" si="110"/>
        <v>0.24565342883973929</v>
      </c>
      <c r="R200" s="339">
        <f t="shared" si="111"/>
        <v>-1.5874577669459022</v>
      </c>
      <c r="S200" s="731" t="str">
        <f t="shared" si="88"/>
        <v>6000</v>
      </c>
      <c r="T200" s="337" t="str">
        <f t="shared" si="89"/>
        <v>1+72033.6407860135i</v>
      </c>
      <c r="U200" s="346">
        <f t="shared" si="112"/>
        <v>72033.640792954699</v>
      </c>
      <c r="V200" s="347">
        <f t="shared" si="113"/>
        <v>1.5707824443923271</v>
      </c>
      <c r="W200" s="340" t="str">
        <f t="shared" si="90"/>
        <v>1+713.204364217955i</v>
      </c>
      <c r="X200" s="337">
        <f t="shared" si="114"/>
        <v>713.20506527894031</v>
      </c>
      <c r="Y200" s="339">
        <f t="shared" si="115"/>
        <v>1.5693942050541227</v>
      </c>
      <c r="Z200" s="337" t="str">
        <f t="shared" si="91"/>
        <v>1+7.18443287294878i</v>
      </c>
      <c r="AA200" s="346">
        <f t="shared" si="116"/>
        <v>7.2536939352241125</v>
      </c>
      <c r="AB200" s="347">
        <f t="shared" si="117"/>
        <v>1.4324950681351705</v>
      </c>
      <c r="AC200" s="732" t="str">
        <f t="shared" si="118"/>
        <v>1.11778468453329-8.11311875066352i</v>
      </c>
      <c r="AD200" s="337">
        <f t="shared" si="119"/>
        <v>8.1897581443743022</v>
      </c>
      <c r="AE200" s="339">
        <f t="shared" si="120"/>
        <v>-1.433883307473375</v>
      </c>
      <c r="AF200" s="736" t="str">
        <f t="shared" si="92"/>
        <v>-1.99731362583232-0.241344556969357i</v>
      </c>
      <c r="AG200" s="337">
        <f t="shared" si="121"/>
        <v>6.0718781401111404</v>
      </c>
      <c r="AH200" s="730">
        <f t="shared" si="122"/>
        <v>-173.11009203374616</v>
      </c>
      <c r="AI200" s="360">
        <f t="shared" si="93"/>
        <v>6.8899079662538441</v>
      </c>
      <c r="AL200" s="337">
        <f t="shared" si="94"/>
        <v>18.265421531876051</v>
      </c>
      <c r="AM200" s="730">
        <f t="shared" si="95"/>
        <v>-82.155461832483724</v>
      </c>
      <c r="AN200" s="351"/>
      <c r="AO200" s="337">
        <f t="shared" si="96"/>
        <v>41.078387806974526</v>
      </c>
      <c r="AP200" s="730">
        <f t="shared" si="97"/>
        <v>-90.954630201262432</v>
      </c>
      <c r="AS200" s="351"/>
      <c r="AT200" s="351"/>
      <c r="AV200" s="405">
        <f t="shared" si="98"/>
        <v>0</v>
      </c>
      <c r="AW200" s="405">
        <f t="shared" si="123"/>
        <v>0</v>
      </c>
      <c r="AX200" s="405">
        <f t="shared" si="99"/>
        <v>0</v>
      </c>
      <c r="AY200" s="405">
        <f t="shared" si="100"/>
        <v>0</v>
      </c>
    </row>
    <row r="201" spans="2:51" ht="13.5" thickBot="1" x14ac:dyDescent="0.25">
      <c r="B201" s="345">
        <v>11416.5</v>
      </c>
      <c r="C201" s="728" t="str">
        <f t="shared" si="83"/>
        <v>2.16217503399043</v>
      </c>
      <c r="D201" s="728" t="str">
        <f t="shared" si="84"/>
        <v>1+8.72739151556224i</v>
      </c>
      <c r="E201" s="337">
        <f t="shared" si="102"/>
        <v>8.7844955840337118</v>
      </c>
      <c r="F201" s="338">
        <f t="shared" si="103"/>
        <v>1.4567120870066161</v>
      </c>
      <c r="G201" s="338" t="str">
        <f t="shared" si="85"/>
        <v>1+0.0358659925297079i</v>
      </c>
      <c r="H201" s="337">
        <f t="shared" si="104"/>
        <v>1.0006429779997164</v>
      </c>
      <c r="I201" s="338">
        <f t="shared" si="105"/>
        <v>3.585062541663156E-2</v>
      </c>
      <c r="J201" s="340">
        <f t="shared" si="86"/>
        <v>1</v>
      </c>
      <c r="K201" s="338">
        <f t="shared" si="106"/>
        <v>1</v>
      </c>
      <c r="L201" s="339">
        <f t="shared" si="107"/>
        <v>0</v>
      </c>
      <c r="M201" s="731" t="str">
        <f t="shared" si="87"/>
        <v>0.9942072679+0.168616439354715i</v>
      </c>
      <c r="N201" s="338">
        <f t="shared" si="108"/>
        <v>1.0084044799413798</v>
      </c>
      <c r="O201" s="339">
        <f t="shared" si="109"/>
        <v>0.16800027831256717</v>
      </c>
      <c r="P201" s="732" t="str">
        <f t="shared" si="101"/>
        <v>-0.00441207289810423-0.244201053577728i</v>
      </c>
      <c r="Q201" s="337">
        <f t="shared" si="110"/>
        <v>0.2442409076214109</v>
      </c>
      <c r="R201" s="339">
        <f t="shared" si="111"/>
        <v>-1.5888617399025518</v>
      </c>
      <c r="S201" s="731" t="str">
        <f t="shared" si="88"/>
        <v>6000</v>
      </c>
      <c r="T201" s="337" t="str">
        <f t="shared" si="89"/>
        <v>1+72449.3049100099i</v>
      </c>
      <c r="U201" s="346">
        <f t="shared" si="112"/>
        <v>72449.304916911278</v>
      </c>
      <c r="V201" s="347">
        <f t="shared" si="113"/>
        <v>1.5707825240399746</v>
      </c>
      <c r="W201" s="340" t="str">
        <f t="shared" si="90"/>
        <v>1+717.319850594157i</v>
      </c>
      <c r="X201" s="337">
        <f t="shared" si="114"/>
        <v>717.32054763294195</v>
      </c>
      <c r="Y201" s="339">
        <f t="shared" si="115"/>
        <v>1.569402249450802</v>
      </c>
      <c r="Z201" s="337" t="str">
        <f t="shared" si="91"/>
        <v>1+7.22589004440311i</v>
      </c>
      <c r="AA201" s="346">
        <f t="shared" si="116"/>
        <v>7.2947574965727258</v>
      </c>
      <c r="AB201" s="347">
        <f t="shared" si="117"/>
        <v>1.43327855122293</v>
      </c>
      <c r="AC201" s="732" t="str">
        <f t="shared" si="118"/>
        <v>1.10523566411591-8.06830794593664i</v>
      </c>
      <c r="AD201" s="337">
        <f t="shared" si="119"/>
        <v>8.1436563645390923</v>
      </c>
      <c r="AE201" s="339">
        <f t="shared" si="120"/>
        <v>-1.4346588258121034</v>
      </c>
      <c r="AF201" s="736" t="str">
        <f t="shared" si="92"/>
        <v>-1.97516568130695-0.234301750806959i</v>
      </c>
      <c r="AG201" s="337">
        <f t="shared" si="121"/>
        <v>5.9727568950956531</v>
      </c>
      <c r="AH201" s="730">
        <f t="shared" si="122"/>
        <v>-173.2349676864568</v>
      </c>
      <c r="AI201" s="360">
        <f t="shared" si="93"/>
        <v>6.7650323135432018</v>
      </c>
      <c r="AL201" s="337">
        <f t="shared" si="94"/>
        <v>18.216388791668233</v>
      </c>
      <c r="AM201" s="730">
        <f t="shared" si="95"/>
        <v>-82.199895760227847</v>
      </c>
      <c r="AN201" s="351"/>
      <c r="AO201" s="337">
        <f t="shared" si="96"/>
        <v>41.028299302166857</v>
      </c>
      <c r="AP201" s="730">
        <f t="shared" si="97"/>
        <v>-91.035071926228966</v>
      </c>
      <c r="AS201" s="351"/>
      <c r="AT201" s="351"/>
      <c r="AV201" s="405">
        <f t="shared" si="98"/>
        <v>0</v>
      </c>
      <c r="AW201" s="405">
        <f t="shared" si="123"/>
        <v>0</v>
      </c>
      <c r="AX201" s="405">
        <f t="shared" si="99"/>
        <v>0</v>
      </c>
      <c r="AY201" s="405">
        <f t="shared" si="100"/>
        <v>0</v>
      </c>
    </row>
    <row r="202" spans="2:51" ht="13.5" thickBot="1" x14ac:dyDescent="0.25">
      <c r="B202" s="345">
        <v>11482</v>
      </c>
      <c r="C202" s="728" t="str">
        <f t="shared" si="83"/>
        <v>2.16217503399043</v>
      </c>
      <c r="D202" s="728" t="str">
        <f t="shared" si="84"/>
        <v>1+8.77746326647271i</v>
      </c>
      <c r="E202" s="337">
        <f t="shared" si="102"/>
        <v>8.8342436798108395</v>
      </c>
      <c r="F202" s="338">
        <f t="shared" si="103"/>
        <v>1.4573573052001381</v>
      </c>
      <c r="G202" s="338" t="str">
        <f t="shared" si="85"/>
        <v>1+0.036071766848518i</v>
      </c>
      <c r="H202" s="337">
        <f t="shared" si="104"/>
        <v>1.0006503746881694</v>
      </c>
      <c r="I202" s="338">
        <f t="shared" si="105"/>
        <v>3.6056133856058749E-2</v>
      </c>
      <c r="J202" s="340">
        <f t="shared" si="86"/>
        <v>1</v>
      </c>
      <c r="K202" s="338">
        <f t="shared" si="106"/>
        <v>1</v>
      </c>
      <c r="L202" s="339">
        <f t="shared" si="107"/>
        <v>0</v>
      </c>
      <c r="M202" s="731" t="str">
        <f t="shared" si="87"/>
        <v>0.994140607822222+0.169583844144076i</v>
      </c>
      <c r="N202" s="338">
        <f t="shared" si="108"/>
        <v>1.0085009808204548</v>
      </c>
      <c r="O202" s="339">
        <f t="shared" si="109"/>
        <v>0.16895707585559011</v>
      </c>
      <c r="P202" s="732" t="str">
        <f t="shared" si="101"/>
        <v>-0.00472591370297212-0.242798085557448i</v>
      </c>
      <c r="Q202" s="337">
        <f t="shared" si="110"/>
        <v>0.24284407468721525</v>
      </c>
      <c r="R202" s="339">
        <f t="shared" si="111"/>
        <v>-1.5902582471996694</v>
      </c>
      <c r="S202" s="731" t="str">
        <f t="shared" si="88"/>
        <v>6000</v>
      </c>
      <c r="T202" s="337" t="str">
        <f t="shared" si="89"/>
        <v>1+72864.9690340064i</v>
      </c>
      <c r="U202" s="346">
        <f t="shared" si="112"/>
        <v>72864.969040868411</v>
      </c>
      <c r="V202" s="347">
        <f t="shared" si="113"/>
        <v>1.5707826027789094</v>
      </c>
      <c r="W202" s="340" t="str">
        <f t="shared" si="90"/>
        <v>1+721.43533697036i</v>
      </c>
      <c r="X202" s="337">
        <f t="shared" si="114"/>
        <v>721.43603003283442</v>
      </c>
      <c r="Y202" s="339">
        <f t="shared" si="115"/>
        <v>1.5694102020678322</v>
      </c>
      <c r="Z202" s="337" t="str">
        <f t="shared" si="91"/>
        <v>1+7.26734721585745i</v>
      </c>
      <c r="AA202" s="346">
        <f t="shared" si="116"/>
        <v>7.3358254856444773</v>
      </c>
      <c r="AB202" s="347">
        <f t="shared" si="117"/>
        <v>1.4340532624698386</v>
      </c>
      <c r="AC202" s="732" t="str">
        <f t="shared" si="118"/>
        <v>1.09289547015426-8.02397966008392i</v>
      </c>
      <c r="AD202" s="337">
        <f t="shared" si="119"/>
        <v>8.0980658242647152</v>
      </c>
      <c r="AE202" s="339">
        <f t="shared" si="120"/>
        <v>-1.4354256631809155</v>
      </c>
      <c r="AF202" s="736" t="str">
        <f t="shared" si="92"/>
        <v>-1.9533718296986-0.227432292439901i</v>
      </c>
      <c r="AG202" s="337">
        <f t="shared" si="121"/>
        <v>5.8741762772779307</v>
      </c>
      <c r="AH202" s="730">
        <f t="shared" si="122"/>
        <v>-173.35891820544674</v>
      </c>
      <c r="AI202" s="360">
        <f t="shared" si="93"/>
        <v>6.6410817945532585</v>
      </c>
      <c r="AL202" s="337">
        <f t="shared" si="94"/>
        <v>18.167626051262754</v>
      </c>
      <c r="AM202" s="730">
        <f t="shared" si="95"/>
        <v>-82.243832305033706</v>
      </c>
      <c r="AN202" s="351"/>
      <c r="AO202" s="337">
        <f t="shared" si="96"/>
        <v>40.978481424754598</v>
      </c>
      <c r="AP202" s="730">
        <f t="shared" si="97"/>
        <v>-91.115085900413021</v>
      </c>
      <c r="AS202" s="351"/>
      <c r="AT202" s="351"/>
      <c r="AV202" s="405">
        <f t="shared" si="98"/>
        <v>0</v>
      </c>
      <c r="AW202" s="405">
        <f t="shared" si="123"/>
        <v>0</v>
      </c>
      <c r="AX202" s="405">
        <f t="shared" si="99"/>
        <v>0</v>
      </c>
      <c r="AY202" s="405">
        <f t="shared" si="100"/>
        <v>0</v>
      </c>
    </row>
    <row r="203" spans="2:51" ht="13.5" thickBot="1" x14ac:dyDescent="0.25">
      <c r="B203" s="345">
        <v>11548.75</v>
      </c>
      <c r="C203" s="728" t="str">
        <f t="shared" si="83"/>
        <v>2.16217503399043</v>
      </c>
      <c r="D203" s="728" t="str">
        <f t="shared" si="84"/>
        <v>1+8.82849058514864i</v>
      </c>
      <c r="E203" s="337">
        <f t="shared" si="102"/>
        <v>8.8849449076546421</v>
      </c>
      <c r="F203" s="338">
        <f t="shared" si="103"/>
        <v>1.4580074029532273</v>
      </c>
      <c r="G203" s="338" t="str">
        <f t="shared" si="85"/>
        <v>1+0.0362814681581451i</v>
      </c>
      <c r="H203" s="337">
        <f t="shared" si="104"/>
        <v>1.0006579560127977</v>
      </c>
      <c r="I203" s="338">
        <f t="shared" si="105"/>
        <v>3.6265561077537617E-2</v>
      </c>
      <c r="J203" s="340">
        <f t="shared" si="86"/>
        <v>1</v>
      </c>
      <c r="K203" s="338">
        <f t="shared" si="106"/>
        <v>1</v>
      </c>
      <c r="L203" s="339">
        <f t="shared" si="107"/>
        <v>0</v>
      </c>
      <c r="M203" s="731" t="str">
        <f t="shared" si="87"/>
        <v>0.994072283263889+0.170569710856897i</v>
      </c>
      <c r="N203" s="338">
        <f t="shared" si="108"/>
        <v>1.0085998862855809</v>
      </c>
      <c r="O203" s="339">
        <f t="shared" si="109"/>
        <v>0.16993200940309802</v>
      </c>
      <c r="P203" s="732" t="str">
        <f t="shared" si="101"/>
        <v>-0.00504022934769971-0.241383840007378i</v>
      </c>
      <c r="Q203" s="337">
        <f t="shared" si="110"/>
        <v>0.24143645567433447</v>
      </c>
      <c r="R203" s="339">
        <f t="shared" si="111"/>
        <v>-1.5916738512787876</v>
      </c>
      <c r="S203" s="731" t="str">
        <f t="shared" si="88"/>
        <v>6000</v>
      </c>
      <c r="T203" s="337" t="str">
        <f t="shared" si="89"/>
        <v>1+73288.5656794531i</v>
      </c>
      <c r="U203" s="346">
        <f t="shared" si="112"/>
        <v>73288.56568627544</v>
      </c>
      <c r="V203" s="347">
        <f t="shared" si="113"/>
        <v>1.5707826821016124</v>
      </c>
      <c r="W203" s="340" t="str">
        <f t="shared" si="90"/>
        <v>1+725.629363162902i</v>
      </c>
      <c r="X203" s="337">
        <f t="shared" si="114"/>
        <v>725.63005221958576</v>
      </c>
      <c r="Y203" s="339">
        <f t="shared" si="115"/>
        <v>1.5694182136455392</v>
      </c>
      <c r="Z203" s="337" t="str">
        <f t="shared" si="91"/>
        <v>1+7.30959555470595i</v>
      </c>
      <c r="AA203" s="346">
        <f t="shared" si="116"/>
        <v>7.3776816936878618</v>
      </c>
      <c r="AB203" s="347">
        <f t="shared" si="117"/>
        <v>1.4348338844519277</v>
      </c>
      <c r="AC203" s="732" t="str">
        <f t="shared" si="118"/>
        <v>1.08052987872506-7.97929398211236i</v>
      </c>
      <c r="AD203" s="337">
        <f t="shared" si="119"/>
        <v>8.0521225320900385</v>
      </c>
      <c r="AE203" s="339">
        <f t="shared" si="120"/>
        <v>-1.4361983529080009</v>
      </c>
      <c r="AF203" s="736" t="str">
        <f t="shared" si="92"/>
        <v>-1.93151874035586-0.220604979666795i</v>
      </c>
      <c r="AG203" s="337">
        <f t="shared" si="121"/>
        <v>5.7742644410150392</v>
      </c>
      <c r="AH203" s="730">
        <f t="shared" si="122"/>
        <v>-173.48429820487684</v>
      </c>
      <c r="AI203" s="360">
        <f t="shared" si="93"/>
        <v>6.5157017951231637</v>
      </c>
      <c r="AL203" s="337">
        <f t="shared" si="94"/>
        <v>18.118207501693643</v>
      </c>
      <c r="AM203" s="730">
        <f t="shared" si="95"/>
        <v>-82.28810416526882</v>
      </c>
      <c r="AN203" s="351"/>
      <c r="AO203" s="337">
        <f t="shared" si="96"/>
        <v>40.927988138060812</v>
      </c>
      <c r="AP203" s="730">
        <f t="shared" si="97"/>
        <v>-91.196194039608002</v>
      </c>
      <c r="AS203" s="351"/>
      <c r="AT203" s="351"/>
      <c r="AV203" s="405">
        <f t="shared" si="98"/>
        <v>0</v>
      </c>
      <c r="AW203" s="405">
        <f t="shared" si="123"/>
        <v>0</v>
      </c>
      <c r="AX203" s="405">
        <f t="shared" si="99"/>
        <v>0</v>
      </c>
      <c r="AY203" s="405">
        <f t="shared" si="100"/>
        <v>0</v>
      </c>
    </row>
    <row r="204" spans="2:51" ht="13.5" thickBot="1" x14ac:dyDescent="0.25">
      <c r="B204" s="345">
        <v>11615.5</v>
      </c>
      <c r="C204" s="728" t="str">
        <f t="shared" si="83"/>
        <v>2.16217503399043</v>
      </c>
      <c r="D204" s="728" t="str">
        <f t="shared" si="84"/>
        <v>1+8.87951790382458i</v>
      </c>
      <c r="E204" s="337">
        <f t="shared" si="102"/>
        <v>8.9356498479036901</v>
      </c>
      <c r="F204" s="338">
        <f t="shared" si="103"/>
        <v>1.4586501230748878</v>
      </c>
      <c r="G204" s="338" t="str">
        <f t="shared" si="85"/>
        <v>1+0.0364911694677722i</v>
      </c>
      <c r="H204" s="337">
        <f t="shared" si="104"/>
        <v>1.0006655812253791</v>
      </c>
      <c r="I204" s="338">
        <f t="shared" si="105"/>
        <v>3.6474985116471841E-2</v>
      </c>
      <c r="J204" s="340">
        <f t="shared" si="86"/>
        <v>1</v>
      </c>
      <c r="K204" s="338">
        <f t="shared" si="106"/>
        <v>1</v>
      </c>
      <c r="L204" s="339">
        <f t="shared" si="107"/>
        <v>0</v>
      </c>
      <c r="M204" s="731" t="str">
        <f t="shared" si="87"/>
        <v>0.994003562655556+0.171555577569719i</v>
      </c>
      <c r="N204" s="338">
        <f t="shared" si="108"/>
        <v>1.0086993599518232</v>
      </c>
      <c r="O204" s="339">
        <f t="shared" si="109"/>
        <v>0.17090681761259729</v>
      </c>
      <c r="P204" s="732" t="str">
        <f t="shared" si="101"/>
        <v>-0.00534910183182768-0.239984983765269i</v>
      </c>
      <c r="Q204" s="337">
        <f t="shared" si="110"/>
        <v>0.24004459028110528</v>
      </c>
      <c r="R204" s="339">
        <f t="shared" si="111"/>
        <v>-1.593081955571013</v>
      </c>
      <c r="S204" s="731" t="str">
        <f t="shared" si="88"/>
        <v>6000</v>
      </c>
      <c r="T204" s="337" t="str">
        <f t="shared" si="89"/>
        <v>1+73712.1623249i</v>
      </c>
      <c r="U204" s="346">
        <f t="shared" si="112"/>
        <v>73712.162331683139</v>
      </c>
      <c r="V204" s="347">
        <f t="shared" si="113"/>
        <v>1.5707827605126388</v>
      </c>
      <c r="W204" s="340" t="str">
        <f t="shared" si="90"/>
        <v>1+729.823389355445i</v>
      </c>
      <c r="X204" s="337">
        <f t="shared" si="114"/>
        <v>729.82407445237743</v>
      </c>
      <c r="Y204" s="339">
        <f t="shared" si="115"/>
        <v>1.5694261331442481</v>
      </c>
      <c r="Z204" s="337" t="str">
        <f t="shared" si="91"/>
        <v>1+7.35184389355445i</v>
      </c>
      <c r="AA204" s="346">
        <f t="shared" si="116"/>
        <v>7.4195423467484742</v>
      </c>
      <c r="AB204" s="347">
        <f t="shared" si="117"/>
        <v>1.4356056984466716</v>
      </c>
      <c r="AC204" s="732" t="str">
        <f t="shared" si="118"/>
        <v>1.06837169220409-7.93509367715658i</v>
      </c>
      <c r="AD204" s="337">
        <f t="shared" si="119"/>
        <v>8.0066928090163021</v>
      </c>
      <c r="AE204" s="339">
        <f t="shared" si="120"/>
        <v>-1.4369623258150619</v>
      </c>
      <c r="AF204" s="736" t="str">
        <f t="shared" si="92"/>
        <v>-1.91001815626415-0.213947539084669i</v>
      </c>
      <c r="AG204" s="337">
        <f t="shared" si="121"/>
        <v>5.674901787382824</v>
      </c>
      <c r="AH204" s="730">
        <f t="shared" si="122"/>
        <v>-173.60874906117252</v>
      </c>
      <c r="AI204" s="360">
        <f t="shared" si="93"/>
        <v>6.3912509388274827</v>
      </c>
      <c r="AL204" s="337">
        <f t="shared" si="94"/>
        <v>18.06906332696029</v>
      </c>
      <c r="AM204" s="730">
        <f t="shared" si="95"/>
        <v>-82.33187658850575</v>
      </c>
      <c r="AN204" s="351"/>
      <c r="AO204" s="337">
        <f t="shared" si="96"/>
        <v>40.877769659161999</v>
      </c>
      <c r="AP204" s="730">
        <f t="shared" si="97"/>
        <v>-91.276872472666767</v>
      </c>
      <c r="AS204" s="351"/>
      <c r="AT204" s="351"/>
      <c r="AV204" s="405">
        <f t="shared" si="98"/>
        <v>0</v>
      </c>
      <c r="AW204" s="405">
        <f t="shared" si="123"/>
        <v>0</v>
      </c>
      <c r="AX204" s="405">
        <f t="shared" si="99"/>
        <v>0</v>
      </c>
      <c r="AY204" s="405">
        <f t="shared" si="100"/>
        <v>0</v>
      </c>
    </row>
    <row r="205" spans="2:51" ht="13.5" thickBot="1" x14ac:dyDescent="0.25">
      <c r="B205" s="345">
        <v>11682.25</v>
      </c>
      <c r="C205" s="728" t="str">
        <f t="shared" ref="C205:C268" si="124">COMPLEX(Am*Afb,0)</f>
        <v>2.16217503399043</v>
      </c>
      <c r="D205" s="728" t="str">
        <f t="shared" ref="D205:D268" si="125">IMSUM(COMPLEX(1,0),IMDIV(COMPLEX(0,2*PI()*B205),COMPLEX(2*PI()*PS_Pole1,0)))</f>
        <v>1+8.93054522250051i</v>
      </c>
      <c r="E205" s="337">
        <f t="shared" si="102"/>
        <v>8.9863584377169534</v>
      </c>
      <c r="F205" s="338">
        <f t="shared" si="103"/>
        <v>1.4592855899219701</v>
      </c>
      <c r="G205" s="338" t="str">
        <f t="shared" ref="G205:G268" si="126">IMSUM(COMPLEX(1,0),IMDIV(COMPLEX(0,2*PI()*B205),COMPLEX(2*PI()*PS_Zero1,0)))</f>
        <v>1+0.0367008707773993i</v>
      </c>
      <c r="H205" s="337">
        <f t="shared" si="104"/>
        <v>1.0006732503249096</v>
      </c>
      <c r="I205" s="338">
        <f t="shared" si="105"/>
        <v>3.6684405954564375E-2</v>
      </c>
      <c r="J205" s="340">
        <f t="shared" ref="J205:J268" si="127">IF(VIN_nom&gt;Vout, 1,IMSUB(COMPLEX(1,0),IMDIV(COMPLEX(0,2*PI()*B205),COMPLEX(2*PI()*PS_RHPZ,0))))</f>
        <v>1</v>
      </c>
      <c r="K205" s="338">
        <f t="shared" si="106"/>
        <v>1</v>
      </c>
      <c r="L205" s="339">
        <f t="shared" si="107"/>
        <v>0</v>
      </c>
      <c r="M205" s="731" t="str">
        <f t="shared" ref="M205:M268" si="128">IMSUM(COMPLEX(1,0),IMDIV(COMPLEX(0,2*PI()*B205),COMPLEX(Q*(2*PI()*PS_Pole2/2),0)),IMDIV(IMPOWER(COMPLEX(0,2*PI()*B205),2),IMPOWER(COMPLEX(2*PI()*PS_Pole2/2,0),2)))</f>
        <v>0.993934445997222+0.17254144428254i</v>
      </c>
      <c r="N205" s="338">
        <f t="shared" si="108"/>
        <v>1.0087994017320339</v>
      </c>
      <c r="O205" s="339">
        <f t="shared" si="109"/>
        <v>0.17188149980029718</v>
      </c>
      <c r="P205" s="732" t="str">
        <f t="shared" si="101"/>
        <v>-0.00565265194777081-0.238601266831673i</v>
      </c>
      <c r="Q205" s="337">
        <f t="shared" si="110"/>
        <v>0.23866821532772614</v>
      </c>
      <c r="R205" s="339">
        <f t="shared" si="111"/>
        <v>-1.5944826837677029</v>
      </c>
      <c r="S205" s="731" t="str">
        <f t="shared" ref="S205:S268" si="129">COMPLEX(AEA,0)</f>
        <v>6000</v>
      </c>
      <c r="T205" s="337" t="str">
        <f t="shared" ref="T205:T268" si="130">IMSUM(COMPLEX(1,0),IMDIV(COMPLEX(0,2*PI()*B205),COMPLEX(2*PI()*EA_Pole1,0)))</f>
        <v>1+74135.7589703467i</v>
      </c>
      <c r="U205" s="346">
        <f t="shared" si="112"/>
        <v>74135.758977091085</v>
      </c>
      <c r="V205" s="347">
        <f t="shared" si="113"/>
        <v>1.5707828380276159</v>
      </c>
      <c r="W205" s="340" t="str">
        <f t="shared" ref="W205:W268" si="131">IMSUM(COMPLEX(1,0),IMDIV(COMPLEX(0,2*PI()*B205),COMPLEX(2*PI()*EA_Zero1,0)))</f>
        <v>1+734.017415547987i</v>
      </c>
      <c r="X205" s="337">
        <f t="shared" si="114"/>
        <v>734.01809673041862</v>
      </c>
      <c r="Y205" s="339">
        <f t="shared" si="115"/>
        <v>1.5694339621423166</v>
      </c>
      <c r="Z205" s="337" t="str">
        <f t="shared" ref="Z205:Z268" si="132">IMSUM(COMPLEX(1,0),IMDIV(COMPLEX(0,2*PI()*B205),COMPLEX(2*PI()*EA_Pole2,0)))</f>
        <v>1+7.39409223240295i</v>
      </c>
      <c r="AA205" s="346">
        <f t="shared" si="116"/>
        <v>7.4614073700128216</v>
      </c>
      <c r="AB205" s="347">
        <f t="shared" si="117"/>
        <v>1.4363688517882547</v>
      </c>
      <c r="AC205" s="732" t="str">
        <f t="shared" si="118"/>
        <v>1.05641632656506-7.89137104520592i</v>
      </c>
      <c r="AD205" s="337">
        <f t="shared" si="119"/>
        <v>7.9617681722182532</v>
      </c>
      <c r="AE205" s="339">
        <f t="shared" si="120"/>
        <v>-1.437717727673554</v>
      </c>
      <c r="AF205" s="736" t="str">
        <f t="shared" ref="AF205:AF268" si="133">IMPRODUCT(P205,AC205)</f>
        <v>-1.88886268223093-0.20745509991082i</v>
      </c>
      <c r="AG205" s="337">
        <f t="shared" si="121"/>
        <v>5.5760822687749512</v>
      </c>
      <c r="AH205" s="730">
        <f t="shared" si="122"/>
        <v>-173.73228621341576</v>
      </c>
      <c r="AI205" s="360">
        <f t="shared" ref="AI205:AI268" si="134">IF(AH205&gt;0,AH205-180,AH205+180)</f>
        <v>6.2677137865842383</v>
      </c>
      <c r="AL205" s="337">
        <f t="shared" ref="AL205:AL268" si="135">20*LOG10(IMABS(AC205))</f>
        <v>18.020190556164412</v>
      </c>
      <c r="AM205" s="730">
        <f t="shared" ref="AM205:AM268" si="136">(180/PI())*IMARGUMENT(AC205)</f>
        <v>-82.37515792683368</v>
      </c>
      <c r="AN205" s="351"/>
      <c r="AO205" s="337">
        <f t="shared" ref="AO205:AO268" si="137">20*LOG10(IMABS(IMPRODUCT(COMPLEX(Am/Afb,0),P205)))</f>
        <v>40.827822911349969</v>
      </c>
      <c r="AP205" s="730">
        <f t="shared" ref="AP205:AP268" si="138">180/PI()*IMARGUMENT(IMPRODUCT(COMPLEX(Am/Afb,0),P205))</f>
        <v>-91.357128286582068</v>
      </c>
      <c r="AS205" s="351"/>
      <c r="AT205" s="351"/>
      <c r="AV205" s="405">
        <f t="shared" ref="AV205:AV268" si="139">SUM((AG206&lt;0)*(AG205&gt;0))*B205</f>
        <v>0</v>
      </c>
      <c r="AW205" s="405">
        <f t="shared" si="123"/>
        <v>0</v>
      </c>
      <c r="AX205" s="405">
        <f t="shared" ref="AX205:AX268" si="140">SUM((AL206&lt;0)*(AL205&gt;0))*B205</f>
        <v>0</v>
      </c>
      <c r="AY205" s="405">
        <f t="shared" ref="AY205:AY268" si="141">IF(AX205&gt;0,AM205,0)</f>
        <v>0</v>
      </c>
    </row>
    <row r="206" spans="2:51" ht="13.5" thickBot="1" x14ac:dyDescent="0.25">
      <c r="B206" s="345">
        <v>11749</v>
      </c>
      <c r="C206" s="728" t="str">
        <f t="shared" si="124"/>
        <v>2.16217503399043</v>
      </c>
      <c r="D206" s="728" t="str">
        <f t="shared" si="125"/>
        <v>1+8.98157254117645i</v>
      </c>
      <c r="E206" s="337">
        <f t="shared" si="102"/>
        <v>9.0370706156594114</v>
      </c>
      <c r="F206" s="338">
        <f t="shared" si="103"/>
        <v>1.4599139250837108</v>
      </c>
      <c r="G206" s="338" t="str">
        <f t="shared" si="126"/>
        <v>1+0.0369105720870265i</v>
      </c>
      <c r="H206" s="337">
        <f t="shared" si="104"/>
        <v>1.0006809633103808</v>
      </c>
      <c r="I206" s="338">
        <f t="shared" si="105"/>
        <v>3.6893823573519939E-2</v>
      </c>
      <c r="J206" s="340">
        <f t="shared" si="127"/>
        <v>1</v>
      </c>
      <c r="K206" s="338">
        <f t="shared" si="106"/>
        <v>1</v>
      </c>
      <c r="L206" s="339">
        <f t="shared" si="107"/>
        <v>0</v>
      </c>
      <c r="M206" s="731" t="str">
        <f t="shared" si="128"/>
        <v>0.993864933288889+0.173527310995362i</v>
      </c>
      <c r="N206" s="338">
        <f t="shared" si="108"/>
        <v>1.0089000115386109</v>
      </c>
      <c r="O206" s="339">
        <f t="shared" si="109"/>
        <v>0.17285605528309222</v>
      </c>
      <c r="P206" s="732" t="str">
        <f t="shared" ref="P206:P269" si="142">(IMDIV(IMPRODUCT(C206,G206,J206),IMPRODUCT(D206,M206)))</f>
        <v>-0.00595099715246369-0.237232444518398i</v>
      </c>
      <c r="Q206" s="337">
        <f t="shared" si="110"/>
        <v>0.23730707342867682</v>
      </c>
      <c r="R206" s="339">
        <f t="shared" si="111"/>
        <v>-1.5958761567932829</v>
      </c>
      <c r="S206" s="731" t="str">
        <f t="shared" si="129"/>
        <v>6000</v>
      </c>
      <c r="T206" s="337" t="str">
        <f t="shared" si="130"/>
        <v>1+74559.3556157935i</v>
      </c>
      <c r="U206" s="346">
        <f t="shared" si="112"/>
        <v>74559.35562249957</v>
      </c>
      <c r="V206" s="347">
        <f t="shared" si="113"/>
        <v>1.5707829146618157</v>
      </c>
      <c r="W206" s="340" t="str">
        <f t="shared" si="131"/>
        <v>1+738.21144174053i</v>
      </c>
      <c r="X206" s="337">
        <f t="shared" si="114"/>
        <v>738.21211905293978</v>
      </c>
      <c r="Y206" s="339">
        <f t="shared" si="115"/>
        <v>1.5694417021822342</v>
      </c>
      <c r="Z206" s="337" t="str">
        <f t="shared" si="132"/>
        <v>1+7.43634057125146i</v>
      </c>
      <c r="AA206" s="346">
        <f t="shared" si="116"/>
        <v>7.5032766903293986</v>
      </c>
      <c r="AB206" s="347">
        <f t="shared" si="117"/>
        <v>1.4371234885631503</v>
      </c>
      <c r="AC206" s="732" t="str">
        <f t="shared" si="118"/>
        <v>1.04465932293936-7.84811854440444i</v>
      </c>
      <c r="AD206" s="337">
        <f t="shared" si="119"/>
        <v>7.9173403228627857</v>
      </c>
      <c r="AE206" s="339">
        <f t="shared" si="120"/>
        <v>-1.4384647010427318</v>
      </c>
      <c r="AF206" s="736" t="str">
        <f t="shared" si="133"/>
        <v>-1.86804511181534-0.201122953759891i</v>
      </c>
      <c r="AG206" s="337">
        <f t="shared" si="121"/>
        <v>5.4777999345150388</v>
      </c>
      <c r="AH206" s="730">
        <f t="shared" si="122"/>
        <v>-173.85492475810935</v>
      </c>
      <c r="AI206" s="360">
        <f t="shared" si="134"/>
        <v>6.1450752418906518</v>
      </c>
      <c r="AL206" s="337">
        <f t="shared" si="135"/>
        <v>17.971586265384534</v>
      </c>
      <c r="AM206" s="730">
        <f t="shared" si="136"/>
        <v>-82.417956348296244</v>
      </c>
      <c r="AN206" s="351"/>
      <c r="AO206" s="337">
        <f t="shared" si="137"/>
        <v>40.778144867869955</v>
      </c>
      <c r="AP206" s="730">
        <f t="shared" si="138"/>
        <v>-91.436968409813133</v>
      </c>
      <c r="AS206" s="351"/>
      <c r="AT206" s="351"/>
      <c r="AV206" s="405">
        <f t="shared" si="139"/>
        <v>0</v>
      </c>
      <c r="AW206" s="405">
        <f t="shared" si="123"/>
        <v>0</v>
      </c>
      <c r="AX206" s="405">
        <f t="shared" si="140"/>
        <v>0</v>
      </c>
      <c r="AY206" s="405">
        <f t="shared" si="141"/>
        <v>0</v>
      </c>
    </row>
    <row r="207" spans="2:51" ht="13.5" thickBot="1" x14ac:dyDescent="0.25">
      <c r="B207" s="345">
        <v>11817.5</v>
      </c>
      <c r="C207" s="728" t="str">
        <f t="shared" si="124"/>
        <v>2.16217503399043</v>
      </c>
      <c r="D207" s="728" t="str">
        <f t="shared" si="125"/>
        <v>1+9.03393765472403i</v>
      </c>
      <c r="E207" s="337">
        <f t="shared" si="102"/>
        <v>9.0891159938379449</v>
      </c>
      <c r="F207" s="338">
        <f t="shared" si="103"/>
        <v>1.4605514435327758</v>
      </c>
      <c r="G207" s="338" t="str">
        <f t="shared" si="126"/>
        <v>1+0.0371257711837974i</v>
      </c>
      <c r="H207" s="337">
        <f t="shared" si="104"/>
        <v>1.0006889241347641</v>
      </c>
      <c r="I207" s="338">
        <f t="shared" si="105"/>
        <v>3.7108728176011803E-2</v>
      </c>
      <c r="J207" s="340">
        <f t="shared" si="127"/>
        <v>1</v>
      </c>
      <c r="K207" s="338">
        <f t="shared" si="106"/>
        <v>1</v>
      </c>
      <c r="L207" s="339">
        <f t="shared" si="107"/>
        <v>0</v>
      </c>
      <c r="M207" s="731" t="str">
        <f t="shared" si="128"/>
        <v>0.993793186388889+0.174539024401029i</v>
      </c>
      <c r="N207" s="338">
        <f t="shared" si="108"/>
        <v>1.0090038495228075</v>
      </c>
      <c r="O207" s="339">
        <f t="shared" si="109"/>
        <v>0.173856028462714</v>
      </c>
      <c r="P207" s="732" t="str">
        <f t="shared" si="142"/>
        <v>-0.00625187253270898-0.235842969802862i</v>
      </c>
      <c r="Q207" s="337">
        <f t="shared" si="110"/>
        <v>0.23592581951876085</v>
      </c>
      <c r="R207" s="339">
        <f t="shared" si="111"/>
        <v>-1.5972987438194777</v>
      </c>
      <c r="S207" s="731" t="str">
        <f t="shared" si="129"/>
        <v>6000</v>
      </c>
      <c r="T207" s="337" t="str">
        <f t="shared" si="130"/>
        <v>1+74994.0577912708i</v>
      </c>
      <c r="U207" s="346">
        <f t="shared" si="112"/>
        <v>74994.057797938003</v>
      </c>
      <c r="V207" s="347">
        <f t="shared" si="113"/>
        <v>1.5707829924050878</v>
      </c>
      <c r="W207" s="340" t="str">
        <f t="shared" si="131"/>
        <v>1+742.515423675948i</v>
      </c>
      <c r="X207" s="337">
        <f t="shared" si="114"/>
        <v>742.51609706232807</v>
      </c>
      <c r="Y207" s="339">
        <f t="shared" si="115"/>
        <v>1.5694495542383744</v>
      </c>
      <c r="Z207" s="337" t="str">
        <f t="shared" si="132"/>
        <v>1+7.47969654445179i</v>
      </c>
      <c r="AA207" s="346">
        <f t="shared" si="116"/>
        <v>7.5462481006844744</v>
      </c>
      <c r="AB207" s="347">
        <f t="shared" si="117"/>
        <v>1.4378892031849366</v>
      </c>
      <c r="AC207" s="732" t="str">
        <f t="shared" si="118"/>
        <v>1.03279576576043-7.804213117158i</v>
      </c>
      <c r="AD207" s="337">
        <f t="shared" si="119"/>
        <v>7.8722556787615607</v>
      </c>
      <c r="AE207" s="339">
        <f t="shared" si="120"/>
        <v>-1.4392226413516507</v>
      </c>
      <c r="AF207" s="736" t="str">
        <f t="shared" si="133"/>
        <v>-1.84702570600485-0.194786674970194i</v>
      </c>
      <c r="AG207" s="337">
        <f t="shared" si="121"/>
        <v>5.3774932634104449</v>
      </c>
      <c r="AH207" s="730">
        <f t="shared" si="122"/>
        <v>-173.97985977152427</v>
      </c>
      <c r="AI207" s="360">
        <f t="shared" si="134"/>
        <v>6.0201402284757251</v>
      </c>
      <c r="AL207" s="337">
        <f t="shared" si="135"/>
        <v>17.921983817388629</v>
      </c>
      <c r="AM207" s="730">
        <f t="shared" si="136"/>
        <v>-82.461383129120136</v>
      </c>
      <c r="AN207" s="351"/>
      <c r="AO207" s="337">
        <f t="shared" si="137"/>
        <v>40.727440644761231</v>
      </c>
      <c r="AP207" s="730">
        <f t="shared" si="138"/>
        <v>-91.518476642404153</v>
      </c>
      <c r="AS207" s="351"/>
      <c r="AT207" s="351"/>
      <c r="AV207" s="405">
        <f t="shared" si="139"/>
        <v>0</v>
      </c>
      <c r="AW207" s="405">
        <f t="shared" si="123"/>
        <v>0</v>
      </c>
      <c r="AX207" s="405">
        <f t="shared" si="140"/>
        <v>0</v>
      </c>
      <c r="AY207" s="405">
        <f t="shared" si="141"/>
        <v>0</v>
      </c>
    </row>
    <row r="208" spans="2:51" ht="13.5" thickBot="1" x14ac:dyDescent="0.25">
      <c r="B208" s="345">
        <v>11886</v>
      </c>
      <c r="C208" s="728" t="str">
        <f t="shared" si="124"/>
        <v>2.16217503399043</v>
      </c>
      <c r="D208" s="728" t="str">
        <f t="shared" si="125"/>
        <v>1+9.08630276827162i</v>
      </c>
      <c r="E208" s="337">
        <f t="shared" si="102"/>
        <v>9.1411650240382674</v>
      </c>
      <c r="F208" s="338">
        <f t="shared" si="103"/>
        <v>1.4611817022819613</v>
      </c>
      <c r="G208" s="338" t="str">
        <f t="shared" si="126"/>
        <v>1+0.0373409702805683i</v>
      </c>
      <c r="H208" s="337">
        <f t="shared" si="104"/>
        <v>1.0006969311742162</v>
      </c>
      <c r="I208" s="338">
        <f t="shared" si="105"/>
        <v>3.7323629349326079E-2</v>
      </c>
      <c r="J208" s="340">
        <f t="shared" si="127"/>
        <v>1</v>
      </c>
      <c r="K208" s="338">
        <f t="shared" si="106"/>
        <v>1</v>
      </c>
      <c r="L208" s="339">
        <f t="shared" si="107"/>
        <v>0</v>
      </c>
      <c r="M208" s="731" t="str">
        <f t="shared" si="128"/>
        <v>0.9937210224+0.175550737806696i</v>
      </c>
      <c r="N208" s="338">
        <f t="shared" si="108"/>
        <v>1.0091082855195357</v>
      </c>
      <c r="O208" s="339">
        <f t="shared" si="109"/>
        <v>0.17485586675120643</v>
      </c>
      <c r="P208" s="732" t="str">
        <f t="shared" si="142"/>
        <v>-0.00654750682965467-0.234468675386639i</v>
      </c>
      <c r="Q208" s="337">
        <f t="shared" si="110"/>
        <v>0.23456007670370821</v>
      </c>
      <c r="R208" s="339">
        <f t="shared" si="111"/>
        <v>-1.5987139396838415</v>
      </c>
      <c r="S208" s="731" t="str">
        <f t="shared" si="129"/>
        <v>6000</v>
      </c>
      <c r="T208" s="337" t="str">
        <f t="shared" si="130"/>
        <v>1+75428.759966748i</v>
      </c>
      <c r="U208" s="346">
        <f t="shared" si="112"/>
        <v>75428.759973376771</v>
      </c>
      <c r="V208" s="347">
        <f t="shared" si="113"/>
        <v>1.5707830692522777</v>
      </c>
      <c r="W208" s="340" t="str">
        <f t="shared" si="131"/>
        <v>1+746.819405611366i</v>
      </c>
      <c r="X208" s="337">
        <f t="shared" si="114"/>
        <v>746.82007511696827</v>
      </c>
      <c r="Y208" s="339">
        <f t="shared" si="115"/>
        <v>1.5694573157905813</v>
      </c>
      <c r="Z208" s="337" t="str">
        <f t="shared" si="132"/>
        <v>1+7.52305251765212i</v>
      </c>
      <c r="AA208" s="346">
        <f t="shared" si="116"/>
        <v>7.5892238854412444</v>
      </c>
      <c r="AB208" s="347">
        <f t="shared" si="117"/>
        <v>1.4386462461641893</v>
      </c>
      <c r="AC208" s="732" t="str">
        <f t="shared" si="118"/>
        <v>1.02113198061018-7.7607871964988i</v>
      </c>
      <c r="AD208" s="337">
        <f t="shared" si="119"/>
        <v>7.8276770775987288</v>
      </c>
      <c r="AE208" s="339">
        <f t="shared" si="120"/>
        <v>-1.4399719996258862</v>
      </c>
      <c r="AF208" s="736" t="str">
        <f t="shared" si="133"/>
        <v>-1.82634736253769-0.188609655716032i</v>
      </c>
      <c r="AG208" s="337">
        <f t="shared" si="121"/>
        <v>5.2777399196745804</v>
      </c>
      <c r="AH208" s="730">
        <f t="shared" si="122"/>
        <v>-174.10387958819362</v>
      </c>
      <c r="AI208" s="360">
        <f t="shared" si="134"/>
        <v>5.896120411806379</v>
      </c>
      <c r="AL208" s="337">
        <f t="shared" si="135"/>
        <v>17.872658020072588</v>
      </c>
      <c r="AM208" s="730">
        <f t="shared" si="136"/>
        <v>-82.504318195577042</v>
      </c>
      <c r="AN208" s="351"/>
      <c r="AO208" s="337">
        <f t="shared" si="137"/>
        <v>40.677013098341426</v>
      </c>
      <c r="AP208" s="730">
        <f t="shared" si="138"/>
        <v>-91.599561392616579</v>
      </c>
      <c r="AS208" s="351"/>
      <c r="AT208" s="351"/>
      <c r="AV208" s="405">
        <f t="shared" si="139"/>
        <v>0</v>
      </c>
      <c r="AW208" s="405">
        <f t="shared" si="123"/>
        <v>0</v>
      </c>
      <c r="AX208" s="405">
        <f t="shared" si="140"/>
        <v>0</v>
      </c>
      <c r="AY208" s="405">
        <f t="shared" si="141"/>
        <v>0</v>
      </c>
    </row>
    <row r="209" spans="2:51" ht="13.5" thickBot="1" x14ac:dyDescent="0.25">
      <c r="B209" s="345">
        <v>11954.5</v>
      </c>
      <c r="C209" s="728" t="str">
        <f t="shared" si="124"/>
        <v>2.16217503399043</v>
      </c>
      <c r="D209" s="728" t="str">
        <f t="shared" si="125"/>
        <v>1+9.13866788181921i</v>
      </c>
      <c r="E209" s="337">
        <f t="shared" ref="E209:E272" si="143">IMABS(D209)</f>
        <v>9.1932176442306659</v>
      </c>
      <c r="F209" s="338">
        <f t="shared" ref="F209:F272" si="144">IMARGUMENT(D209)</f>
        <v>1.4618048241409909</v>
      </c>
      <c r="G209" s="338" t="str">
        <f t="shared" si="126"/>
        <v>1+0.0375561693773392i</v>
      </c>
      <c r="H209" s="337">
        <f t="shared" ref="H209:H272" si="145">IMABS(G209)</f>
        <v>1.0007049844276281</v>
      </c>
      <c r="I209" s="338">
        <f t="shared" ref="I209:I272" si="146">IMARGUMENT(G209)</f>
        <v>3.7538527073695982E-2</v>
      </c>
      <c r="J209" s="340">
        <f t="shared" si="127"/>
        <v>1</v>
      </c>
      <c r="K209" s="338">
        <f t="shared" ref="K209:K272" si="147">IMABS(J209)</f>
        <v>1</v>
      </c>
      <c r="L209" s="339">
        <f t="shared" ref="L209:L272" si="148">IMARGUMENT(J209)</f>
        <v>0</v>
      </c>
      <c r="M209" s="731" t="str">
        <f t="shared" si="128"/>
        <v>0.993648441322222+0.176562451212363i</v>
      </c>
      <c r="N209" s="338">
        <f t="shared" ref="N209:N272" si="149">IMABS(M209)</f>
        <v>1.0092133194326158</v>
      </c>
      <c r="O209" s="339">
        <f t="shared" ref="O209:O272" si="150">IMARGUMENT(M209)</f>
        <v>0.17585556941257599</v>
      </c>
      <c r="P209" s="732" t="str">
        <f t="shared" si="142"/>
        <v>-0.00683801673521195-0.233109313376291i</v>
      </c>
      <c r="Q209" s="337">
        <f t="shared" ref="Q209:Q272" si="151">IMABS(P209)</f>
        <v>0.23320958482797594</v>
      </c>
      <c r="R209" s="339">
        <f t="shared" ref="R209:R272" si="152">IMARGUMENT(P209)</f>
        <v>-1.6001218664798709</v>
      </c>
      <c r="S209" s="731" t="str">
        <f t="shared" si="129"/>
        <v>6000</v>
      </c>
      <c r="T209" s="337" t="str">
        <f t="shared" si="130"/>
        <v>1+75863.4621422252i</v>
      </c>
      <c r="U209" s="346">
        <f t="shared" ref="U209:U272" si="153">IMABS(T209)</f>
        <v>75863.462148815976</v>
      </c>
      <c r="V209" s="347">
        <f t="shared" ref="V209:V272" si="154">IMARGUMENT(T209)</f>
        <v>1.5707831452187899</v>
      </c>
      <c r="W209" s="340" t="str">
        <f t="shared" si="131"/>
        <v>1+751.123387546784i</v>
      </c>
      <c r="X209" s="337">
        <f t="shared" ref="X209:X272" si="155">IMABS(W209)</f>
        <v>751.12405321608242</v>
      </c>
      <c r="Y209" s="339">
        <f t="shared" ref="Y209:Y272" si="156">IMARGUMENT(W209)</f>
        <v>1.5694649883946301</v>
      </c>
      <c r="Z209" s="337" t="str">
        <f t="shared" si="132"/>
        <v>1+7.56640849085246i</v>
      </c>
      <c r="AA209" s="346">
        <f t="shared" ref="AA209:AA272" si="157">IMABS(Z209)</f>
        <v>7.6322039707049374</v>
      </c>
      <c r="AB209" s="347">
        <f t="shared" ref="AB209:AB272" si="158">IMARGUMENT(Z209)</f>
        <v>1.4393947631265278</v>
      </c>
      <c r="AC209" s="732" t="str">
        <f t="shared" ref="AC209:AC272" si="159">IMPRODUCT(S209,IMDIV(W209,IMPRODUCT(T209,Z209)))</f>
        <v>1.0096635335194-7.71783312562902i</v>
      </c>
      <c r="AD209" s="337">
        <f t="shared" ref="AD209:AD272" si="160">IMABS(AC209)</f>
        <v>7.7835961229996693</v>
      </c>
      <c r="AE209" s="339">
        <f t="shared" ref="AE209:AE272" si="161">IMARGUMENT(AC209)</f>
        <v>-1.4407129199506878</v>
      </c>
      <c r="AF209" s="736" t="str">
        <f t="shared" si="133"/>
        <v>-1.80600287680731-0.182587300967163i</v>
      </c>
      <c r="AG209" s="337">
        <f t="shared" ref="AG209:AG272" si="162">20*LOG10(IMABS(AF209))</f>
        <v>5.1785337774258426</v>
      </c>
      <c r="AH209" s="730">
        <f t="shared" ref="AH209:AH272" si="163">(180/PI())*IMARGUMENT(AF209)</f>
        <v>-174.22699945903605</v>
      </c>
      <c r="AI209" s="360">
        <f t="shared" si="134"/>
        <v>5.7730005409639489</v>
      </c>
      <c r="AL209" s="337">
        <f t="shared" si="135"/>
        <v>17.823605861487589</v>
      </c>
      <c r="AM209" s="730">
        <f t="shared" si="136"/>
        <v>-82.546769803143633</v>
      </c>
      <c r="AN209" s="351"/>
      <c r="AO209" s="337">
        <f t="shared" si="137"/>
        <v>40.626859114677664</v>
      </c>
      <c r="AP209" s="730">
        <f t="shared" si="138"/>
        <v>-91.680229655892447</v>
      </c>
      <c r="AS209" s="351"/>
      <c r="AT209" s="351"/>
      <c r="AV209" s="405">
        <f t="shared" si="139"/>
        <v>0</v>
      </c>
      <c r="AW209" s="405">
        <f t="shared" si="123"/>
        <v>0</v>
      </c>
      <c r="AX209" s="405">
        <f t="shared" si="140"/>
        <v>0</v>
      </c>
      <c r="AY209" s="405">
        <f t="shared" si="141"/>
        <v>0</v>
      </c>
    </row>
    <row r="210" spans="2:51" ht="13.5" thickBot="1" x14ac:dyDescent="0.25">
      <c r="B210" s="345">
        <v>12023</v>
      </c>
      <c r="C210" s="728" t="str">
        <f t="shared" si="124"/>
        <v>2.16217503399043</v>
      </c>
      <c r="D210" s="728" t="str">
        <f t="shared" si="125"/>
        <v>1+9.19103299536679i</v>
      </c>
      <c r="E210" s="337">
        <f t="shared" si="143"/>
        <v>9.24527379377815</v>
      </c>
      <c r="F210" s="338">
        <f t="shared" si="144"/>
        <v>1.4624209291760903</v>
      </c>
      <c r="G210" s="338" t="str">
        <f t="shared" si="126"/>
        <v>1+0.0377713684741101i</v>
      </c>
      <c r="H210" s="337">
        <f t="shared" si="145"/>
        <v>1.0007130838938836</v>
      </c>
      <c r="I210" s="338">
        <f t="shared" si="146"/>
        <v>3.7753421329356607E-2</v>
      </c>
      <c r="J210" s="340">
        <f t="shared" si="127"/>
        <v>1</v>
      </c>
      <c r="K210" s="338">
        <f t="shared" si="147"/>
        <v>1</v>
      </c>
      <c r="L210" s="339">
        <f t="shared" si="148"/>
        <v>0</v>
      </c>
      <c r="M210" s="731" t="str">
        <f t="shared" si="128"/>
        <v>0.993575443155556+0.17757416461803i</v>
      </c>
      <c r="N210" s="338">
        <f t="shared" si="149"/>
        <v>1.0093189511653642</v>
      </c>
      <c r="O210" s="339">
        <f t="shared" si="150"/>
        <v>0.17685513571160014</v>
      </c>
      <c r="P210" s="732" t="str">
        <f t="shared" si="142"/>
        <v>-0.00712351570641392-0.231764641177224i</v>
      </c>
      <c r="Q210" s="337">
        <f t="shared" si="151"/>
        <v>0.23187408948829735</v>
      </c>
      <c r="R210" s="339">
        <f t="shared" si="152"/>
        <v>-1.6015226435583338</v>
      </c>
      <c r="S210" s="731" t="str">
        <f t="shared" si="129"/>
        <v>6000</v>
      </c>
      <c r="T210" s="337" t="str">
        <f t="shared" si="130"/>
        <v>1+76298.1643177024i</v>
      </c>
      <c r="U210" s="346">
        <f t="shared" si="153"/>
        <v>76298.164324255646</v>
      </c>
      <c r="V210" s="347">
        <f t="shared" si="154"/>
        <v>1.5707832203196768</v>
      </c>
      <c r="W210" s="340" t="str">
        <f t="shared" si="131"/>
        <v>1+755.427369482202i</v>
      </c>
      <c r="X210" s="337">
        <f t="shared" si="155"/>
        <v>755.42803135891074</v>
      </c>
      <c r="Y210" s="339">
        <f t="shared" si="156"/>
        <v>1.5694725735708404</v>
      </c>
      <c r="Z210" s="337" t="str">
        <f t="shared" si="132"/>
        <v>1+7.60976446405279i</v>
      </c>
      <c r="AA210" s="346">
        <f t="shared" si="157"/>
        <v>7.6751882842286445</v>
      </c>
      <c r="AB210" s="347">
        <f t="shared" si="158"/>
        <v>1.4401348964740177</v>
      </c>
      <c r="AC210" s="732" t="str">
        <f t="shared" si="159"/>
        <v>0.998386112124024-7.67534340626652i</v>
      </c>
      <c r="AD210" s="337">
        <f t="shared" si="160"/>
        <v>7.7400046016136876</v>
      </c>
      <c r="AE210" s="339">
        <f t="shared" si="161"/>
        <v>-1.4414455432228541</v>
      </c>
      <c r="AF210" s="736" t="str">
        <f t="shared" si="133"/>
        <v>-1.78598522961611-0.176715169726088i</v>
      </c>
      <c r="AG210" s="337">
        <f t="shared" si="162"/>
        <v>5.0798688095515168</v>
      </c>
      <c r="AH210" s="730">
        <f t="shared" si="163"/>
        <v>-174.34923429513884</v>
      </c>
      <c r="AI210" s="360">
        <f t="shared" si="134"/>
        <v>5.6507657048611577</v>
      </c>
      <c r="AL210" s="337">
        <f t="shared" si="135"/>
        <v>17.774824377623844</v>
      </c>
      <c r="AM210" s="730">
        <f t="shared" si="136"/>
        <v>-82.588746024611822</v>
      </c>
      <c r="AN210" s="351"/>
      <c r="AO210" s="337">
        <f t="shared" si="137"/>
        <v>40.576975630667114</v>
      </c>
      <c r="AP210" s="730">
        <f t="shared" si="138"/>
        <v>-91.760488270527034</v>
      </c>
      <c r="AS210" s="351"/>
      <c r="AT210" s="351"/>
      <c r="AV210" s="405">
        <f t="shared" si="139"/>
        <v>0</v>
      </c>
      <c r="AW210" s="405">
        <f t="shared" si="123"/>
        <v>0</v>
      </c>
      <c r="AX210" s="405">
        <f t="shared" si="140"/>
        <v>0</v>
      </c>
      <c r="AY210" s="405">
        <f t="shared" si="141"/>
        <v>0</v>
      </c>
    </row>
    <row r="211" spans="2:51" ht="13.5" thickBot="1" x14ac:dyDescent="0.25">
      <c r="B211" s="345">
        <v>12093</v>
      </c>
      <c r="C211" s="728" t="str">
        <f t="shared" si="124"/>
        <v>2.16217503399043</v>
      </c>
      <c r="D211" s="728" t="str">
        <f t="shared" si="125"/>
        <v>1+9.24454479023293i</v>
      </c>
      <c r="E211" s="337">
        <f t="shared" si="143"/>
        <v>9.2984734434541885</v>
      </c>
      <c r="F211" s="338">
        <f t="shared" si="144"/>
        <v>1.463043398729772</v>
      </c>
      <c r="G211" s="338" t="str">
        <f t="shared" si="126"/>
        <v>1+0.0379912799598613i</v>
      </c>
      <c r="H211" s="337">
        <f t="shared" si="145"/>
        <v>1.0007214084614102</v>
      </c>
      <c r="I211" s="338">
        <f t="shared" si="146"/>
        <v>3.7973017694602249E-2</v>
      </c>
      <c r="J211" s="340">
        <f t="shared" si="127"/>
        <v>1</v>
      </c>
      <c r="K211" s="338">
        <f t="shared" si="147"/>
        <v>1</v>
      </c>
      <c r="L211" s="339">
        <f t="shared" si="148"/>
        <v>0</v>
      </c>
      <c r="M211" s="731" t="str">
        <f t="shared" si="128"/>
        <v>0.9935004156+0.17860803233185i</v>
      </c>
      <c r="N211" s="338">
        <f t="shared" si="149"/>
        <v>1.0094275135000175</v>
      </c>
      <c r="O211" s="339">
        <f t="shared" si="150"/>
        <v>0.17787644868536584</v>
      </c>
      <c r="P211" s="732" t="str">
        <f t="shared" si="142"/>
        <v>-0.00741020454519544-0.230405452395021i</v>
      </c>
      <c r="Q211" s="337">
        <f t="shared" si="151"/>
        <v>0.23052458355836139</v>
      </c>
      <c r="R211" s="339">
        <f t="shared" si="152"/>
        <v>-1.6029468297205354</v>
      </c>
      <c r="S211" s="731" t="str">
        <f t="shared" si="129"/>
        <v>6000</v>
      </c>
      <c r="T211" s="337" t="str">
        <f t="shared" si="130"/>
        <v>1+76742.3855189199i</v>
      </c>
      <c r="U211" s="346">
        <f t="shared" si="153"/>
        <v>76742.385525435195</v>
      </c>
      <c r="V211" s="347">
        <f t="shared" si="154"/>
        <v>1.5707832961861505</v>
      </c>
      <c r="W211" s="340" t="str">
        <f t="shared" si="131"/>
        <v>1+759.825599197227i</v>
      </c>
      <c r="X211" s="337">
        <f t="shared" si="155"/>
        <v>759.82625724268371</v>
      </c>
      <c r="Y211" s="339">
        <f t="shared" si="156"/>
        <v>1.569480236071326</v>
      </c>
      <c r="Z211" s="337" t="str">
        <f t="shared" si="132"/>
        <v>1+7.65406983812612i</v>
      </c>
      <c r="AA211" s="346">
        <f t="shared" si="157"/>
        <v>7.7191181547448799</v>
      </c>
      <c r="AB211" s="347">
        <f t="shared" si="158"/>
        <v>1.4408827210292403</v>
      </c>
      <c r="AC211" s="732" t="str">
        <f t="shared" si="159"/>
        <v>0.987054721474992-7.6323953291208i</v>
      </c>
      <c r="AD211" s="337">
        <f t="shared" si="160"/>
        <v>7.6959557875010622</v>
      </c>
      <c r="AE211" s="339">
        <f t="shared" si="161"/>
        <v>-1.442185781144065</v>
      </c>
      <c r="AF211" s="736" t="str">
        <f t="shared" si="133"/>
        <v>-1.76585977604715-0.170865179081508i</v>
      </c>
      <c r="AG211" s="337">
        <f t="shared" si="162"/>
        <v>4.9795962040495096</v>
      </c>
      <c r="AH211" s="730">
        <f t="shared" si="163"/>
        <v>-174.47324666019483</v>
      </c>
      <c r="AI211" s="360">
        <f t="shared" si="134"/>
        <v>5.5267533398051683</v>
      </c>
      <c r="AL211" s="337">
        <f t="shared" si="135"/>
        <v>17.725251281168223</v>
      </c>
      <c r="AM211" s="730">
        <f t="shared" si="136"/>
        <v>-82.631158533332751</v>
      </c>
      <c r="AN211" s="351"/>
      <c r="AO211" s="337">
        <f t="shared" si="137"/>
        <v>40.526276121620704</v>
      </c>
      <c r="AP211" s="730">
        <f t="shared" si="138"/>
        <v>-91.842088126862109</v>
      </c>
      <c r="AS211" s="351"/>
      <c r="AT211" s="351"/>
      <c r="AV211" s="405">
        <f t="shared" si="139"/>
        <v>0</v>
      </c>
      <c r="AW211" s="405">
        <f t="shared" si="123"/>
        <v>0</v>
      </c>
      <c r="AX211" s="405">
        <f t="shared" si="140"/>
        <v>0</v>
      </c>
      <c r="AY211" s="405">
        <f t="shared" si="141"/>
        <v>0</v>
      </c>
    </row>
    <row r="212" spans="2:51" ht="13.5" thickBot="1" x14ac:dyDescent="0.25">
      <c r="B212" s="345">
        <v>12163</v>
      </c>
      <c r="C212" s="728" t="str">
        <f t="shared" si="124"/>
        <v>2.16217503399043</v>
      </c>
      <c r="D212" s="728" t="str">
        <f t="shared" si="125"/>
        <v>1+9.29805658509908i</v>
      </c>
      <c r="E212" s="337">
        <f t="shared" si="143"/>
        <v>9.3516766550017305</v>
      </c>
      <c r="F212" s="338">
        <f t="shared" si="144"/>
        <v>1.4636587858583026</v>
      </c>
      <c r="G212" s="338" t="str">
        <f t="shared" si="126"/>
        <v>1+0.0382111914456126i</v>
      </c>
      <c r="H212" s="337">
        <f t="shared" si="145"/>
        <v>1.0007297812854843</v>
      </c>
      <c r="I212" s="338">
        <f t="shared" si="146"/>
        <v>3.8192610395835366E-2</v>
      </c>
      <c r="J212" s="340">
        <f t="shared" si="127"/>
        <v>1</v>
      </c>
      <c r="K212" s="338">
        <f t="shared" si="147"/>
        <v>1</v>
      </c>
      <c r="L212" s="339">
        <f t="shared" si="148"/>
        <v>0</v>
      </c>
      <c r="M212" s="731" t="str">
        <f t="shared" si="128"/>
        <v>0.993424952488889+0.179641900045671i</v>
      </c>
      <c r="N212" s="338">
        <f t="shared" si="149"/>
        <v>1.0095366999171305</v>
      </c>
      <c r="O212" s="339">
        <f t="shared" si="150"/>
        <v>0.17889761770944401</v>
      </c>
      <c r="P212" s="732" t="str">
        <f t="shared" si="142"/>
        <v>-0.00769189026528172-0.229061107934462i</v>
      </c>
      <c r="Q212" s="337">
        <f t="shared" si="151"/>
        <v>0.22919021869184639</v>
      </c>
      <c r="R212" s="339">
        <f t="shared" si="152"/>
        <v>-1.604363793171911</v>
      </c>
      <c r="S212" s="731" t="str">
        <f t="shared" si="129"/>
        <v>6000</v>
      </c>
      <c r="T212" s="337" t="str">
        <f t="shared" si="130"/>
        <v>1+77186.6067201376i</v>
      </c>
      <c r="U212" s="346">
        <f t="shared" si="153"/>
        <v>77186.606726615413</v>
      </c>
      <c r="V212" s="347">
        <f t="shared" si="154"/>
        <v>1.5707833711793768</v>
      </c>
      <c r="W212" s="340" t="str">
        <f t="shared" si="131"/>
        <v>1+764.223828912253i</v>
      </c>
      <c r="X212" s="337">
        <f t="shared" si="155"/>
        <v>764.22448317055682</v>
      </c>
      <c r="Y212" s="339">
        <f t="shared" si="156"/>
        <v>1.5694878103741448</v>
      </c>
      <c r="Z212" s="337" t="str">
        <f t="shared" si="132"/>
        <v>1+7.69837521219945i</v>
      </c>
      <c r="AA212" s="346">
        <f t="shared" si="157"/>
        <v>7.7630522932546917</v>
      </c>
      <c r="AB212" s="347">
        <f t="shared" si="158"/>
        <v>1.4416220815328207</v>
      </c>
      <c r="AC212" s="732" t="str">
        <f t="shared" si="159"/>
        <v>0.975914080625088-7.58991682010484i</v>
      </c>
      <c r="AD212" s="337">
        <f t="shared" si="160"/>
        <v>7.6524012982117364</v>
      </c>
      <c r="AE212" s="339">
        <f t="shared" si="161"/>
        <v>-1.4429176423380525</v>
      </c>
      <c r="AF212" s="736" t="str">
        <f t="shared" si="133"/>
        <v>-1.74606137996013-0.165163153253962i</v>
      </c>
      <c r="AG212" s="337">
        <f t="shared" si="162"/>
        <v>4.8798763143859638</v>
      </c>
      <c r="AH212" s="730">
        <f t="shared" si="163"/>
        <v>-174.59636524328786</v>
      </c>
      <c r="AI212" s="360">
        <f t="shared" si="134"/>
        <v>5.4036347567121368</v>
      </c>
      <c r="AL212" s="337">
        <f t="shared" si="135"/>
        <v>17.675954734238307</v>
      </c>
      <c r="AM212" s="730">
        <f t="shared" si="136"/>
        <v>-82.673091090937632</v>
      </c>
      <c r="AN212" s="351"/>
      <c r="AO212" s="337">
        <f t="shared" si="137"/>
        <v>40.475852778887138</v>
      </c>
      <c r="AP212" s="730">
        <f t="shared" si="138"/>
        <v>-91.923274152350231</v>
      </c>
      <c r="AS212" s="351"/>
      <c r="AT212" s="351"/>
      <c r="AV212" s="405">
        <f t="shared" si="139"/>
        <v>0</v>
      </c>
      <c r="AW212" s="405">
        <f t="shared" si="123"/>
        <v>0</v>
      </c>
      <c r="AX212" s="405">
        <f t="shared" si="140"/>
        <v>0</v>
      </c>
      <c r="AY212" s="405">
        <f t="shared" si="141"/>
        <v>0</v>
      </c>
    </row>
    <row r="213" spans="2:51" ht="13.5" thickBot="1" x14ac:dyDescent="0.25">
      <c r="B213" s="345">
        <v>12233</v>
      </c>
      <c r="C213" s="728" t="str">
        <f t="shared" si="124"/>
        <v>2.16217503399043</v>
      </c>
      <c r="D213" s="728" t="str">
        <f t="shared" si="125"/>
        <v>1+9.35156837996523i</v>
      </c>
      <c r="E213" s="337">
        <f t="shared" si="143"/>
        <v>9.4048833679724861</v>
      </c>
      <c r="F213" s="338">
        <f t="shared" si="144"/>
        <v>1.4642672102948506</v>
      </c>
      <c r="G213" s="338" t="str">
        <f t="shared" si="126"/>
        <v>1+0.038431102931364i</v>
      </c>
      <c r="H213" s="337">
        <f t="shared" si="145"/>
        <v>1.0007382023648947</v>
      </c>
      <c r="I213" s="338">
        <f t="shared" si="146"/>
        <v>3.8412199411970237E-2</v>
      </c>
      <c r="J213" s="340">
        <f t="shared" si="127"/>
        <v>1</v>
      </c>
      <c r="K213" s="338">
        <f t="shared" si="147"/>
        <v>1</v>
      </c>
      <c r="L213" s="339">
        <f t="shared" si="148"/>
        <v>0</v>
      </c>
      <c r="M213" s="731" t="str">
        <f t="shared" si="128"/>
        <v>0.993349053822222+0.180675767759491i</v>
      </c>
      <c r="N213" s="338">
        <f t="shared" si="149"/>
        <v>1.0096465103118939</v>
      </c>
      <c r="O213" s="339">
        <f t="shared" si="150"/>
        <v>0.17991864200176647</v>
      </c>
      <c r="P213" s="732" t="str">
        <f t="shared" si="142"/>
        <v>-0.0079686841505246-0.227731365175757i</v>
      </c>
      <c r="Q213" s="337">
        <f t="shared" si="151"/>
        <v>0.22787074101758831</v>
      </c>
      <c r="R213" s="339">
        <f t="shared" si="152"/>
        <v>-1.6057736528846469</v>
      </c>
      <c r="S213" s="731" t="str">
        <f t="shared" si="129"/>
        <v>6000</v>
      </c>
      <c r="T213" s="337" t="str">
        <f t="shared" si="130"/>
        <v>1+77630.8279213552i</v>
      </c>
      <c r="U213" s="346">
        <f t="shared" si="153"/>
        <v>77630.827927795937</v>
      </c>
      <c r="V213" s="347">
        <f t="shared" si="154"/>
        <v>1.5707834453143468</v>
      </c>
      <c r="W213" s="340" t="str">
        <f t="shared" si="131"/>
        <v>1+768.622058627279i</v>
      </c>
      <c r="X213" s="337">
        <f t="shared" si="155"/>
        <v>768.62270914177157</v>
      </c>
      <c r="Y213" s="339">
        <f t="shared" si="156"/>
        <v>1.5694952979933545</v>
      </c>
      <c r="Z213" s="337" t="str">
        <f t="shared" si="132"/>
        <v>1+7.74268058627279i</v>
      </c>
      <c r="AA213" s="346">
        <f t="shared" si="157"/>
        <v>7.8069906277031969</v>
      </c>
      <c r="AB213" s="347">
        <f t="shared" si="158"/>
        <v>1.4423531200784798</v>
      </c>
      <c r="AC213" s="732" t="str">
        <f t="shared" si="159"/>
        <v>0.96495995605101-7.54790036506968i</v>
      </c>
      <c r="AD213" s="337">
        <f t="shared" si="160"/>
        <v>7.6093329298829442</v>
      </c>
      <c r="AE213" s="339">
        <f t="shared" si="161"/>
        <v>-1.4436412673994721</v>
      </c>
      <c r="AF213" s="736" t="str">
        <f t="shared" si="133"/>
        <v>-1.72658311545559-0.159604814122565i</v>
      </c>
      <c r="AG213" s="337">
        <f t="shared" si="162"/>
        <v>4.7807030151325121</v>
      </c>
      <c r="AH213" s="730">
        <f t="shared" si="163"/>
        <v>-174.71860491650241</v>
      </c>
      <c r="AI213" s="360">
        <f t="shared" si="134"/>
        <v>5.2813950834975856</v>
      </c>
      <c r="AL213" s="337">
        <f t="shared" si="135"/>
        <v>17.626931722615243</v>
      </c>
      <c r="AM213" s="730">
        <f t="shared" si="136"/>
        <v>-82.714551752906871</v>
      </c>
      <c r="AN213" s="351"/>
      <c r="AO213" s="337">
        <f t="shared" si="137"/>
        <v>40.425702491256708</v>
      </c>
      <c r="AP213" s="730">
        <f t="shared" si="138"/>
        <v>-92.004053163595501</v>
      </c>
      <c r="AS213" s="351"/>
      <c r="AT213" s="351"/>
      <c r="AV213" s="405">
        <f t="shared" si="139"/>
        <v>0</v>
      </c>
      <c r="AW213" s="405">
        <f t="shared" si="123"/>
        <v>0</v>
      </c>
      <c r="AX213" s="405">
        <f t="shared" si="140"/>
        <v>0</v>
      </c>
      <c r="AY213" s="405">
        <f t="shared" si="141"/>
        <v>0</v>
      </c>
    </row>
    <row r="214" spans="2:51" ht="13.5" thickBot="1" x14ac:dyDescent="0.25">
      <c r="B214" s="345">
        <v>12303</v>
      </c>
      <c r="C214" s="728" t="str">
        <f t="shared" si="124"/>
        <v>2.16217503399043</v>
      </c>
      <c r="D214" s="728" t="str">
        <f t="shared" si="125"/>
        <v>1+9.40508017483138i</v>
      </c>
      <c r="E214" s="337">
        <f t="shared" si="143"/>
        <v>9.4580935232744583</v>
      </c>
      <c r="F214" s="338">
        <f t="shared" si="144"/>
        <v>1.4648687890990508</v>
      </c>
      <c r="G214" s="338" t="str">
        <f t="shared" si="126"/>
        <v>1+0.0386510144171152i</v>
      </c>
      <c r="H214" s="337">
        <f t="shared" si="145"/>
        <v>1.0007466716984235</v>
      </c>
      <c r="I214" s="338">
        <f t="shared" si="146"/>
        <v>3.8631784721922989E-2</v>
      </c>
      <c r="J214" s="340">
        <f t="shared" si="127"/>
        <v>1</v>
      </c>
      <c r="K214" s="338">
        <f t="shared" si="147"/>
        <v>1</v>
      </c>
      <c r="L214" s="339">
        <f t="shared" si="148"/>
        <v>0</v>
      </c>
      <c r="M214" s="731" t="str">
        <f t="shared" si="128"/>
        <v>0.9932727196+0.181709635473312i</v>
      </c>
      <c r="N214" s="338">
        <f t="shared" si="149"/>
        <v>1.0097569445789536</v>
      </c>
      <c r="O214" s="339">
        <f t="shared" si="150"/>
        <v>0.18093952078112588</v>
      </c>
      <c r="P214" s="732" t="str">
        <f t="shared" si="142"/>
        <v>-0.00824069440081303-0.226415986694397i</v>
      </c>
      <c r="Q214" s="337">
        <f t="shared" si="151"/>
        <v>0.22656590227791326</v>
      </c>
      <c r="R214" s="339">
        <f t="shared" si="152"/>
        <v>-1.6071765251582537</v>
      </c>
      <c r="S214" s="731" t="str">
        <f t="shared" si="129"/>
        <v>6000</v>
      </c>
      <c r="T214" s="337" t="str">
        <f t="shared" si="130"/>
        <v>1+78075.0491225728i</v>
      </c>
      <c r="U214" s="346">
        <f t="shared" si="153"/>
        <v>78075.049128976898</v>
      </c>
      <c r="V214" s="347">
        <f t="shared" si="154"/>
        <v>1.5707835186057095</v>
      </c>
      <c r="W214" s="340" t="str">
        <f t="shared" si="131"/>
        <v>1+773.020288342305i</v>
      </c>
      <c r="X214" s="337">
        <f t="shared" si="155"/>
        <v>773.02093515558829</v>
      </c>
      <c r="Y214" s="339">
        <f t="shared" si="156"/>
        <v>1.5695027004085551</v>
      </c>
      <c r="Z214" s="337" t="str">
        <f t="shared" si="132"/>
        <v>1+7.78698596034613i</v>
      </c>
      <c r="AA214" s="346">
        <f t="shared" si="157"/>
        <v>7.8509330876417325</v>
      </c>
      <c r="AB214" s="347">
        <f t="shared" si="158"/>
        <v>1.4430759756147238</v>
      </c>
      <c r="AC214" s="732" t="str">
        <f t="shared" si="159"/>
        <v>0.954188230364592-7.50633860596422i</v>
      </c>
      <c r="AD214" s="337">
        <f t="shared" si="160"/>
        <v>7.5667426576007708</v>
      </c>
      <c r="AE214" s="339">
        <f t="shared" si="161"/>
        <v>-1.4443567938118778</v>
      </c>
      <c r="AF214" s="736" t="str">
        <f t="shared" si="133"/>
        <v>-1.70741823553892-0.154186027149404i</v>
      </c>
      <c r="AG214" s="337">
        <f t="shared" si="162"/>
        <v>4.682070279778646</v>
      </c>
      <c r="AH214" s="730">
        <f t="shared" si="163"/>
        <v>-174.83998022053694</v>
      </c>
      <c r="AI214" s="360">
        <f t="shared" si="134"/>
        <v>5.160019779463056</v>
      </c>
      <c r="AL214" s="337">
        <f t="shared" si="135"/>
        <v>17.578179280158995</v>
      </c>
      <c r="AM214" s="730">
        <f t="shared" si="136"/>
        <v>-82.755548396467859</v>
      </c>
      <c r="AN214" s="351"/>
      <c r="AO214" s="337">
        <f t="shared" si="137"/>
        <v>40.375822198359053</v>
      </c>
      <c r="AP214" s="730">
        <f t="shared" si="138"/>
        <v>-92.084431824069114</v>
      </c>
      <c r="AS214" s="351"/>
      <c r="AT214" s="351"/>
      <c r="AV214" s="405">
        <f t="shared" si="139"/>
        <v>0</v>
      </c>
      <c r="AW214" s="405">
        <f t="shared" si="123"/>
        <v>0</v>
      </c>
      <c r="AX214" s="405">
        <f t="shared" si="140"/>
        <v>0</v>
      </c>
      <c r="AY214" s="405">
        <f t="shared" si="141"/>
        <v>0</v>
      </c>
    </row>
    <row r="215" spans="2:51" ht="13.5" thickBot="1" x14ac:dyDescent="0.25">
      <c r="B215" s="345">
        <v>12374.5</v>
      </c>
      <c r="C215" s="728" t="str">
        <f t="shared" si="124"/>
        <v>2.16217503399043</v>
      </c>
      <c r="D215" s="728" t="str">
        <f t="shared" si="125"/>
        <v>1+9.45973865101608i</v>
      </c>
      <c r="E215" s="337">
        <f t="shared" si="143"/>
        <v>9.5124473898953852</v>
      </c>
      <c r="F215" s="338">
        <f t="shared" si="144"/>
        <v>1.4654763106306503</v>
      </c>
      <c r="G215" s="338" t="str">
        <f t="shared" si="126"/>
        <v>1+0.0388756382918469i</v>
      </c>
      <c r="H215" s="337">
        <f t="shared" si="145"/>
        <v>1.0007553723326188</v>
      </c>
      <c r="I215" s="338">
        <f t="shared" si="146"/>
        <v>3.8856071583295404E-2</v>
      </c>
      <c r="J215" s="340">
        <f t="shared" si="127"/>
        <v>1</v>
      </c>
      <c r="K215" s="338">
        <f t="shared" si="147"/>
        <v>1</v>
      </c>
      <c r="L215" s="339">
        <f t="shared" si="148"/>
        <v>0</v>
      </c>
      <c r="M215" s="731" t="str">
        <f t="shared" si="128"/>
        <v>0.993194299988889+0.182765657495285i</v>
      </c>
      <c r="N215" s="338">
        <f t="shared" si="149"/>
        <v>1.0098703892530481</v>
      </c>
      <c r="O215" s="339">
        <f t="shared" si="150"/>
        <v>0.18198212449939377</v>
      </c>
      <c r="P215" s="732" t="str">
        <f t="shared" si="142"/>
        <v>-0.00851370433267684-0.225087009241885i</v>
      </c>
      <c r="Q215" s="337">
        <f t="shared" si="151"/>
        <v>0.22524796312268988</v>
      </c>
      <c r="R215" s="339">
        <f t="shared" si="152"/>
        <v>-1.6086023635467486</v>
      </c>
      <c r="S215" s="731" t="str">
        <f t="shared" si="129"/>
        <v>6000</v>
      </c>
      <c r="T215" s="337" t="str">
        <f t="shared" si="130"/>
        <v>1+78528.7893495308i</v>
      </c>
      <c r="U215" s="346">
        <f t="shared" si="153"/>
        <v>78528.789355897883</v>
      </c>
      <c r="V215" s="347">
        <f t="shared" si="154"/>
        <v>1.5707835926115705</v>
      </c>
      <c r="W215" s="340" t="str">
        <f t="shared" si="131"/>
        <v>1+777.512765836938i</v>
      </c>
      <c r="X215" s="337">
        <f t="shared" si="155"/>
        <v>777.51340891293012</v>
      </c>
      <c r="Y215" s="339">
        <f t="shared" si="156"/>
        <v>1.5695101749880795</v>
      </c>
      <c r="Z215" s="337" t="str">
        <f t="shared" si="132"/>
        <v>1+7.83224073529246i</v>
      </c>
      <c r="AA215" s="346">
        <f t="shared" si="157"/>
        <v>7.8958213591477984</v>
      </c>
      <c r="AB215" s="347">
        <f t="shared" si="158"/>
        <v>1.4438060142728013</v>
      </c>
      <c r="AC215" s="732" t="str">
        <f t="shared" si="159"/>
        <v>0.94336982196138-7.4643481618212i</v>
      </c>
      <c r="AD215" s="337">
        <f t="shared" si="160"/>
        <v>7.5237251479483875</v>
      </c>
      <c r="AE215" s="339">
        <f t="shared" si="161"/>
        <v>-1.4450794318962927</v>
      </c>
      <c r="AF215" s="736" t="str">
        <f t="shared" si="133"/>
        <v>-1.68815937542505-0.148791038548431i</v>
      </c>
      <c r="AG215" s="337">
        <f t="shared" si="162"/>
        <v>4.5818758842603833</v>
      </c>
      <c r="AH215" s="730">
        <f t="shared" si="163"/>
        <v>-174.96307885481784</v>
      </c>
      <c r="AI215" s="360">
        <f t="shared" si="134"/>
        <v>5.0369211451821627</v>
      </c>
      <c r="AL215" s="337">
        <f t="shared" si="135"/>
        <v>17.528658435839969</v>
      </c>
      <c r="AM215" s="730">
        <f t="shared" si="136"/>
        <v>-82.796952508820254</v>
      </c>
      <c r="AN215" s="351"/>
      <c r="AO215" s="337">
        <f t="shared" si="137"/>
        <v>40.325148647159857</v>
      </c>
      <c r="AP215" s="730">
        <f t="shared" si="138"/>
        <v>-92.166126345997583</v>
      </c>
      <c r="AS215" s="351"/>
      <c r="AT215" s="351"/>
      <c r="AV215" s="405">
        <f t="shared" si="139"/>
        <v>0</v>
      </c>
      <c r="AW215" s="405">
        <f t="shared" si="123"/>
        <v>0</v>
      </c>
      <c r="AX215" s="405">
        <f t="shared" si="140"/>
        <v>0</v>
      </c>
      <c r="AY215" s="405">
        <f t="shared" si="141"/>
        <v>0</v>
      </c>
    </row>
    <row r="216" spans="2:51" ht="13.5" thickBot="1" x14ac:dyDescent="0.25">
      <c r="B216" s="345">
        <v>12446</v>
      </c>
      <c r="C216" s="728" t="str">
        <f t="shared" si="124"/>
        <v>2.16217503399043</v>
      </c>
      <c r="D216" s="728" t="str">
        <f t="shared" si="125"/>
        <v>1+9.51439712720078i</v>
      </c>
      <c r="E216" s="337">
        <f t="shared" si="143"/>
        <v>9.5668047274984378</v>
      </c>
      <c r="F216" s="338">
        <f t="shared" si="144"/>
        <v>1.4660769286655067</v>
      </c>
      <c r="G216" s="338" t="str">
        <f t="shared" si="126"/>
        <v>1+0.0391002621665785i</v>
      </c>
      <c r="H216" s="337">
        <f t="shared" si="145"/>
        <v>1.0007641233085323</v>
      </c>
      <c r="I216" s="338">
        <f t="shared" si="146"/>
        <v>3.9080354533489424E-2</v>
      </c>
      <c r="J216" s="340">
        <f t="shared" si="127"/>
        <v>1</v>
      </c>
      <c r="K216" s="338">
        <f t="shared" si="147"/>
        <v>1</v>
      </c>
      <c r="L216" s="339">
        <f t="shared" si="148"/>
        <v>0</v>
      </c>
      <c r="M216" s="731" t="str">
        <f t="shared" si="128"/>
        <v>0.993115425955556+0.183821679517259i</v>
      </c>
      <c r="N216" s="338">
        <f t="shared" si="149"/>
        <v>1.0099844845993582</v>
      </c>
      <c r="O216" s="339">
        <f t="shared" si="150"/>
        <v>0.18302457475680292</v>
      </c>
      <c r="P216" s="732" t="str">
        <f t="shared" si="142"/>
        <v>-0.00878194220614159-0.223772533542092i</v>
      </c>
      <c r="Q216" s="337">
        <f t="shared" si="151"/>
        <v>0.22394479068904169</v>
      </c>
      <c r="R216" s="339">
        <f t="shared" si="152"/>
        <v>-1.6100211488888201</v>
      </c>
      <c r="S216" s="731" t="str">
        <f t="shared" si="129"/>
        <v>6000</v>
      </c>
      <c r="T216" s="337" t="str">
        <f t="shared" si="130"/>
        <v>1+78982.5295764887i</v>
      </c>
      <c r="U216" s="346">
        <f t="shared" si="153"/>
        <v>78982.529582819203</v>
      </c>
      <c r="V216" s="347">
        <f t="shared" si="154"/>
        <v>1.5707836657671312</v>
      </c>
      <c r="W216" s="340" t="str">
        <f t="shared" si="131"/>
        <v>1+782.005243331571i</v>
      </c>
      <c r="X216" s="337">
        <f t="shared" si="155"/>
        <v>782.0058827132118</v>
      </c>
      <c r="Y216" s="339">
        <f t="shared" si="156"/>
        <v>1.5695175636875531</v>
      </c>
      <c r="Z216" s="337" t="str">
        <f t="shared" si="132"/>
        <v>1+7.87749551023879i</v>
      </c>
      <c r="AA216" s="346">
        <f t="shared" si="157"/>
        <v>7.9407137912049359</v>
      </c>
      <c r="AB216" s="347">
        <f t="shared" si="158"/>
        <v>1.4445277988371634</v>
      </c>
      <c r="AC216" s="732" t="str">
        <f t="shared" si="159"/>
        <v>0.932733384189966-7.42281707252712i</v>
      </c>
      <c r="AD216" s="337">
        <f t="shared" si="160"/>
        <v>7.4811900696468436</v>
      </c>
      <c r="AE216" s="339">
        <f t="shared" si="161"/>
        <v>-1.4457939009167411</v>
      </c>
      <c r="AF216" s="736" t="str">
        <f t="shared" si="133"/>
        <v>-1.66921379301258-0.143533361961784i</v>
      </c>
      <c r="AG216" s="337">
        <f t="shared" si="162"/>
        <v>4.4822330647193755</v>
      </c>
      <c r="AH216" s="730">
        <f t="shared" si="163"/>
        <v>-175.08530532641811</v>
      </c>
      <c r="AI216" s="360">
        <f t="shared" si="134"/>
        <v>4.9146946735818915</v>
      </c>
      <c r="AL216" s="337">
        <f t="shared" si="135"/>
        <v>17.4794137743222</v>
      </c>
      <c r="AM216" s="730">
        <f t="shared" si="136"/>
        <v>-82.837888568284782</v>
      </c>
      <c r="AN216" s="351"/>
      <c r="AO216" s="337">
        <f t="shared" si="137"/>
        <v>40.274750489136643</v>
      </c>
      <c r="AP216" s="730">
        <f t="shared" si="138"/>
        <v>-92.247416758133312</v>
      </c>
      <c r="AS216" s="351"/>
      <c r="AT216" s="351"/>
      <c r="AV216" s="405">
        <f t="shared" si="139"/>
        <v>0</v>
      </c>
      <c r="AW216" s="405">
        <f t="shared" si="123"/>
        <v>0</v>
      </c>
      <c r="AX216" s="405">
        <f t="shared" si="140"/>
        <v>0</v>
      </c>
      <c r="AY216" s="405">
        <f t="shared" si="141"/>
        <v>0</v>
      </c>
    </row>
    <row r="217" spans="2:51" ht="13.5" thickBot="1" x14ac:dyDescent="0.25">
      <c r="B217" s="345">
        <v>12517.5</v>
      </c>
      <c r="C217" s="728" t="str">
        <f t="shared" si="124"/>
        <v>2.16217503399043</v>
      </c>
      <c r="D217" s="728" t="str">
        <f t="shared" si="125"/>
        <v>1+9.56905560338549i</v>
      </c>
      <c r="E217" s="337">
        <f t="shared" si="143"/>
        <v>9.6211654772529123</v>
      </c>
      <c r="F217" s="338">
        <f t="shared" si="144"/>
        <v>1.4666707597833462</v>
      </c>
      <c r="G217" s="338" t="str">
        <f t="shared" si="126"/>
        <v>1+0.0393248860413103i</v>
      </c>
      <c r="H217" s="337">
        <f t="shared" si="145"/>
        <v>1.0007729246248431</v>
      </c>
      <c r="I217" s="338">
        <f t="shared" si="146"/>
        <v>3.9304633550044099E-2</v>
      </c>
      <c r="J217" s="340">
        <f t="shared" si="127"/>
        <v>1</v>
      </c>
      <c r="K217" s="338">
        <f t="shared" si="147"/>
        <v>1</v>
      </c>
      <c r="L217" s="339">
        <f t="shared" si="148"/>
        <v>0</v>
      </c>
      <c r="M217" s="731" t="str">
        <f t="shared" si="128"/>
        <v>0.9930360975+0.184877701539232i</v>
      </c>
      <c r="N217" s="338">
        <f t="shared" si="149"/>
        <v>1.0100992305038445</v>
      </c>
      <c r="O217" s="339">
        <f t="shared" si="150"/>
        <v>0.1840668707236357</v>
      </c>
      <c r="P217" s="732" t="str">
        <f t="shared" si="142"/>
        <v>-0.009045514007572-0.222472322495678i</v>
      </c>
      <c r="Q217" s="337">
        <f t="shared" si="151"/>
        <v>0.2226561375760438</v>
      </c>
      <c r="R217" s="339">
        <f t="shared" si="152"/>
        <v>-1.6114329969569374</v>
      </c>
      <c r="S217" s="731" t="str">
        <f t="shared" si="129"/>
        <v>6000</v>
      </c>
      <c r="T217" s="337" t="str">
        <f t="shared" si="130"/>
        <v>1+79436.2698034467i</v>
      </c>
      <c r="U217" s="346">
        <f t="shared" si="153"/>
        <v>79436.269809741076</v>
      </c>
      <c r="V217" s="347">
        <f t="shared" si="154"/>
        <v>1.5707837380869623</v>
      </c>
      <c r="W217" s="340" t="str">
        <f t="shared" si="131"/>
        <v>1+786.497720826205i</v>
      </c>
      <c r="X217" s="337">
        <f t="shared" si="155"/>
        <v>786.49835655569882</v>
      </c>
      <c r="Y217" s="339">
        <f t="shared" si="156"/>
        <v>1.5695248679786138</v>
      </c>
      <c r="Z217" s="337" t="str">
        <f t="shared" si="132"/>
        <v>1+7.92275028518513i</v>
      </c>
      <c r="AA217" s="346">
        <f t="shared" si="157"/>
        <v>7.9856103136454815</v>
      </c>
      <c r="AB217" s="347">
        <f t="shared" si="158"/>
        <v>1.445241467767288</v>
      </c>
      <c r="AC217" s="732" t="str">
        <f t="shared" si="159"/>
        <v>0.92227488049977-7.38173797606092i</v>
      </c>
      <c r="AD217" s="337">
        <f t="shared" si="160"/>
        <v>7.4391294183137342</v>
      </c>
      <c r="AE217" s="339">
        <f t="shared" si="161"/>
        <v>-1.4465003378756363</v>
      </c>
      <c r="AF217" s="736" t="str">
        <f t="shared" si="133"/>
        <v>-1.65057484193921-0.138409020381522i</v>
      </c>
      <c r="AG217" s="337">
        <f t="shared" si="162"/>
        <v>4.3831357051645341</v>
      </c>
      <c r="AH217" s="730">
        <f t="shared" si="163"/>
        <v>-175.20667411827171</v>
      </c>
      <c r="AI217" s="360">
        <f t="shared" si="134"/>
        <v>4.7933258817282933</v>
      </c>
      <c r="AL217" s="337">
        <f t="shared" si="135"/>
        <v>17.430442283646347</v>
      </c>
      <c r="AM217" s="730">
        <f t="shared" si="136"/>
        <v>-82.878364424521536</v>
      </c>
      <c r="AN217" s="351"/>
      <c r="AO217" s="337">
        <f t="shared" si="137"/>
        <v>40.224624620257586</v>
      </c>
      <c r="AP217" s="730">
        <f t="shared" si="138"/>
        <v>-92.328309693750143</v>
      </c>
      <c r="AS217" s="351"/>
      <c r="AT217" s="351"/>
      <c r="AV217" s="405">
        <f t="shared" si="139"/>
        <v>0</v>
      </c>
      <c r="AW217" s="405">
        <f t="shared" si="123"/>
        <v>0</v>
      </c>
      <c r="AX217" s="405">
        <f t="shared" si="140"/>
        <v>0</v>
      </c>
      <c r="AY217" s="405">
        <f t="shared" si="141"/>
        <v>0</v>
      </c>
    </row>
    <row r="218" spans="2:51" ht="13.5" thickBot="1" x14ac:dyDescent="0.25">
      <c r="B218" s="345">
        <v>12589</v>
      </c>
      <c r="C218" s="728" t="str">
        <f t="shared" si="124"/>
        <v>2.16217503399043</v>
      </c>
      <c r="D218" s="728" t="str">
        <f t="shared" si="125"/>
        <v>1+9.6237140795702i</v>
      </c>
      <c r="E218" s="337">
        <f t="shared" si="143"/>
        <v>9.675529581646563</v>
      </c>
      <c r="F218" s="338">
        <f t="shared" si="144"/>
        <v>1.4672579179631728</v>
      </c>
      <c r="G218" s="338" t="str">
        <f t="shared" si="126"/>
        <v>1+0.0395495099160419i</v>
      </c>
      <c r="H218" s="337">
        <f t="shared" si="145"/>
        <v>1.0007817762802234</v>
      </c>
      <c r="I218" s="338">
        <f t="shared" si="146"/>
        <v>3.9528908610500159E-2</v>
      </c>
      <c r="J218" s="340">
        <f t="shared" si="127"/>
        <v>1</v>
      </c>
      <c r="K218" s="338">
        <f t="shared" si="147"/>
        <v>1</v>
      </c>
      <c r="L218" s="339">
        <f t="shared" si="148"/>
        <v>0</v>
      </c>
      <c r="M218" s="731" t="str">
        <f t="shared" si="128"/>
        <v>0.992956314622222+0.185933723561206i</v>
      </c>
      <c r="N218" s="338">
        <f t="shared" si="149"/>
        <v>1.0102146268518786</v>
      </c>
      <c r="O218" s="339">
        <f t="shared" si="150"/>
        <v>0.18510901157112944</v>
      </c>
      <c r="P218" s="732" t="str">
        <f t="shared" si="142"/>
        <v>-0.00930452278851806-0.221186144086378i</v>
      </c>
      <c r="Q218" s="337">
        <f t="shared" si="151"/>
        <v>0.22138176185070443</v>
      </c>
      <c r="R218" s="339">
        <f t="shared" si="152"/>
        <v>-1.612838020923802</v>
      </c>
      <c r="S218" s="731" t="str">
        <f t="shared" si="129"/>
        <v>6000</v>
      </c>
      <c r="T218" s="337" t="str">
        <f t="shared" si="130"/>
        <v>1+79890.0100304047i</v>
      </c>
      <c r="U218" s="346">
        <f t="shared" si="153"/>
        <v>79890.010036663298</v>
      </c>
      <c r="V218" s="347">
        <f t="shared" si="154"/>
        <v>1.5707838095853035</v>
      </c>
      <c r="W218" s="340" t="str">
        <f t="shared" si="131"/>
        <v>1+790.990198320838i</v>
      </c>
      <c r="X218" s="337">
        <f t="shared" si="155"/>
        <v>790.99083043966982</v>
      </c>
      <c r="Y218" s="339">
        <f t="shared" si="156"/>
        <v>1.5695320892994671</v>
      </c>
      <c r="Z218" s="337" t="str">
        <f t="shared" si="132"/>
        <v>1+7.96800506013146i</v>
      </c>
      <c r="AA218" s="346">
        <f t="shared" si="157"/>
        <v>8.0305108578645577</v>
      </c>
      <c r="AB218" s="347">
        <f t="shared" si="158"/>
        <v>1.4459471564595017</v>
      </c>
      <c r="AC218" s="732" t="str">
        <f t="shared" si="159"/>
        <v>0.911990385043608-7.34110366376022i</v>
      </c>
      <c r="AD218" s="337">
        <f t="shared" si="160"/>
        <v>7.3975353641929766</v>
      </c>
      <c r="AE218" s="339">
        <f t="shared" si="161"/>
        <v>-1.4471988767453381</v>
      </c>
      <c r="AF218" s="736" t="str">
        <f t="shared" si="133"/>
        <v>-1.63223604804605-0.133414170379316i</v>
      </c>
      <c r="AG218" s="337">
        <f t="shared" si="162"/>
        <v>4.2845777884713172</v>
      </c>
      <c r="AH218" s="730">
        <f t="shared" si="163"/>
        <v>-175.3271993907475</v>
      </c>
      <c r="AI218" s="360">
        <f t="shared" si="134"/>
        <v>4.672800609252505</v>
      </c>
      <c r="AL218" s="337">
        <f t="shared" si="135"/>
        <v>17.381740999971171</v>
      </c>
      <c r="AM218" s="730">
        <f t="shared" si="136"/>
        <v>-82.918387753581285</v>
      </c>
      <c r="AN218" s="351"/>
      <c r="AO218" s="337">
        <f t="shared" si="137"/>
        <v>40.174767987239605</v>
      </c>
      <c r="AP218" s="730">
        <f t="shared" si="138"/>
        <v>-92.40881163716621</v>
      </c>
      <c r="AS218" s="351"/>
      <c r="AT218" s="351"/>
      <c r="AV218" s="405">
        <f t="shared" si="139"/>
        <v>0</v>
      </c>
      <c r="AW218" s="405">
        <f t="shared" ref="AW218:AW281" si="164">IF(AV218&gt;0,AI218,0)</f>
        <v>0</v>
      </c>
      <c r="AX218" s="405">
        <f t="shared" si="140"/>
        <v>0</v>
      </c>
      <c r="AY218" s="405">
        <f t="shared" si="141"/>
        <v>0</v>
      </c>
    </row>
    <row r="219" spans="2:51" ht="13.5" thickBot="1" x14ac:dyDescent="0.25">
      <c r="B219" s="345">
        <v>12662.25</v>
      </c>
      <c r="C219" s="728" t="str">
        <f t="shared" si="124"/>
        <v>2.16217503399043</v>
      </c>
      <c r="D219" s="728" t="str">
        <f t="shared" si="125"/>
        <v>1+9.67971035062656i</v>
      </c>
      <c r="E219" s="337">
        <f t="shared" si="143"/>
        <v>9.7312276960323452</v>
      </c>
      <c r="F219" s="338">
        <f t="shared" si="144"/>
        <v>1.4678526437275121</v>
      </c>
      <c r="G219" s="338" t="str">
        <f t="shared" si="126"/>
        <v>1+0.0397796315779174i</v>
      </c>
      <c r="H219" s="337">
        <f t="shared" si="145"/>
        <v>1.0007908967853749</v>
      </c>
      <c r="I219" s="338">
        <f t="shared" si="146"/>
        <v>3.9758668794685398E-2</v>
      </c>
      <c r="J219" s="340">
        <f t="shared" si="127"/>
        <v>1</v>
      </c>
      <c r="K219" s="338">
        <f t="shared" si="147"/>
        <v>1</v>
      </c>
      <c r="L219" s="339">
        <f t="shared" si="148"/>
        <v>0</v>
      </c>
      <c r="M219" s="731" t="str">
        <f t="shared" si="128"/>
        <v>0.992874107775+0.187015592276025i</v>
      </c>
      <c r="N219" s="338">
        <f t="shared" si="149"/>
        <v>1.0103335219838816</v>
      </c>
      <c r="O219" s="339">
        <f t="shared" si="150"/>
        <v>0.18617649763625396</v>
      </c>
      <c r="P219" s="732" t="str">
        <f t="shared" si="142"/>
        <v>-0.00956524378728414-0.219882800449201i</v>
      </c>
      <c r="Q219" s="337">
        <f t="shared" si="151"/>
        <v>0.22009075360426511</v>
      </c>
      <c r="R219" s="339">
        <f t="shared" si="152"/>
        <v>-1.6142704725690806</v>
      </c>
      <c r="S219" s="731" t="str">
        <f t="shared" si="129"/>
        <v>6000</v>
      </c>
      <c r="T219" s="337" t="str">
        <f t="shared" si="130"/>
        <v>1+80354.8557873931i</v>
      </c>
      <c r="U219" s="346">
        <f t="shared" si="153"/>
        <v>80354.855793615498</v>
      </c>
      <c r="V219" s="347">
        <f t="shared" si="154"/>
        <v>1.5707838819962576</v>
      </c>
      <c r="W219" s="340" t="str">
        <f t="shared" si="131"/>
        <v>1+795.592631558347i</v>
      </c>
      <c r="X219" s="337">
        <f t="shared" si="155"/>
        <v>795.59326002043008</v>
      </c>
      <c r="Y219" s="339">
        <f t="shared" si="156"/>
        <v>1.5695394027942031</v>
      </c>
      <c r="Z219" s="337" t="str">
        <f t="shared" si="132"/>
        <v>1+8.01436746942963i</v>
      </c>
      <c r="AA219" s="346">
        <f t="shared" si="157"/>
        <v>8.076514466962335</v>
      </c>
      <c r="AB219" s="347">
        <f t="shared" si="158"/>
        <v>1.4466619800633744</v>
      </c>
      <c r="AC219" s="732" t="str">
        <f t="shared" si="159"/>
        <v>0.901630628204346-7.29992867298066i</v>
      </c>
      <c r="AD219" s="337">
        <f t="shared" si="160"/>
        <v>7.3553991339913942</v>
      </c>
      <c r="AE219" s="339">
        <f t="shared" si="161"/>
        <v>-1.4479064592654292</v>
      </c>
      <c r="AF219" s="736" t="str">
        <f t="shared" si="133"/>
        <v>-1.61375307645926-0.128427470113498i</v>
      </c>
      <c r="AG219" s="337">
        <f t="shared" si="162"/>
        <v>4.184160835284799</v>
      </c>
      <c r="AH219" s="730">
        <f t="shared" si="163"/>
        <v>-175.44981431643697</v>
      </c>
      <c r="AI219" s="360">
        <f t="shared" si="134"/>
        <v>4.5501856835630292</v>
      </c>
      <c r="AL219" s="337">
        <f t="shared" si="135"/>
        <v>17.332124885898587</v>
      </c>
      <c r="AM219" s="730">
        <f t="shared" si="136"/>
        <v>-82.958929245639737</v>
      </c>
      <c r="AN219" s="351"/>
      <c r="AO219" s="337">
        <f t="shared" si="137"/>
        <v>40.123967148125658</v>
      </c>
      <c r="AP219" s="730">
        <f t="shared" si="138"/>
        <v>-92.490885070797262</v>
      </c>
      <c r="AS219" s="351"/>
      <c r="AT219" s="351"/>
      <c r="AV219" s="405">
        <f t="shared" si="139"/>
        <v>0</v>
      </c>
      <c r="AW219" s="405">
        <f t="shared" si="164"/>
        <v>0</v>
      </c>
      <c r="AX219" s="405">
        <f t="shared" si="140"/>
        <v>0</v>
      </c>
      <c r="AY219" s="405">
        <f t="shared" si="141"/>
        <v>0</v>
      </c>
    </row>
    <row r="220" spans="2:51" ht="13.5" thickBot="1" x14ac:dyDescent="0.25">
      <c r="B220" s="345">
        <v>12735.5</v>
      </c>
      <c r="C220" s="728" t="str">
        <f t="shared" si="124"/>
        <v>2.16217503399043</v>
      </c>
      <c r="D220" s="728" t="str">
        <f t="shared" si="125"/>
        <v>1+9.73570662168292i</v>
      </c>
      <c r="E220" s="337">
        <f t="shared" si="143"/>
        <v>9.7869292131638854</v>
      </c>
      <c r="F220" s="338">
        <f t="shared" si="144"/>
        <v>1.4684406000305386</v>
      </c>
      <c r="G220" s="338" t="str">
        <f t="shared" si="126"/>
        <v>1+0.0400097532397928i</v>
      </c>
      <c r="H220" s="337">
        <f t="shared" si="145"/>
        <v>1.0008000701210553</v>
      </c>
      <c r="I220" s="338">
        <f t="shared" si="146"/>
        <v>3.9988424779034394E-2</v>
      </c>
      <c r="J220" s="340">
        <f t="shared" si="127"/>
        <v>1</v>
      </c>
      <c r="K220" s="338">
        <f t="shared" si="147"/>
        <v>1</v>
      </c>
      <c r="L220" s="339">
        <f t="shared" si="148"/>
        <v>0</v>
      </c>
      <c r="M220" s="731" t="str">
        <f t="shared" si="128"/>
        <v>0.992791423988889+0.188097460990844i</v>
      </c>
      <c r="N220" s="338">
        <f t="shared" si="149"/>
        <v>1.0104530995435106</v>
      </c>
      <c r="O220" s="339">
        <f t="shared" si="150"/>
        <v>0.18724381913799154</v>
      </c>
      <c r="P220" s="732" t="str">
        <f t="shared" si="142"/>
        <v>-0.00982138560123699-0.218593707564308i</v>
      </c>
      <c r="Q220" s="337">
        <f t="shared" si="151"/>
        <v>0.21881423308788298</v>
      </c>
      <c r="R220" s="339">
        <f t="shared" si="152"/>
        <v>-1.6156959943894957</v>
      </c>
      <c r="S220" s="731" t="str">
        <f t="shared" si="129"/>
        <v>6000</v>
      </c>
      <c r="T220" s="337" t="str">
        <f t="shared" si="130"/>
        <v>1+80819.7015443815i</v>
      </c>
      <c r="U220" s="346">
        <f t="shared" si="153"/>
        <v>80819.701550568119</v>
      </c>
      <c r="V220" s="347">
        <f t="shared" si="154"/>
        <v>1.5707839535742483</v>
      </c>
      <c r="W220" s="340" t="str">
        <f t="shared" si="131"/>
        <v>1+800.195064795856i</v>
      </c>
      <c r="X220" s="337">
        <f t="shared" si="155"/>
        <v>800.19568964325481</v>
      </c>
      <c r="Y220" s="339">
        <f t="shared" si="156"/>
        <v>1.5695466321599063</v>
      </c>
      <c r="Z220" s="337" t="str">
        <f t="shared" si="132"/>
        <v>1+8.06072987872779i</v>
      </c>
      <c r="AA220" s="346">
        <f t="shared" si="157"/>
        <v>8.1225221561910761</v>
      </c>
      <c r="AB220" s="347">
        <f t="shared" si="158"/>
        <v>1.4473687061997837</v>
      </c>
      <c r="AC220" s="732" t="str">
        <f t="shared" si="159"/>
        <v>0.891445500891618-7.25920566536682i</v>
      </c>
      <c r="AD220" s="337">
        <f t="shared" si="160"/>
        <v>7.3137365260961955</v>
      </c>
      <c r="AE220" s="339">
        <f t="shared" si="161"/>
        <v>-1.4486060276141257</v>
      </c>
      <c r="AF220" s="736" t="str">
        <f t="shared" si="133"/>
        <v>-1.59557191037111-0.123568919133169i</v>
      </c>
      <c r="AG220" s="337">
        <f t="shared" si="162"/>
        <v>4.0842975784476661</v>
      </c>
      <c r="AH220" s="730">
        <f t="shared" si="163"/>
        <v>-175.57157301421182</v>
      </c>
      <c r="AI220" s="360">
        <f t="shared" si="134"/>
        <v>4.4284269857881782</v>
      </c>
      <c r="AL220" s="337">
        <f t="shared" si="135"/>
        <v>17.282786220604962</v>
      </c>
      <c r="AM220" s="730">
        <f t="shared" si="136"/>
        <v>-82.999011559500985</v>
      </c>
      <c r="AN220" s="351"/>
      <c r="AO220" s="337">
        <f t="shared" si="137"/>
        <v>40.073442556582123</v>
      </c>
      <c r="AP220" s="730">
        <f t="shared" si="138"/>
        <v>-92.572561454710836</v>
      </c>
      <c r="AS220" s="351"/>
      <c r="AT220" s="351"/>
      <c r="AV220" s="405">
        <f t="shared" si="139"/>
        <v>0</v>
      </c>
      <c r="AW220" s="405">
        <f t="shared" si="164"/>
        <v>0</v>
      </c>
      <c r="AX220" s="405">
        <f t="shared" si="140"/>
        <v>0</v>
      </c>
      <c r="AY220" s="405">
        <f t="shared" si="141"/>
        <v>0</v>
      </c>
    </row>
    <row r="221" spans="2:51" ht="13.5" thickBot="1" x14ac:dyDescent="0.25">
      <c r="B221" s="345">
        <v>12808.75</v>
      </c>
      <c r="C221" s="728" t="str">
        <f t="shared" si="124"/>
        <v>2.16217503399043</v>
      </c>
      <c r="D221" s="728" t="str">
        <f t="shared" si="125"/>
        <v>1+9.79170289273928i</v>
      </c>
      <c r="E221" s="337">
        <f t="shared" si="143"/>
        <v>9.8426340752706452</v>
      </c>
      <c r="F221" s="338">
        <f t="shared" si="144"/>
        <v>1.4690219013985355</v>
      </c>
      <c r="G221" s="338" t="str">
        <f t="shared" si="126"/>
        <v>1+0.0402398749016682i</v>
      </c>
      <c r="H221" s="337">
        <f t="shared" si="145"/>
        <v>1.0008092962858119</v>
      </c>
      <c r="I221" s="338">
        <f t="shared" si="146"/>
        <v>4.0218176539406424E-2</v>
      </c>
      <c r="J221" s="340">
        <f t="shared" si="127"/>
        <v>1</v>
      </c>
      <c r="K221" s="338">
        <f t="shared" si="147"/>
        <v>1</v>
      </c>
      <c r="L221" s="339">
        <f t="shared" si="148"/>
        <v>0</v>
      </c>
      <c r="M221" s="731" t="str">
        <f t="shared" si="128"/>
        <v>0.992708263263889+0.189179329705663i</v>
      </c>
      <c r="N221" s="338">
        <f t="shared" si="149"/>
        <v>1.0105733594055855</v>
      </c>
      <c r="O221" s="339">
        <f t="shared" si="150"/>
        <v>0.1883109751883594</v>
      </c>
      <c r="P221" s="732" t="str">
        <f t="shared" si="142"/>
        <v>-0.0100730500740354-0.217318631693445i</v>
      </c>
      <c r="Q221" s="337">
        <f t="shared" si="151"/>
        <v>0.21755195705602198</v>
      </c>
      <c r="R221" s="339">
        <f t="shared" si="152"/>
        <v>-1.6171147000474886</v>
      </c>
      <c r="S221" s="731" t="str">
        <f t="shared" si="129"/>
        <v>6000</v>
      </c>
      <c r="T221" s="337" t="str">
        <f t="shared" si="130"/>
        <v>1+81284.5473013699i</v>
      </c>
      <c r="U221" s="346">
        <f t="shared" si="153"/>
        <v>81284.547307521119</v>
      </c>
      <c r="V221" s="347">
        <f t="shared" si="154"/>
        <v>1.570784024333566</v>
      </c>
      <c r="W221" s="340" t="str">
        <f t="shared" si="131"/>
        <v>1+804.797498033365i</v>
      </c>
      <c r="X221" s="337">
        <f t="shared" si="155"/>
        <v>804.79811930742244</v>
      </c>
      <c r="Y221" s="339">
        <f t="shared" si="156"/>
        <v>1.5695537788399119</v>
      </c>
      <c r="Z221" s="337" t="str">
        <f t="shared" si="132"/>
        <v>1+8.10709228802596i</v>
      </c>
      <c r="AA221" s="346">
        <f t="shared" si="157"/>
        <v>8.1685338566091517</v>
      </c>
      <c r="AB221" s="347">
        <f t="shared" si="158"/>
        <v>1.4480674709909254</v>
      </c>
      <c r="AC221" s="732" t="str">
        <f t="shared" si="159"/>
        <v>0.881431120181676-7.2189273655401i</v>
      </c>
      <c r="AD221" s="337">
        <f t="shared" si="160"/>
        <v>7.2725396615328579</v>
      </c>
      <c r="AE221" s="339">
        <f t="shared" si="161"/>
        <v>-1.4492977164845786</v>
      </c>
      <c r="AF221" s="736" t="str">
        <f t="shared" si="133"/>
        <v>-1.57768611718394-0.118834788135992i</v>
      </c>
      <c r="AG221" s="337">
        <f t="shared" si="162"/>
        <v>3.9849818574285099</v>
      </c>
      <c r="AH221" s="730">
        <f t="shared" si="163"/>
        <v>-175.69248971379926</v>
      </c>
      <c r="AI221" s="360">
        <f t="shared" si="134"/>
        <v>4.3075102862007384</v>
      </c>
      <c r="AL221" s="337">
        <f t="shared" si="135"/>
        <v>17.233721967891444</v>
      </c>
      <c r="AM221" s="730">
        <f t="shared" si="136"/>
        <v>-83.038642412514108</v>
      </c>
      <c r="AN221" s="351"/>
      <c r="AO221" s="337">
        <f t="shared" si="137"/>
        <v>40.023191088276484</v>
      </c>
      <c r="AP221" s="730">
        <f t="shared" si="138"/>
        <v>-92.653847301285168</v>
      </c>
      <c r="AS221" s="351"/>
      <c r="AT221" s="351"/>
      <c r="AV221" s="405">
        <f t="shared" si="139"/>
        <v>0</v>
      </c>
      <c r="AW221" s="405">
        <f t="shared" si="164"/>
        <v>0</v>
      </c>
      <c r="AX221" s="405">
        <f t="shared" si="140"/>
        <v>0</v>
      </c>
      <c r="AY221" s="405">
        <f t="shared" si="141"/>
        <v>0</v>
      </c>
    </row>
    <row r="222" spans="2:51" ht="13.5" thickBot="1" x14ac:dyDescent="0.25">
      <c r="B222" s="345">
        <v>12882</v>
      </c>
      <c r="C222" s="728" t="str">
        <f t="shared" si="124"/>
        <v>2.16217503399043</v>
      </c>
      <c r="D222" s="728" t="str">
        <f t="shared" si="125"/>
        <v>1+9.84769916379563i</v>
      </c>
      <c r="E222" s="337">
        <f t="shared" si="143"/>
        <v>9.8983422258790963</v>
      </c>
      <c r="F222" s="338">
        <f t="shared" si="144"/>
        <v>1.4695966597977808</v>
      </c>
      <c r="G222" s="338" t="str">
        <f t="shared" si="126"/>
        <v>1+0.0404699965635437i</v>
      </c>
      <c r="H222" s="337">
        <f t="shared" si="145"/>
        <v>1.0008185752781835</v>
      </c>
      <c r="I222" s="338">
        <f t="shared" si="146"/>
        <v>4.0447924051663461E-2</v>
      </c>
      <c r="J222" s="340">
        <f t="shared" si="127"/>
        <v>1</v>
      </c>
      <c r="K222" s="338">
        <f t="shared" si="147"/>
        <v>1</v>
      </c>
      <c r="L222" s="339">
        <f t="shared" si="148"/>
        <v>0</v>
      </c>
      <c r="M222" s="731" t="str">
        <f t="shared" si="128"/>
        <v>0.9926246256+0.190261198420483i</v>
      </c>
      <c r="N222" s="338">
        <f t="shared" si="149"/>
        <v>1.0106943014442789</v>
      </c>
      <c r="O222" s="339">
        <f t="shared" si="150"/>
        <v>0.18937796490044384</v>
      </c>
      <c r="P222" s="732" t="str">
        <f t="shared" si="142"/>
        <v>-0.0103203362233329-0.216057344129388i</v>
      </c>
      <c r="Q222" s="337">
        <f t="shared" si="151"/>
        <v>0.21630368765235475</v>
      </c>
      <c r="R222" s="339">
        <f t="shared" si="152"/>
        <v>-1.6185267006465611</v>
      </c>
      <c r="S222" s="731" t="str">
        <f t="shared" si="129"/>
        <v>6000</v>
      </c>
      <c r="T222" s="337" t="str">
        <f t="shared" si="130"/>
        <v>1+81749.3930583583i</v>
      </c>
      <c r="U222" s="346">
        <f t="shared" si="153"/>
        <v>81749.393064474541</v>
      </c>
      <c r="V222" s="347">
        <f t="shared" si="154"/>
        <v>1.5707840942881766</v>
      </c>
      <c r="W222" s="340" t="str">
        <f t="shared" si="131"/>
        <v>1+809.399931270874i</v>
      </c>
      <c r="X222" s="337">
        <f t="shared" si="155"/>
        <v>809.40054901222766</v>
      </c>
      <c r="Y222" s="339">
        <f t="shared" si="156"/>
        <v>1.5695608442447262</v>
      </c>
      <c r="Z222" s="337" t="str">
        <f t="shared" si="132"/>
        <v>1+8.15345469732413i</v>
      </c>
      <c r="AA222" s="346">
        <f t="shared" si="157"/>
        <v>8.2145495008135985</v>
      </c>
      <c r="AB222" s="347">
        <f t="shared" si="158"/>
        <v>1.4487584075404172</v>
      </c>
      <c r="AC222" s="732" t="str">
        <f t="shared" si="159"/>
        <v>0.871583709920076-7.1790866505048i</v>
      </c>
      <c r="AD222" s="337">
        <f t="shared" si="160"/>
        <v>7.2318008337380446</v>
      </c>
      <c r="AE222" s="339">
        <f t="shared" si="161"/>
        <v>-1.4499816575838669</v>
      </c>
      <c r="AF222" s="736" t="str">
        <f t="shared" si="133"/>
        <v>-1.56008943191597-0.11422147354212i</v>
      </c>
      <c r="AG222" s="337">
        <f t="shared" si="162"/>
        <v>3.8862076116673165</v>
      </c>
      <c r="AH222" s="730">
        <f t="shared" si="163"/>
        <v>-175.81257832722085</v>
      </c>
      <c r="AI222" s="360">
        <f t="shared" si="134"/>
        <v>4.187421672779152</v>
      </c>
      <c r="AL222" s="337">
        <f t="shared" si="135"/>
        <v>17.184929140276409</v>
      </c>
      <c r="AM222" s="730">
        <f t="shared" si="136"/>
        <v>-83.07782935093887</v>
      </c>
      <c r="AN222" s="351"/>
      <c r="AO222" s="337">
        <f t="shared" si="137"/>
        <v>39.973209670130316</v>
      </c>
      <c r="AP222" s="730">
        <f t="shared" si="138"/>
        <v>-92.734748976281963</v>
      </c>
      <c r="AS222" s="351"/>
      <c r="AT222" s="351"/>
      <c r="AV222" s="405">
        <f t="shared" si="139"/>
        <v>0</v>
      </c>
      <c r="AW222" s="405">
        <f t="shared" si="164"/>
        <v>0</v>
      </c>
      <c r="AX222" s="405">
        <f t="shared" si="140"/>
        <v>0</v>
      </c>
      <c r="AY222" s="405">
        <f t="shared" si="141"/>
        <v>0</v>
      </c>
    </row>
    <row r="223" spans="2:51" ht="13.5" thickBot="1" x14ac:dyDescent="0.25">
      <c r="B223" s="345">
        <v>12957.25</v>
      </c>
      <c r="C223" s="728" t="str">
        <f t="shared" si="124"/>
        <v>2.16217503399043</v>
      </c>
      <c r="D223" s="728" t="str">
        <f t="shared" si="125"/>
        <v>1+9.90522434327675i</v>
      </c>
      <c r="E223" s="337">
        <f t="shared" si="143"/>
        <v>9.9555747845436979</v>
      </c>
      <c r="F223" s="338">
        <f t="shared" si="144"/>
        <v>1.470180412901851</v>
      </c>
      <c r="G223" s="338" t="str">
        <f t="shared" si="126"/>
        <v>1+0.0407064014107264i</v>
      </c>
      <c r="H223" s="337">
        <f t="shared" si="145"/>
        <v>1.0008281626312336</v>
      </c>
      <c r="I223" s="338">
        <f t="shared" si="146"/>
        <v>4.068394008449399E-2</v>
      </c>
      <c r="J223" s="340">
        <f t="shared" si="127"/>
        <v>1</v>
      </c>
      <c r="K223" s="338">
        <f t="shared" si="147"/>
        <v>1</v>
      </c>
      <c r="L223" s="339">
        <f t="shared" si="148"/>
        <v>0</v>
      </c>
      <c r="M223" s="731" t="str">
        <f t="shared" si="128"/>
        <v>0.992538207663889+0.19137260621284i</v>
      </c>
      <c r="N223" s="338">
        <f t="shared" si="149"/>
        <v>1.0108192558916456</v>
      </c>
      <c r="O223" s="339">
        <f t="shared" si="150"/>
        <v>0.19047391329381533</v>
      </c>
      <c r="P223" s="732" t="str">
        <f t="shared" si="142"/>
        <v>-0.0105699160980794-0.21477574168939i</v>
      </c>
      <c r="Q223" s="337">
        <f t="shared" si="151"/>
        <v>0.21503567691094427</v>
      </c>
      <c r="R223" s="339">
        <f t="shared" si="152"/>
        <v>-1.6199703861111721</v>
      </c>
      <c r="S223" s="731" t="str">
        <f t="shared" si="129"/>
        <v>6000</v>
      </c>
      <c r="T223" s="337" t="str">
        <f t="shared" si="130"/>
        <v>1+82226.9308496672i</v>
      </c>
      <c r="U223" s="346">
        <f t="shared" si="153"/>
        <v>82226.930855747938</v>
      </c>
      <c r="V223" s="347">
        <f t="shared" si="154"/>
        <v>1.5707841653291867</v>
      </c>
      <c r="W223" s="340" t="str">
        <f t="shared" si="131"/>
        <v>1+814.128028214527i</v>
      </c>
      <c r="X223" s="337">
        <f t="shared" si="155"/>
        <v>814.12864236831376</v>
      </c>
      <c r="Y223" s="339">
        <f t="shared" si="156"/>
        <v>1.5695680193758781</v>
      </c>
      <c r="Z223" s="337" t="str">
        <f t="shared" si="132"/>
        <v>1+8.20108297445296i</v>
      </c>
      <c r="AA223" s="346">
        <f t="shared" si="157"/>
        <v>8.2618255823917153</v>
      </c>
      <c r="AB223" s="347">
        <f t="shared" si="158"/>
        <v>1.4494601942419916</v>
      </c>
      <c r="AC223" s="732" t="str">
        <f t="shared" si="159"/>
        <v>0.861637440702756-7.1386064760408i</v>
      </c>
      <c r="AD223" s="337">
        <f t="shared" si="160"/>
        <v>7.1904187290443975</v>
      </c>
      <c r="AE223" s="339">
        <f t="shared" si="161"/>
        <v>-1.4506763401953002</v>
      </c>
      <c r="AF223" s="736" t="str">
        <f t="shared" si="133"/>
        <v>-1.54230693597554-0.109604348885325i</v>
      </c>
      <c r="AG223" s="337">
        <f t="shared" si="162"/>
        <v>3.7852940467687768</v>
      </c>
      <c r="AH223" s="730">
        <f t="shared" si="163"/>
        <v>-175.93509779302369</v>
      </c>
      <c r="AI223" s="360">
        <f t="shared" si="134"/>
        <v>4.0649022069763134</v>
      </c>
      <c r="AL223" s="337">
        <f t="shared" si="135"/>
        <v>17.135083639141065</v>
      </c>
      <c r="AM223" s="730">
        <f t="shared" si="136"/>
        <v>-83.117631732675122</v>
      </c>
      <c r="AN223" s="351"/>
      <c r="AO223" s="337">
        <f t="shared" si="137"/>
        <v>39.922141606367127</v>
      </c>
      <c r="AP223" s="730">
        <f t="shared" si="138"/>
        <v>-92.817466060348551</v>
      </c>
      <c r="AS223" s="351"/>
      <c r="AT223" s="351"/>
      <c r="AV223" s="405">
        <f t="shared" si="139"/>
        <v>0</v>
      </c>
      <c r="AW223" s="405">
        <f t="shared" si="164"/>
        <v>0</v>
      </c>
      <c r="AX223" s="405">
        <f t="shared" si="140"/>
        <v>0</v>
      </c>
      <c r="AY223" s="405">
        <f t="shared" si="141"/>
        <v>0</v>
      </c>
    </row>
    <row r="224" spans="2:51" ht="13.5" thickBot="1" x14ac:dyDescent="0.25">
      <c r="B224" s="345">
        <v>13032.5</v>
      </c>
      <c r="C224" s="728" t="str">
        <f t="shared" si="124"/>
        <v>2.16217503399043</v>
      </c>
      <c r="D224" s="728" t="str">
        <f t="shared" si="125"/>
        <v>1+9.96274952275786i</v>
      </c>
      <c r="E224" s="337">
        <f t="shared" si="143"/>
        <v>10.012810696962767</v>
      </c>
      <c r="F224" s="338">
        <f t="shared" si="144"/>
        <v>1.47075749242197</v>
      </c>
      <c r="G224" s="338" t="str">
        <f t="shared" si="126"/>
        <v>1+0.040942806257909i</v>
      </c>
      <c r="H224" s="337">
        <f t="shared" si="145"/>
        <v>1.0008378057329133</v>
      </c>
      <c r="I224" s="338">
        <f t="shared" si="146"/>
        <v>4.091995158242806E-2</v>
      </c>
      <c r="J224" s="340">
        <f t="shared" si="127"/>
        <v>1</v>
      </c>
      <c r="K224" s="338">
        <f t="shared" si="147"/>
        <v>1</v>
      </c>
      <c r="L224" s="339">
        <f t="shared" si="148"/>
        <v>0</v>
      </c>
      <c r="M224" s="731" t="str">
        <f t="shared" si="128"/>
        <v>0.992451286388889+0.192484014005196i</v>
      </c>
      <c r="N224" s="338">
        <f t="shared" si="149"/>
        <v>1.010944930004851</v>
      </c>
      <c r="O224" s="339">
        <f t="shared" si="150"/>
        <v>0.19156968424749188</v>
      </c>
      <c r="P224" s="732" t="str">
        <f t="shared" si="142"/>
        <v>-0.0108150783835843-0.213508217199209i</v>
      </c>
      <c r="Q224" s="337">
        <f t="shared" si="151"/>
        <v>0.21378195604874534</v>
      </c>
      <c r="R224" s="339">
        <f t="shared" si="152"/>
        <v>-1.6214072250870337</v>
      </c>
      <c r="S224" s="731" t="str">
        <f t="shared" si="129"/>
        <v>6000</v>
      </c>
      <c r="T224" s="337" t="str">
        <f t="shared" si="130"/>
        <v>1+82704.4686409762i</v>
      </c>
      <c r="U224" s="346">
        <f t="shared" si="153"/>
        <v>82704.468647021829</v>
      </c>
      <c r="V224" s="347">
        <f t="shared" si="154"/>
        <v>1.5707842355498118</v>
      </c>
      <c r="W224" s="340" t="str">
        <f t="shared" si="131"/>
        <v>1+818.85612515818i</v>
      </c>
      <c r="X224" s="337">
        <f t="shared" si="155"/>
        <v>818.85673576582906</v>
      </c>
      <c r="Y224" s="339">
        <f t="shared" si="156"/>
        <v>1.5695751116483596</v>
      </c>
      <c r="Z224" s="337" t="str">
        <f t="shared" si="132"/>
        <v>1+8.2487112515818i</v>
      </c>
      <c r="AA224" s="346">
        <f t="shared" si="157"/>
        <v>8.3091056866531794</v>
      </c>
      <c r="AB224" s="347">
        <f t="shared" si="158"/>
        <v>1.4501539947309718</v>
      </c>
      <c r="AC224" s="732" t="str">
        <f t="shared" si="159"/>
        <v>0.851859636323568-7.09857334562556i</v>
      </c>
      <c r="AD224" s="337">
        <f t="shared" si="160"/>
        <v>7.1495040655434963</v>
      </c>
      <c r="AE224" s="339">
        <f t="shared" si="161"/>
        <v>-1.4513631186324243</v>
      </c>
      <c r="AF224" s="736" t="str">
        <f t="shared" si="133"/>
        <v>-1.52481666842099-0.105107405110849i</v>
      </c>
      <c r="AG224" s="337">
        <f t="shared" si="162"/>
        <v>3.6849392777842302</v>
      </c>
      <c r="AH224" s="730">
        <f t="shared" si="163"/>
        <v>-176.05677210808824</v>
      </c>
      <c r="AI224" s="360">
        <f t="shared" si="134"/>
        <v>3.9432278919117607</v>
      </c>
      <c r="AL224" s="337">
        <f t="shared" si="135"/>
        <v>17.085518349118725</v>
      </c>
      <c r="AM224" s="730">
        <f t="shared" si="136"/>
        <v>-83.156981238582929</v>
      </c>
      <c r="AN224" s="351"/>
      <c r="AO224" s="337">
        <f t="shared" si="137"/>
        <v>39.871352127404933</v>
      </c>
      <c r="AP224" s="730">
        <f t="shared" si="138"/>
        <v>-92.899790869505324</v>
      </c>
      <c r="AS224" s="351"/>
      <c r="AT224" s="351"/>
      <c r="AV224" s="405">
        <f t="shared" si="139"/>
        <v>0</v>
      </c>
      <c r="AW224" s="405">
        <f t="shared" si="164"/>
        <v>0</v>
      </c>
      <c r="AX224" s="405">
        <f t="shared" si="140"/>
        <v>0</v>
      </c>
      <c r="AY224" s="405">
        <f t="shared" si="141"/>
        <v>0</v>
      </c>
    </row>
    <row r="225" spans="2:51" ht="13.5" thickBot="1" x14ac:dyDescent="0.25">
      <c r="B225" s="345">
        <v>13107.75</v>
      </c>
      <c r="C225" s="728" t="str">
        <f t="shared" si="124"/>
        <v>2.16217503399043</v>
      </c>
      <c r="D225" s="728" t="str">
        <f t="shared" si="125"/>
        <v>1+10.020274702239i</v>
      </c>
      <c r="E225" s="337">
        <f t="shared" si="143"/>
        <v>10.070049905950361</v>
      </c>
      <c r="F225" s="338">
        <f t="shared" si="144"/>
        <v>1.4713280117704959</v>
      </c>
      <c r="G225" s="338" t="str">
        <f t="shared" si="126"/>
        <v>1+0.0411792111050916i</v>
      </c>
      <c r="H225" s="337">
        <f t="shared" si="145"/>
        <v>1.000847504581611</v>
      </c>
      <c r="I225" s="338">
        <f t="shared" si="146"/>
        <v>4.1155958519304883E-2</v>
      </c>
      <c r="J225" s="340">
        <f t="shared" si="127"/>
        <v>1</v>
      </c>
      <c r="K225" s="338">
        <f t="shared" si="147"/>
        <v>1</v>
      </c>
      <c r="L225" s="339">
        <f t="shared" si="148"/>
        <v>0</v>
      </c>
      <c r="M225" s="731" t="str">
        <f t="shared" si="128"/>
        <v>0.992363861775+0.193595421797553i</v>
      </c>
      <c r="N225" s="338">
        <f t="shared" si="149"/>
        <v>1.0110713236453519</v>
      </c>
      <c r="O225" s="339">
        <f t="shared" si="150"/>
        <v>0.19266527680346618</v>
      </c>
      <c r="P225" s="732" t="str">
        <f t="shared" si="142"/>
        <v>-0.011055921720773-0.212254538421501i</v>
      </c>
      <c r="Q225" s="337">
        <f t="shared" si="151"/>
        <v>0.21254228399455086</v>
      </c>
      <c r="R225" s="339">
        <f t="shared" si="152"/>
        <v>-1.6228373300546568</v>
      </c>
      <c r="S225" s="731" t="str">
        <f t="shared" si="129"/>
        <v>6000</v>
      </c>
      <c r="T225" s="337" t="str">
        <f t="shared" si="130"/>
        <v>1+83182.006432285i</v>
      </c>
      <c r="U225" s="346">
        <f t="shared" si="153"/>
        <v>83182.00643829591</v>
      </c>
      <c r="V225" s="347">
        <f t="shared" si="154"/>
        <v>1.5707843049641805</v>
      </c>
      <c r="W225" s="340" t="str">
        <f t="shared" si="131"/>
        <v>1+823.584222101832i</v>
      </c>
      <c r="X225" s="337">
        <f t="shared" si="155"/>
        <v>823.58482920405936</v>
      </c>
      <c r="Y225" s="339">
        <f t="shared" si="156"/>
        <v>1.5695821224892128</v>
      </c>
      <c r="Z225" s="337" t="str">
        <f t="shared" si="132"/>
        <v>1+8.29633952871063i</v>
      </c>
      <c r="AA225" s="346">
        <f t="shared" si="157"/>
        <v>8.3563897453174434</v>
      </c>
      <c r="AB225" s="347">
        <f t="shared" si="158"/>
        <v>1.4508399439019992</v>
      </c>
      <c r="AC225" s="732" t="str">
        <f t="shared" si="159"/>
        <v>0.842246532153384-7.05898001375172i</v>
      </c>
      <c r="AD225" s="337">
        <f t="shared" si="160"/>
        <v>7.1090490260984023</v>
      </c>
      <c r="AE225" s="339">
        <f t="shared" si="161"/>
        <v>-1.4520421263769663</v>
      </c>
      <c r="AF225" s="736" t="str">
        <f t="shared" si="133"/>
        <v>-1.50761235627455-0.100727118458786i</v>
      </c>
      <c r="AG225" s="337">
        <f t="shared" si="162"/>
        <v>3.5851370497740214</v>
      </c>
      <c r="AH225" s="730">
        <f t="shared" si="163"/>
        <v>-176.17761536501271</v>
      </c>
      <c r="AI225" s="360">
        <f t="shared" si="134"/>
        <v>3.8223846349872872</v>
      </c>
      <c r="AL225" s="337">
        <f t="shared" si="135"/>
        <v>17.036230185227538</v>
      </c>
      <c r="AM225" s="730">
        <f t="shared" si="136"/>
        <v>-83.195885516601876</v>
      </c>
      <c r="AN225" s="351"/>
      <c r="AO225" s="337">
        <f t="shared" si="137"/>
        <v>39.820838063285933</v>
      </c>
      <c r="AP225" s="730">
        <f t="shared" si="138"/>
        <v>-92.981729848410822</v>
      </c>
      <c r="AS225" s="351"/>
      <c r="AT225" s="351"/>
      <c r="AV225" s="405">
        <f t="shared" si="139"/>
        <v>0</v>
      </c>
      <c r="AW225" s="405">
        <f t="shared" si="164"/>
        <v>0</v>
      </c>
      <c r="AX225" s="405">
        <f t="shared" si="140"/>
        <v>0</v>
      </c>
      <c r="AY225" s="405">
        <f t="shared" si="141"/>
        <v>0</v>
      </c>
    </row>
    <row r="226" spans="2:51" ht="13.5" thickBot="1" x14ac:dyDescent="0.25">
      <c r="B226" s="345">
        <v>13183</v>
      </c>
      <c r="C226" s="728" t="str">
        <f t="shared" si="124"/>
        <v>2.16217503399043</v>
      </c>
      <c r="D226" s="728" t="str">
        <f t="shared" si="125"/>
        <v>1+10.0777998817201i</v>
      </c>
      <c r="E226" s="337">
        <f t="shared" si="143"/>
        <v>10.127292355610045</v>
      </c>
      <c r="F226" s="338">
        <f t="shared" si="144"/>
        <v>1.4718920818129304</v>
      </c>
      <c r="G226" s="338" t="str">
        <f t="shared" si="126"/>
        <v>1+0.0414156159522743i</v>
      </c>
      <c r="H226" s="337">
        <f t="shared" si="145"/>
        <v>1.0008572591757059</v>
      </c>
      <c r="I226" s="338">
        <f t="shared" si="146"/>
        <v>4.1391960868966703E-2</v>
      </c>
      <c r="J226" s="340">
        <f t="shared" si="127"/>
        <v>1</v>
      </c>
      <c r="K226" s="338">
        <f t="shared" si="147"/>
        <v>1</v>
      </c>
      <c r="L226" s="339">
        <f t="shared" si="148"/>
        <v>0</v>
      </c>
      <c r="M226" s="731" t="str">
        <f t="shared" si="128"/>
        <v>0.992275933822222+0.19470682958991i</v>
      </c>
      <c r="N226" s="338">
        <f t="shared" si="149"/>
        <v>1.0111984366738889</v>
      </c>
      <c r="O226" s="339">
        <f t="shared" si="150"/>
        <v>0.19376069000494037</v>
      </c>
      <c r="P226" s="732" t="str">
        <f t="shared" si="142"/>
        <v>-0.0112925420005438-0.211014478150362i</v>
      </c>
      <c r="Q226" s="337">
        <f t="shared" si="151"/>
        <v>0.21131642504524736</v>
      </c>
      <c r="R226" s="339">
        <f t="shared" si="152"/>
        <v>-1.6242608109489038</v>
      </c>
      <c r="S226" s="731" t="str">
        <f t="shared" si="129"/>
        <v>6000</v>
      </c>
      <c r="T226" s="337" t="str">
        <f t="shared" si="130"/>
        <v>1+83659.544223594i</v>
      </c>
      <c r="U226" s="346">
        <f t="shared" si="153"/>
        <v>83659.544229570616</v>
      </c>
      <c r="V226" s="347">
        <f t="shared" si="154"/>
        <v>1.5707843735860998</v>
      </c>
      <c r="W226" s="340" t="str">
        <f t="shared" si="131"/>
        <v>1+828.312319045485i</v>
      </c>
      <c r="X226" s="337">
        <f t="shared" si="155"/>
        <v>828.31292268230936</v>
      </c>
      <c r="Y226" s="339">
        <f t="shared" si="156"/>
        <v>1.5695890532928969</v>
      </c>
      <c r="Z226" s="337" t="str">
        <f t="shared" si="132"/>
        <v>1+8.34396780583947i</v>
      </c>
      <c r="AA226" s="346">
        <f t="shared" si="157"/>
        <v>8.4036776916351066</v>
      </c>
      <c r="AB226" s="347">
        <f t="shared" si="158"/>
        <v>1.4515181736434146</v>
      </c>
      <c r="AC226" s="732" t="str">
        <f t="shared" si="159"/>
        <v>0.832794467621034-7.0198193878737i</v>
      </c>
      <c r="AD226" s="337">
        <f t="shared" si="160"/>
        <v>7.0690459655930731</v>
      </c>
      <c r="AE226" s="339">
        <f t="shared" si="161"/>
        <v>-1.452713493936618</v>
      </c>
      <c r="AF226" s="736" t="str">
        <f t="shared" si="133"/>
        <v>-1.49068789134539-0.0964600847177656i</v>
      </c>
      <c r="AG226" s="337">
        <f t="shared" si="162"/>
        <v>3.4858812099554233</v>
      </c>
      <c r="AH226" s="730">
        <f t="shared" si="163"/>
        <v>-176.29764134014059</v>
      </c>
      <c r="AI226" s="360">
        <f t="shared" si="134"/>
        <v>3.7023586598594136</v>
      </c>
      <c r="AL226" s="337">
        <f t="shared" si="135"/>
        <v>16.987216112327765</v>
      </c>
      <c r="AM226" s="730">
        <f t="shared" si="136"/>
        <v>-83.234352044271915</v>
      </c>
      <c r="AN226" s="351"/>
      <c r="AO226" s="337">
        <f t="shared" si="137"/>
        <v>39.77059629636711</v>
      </c>
      <c r="AP226" s="730">
        <f t="shared" si="138"/>
        <v>-93.063289295868685</v>
      </c>
      <c r="AS226" s="351"/>
      <c r="AT226" s="351"/>
      <c r="AV226" s="405">
        <f t="shared" si="139"/>
        <v>0</v>
      </c>
      <c r="AW226" s="405">
        <f t="shared" si="164"/>
        <v>0</v>
      </c>
      <c r="AX226" s="405">
        <f t="shared" si="140"/>
        <v>0</v>
      </c>
      <c r="AY226" s="405">
        <f t="shared" si="141"/>
        <v>0</v>
      </c>
    </row>
    <row r="227" spans="2:51" ht="13.5" thickBot="1" x14ac:dyDescent="0.25">
      <c r="B227" s="345">
        <v>13259.75</v>
      </c>
      <c r="C227" s="728" t="str">
        <f t="shared" si="124"/>
        <v>2.16217503399043</v>
      </c>
      <c r="D227" s="728" t="str">
        <f t="shared" si="125"/>
        <v>1+10.1364717425197i</v>
      </c>
      <c r="E227" s="337">
        <f t="shared" si="143"/>
        <v>10.185679132335769</v>
      </c>
      <c r="F227" s="338">
        <f t="shared" si="144"/>
        <v>1.4724608647339685</v>
      </c>
      <c r="G227" s="338" t="str">
        <f t="shared" si="126"/>
        <v>1+0.0416567331884372i</v>
      </c>
      <c r="H227" s="337">
        <f t="shared" si="145"/>
        <v>1.0008672656351254</v>
      </c>
      <c r="I227" s="338">
        <f t="shared" si="146"/>
        <v>4.1632662831995598E-2</v>
      </c>
      <c r="J227" s="340">
        <f t="shared" si="127"/>
        <v>1</v>
      </c>
      <c r="K227" s="338">
        <f t="shared" si="147"/>
        <v>1</v>
      </c>
      <c r="L227" s="339">
        <f t="shared" si="148"/>
        <v>0</v>
      </c>
      <c r="M227" s="731" t="str">
        <f t="shared" si="128"/>
        <v>0.992185734663889+0.19584039169042i</v>
      </c>
      <c r="N227" s="338">
        <f t="shared" si="149"/>
        <v>1.0113288244127023</v>
      </c>
      <c r="O227" s="339">
        <f t="shared" si="150"/>
        <v>0.1948777529417462</v>
      </c>
      <c r="P227" s="732" t="str">
        <f t="shared" si="142"/>
        <v>-0.0115296254594543-0.209763496983557i</v>
      </c>
      <c r="Q227" s="337">
        <f t="shared" si="151"/>
        <v>0.21008012026368897</v>
      </c>
      <c r="R227" s="339">
        <f t="shared" si="152"/>
        <v>-1.6257059548437189</v>
      </c>
      <c r="S227" s="731" t="str">
        <f t="shared" si="129"/>
        <v>6000</v>
      </c>
      <c r="T227" s="337" t="str">
        <f t="shared" si="130"/>
        <v>1+84146.6010406432i</v>
      </c>
      <c r="U227" s="346">
        <f t="shared" si="153"/>
        <v>84146.601046585216</v>
      </c>
      <c r="V227" s="347">
        <f t="shared" si="154"/>
        <v>1.5707844427735864</v>
      </c>
      <c r="W227" s="340" t="str">
        <f t="shared" si="131"/>
        <v>1+833.134663768745i</v>
      </c>
      <c r="X227" s="337">
        <f t="shared" si="155"/>
        <v>833.13526391160508</v>
      </c>
      <c r="Y227" s="339">
        <f t="shared" si="156"/>
        <v>1.5695960412189156</v>
      </c>
      <c r="Z227" s="337" t="str">
        <f t="shared" si="132"/>
        <v>1+8.3925454838413i</v>
      </c>
      <c r="AA227" s="346">
        <f t="shared" si="157"/>
        <v>8.451912191826473</v>
      </c>
      <c r="AB227" s="347">
        <f t="shared" si="158"/>
        <v>1.4522021048523539</v>
      </c>
      <c r="AC227" s="732" t="str">
        <f t="shared" si="159"/>
        <v>0.823316185674522-6.9803166822471i</v>
      </c>
      <c r="AD227" s="337">
        <f t="shared" si="160"/>
        <v>7.0287033317711458</v>
      </c>
      <c r="AE227" s="339">
        <f t="shared" si="161"/>
        <v>-1.4533905064070249</v>
      </c>
      <c r="AF227" s="736" t="str">
        <f t="shared" si="133"/>
        <v>-1.47370816457635-0.0922212452955615i</v>
      </c>
      <c r="AG227" s="337">
        <f t="shared" si="162"/>
        <v>3.3852034064359326</v>
      </c>
      <c r="AH227" s="730">
        <f t="shared" si="163"/>
        <v>-176.41923194333467</v>
      </c>
      <c r="AI227" s="360">
        <f t="shared" si="134"/>
        <v>3.5807680566653346</v>
      </c>
      <c r="AL227" s="337">
        <f t="shared" si="135"/>
        <v>16.937504259151442</v>
      </c>
      <c r="AM227" s="730">
        <f t="shared" si="136"/>
        <v>-83.273142001503956</v>
      </c>
      <c r="AN227" s="351"/>
      <c r="AO227" s="337">
        <f t="shared" si="137"/>
        <v>39.719630346023905</v>
      </c>
      <c r="AP227" s="730">
        <f t="shared" si="138"/>
        <v>-93.146089941830681</v>
      </c>
      <c r="AS227" s="351"/>
      <c r="AT227" s="351"/>
      <c r="AV227" s="405">
        <f t="shared" si="139"/>
        <v>0</v>
      </c>
      <c r="AW227" s="405">
        <f t="shared" si="164"/>
        <v>0</v>
      </c>
      <c r="AX227" s="405">
        <f t="shared" si="140"/>
        <v>0</v>
      </c>
      <c r="AY227" s="405">
        <f t="shared" si="141"/>
        <v>0</v>
      </c>
    </row>
    <row r="228" spans="2:51" ht="13.5" thickBot="1" x14ac:dyDescent="0.25">
      <c r="B228" s="345">
        <v>13336.5</v>
      </c>
      <c r="C228" s="728" t="str">
        <f t="shared" si="124"/>
        <v>2.16217503399043</v>
      </c>
      <c r="D228" s="728" t="str">
        <f t="shared" si="125"/>
        <v>1+10.1951436033194i</v>
      </c>
      <c r="E228" s="337">
        <f t="shared" si="143"/>
        <v>10.244069166708337</v>
      </c>
      <c r="F228" s="338">
        <f t="shared" si="144"/>
        <v>1.4730231638386955</v>
      </c>
      <c r="G228" s="338" t="str">
        <f t="shared" si="126"/>
        <v>1+0.0418978504246003i</v>
      </c>
      <c r="H228" s="337">
        <f t="shared" si="145"/>
        <v>1.0008773300810656</v>
      </c>
      <c r="I228" s="338">
        <f t="shared" si="146"/>
        <v>4.1873359968153043E-2</v>
      </c>
      <c r="J228" s="340">
        <f t="shared" si="127"/>
        <v>1</v>
      </c>
      <c r="K228" s="338">
        <f t="shared" si="147"/>
        <v>1</v>
      </c>
      <c r="L228" s="339">
        <f t="shared" si="148"/>
        <v>0</v>
      </c>
      <c r="M228" s="731" t="str">
        <f t="shared" si="128"/>
        <v>0.9920950119+0.196973953790931i</v>
      </c>
      <c r="N228" s="338">
        <f t="shared" si="149"/>
        <v>1.0114599602104342</v>
      </c>
      <c r="O228" s="339">
        <f t="shared" si="150"/>
        <v>0.19599462729583286</v>
      </c>
      <c r="P228" s="732" t="str">
        <f t="shared" si="142"/>
        <v>-0.0117625089641115-0.208526220661091i</v>
      </c>
      <c r="Q228" s="337">
        <f t="shared" si="151"/>
        <v>0.20885770591560376</v>
      </c>
      <c r="R228" s="339">
        <f t="shared" si="152"/>
        <v>-1.6271444311663754</v>
      </c>
      <c r="S228" s="731" t="str">
        <f t="shared" si="129"/>
        <v>6000</v>
      </c>
      <c r="T228" s="337" t="str">
        <f t="shared" si="130"/>
        <v>1+84633.6578576926i</v>
      </c>
      <c r="U228" s="346">
        <f t="shared" si="153"/>
        <v>84633.657863600412</v>
      </c>
      <c r="V228" s="347">
        <f t="shared" si="154"/>
        <v>1.5707845111647412</v>
      </c>
      <c r="W228" s="340" t="str">
        <f t="shared" si="131"/>
        <v>1+837.957008492006i</v>
      </c>
      <c r="X228" s="337">
        <f t="shared" si="155"/>
        <v>837.95760518111649</v>
      </c>
      <c r="Y228" s="339">
        <f t="shared" si="156"/>
        <v>1.5696029487156531</v>
      </c>
      <c r="Z228" s="337" t="str">
        <f t="shared" si="132"/>
        <v>1+8.44112316184314i</v>
      </c>
      <c r="AA228" s="346">
        <f t="shared" si="157"/>
        <v>8.5001506006308354</v>
      </c>
      <c r="AB228" s="347">
        <f t="shared" si="158"/>
        <v>1.4528782737466601</v>
      </c>
      <c r="AC228" s="732" t="str">
        <f t="shared" si="159"/>
        <v>0.813998051816676-6.9412496711883i</v>
      </c>
      <c r="AD228" s="337">
        <f t="shared" si="160"/>
        <v>6.9888153378189228</v>
      </c>
      <c r="AE228" s="339">
        <f t="shared" si="161"/>
        <v>-1.4540598361957482</v>
      </c>
      <c r="AF228" s="736" t="str">
        <f t="shared" si="133"/>
        <v>-1.4570072199792-0.088093425891334i</v>
      </c>
      <c r="AG228" s="337">
        <f t="shared" si="162"/>
        <v>3.2850813777615908</v>
      </c>
      <c r="AH228" s="730">
        <f t="shared" si="163"/>
        <v>-176.54000033754858</v>
      </c>
      <c r="AI228" s="360">
        <f t="shared" si="134"/>
        <v>3.4599996624514233</v>
      </c>
      <c r="AL228" s="337">
        <f t="shared" si="135"/>
        <v>16.888071309331224</v>
      </c>
      <c r="AM228" s="730">
        <f t="shared" si="136"/>
        <v>-83.311491773500194</v>
      </c>
      <c r="AN228" s="351"/>
      <c r="AO228" s="337">
        <f t="shared" si="137"/>
        <v>39.668941267169792</v>
      </c>
      <c r="AP228" s="730">
        <f t="shared" si="138"/>
        <v>-93.228508564048397</v>
      </c>
      <c r="AS228" s="351"/>
      <c r="AT228" s="351"/>
      <c r="AV228" s="405">
        <f t="shared" si="139"/>
        <v>0</v>
      </c>
      <c r="AW228" s="405">
        <f t="shared" si="164"/>
        <v>0</v>
      </c>
      <c r="AX228" s="405">
        <f t="shared" si="140"/>
        <v>0</v>
      </c>
      <c r="AY228" s="405">
        <f t="shared" si="141"/>
        <v>0</v>
      </c>
    </row>
    <row r="229" spans="2:51" ht="13.5" thickBot="1" x14ac:dyDescent="0.25">
      <c r="B229" s="345">
        <v>13413.25</v>
      </c>
      <c r="C229" s="728" t="str">
        <f t="shared" si="124"/>
        <v>2.16217503399043</v>
      </c>
      <c r="D229" s="728" t="str">
        <f t="shared" si="125"/>
        <v>1+10.2538154641191i</v>
      </c>
      <c r="E229" s="337">
        <f t="shared" si="143"/>
        <v>10.302462403338726</v>
      </c>
      <c r="F229" s="338">
        <f t="shared" si="144"/>
        <v>1.473579089017174</v>
      </c>
      <c r="G229" s="338" t="str">
        <f t="shared" si="126"/>
        <v>1+0.0421389676607633i</v>
      </c>
      <c r="H229" s="337">
        <f t="shared" si="145"/>
        <v>1.000887452511777</v>
      </c>
      <c r="I229" s="338">
        <f t="shared" si="146"/>
        <v>4.2114052249695132E-2</v>
      </c>
      <c r="J229" s="340">
        <f t="shared" si="127"/>
        <v>1</v>
      </c>
      <c r="K229" s="338">
        <f t="shared" si="147"/>
        <v>1</v>
      </c>
      <c r="L229" s="339">
        <f t="shared" si="148"/>
        <v>0</v>
      </c>
      <c r="M229" s="731" t="str">
        <f t="shared" si="128"/>
        <v>0.992003765530556+0.198107515891441i</v>
      </c>
      <c r="N229" s="338">
        <f t="shared" si="149"/>
        <v>1.0115918439170415</v>
      </c>
      <c r="O229" s="339">
        <f t="shared" si="150"/>
        <v>0.19711131205597038</v>
      </c>
      <c r="P229" s="732" t="str">
        <f t="shared" si="142"/>
        <v>-0.0119912859905549-0.207302423442945i</v>
      </c>
      <c r="Q229" s="337">
        <f t="shared" si="151"/>
        <v>0.20764894823963195</v>
      </c>
      <c r="R229" s="339">
        <f t="shared" si="152"/>
        <v>-1.6285763488234495</v>
      </c>
      <c r="S229" s="731" t="str">
        <f t="shared" si="129"/>
        <v>6000</v>
      </c>
      <c r="T229" s="337" t="str">
        <f t="shared" si="130"/>
        <v>1+85120.7146747419i</v>
      </c>
      <c r="U229" s="346">
        <f t="shared" si="153"/>
        <v>85120.7146806159</v>
      </c>
      <c r="V229" s="347">
        <f t="shared" si="154"/>
        <v>1.5707845787732337</v>
      </c>
      <c r="W229" s="340" t="str">
        <f t="shared" si="131"/>
        <v>1+842.779353215266i</v>
      </c>
      <c r="X229" s="337">
        <f t="shared" si="155"/>
        <v>842.77994649015125</v>
      </c>
      <c r="Y229" s="339">
        <f t="shared" si="156"/>
        <v>1.5696097771637447</v>
      </c>
      <c r="Z229" s="337" t="str">
        <f t="shared" si="132"/>
        <v>1+8.48970083984497i</v>
      </c>
      <c r="AA229" s="346">
        <f t="shared" si="157"/>
        <v>8.5483928518794912</v>
      </c>
      <c r="AB229" s="347">
        <f t="shared" si="158"/>
        <v>1.4535468111209675</v>
      </c>
      <c r="AC229" s="732" t="str">
        <f t="shared" si="159"/>
        <v>0.804836495118978-6.902611296243i</v>
      </c>
      <c r="AD229" s="337">
        <f t="shared" si="160"/>
        <v>6.949374395648638</v>
      </c>
      <c r="AE229" s="339">
        <f t="shared" si="161"/>
        <v>-1.4547216127304565</v>
      </c>
      <c r="AF229" s="736" t="str">
        <f t="shared" si="133"/>
        <v>-1.44057907438443-0.0840733697786054i</v>
      </c>
      <c r="AG229" s="337">
        <f t="shared" si="162"/>
        <v>3.1855089103549119</v>
      </c>
      <c r="AH229" s="730">
        <f t="shared" si="163"/>
        <v>-176.65996017832879</v>
      </c>
      <c r="AI229" s="360">
        <f t="shared" si="134"/>
        <v>3.3400398216712119</v>
      </c>
      <c r="AL229" s="337">
        <f t="shared" si="135"/>
        <v>16.838914196128126</v>
      </c>
      <c r="AM229" s="730">
        <f t="shared" si="136"/>
        <v>-83.34940877591977</v>
      </c>
      <c r="AN229" s="351"/>
      <c r="AO229" s="337">
        <f t="shared" si="137"/>
        <v>39.61852591296622</v>
      </c>
      <c r="AP229" s="730">
        <f t="shared" si="138"/>
        <v>-93.310551402409004</v>
      </c>
      <c r="AS229" s="351"/>
      <c r="AT229" s="351"/>
      <c r="AV229" s="405">
        <f t="shared" si="139"/>
        <v>0</v>
      </c>
      <c r="AW229" s="405">
        <f t="shared" si="164"/>
        <v>0</v>
      </c>
      <c r="AX229" s="405">
        <f t="shared" si="140"/>
        <v>0</v>
      </c>
      <c r="AY229" s="405">
        <f t="shared" si="141"/>
        <v>0</v>
      </c>
    </row>
    <row r="230" spans="2:51" ht="13.5" thickBot="1" x14ac:dyDescent="0.25">
      <c r="B230" s="345">
        <v>13490</v>
      </c>
      <c r="C230" s="728" t="str">
        <f t="shared" si="124"/>
        <v>2.16217503399043</v>
      </c>
      <c r="D230" s="728" t="str">
        <f t="shared" si="125"/>
        <v>1+10.3124873249187i</v>
      </c>
      <c r="E230" s="337">
        <f t="shared" si="143"/>
        <v>10.360858788083585</v>
      </c>
      <c r="F230" s="338">
        <f t="shared" si="144"/>
        <v>1.4741287476979597</v>
      </c>
      <c r="G230" s="338" t="str">
        <f t="shared" si="126"/>
        <v>1+0.0423800848969263i</v>
      </c>
      <c r="H230" s="337">
        <f t="shared" si="145"/>
        <v>1.0008976329255008</v>
      </c>
      <c r="I230" s="338">
        <f t="shared" si="146"/>
        <v>4.2354739648881749E-2</v>
      </c>
      <c r="J230" s="340">
        <f t="shared" si="127"/>
        <v>1</v>
      </c>
      <c r="K230" s="338">
        <f t="shared" si="147"/>
        <v>1</v>
      </c>
      <c r="L230" s="339">
        <f t="shared" si="148"/>
        <v>0</v>
      </c>
      <c r="M230" s="731" t="str">
        <f t="shared" si="128"/>
        <v>0.991911995555556+0.199241077991951i</v>
      </c>
      <c r="N230" s="338">
        <f t="shared" si="149"/>
        <v>1.0117244753817118</v>
      </c>
      <c r="O230" s="339">
        <f t="shared" si="150"/>
        <v>0.19822780621226896</v>
      </c>
      <c r="P230" s="732" t="str">
        <f t="shared" si="142"/>
        <v>-0.0122160474151906-0.206091884476149i</v>
      </c>
      <c r="Q230" s="337">
        <f t="shared" si="151"/>
        <v>0.20645361866865047</v>
      </c>
      <c r="R230" s="339">
        <f t="shared" si="152"/>
        <v>-1.6300018142613477</v>
      </c>
      <c r="S230" s="731" t="str">
        <f t="shared" si="129"/>
        <v>6000</v>
      </c>
      <c r="T230" s="337" t="str">
        <f t="shared" si="130"/>
        <v>1+85607.7714917911i</v>
      </c>
      <c r="U230" s="346">
        <f t="shared" si="153"/>
        <v>85607.771497631693</v>
      </c>
      <c r="V230" s="347">
        <f t="shared" si="154"/>
        <v>1.570784645612423</v>
      </c>
      <c r="W230" s="340" t="str">
        <f t="shared" si="131"/>
        <v>1+847.601697938526i</v>
      </c>
      <c r="X230" s="337">
        <f t="shared" si="155"/>
        <v>847.60228783803552</v>
      </c>
      <c r="Y230" s="339">
        <f t="shared" si="156"/>
        <v>1.5696165279124061</v>
      </c>
      <c r="Z230" s="337" t="str">
        <f t="shared" si="132"/>
        <v>1+8.5382785178468i</v>
      </c>
      <c r="AA230" s="346">
        <f t="shared" si="157"/>
        <v>8.5966388808838641</v>
      </c>
      <c r="AB230" s="347">
        <f t="shared" si="158"/>
        <v>1.4542078448613693</v>
      </c>
      <c r="AC230" s="732" t="str">
        <f t="shared" si="159"/>
        <v>0.79582804316424-6.86439464805252i</v>
      </c>
      <c r="AD230" s="337">
        <f t="shared" si="160"/>
        <v>6.9103730838861877</v>
      </c>
      <c r="AE230" s="339">
        <f t="shared" si="161"/>
        <v>-1.455375962561386</v>
      </c>
      <c r="AF230" s="736" t="str">
        <f t="shared" si="133"/>
        <v>-1.42441790191477-0.0801579306374941i</v>
      </c>
      <c r="AG230" s="337">
        <f t="shared" si="162"/>
        <v>3.0864798920322309</v>
      </c>
      <c r="AH230" s="730">
        <f t="shared" si="163"/>
        <v>-176.77912481539946</v>
      </c>
      <c r="AI230" s="360">
        <f t="shared" si="134"/>
        <v>3.2208751846005441</v>
      </c>
      <c r="AL230" s="337">
        <f t="shared" si="135"/>
        <v>16.79002990232944</v>
      </c>
      <c r="AM230" s="730">
        <f t="shared" si="136"/>
        <v>-83.386900259557123</v>
      </c>
      <c r="AN230" s="351"/>
      <c r="AO230" s="337">
        <f t="shared" si="137"/>
        <v>39.568381188442217</v>
      </c>
      <c r="AP230" s="730">
        <f t="shared" si="138"/>
        <v>-93.392224555842333</v>
      </c>
      <c r="AS230" s="351"/>
      <c r="AT230" s="351"/>
      <c r="AV230" s="405">
        <f t="shared" si="139"/>
        <v>0</v>
      </c>
      <c r="AW230" s="405">
        <f t="shared" si="164"/>
        <v>0</v>
      </c>
      <c r="AX230" s="405">
        <f t="shared" si="140"/>
        <v>0</v>
      </c>
      <c r="AY230" s="405">
        <f t="shared" si="141"/>
        <v>0</v>
      </c>
    </row>
    <row r="231" spans="2:51" ht="13.5" thickBot="1" x14ac:dyDescent="0.25">
      <c r="B231" s="345">
        <v>13568.5</v>
      </c>
      <c r="C231" s="728" t="str">
        <f t="shared" si="124"/>
        <v>2.16217503399043</v>
      </c>
      <c r="D231" s="728" t="str">
        <f t="shared" si="125"/>
        <v>1+10.3724969805901i</v>
      </c>
      <c r="E231" s="337">
        <f t="shared" si="143"/>
        <v>10.420589887926246</v>
      </c>
      <c r="F231" s="338">
        <f t="shared" si="144"/>
        <v>1.4746845663267134</v>
      </c>
      <c r="G231" s="338" t="str">
        <f t="shared" si="126"/>
        <v>1+0.0426266999202331i</v>
      </c>
      <c r="H231" s="337">
        <f t="shared" si="145"/>
        <v>1.0009081054452948</v>
      </c>
      <c r="I231" s="338">
        <f t="shared" si="146"/>
        <v>4.2600909954847541E-2</v>
      </c>
      <c r="J231" s="340">
        <f t="shared" si="127"/>
        <v>1</v>
      </c>
      <c r="K231" s="338">
        <f t="shared" si="147"/>
        <v>1</v>
      </c>
      <c r="L231" s="339">
        <f t="shared" si="148"/>
        <v>0</v>
      </c>
      <c r="M231" s="731" t="str">
        <f t="shared" si="128"/>
        <v>0.991817591455556+0.200400486785306i</v>
      </c>
      <c r="N231" s="338">
        <f t="shared" si="149"/>
        <v>1.0118609043858191</v>
      </c>
      <c r="O231" s="339">
        <f t="shared" si="150"/>
        <v>0.19936955966640948</v>
      </c>
      <c r="P231" s="732" t="str">
        <f t="shared" si="142"/>
        <v>-0.0124418717942614-0.204867233585298i</v>
      </c>
      <c r="Q231" s="337">
        <f t="shared" si="151"/>
        <v>0.20524469194266118</v>
      </c>
      <c r="R231" s="339">
        <f t="shared" si="152"/>
        <v>-1.6314532160382753</v>
      </c>
      <c r="S231" s="731" t="str">
        <f t="shared" si="129"/>
        <v>6000</v>
      </c>
      <c r="T231" s="337" t="str">
        <f t="shared" si="130"/>
        <v>1+86105.9338388709i</v>
      </c>
      <c r="U231" s="346">
        <f t="shared" si="153"/>
        <v>86105.933844677696</v>
      </c>
      <c r="V231" s="347">
        <f t="shared" si="154"/>
        <v>1.5707847131934249</v>
      </c>
      <c r="W231" s="340" t="str">
        <f t="shared" si="131"/>
        <v>1+852.533998404662i</v>
      </c>
      <c r="X231" s="337">
        <f t="shared" si="155"/>
        <v>852.53458489133459</v>
      </c>
      <c r="Y231" s="339">
        <f t="shared" si="156"/>
        <v>1.5696233535841517</v>
      </c>
      <c r="Z231" s="337" t="str">
        <f t="shared" si="132"/>
        <v>1+8.58796383020047i</v>
      </c>
      <c r="AA231" s="346">
        <f t="shared" si="157"/>
        <v>8.6459888242370262</v>
      </c>
      <c r="AB231" s="347">
        <f t="shared" si="158"/>
        <v>1.4548763191430287</v>
      </c>
      <c r="AC231" s="732" t="str">
        <f t="shared" si="159"/>
        <v>0.786769048274388-6.82573582120674i</v>
      </c>
      <c r="AD231" s="337">
        <f t="shared" si="160"/>
        <v>6.8709297068320696</v>
      </c>
      <c r="AE231" s="339">
        <f t="shared" si="161"/>
        <v>-1.4560376787523024</v>
      </c>
      <c r="AF231" s="736" t="str">
        <f t="shared" si="133"/>
        <v>-1.40815849450502-0.0762582684015598i</v>
      </c>
      <c r="AG231" s="337">
        <f t="shared" si="162"/>
        <v>2.985748793572589</v>
      </c>
      <c r="AH231" s="730">
        <f t="shared" si="163"/>
        <v>-176.90019755657019</v>
      </c>
      <c r="AI231" s="360">
        <f t="shared" si="134"/>
        <v>3.0998024434298088</v>
      </c>
      <c r="AL231" s="337">
        <f t="shared" si="135"/>
        <v>16.740310110125094</v>
      </c>
      <c r="AM231" s="730">
        <f t="shared" si="136"/>
        <v>-83.424813804532107</v>
      </c>
      <c r="AN231" s="351"/>
      <c r="AO231" s="337">
        <f t="shared" si="137"/>
        <v>39.517369882186919</v>
      </c>
      <c r="AP231" s="730">
        <f t="shared" si="138"/>
        <v>-93.475383752038084</v>
      </c>
      <c r="AS231" s="351"/>
      <c r="AT231" s="351"/>
      <c r="AV231" s="405">
        <f t="shared" si="139"/>
        <v>0</v>
      </c>
      <c r="AW231" s="405">
        <f t="shared" si="164"/>
        <v>0</v>
      </c>
      <c r="AX231" s="405">
        <f t="shared" si="140"/>
        <v>0</v>
      </c>
      <c r="AY231" s="405">
        <f t="shared" si="141"/>
        <v>0</v>
      </c>
    </row>
    <row r="232" spans="2:51" ht="13.5" thickBot="1" x14ac:dyDescent="0.25">
      <c r="B232" s="345">
        <v>13647</v>
      </c>
      <c r="C232" s="728" t="str">
        <f t="shared" si="124"/>
        <v>2.16217503399043</v>
      </c>
      <c r="D232" s="728" t="str">
        <f t="shared" si="125"/>
        <v>1+10.4325066362614i</v>
      </c>
      <c r="E232" s="337">
        <f t="shared" si="143"/>
        <v>10.48032417035075</v>
      </c>
      <c r="F232" s="338">
        <f t="shared" si="144"/>
        <v>1.4752340491694163</v>
      </c>
      <c r="G232" s="338" t="str">
        <f t="shared" si="126"/>
        <v>1+0.0428733149435399i</v>
      </c>
      <c r="H232" s="337">
        <f t="shared" si="145"/>
        <v>1.0009186386186681</v>
      </c>
      <c r="I232" s="338">
        <f t="shared" si="146"/>
        <v>4.2847075094581209E-2</v>
      </c>
      <c r="J232" s="340">
        <f t="shared" si="127"/>
        <v>1</v>
      </c>
      <c r="K232" s="338">
        <f t="shared" si="147"/>
        <v>1</v>
      </c>
      <c r="L232" s="339">
        <f t="shared" si="148"/>
        <v>0</v>
      </c>
      <c r="M232" s="731" t="str">
        <f t="shared" si="128"/>
        <v>0.9917226396+0.201559895578662i</v>
      </c>
      <c r="N232" s="338">
        <f t="shared" si="149"/>
        <v>1.0119981153148816</v>
      </c>
      <c r="O232" s="339">
        <f t="shared" si="150"/>
        <v>0.20051111159286403</v>
      </c>
      <c r="P232" s="732" t="str">
        <f t="shared" si="142"/>
        <v>-0.0126636797070153-0.203656000198471i</v>
      </c>
      <c r="Q232" s="337">
        <f t="shared" si="151"/>
        <v>0.2040493450138017</v>
      </c>
      <c r="R232" s="339">
        <f t="shared" si="152"/>
        <v>-1.6328980856676996</v>
      </c>
      <c r="S232" s="731" t="str">
        <f t="shared" si="129"/>
        <v>6000</v>
      </c>
      <c r="T232" s="337" t="str">
        <f t="shared" si="130"/>
        <v>1+86604.0961859506i</v>
      </c>
      <c r="U232" s="346">
        <f t="shared" si="153"/>
        <v>86604.096191724006</v>
      </c>
      <c r="V232" s="347">
        <f t="shared" si="154"/>
        <v>1.5707847799969505</v>
      </c>
      <c r="W232" s="340" t="str">
        <f t="shared" si="131"/>
        <v>1+857.466298870798i</v>
      </c>
      <c r="X232" s="337">
        <f t="shared" si="155"/>
        <v>857.46688198389597</v>
      </c>
      <c r="Y232" s="339">
        <f t="shared" si="156"/>
        <v>1.5696301007310201</v>
      </c>
      <c r="Z232" s="337" t="str">
        <f t="shared" si="132"/>
        <v>1+8.63764914255414i</v>
      </c>
      <c r="AA232" s="346">
        <f t="shared" si="157"/>
        <v>8.6953425872628092</v>
      </c>
      <c r="AB232" s="347">
        <f t="shared" si="158"/>
        <v>1.4555372053511626</v>
      </c>
      <c r="AC232" s="732" t="str">
        <f t="shared" si="159"/>
        <v>0.777863173442352-6.78750401238588i</v>
      </c>
      <c r="AD232" s="337">
        <f t="shared" si="160"/>
        <v>6.8319310472773518</v>
      </c>
      <c r="AE232" s="339">
        <f t="shared" si="161"/>
        <v>-1.4566918846170933</v>
      </c>
      <c r="AF232" s="736" t="str">
        <f t="shared" si="133"/>
        <v>-1.39216652857794-0.0724617257820229i</v>
      </c>
      <c r="AG232" s="337">
        <f t="shared" si="162"/>
        <v>2.8855735909099374</v>
      </c>
      <c r="AH232" s="730">
        <f t="shared" si="163"/>
        <v>-177.02046572326807</v>
      </c>
      <c r="AI232" s="360">
        <f t="shared" si="134"/>
        <v>2.9795342767319255</v>
      </c>
      <c r="AL232" s="337">
        <f t="shared" si="135"/>
        <v>16.690869489865825</v>
      </c>
      <c r="AM232" s="730">
        <f t="shared" si="136"/>
        <v>-83.462297039517338</v>
      </c>
      <c r="AN232" s="351"/>
      <c r="AO232" s="337">
        <f t="shared" si="137"/>
        <v>39.466635299783526</v>
      </c>
      <c r="AP232" s="730">
        <f t="shared" si="138"/>
        <v>-93.558168683750722</v>
      </c>
      <c r="AS232" s="351"/>
      <c r="AT232" s="351"/>
      <c r="AV232" s="405">
        <f t="shared" si="139"/>
        <v>0</v>
      </c>
      <c r="AW232" s="405">
        <f t="shared" si="164"/>
        <v>0</v>
      </c>
      <c r="AX232" s="405">
        <f t="shared" si="140"/>
        <v>0</v>
      </c>
      <c r="AY232" s="405">
        <f t="shared" si="141"/>
        <v>0</v>
      </c>
    </row>
    <row r="233" spans="2:51" ht="13.5" thickBot="1" x14ac:dyDescent="0.25">
      <c r="B233" s="345">
        <v>13725.5</v>
      </c>
      <c r="C233" s="728" t="str">
        <f t="shared" si="124"/>
        <v>2.16217503399043</v>
      </c>
      <c r="D233" s="728" t="str">
        <f t="shared" si="125"/>
        <v>1+10.4925162919327i</v>
      </c>
      <c r="E233" s="337">
        <f t="shared" si="143"/>
        <v>10.540061581246722</v>
      </c>
      <c r="F233" s="338">
        <f t="shared" si="144"/>
        <v>1.4757773036185127</v>
      </c>
      <c r="G233" s="338" t="str">
        <f t="shared" si="126"/>
        <v>1+0.0431199299668467i</v>
      </c>
      <c r="H233" s="337">
        <f t="shared" si="145"/>
        <v>1.0009292324437058</v>
      </c>
      <c r="I233" s="338">
        <f t="shared" si="146"/>
        <v>4.3093235038412468E-2</v>
      </c>
      <c r="J233" s="340">
        <f t="shared" si="127"/>
        <v>1</v>
      </c>
      <c r="K233" s="338">
        <f t="shared" si="147"/>
        <v>1</v>
      </c>
      <c r="L233" s="339">
        <f t="shared" si="148"/>
        <v>0</v>
      </c>
      <c r="M233" s="731" t="str">
        <f t="shared" si="128"/>
        <v>0.991627139988889+0.202719304372018i</v>
      </c>
      <c r="N233" s="338">
        <f t="shared" si="149"/>
        <v>1.0121361080050542</v>
      </c>
      <c r="O233" s="339">
        <f t="shared" si="150"/>
        <v>0.2016524609154528</v>
      </c>
      <c r="P233" s="732" t="str">
        <f t="shared" si="142"/>
        <v>-0.0128815604988407-0.202457963040564i</v>
      </c>
      <c r="Q233" s="337">
        <f t="shared" si="151"/>
        <v>0.20286734926897346</v>
      </c>
      <c r="R233" s="339">
        <f t="shared" si="152"/>
        <v>-1.6343365294955525</v>
      </c>
      <c r="S233" s="731" t="str">
        <f t="shared" si="129"/>
        <v>6000</v>
      </c>
      <c r="T233" s="337" t="str">
        <f t="shared" si="130"/>
        <v>1+87102.2585330303i</v>
      </c>
      <c r="U233" s="346">
        <f t="shared" si="153"/>
        <v>87102.258538770679</v>
      </c>
      <c r="V233" s="347">
        <f t="shared" si="154"/>
        <v>1.5707848460363401</v>
      </c>
      <c r="W233" s="340" t="str">
        <f t="shared" si="131"/>
        <v>1+862.398599336934i</v>
      </c>
      <c r="X233" s="337">
        <f t="shared" si="155"/>
        <v>862.39917911504619</v>
      </c>
      <c r="Y233" s="339">
        <f t="shared" si="156"/>
        <v>1.5696367707003265</v>
      </c>
      <c r="Z233" s="337" t="str">
        <f t="shared" si="132"/>
        <v>1+8.6873344549078i</v>
      </c>
      <c r="AA233" s="346">
        <f t="shared" si="157"/>
        <v>8.7447001052882438</v>
      </c>
      <c r="AB233" s="347">
        <f t="shared" si="158"/>
        <v>1.4561906313911048</v>
      </c>
      <c r="AC233" s="732" t="str">
        <f t="shared" si="159"/>
        <v>0.769107002467494-6.74969228811978i</v>
      </c>
      <c r="AD233" s="337">
        <f t="shared" si="160"/>
        <v>6.7933696767913458</v>
      </c>
      <c r="AE233" s="339">
        <f t="shared" si="161"/>
        <v>-1.457338706727118</v>
      </c>
      <c r="AF233" s="736" t="str">
        <f t="shared" si="133"/>
        <v>-1.3764362501857-0.0687652675218294i</v>
      </c>
      <c r="AG233" s="337">
        <f t="shared" si="162"/>
        <v>2.7859480594151331</v>
      </c>
      <c r="AH233" s="730">
        <f t="shared" si="163"/>
        <v>-177.13994266067081</v>
      </c>
      <c r="AI233" s="360">
        <f t="shared" si="134"/>
        <v>2.8600573393291882</v>
      </c>
      <c r="AL233" s="337">
        <f t="shared" si="135"/>
        <v>16.64170496728099</v>
      </c>
      <c r="AM233" s="730">
        <f t="shared" si="136"/>
        <v>-83.499357216517495</v>
      </c>
      <c r="AN233" s="351"/>
      <c r="AO233" s="337">
        <f t="shared" si="137"/>
        <v>39.416174290873585</v>
      </c>
      <c r="AP233" s="730">
        <f t="shared" si="138"/>
        <v>-93.640585444153345</v>
      </c>
      <c r="AS233" s="351"/>
      <c r="AT233" s="351"/>
      <c r="AV233" s="405">
        <f t="shared" si="139"/>
        <v>0</v>
      </c>
      <c r="AW233" s="405">
        <f t="shared" si="164"/>
        <v>0</v>
      </c>
      <c r="AX233" s="405">
        <f t="shared" si="140"/>
        <v>0</v>
      </c>
      <c r="AY233" s="405">
        <f t="shared" si="141"/>
        <v>0</v>
      </c>
    </row>
    <row r="234" spans="2:51" ht="13.5" thickBot="1" x14ac:dyDescent="0.25">
      <c r="B234" s="345">
        <v>13804</v>
      </c>
      <c r="C234" s="728" t="str">
        <f t="shared" si="124"/>
        <v>2.16217503399043</v>
      </c>
      <c r="D234" s="728" t="str">
        <f t="shared" si="125"/>
        <v>1+10.552525947604i</v>
      </c>
      <c r="E234" s="337">
        <f t="shared" si="143"/>
        <v>10.599802067720683</v>
      </c>
      <c r="F234" s="338">
        <f t="shared" si="144"/>
        <v>1.4763144346602872</v>
      </c>
      <c r="G234" s="338" t="str">
        <f t="shared" si="126"/>
        <v>1+0.0433665449901535i</v>
      </c>
      <c r="H234" s="337">
        <f t="shared" si="145"/>
        <v>1.0009398869184818</v>
      </c>
      <c r="I234" s="338">
        <f t="shared" si="146"/>
        <v>4.333938975667477E-2</v>
      </c>
      <c r="J234" s="340">
        <f t="shared" si="127"/>
        <v>1</v>
      </c>
      <c r="K234" s="338">
        <f t="shared" si="147"/>
        <v>1</v>
      </c>
      <c r="L234" s="339">
        <f t="shared" si="148"/>
        <v>0</v>
      </c>
      <c r="M234" s="731" t="str">
        <f t="shared" si="128"/>
        <v>0.991531092622222+0.203878713165374i</v>
      </c>
      <c r="N234" s="338">
        <f t="shared" si="149"/>
        <v>1.0122748822916563</v>
      </c>
      <c r="O234" s="339">
        <f t="shared" si="150"/>
        <v>0.20279360655948747</v>
      </c>
      <c r="P234" s="732" t="str">
        <f t="shared" si="142"/>
        <v>-0.0130956010296303-0.201272905636234i</v>
      </c>
      <c r="Q234" s="337">
        <f t="shared" si="151"/>
        <v>0.20169848117816758</v>
      </c>
      <c r="R234" s="339">
        <f t="shared" si="152"/>
        <v>-1.6357686514631</v>
      </c>
      <c r="S234" s="731" t="str">
        <f t="shared" si="129"/>
        <v>6000</v>
      </c>
      <c r="T234" s="337" t="str">
        <f t="shared" si="130"/>
        <v>1+87600.4208801101i</v>
      </c>
      <c r="U234" s="346">
        <f t="shared" si="153"/>
        <v>87600.420885817832</v>
      </c>
      <c r="V234" s="347">
        <f t="shared" si="154"/>
        <v>1.5707849113246293</v>
      </c>
      <c r="W234" s="340" t="str">
        <f t="shared" si="131"/>
        <v>1+867.33089980307i</v>
      </c>
      <c r="X234" s="337">
        <f t="shared" si="155"/>
        <v>867.33147628412689</v>
      </c>
      <c r="Y234" s="339">
        <f t="shared" si="156"/>
        <v>1.5696433648087389</v>
      </c>
      <c r="Z234" s="337" t="str">
        <f t="shared" si="132"/>
        <v>1+8.73701976726147i</v>
      </c>
      <c r="AA234" s="346">
        <f t="shared" si="157"/>
        <v>8.794061315087454</v>
      </c>
      <c r="AB234" s="347">
        <f t="shared" si="158"/>
        <v>1.4568367223222611</v>
      </c>
      <c r="AC234" s="732" t="str">
        <f t="shared" si="159"/>
        <v>0.760497213467148-6.71229386185884i</v>
      </c>
      <c r="AD234" s="337">
        <f t="shared" si="160"/>
        <v>6.7552383303358852</v>
      </c>
      <c r="AE234" s="339">
        <f t="shared" si="161"/>
        <v>-1.4579782688381511</v>
      </c>
      <c r="AF234" s="736" t="str">
        <f t="shared" si="133"/>
        <v>-1.3609620571523-0.0651659614742524i</v>
      </c>
      <c r="AG234" s="337">
        <f t="shared" si="162"/>
        <v>2.6868660762237182</v>
      </c>
      <c r="AH234" s="730">
        <f t="shared" si="163"/>
        <v>-177.25864141485795</v>
      </c>
      <c r="AI234" s="360">
        <f t="shared" si="134"/>
        <v>2.7413585851420521</v>
      </c>
      <c r="AL234" s="337">
        <f t="shared" si="135"/>
        <v>16.592813517860748</v>
      </c>
      <c r="AM234" s="730">
        <f t="shared" si="136"/>
        <v>-83.536001426216174</v>
      </c>
      <c r="AN234" s="351"/>
      <c r="AO234" s="337">
        <f t="shared" si="137"/>
        <v>39.365983757102391</v>
      </c>
      <c r="AP234" s="730">
        <f t="shared" si="138"/>
        <v>-93.722639988641788</v>
      </c>
      <c r="AS234" s="351"/>
      <c r="AT234" s="351"/>
      <c r="AV234" s="405">
        <f t="shared" si="139"/>
        <v>0</v>
      </c>
      <c r="AW234" s="405">
        <f t="shared" si="164"/>
        <v>0</v>
      </c>
      <c r="AX234" s="405">
        <f t="shared" si="140"/>
        <v>0</v>
      </c>
      <c r="AY234" s="405">
        <f t="shared" si="141"/>
        <v>0</v>
      </c>
    </row>
    <row r="235" spans="2:51" ht="13.5" thickBot="1" x14ac:dyDescent="0.25">
      <c r="B235" s="345">
        <v>13884.25</v>
      </c>
      <c r="C235" s="728" t="str">
        <f t="shared" si="124"/>
        <v>2.16217503399043</v>
      </c>
      <c r="D235" s="728" t="str">
        <f t="shared" si="125"/>
        <v>1+10.613873398147i</v>
      </c>
      <c r="E235" s="337">
        <f t="shared" si="143"/>
        <v>10.660877473824213</v>
      </c>
      <c r="F235" s="338">
        <f t="shared" si="144"/>
        <v>1.4768573171485095</v>
      </c>
      <c r="G235" s="338" t="str">
        <f t="shared" si="126"/>
        <v>1+0.0436186578006041i</v>
      </c>
      <c r="H235" s="337">
        <f t="shared" si="145"/>
        <v>1.0009508416042849</v>
      </c>
      <c r="I235" s="338">
        <f t="shared" si="146"/>
        <v>4.35910265680058E-2</v>
      </c>
      <c r="J235" s="340">
        <f t="shared" si="127"/>
        <v>1</v>
      </c>
      <c r="K235" s="338">
        <f t="shared" si="147"/>
        <v>1</v>
      </c>
      <c r="L235" s="339">
        <f t="shared" si="148"/>
        <v>0</v>
      </c>
      <c r="M235" s="731" t="str">
        <f t="shared" si="128"/>
        <v>0.991432337863889+0.205063968651575i</v>
      </c>
      <c r="N235" s="338">
        <f t="shared" si="149"/>
        <v>1.012417558027018</v>
      </c>
      <c r="O235" s="339">
        <f t="shared" si="150"/>
        <v>0.20395998009844241</v>
      </c>
      <c r="P235" s="732" t="str">
        <f t="shared" si="142"/>
        <v>-0.0133105314700102-0.200074626230792i</v>
      </c>
      <c r="Q235" s="337">
        <f t="shared" si="151"/>
        <v>0.2005168978151349</v>
      </c>
      <c r="R235" s="339">
        <f t="shared" si="152"/>
        <v>-1.6372262706789458</v>
      </c>
      <c r="S235" s="731" t="str">
        <f t="shared" si="129"/>
        <v>6000</v>
      </c>
      <c r="T235" s="337" t="str">
        <f t="shared" si="130"/>
        <v>1+88109.6887572203i</v>
      </c>
      <c r="U235" s="346">
        <f t="shared" si="153"/>
        <v>88109.688762895035</v>
      </c>
      <c r="V235" s="347">
        <f t="shared" si="154"/>
        <v>1.570784977305254</v>
      </c>
      <c r="W235" s="340" t="str">
        <f t="shared" si="131"/>
        <v>1+872.373156012082i</v>
      </c>
      <c r="X235" s="337">
        <f t="shared" si="155"/>
        <v>872.37372916112065</v>
      </c>
      <c r="Y235" s="339">
        <f t="shared" si="156"/>
        <v>1.5696500288430297</v>
      </c>
      <c r="Z235" s="337" t="str">
        <f t="shared" si="132"/>
        <v>1+8.78781271396698i</v>
      </c>
      <c r="AA235" s="346">
        <f t="shared" si="157"/>
        <v>8.8445266857961204</v>
      </c>
      <c r="AB235" s="347">
        <f t="shared" si="158"/>
        <v>1.4574897616759168</v>
      </c>
      <c r="AC235" s="732" t="str">
        <f t="shared" si="159"/>
        <v>0.75184343599002-6.67448201644764i</v>
      </c>
      <c r="AD235" s="337">
        <f t="shared" si="160"/>
        <v>6.7166940335349672</v>
      </c>
      <c r="AE235" s="339">
        <f t="shared" si="161"/>
        <v>-1.4586247101381409</v>
      </c>
      <c r="AF235" s="736" t="str">
        <f t="shared" si="133"/>
        <v>-1.34540193044017-0.0615838915138342i</v>
      </c>
      <c r="AG235" s="337">
        <f t="shared" si="162"/>
        <v>2.5861308464724586</v>
      </c>
      <c r="AH235" s="730">
        <f t="shared" si="163"/>
        <v>-177.37919520225546</v>
      </c>
      <c r="AI235" s="360">
        <f t="shared" si="134"/>
        <v>2.6208047977445403</v>
      </c>
      <c r="AL235" s="337">
        <f t="shared" si="135"/>
        <v>16.5431113054888</v>
      </c>
      <c r="AM235" s="730">
        <f t="shared" si="136"/>
        <v>-83.573039784408536</v>
      </c>
      <c r="AN235" s="351"/>
      <c r="AO235" s="337">
        <f t="shared" si="137"/>
        <v>39.314950739723088</v>
      </c>
      <c r="AP235" s="730">
        <f t="shared" si="138"/>
        <v>-93.806155417846909</v>
      </c>
      <c r="AS235" s="351"/>
      <c r="AT235" s="351"/>
      <c r="AV235" s="405">
        <f t="shared" si="139"/>
        <v>0</v>
      </c>
      <c r="AW235" s="405">
        <f t="shared" si="164"/>
        <v>0</v>
      </c>
      <c r="AX235" s="405">
        <f t="shared" si="140"/>
        <v>0</v>
      </c>
      <c r="AY235" s="405">
        <f t="shared" si="141"/>
        <v>0</v>
      </c>
    </row>
    <row r="236" spans="2:51" ht="13.5" thickBot="1" x14ac:dyDescent="0.25">
      <c r="B236" s="345">
        <v>13964.5</v>
      </c>
      <c r="C236" s="728" t="str">
        <f t="shared" si="124"/>
        <v>2.16217503399043</v>
      </c>
      <c r="D236" s="728" t="str">
        <f t="shared" si="125"/>
        <v>1+10.67522084869i</v>
      </c>
      <c r="E236" s="337">
        <f t="shared" si="143"/>
        <v>10.72195598612052</v>
      </c>
      <c r="F236" s="338">
        <f t="shared" si="144"/>
        <v>1.4773940146430928</v>
      </c>
      <c r="G236" s="338" t="str">
        <f t="shared" si="126"/>
        <v>1+0.0438707706110546i</v>
      </c>
      <c r="H236" s="337">
        <f t="shared" si="145"/>
        <v>1.0009618596699914</v>
      </c>
      <c r="I236" s="338">
        <f t="shared" si="146"/>
        <v>4.3842657855496639E-2</v>
      </c>
      <c r="J236" s="340">
        <f t="shared" si="127"/>
        <v>1</v>
      </c>
      <c r="K236" s="338">
        <f t="shared" si="147"/>
        <v>1</v>
      </c>
      <c r="L236" s="339">
        <f t="shared" si="148"/>
        <v>0</v>
      </c>
      <c r="M236" s="731" t="str">
        <f t="shared" si="128"/>
        <v>0.991333010655556+0.206249224137776i</v>
      </c>
      <c r="N236" s="338">
        <f t="shared" si="149"/>
        <v>1.0125610502447955</v>
      </c>
      <c r="O236" s="339">
        <f t="shared" si="150"/>
        <v>0.20512613850988867</v>
      </c>
      <c r="P236" s="732" t="str">
        <f t="shared" si="142"/>
        <v>-0.0135216244964834-0.198889469034944i</v>
      </c>
      <c r="Q236" s="337">
        <f t="shared" si="151"/>
        <v>0.19934857717582496</v>
      </c>
      <c r="R236" s="339">
        <f t="shared" si="152"/>
        <v>-1.638677495297485</v>
      </c>
      <c r="S236" s="731" t="str">
        <f t="shared" si="129"/>
        <v>6000</v>
      </c>
      <c r="T236" s="337" t="str">
        <f t="shared" si="130"/>
        <v>1+88618.9566343304i</v>
      </c>
      <c r="U236" s="346">
        <f t="shared" si="153"/>
        <v>88618.95663997253</v>
      </c>
      <c r="V236" s="347">
        <f t="shared" si="154"/>
        <v>1.5707850425275351</v>
      </c>
      <c r="W236" s="340" t="str">
        <f t="shared" si="131"/>
        <v>1+877.415412221093i</v>
      </c>
      <c r="X236" s="337">
        <f t="shared" si="155"/>
        <v>877.41598207640982</v>
      </c>
      <c r="Y236" s="339">
        <f t="shared" si="156"/>
        <v>1.5696566162848105</v>
      </c>
      <c r="Z236" s="337" t="str">
        <f t="shared" si="132"/>
        <v>1+8.83860566067247i</v>
      </c>
      <c r="AA236" s="346">
        <f t="shared" si="157"/>
        <v>8.8949957855454578</v>
      </c>
      <c r="AB236" s="347">
        <f t="shared" si="158"/>
        <v>1.4581353907741716</v>
      </c>
      <c r="AC236" s="732" t="str">
        <f t="shared" si="159"/>
        <v>0.743335907586378-6.63708821222076i</v>
      </c>
      <c r="AD236" s="337">
        <f t="shared" si="160"/>
        <v>6.6785842967134155</v>
      </c>
      <c r="AE236" s="339">
        <f t="shared" si="161"/>
        <v>-1.4592638170168961</v>
      </c>
      <c r="AF236" s="736" t="str">
        <f t="shared" si="133"/>
        <v>-1.33009805948381-0.0580974694187775i</v>
      </c>
      <c r="AG236" s="337">
        <f t="shared" si="162"/>
        <v>2.4859510454711926</v>
      </c>
      <c r="AH236" s="730">
        <f t="shared" si="163"/>
        <v>-177.4989623748337</v>
      </c>
      <c r="AI236" s="360">
        <f t="shared" si="134"/>
        <v>2.5010376251663047</v>
      </c>
      <c r="AL236" s="337">
        <f t="shared" si="135"/>
        <v>16.493688239673279</v>
      </c>
      <c r="AM236" s="730">
        <f t="shared" si="136"/>
        <v>-83.609657911218989</v>
      </c>
      <c r="AN236" s="351"/>
      <c r="AO236" s="337">
        <f t="shared" si="137"/>
        <v>39.26419400453733</v>
      </c>
      <c r="AP236" s="730">
        <f t="shared" si="138"/>
        <v>-93.889304463614693</v>
      </c>
      <c r="AS236" s="351"/>
      <c r="AT236" s="351"/>
      <c r="AV236" s="405">
        <f t="shared" si="139"/>
        <v>0</v>
      </c>
      <c r="AW236" s="405">
        <f t="shared" si="164"/>
        <v>0</v>
      </c>
      <c r="AX236" s="405">
        <f t="shared" si="140"/>
        <v>0</v>
      </c>
      <c r="AY236" s="405">
        <f t="shared" si="141"/>
        <v>0</v>
      </c>
    </row>
    <row r="237" spans="2:51" ht="13.5" thickBot="1" x14ac:dyDescent="0.25">
      <c r="B237" s="345">
        <v>14044.75</v>
      </c>
      <c r="C237" s="728" t="str">
        <f t="shared" si="124"/>
        <v>2.16217503399043</v>
      </c>
      <c r="D237" s="728" t="str">
        <f t="shared" si="125"/>
        <v>1+10.7365682992329i</v>
      </c>
      <c r="E237" s="337">
        <f t="shared" si="143"/>
        <v>10.783037551826148</v>
      </c>
      <c r="F237" s="338">
        <f t="shared" si="144"/>
        <v>1.4779246319386889</v>
      </c>
      <c r="G237" s="338" t="str">
        <f t="shared" si="126"/>
        <v>1+0.0441228834215052i</v>
      </c>
      <c r="H237" s="337">
        <f t="shared" si="145"/>
        <v>1.0009729411135087</v>
      </c>
      <c r="I237" s="338">
        <f t="shared" si="146"/>
        <v>4.40942835874647E-2</v>
      </c>
      <c r="J237" s="340">
        <f t="shared" si="127"/>
        <v>1</v>
      </c>
      <c r="K237" s="338">
        <f t="shared" si="147"/>
        <v>1</v>
      </c>
      <c r="L237" s="339">
        <f t="shared" si="148"/>
        <v>0</v>
      </c>
      <c r="M237" s="731" t="str">
        <f t="shared" si="128"/>
        <v>0.991233110997222+0.207434479623977i</v>
      </c>
      <c r="N237" s="338">
        <f t="shared" si="149"/>
        <v>1.0127053587663597</v>
      </c>
      <c r="O237" s="339">
        <f t="shared" si="150"/>
        <v>0.20629208065052337</v>
      </c>
      <c r="P237" s="732" t="str">
        <f t="shared" si="142"/>
        <v>-0.0137289653780988-0.197717217506566i</v>
      </c>
      <c r="Q237" s="337">
        <f t="shared" si="151"/>
        <v>0.19819329602408797</v>
      </c>
      <c r="R237" s="339">
        <f t="shared" si="152"/>
        <v>-1.6401224290017469</v>
      </c>
      <c r="S237" s="731" t="str">
        <f t="shared" si="129"/>
        <v>6000</v>
      </c>
      <c r="T237" s="337" t="str">
        <f t="shared" si="130"/>
        <v>1+89128.2245114406i</v>
      </c>
      <c r="U237" s="346">
        <f t="shared" si="153"/>
        <v>89128.22451705049</v>
      </c>
      <c r="V237" s="347">
        <f t="shared" si="154"/>
        <v>1.5707851070044718</v>
      </c>
      <c r="W237" s="340" t="str">
        <f t="shared" si="131"/>
        <v>1+882.457668430105i</v>
      </c>
      <c r="X237" s="337">
        <f t="shared" si="155"/>
        <v>882.45823502933968</v>
      </c>
      <c r="Y237" s="339">
        <f t="shared" si="156"/>
        <v>1.569663128447</v>
      </c>
      <c r="Z237" s="337" t="str">
        <f t="shared" si="132"/>
        <v>1+8.88939860737798i</v>
      </c>
      <c r="AA237" s="346">
        <f t="shared" si="157"/>
        <v>8.9454685512193031</v>
      </c>
      <c r="AB237" s="347">
        <f t="shared" si="158"/>
        <v>1.4587737345062013</v>
      </c>
      <c r="AC237" s="732" t="str">
        <f t="shared" si="159"/>
        <v>0.734971365169866-6.60010565034378i</v>
      </c>
      <c r="AD237" s="337">
        <f t="shared" si="160"/>
        <v>6.6409018591844546</v>
      </c>
      <c r="AE237" s="339">
        <f t="shared" si="161"/>
        <v>-1.4598957130636727</v>
      </c>
      <c r="AF237" s="736" t="str">
        <f t="shared" si="133"/>
        <v>-1.31504492086165-0.0547038713030241i</v>
      </c>
      <c r="AG237" s="337">
        <f t="shared" si="162"/>
        <v>2.3863204474923152</v>
      </c>
      <c r="AH237" s="730">
        <f t="shared" si="163"/>
        <v>-177.6179559543354</v>
      </c>
      <c r="AI237" s="360">
        <f t="shared" si="134"/>
        <v>2.3820440456645997</v>
      </c>
      <c r="AL237" s="337">
        <f t="shared" si="135"/>
        <v>16.444541243597605</v>
      </c>
      <c r="AM237" s="730">
        <f t="shared" si="136"/>
        <v>-83.645862887790287</v>
      </c>
      <c r="AN237" s="351"/>
      <c r="AO237" s="337">
        <f t="shared" si="137"/>
        <v>39.213710402634121</v>
      </c>
      <c r="AP237" s="730">
        <f t="shared" si="138"/>
        <v>-93.972093066545099</v>
      </c>
      <c r="AS237" s="351"/>
      <c r="AT237" s="351"/>
      <c r="AV237" s="405">
        <f t="shared" si="139"/>
        <v>0</v>
      </c>
      <c r="AW237" s="405">
        <f t="shared" si="164"/>
        <v>0</v>
      </c>
      <c r="AX237" s="405">
        <f t="shared" si="140"/>
        <v>0</v>
      </c>
      <c r="AY237" s="405">
        <f t="shared" si="141"/>
        <v>0</v>
      </c>
    </row>
    <row r="238" spans="2:51" ht="13.5" thickBot="1" x14ac:dyDescent="0.25">
      <c r="B238" s="345">
        <v>14125</v>
      </c>
      <c r="C238" s="728" t="str">
        <f t="shared" si="124"/>
        <v>2.16217503399043</v>
      </c>
      <c r="D238" s="728" t="str">
        <f t="shared" si="125"/>
        <v>1+10.7979157497759i</v>
      </c>
      <c r="E238" s="337">
        <f t="shared" si="143"/>
        <v>10.844122119344581</v>
      </c>
      <c r="F238" s="338">
        <f t="shared" si="144"/>
        <v>1.4784492714826072</v>
      </c>
      <c r="G238" s="338" t="str">
        <f t="shared" si="126"/>
        <v>1+0.0443749962319559i</v>
      </c>
      <c r="H238" s="337">
        <f t="shared" si="145"/>
        <v>1.0009840859327315</v>
      </c>
      <c r="I238" s="338">
        <f t="shared" si="146"/>
        <v>4.43459037322314E-2</v>
      </c>
      <c r="J238" s="340">
        <f t="shared" si="127"/>
        <v>1</v>
      </c>
      <c r="K238" s="338">
        <f t="shared" si="147"/>
        <v>1</v>
      </c>
      <c r="L238" s="339">
        <f t="shared" si="148"/>
        <v>0</v>
      </c>
      <c r="M238" s="731" t="str">
        <f t="shared" si="128"/>
        <v>0.991132638888889+0.208619735110178i</v>
      </c>
      <c r="N238" s="338">
        <f t="shared" si="149"/>
        <v>1.0128504834121834</v>
      </c>
      <c r="O238" s="339">
        <f t="shared" si="150"/>
        <v>0.20745780537870032</v>
      </c>
      <c r="P238" s="732" t="str">
        <f t="shared" si="142"/>
        <v>-0.0139326370123522-0.196557659806995i</v>
      </c>
      <c r="Q238" s="337">
        <f t="shared" si="151"/>
        <v>0.19705083608784904</v>
      </c>
      <c r="R238" s="339">
        <f t="shared" si="152"/>
        <v>-1.6415611731290758</v>
      </c>
      <c r="S238" s="731" t="str">
        <f t="shared" si="129"/>
        <v>6000</v>
      </c>
      <c r="T238" s="337" t="str">
        <f t="shared" si="130"/>
        <v>1+89637.4923885508i</v>
      </c>
      <c r="U238" s="346">
        <f t="shared" si="153"/>
        <v>89637.492394128829</v>
      </c>
      <c r="V238" s="347">
        <f t="shared" si="154"/>
        <v>1.5707851707487679</v>
      </c>
      <c r="W238" s="340" t="str">
        <f t="shared" si="131"/>
        <v>1+887.499924639117i</v>
      </c>
      <c r="X238" s="337">
        <f t="shared" si="155"/>
        <v>887.50048801926778</v>
      </c>
      <c r="Y238" s="339">
        <f t="shared" si="156"/>
        <v>1.5696695666126799</v>
      </c>
      <c r="Z238" s="337" t="str">
        <f t="shared" si="132"/>
        <v>1+8.94019155408348i</v>
      </c>
      <c r="AA238" s="346">
        <f t="shared" si="157"/>
        <v>8.9959449211133791</v>
      </c>
      <c r="AB238" s="347">
        <f t="shared" si="158"/>
        <v>1.4594049149822177</v>
      </c>
      <c r="AC238" s="732" t="str">
        <f t="shared" si="159"/>
        <v>0.726746635768602-6.56352767641086i</v>
      </c>
      <c r="AD238" s="337">
        <f t="shared" si="160"/>
        <v>6.6036396200589511</v>
      </c>
      <c r="AE238" s="339">
        <f t="shared" si="161"/>
        <v>-1.4605205191183055</v>
      </c>
      <c r="AF238" s="736" t="str">
        <f t="shared" si="133"/>
        <v>-1.30023713722987-0.051400369363323i</v>
      </c>
      <c r="AG238" s="337">
        <f t="shared" si="162"/>
        <v>2.2872329287212252</v>
      </c>
      <c r="AH238" s="730">
        <f t="shared" si="163"/>
        <v>-177.73618867057525</v>
      </c>
      <c r="AI238" s="360">
        <f t="shared" si="134"/>
        <v>2.2638113294247546</v>
      </c>
      <c r="AL238" s="337">
        <f t="shared" si="135"/>
        <v>16.395667290330142</v>
      </c>
      <c r="AM238" s="730">
        <f t="shared" si="136"/>
        <v>-83.681661637734962</v>
      </c>
      <c r="AN238" s="351"/>
      <c r="AO238" s="337">
        <f t="shared" si="137"/>
        <v>39.163496837130552</v>
      </c>
      <c r="AP238" s="730">
        <f t="shared" si="138"/>
        <v>-94.054527032840284</v>
      </c>
      <c r="AS238" s="351"/>
      <c r="AT238" s="351"/>
      <c r="AV238" s="405">
        <f t="shared" si="139"/>
        <v>0</v>
      </c>
      <c r="AW238" s="405">
        <f t="shared" si="164"/>
        <v>0</v>
      </c>
      <c r="AX238" s="405">
        <f t="shared" si="140"/>
        <v>0</v>
      </c>
      <c r="AY238" s="405">
        <f t="shared" si="141"/>
        <v>0</v>
      </c>
    </row>
    <row r="239" spans="2:51" ht="13.5" thickBot="1" x14ac:dyDescent="0.25">
      <c r="B239" s="345">
        <v>14207.25</v>
      </c>
      <c r="C239" s="728" t="str">
        <f t="shared" si="124"/>
        <v>2.16217503399043</v>
      </c>
      <c r="D239" s="728" t="str">
        <f t="shared" si="125"/>
        <v>1+10.8607921087436i</v>
      </c>
      <c r="E239" s="337">
        <f t="shared" si="143"/>
        <v>10.906732105876044</v>
      </c>
      <c r="F239" s="338">
        <f t="shared" si="144"/>
        <v>1.478980887869545</v>
      </c>
      <c r="G239" s="338" t="str">
        <f t="shared" si="126"/>
        <v>1+0.0446333922277136i</v>
      </c>
      <c r="H239" s="337">
        <f t="shared" si="145"/>
        <v>1.000995574266816</v>
      </c>
      <c r="I239" s="338">
        <f t="shared" si="146"/>
        <v>4.4603788953087364E-2</v>
      </c>
      <c r="J239" s="340">
        <f t="shared" si="127"/>
        <v>1</v>
      </c>
      <c r="K239" s="338">
        <f t="shared" si="147"/>
        <v>1</v>
      </c>
      <c r="L239" s="339">
        <f t="shared" si="148"/>
        <v>0</v>
      </c>
      <c r="M239" s="731" t="str">
        <f t="shared" si="128"/>
        <v>0.991029068775+0.209834529673917i</v>
      </c>
      <c r="N239" s="338">
        <f t="shared" si="149"/>
        <v>1.0130000715698484</v>
      </c>
      <c r="O239" s="339">
        <f t="shared" si="150"/>
        <v>0.20865235563623963</v>
      </c>
      <c r="P239" s="732" t="str">
        <f t="shared" si="142"/>
        <v>-0.0141376613432832-0.195382158949023i</v>
      </c>
      <c r="Q239" s="337">
        <f t="shared" si="151"/>
        <v>0.19589298482548745</v>
      </c>
      <c r="R239" s="339">
        <f t="shared" si="152"/>
        <v>-1.6430294545526967</v>
      </c>
      <c r="S239" s="731" t="str">
        <f t="shared" si="129"/>
        <v>6000</v>
      </c>
      <c r="T239" s="337" t="str">
        <f t="shared" si="130"/>
        <v>1+90159.4522999815i</v>
      </c>
      <c r="U239" s="346">
        <f t="shared" si="153"/>
        <v>90159.452305527229</v>
      </c>
      <c r="V239" s="347">
        <f t="shared" si="154"/>
        <v>1.5707852353344403</v>
      </c>
      <c r="W239" s="340" t="str">
        <f t="shared" si="131"/>
        <v>1+892.667844554272i</v>
      </c>
      <c r="X239" s="337">
        <f t="shared" si="155"/>
        <v>892.66840467284931</v>
      </c>
      <c r="Y239" s="339">
        <f t="shared" si="156"/>
        <v>1.5696760897573578</v>
      </c>
      <c r="Z239" s="337" t="str">
        <f t="shared" si="132"/>
        <v>1+8.99225036861965i</v>
      </c>
      <c r="AA239" s="346">
        <f t="shared" si="157"/>
        <v>9.0476829460332127</v>
      </c>
      <c r="AB239" s="347">
        <f t="shared" si="158"/>
        <v>1.4600445174677434</v>
      </c>
      <c r="AC239" s="732" t="str">
        <f t="shared" si="159"/>
        <v>0.718458783598836-6.52645112574684i</v>
      </c>
      <c r="AD239" s="337">
        <f t="shared" si="160"/>
        <v>6.5658774981332479</v>
      </c>
      <c r="AE239" s="339">
        <f t="shared" si="161"/>
        <v>-1.461153663044825</v>
      </c>
      <c r="AF239" s="736" t="str">
        <f t="shared" si="133"/>
        <v>-1.28530943819533-0.0481052724661313i</v>
      </c>
      <c r="AG239" s="337">
        <f t="shared" si="162"/>
        <v>2.1862331865218834</v>
      </c>
      <c r="AH239" s="730">
        <f t="shared" si="163"/>
        <v>-177.8565914741001</v>
      </c>
      <c r="AI239" s="360">
        <f t="shared" si="134"/>
        <v>2.1434085258999005</v>
      </c>
      <c r="AL239" s="337">
        <f t="shared" si="135"/>
        <v>16.345855513705438</v>
      </c>
      <c r="AM239" s="730">
        <f t="shared" si="136"/>
        <v>-83.717938112548879</v>
      </c>
      <c r="AN239" s="351"/>
      <c r="AO239" s="337">
        <f t="shared" si="137"/>
        <v>39.112308871555861</v>
      </c>
      <c r="AP239" s="730">
        <f t="shared" si="138"/>
        <v>-94.138653361551221</v>
      </c>
      <c r="AS239" s="351"/>
      <c r="AT239" s="351"/>
      <c r="AV239" s="405">
        <f t="shared" si="139"/>
        <v>0</v>
      </c>
      <c r="AW239" s="405">
        <f t="shared" si="164"/>
        <v>0</v>
      </c>
      <c r="AX239" s="405">
        <f t="shared" si="140"/>
        <v>0</v>
      </c>
      <c r="AY239" s="405">
        <f t="shared" si="141"/>
        <v>0</v>
      </c>
    </row>
    <row r="240" spans="2:51" ht="13.5" thickBot="1" x14ac:dyDescent="0.25">
      <c r="B240" s="345">
        <v>14289.5</v>
      </c>
      <c r="C240" s="728" t="str">
        <f t="shared" si="124"/>
        <v>2.16217503399043</v>
      </c>
      <c r="D240" s="728" t="str">
        <f t="shared" si="125"/>
        <v>1+10.9236684677114i</v>
      </c>
      <c r="E240" s="337">
        <f t="shared" si="143"/>
        <v>10.969345139636747</v>
      </c>
      <c r="F240" s="338">
        <f t="shared" si="144"/>
        <v>1.4795064354697944</v>
      </c>
      <c r="G240" s="338" t="str">
        <f t="shared" si="126"/>
        <v>1+0.0448917882234713i</v>
      </c>
      <c r="H240" s="337">
        <f t="shared" si="145"/>
        <v>1.0010071291703675</v>
      </c>
      <c r="I240" s="338">
        <f t="shared" si="146"/>
        <v>4.4861668237411625E-2</v>
      </c>
      <c r="J240" s="340">
        <f t="shared" si="127"/>
        <v>1</v>
      </c>
      <c r="K240" s="338">
        <f t="shared" si="147"/>
        <v>1</v>
      </c>
      <c r="L240" s="339">
        <f t="shared" si="148"/>
        <v>0</v>
      </c>
      <c r="M240" s="731" t="str">
        <f t="shared" si="128"/>
        <v>0.990924897322222+0.211049324237656i</v>
      </c>
      <c r="N240" s="338">
        <f t="shared" si="149"/>
        <v>1.0131505166529935</v>
      </c>
      <c r="O240" s="339">
        <f t="shared" si="150"/>
        <v>0.20984667508649094</v>
      </c>
      <c r="P240" s="732" t="str">
        <f t="shared" si="142"/>
        <v>-0.0143390002857537-0.194219556527233i</v>
      </c>
      <c r="Q240" s="337">
        <f t="shared" si="151"/>
        <v>0.19474815292276815</v>
      </c>
      <c r="R240" s="339">
        <f t="shared" si="152"/>
        <v>-1.644491442318873</v>
      </c>
      <c r="S240" s="731" t="str">
        <f t="shared" si="129"/>
        <v>6000</v>
      </c>
      <c r="T240" s="337" t="str">
        <f t="shared" si="130"/>
        <v>1+90681.4122114121i</v>
      </c>
      <c r="U240" s="346">
        <f t="shared" si="153"/>
        <v>90681.412216925921</v>
      </c>
      <c r="V240" s="347">
        <f t="shared" si="154"/>
        <v>1.5707852991766056</v>
      </c>
      <c r="W240" s="340" t="str">
        <f t="shared" si="131"/>
        <v>1+897.835764469427i</v>
      </c>
      <c r="X240" s="337">
        <f t="shared" si="155"/>
        <v>897.83632136397807</v>
      </c>
      <c r="Y240" s="339">
        <f t="shared" si="156"/>
        <v>1.5696825378080186</v>
      </c>
      <c r="Z240" s="337" t="str">
        <f t="shared" si="132"/>
        <v>1+9.04430918315581i</v>
      </c>
      <c r="AA240" s="346">
        <f t="shared" si="157"/>
        <v>9.0994246301904447</v>
      </c>
      <c r="AB240" s="347">
        <f t="shared" si="158"/>
        <v>1.4606768463188702</v>
      </c>
      <c r="AC240" s="732" t="str">
        <f t="shared" si="159"/>
        <v>0.71031132852906-6.48978587521878i</v>
      </c>
      <c r="AD240" s="337">
        <f t="shared" si="160"/>
        <v>6.5285421718501517</v>
      </c>
      <c r="AE240" s="339">
        <f t="shared" si="161"/>
        <v>-1.461779607687457</v>
      </c>
      <c r="AF240" s="736" t="str">
        <f t="shared" si="133"/>
        <v>-1.27062848898444-0.0448993097039413i</v>
      </c>
      <c r="AG240" s="337">
        <f t="shared" si="162"/>
        <v>2.0857912231167823</v>
      </c>
      <c r="AH240" s="730">
        <f t="shared" si="163"/>
        <v>-177.9762211890334</v>
      </c>
      <c r="AI240" s="360">
        <f t="shared" si="134"/>
        <v>2.0237788109666042</v>
      </c>
      <c r="AL240" s="337">
        <f t="shared" si="135"/>
        <v>16.296324276635914</v>
      </c>
      <c r="AM240" s="730">
        <f t="shared" si="136"/>
        <v>-83.753802098780511</v>
      </c>
      <c r="AN240" s="351"/>
      <c r="AO240" s="337">
        <f t="shared" si="137"/>
        <v>39.061398145220338</v>
      </c>
      <c r="AP240" s="730">
        <f t="shared" si="138"/>
        <v>-94.222419090252885</v>
      </c>
      <c r="AS240" s="351"/>
      <c r="AT240" s="351"/>
      <c r="AV240" s="405">
        <f t="shared" si="139"/>
        <v>0</v>
      </c>
      <c r="AW240" s="405">
        <f t="shared" si="164"/>
        <v>0</v>
      </c>
      <c r="AX240" s="405">
        <f t="shared" si="140"/>
        <v>0</v>
      </c>
      <c r="AY240" s="405">
        <f t="shared" si="141"/>
        <v>0</v>
      </c>
    </row>
    <row r="241" spans="2:51" ht="13.5" thickBot="1" x14ac:dyDescent="0.25">
      <c r="B241" s="345">
        <v>14371.75</v>
      </c>
      <c r="C241" s="728" t="str">
        <f t="shared" si="124"/>
        <v>2.16217503399043</v>
      </c>
      <c r="D241" s="728" t="str">
        <f t="shared" si="125"/>
        <v>1+10.9865448266791i</v>
      </c>
      <c r="E241" s="337">
        <f t="shared" si="143"/>
        <v>11.031961168741908</v>
      </c>
      <c r="F241" s="338">
        <f t="shared" si="144"/>
        <v>1.4800260173275588</v>
      </c>
      <c r="G241" s="338" t="str">
        <f t="shared" si="126"/>
        <v>1+0.0451501842192291i</v>
      </c>
      <c r="H241" s="337">
        <f t="shared" si="145"/>
        <v>1.0010187506410808</v>
      </c>
      <c r="I241" s="338">
        <f t="shared" si="146"/>
        <v>4.5119541551111628E-2</v>
      </c>
      <c r="J241" s="340">
        <f t="shared" si="127"/>
        <v>1</v>
      </c>
      <c r="K241" s="338">
        <f t="shared" si="147"/>
        <v>1</v>
      </c>
      <c r="L241" s="339">
        <f t="shared" si="148"/>
        <v>0</v>
      </c>
      <c r="M241" s="731" t="str">
        <f t="shared" si="128"/>
        <v>0.990820124530556+0.212264118801395i</v>
      </c>
      <c r="N241" s="338">
        <f t="shared" si="149"/>
        <v>1.0133018184653964</v>
      </c>
      <c r="O241" s="339">
        <f t="shared" si="150"/>
        <v>0.21104076250577586</v>
      </c>
      <c r="P241" s="732" t="str">
        <f t="shared" si="142"/>
        <v>-0.0145367358413055-0.193069639035207i</v>
      </c>
      <c r="Q241" s="337">
        <f t="shared" si="151"/>
        <v>0.19361612072889234</v>
      </c>
      <c r="R241" s="339">
        <f t="shared" si="152"/>
        <v>-1.6459472382822231</v>
      </c>
      <c r="S241" s="731" t="str">
        <f t="shared" si="129"/>
        <v>6000</v>
      </c>
      <c r="T241" s="337" t="str">
        <f t="shared" si="130"/>
        <v>1+91203.3721228428i</v>
      </c>
      <c r="U241" s="346">
        <f t="shared" si="153"/>
        <v>91203.372128325049</v>
      </c>
      <c r="V241" s="347">
        <f t="shared" si="154"/>
        <v>1.5707853622880292</v>
      </c>
      <c r="W241" s="340" t="str">
        <f t="shared" si="131"/>
        <v>1+903.003684384582i</v>
      </c>
      <c r="X241" s="337">
        <f t="shared" si="155"/>
        <v>903.00423809200913</v>
      </c>
      <c r="Y241" s="339">
        <f t="shared" si="156"/>
        <v>1.5696889120539563</v>
      </c>
      <c r="Z241" s="337" t="str">
        <f t="shared" si="132"/>
        <v>1+9.09636799769198i</v>
      </c>
      <c r="AA241" s="346">
        <f t="shared" si="157"/>
        <v>9.1511699115159484</v>
      </c>
      <c r="AB241" s="347">
        <f t="shared" si="158"/>
        <v>1.4613020244118757</v>
      </c>
      <c r="AC241" s="732" t="str">
        <f t="shared" si="159"/>
        <v>0.702301130043222-6.45352520842296i</v>
      </c>
      <c r="AD241" s="337">
        <f t="shared" si="160"/>
        <v>6.4916264905654106</v>
      </c>
      <c r="AE241" s="339">
        <f t="shared" si="161"/>
        <v>-1.4623984746459491</v>
      </c>
      <c r="AF241" s="736" t="str">
        <f t="shared" si="133"/>
        <v>-1.25618894850332-0.0417798344714123i</v>
      </c>
      <c r="AG241" s="337">
        <f t="shared" si="162"/>
        <v>1.9859007644371909</v>
      </c>
      <c r="AH241" s="730">
        <f t="shared" si="163"/>
        <v>-178.09509061836724</v>
      </c>
      <c r="AI241" s="360">
        <f t="shared" si="134"/>
        <v>1.9049093816327627</v>
      </c>
      <c r="AL241" s="337">
        <f t="shared" si="135"/>
        <v>16.247070476463652</v>
      </c>
      <c r="AM241" s="730">
        <f t="shared" si="136"/>
        <v>-83.789260563582204</v>
      </c>
      <c r="AN241" s="351"/>
      <c r="AO241" s="337">
        <f t="shared" si="137"/>
        <v>39.010761486712966</v>
      </c>
      <c r="AP241" s="730">
        <f t="shared" si="138"/>
        <v>-94.305830054785034</v>
      </c>
      <c r="AS241" s="351"/>
      <c r="AT241" s="351"/>
      <c r="AV241" s="405">
        <f t="shared" si="139"/>
        <v>0</v>
      </c>
      <c r="AW241" s="405">
        <f t="shared" si="164"/>
        <v>0</v>
      </c>
      <c r="AX241" s="405">
        <f t="shared" si="140"/>
        <v>0</v>
      </c>
      <c r="AY241" s="405">
        <f t="shared" si="141"/>
        <v>0</v>
      </c>
    </row>
    <row r="242" spans="2:51" ht="13.5" thickBot="1" x14ac:dyDescent="0.25">
      <c r="B242" s="345">
        <v>14454</v>
      </c>
      <c r="C242" s="728" t="str">
        <f t="shared" si="124"/>
        <v>2.16217503399043</v>
      </c>
      <c r="D242" s="728" t="str">
        <f t="shared" si="125"/>
        <v>1+11.0494211856468i</v>
      </c>
      <c r="E242" s="337">
        <f t="shared" si="143"/>
        <v>11.094580142475889</v>
      </c>
      <c r="F242" s="338">
        <f t="shared" si="144"/>
        <v>1.4805397341737272</v>
      </c>
      <c r="G242" s="338" t="str">
        <f t="shared" si="126"/>
        <v>1+0.0454085802149868i</v>
      </c>
      <c r="H242" s="337">
        <f t="shared" si="145"/>
        <v>1.0010304386766373</v>
      </c>
      <c r="I242" s="338">
        <f t="shared" si="146"/>
        <v>4.5377408860099257E-2</v>
      </c>
      <c r="J242" s="340">
        <f t="shared" si="127"/>
        <v>1</v>
      </c>
      <c r="K242" s="338">
        <f t="shared" si="147"/>
        <v>1</v>
      </c>
      <c r="L242" s="339">
        <f t="shared" si="148"/>
        <v>0</v>
      </c>
      <c r="M242" s="731" t="str">
        <f t="shared" si="128"/>
        <v>0.9907147504+0.213478913365134i</v>
      </c>
      <c r="N242" s="338">
        <f t="shared" si="149"/>
        <v>1.0134539768098463</v>
      </c>
      <c r="O242" s="339">
        <f t="shared" si="150"/>
        <v>0.21223461667227875</v>
      </c>
      <c r="P242" s="732" t="str">
        <f t="shared" si="142"/>
        <v>-0.0147309477256817-0.191932197621603i</v>
      </c>
      <c r="Q242" s="337">
        <f t="shared" si="151"/>
        <v>0.19249667349010174</v>
      </c>
      <c r="R242" s="339">
        <f t="shared" si="152"/>
        <v>-1.6473969419859062</v>
      </c>
      <c r="S242" s="731" t="str">
        <f t="shared" si="129"/>
        <v>6000</v>
      </c>
      <c r="T242" s="337" t="str">
        <f t="shared" si="130"/>
        <v>1+91725.3320342734i</v>
      </c>
      <c r="U242" s="346">
        <f t="shared" si="153"/>
        <v>91725.332039724453</v>
      </c>
      <c r="V242" s="347">
        <f t="shared" si="154"/>
        <v>1.5707854246811863</v>
      </c>
      <c r="W242" s="340" t="str">
        <f t="shared" si="131"/>
        <v>1+908.171604299737i</v>
      </c>
      <c r="X242" s="337">
        <f t="shared" si="155"/>
        <v>908.17215485631243</v>
      </c>
      <c r="Y242" s="339">
        <f t="shared" si="156"/>
        <v>1.5696952137551192</v>
      </c>
      <c r="Z242" s="337" t="str">
        <f t="shared" si="132"/>
        <v>1+9.14842681222814i</v>
      </c>
      <c r="AA242" s="346">
        <f t="shared" si="157"/>
        <v>9.2029187293322714</v>
      </c>
      <c r="AB242" s="347">
        <f t="shared" si="158"/>
        <v>1.4619201718819093</v>
      </c>
      <c r="AC242" s="732" t="str">
        <f t="shared" si="159"/>
        <v>0.694425134592318-6.41766255232722i</v>
      </c>
      <c r="AD242" s="337">
        <f t="shared" si="160"/>
        <v>6.4551234614913993</v>
      </c>
      <c r="AE242" s="339">
        <f t="shared" si="161"/>
        <v>-1.4630103828079759</v>
      </c>
      <c r="AF242" s="736" t="str">
        <f t="shared" si="133"/>
        <v>-1.24198561761911-0.0387442905865838i</v>
      </c>
      <c r="AG242" s="337">
        <f t="shared" si="162"/>
        <v>1.8865556395010548</v>
      </c>
      <c r="AH242" s="730">
        <f t="shared" si="163"/>
        <v>-178.21321227726651</v>
      </c>
      <c r="AI242" s="360">
        <f t="shared" si="134"/>
        <v>1.786787722733493</v>
      </c>
      <c r="AL242" s="337">
        <f t="shared" si="135"/>
        <v>16.198091061039271</v>
      </c>
      <c r="AM242" s="730">
        <f t="shared" si="136"/>
        <v>-83.824320318715948</v>
      </c>
      <c r="AN242" s="351"/>
      <c r="AO242" s="337">
        <f t="shared" si="137"/>
        <v>38.960395777201207</v>
      </c>
      <c r="AP242" s="730">
        <f t="shared" si="138"/>
        <v>-94.388891958550545</v>
      </c>
      <c r="AS242" s="351"/>
      <c r="AT242" s="351"/>
      <c r="AV242" s="405">
        <f t="shared" si="139"/>
        <v>0</v>
      </c>
      <c r="AW242" s="405">
        <f t="shared" si="164"/>
        <v>0</v>
      </c>
      <c r="AX242" s="405">
        <f t="shared" si="140"/>
        <v>0</v>
      </c>
      <c r="AY242" s="405">
        <f t="shared" si="141"/>
        <v>0</v>
      </c>
    </row>
    <row r="243" spans="2:51" ht="13.5" thickBot="1" x14ac:dyDescent="0.25">
      <c r="B243" s="345">
        <v>14622.5</v>
      </c>
      <c r="C243" s="728" t="str">
        <f t="shared" si="124"/>
        <v>2.16217503399043</v>
      </c>
      <c r="D243" s="728" t="str">
        <f t="shared" si="125"/>
        <v>1+11.1782317204317i</v>
      </c>
      <c r="E243" s="337">
        <f t="shared" si="143"/>
        <v>11.222872377233266</v>
      </c>
      <c r="F243" s="338">
        <f t="shared" si="144"/>
        <v>1.481574248632257</v>
      </c>
      <c r="G243" s="338" t="str">
        <f t="shared" si="126"/>
        <v>1+0.0459379385771167i</v>
      </c>
      <c r="H243" s="337">
        <f t="shared" si="145"/>
        <v>1.0010545910192485</v>
      </c>
      <c r="I243" s="338">
        <f t="shared" si="146"/>
        <v>4.5905665242553038E-2</v>
      </c>
      <c r="J243" s="340">
        <f t="shared" si="127"/>
        <v>1</v>
      </c>
      <c r="K243" s="338">
        <f t="shared" si="147"/>
        <v>1</v>
      </c>
      <c r="L243" s="339">
        <f t="shared" si="148"/>
        <v>0</v>
      </c>
      <c r="M243" s="731" t="str">
        <f t="shared" si="128"/>
        <v>0.990496999722222+0.215967580647687i</v>
      </c>
      <c r="N243" s="338">
        <f t="shared" si="149"/>
        <v>1.0137683672069959</v>
      </c>
      <c r="O243" s="339">
        <f t="shared" si="150"/>
        <v>0.21467965125004923</v>
      </c>
      <c r="P243" s="732" t="str">
        <f t="shared" si="142"/>
        <v>-0.0151181371323339-0.189640102130236i</v>
      </c>
      <c r="Q243" s="337">
        <f t="shared" si="151"/>
        <v>0.19024175778813227</v>
      </c>
      <c r="R243" s="339">
        <f t="shared" si="152"/>
        <v>-1.650348234639752</v>
      </c>
      <c r="S243" s="731" t="str">
        <f t="shared" si="129"/>
        <v>6000</v>
      </c>
      <c r="T243" s="337" t="str">
        <f t="shared" si="130"/>
        <v>1+92794.6359257758i</v>
      </c>
      <c r="U243" s="346">
        <f t="shared" si="153"/>
        <v>92794.635931164055</v>
      </c>
      <c r="V243" s="347">
        <f t="shared" si="154"/>
        <v>1.57078555030992</v>
      </c>
      <c r="W243" s="340" t="str">
        <f t="shared" si="131"/>
        <v>1+918.758771542335i</v>
      </c>
      <c r="X243" s="337">
        <f t="shared" si="155"/>
        <v>918.75931575466518</v>
      </c>
      <c r="Y243" s="339">
        <f t="shared" si="156"/>
        <v>1.5697079022420275</v>
      </c>
      <c r="Z243" s="337" t="str">
        <f t="shared" si="132"/>
        <v>1+9.25507617696181i</v>
      </c>
      <c r="AA243" s="346">
        <f t="shared" si="157"/>
        <v>9.3089438198630265</v>
      </c>
      <c r="AB243" s="347">
        <f t="shared" si="158"/>
        <v>1.4631650659253563</v>
      </c>
      <c r="AC243" s="732" t="str">
        <f t="shared" si="159"/>
        <v>0.678696776542974-6.3454090905918i</v>
      </c>
      <c r="AD243" s="337">
        <f t="shared" si="160"/>
        <v>6.3816021375086427</v>
      </c>
      <c r="AE243" s="339">
        <f t="shared" si="161"/>
        <v>-1.4642427139932481</v>
      </c>
      <c r="AF243" s="736" t="str">
        <f t="shared" si="133"/>
        <v>-1.21360465893701-0.0327773612267466i</v>
      </c>
      <c r="AG243" s="337">
        <f t="shared" si="162"/>
        <v>1.684711491586852</v>
      </c>
      <c r="AH243" s="730">
        <f t="shared" si="163"/>
        <v>-178.45291626631831</v>
      </c>
      <c r="AI243" s="360">
        <f t="shared" si="134"/>
        <v>1.5470837336816885</v>
      </c>
      <c r="AL243" s="337">
        <f t="shared" si="135"/>
        <v>16.098594490190443</v>
      </c>
      <c r="AM243" s="730">
        <f t="shared" si="136"/>
        <v>-83.894927694594401</v>
      </c>
      <c r="AN243" s="351"/>
      <c r="AO243" s="337">
        <f t="shared" si="137"/>
        <v>38.858048200135819</v>
      </c>
      <c r="AP243" s="730">
        <f t="shared" si="138"/>
        <v>-94.557988571723882</v>
      </c>
      <c r="AS243" s="351"/>
      <c r="AT243" s="351"/>
      <c r="AV243" s="405">
        <f t="shared" si="139"/>
        <v>0</v>
      </c>
      <c r="AW243" s="405">
        <f t="shared" si="164"/>
        <v>0</v>
      </c>
      <c r="AX243" s="405">
        <f t="shared" si="140"/>
        <v>0</v>
      </c>
      <c r="AY243" s="405">
        <f t="shared" si="141"/>
        <v>0</v>
      </c>
    </row>
    <row r="244" spans="2:51" ht="13.5" thickBot="1" x14ac:dyDescent="0.25">
      <c r="B244" s="345">
        <v>14706.75</v>
      </c>
      <c r="C244" s="728" t="str">
        <f t="shared" si="124"/>
        <v>2.16217503399043</v>
      </c>
      <c r="D244" s="728" t="str">
        <f t="shared" si="125"/>
        <v>1+11.2426369878242i</v>
      </c>
      <c r="E244" s="337">
        <f t="shared" si="143"/>
        <v>11.287022921922008</v>
      </c>
      <c r="F244" s="338">
        <f t="shared" si="144"/>
        <v>1.4820826866010364</v>
      </c>
      <c r="G244" s="338" t="str">
        <f t="shared" si="126"/>
        <v>1+0.0462026177581817i</v>
      </c>
      <c r="H244" s="337">
        <f t="shared" si="145"/>
        <v>1.0010667719426656</v>
      </c>
      <c r="I244" s="338">
        <f t="shared" si="146"/>
        <v>4.6169783838153497E-2</v>
      </c>
      <c r="J244" s="340">
        <f t="shared" si="127"/>
        <v>1</v>
      </c>
      <c r="K244" s="338">
        <f t="shared" si="147"/>
        <v>1</v>
      </c>
      <c r="L244" s="339">
        <f t="shared" si="148"/>
        <v>0</v>
      </c>
      <c r="M244" s="731" t="str">
        <f t="shared" si="128"/>
        <v>0.990387177975+0.217211914288964i</v>
      </c>
      <c r="N244" s="338">
        <f t="shared" si="149"/>
        <v>1.0139269095977088</v>
      </c>
      <c r="O244" s="339">
        <f t="shared" si="150"/>
        <v>0.21590179624689185</v>
      </c>
      <c r="P244" s="732" t="str">
        <f t="shared" si="142"/>
        <v>-0.0153065082891271-0.188512835867906i</v>
      </c>
      <c r="Q244" s="337">
        <f t="shared" si="151"/>
        <v>0.18913322945205896</v>
      </c>
      <c r="R244" s="339">
        <f t="shared" si="152"/>
        <v>-1.6518146990097751</v>
      </c>
      <c r="S244" s="731" t="str">
        <f t="shared" si="129"/>
        <v>6000</v>
      </c>
      <c r="T244" s="337" t="str">
        <f t="shared" si="130"/>
        <v>1+93329.287871527i</v>
      </c>
      <c r="U244" s="346">
        <f t="shared" si="153"/>
        <v>93329.28787688438</v>
      </c>
      <c r="V244" s="347">
        <f t="shared" si="154"/>
        <v>1.5707856120447601</v>
      </c>
      <c r="W244" s="340" t="str">
        <f t="shared" si="131"/>
        <v>1+924.052355163634i</v>
      </c>
      <c r="X244" s="337">
        <f t="shared" si="155"/>
        <v>924.05289625835746</v>
      </c>
      <c r="Y244" s="339">
        <f t="shared" si="156"/>
        <v>1.5697141374535308</v>
      </c>
      <c r="Z244" s="337" t="str">
        <f t="shared" si="132"/>
        <v>1+9.30840085932865i</v>
      </c>
      <c r="AA244" s="346">
        <f t="shared" si="157"/>
        <v>9.3619616832131047</v>
      </c>
      <c r="AB244" s="347">
        <f t="shared" si="158"/>
        <v>1.4637769385676418</v>
      </c>
      <c r="AC244" s="732" t="str">
        <f t="shared" si="159"/>
        <v>0.671031467388558-6.30988186868028i</v>
      </c>
      <c r="AD244" s="337">
        <f t="shared" si="160"/>
        <v>6.3454623493427</v>
      </c>
      <c r="AE244" s="339">
        <f t="shared" si="161"/>
        <v>-1.4648484131588704</v>
      </c>
      <c r="AF244" s="736" t="str">
        <f t="shared" si="133"/>
        <v>-1.19976487377425-0.0299157857476518i</v>
      </c>
      <c r="AG244" s="337">
        <f t="shared" si="162"/>
        <v>1.5846221956257367</v>
      </c>
      <c r="AH244" s="730">
        <f t="shared" si="163"/>
        <v>-178.57164249137168</v>
      </c>
      <c r="AI244" s="360">
        <f t="shared" si="134"/>
        <v>1.4283575086283236</v>
      </c>
      <c r="AL244" s="337">
        <f t="shared" si="135"/>
        <v>16.049265431538913</v>
      </c>
      <c r="AM244" s="730">
        <f t="shared" si="136"/>
        <v>-83.92963170043916</v>
      </c>
      <c r="AN244" s="351"/>
      <c r="AO244" s="337">
        <f t="shared" si="137"/>
        <v>38.807287962826258</v>
      </c>
      <c r="AP244" s="730">
        <f t="shared" si="138"/>
        <v>-94.642010790932503</v>
      </c>
      <c r="AS244" s="351"/>
      <c r="AT244" s="351"/>
      <c r="AV244" s="405">
        <f t="shared" si="139"/>
        <v>0</v>
      </c>
      <c r="AW244" s="405">
        <f t="shared" si="164"/>
        <v>0</v>
      </c>
      <c r="AX244" s="405">
        <f t="shared" si="140"/>
        <v>0</v>
      </c>
      <c r="AY244" s="405">
        <f t="shared" si="141"/>
        <v>0</v>
      </c>
    </row>
    <row r="245" spans="2:51" ht="13.5" thickBot="1" x14ac:dyDescent="0.25">
      <c r="B245" s="345">
        <v>14791</v>
      </c>
      <c r="C245" s="728" t="str">
        <f t="shared" si="124"/>
        <v>2.16217503399043</v>
      </c>
      <c r="D245" s="728" t="str">
        <f t="shared" si="125"/>
        <v>1+11.3070422552167i</v>
      </c>
      <c r="E245" s="337">
        <f t="shared" si="143"/>
        <v>11.351176351429659</v>
      </c>
      <c r="F245" s="338">
        <f t="shared" si="144"/>
        <v>1.4825853776220519</v>
      </c>
      <c r="G245" s="338" t="str">
        <f t="shared" si="126"/>
        <v>1+0.0464672969392467i</v>
      </c>
      <c r="H245" s="337">
        <f t="shared" si="145"/>
        <v>1.0010790226974293</v>
      </c>
      <c r="I245" s="338">
        <f t="shared" si="146"/>
        <v>4.6433895987848549E-2</v>
      </c>
      <c r="J245" s="340">
        <f t="shared" si="127"/>
        <v>1</v>
      </c>
      <c r="K245" s="338">
        <f t="shared" si="147"/>
        <v>1</v>
      </c>
      <c r="L245" s="339">
        <f t="shared" si="148"/>
        <v>0</v>
      </c>
      <c r="M245" s="731" t="str">
        <f t="shared" si="128"/>
        <v>0.990276725288889+0.218456247930241i</v>
      </c>
      <c r="N245" s="338">
        <f t="shared" si="149"/>
        <v>1.0140863498285757</v>
      </c>
      <c r="O245" s="339">
        <f t="shared" si="150"/>
        <v>0.21712369130846057</v>
      </c>
      <c r="P245" s="732" t="str">
        <f t="shared" si="142"/>
        <v>-0.0154914998195858-0.187397815089547i</v>
      </c>
      <c r="Q245" s="337">
        <f t="shared" si="151"/>
        <v>0.18803703801909952</v>
      </c>
      <c r="R245" s="339">
        <f t="shared" si="152"/>
        <v>-1.653275172942664</v>
      </c>
      <c r="S245" s="731" t="str">
        <f t="shared" si="129"/>
        <v>6000</v>
      </c>
      <c r="T245" s="337" t="str">
        <f t="shared" si="130"/>
        <v>1+93863.9398172782i</v>
      </c>
      <c r="U245" s="346">
        <f t="shared" si="153"/>
        <v>93863.939822605054</v>
      </c>
      <c r="V245" s="347">
        <f t="shared" si="154"/>
        <v>1.570785673076313</v>
      </c>
      <c r="W245" s="340" t="str">
        <f t="shared" si="131"/>
        <v>1+929.345938784933i</v>
      </c>
      <c r="X245" s="337">
        <f t="shared" si="155"/>
        <v>929.34647679756574</v>
      </c>
      <c r="Y245" s="339">
        <f t="shared" si="156"/>
        <v>1.5697203016331962</v>
      </c>
      <c r="Z245" s="337" t="str">
        <f t="shared" si="132"/>
        <v>1+9.36172554169549i</v>
      </c>
      <c r="AA245" s="346">
        <f t="shared" si="157"/>
        <v>9.4149830120948028</v>
      </c>
      <c r="AB245" s="347">
        <f t="shared" si="158"/>
        <v>1.4643819198019858</v>
      </c>
      <c r="AC245" s="732" t="str">
        <f t="shared" si="159"/>
        <v>0.663494800064766-6.27474563387208i</v>
      </c>
      <c r="AD245" s="337">
        <f t="shared" si="160"/>
        <v>6.3097272618956932</v>
      </c>
      <c r="AE245" s="339">
        <f t="shared" si="161"/>
        <v>-1.4654472912451031</v>
      </c>
      <c r="AF245" s="736" t="str">
        <f t="shared" si="133"/>
        <v>-1.1861521516058-0.0271322550003368i</v>
      </c>
      <c r="AG245" s="337">
        <f t="shared" si="162"/>
        <v>1.4850797754960021</v>
      </c>
      <c r="AH245" s="730">
        <f t="shared" si="163"/>
        <v>-178.6896346705991</v>
      </c>
      <c r="AI245" s="360">
        <f t="shared" si="134"/>
        <v>1.310365329400895</v>
      </c>
      <c r="AL245" s="337">
        <f t="shared" si="135"/>
        <v>16.000211745219801</v>
      </c>
      <c r="AM245" s="730">
        <f t="shared" si="136"/>
        <v>-83.963944887223164</v>
      </c>
      <c r="AN245" s="351"/>
      <c r="AO245" s="337">
        <f t="shared" si="137"/>
        <v>38.756799229015648</v>
      </c>
      <c r="AP245" s="730">
        <f t="shared" si="138"/>
        <v>-94.725689783375927</v>
      </c>
      <c r="AS245" s="351"/>
      <c r="AT245" s="351"/>
      <c r="AV245" s="405">
        <f t="shared" si="139"/>
        <v>0</v>
      </c>
      <c r="AW245" s="405">
        <f t="shared" si="164"/>
        <v>0</v>
      </c>
      <c r="AX245" s="405">
        <f t="shared" si="140"/>
        <v>0</v>
      </c>
      <c r="AY245" s="405">
        <f t="shared" si="141"/>
        <v>0</v>
      </c>
    </row>
    <row r="246" spans="2:51" ht="13.5" thickBot="1" x14ac:dyDescent="0.25">
      <c r="B246" s="345">
        <v>14877.25</v>
      </c>
      <c r="C246" s="728" t="str">
        <f t="shared" si="124"/>
        <v>2.16217503399043</v>
      </c>
      <c r="D246" s="728" t="str">
        <f t="shared" si="125"/>
        <v>1+11.3729764310339i</v>
      </c>
      <c r="E246" s="337">
        <f t="shared" si="143"/>
        <v>11.41685564859487</v>
      </c>
      <c r="F246" s="338">
        <f t="shared" si="144"/>
        <v>1.4830941496426022</v>
      </c>
      <c r="G246" s="338" t="str">
        <f t="shared" si="126"/>
        <v>1+0.0467382593056187i</v>
      </c>
      <c r="H246" s="337">
        <f t="shared" si="145"/>
        <v>1.0010916366062197</v>
      </c>
      <c r="I246" s="338">
        <f t="shared" si="146"/>
        <v>4.6704271146692795E-2</v>
      </c>
      <c r="J246" s="340">
        <f t="shared" si="127"/>
        <v>1</v>
      </c>
      <c r="K246" s="338">
        <f t="shared" si="147"/>
        <v>1</v>
      </c>
      <c r="L246" s="339">
        <f t="shared" si="148"/>
        <v>0</v>
      </c>
      <c r="M246" s="731" t="str">
        <f t="shared" si="128"/>
        <v>0.990162996997222+0.219730120649055i</v>
      </c>
      <c r="N246" s="338">
        <f t="shared" si="149"/>
        <v>1.0142505048275643</v>
      </c>
      <c r="O246" s="339">
        <f t="shared" si="150"/>
        <v>0.21837433251527544</v>
      </c>
      <c r="P246" s="732" t="str">
        <f t="shared" si="142"/>
        <v>-0.0156774595654212-0.186268800106211i</v>
      </c>
      <c r="Q246" s="337">
        <f t="shared" si="151"/>
        <v>0.18692738866049835</v>
      </c>
      <c r="R246" s="339">
        <f t="shared" si="152"/>
        <v>-1.6547642110111846</v>
      </c>
      <c r="S246" s="731" t="str">
        <f t="shared" si="129"/>
        <v>6000</v>
      </c>
      <c r="T246" s="337" t="str">
        <f t="shared" si="130"/>
        <v>1+94411.2837973499i</v>
      </c>
      <c r="U246" s="346">
        <f t="shared" si="153"/>
        <v>94411.283802645863</v>
      </c>
      <c r="V246" s="347">
        <f t="shared" si="154"/>
        <v>1.5707857348406329</v>
      </c>
      <c r="W246" s="340" t="str">
        <f t="shared" si="131"/>
        <v>1+934.765186112375i</v>
      </c>
      <c r="X246" s="337">
        <f t="shared" si="155"/>
        <v>934.76572100591227</v>
      </c>
      <c r="Y246" s="339">
        <f t="shared" si="156"/>
        <v>1.5697265398223228</v>
      </c>
      <c r="Z246" s="337" t="str">
        <f t="shared" si="132"/>
        <v>1+9.41631609189298i</v>
      </c>
      <c r="AA246" s="346">
        <f t="shared" si="157"/>
        <v>9.4692665366670656</v>
      </c>
      <c r="AB246" s="347">
        <f t="shared" si="158"/>
        <v>1.4649942442741113</v>
      </c>
      <c r="AC246" s="732" t="str">
        <f t="shared" si="159"/>
        <v>0.655909502621952-6.23917370493654i</v>
      </c>
      <c r="AD246" s="337">
        <f t="shared" si="160"/>
        <v>6.2735560725956168</v>
      </c>
      <c r="AE246" s="339">
        <f t="shared" si="161"/>
        <v>-1.4660534392924207</v>
      </c>
      <c r="AF246" s="736" t="str">
        <f t="shared" si="133"/>
        <v>-1.17244639437868-0.0243610825508709i</v>
      </c>
      <c r="AG246" s="337">
        <f t="shared" si="162"/>
        <v>1.3837344609211253</v>
      </c>
      <c r="AH246" s="730">
        <f t="shared" si="163"/>
        <v>-178.80967999233101</v>
      </c>
      <c r="AI246" s="360">
        <f t="shared" si="134"/>
        <v>1.190320007668987</v>
      </c>
      <c r="AL246" s="337">
        <f t="shared" si="135"/>
        <v>15.950275680785095</v>
      </c>
      <c r="AM246" s="730">
        <f t="shared" si="136"/>
        <v>-83.998674612094561</v>
      </c>
      <c r="AN246" s="351"/>
      <c r="AO246" s="337">
        <f t="shared" si="137"/>
        <v>38.705389978875495</v>
      </c>
      <c r="AP246" s="730">
        <f t="shared" si="138"/>
        <v>-94.811005380236466</v>
      </c>
      <c r="AS246" s="351"/>
      <c r="AT246" s="351"/>
      <c r="AV246" s="405">
        <f t="shared" si="139"/>
        <v>0</v>
      </c>
      <c r="AW246" s="405">
        <f t="shared" si="164"/>
        <v>0</v>
      </c>
      <c r="AX246" s="405">
        <f t="shared" si="140"/>
        <v>0</v>
      </c>
      <c r="AY246" s="405">
        <f t="shared" si="141"/>
        <v>0</v>
      </c>
    </row>
    <row r="247" spans="2:51" ht="13.5" thickBot="1" x14ac:dyDescent="0.25">
      <c r="B247" s="345">
        <v>14963.5</v>
      </c>
      <c r="C247" s="728" t="str">
        <f t="shared" si="124"/>
        <v>2.16217503399043</v>
      </c>
      <c r="D247" s="728" t="str">
        <f t="shared" si="125"/>
        <v>1+11.4389106068511i</v>
      </c>
      <c r="E247" s="337">
        <f t="shared" si="143"/>
        <v>11.482537867193411</v>
      </c>
      <c r="F247" s="338">
        <f t="shared" si="144"/>
        <v>1.4835971012539158</v>
      </c>
      <c r="G247" s="338" t="str">
        <f t="shared" si="126"/>
        <v>1+0.0470092216719908i</v>
      </c>
      <c r="H247" s="337">
        <f t="shared" si="145"/>
        <v>1.0011043236956907</v>
      </c>
      <c r="I247" s="338">
        <f t="shared" si="146"/>
        <v>4.6974639472321632E-2</v>
      </c>
      <c r="J247" s="340">
        <f t="shared" si="127"/>
        <v>1</v>
      </c>
      <c r="K247" s="338">
        <f t="shared" si="147"/>
        <v>1</v>
      </c>
      <c r="L247" s="339">
        <f t="shared" si="148"/>
        <v>0</v>
      </c>
      <c r="M247" s="731" t="str">
        <f t="shared" si="128"/>
        <v>0.990048607455556+0.221003993367869i</v>
      </c>
      <c r="N247" s="338">
        <f t="shared" si="149"/>
        <v>1.014415600338062</v>
      </c>
      <c r="O247" s="339">
        <f t="shared" si="150"/>
        <v>0.21962470901867656</v>
      </c>
      <c r="P247" s="732" t="str">
        <f t="shared" si="142"/>
        <v>-0.0158600328430312-0.185152197302362i</v>
      </c>
      <c r="Q247" s="337">
        <f t="shared" si="151"/>
        <v>0.18583023652698399</v>
      </c>
      <c r="R247" s="339">
        <f t="shared" si="152"/>
        <v>-1.6562471708002704</v>
      </c>
      <c r="S247" s="731" t="str">
        <f t="shared" si="129"/>
        <v>6000</v>
      </c>
      <c r="T247" s="337" t="str">
        <f t="shared" si="130"/>
        <v>1+94958.6277774215i</v>
      </c>
      <c r="U247" s="346">
        <f t="shared" si="153"/>
        <v>94958.627782686948</v>
      </c>
      <c r="V247" s="347">
        <f t="shared" si="154"/>
        <v>1.5707857958929305</v>
      </c>
      <c r="W247" s="340" t="str">
        <f t="shared" si="131"/>
        <v>1+940.184433439817i</v>
      </c>
      <c r="X247" s="337">
        <f t="shared" si="155"/>
        <v>940.18496525021601</v>
      </c>
      <c r="Y247" s="339">
        <f t="shared" si="156"/>
        <v>1.5697327060973649</v>
      </c>
      <c r="Z247" s="337" t="str">
        <f t="shared" si="132"/>
        <v>1+9.47090664209048i</v>
      </c>
      <c r="AA247" s="346">
        <f t="shared" si="157"/>
        <v>9.5235535711830579</v>
      </c>
      <c r="AB247" s="347">
        <f t="shared" si="158"/>
        <v>1.465599588114695</v>
      </c>
      <c r="AC247" s="732" t="str">
        <f t="shared" si="159"/>
        <v>0.648453064074834-6.2039982452859i</v>
      </c>
      <c r="AD247" s="337">
        <f t="shared" si="160"/>
        <v>6.2377949312091499</v>
      </c>
      <c r="AE247" s="339">
        <f t="shared" si="161"/>
        <v>-1.4666526779102611</v>
      </c>
      <c r="AF247" s="736" t="str">
        <f t="shared" si="133"/>
        <v>-1.15896839406807-0.0216668937325625i</v>
      </c>
      <c r="AG247" s="337">
        <f t="shared" si="162"/>
        <v>1.282949456123808</v>
      </c>
      <c r="AH247" s="730">
        <f t="shared" si="163"/>
        <v>-178.92898117315676</v>
      </c>
      <c r="AI247" s="360">
        <f t="shared" si="134"/>
        <v>1.0710188268432432</v>
      </c>
      <c r="AL247" s="337">
        <f t="shared" si="135"/>
        <v>15.900621862708494</v>
      </c>
      <c r="AM247" s="730">
        <f t="shared" si="136"/>
        <v>-84.033008455818063</v>
      </c>
      <c r="AN247" s="351"/>
      <c r="AO247" s="337">
        <f t="shared" si="137"/>
        <v>38.654258792154771</v>
      </c>
      <c r="AP247" s="730">
        <f t="shared" si="138"/>
        <v>-94.895972717338708</v>
      </c>
      <c r="AS247" s="351"/>
      <c r="AT247" s="351"/>
      <c r="AV247" s="405">
        <f t="shared" si="139"/>
        <v>0</v>
      </c>
      <c r="AW247" s="405">
        <f t="shared" si="164"/>
        <v>0</v>
      </c>
      <c r="AX247" s="405">
        <f t="shared" si="140"/>
        <v>0</v>
      </c>
      <c r="AY247" s="405">
        <f t="shared" si="141"/>
        <v>0</v>
      </c>
    </row>
    <row r="248" spans="2:51" ht="13.5" thickBot="1" x14ac:dyDescent="0.25">
      <c r="B248" s="345">
        <v>15049.75</v>
      </c>
      <c r="C248" s="728" t="str">
        <f t="shared" si="124"/>
        <v>2.16217503399043</v>
      </c>
      <c r="D248" s="728" t="str">
        <f t="shared" si="125"/>
        <v>1+11.5048447826683i</v>
      </c>
      <c r="E248" s="337">
        <f t="shared" si="143"/>
        <v>11.548222957377037</v>
      </c>
      <c r="F248" s="338">
        <f t="shared" si="144"/>
        <v>1.4840943315169881</v>
      </c>
      <c r="G248" s="338" t="str">
        <f t="shared" si="126"/>
        <v>1+0.047280184038363i</v>
      </c>
      <c r="H248" s="337">
        <f t="shared" si="145"/>
        <v>1.0011170839630603</v>
      </c>
      <c r="I248" s="338">
        <f t="shared" si="146"/>
        <v>4.7245000925468281E-2</v>
      </c>
      <c r="J248" s="340">
        <f t="shared" si="127"/>
        <v>1</v>
      </c>
      <c r="K248" s="338">
        <f t="shared" si="147"/>
        <v>1</v>
      </c>
      <c r="L248" s="339">
        <f t="shared" si="148"/>
        <v>0</v>
      </c>
      <c r="M248" s="731" t="str">
        <f t="shared" si="128"/>
        <v>0.989933556663889+0.222277866086684i</v>
      </c>
      <c r="N248" s="338">
        <f t="shared" si="149"/>
        <v>1.0145816361245985</v>
      </c>
      <c r="O248" s="339">
        <f t="shared" si="150"/>
        <v>0.22087481942545484</v>
      </c>
      <c r="P248" s="732" t="str">
        <f t="shared" si="142"/>
        <v>-0.0160392950473765-0.184047800381432i</v>
      </c>
      <c r="Q248" s="337">
        <f t="shared" si="151"/>
        <v>0.18474537020142143</v>
      </c>
      <c r="R248" s="339">
        <f t="shared" si="152"/>
        <v>-1.657724150016975</v>
      </c>
      <c r="S248" s="731" t="str">
        <f t="shared" si="129"/>
        <v>6000</v>
      </c>
      <c r="T248" s="337" t="str">
        <f t="shared" si="130"/>
        <v>1+95505.9717574933i</v>
      </c>
      <c r="U248" s="346">
        <f t="shared" si="153"/>
        <v>95505.971762728572</v>
      </c>
      <c r="V248" s="347">
        <f t="shared" si="154"/>
        <v>1.5707858562454475</v>
      </c>
      <c r="W248" s="340" t="str">
        <f t="shared" si="131"/>
        <v>1+945.60368076726i</v>
      </c>
      <c r="X248" s="337">
        <f t="shared" si="155"/>
        <v>945.6042095298593</v>
      </c>
      <c r="Y248" s="339">
        <f t="shared" si="156"/>
        <v>1.5697388016947382</v>
      </c>
      <c r="Z248" s="337" t="str">
        <f t="shared" si="132"/>
        <v>1+9.52549719228799i</v>
      </c>
      <c r="AA248" s="346">
        <f t="shared" si="157"/>
        <v>9.5778440559598987</v>
      </c>
      <c r="AB248" s="347">
        <f t="shared" si="158"/>
        <v>1.4661980695820729</v>
      </c>
      <c r="AC248" s="732" t="str">
        <f t="shared" si="159"/>
        <v>0.641122592853936-6.16921274199354i</v>
      </c>
      <c r="AD248" s="337">
        <f t="shared" si="160"/>
        <v>6.2024369432540958</v>
      </c>
      <c r="AE248" s="339">
        <f t="shared" si="161"/>
        <v>-1.4672451241327817</v>
      </c>
      <c r="AF248" s="736" t="str">
        <f t="shared" si="133"/>
        <v>-1.14571318967734-0.0190473796107383i</v>
      </c>
      <c r="AG248" s="337">
        <f t="shared" si="162"/>
        <v>1.1827184266258171</v>
      </c>
      <c r="AH248" s="730">
        <f t="shared" si="163"/>
        <v>-179.04755051684137</v>
      </c>
      <c r="AI248" s="360">
        <f t="shared" si="134"/>
        <v>0.95244948315863098</v>
      </c>
      <c r="AL248" s="337">
        <f t="shared" si="135"/>
        <v>15.851247154697921</v>
      </c>
      <c r="AM248" s="730">
        <f t="shared" si="136"/>
        <v>-84.066953123956964</v>
      </c>
      <c r="AN248" s="351"/>
      <c r="AO248" s="337">
        <f t="shared" si="137"/>
        <v>38.603402470667305</v>
      </c>
      <c r="AP248" s="730">
        <f t="shared" si="138"/>
        <v>-94.980597392884405</v>
      </c>
      <c r="AS248" s="351"/>
      <c r="AT248" s="351"/>
      <c r="AV248" s="405">
        <f t="shared" si="139"/>
        <v>0</v>
      </c>
      <c r="AW248" s="405">
        <f t="shared" si="164"/>
        <v>0</v>
      </c>
      <c r="AX248" s="405">
        <f t="shared" si="140"/>
        <v>0</v>
      </c>
      <c r="AY248" s="405">
        <f t="shared" si="141"/>
        <v>0</v>
      </c>
    </row>
    <row r="249" spans="2:51" ht="13.5" thickBot="1" x14ac:dyDescent="0.25">
      <c r="B249" s="345">
        <v>15136</v>
      </c>
      <c r="C249" s="728" t="str">
        <f t="shared" si="124"/>
        <v>2.16217503399043</v>
      </c>
      <c r="D249" s="728" t="str">
        <f t="shared" si="125"/>
        <v>1+11.5707789584855i</v>
      </c>
      <c r="E249" s="337">
        <f t="shared" si="143"/>
        <v>11.613910870423055</v>
      </c>
      <c r="F249" s="338">
        <f t="shared" si="144"/>
        <v>1.4845859372631363</v>
      </c>
      <c r="G249" s="338" t="str">
        <f t="shared" si="126"/>
        <v>1+0.0475511464047351i</v>
      </c>
      <c r="H249" s="337">
        <f t="shared" si="145"/>
        <v>1.0011299174055306</v>
      </c>
      <c r="I249" s="338">
        <f t="shared" si="146"/>
        <v>4.7515355466871773E-2</v>
      </c>
      <c r="J249" s="340">
        <f t="shared" si="127"/>
        <v>1</v>
      </c>
      <c r="K249" s="338">
        <f t="shared" si="147"/>
        <v>1</v>
      </c>
      <c r="L249" s="339">
        <f t="shared" si="148"/>
        <v>0</v>
      </c>
      <c r="M249" s="731" t="str">
        <f t="shared" si="128"/>
        <v>0.989817844622222+0.223551738805498i</v>
      </c>
      <c r="N249" s="338">
        <f t="shared" si="149"/>
        <v>1.0147486119505376</v>
      </c>
      <c r="O249" s="339">
        <f t="shared" si="150"/>
        <v>0.22212466234473013</v>
      </c>
      <c r="P249" s="732" t="str">
        <f t="shared" si="142"/>
        <v>-0.0162153194664499-0.182955407569341i</v>
      </c>
      <c r="Q249" s="337">
        <f t="shared" si="151"/>
        <v>0.18367258299556496</v>
      </c>
      <c r="R249" s="339">
        <f t="shared" si="152"/>
        <v>-1.6591952441409941</v>
      </c>
      <c r="S249" s="731" t="str">
        <f t="shared" si="129"/>
        <v>6000</v>
      </c>
      <c r="T249" s="337" t="str">
        <f t="shared" si="130"/>
        <v>1+96053.3157375649i</v>
      </c>
      <c r="U249" s="346">
        <f t="shared" si="153"/>
        <v>96053.315742770326</v>
      </c>
      <c r="V249" s="347">
        <f t="shared" si="154"/>
        <v>1.5707859159101469</v>
      </c>
      <c r="W249" s="340" t="str">
        <f t="shared" si="131"/>
        <v>1+951.022928094702i</v>
      </c>
      <c r="X249" s="337">
        <f t="shared" si="155"/>
        <v>951.02345384423643</v>
      </c>
      <c r="Y249" s="339">
        <f t="shared" si="156"/>
        <v>1.5697448278226758</v>
      </c>
      <c r="Z249" s="337" t="str">
        <f t="shared" si="132"/>
        <v>1+9.58008774248548i</v>
      </c>
      <c r="AA249" s="346">
        <f t="shared" si="157"/>
        <v>9.632137932656514</v>
      </c>
      <c r="AB249" s="347">
        <f t="shared" si="158"/>
        <v>1.466789804288132</v>
      </c>
      <c r="AC249" s="732" t="str">
        <f t="shared" si="159"/>
        <v>0.633915277745544-6.13481082219672i</v>
      </c>
      <c r="AD249" s="337">
        <f t="shared" si="160"/>
        <v>6.1674753670769702</v>
      </c>
      <c r="AE249" s="339">
        <f t="shared" si="161"/>
        <v>-1.4678308923756032</v>
      </c>
      <c r="AF249" s="736" t="str">
        <f t="shared" si="133"/>
        <v>-1.13267595307911-0.016500310656214i</v>
      </c>
      <c r="AG249" s="337">
        <f t="shared" si="162"/>
        <v>1.0830351425913742</v>
      </c>
      <c r="AH249" s="730">
        <f t="shared" si="163"/>
        <v>-179.16540004950062</v>
      </c>
      <c r="AI249" s="360">
        <f t="shared" si="134"/>
        <v>0.83459995049938129</v>
      </c>
      <c r="AL249" s="337">
        <f t="shared" si="135"/>
        <v>15.802148471824339</v>
      </c>
      <c r="AM249" s="730">
        <f t="shared" si="136"/>
        <v>-84.10051517204343</v>
      </c>
      <c r="AN249" s="351"/>
      <c r="AO249" s="337">
        <f t="shared" si="137"/>
        <v>38.552817869506484</v>
      </c>
      <c r="AP249" s="730">
        <f t="shared" si="138"/>
        <v>-95.064884877457189</v>
      </c>
      <c r="AS249" s="351"/>
      <c r="AT249" s="351"/>
      <c r="AV249" s="405">
        <f t="shared" si="139"/>
        <v>0</v>
      </c>
      <c r="AW249" s="405">
        <f t="shared" si="164"/>
        <v>0</v>
      </c>
      <c r="AX249" s="405">
        <f t="shared" si="140"/>
        <v>0</v>
      </c>
      <c r="AY249" s="405">
        <f t="shared" si="141"/>
        <v>0</v>
      </c>
    </row>
    <row r="250" spans="2:51" ht="13.5" thickBot="1" x14ac:dyDescent="0.25">
      <c r="B250" s="345">
        <v>15224</v>
      </c>
      <c r="C250" s="728" t="str">
        <f t="shared" si="124"/>
        <v>2.16217503399043</v>
      </c>
      <c r="D250" s="728" t="str">
        <f t="shared" si="125"/>
        <v>1+11.6380509291744i</v>
      </c>
      <c r="E250" s="337">
        <f t="shared" si="143"/>
        <v>11.680934441647086</v>
      </c>
      <c r="F250" s="338">
        <f t="shared" si="144"/>
        <v>1.4850818189761328</v>
      </c>
      <c r="G250" s="338" t="str">
        <f t="shared" si="126"/>
        <v>1+0.047827606558251i</v>
      </c>
      <c r="H250" s="337">
        <f t="shared" si="145"/>
        <v>1.0011430866509996</v>
      </c>
      <c r="I250" s="338">
        <f t="shared" si="146"/>
        <v>4.7791188298484291E-2</v>
      </c>
      <c r="J250" s="340">
        <f t="shared" si="127"/>
        <v>1</v>
      </c>
      <c r="K250" s="338">
        <f t="shared" si="147"/>
        <v>1</v>
      </c>
      <c r="L250" s="339">
        <f t="shared" si="148"/>
        <v>0</v>
      </c>
      <c r="M250" s="731" t="str">
        <f t="shared" si="128"/>
        <v>0.989699103288889+0.224851458217158i</v>
      </c>
      <c r="N250" s="338">
        <f t="shared" si="149"/>
        <v>1.0149199442878307</v>
      </c>
      <c r="O250" s="339">
        <f t="shared" si="150"/>
        <v>0.22339958727146872</v>
      </c>
      <c r="P250" s="732" t="str">
        <f t="shared" si="142"/>
        <v>-0.0163916523230759-0.181853017413112i</v>
      </c>
      <c r="Q250" s="337">
        <f t="shared" si="151"/>
        <v>0.18259026865672279</v>
      </c>
      <c r="R250" s="339">
        <f t="shared" si="152"/>
        <v>-1.6606902179491174</v>
      </c>
      <c r="S250" s="731" t="str">
        <f t="shared" si="129"/>
        <v>6000</v>
      </c>
      <c r="T250" s="337" t="str">
        <f t="shared" si="130"/>
        <v>1+96611.765247667i</v>
      </c>
      <c r="U250" s="346">
        <f t="shared" si="153"/>
        <v>96611.765252842379</v>
      </c>
      <c r="V250" s="347">
        <f t="shared" si="154"/>
        <v>1.5707859760886715</v>
      </c>
      <c r="W250" s="340" t="str">
        <f t="shared" si="131"/>
        <v>1+956.55213116502i</v>
      </c>
      <c r="X250" s="337">
        <f t="shared" si="155"/>
        <v>956.55265387554152</v>
      </c>
      <c r="Y250" s="339">
        <f t="shared" si="156"/>
        <v>1.5697509058469756</v>
      </c>
      <c r="Z250" s="337" t="str">
        <f t="shared" si="132"/>
        <v>1+9.63578592703482i</v>
      </c>
      <c r="AA250" s="346">
        <f t="shared" si="157"/>
        <v>9.6875368609178611</v>
      </c>
      <c r="AB250" s="347">
        <f t="shared" si="158"/>
        <v>1.4673867089964012</v>
      </c>
      <c r="AC250" s="732" t="str">
        <f t="shared" si="159"/>
        <v>0.626685821025258-6.10009975881438i</v>
      </c>
      <c r="AD250" s="337">
        <f t="shared" si="160"/>
        <v>6.1322061434496282</v>
      </c>
      <c r="AE250" s="339">
        <f t="shared" si="161"/>
        <v>-1.4684217792380971</v>
      </c>
      <c r="AF250" s="736" t="str">
        <f t="shared" si="133"/>
        <v>-1.11959396375544-0.0139739931408922i</v>
      </c>
      <c r="AG250" s="337">
        <f t="shared" si="162"/>
        <v>0.98188747050558889</v>
      </c>
      <c r="AH250" s="730">
        <f t="shared" si="163"/>
        <v>-179.28491106257931</v>
      </c>
      <c r="AI250" s="360">
        <f t="shared" si="134"/>
        <v>0.71508893742068835</v>
      </c>
      <c r="AL250" s="337">
        <f t="shared" si="135"/>
        <v>15.752334917964575</v>
      </c>
      <c r="AM250" s="730">
        <f t="shared" si="136"/>
        <v>-84.134370495434055</v>
      </c>
      <c r="AN250" s="351"/>
      <c r="AO250" s="337">
        <f t="shared" si="137"/>
        <v>38.501483751280439</v>
      </c>
      <c r="AP250" s="730">
        <f t="shared" si="138"/>
        <v>-95.150540567145256</v>
      </c>
      <c r="AS250" s="351"/>
      <c r="AT250" s="351"/>
      <c r="AV250" s="405">
        <f t="shared" si="139"/>
        <v>0</v>
      </c>
      <c r="AW250" s="405">
        <f t="shared" si="164"/>
        <v>0</v>
      </c>
      <c r="AX250" s="405">
        <f t="shared" si="140"/>
        <v>0</v>
      </c>
      <c r="AY250" s="405">
        <f t="shared" si="141"/>
        <v>0</v>
      </c>
    </row>
    <row r="251" spans="2:51" ht="13.5" thickBot="1" x14ac:dyDescent="0.25">
      <c r="B251" s="345">
        <v>15312</v>
      </c>
      <c r="C251" s="728" t="str">
        <f t="shared" si="124"/>
        <v>2.16217503399043</v>
      </c>
      <c r="D251" s="728" t="str">
        <f t="shared" si="125"/>
        <v>1+11.7053228998633i</v>
      </c>
      <c r="E251" s="337">
        <f t="shared" si="143"/>
        <v>11.747960852423036</v>
      </c>
      <c r="F251" s="338">
        <f t="shared" si="144"/>
        <v>1.4855720424356764</v>
      </c>
      <c r="G251" s="338" t="str">
        <f t="shared" si="126"/>
        <v>1+0.0481040667117669i</v>
      </c>
      <c r="H251" s="337">
        <f t="shared" si="145"/>
        <v>1.0011563320651826</v>
      </c>
      <c r="I251" s="338">
        <f t="shared" si="146"/>
        <v>4.8067013852481591E-2</v>
      </c>
      <c r="J251" s="340">
        <f t="shared" si="127"/>
        <v>1</v>
      </c>
      <c r="K251" s="338">
        <f t="shared" si="147"/>
        <v>1</v>
      </c>
      <c r="L251" s="339">
        <f t="shared" si="148"/>
        <v>0</v>
      </c>
      <c r="M251" s="731" t="str">
        <f t="shared" si="128"/>
        <v>0.9895796736+0.226151177628818i</v>
      </c>
      <c r="N251" s="338">
        <f t="shared" si="149"/>
        <v>1.0150922546966772</v>
      </c>
      <c r="O251" s="339">
        <f t="shared" si="150"/>
        <v>0.22467423082831986</v>
      </c>
      <c r="P251" s="732" t="str">
        <f t="shared" si="142"/>
        <v>-0.0165647624027474-0.180762712941587i</v>
      </c>
      <c r="Q251" s="337">
        <f t="shared" si="151"/>
        <v>0.1815201083722188</v>
      </c>
      <c r="R251" s="339">
        <f t="shared" si="152"/>
        <v>-1.6621792594115155</v>
      </c>
      <c r="S251" s="731" t="str">
        <f t="shared" si="129"/>
        <v>6000</v>
      </c>
      <c r="T251" s="337" t="str">
        <f t="shared" si="130"/>
        <v>1+97170.2147577692i</v>
      </c>
      <c r="U251" s="346">
        <f t="shared" si="153"/>
        <v>97170.214762914795</v>
      </c>
      <c r="V251" s="347">
        <f t="shared" si="154"/>
        <v>1.570786035575489</v>
      </c>
      <c r="W251" s="340" t="str">
        <f t="shared" si="131"/>
        <v>1+962.081334235338i</v>
      </c>
      <c r="X251" s="337">
        <f t="shared" si="155"/>
        <v>962.08185394177781</v>
      </c>
      <c r="Y251" s="339">
        <f t="shared" si="156"/>
        <v>1.5697569140090031</v>
      </c>
      <c r="Z251" s="337" t="str">
        <f t="shared" si="132"/>
        <v>1+9.69148411158415i</v>
      </c>
      <c r="AA251" s="346">
        <f t="shared" si="157"/>
        <v>9.7429392015493992</v>
      </c>
      <c r="AB251" s="347">
        <f t="shared" si="158"/>
        <v>1.4679768254239021</v>
      </c>
      <c r="AC251" s="732" t="str">
        <f t="shared" si="159"/>
        <v>0.619578900759936-6.06577502946078i</v>
      </c>
      <c r="AD251" s="337">
        <f t="shared" si="160"/>
        <v>6.0973358708781014</v>
      </c>
      <c r="AE251" s="339">
        <f t="shared" si="161"/>
        <v>-1.4690059469903884</v>
      </c>
      <c r="AF251" s="736" t="str">
        <f t="shared" si="133"/>
        <v>-1.10672912769951-0.0115186408311964i</v>
      </c>
      <c r="AG251" s="337">
        <f t="shared" si="162"/>
        <v>0.88129721785141557</v>
      </c>
      <c r="AH251" s="730">
        <f t="shared" si="163"/>
        <v>-179.40369720062864</v>
      </c>
      <c r="AI251" s="360">
        <f t="shared" si="134"/>
        <v>0.59630279937135811</v>
      </c>
      <c r="AL251" s="337">
        <f t="shared" si="135"/>
        <v>15.702802374610583</v>
      </c>
      <c r="AM251" s="730">
        <f t="shared" si="136"/>
        <v>-84.16784084216799</v>
      </c>
      <c r="AN251" s="351"/>
      <c r="AO251" s="337">
        <f t="shared" si="137"/>
        <v>38.450426041980258</v>
      </c>
      <c r="AP251" s="730">
        <f t="shared" si="138"/>
        <v>-95.235856358460651</v>
      </c>
      <c r="AS251" s="351"/>
      <c r="AT251" s="351"/>
      <c r="AV251" s="405">
        <f t="shared" si="139"/>
        <v>0</v>
      </c>
      <c r="AW251" s="405">
        <f t="shared" si="164"/>
        <v>0</v>
      </c>
      <c r="AX251" s="405">
        <f t="shared" si="140"/>
        <v>0</v>
      </c>
      <c r="AY251" s="405">
        <f t="shared" si="141"/>
        <v>0</v>
      </c>
    </row>
    <row r="252" spans="2:51" ht="13.5" thickBot="1" x14ac:dyDescent="0.25">
      <c r="B252" s="345">
        <v>15400</v>
      </c>
      <c r="C252" s="728" t="str">
        <f t="shared" si="124"/>
        <v>2.16217503399043</v>
      </c>
      <c r="D252" s="728" t="str">
        <f t="shared" si="125"/>
        <v>1+11.7725948705521i</v>
      </c>
      <c r="E252" s="337">
        <f t="shared" si="143"/>
        <v>11.814990054424491</v>
      </c>
      <c r="F252" s="338">
        <f t="shared" si="144"/>
        <v>1.4860567037059038</v>
      </c>
      <c r="G252" s="338" t="str">
        <f t="shared" si="126"/>
        <v>1+0.0483805268652828i</v>
      </c>
      <c r="H252" s="337">
        <f t="shared" si="145"/>
        <v>1.0011696536450565</v>
      </c>
      <c r="I252" s="338">
        <f t="shared" si="146"/>
        <v>4.8342832087183887E-2</v>
      </c>
      <c r="J252" s="340">
        <f t="shared" si="127"/>
        <v>1</v>
      </c>
      <c r="K252" s="338">
        <f t="shared" si="147"/>
        <v>1</v>
      </c>
      <c r="L252" s="339">
        <f t="shared" si="148"/>
        <v>0</v>
      </c>
      <c r="M252" s="731" t="str">
        <f t="shared" si="128"/>
        <v>0.989459555555556+0.227450897040478i</v>
      </c>
      <c r="N252" s="338">
        <f t="shared" si="149"/>
        <v>1.0152655429220063</v>
      </c>
      <c r="O252" s="339">
        <f t="shared" si="150"/>
        <v>0.22594859154558741</v>
      </c>
      <c r="P252" s="732" t="str">
        <f t="shared" si="142"/>
        <v>-0.0167347212078559-0.179684293628595i</v>
      </c>
      <c r="Q252" s="337">
        <f t="shared" si="151"/>
        <v>0.18046189700519005</v>
      </c>
      <c r="R252" s="339">
        <f t="shared" si="152"/>
        <v>-1.6636624631643067</v>
      </c>
      <c r="S252" s="731" t="str">
        <f t="shared" si="129"/>
        <v>6000</v>
      </c>
      <c r="T252" s="337" t="str">
        <f t="shared" si="130"/>
        <v>1+97728.6642678713i</v>
      </c>
      <c r="U252" s="346">
        <f t="shared" si="153"/>
        <v>97728.664272987487</v>
      </c>
      <c r="V252" s="347">
        <f t="shared" si="154"/>
        <v>1.570786094382457</v>
      </c>
      <c r="W252" s="340" t="str">
        <f t="shared" si="131"/>
        <v>1+967.610537305656i</v>
      </c>
      <c r="X252" s="337">
        <f t="shared" si="155"/>
        <v>967.61105404234627</v>
      </c>
      <c r="Y252" s="339">
        <f t="shared" si="156"/>
        <v>1.5697628535063954</v>
      </c>
      <c r="Z252" s="337" t="str">
        <f t="shared" si="132"/>
        <v>1+9.74718229613349i</v>
      </c>
      <c r="AA252" s="346">
        <f t="shared" si="157"/>
        <v>9.7983448966679134</v>
      </c>
      <c r="AB252" s="347">
        <f t="shared" si="158"/>
        <v>1.4685602683110914</v>
      </c>
      <c r="AC252" s="732" t="str">
        <f t="shared" si="159"/>
        <v>0.612591772968306-6.03183029278182i</v>
      </c>
      <c r="AD252" s="337">
        <f t="shared" si="160"/>
        <v>6.0628578542819946</v>
      </c>
      <c r="AE252" s="339">
        <f t="shared" si="161"/>
        <v>-1.4695835091871525</v>
      </c>
      <c r="AF252" s="736" t="str">
        <f t="shared" si="133"/>
        <v>-1.09407671798091-0.00913212168569512i</v>
      </c>
      <c r="AG252" s="337">
        <f t="shared" si="162"/>
        <v>0.78125809020652737</v>
      </c>
      <c r="AH252" s="730">
        <f t="shared" si="163"/>
        <v>-179.52177039210241</v>
      </c>
      <c r="AI252" s="360">
        <f t="shared" si="134"/>
        <v>0.47822960789758895</v>
      </c>
      <c r="AL252" s="337">
        <f t="shared" si="135"/>
        <v>15.653547723516327</v>
      </c>
      <c r="AM252" s="730">
        <f t="shared" si="136"/>
        <v>-84.200932718448882</v>
      </c>
      <c r="AN252" s="351"/>
      <c r="AO252" s="337">
        <f t="shared" si="137"/>
        <v>38.399641565429661</v>
      </c>
      <c r="AP252" s="730">
        <f t="shared" si="138"/>
        <v>-95.320837673653557</v>
      </c>
      <c r="AS252" s="351"/>
      <c r="AT252" s="351"/>
      <c r="AV252" s="405">
        <f t="shared" si="139"/>
        <v>0</v>
      </c>
      <c r="AW252" s="405">
        <f t="shared" si="164"/>
        <v>0</v>
      </c>
      <c r="AX252" s="405">
        <f t="shared" si="140"/>
        <v>0</v>
      </c>
      <c r="AY252" s="405">
        <f t="shared" si="141"/>
        <v>0</v>
      </c>
    </row>
    <row r="253" spans="2:51" ht="13.5" thickBot="1" x14ac:dyDescent="0.25">
      <c r="B253" s="345">
        <v>15488</v>
      </c>
      <c r="C253" s="728" t="str">
        <f t="shared" si="124"/>
        <v>2.16217503399043</v>
      </c>
      <c r="D253" s="728" t="str">
        <f t="shared" si="125"/>
        <v>1+11.839866841241i</v>
      </c>
      <c r="E253" s="337">
        <f t="shared" si="143"/>
        <v>11.882022000413825</v>
      </c>
      <c r="F253" s="338">
        <f t="shared" si="144"/>
        <v>1.4865358966937747</v>
      </c>
      <c r="G253" s="338" t="str">
        <f t="shared" si="126"/>
        <v>1+0.0486569870187987i</v>
      </c>
      <c r="H253" s="337">
        <f t="shared" si="145"/>
        <v>1.0011830513875808</v>
      </c>
      <c r="I253" s="338">
        <f t="shared" si="146"/>
        <v>4.8618642960918071E-2</v>
      </c>
      <c r="J253" s="340">
        <f t="shared" si="127"/>
        <v>1</v>
      </c>
      <c r="K253" s="338">
        <f t="shared" si="147"/>
        <v>1</v>
      </c>
      <c r="L253" s="339">
        <f t="shared" si="148"/>
        <v>0</v>
      </c>
      <c r="M253" s="731" t="str">
        <f t="shared" si="128"/>
        <v>0.989338749155556+0.228750616452137i</v>
      </c>
      <c r="N253" s="338">
        <f t="shared" si="149"/>
        <v>1.0154398087074943</v>
      </c>
      <c r="O253" s="339">
        <f t="shared" si="150"/>
        <v>0.22722266795614657</v>
      </c>
      <c r="P253" s="732" t="str">
        <f t="shared" si="142"/>
        <v>-0.0169015982473979-0.178617563339492i</v>
      </c>
      <c r="Q253" s="337">
        <f t="shared" si="151"/>
        <v>0.17941543399789742</v>
      </c>
      <c r="R253" s="339">
        <f t="shared" si="152"/>
        <v>-1.6651399216890024</v>
      </c>
      <c r="S253" s="731" t="str">
        <f t="shared" si="129"/>
        <v>6000</v>
      </c>
      <c r="T253" s="337" t="str">
        <f t="shared" si="130"/>
        <v>1+98287.1137779734i</v>
      </c>
      <c r="U253" s="346">
        <f t="shared" si="153"/>
        <v>98287.113783060529</v>
      </c>
      <c r="V253" s="347">
        <f t="shared" si="154"/>
        <v>1.5707861525211639</v>
      </c>
      <c r="W253" s="340" t="str">
        <f t="shared" si="131"/>
        <v>1+973.139740375974i</v>
      </c>
      <c r="X253" s="337">
        <f t="shared" si="155"/>
        <v>973.14025417666187</v>
      </c>
      <c r="Y253" s="339">
        <f t="shared" si="156"/>
        <v>1.5697687255095709</v>
      </c>
      <c r="Z253" s="337" t="str">
        <f t="shared" si="132"/>
        <v>1+9.80288048068282i</v>
      </c>
      <c r="AA253" s="346">
        <f t="shared" si="157"/>
        <v>9.8537538896885497</v>
      </c>
      <c r="AB253" s="347">
        <f t="shared" si="158"/>
        <v>1.4691371498360293</v>
      </c>
      <c r="AC253" s="732" t="str">
        <f t="shared" si="159"/>
        <v>0.60572176977894-5.9982593437812i</v>
      </c>
      <c r="AD253" s="337">
        <f t="shared" si="160"/>
        <v>6.0287655467469126</v>
      </c>
      <c r="AE253" s="339">
        <f t="shared" si="161"/>
        <v>-1.4701545768476227</v>
      </c>
      <c r="AF253" s="736" t="str">
        <f t="shared" si="133"/>
        <v>-1.08163213426704-0.00681237696730859i</v>
      </c>
      <c r="AG253" s="337">
        <f t="shared" si="162"/>
        <v>0.68176389702125251</v>
      </c>
      <c r="AH253" s="730">
        <f t="shared" si="163"/>
        <v>-179.63914229673446</v>
      </c>
      <c r="AI253" s="360">
        <f t="shared" si="134"/>
        <v>0.36085770326553757</v>
      </c>
      <c r="AL253" s="337">
        <f t="shared" si="135"/>
        <v>15.604567897463188</v>
      </c>
      <c r="AM253" s="730">
        <f t="shared" si="136"/>
        <v>-84.233652485210229</v>
      </c>
      <c r="AN253" s="351"/>
      <c r="AO253" s="337">
        <f t="shared" si="137"/>
        <v>38.349127198297531</v>
      </c>
      <c r="AP253" s="730">
        <f t="shared" si="138"/>
        <v>-95.405489811524248</v>
      </c>
      <c r="AS253" s="351"/>
      <c r="AT253" s="351"/>
      <c r="AV253" s="405">
        <f t="shared" si="139"/>
        <v>0</v>
      </c>
      <c r="AW253" s="405">
        <f t="shared" si="164"/>
        <v>0</v>
      </c>
      <c r="AX253" s="405">
        <f t="shared" si="140"/>
        <v>0</v>
      </c>
      <c r="AY253" s="405">
        <f t="shared" si="141"/>
        <v>0</v>
      </c>
    </row>
    <row r="254" spans="2:51" ht="13.5" thickBot="1" x14ac:dyDescent="0.25">
      <c r="B254" s="345">
        <v>15578.25</v>
      </c>
      <c r="C254" s="728" t="str">
        <f t="shared" si="124"/>
        <v>2.16217503399043</v>
      </c>
      <c r="D254" s="728" t="str">
        <f t="shared" si="125"/>
        <v>1+11.9088588339077i</v>
      </c>
      <c r="E254" s="337">
        <f t="shared" si="143"/>
        <v>11.95077063314084</v>
      </c>
      <c r="F254" s="338">
        <f t="shared" si="144"/>
        <v>1.4870217581442575</v>
      </c>
      <c r="G254" s="338" t="str">
        <f t="shared" si="126"/>
        <v>1+0.0489405157557852i</v>
      </c>
      <c r="H254" s="337">
        <f t="shared" si="145"/>
        <v>1.0011968707913754</v>
      </c>
      <c r="I254" s="338">
        <f t="shared" si="146"/>
        <v>4.8901498127888486E-2</v>
      </c>
      <c r="J254" s="340">
        <f t="shared" si="127"/>
        <v>1</v>
      </c>
      <c r="K254" s="338">
        <f t="shared" si="147"/>
        <v>1</v>
      </c>
      <c r="L254" s="339">
        <f t="shared" si="148"/>
        <v>0</v>
      </c>
      <c r="M254" s="731" t="str">
        <f t="shared" si="128"/>
        <v>0.989214138975+0.230083567326027i</v>
      </c>
      <c r="N254" s="338">
        <f t="shared" si="149"/>
        <v>1.0156195452537928</v>
      </c>
      <c r="O254" s="339">
        <f t="shared" si="150"/>
        <v>0.22852902334644035</v>
      </c>
      <c r="P254" s="732" t="str">
        <f t="shared" si="142"/>
        <v>-0.0170696118454063-0.177535498888572i</v>
      </c>
      <c r="Q254" s="337">
        <f t="shared" si="151"/>
        <v>0.17835421221313216</v>
      </c>
      <c r="R254" s="339">
        <f t="shared" si="152"/>
        <v>-1.6666492833628084</v>
      </c>
      <c r="S254" s="731" t="str">
        <f t="shared" si="129"/>
        <v>6000</v>
      </c>
      <c r="T254" s="337" t="str">
        <f t="shared" si="130"/>
        <v>1+98859.8418266861i</v>
      </c>
      <c r="U254" s="346">
        <f t="shared" si="153"/>
        <v>98859.841831743761</v>
      </c>
      <c r="V254" s="347">
        <f t="shared" si="154"/>
        <v>1.5707862114641264</v>
      </c>
      <c r="W254" s="340" t="str">
        <f t="shared" si="131"/>
        <v>1+978.810315115704i</v>
      </c>
      <c r="X254" s="337">
        <f t="shared" si="155"/>
        <v>978.81082593977476</v>
      </c>
      <c r="Y254" s="339">
        <f t="shared" si="156"/>
        <v>1.5697746787425257</v>
      </c>
      <c r="Z254" s="337" t="str">
        <f t="shared" si="132"/>
        <v>1+9.86000276654166i</v>
      </c>
      <c r="AA254" s="346">
        <f t="shared" si="157"/>
        <v>9.9105829574354107</v>
      </c>
      <c r="AB254" s="347">
        <f t="shared" si="158"/>
        <v>1.4697220809063969</v>
      </c>
      <c r="AC254" s="732" t="str">
        <f t="shared" si="159"/>
        <v>0.59879505087812-5.96421193212795i</v>
      </c>
      <c r="AD254" s="337">
        <f t="shared" si="160"/>
        <v>5.9941954826559956</v>
      </c>
      <c r="AE254" s="339">
        <f t="shared" si="161"/>
        <v>-1.4707336136279976</v>
      </c>
      <c r="AF254" s="736" t="str">
        <f t="shared" si="133"/>
        <v>-1.06908053994095-0.00450059544449005i</v>
      </c>
      <c r="AG254" s="337">
        <f t="shared" si="162"/>
        <v>0.58028545259852127</v>
      </c>
      <c r="AH254" s="730">
        <f t="shared" si="163"/>
        <v>-179.75879871410066</v>
      </c>
      <c r="AI254" s="360">
        <f t="shared" si="134"/>
        <v>0.24120128589933643</v>
      </c>
      <c r="AL254" s="337">
        <f t="shared" si="135"/>
        <v>15.554618040976171</v>
      </c>
      <c r="AM254" s="730">
        <f t="shared" si="136"/>
        <v>-84.26682884890856</v>
      </c>
      <c r="AN254" s="351"/>
      <c r="AO254" s="337">
        <f t="shared" si="137"/>
        <v>38.297598610361774</v>
      </c>
      <c r="AP254" s="730">
        <f t="shared" si="138"/>
        <v>-95.491969865192132</v>
      </c>
      <c r="AS254" s="351"/>
      <c r="AT254" s="351"/>
      <c r="AV254" s="405">
        <f t="shared" si="139"/>
        <v>0</v>
      </c>
      <c r="AW254" s="405">
        <f t="shared" si="164"/>
        <v>0</v>
      </c>
      <c r="AX254" s="405">
        <f t="shared" si="140"/>
        <v>0</v>
      </c>
      <c r="AY254" s="405">
        <f t="shared" si="141"/>
        <v>0</v>
      </c>
    </row>
    <row r="255" spans="2:51" ht="13.5" thickBot="1" x14ac:dyDescent="0.25">
      <c r="B255" s="345">
        <v>15668.5</v>
      </c>
      <c r="C255" s="728" t="str">
        <f t="shared" si="124"/>
        <v>2.16217503399043</v>
      </c>
      <c r="D255" s="728" t="str">
        <f t="shared" si="125"/>
        <v>1+11.9778508265744i</v>
      </c>
      <c r="E255" s="337">
        <f t="shared" si="143"/>
        <v>12.019522054710373</v>
      </c>
      <c r="F255" s="338">
        <f t="shared" si="144"/>
        <v>1.4875020614718231</v>
      </c>
      <c r="G255" s="338" t="str">
        <f t="shared" si="126"/>
        <v>1+0.0492240444927717i</v>
      </c>
      <c r="H255" s="337">
        <f t="shared" si="145"/>
        <v>1.0012107702957587</v>
      </c>
      <c r="I255" s="338">
        <f t="shared" si="146"/>
        <v>4.9184345463903767E-2</v>
      </c>
      <c r="J255" s="340">
        <f t="shared" si="127"/>
        <v>1</v>
      </c>
      <c r="K255" s="338">
        <f t="shared" si="147"/>
        <v>1</v>
      </c>
      <c r="L255" s="339">
        <f t="shared" si="148"/>
        <v>0</v>
      </c>
      <c r="M255" s="731" t="str">
        <f t="shared" si="128"/>
        <v>0.989088804788889+0.231416518199917i</v>
      </c>
      <c r="N255" s="338">
        <f t="shared" si="149"/>
        <v>1.0158003094380734</v>
      </c>
      <c r="O255" s="339">
        <f t="shared" si="150"/>
        <v>0.22983507658843544</v>
      </c>
      <c r="P255" s="732" t="str">
        <f t="shared" si="142"/>
        <v>-0.0172345260109255-0.176465324641445i</v>
      </c>
      <c r="Q255" s="337">
        <f t="shared" si="151"/>
        <v>0.17730493418862273</v>
      </c>
      <c r="R255" s="339">
        <f t="shared" si="152"/>
        <v>-1.6681527925963548</v>
      </c>
      <c r="S255" s="731" t="str">
        <f t="shared" si="129"/>
        <v>6000</v>
      </c>
      <c r="T255" s="337" t="str">
        <f t="shared" si="130"/>
        <v>1+99432.5698753988i</v>
      </c>
      <c r="U255" s="346">
        <f t="shared" si="153"/>
        <v>99432.569880427342</v>
      </c>
      <c r="V255" s="347">
        <f t="shared" si="154"/>
        <v>1.5707862697280701</v>
      </c>
      <c r="W255" s="340" t="str">
        <f t="shared" si="131"/>
        <v>1+984.480889855433i</v>
      </c>
      <c r="X255" s="337">
        <f t="shared" si="155"/>
        <v>984.48139773717685</v>
      </c>
      <c r="Y255" s="339">
        <f t="shared" si="156"/>
        <v>1.5697805633947337</v>
      </c>
      <c r="Z255" s="337" t="str">
        <f t="shared" si="132"/>
        <v>1+9.91712505240049i</v>
      </c>
      <c r="AA255" s="346">
        <f t="shared" si="157"/>
        <v>9.9674153773658603</v>
      </c>
      <c r="AB255" s="347">
        <f t="shared" si="158"/>
        <v>1.4703003418280267</v>
      </c>
      <c r="AC255" s="732" t="str">
        <f t="shared" si="159"/>
        <v>0.591986073506999-5.93054487168891i</v>
      </c>
      <c r="AD255" s="337">
        <f t="shared" si="160"/>
        <v>5.9600176162778125</v>
      </c>
      <c r="AE255" s="339">
        <f t="shared" si="161"/>
        <v>-1.4713060481613629</v>
      </c>
      <c r="AF255" s="736" t="str">
        <f t="shared" si="133"/>
        <v>-1.0567381254652-0.00225488479454355i</v>
      </c>
      <c r="AG255" s="337">
        <f t="shared" si="162"/>
        <v>0.47936730161217778</v>
      </c>
      <c r="AH255" s="730">
        <f t="shared" si="163"/>
        <v>-179.87774153045123</v>
      </c>
      <c r="AI255" s="360">
        <f t="shared" si="134"/>
        <v>0.12225846954876829</v>
      </c>
      <c r="AL255" s="337">
        <f t="shared" si="135"/>
        <v>15.50495086809647</v>
      </c>
      <c r="AM255" s="730">
        <f t="shared" si="136"/>
        <v>-84.299626931717924</v>
      </c>
      <c r="AN255" s="351"/>
      <c r="AO255" s="337">
        <f t="shared" si="137"/>
        <v>38.246347632255159</v>
      </c>
      <c r="AP255" s="730">
        <f t="shared" si="138"/>
        <v>-95.578114598733293</v>
      </c>
      <c r="AS255" s="351"/>
      <c r="AT255" s="351"/>
      <c r="AV255" s="405">
        <f t="shared" si="139"/>
        <v>0</v>
      </c>
      <c r="AW255" s="405">
        <f t="shared" si="164"/>
        <v>0</v>
      </c>
      <c r="AX255" s="405">
        <f t="shared" si="140"/>
        <v>0</v>
      </c>
      <c r="AY255" s="405">
        <f t="shared" si="141"/>
        <v>0</v>
      </c>
    </row>
    <row r="256" spans="2:51" ht="13.5" thickBot="1" x14ac:dyDescent="0.25">
      <c r="B256" s="345">
        <v>15758.75</v>
      </c>
      <c r="C256" s="728" t="str">
        <f t="shared" si="124"/>
        <v>2.16217503399043</v>
      </c>
      <c r="D256" s="728" t="str">
        <f t="shared" si="125"/>
        <v>1+12.0468428192412i</v>
      </c>
      <c r="E256" s="337">
        <f t="shared" si="143"/>
        <v>12.088276217538349</v>
      </c>
      <c r="F256" s="338">
        <f t="shared" si="144"/>
        <v>1.4879769012913133</v>
      </c>
      <c r="G256" s="338" t="str">
        <f t="shared" si="126"/>
        <v>1+0.0495075732297581i</v>
      </c>
      <c r="H256" s="337">
        <f t="shared" si="145"/>
        <v>1.0012247498973943</v>
      </c>
      <c r="I256" s="338">
        <f t="shared" si="146"/>
        <v>4.9467184924033861E-2</v>
      </c>
      <c r="J256" s="340">
        <f t="shared" si="127"/>
        <v>1</v>
      </c>
      <c r="K256" s="338">
        <f t="shared" si="147"/>
        <v>1</v>
      </c>
      <c r="L256" s="339">
        <f t="shared" si="148"/>
        <v>0</v>
      </c>
      <c r="M256" s="731" t="str">
        <f t="shared" si="128"/>
        <v>0.988962746597222+0.232749469073807i</v>
      </c>
      <c r="N256" s="338">
        <f t="shared" si="149"/>
        <v>1.0159821009797663</v>
      </c>
      <c r="O256" s="339">
        <f t="shared" si="150"/>
        <v>0.23114082610807246</v>
      </c>
      <c r="P256" s="732" t="str">
        <f t="shared" si="142"/>
        <v>-0.0173964096165412-0.17540684265586i</v>
      </c>
      <c r="Q256" s="337">
        <f t="shared" si="151"/>
        <v>0.17626739777407541</v>
      </c>
      <c r="R256" s="339">
        <f t="shared" si="152"/>
        <v>-1.6696505424753521</v>
      </c>
      <c r="S256" s="731" t="str">
        <f t="shared" si="129"/>
        <v>6000</v>
      </c>
      <c r="T256" s="337" t="str">
        <f t="shared" si="130"/>
        <v>1+100005.297924111i</v>
      </c>
      <c r="U256" s="346">
        <f t="shared" si="153"/>
        <v>100005.29792911073</v>
      </c>
      <c r="V256" s="347">
        <f t="shared" si="154"/>
        <v>1.5707863273246614</v>
      </c>
      <c r="W256" s="340" t="str">
        <f t="shared" si="131"/>
        <v>1+990.151464595163i</v>
      </c>
      <c r="X256" s="337">
        <f t="shared" si="155"/>
        <v>990.15196956828106</v>
      </c>
      <c r="Y256" s="339">
        <f t="shared" si="156"/>
        <v>1.5697863806444743</v>
      </c>
      <c r="Z256" s="337" t="str">
        <f t="shared" si="132"/>
        <v>1+9.97424733825932i</v>
      </c>
      <c r="AA256" s="346">
        <f t="shared" si="157"/>
        <v>10.024251092464372</v>
      </c>
      <c r="AB256" s="347">
        <f t="shared" si="158"/>
        <v>1.4708720456665267</v>
      </c>
      <c r="AC256" s="732" t="str">
        <f t="shared" si="159"/>
        <v>0.585292193120874-5.89725189281305i</v>
      </c>
      <c r="AD256" s="337">
        <f t="shared" si="160"/>
        <v>5.9262253449067686</v>
      </c>
      <c r="AE256" s="339">
        <f t="shared" si="161"/>
        <v>-1.4718719923467141</v>
      </c>
      <c r="AF256" s="736" t="str">
        <f t="shared" si="133"/>
        <v>-1.04460031760153-0.0000732460871576412i</v>
      </c>
      <c r="AG256" s="337">
        <f t="shared" si="162"/>
        <v>0.37900309224087392</v>
      </c>
      <c r="AH256" s="730">
        <f t="shared" si="163"/>
        <v>-179.99598249054458</v>
      </c>
      <c r="AI256" s="360">
        <f t="shared" si="134"/>
        <v>4.0175094554228963E-3</v>
      </c>
      <c r="AL256" s="337">
        <f t="shared" si="135"/>
        <v>15.455563230389357</v>
      </c>
      <c r="AM256" s="730">
        <f t="shared" si="136"/>
        <v>-84.332053144978516</v>
      </c>
      <c r="AN256" s="351"/>
      <c r="AO256" s="337">
        <f t="shared" si="137"/>
        <v>38.195371060590915</v>
      </c>
      <c r="AP256" s="730">
        <f t="shared" si="138"/>
        <v>-95.663929345566061</v>
      </c>
      <c r="AS256" s="351"/>
      <c r="AT256" s="351"/>
      <c r="AV256" s="405">
        <f t="shared" si="139"/>
        <v>0</v>
      </c>
      <c r="AW256" s="405">
        <f t="shared" si="164"/>
        <v>0</v>
      </c>
      <c r="AX256" s="405">
        <f t="shared" si="140"/>
        <v>0</v>
      </c>
      <c r="AY256" s="405">
        <f t="shared" si="141"/>
        <v>0</v>
      </c>
    </row>
    <row r="257" spans="2:51" ht="13.5" thickBot="1" x14ac:dyDescent="0.25">
      <c r="B257" s="345">
        <v>15849</v>
      </c>
      <c r="C257" s="728" t="str">
        <f t="shared" si="124"/>
        <v>2.16217503399043</v>
      </c>
      <c r="D257" s="728" t="str">
        <f t="shared" si="125"/>
        <v>1+12.1158348119079i</v>
      </c>
      <c r="E257" s="337">
        <f t="shared" si="143"/>
        <v>12.15703307511497</v>
      </c>
      <c r="F257" s="338">
        <f t="shared" si="144"/>
        <v>1.4884463700870896</v>
      </c>
      <c r="G257" s="338" t="str">
        <f t="shared" si="126"/>
        <v>1+0.0497911019667447i</v>
      </c>
      <c r="H257" s="337">
        <f t="shared" si="145"/>
        <v>1.0012388095929277</v>
      </c>
      <c r="I257" s="338">
        <f t="shared" si="146"/>
        <v>4.9750016463356646E-2</v>
      </c>
      <c r="J257" s="340">
        <f t="shared" si="127"/>
        <v>1</v>
      </c>
      <c r="K257" s="338">
        <f t="shared" si="147"/>
        <v>1</v>
      </c>
      <c r="L257" s="339">
        <f t="shared" si="148"/>
        <v>0</v>
      </c>
      <c r="M257" s="731" t="str">
        <f t="shared" si="128"/>
        <v>0.9888359644+0.234082419947697i</v>
      </c>
      <c r="N257" s="338">
        <f t="shared" si="149"/>
        <v>1.0161649195969362</v>
      </c>
      <c r="O257" s="339">
        <f t="shared" si="150"/>
        <v>0.23244627033418552</v>
      </c>
      <c r="P257" s="732" t="str">
        <f t="shared" si="142"/>
        <v>-0.0175553296096859-0.174359859341917i</v>
      </c>
      <c r="Q257" s="337">
        <f t="shared" si="151"/>
        <v>0.17524140534541999</v>
      </c>
      <c r="R257" s="339">
        <f t="shared" si="152"/>
        <v>-1.6711426239579183</v>
      </c>
      <c r="S257" s="731" t="str">
        <f t="shared" si="129"/>
        <v>6000</v>
      </c>
      <c r="T257" s="337" t="str">
        <f t="shared" si="130"/>
        <v>1+100578.025972824i</v>
      </c>
      <c r="U257" s="346">
        <f t="shared" si="153"/>
        <v>100578.02597779526</v>
      </c>
      <c r="V257" s="347">
        <f t="shared" si="154"/>
        <v>1.5707863842653003</v>
      </c>
      <c r="W257" s="340" t="str">
        <f t="shared" si="131"/>
        <v>1+995.822039334893i</v>
      </c>
      <c r="X257" s="337">
        <f t="shared" si="155"/>
        <v>995.82254143251112</v>
      </c>
      <c r="Y257" s="339">
        <f t="shared" si="156"/>
        <v>1.5697921316431886</v>
      </c>
      <c r="Z257" s="337" t="str">
        <f t="shared" si="132"/>
        <v>1+10.0313696241182i</v>
      </c>
      <c r="AA257" s="346">
        <f t="shared" si="157"/>
        <v>10.081090046997961</v>
      </c>
      <c r="AB257" s="347">
        <f t="shared" si="158"/>
        <v>1.4714373029549395</v>
      </c>
      <c r="AC257" s="732" t="str">
        <f t="shared" si="159"/>
        <v>0.578710838758454-5.86432686132059i</v>
      </c>
      <c r="AD257" s="337">
        <f t="shared" si="160"/>
        <v>5.8928122124587263</v>
      </c>
      <c r="AE257" s="339">
        <f t="shared" si="161"/>
        <v>-1.4724315555770515</v>
      </c>
      <c r="AF257" s="736" t="str">
        <f t="shared" si="133"/>
        <v>-1.03266266619799+0.00204625054385089i</v>
      </c>
      <c r="AG257" s="337">
        <f t="shared" si="162"/>
        <v>0.27918657790392942</v>
      </c>
      <c r="AH257" s="730">
        <f t="shared" si="163"/>
        <v>179.88646692634569</v>
      </c>
      <c r="AI257" s="360">
        <f t="shared" si="134"/>
        <v>-0.11353307365430965</v>
      </c>
      <c r="AL257" s="337">
        <f t="shared" si="135"/>
        <v>15.406452031160073</v>
      </c>
      <c r="AM257" s="730">
        <f t="shared" si="136"/>
        <v>-84.364113756447566</v>
      </c>
      <c r="AN257" s="351"/>
      <c r="AO257" s="337">
        <f t="shared" si="137"/>
        <v>38.144665745483252</v>
      </c>
      <c r="AP257" s="730">
        <f t="shared" si="138"/>
        <v>-95.74941931720673</v>
      </c>
      <c r="AS257" s="351"/>
      <c r="AT257" s="351"/>
      <c r="AV257" s="405">
        <f t="shared" si="139"/>
        <v>0</v>
      </c>
      <c r="AW257" s="405">
        <f t="shared" si="164"/>
        <v>0</v>
      </c>
      <c r="AX257" s="405">
        <f t="shared" si="140"/>
        <v>0</v>
      </c>
      <c r="AY257" s="405">
        <f t="shared" si="141"/>
        <v>0</v>
      </c>
    </row>
    <row r="258" spans="2:51" ht="13.5" thickBot="1" x14ac:dyDescent="0.25">
      <c r="B258" s="345">
        <v>15941.25</v>
      </c>
      <c r="C258" s="728" t="str">
        <f t="shared" si="124"/>
        <v>2.16217503399043</v>
      </c>
      <c r="D258" s="728" t="str">
        <f t="shared" si="125"/>
        <v>1+12.1863557129994i</v>
      </c>
      <c r="E258" s="337">
        <f t="shared" si="143"/>
        <v>12.227316368024226</v>
      </c>
      <c r="F258" s="338">
        <f t="shared" si="144"/>
        <v>1.4889207858623235</v>
      </c>
      <c r="G258" s="338" t="str">
        <f t="shared" si="126"/>
        <v>1+0.0500809138890385i</v>
      </c>
      <c r="H258" s="337">
        <f t="shared" si="145"/>
        <v>1.0012532636331135</v>
      </c>
      <c r="I258" s="338">
        <f t="shared" si="146"/>
        <v>5.003910750481317E-2</v>
      </c>
      <c r="J258" s="340">
        <f t="shared" si="127"/>
        <v>1</v>
      </c>
      <c r="K258" s="338">
        <f t="shared" si="147"/>
        <v>1</v>
      </c>
      <c r="L258" s="339">
        <f t="shared" si="148"/>
        <v>0</v>
      </c>
      <c r="M258" s="731" t="str">
        <f t="shared" si="128"/>
        <v>0.988705624375+0.235444909899125i</v>
      </c>
      <c r="N258" s="338">
        <f t="shared" si="149"/>
        <v>1.0163528507699311</v>
      </c>
      <c r="O258" s="339">
        <f t="shared" si="150"/>
        <v>0.23378032692275505</v>
      </c>
      <c r="P258" s="732" t="str">
        <f t="shared" si="142"/>
        <v>-0.0177147762743524-0.17330136078602i</v>
      </c>
      <c r="Q258" s="337">
        <f t="shared" si="151"/>
        <v>0.1742044056524881</v>
      </c>
      <c r="R258" s="339">
        <f t="shared" si="152"/>
        <v>-1.6726620052802657</v>
      </c>
      <c r="S258" s="731" t="str">
        <f t="shared" si="129"/>
        <v>6000</v>
      </c>
      <c r="T258" s="337" t="str">
        <f t="shared" si="130"/>
        <v>1+101163.446055858i</v>
      </c>
      <c r="U258" s="346">
        <f t="shared" si="153"/>
        <v>101163.44606080049</v>
      </c>
      <c r="V258" s="347">
        <f t="shared" si="154"/>
        <v>1.5707864418014632</v>
      </c>
      <c r="W258" s="340" t="str">
        <f t="shared" si="131"/>
        <v>1+1001.61827778077i</v>
      </c>
      <c r="X258" s="337">
        <f t="shared" si="155"/>
        <v>1001.618776972814</v>
      </c>
      <c r="Y258" s="339">
        <f t="shared" si="156"/>
        <v>1.5697979427898057</v>
      </c>
      <c r="Z258" s="337" t="str">
        <f t="shared" si="132"/>
        <v>1+10.0897577778077i</v>
      </c>
      <c r="AA258" s="346">
        <f t="shared" si="157"/>
        <v>10.13919188174437</v>
      </c>
      <c r="AB258" s="347">
        <f t="shared" si="158"/>
        <v>1.4720085367987026</v>
      </c>
      <c r="AC258" s="732" t="str">
        <f t="shared" si="159"/>
        <v>0.572097329131722-5.83104620953397i</v>
      </c>
      <c r="AD258" s="337">
        <f t="shared" si="160"/>
        <v>5.8590438854577744</v>
      </c>
      <c r="AE258" s="339">
        <f t="shared" si="161"/>
        <v>-1.4729970358103595</v>
      </c>
      <c r="AF258" s="736" t="str">
        <f t="shared" si="133"/>
        <v>-1.02066281911112+0.00415043340672989i</v>
      </c>
      <c r="AG258" s="337">
        <f t="shared" si="162"/>
        <v>0.17771770302441531</v>
      </c>
      <c r="AH258" s="730">
        <f t="shared" si="163"/>
        <v>179.76701315833759</v>
      </c>
      <c r="AI258" s="360">
        <f t="shared" si="134"/>
        <v>-0.23298684166240946</v>
      </c>
      <c r="AL258" s="337">
        <f t="shared" si="135"/>
        <v>15.356535019514626</v>
      </c>
      <c r="AM258" s="730">
        <f t="shared" si="136"/>
        <v>-84.396513387214185</v>
      </c>
      <c r="AN258" s="351"/>
      <c r="AO258" s="337">
        <f t="shared" si="137"/>
        <v>38.093113882249256</v>
      </c>
      <c r="AP258" s="730">
        <f t="shared" si="138"/>
        <v>-95.836473454448239</v>
      </c>
      <c r="AS258" s="351"/>
      <c r="AT258" s="351"/>
      <c r="AV258" s="405">
        <f t="shared" si="139"/>
        <v>0</v>
      </c>
      <c r="AW258" s="405">
        <f t="shared" si="164"/>
        <v>0</v>
      </c>
      <c r="AX258" s="405">
        <f t="shared" si="140"/>
        <v>0</v>
      </c>
      <c r="AY258" s="405">
        <f t="shared" si="141"/>
        <v>0</v>
      </c>
    </row>
    <row r="259" spans="2:51" ht="13.5" thickBot="1" x14ac:dyDescent="0.25">
      <c r="B259" s="345">
        <v>16033.5</v>
      </c>
      <c r="C259" s="728" t="str">
        <f t="shared" si="124"/>
        <v>2.16217503399043</v>
      </c>
      <c r="D259" s="728" t="str">
        <f t="shared" si="125"/>
        <v>1+12.2568766140908i</v>
      </c>
      <c r="E259" s="337">
        <f t="shared" si="143"/>
        <v>12.297602381482578</v>
      </c>
      <c r="F259" s="338">
        <f t="shared" si="144"/>
        <v>1.489389778767366</v>
      </c>
      <c r="G259" s="338" t="str">
        <f t="shared" si="126"/>
        <v>1+0.050370725811332i</v>
      </c>
      <c r="H259" s="337">
        <f t="shared" si="145"/>
        <v>1.0012678013492495</v>
      </c>
      <c r="I259" s="338">
        <f t="shared" si="146"/>
        <v>5.0328190175624447E-2</v>
      </c>
      <c r="J259" s="340">
        <f t="shared" si="127"/>
        <v>1</v>
      </c>
      <c r="K259" s="338">
        <f t="shared" si="147"/>
        <v>1</v>
      </c>
      <c r="L259" s="339">
        <f t="shared" si="148"/>
        <v>0</v>
      </c>
      <c r="M259" s="731" t="str">
        <f t="shared" si="128"/>
        <v>0.9885745279+0.236807399850552i</v>
      </c>
      <c r="N259" s="338">
        <f t="shared" si="149"/>
        <v>1.0165418544441185</v>
      </c>
      <c r="O259" s="339">
        <f t="shared" si="150"/>
        <v>0.23511406122663414</v>
      </c>
      <c r="P259" s="732" t="str">
        <f t="shared" si="142"/>
        <v>-0.0178712620840627-0.172254480582562i</v>
      </c>
      <c r="Q259" s="337">
        <f t="shared" si="151"/>
        <v>0.17317906365737598</v>
      </c>
      <c r="R259" s="339">
        <f t="shared" si="152"/>
        <v>-1.6741756498183755</v>
      </c>
      <c r="S259" s="731" t="str">
        <f t="shared" si="129"/>
        <v>6000</v>
      </c>
      <c r="T259" s="337" t="str">
        <f t="shared" si="130"/>
        <v>1+101748.866138891i</v>
      </c>
      <c r="U259" s="346">
        <f t="shared" si="153"/>
        <v>101748.86614380506</v>
      </c>
      <c r="V259" s="347">
        <f t="shared" si="154"/>
        <v>1.5707864986755482</v>
      </c>
      <c r="W259" s="340" t="str">
        <f t="shared" si="131"/>
        <v>1+1007.41451622664i</v>
      </c>
      <c r="X259" s="337">
        <f t="shared" si="155"/>
        <v>1007.4150125465447</v>
      </c>
      <c r="Y259" s="339">
        <f t="shared" si="156"/>
        <v>1.5698036870667129</v>
      </c>
      <c r="Z259" s="337" t="str">
        <f t="shared" si="132"/>
        <v>1+10.1481459314972i</v>
      </c>
      <c r="AA259" s="346">
        <f t="shared" si="157"/>
        <v>10.197296987288503</v>
      </c>
      <c r="AB259" s="347">
        <f t="shared" si="158"/>
        <v>1.4725732609424584</v>
      </c>
      <c r="AC259" s="732" t="str">
        <f t="shared" si="159"/>
        <v>0.565596181080256-5.7981374513119i</v>
      </c>
      <c r="AD259" s="337">
        <f t="shared" si="160"/>
        <v>5.8256584987757591</v>
      </c>
      <c r="AE259" s="339">
        <f t="shared" si="161"/>
        <v>-1.4735560725512942</v>
      </c>
      <c r="AF259" s="736" t="str">
        <f t="shared" si="133"/>
        <v>-1.00886307260786+0.00619355760035414i</v>
      </c>
      <c r="AG259" s="337">
        <f t="shared" si="162"/>
        <v>7.680819573435195E-2</v>
      </c>
      <c r="AH259" s="730">
        <f t="shared" si="163"/>
        <v>179.64825726877254</v>
      </c>
      <c r="AI259" s="360">
        <f t="shared" si="134"/>
        <v>-0.35174273122746058</v>
      </c>
      <c r="AL259" s="337">
        <f t="shared" si="135"/>
        <v>15.306900452231158</v>
      </c>
      <c r="AM259" s="730">
        <f t="shared" si="136"/>
        <v>-84.428543833062491</v>
      </c>
      <c r="AN259" s="351"/>
      <c r="AO259" s="337">
        <f t="shared" si="137"/>
        <v>38.041838942242642</v>
      </c>
      <c r="AP259" s="730">
        <f t="shared" si="138"/>
        <v>-95.923198898164969</v>
      </c>
      <c r="AS259" s="351"/>
      <c r="AT259" s="351"/>
      <c r="AV259" s="405">
        <f t="shared" si="139"/>
        <v>16033.5</v>
      </c>
      <c r="AW259" s="405">
        <f t="shared" si="164"/>
        <v>-0.35174273122746058</v>
      </c>
      <c r="AX259" s="405">
        <f t="shared" si="140"/>
        <v>0</v>
      </c>
      <c r="AY259" s="405">
        <f t="shared" si="141"/>
        <v>0</v>
      </c>
    </row>
    <row r="260" spans="2:51" ht="13.5" thickBot="1" x14ac:dyDescent="0.25">
      <c r="B260" s="345">
        <v>16125.75</v>
      </c>
      <c r="C260" s="728" t="str">
        <f t="shared" si="124"/>
        <v>2.16217503399043</v>
      </c>
      <c r="D260" s="728" t="str">
        <f t="shared" si="125"/>
        <v>1+12.3273975151822i</v>
      </c>
      <c r="E260" s="337">
        <f t="shared" si="143"/>
        <v>12.367891069107953</v>
      </c>
      <c r="F260" s="338">
        <f t="shared" si="144"/>
        <v>1.4898534410512201</v>
      </c>
      <c r="G260" s="338" t="str">
        <f t="shared" si="126"/>
        <v>1+0.0506605377336255i</v>
      </c>
      <c r="H260" s="337">
        <f t="shared" si="145"/>
        <v>1.0012824227376911</v>
      </c>
      <c r="I260" s="338">
        <f t="shared" si="146"/>
        <v>5.0617264427839863E-2</v>
      </c>
      <c r="J260" s="340">
        <f t="shared" si="127"/>
        <v>1</v>
      </c>
      <c r="K260" s="338">
        <f t="shared" si="147"/>
        <v>1</v>
      </c>
      <c r="L260" s="339">
        <f t="shared" si="148"/>
        <v>0</v>
      </c>
      <c r="M260" s="731" t="str">
        <f t="shared" si="128"/>
        <v>0.988442674975+0.238169889801979i</v>
      </c>
      <c r="N260" s="338">
        <f t="shared" si="149"/>
        <v>1.0167319303139939</v>
      </c>
      <c r="O260" s="339">
        <f t="shared" si="150"/>
        <v>0.23644747157732596</v>
      </c>
      <c r="P260" s="732" t="str">
        <f t="shared" si="142"/>
        <v>-0.0180248527089172-0.171219025328387i</v>
      </c>
      <c r="Q260" s="337">
        <f t="shared" si="151"/>
        <v>0.17216518216405136</v>
      </c>
      <c r="R260" s="339">
        <f t="shared" si="152"/>
        <v>-1.6756836482007063</v>
      </c>
      <c r="S260" s="731" t="str">
        <f t="shared" si="129"/>
        <v>6000</v>
      </c>
      <c r="T260" s="337" t="str">
        <f t="shared" si="130"/>
        <v>1+102334.286221924i</v>
      </c>
      <c r="U260" s="346">
        <f t="shared" si="153"/>
        <v>102334.28622680994</v>
      </c>
      <c r="V260" s="347">
        <f t="shared" si="154"/>
        <v>1.5707865548989184</v>
      </c>
      <c r="W260" s="340" t="str">
        <f t="shared" si="131"/>
        <v>1+1013.21075467251i</v>
      </c>
      <c r="X260" s="337">
        <f t="shared" si="155"/>
        <v>1013.2112481531368</v>
      </c>
      <c r="Y260" s="339">
        <f t="shared" si="156"/>
        <v>1.5698093656215268</v>
      </c>
      <c r="Z260" s="337" t="str">
        <f t="shared" si="132"/>
        <v>1+10.2065340851866i</v>
      </c>
      <c r="AA260" s="346">
        <f t="shared" si="157"/>
        <v>10.255405308035169</v>
      </c>
      <c r="AB260" s="347">
        <f t="shared" si="158"/>
        <v>1.4731315856770684</v>
      </c>
      <c r="AC260" s="732" t="str">
        <f t="shared" si="159"/>
        <v>0.559204871758478-5.7655944513991i</v>
      </c>
      <c r="AD260" s="337">
        <f t="shared" si="160"/>
        <v>5.7926496067518629</v>
      </c>
      <c r="AE260" s="339">
        <f t="shared" si="161"/>
        <v>-1.4741087749544604</v>
      </c>
      <c r="AF260" s="736" t="str">
        <f t="shared" si="133"/>
        <v>-0.997259047854866+0.00817747766444681i</v>
      </c>
      <c r="AG260" s="337">
        <f t="shared" si="162"/>
        <v>-2.354828886673848E-2</v>
      </c>
      <c r="AH260" s="730">
        <f t="shared" si="163"/>
        <v>179.53018781092428</v>
      </c>
      <c r="AI260" s="360">
        <f t="shared" si="134"/>
        <v>-0.46981218907572497</v>
      </c>
      <c r="AL260" s="337">
        <f t="shared" si="135"/>
        <v>15.257545182594596</v>
      </c>
      <c r="AM260" s="730">
        <f t="shared" si="136"/>
        <v>-84.460211348090652</v>
      </c>
      <c r="AN260" s="351"/>
      <c r="AO260" s="337">
        <f t="shared" si="137"/>
        <v>37.990837727278091</v>
      </c>
      <c r="AP260" s="730">
        <f t="shared" si="138"/>
        <v>-96.009600840985073</v>
      </c>
      <c r="AS260" s="351"/>
      <c r="AT260" s="351"/>
      <c r="AV260" s="405">
        <f t="shared" si="139"/>
        <v>0</v>
      </c>
      <c r="AW260" s="405">
        <f t="shared" si="164"/>
        <v>0</v>
      </c>
      <c r="AX260" s="405">
        <f t="shared" si="140"/>
        <v>0</v>
      </c>
      <c r="AY260" s="405">
        <f t="shared" si="141"/>
        <v>0</v>
      </c>
    </row>
    <row r="261" spans="2:51" ht="13.5" thickBot="1" x14ac:dyDescent="0.25">
      <c r="B261" s="345">
        <v>16218</v>
      </c>
      <c r="C261" s="728" t="str">
        <f t="shared" si="124"/>
        <v>2.16217503399043</v>
      </c>
      <c r="D261" s="728" t="str">
        <f t="shared" si="125"/>
        <v>1+12.3979184162737i</v>
      </c>
      <c r="E261" s="337">
        <f t="shared" si="143"/>
        <v>12.438182385564966</v>
      </c>
      <c r="F261" s="338">
        <f t="shared" si="144"/>
        <v>1.4903118628868866</v>
      </c>
      <c r="G261" s="338" t="str">
        <f t="shared" si="126"/>
        <v>1+0.0509503496559195i</v>
      </c>
      <c r="H261" s="337">
        <f t="shared" si="145"/>
        <v>1.0012971277947722</v>
      </c>
      <c r="I261" s="338">
        <f t="shared" si="146"/>
        <v>5.0906330213517412E-2</v>
      </c>
      <c r="J261" s="340">
        <f t="shared" si="127"/>
        <v>1</v>
      </c>
      <c r="K261" s="338">
        <f t="shared" si="147"/>
        <v>1</v>
      </c>
      <c r="L261" s="339">
        <f t="shared" si="148"/>
        <v>0</v>
      </c>
      <c r="M261" s="731" t="str">
        <f t="shared" si="128"/>
        <v>0.9883100656+0.239532379753408i</v>
      </c>
      <c r="N261" s="338">
        <f t="shared" si="149"/>
        <v>1.0169230780725782</v>
      </c>
      <c r="O261" s="339">
        <f t="shared" si="150"/>
        <v>0.23778055630954695</v>
      </c>
      <c r="P261" s="732" t="str">
        <f t="shared" si="142"/>
        <v>-0.0181756119846873-0.170194805875517i</v>
      </c>
      <c r="Q261" s="337">
        <f t="shared" si="151"/>
        <v>0.17116256839047148</v>
      </c>
      <c r="R261" s="339">
        <f t="shared" si="152"/>
        <v>-1.677186088982916</v>
      </c>
      <c r="S261" s="731" t="str">
        <f t="shared" si="129"/>
        <v>6000</v>
      </c>
      <c r="T261" s="337" t="str">
        <f t="shared" si="130"/>
        <v>1+102919.706304957i</v>
      </c>
      <c r="U261" s="346">
        <f t="shared" si="153"/>
        <v>102919.70630981516</v>
      </c>
      <c r="V261" s="347">
        <f t="shared" si="154"/>
        <v>1.5707866104826773</v>
      </c>
      <c r="W261" s="340" t="str">
        <f t="shared" si="131"/>
        <v>1+1019.00699311839i</v>
      </c>
      <c r="X261" s="337">
        <f t="shared" si="155"/>
        <v>1019.0074837920389</v>
      </c>
      <c r="Y261" s="339">
        <f t="shared" si="156"/>
        <v>1.5698149795757519</v>
      </c>
      <c r="Z261" s="337" t="str">
        <f t="shared" si="132"/>
        <v>1+10.2649222388762i</v>
      </c>
      <c r="AA261" s="346">
        <f t="shared" si="157"/>
        <v>10.313516789639467</v>
      </c>
      <c r="AB261" s="347">
        <f t="shared" si="158"/>
        <v>1.4736836188238296</v>
      </c>
      <c r="AC261" s="732" t="str">
        <f t="shared" si="159"/>
        <v>0.552920948505055-5.73341120729521i</v>
      </c>
      <c r="AD261" s="337">
        <f t="shared" si="160"/>
        <v>5.7600109068676293</v>
      </c>
      <c r="AE261" s="339">
        <f t="shared" si="161"/>
        <v>-1.474655249730755</v>
      </c>
      <c r="AF261" s="736" t="str">
        <f t="shared" si="133"/>
        <v>-0.985846484048355+0.0101039839571307i</v>
      </c>
      <c r="AG261" s="337">
        <f t="shared" si="162"/>
        <v>-0.12335799048719201</v>
      </c>
      <c r="AH261" s="730">
        <f t="shared" si="163"/>
        <v>179.41279359684327</v>
      </c>
      <c r="AI261" s="360">
        <f t="shared" si="134"/>
        <v>-0.58720640315672767</v>
      </c>
      <c r="AL261" s="337">
        <f t="shared" si="135"/>
        <v>15.208466115644594</v>
      </c>
      <c r="AM261" s="730">
        <f t="shared" si="136"/>
        <v>-84.491522046382684</v>
      </c>
      <c r="AN261" s="351"/>
      <c r="AO261" s="337">
        <f t="shared" si="137"/>
        <v>37.940107092607647</v>
      </c>
      <c r="AP261" s="730">
        <f t="shared" si="138"/>
        <v>-96.095684356774029</v>
      </c>
      <c r="AS261" s="351"/>
      <c r="AT261" s="351"/>
      <c r="AV261" s="405">
        <f t="shared" si="139"/>
        <v>0</v>
      </c>
      <c r="AW261" s="405">
        <f t="shared" si="164"/>
        <v>0</v>
      </c>
      <c r="AX261" s="405">
        <f t="shared" si="140"/>
        <v>0</v>
      </c>
      <c r="AY261" s="405">
        <f t="shared" si="141"/>
        <v>0</v>
      </c>
    </row>
    <row r="262" spans="2:51" ht="13.5" thickBot="1" x14ac:dyDescent="0.25">
      <c r="B262" s="345">
        <v>16312.5</v>
      </c>
      <c r="C262" s="728" t="str">
        <f t="shared" si="124"/>
        <v>2.16217503399043</v>
      </c>
      <c r="D262" s="728" t="str">
        <f t="shared" si="125"/>
        <v>1+12.470159339343i</v>
      </c>
      <c r="E262" s="337">
        <f t="shared" si="143"/>
        <v>12.51019080384482</v>
      </c>
      <c r="F262" s="338">
        <f t="shared" si="144"/>
        <v>1.490776124149215</v>
      </c>
      <c r="G262" s="338" t="str">
        <f t="shared" si="126"/>
        <v>1+0.0512472301616835i</v>
      </c>
      <c r="H262" s="337">
        <f t="shared" si="145"/>
        <v>1.0013122782625032</v>
      </c>
      <c r="I262" s="338">
        <f t="shared" si="146"/>
        <v>5.1202437555296833E-2</v>
      </c>
      <c r="J262" s="340">
        <f t="shared" si="127"/>
        <v>1</v>
      </c>
      <c r="K262" s="338">
        <f t="shared" si="147"/>
        <v>1</v>
      </c>
      <c r="L262" s="339">
        <f t="shared" si="148"/>
        <v>0</v>
      </c>
      <c r="M262" s="731" t="str">
        <f t="shared" si="128"/>
        <v>0.9881734375+0.240928101167064i</v>
      </c>
      <c r="N262" s="338">
        <f t="shared" si="149"/>
        <v>1.0171199990721516</v>
      </c>
      <c r="O262" s="339">
        <f t="shared" si="150"/>
        <v>0.23914581593797876</v>
      </c>
      <c r="P262" s="732" t="str">
        <f t="shared" si="142"/>
        <v>-0.0183271774025895-0.169157062303922i</v>
      </c>
      <c r="Q262" s="337">
        <f t="shared" si="151"/>
        <v>0.17014698692259858</v>
      </c>
      <c r="R262" s="339">
        <f t="shared" si="152"/>
        <v>-1.6787195025318968</v>
      </c>
      <c r="S262" s="731" t="str">
        <f t="shared" si="129"/>
        <v>6000</v>
      </c>
      <c r="T262" s="337" t="str">
        <f t="shared" si="130"/>
        <v>1+103519.404926601i</v>
      </c>
      <c r="U262" s="346">
        <f t="shared" si="153"/>
        <v>103519.40493143101</v>
      </c>
      <c r="V262" s="347">
        <f t="shared" si="154"/>
        <v>1.5707866667702792</v>
      </c>
      <c r="W262" s="340" t="str">
        <f t="shared" si="131"/>
        <v>1+1024.94460323367i</v>
      </c>
      <c r="X262" s="337">
        <f t="shared" si="155"/>
        <v>1024.945091064797</v>
      </c>
      <c r="Y262" s="339">
        <f t="shared" si="156"/>
        <v>1.5698206646180928</v>
      </c>
      <c r="Z262" s="337" t="str">
        <f t="shared" si="132"/>
        <v>1+10.3247344938752i</v>
      </c>
      <c r="AA262" s="346">
        <f t="shared" si="157"/>
        <v>10.373048846362209</v>
      </c>
      <c r="AB262" s="347">
        <f t="shared" si="158"/>
        <v>1.4742427027365659</v>
      </c>
      <c r="AC262" s="732" t="str">
        <f t="shared" si="159"/>
        <v>0.546592613158648-5.70080989202869i</v>
      </c>
      <c r="AD262" s="337">
        <f t="shared" si="160"/>
        <v>5.7269535452814493</v>
      </c>
      <c r="AE262" s="339">
        <f t="shared" si="161"/>
        <v>-1.4752087048887521</v>
      </c>
      <c r="AF262" s="736" t="str">
        <f t="shared" si="133"/>
        <v>-0.974349753877015+0.0120197535107059i</v>
      </c>
      <c r="AG262" s="337">
        <f t="shared" si="162"/>
        <v>-0.2250415394359665</v>
      </c>
      <c r="AH262" s="730">
        <f t="shared" si="163"/>
        <v>179.29322482753554</v>
      </c>
      <c r="AI262" s="360">
        <f t="shared" si="134"/>
        <v>-0.70677517246446087</v>
      </c>
      <c r="AL262" s="337">
        <f t="shared" si="135"/>
        <v>15.158473206147322</v>
      </c>
      <c r="AM262" s="730">
        <f t="shared" si="136"/>
        <v>-84.523232691085667</v>
      </c>
      <c r="AN262" s="351"/>
      <c r="AO262" s="337">
        <f t="shared" si="137"/>
        <v>37.888416453156147</v>
      </c>
      <c r="AP262" s="730">
        <f t="shared" si="138"/>
        <v>-96.183542481378794</v>
      </c>
      <c r="AS262" s="351"/>
      <c r="AT262" s="351"/>
      <c r="AV262" s="405">
        <f t="shared" si="139"/>
        <v>0</v>
      </c>
      <c r="AW262" s="405">
        <f t="shared" si="164"/>
        <v>0</v>
      </c>
      <c r="AX262" s="405">
        <f t="shared" si="140"/>
        <v>0</v>
      </c>
      <c r="AY262" s="405">
        <f t="shared" si="141"/>
        <v>0</v>
      </c>
    </row>
    <row r="263" spans="2:51" ht="13.5" thickBot="1" x14ac:dyDescent="0.25">
      <c r="B263" s="345">
        <v>16407</v>
      </c>
      <c r="C263" s="728" t="str">
        <f t="shared" si="124"/>
        <v>2.16217503399043</v>
      </c>
      <c r="D263" s="728" t="str">
        <f t="shared" si="125"/>
        <v>1+12.5424002624122i</v>
      </c>
      <c r="E263" s="337">
        <f t="shared" si="143"/>
        <v>12.582201887688722</v>
      </c>
      <c r="F263" s="338">
        <f t="shared" si="144"/>
        <v>1.4912350713432123</v>
      </c>
      <c r="G263" s="338" t="str">
        <f t="shared" si="126"/>
        <v>1+0.0515441106674475i</v>
      </c>
      <c r="H263" s="337">
        <f t="shared" si="145"/>
        <v>1.0013275165221907</v>
      </c>
      <c r="I263" s="338">
        <f t="shared" si="146"/>
        <v>5.1498535910680279E-2</v>
      </c>
      <c r="J263" s="340">
        <f t="shared" si="127"/>
        <v>1</v>
      </c>
      <c r="K263" s="338">
        <f t="shared" si="147"/>
        <v>1</v>
      </c>
      <c r="L263" s="339">
        <f t="shared" si="148"/>
        <v>0</v>
      </c>
      <c r="M263" s="731" t="str">
        <f t="shared" si="128"/>
        <v>0.9880360156+0.242323822580721i</v>
      </c>
      <c r="N263" s="338">
        <f t="shared" si="149"/>
        <v>1.0173180442284784</v>
      </c>
      <c r="O263" s="339">
        <f t="shared" si="150"/>
        <v>0.24051073034315529</v>
      </c>
      <c r="P263" s="732" t="str">
        <f t="shared" si="142"/>
        <v>-0.0184759016428062-0.168130720682834i</v>
      </c>
      <c r="Q263" s="337">
        <f t="shared" si="151"/>
        <v>0.16914283366091451</v>
      </c>
      <c r="R263" s="339">
        <f t="shared" si="152"/>
        <v>-1.6802472657756862</v>
      </c>
      <c r="S263" s="731" t="str">
        <f t="shared" si="129"/>
        <v>6000</v>
      </c>
      <c r="T263" s="337" t="str">
        <f t="shared" si="130"/>
        <v>1+104119.103548244i</v>
      </c>
      <c r="U263" s="346">
        <f t="shared" si="153"/>
        <v>104119.10355304621</v>
      </c>
      <c r="V263" s="347">
        <f t="shared" si="154"/>
        <v>1.5707867224094776</v>
      </c>
      <c r="W263" s="340" t="str">
        <f t="shared" si="131"/>
        <v>1+1030.88221334895i</v>
      </c>
      <c r="X263" s="337">
        <f t="shared" si="155"/>
        <v>1030.8826983702995</v>
      </c>
      <c r="Y263" s="339">
        <f t="shared" si="156"/>
        <v>1.5698262841718016</v>
      </c>
      <c r="Z263" s="337" t="str">
        <f t="shared" si="132"/>
        <v>1+10.3845467488741i</v>
      </c>
      <c r="AA263" s="346">
        <f t="shared" si="157"/>
        <v>10.432584108434098</v>
      </c>
      <c r="AB263" s="347">
        <f t="shared" si="158"/>
        <v>1.4747954058112851</v>
      </c>
      <c r="AC263" s="732" t="str">
        <f t="shared" si="159"/>
        <v>0.540371971633636-5.66857375617223i</v>
      </c>
      <c r="AD263" s="337">
        <f t="shared" si="160"/>
        <v>5.6942717090855242</v>
      </c>
      <c r="AE263" s="339">
        <f t="shared" si="161"/>
        <v>-1.4757558440489609</v>
      </c>
      <c r="AF263" s="736" t="str">
        <f t="shared" si="133"/>
        <v>-0.963045250267469+0.0138788821464635i</v>
      </c>
      <c r="AG263" s="337">
        <f t="shared" si="162"/>
        <v>-0.32616423452799126</v>
      </c>
      <c r="AH263" s="730">
        <f t="shared" si="163"/>
        <v>179.17434167688489</v>
      </c>
      <c r="AI263" s="360">
        <f t="shared" si="134"/>
        <v>-0.8256583231151069</v>
      </c>
      <c r="AL263" s="337">
        <f t="shared" si="135"/>
        <v>15.108763723873038</v>
      </c>
      <c r="AM263" s="730">
        <f t="shared" si="136"/>
        <v>-84.554581455771967</v>
      </c>
      <c r="AN263" s="351"/>
      <c r="AO263" s="337">
        <f t="shared" si="137"/>
        <v>37.837003240338397</v>
      </c>
      <c r="AP263" s="730">
        <f t="shared" si="138"/>
        <v>-96.271076867343155</v>
      </c>
      <c r="AS263" s="351"/>
      <c r="AT263" s="351"/>
      <c r="AV263" s="405">
        <f t="shared" si="139"/>
        <v>0</v>
      </c>
      <c r="AW263" s="405">
        <f t="shared" si="164"/>
        <v>0</v>
      </c>
      <c r="AX263" s="405">
        <f t="shared" si="140"/>
        <v>0</v>
      </c>
      <c r="AY263" s="405">
        <f t="shared" si="141"/>
        <v>0</v>
      </c>
    </row>
    <row r="264" spans="2:51" ht="13.5" thickBot="1" x14ac:dyDescent="0.25">
      <c r="B264" s="345">
        <v>16501.5</v>
      </c>
      <c r="C264" s="728" t="str">
        <f t="shared" si="124"/>
        <v>2.16217503399043</v>
      </c>
      <c r="D264" s="728" t="str">
        <f t="shared" si="125"/>
        <v>1+12.6146411854816i</v>
      </c>
      <c r="E264" s="337">
        <f t="shared" si="143"/>
        <v>12.654215591590361</v>
      </c>
      <c r="F264" s="338">
        <f t="shared" si="144"/>
        <v>1.4916887949991509</v>
      </c>
      <c r="G264" s="338" t="str">
        <f t="shared" si="126"/>
        <v>1+0.051840991173212i</v>
      </c>
      <c r="H264" s="337">
        <f t="shared" si="145"/>
        <v>1.0013428425698268</v>
      </c>
      <c r="I264" s="338">
        <f t="shared" si="146"/>
        <v>5.1794625228159322E-2</v>
      </c>
      <c r="J264" s="340">
        <f t="shared" si="127"/>
        <v>1</v>
      </c>
      <c r="K264" s="338">
        <f t="shared" si="147"/>
        <v>1</v>
      </c>
      <c r="L264" s="339">
        <f t="shared" si="148"/>
        <v>0</v>
      </c>
      <c r="M264" s="731" t="str">
        <f t="shared" si="128"/>
        <v>0.9878977999+0.243719543994379i</v>
      </c>
      <c r="N264" s="338">
        <f t="shared" si="149"/>
        <v>1.0175172132067785</v>
      </c>
      <c r="O264" s="339">
        <f t="shared" si="150"/>
        <v>0.24187529774551816</v>
      </c>
      <c r="P264" s="732" t="str">
        <f t="shared" si="142"/>
        <v>-0.0186218477319417-0.167115590828918i</v>
      </c>
      <c r="Q264" s="337">
        <f t="shared" si="151"/>
        <v>0.16814991498971971</v>
      </c>
      <c r="R264" s="339">
        <f t="shared" si="152"/>
        <v>-1.6817694675165096</v>
      </c>
      <c r="S264" s="731" t="str">
        <f t="shared" si="129"/>
        <v>6000</v>
      </c>
      <c r="T264" s="337" t="str">
        <f t="shared" si="130"/>
        <v>1+104718.802169888i</v>
      </c>
      <c r="U264" s="346">
        <f t="shared" si="153"/>
        <v>104718.80217466272</v>
      </c>
      <c r="V264" s="347">
        <f t="shared" si="154"/>
        <v>1.5707867774114119</v>
      </c>
      <c r="W264" s="340" t="str">
        <f t="shared" si="131"/>
        <v>1+1036.81982346424i</v>
      </c>
      <c r="X264" s="337">
        <f t="shared" si="155"/>
        <v>1036.8203057079938</v>
      </c>
      <c r="Y264" s="339">
        <f t="shared" si="156"/>
        <v>1.5698318393619886</v>
      </c>
      <c r="Z264" s="337" t="str">
        <f t="shared" si="132"/>
        <v>1+10.4443590038732i</v>
      </c>
      <c r="AA264" s="346">
        <f t="shared" si="157"/>
        <v>10.492122521291256</v>
      </c>
      <c r="AB264" s="347">
        <f t="shared" si="158"/>
        <v>1.4753418363331736</v>
      </c>
      <c r="AC264" s="732" t="str">
        <f t="shared" si="159"/>
        <v>0.534256601569702-5.63669675777945i</v>
      </c>
      <c r="AD264" s="337">
        <f t="shared" si="160"/>
        <v>5.66195906515423</v>
      </c>
      <c r="AE264" s="339">
        <f t="shared" si="161"/>
        <v>-1.4762967743825972</v>
      </c>
      <c r="AF264" s="736" t="str">
        <f t="shared" si="133"/>
        <v>-0.951928754083975+0.0156831011089278i</v>
      </c>
      <c r="AG264" s="337">
        <f t="shared" si="162"/>
        <v>-0.4267324547031856</v>
      </c>
      <c r="AH264" s="730">
        <f t="shared" si="163"/>
        <v>179.05613291644028</v>
      </c>
      <c r="AI264" s="360">
        <f t="shared" si="134"/>
        <v>-0.9438670835597236</v>
      </c>
      <c r="AL264" s="337">
        <f t="shared" si="135"/>
        <v>15.059334503542122</v>
      </c>
      <c r="AM264" s="730">
        <f t="shared" si="136"/>
        <v>-84.585574480899936</v>
      </c>
      <c r="AN264" s="351"/>
      <c r="AO264" s="337">
        <f t="shared" si="137"/>
        <v>37.785864240494121</v>
      </c>
      <c r="AP264" s="730">
        <f t="shared" si="138"/>
        <v>-96.358292602659802</v>
      </c>
      <c r="AS264" s="351"/>
      <c r="AT264" s="351"/>
      <c r="AV264" s="405">
        <f t="shared" si="139"/>
        <v>0</v>
      </c>
      <c r="AW264" s="405">
        <f t="shared" si="164"/>
        <v>0</v>
      </c>
      <c r="AX264" s="405">
        <f t="shared" si="140"/>
        <v>0</v>
      </c>
      <c r="AY264" s="405">
        <f t="shared" si="141"/>
        <v>0</v>
      </c>
    </row>
    <row r="265" spans="2:51" ht="13.5" thickBot="1" x14ac:dyDescent="0.25">
      <c r="B265" s="345">
        <v>16596</v>
      </c>
      <c r="C265" s="728" t="str">
        <f t="shared" si="124"/>
        <v>2.16217503399043</v>
      </c>
      <c r="D265" s="728" t="str">
        <f t="shared" si="125"/>
        <v>1+12.6868821085508i</v>
      </c>
      <c r="E265" s="337">
        <f t="shared" si="143"/>
        <v>12.726231871071121</v>
      </c>
      <c r="F265" s="338">
        <f t="shared" si="144"/>
        <v>1.4921373836068119</v>
      </c>
      <c r="G265" s="338" t="str">
        <f t="shared" si="126"/>
        <v>1+0.052137871678976i</v>
      </c>
      <c r="H265" s="337">
        <f t="shared" si="145"/>
        <v>1.0013582564013808</v>
      </c>
      <c r="I265" s="338">
        <f t="shared" si="146"/>
        <v>5.2090705456233483E-2</v>
      </c>
      <c r="J265" s="340">
        <f t="shared" si="127"/>
        <v>1</v>
      </c>
      <c r="K265" s="338">
        <f t="shared" si="147"/>
        <v>1</v>
      </c>
      <c r="L265" s="339">
        <f t="shared" si="148"/>
        <v>0</v>
      </c>
      <c r="M265" s="731" t="str">
        <f t="shared" si="128"/>
        <v>0.9877587904+0.245115265408036i</v>
      </c>
      <c r="N265" s="338">
        <f t="shared" si="149"/>
        <v>1.0177175056706664</v>
      </c>
      <c r="O265" s="339">
        <f t="shared" si="150"/>
        <v>0.24323951636910329</v>
      </c>
      <c r="P265" s="732" t="str">
        <f t="shared" si="142"/>
        <v>-0.0187650769336872-0.166111486754483i</v>
      </c>
      <c r="Q265" s="337">
        <f t="shared" si="151"/>
        <v>0.16716804163509238</v>
      </c>
      <c r="R265" s="339">
        <f t="shared" si="152"/>
        <v>-1.6832861945196804</v>
      </c>
      <c r="S265" s="731" t="str">
        <f t="shared" si="129"/>
        <v>6000</v>
      </c>
      <c r="T265" s="337" t="str">
        <f t="shared" si="130"/>
        <v>1+105318.500791532i</v>
      </c>
      <c r="U265" s="346">
        <f t="shared" si="153"/>
        <v>105318.50079627952</v>
      </c>
      <c r="V265" s="347">
        <f t="shared" si="154"/>
        <v>1.5707868317869687</v>
      </c>
      <c r="W265" s="340" t="str">
        <f t="shared" si="131"/>
        <v>1+1042.75743357952i</v>
      </c>
      <c r="X265" s="337">
        <f t="shared" si="155"/>
        <v>1042.7579130773101</v>
      </c>
      <c r="Y265" s="339">
        <f t="shared" si="156"/>
        <v>1.5698373312881375</v>
      </c>
      <c r="Z265" s="337" t="str">
        <f t="shared" si="132"/>
        <v>1+10.5041712588721i</v>
      </c>
      <c r="AA265" s="346">
        <f t="shared" si="157"/>
        <v>10.551664031597799</v>
      </c>
      <c r="AB265" s="347">
        <f t="shared" si="158"/>
        <v>1.4758821001584397</v>
      </c>
      <c r="AC265" s="732" t="str">
        <f t="shared" si="159"/>
        <v>0.528244148125234-5.60517298609155i</v>
      </c>
      <c r="AD265" s="337">
        <f t="shared" si="160"/>
        <v>5.6300094213099694</v>
      </c>
      <c r="AE265" s="339">
        <f t="shared" si="161"/>
        <v>-1.4768316006572708</v>
      </c>
      <c r="AF265" s="736" t="str">
        <f t="shared" si="133"/>
        <v>-0.940996160315073+0.0174340814961952i</v>
      </c>
      <c r="AG265" s="337">
        <f t="shared" si="162"/>
        <v>-0.52675247285481031</v>
      </c>
      <c r="AH265" s="730">
        <f t="shared" si="163"/>
        <v>178.93858757217353</v>
      </c>
      <c r="AI265" s="360">
        <f t="shared" si="134"/>
        <v>-1.0614124278264683</v>
      </c>
      <c r="AL265" s="337">
        <f t="shared" si="135"/>
        <v>15.010182432087348</v>
      </c>
      <c r="AM265" s="730">
        <f t="shared" si="136"/>
        <v>-84.616217769211431</v>
      </c>
      <c r="AN265" s="351"/>
      <c r="AO265" s="337">
        <f t="shared" si="137"/>
        <v>37.734996293797273</v>
      </c>
      <c r="AP265" s="730">
        <f t="shared" si="138"/>
        <v>-96.445194658615009</v>
      </c>
      <c r="AS265" s="351"/>
      <c r="AT265" s="351"/>
      <c r="AV265" s="405">
        <f t="shared" si="139"/>
        <v>0</v>
      </c>
      <c r="AW265" s="405">
        <f t="shared" si="164"/>
        <v>0</v>
      </c>
      <c r="AX265" s="405">
        <f t="shared" si="140"/>
        <v>0</v>
      </c>
      <c r="AY265" s="405">
        <f t="shared" si="141"/>
        <v>0</v>
      </c>
    </row>
    <row r="266" spans="2:51" ht="13.5" thickBot="1" x14ac:dyDescent="0.25">
      <c r="B266" s="345">
        <v>16692.5</v>
      </c>
      <c r="C266" s="728" t="str">
        <f t="shared" si="124"/>
        <v>2.16217503399043</v>
      </c>
      <c r="D266" s="728" t="str">
        <f t="shared" si="125"/>
        <v>1+12.7606519400449i</v>
      </c>
      <c r="E266" s="337">
        <f t="shared" si="143"/>
        <v>12.79977491735584</v>
      </c>
      <c r="F266" s="338">
        <f t="shared" si="144"/>
        <v>1.4925902568286196</v>
      </c>
      <c r="G266" s="338" t="str">
        <f t="shared" si="126"/>
        <v>1+0.0524410353700475i</v>
      </c>
      <c r="H266" s="337">
        <f t="shared" si="145"/>
        <v>1.0013740870377477</v>
      </c>
      <c r="I266" s="338">
        <f t="shared" si="146"/>
        <v>5.2393042499017779E-2</v>
      </c>
      <c r="J266" s="340">
        <f t="shared" si="127"/>
        <v>1</v>
      </c>
      <c r="K266" s="338">
        <f t="shared" si="147"/>
        <v>1</v>
      </c>
      <c r="L266" s="339">
        <f t="shared" si="148"/>
        <v>0</v>
      </c>
      <c r="M266" s="731" t="str">
        <f t="shared" si="128"/>
        <v>0.987616019722222+0.246540525899231i</v>
      </c>
      <c r="N266" s="338">
        <f t="shared" si="149"/>
        <v>1.0179231961806519</v>
      </c>
      <c r="O266" s="339">
        <f t="shared" si="150"/>
        <v>0.24463224557338323</v>
      </c>
      <c r="P266" s="732" t="str">
        <f t="shared" si="142"/>
        <v>-0.0189085955832952-0.165097321049545i</v>
      </c>
      <c r="Q266" s="337">
        <f t="shared" si="151"/>
        <v>0.16617659403378426</v>
      </c>
      <c r="R266" s="339">
        <f t="shared" si="152"/>
        <v>-1.6848294599029852</v>
      </c>
      <c r="S266" s="731" t="str">
        <f t="shared" si="129"/>
        <v>6000</v>
      </c>
      <c r="T266" s="337" t="str">
        <f t="shared" si="130"/>
        <v>1+105930.891447496i</v>
      </c>
      <c r="U266" s="346">
        <f t="shared" si="153"/>
        <v>105930.89145221606</v>
      </c>
      <c r="V266" s="347">
        <f t="shared" si="154"/>
        <v>1.5707868866779835</v>
      </c>
      <c r="W266" s="340" t="str">
        <f t="shared" si="131"/>
        <v>1+1048.82070740095i</v>
      </c>
      <c r="X266" s="337">
        <f t="shared" si="155"/>
        <v>1048.8211841267457</v>
      </c>
      <c r="Y266" s="339">
        <f t="shared" si="156"/>
        <v>1.5698428752755662</v>
      </c>
      <c r="Z266" s="337" t="str">
        <f t="shared" si="132"/>
        <v>1+10.5652493817018i</v>
      </c>
      <c r="AA266" s="346">
        <f t="shared" si="157"/>
        <v>10.612468821982484</v>
      </c>
      <c r="AB266" s="347">
        <f t="shared" si="158"/>
        <v>1.4764275418371451</v>
      </c>
      <c r="AC266" s="732" t="str">
        <f t="shared" si="159"/>
        <v>0.522208274773191-5.57334055461757i</v>
      </c>
      <c r="AD266" s="337">
        <f t="shared" si="160"/>
        <v>5.5977519076845903</v>
      </c>
      <c r="AE266" s="339">
        <f t="shared" si="161"/>
        <v>-1.4773715532395624</v>
      </c>
      <c r="AF266" s="736" t="str">
        <f t="shared" si="133"/>
        <v>-0.930017819942083+0.0191688554002833i</v>
      </c>
      <c r="AG266" s="337">
        <f t="shared" si="162"/>
        <v>-0.62832999949384838</v>
      </c>
      <c r="AH266" s="730">
        <f t="shared" si="163"/>
        <v>178.81922797493905</v>
      </c>
      <c r="AI266" s="360">
        <f t="shared" si="134"/>
        <v>-1.1807720250609464</v>
      </c>
      <c r="AL266" s="337">
        <f t="shared" si="135"/>
        <v>14.960272932580787</v>
      </c>
      <c r="AM266" s="730">
        <f t="shared" si="136"/>
        <v>-84.647154773313929</v>
      </c>
      <c r="AN266" s="351"/>
      <c r="AO266" s="337">
        <f t="shared" si="137"/>
        <v>37.683328266664795</v>
      </c>
      <c r="AP266" s="730">
        <f t="shared" si="138"/>
        <v>-96.533617251747017</v>
      </c>
      <c r="AS266" s="351"/>
      <c r="AT266" s="351"/>
      <c r="AV266" s="405">
        <f t="shared" si="139"/>
        <v>0</v>
      </c>
      <c r="AW266" s="405">
        <f t="shared" si="164"/>
        <v>0</v>
      </c>
      <c r="AX266" s="405">
        <f t="shared" si="140"/>
        <v>0</v>
      </c>
      <c r="AY266" s="405">
        <f t="shared" si="141"/>
        <v>0</v>
      </c>
    </row>
    <row r="267" spans="2:51" ht="13.5" thickBot="1" x14ac:dyDescent="0.25">
      <c r="B267" s="345">
        <v>16789</v>
      </c>
      <c r="C267" s="728" t="str">
        <f t="shared" si="124"/>
        <v>2.16217503399043</v>
      </c>
      <c r="D267" s="728" t="str">
        <f t="shared" si="125"/>
        <v>1+12.834421771539i</v>
      </c>
      <c r="E267" s="337">
        <f t="shared" si="143"/>
        <v>12.873320558805109</v>
      </c>
      <c r="F267" s="338">
        <f t="shared" si="144"/>
        <v>1.4930379555865365</v>
      </c>
      <c r="G267" s="338" t="str">
        <f t="shared" si="126"/>
        <v>1+0.052744199061119i</v>
      </c>
      <c r="H267" s="337">
        <f t="shared" si="145"/>
        <v>1.0013900092045052</v>
      </c>
      <c r="I267" s="338">
        <f t="shared" si="146"/>
        <v>5.2695369955078827E-2</v>
      </c>
      <c r="J267" s="340">
        <f t="shared" si="127"/>
        <v>1</v>
      </c>
      <c r="K267" s="338">
        <f t="shared" si="147"/>
        <v>1</v>
      </c>
      <c r="L267" s="339">
        <f t="shared" si="148"/>
        <v>0</v>
      </c>
      <c r="M267" s="731" t="str">
        <f t="shared" si="128"/>
        <v>0.987472421288889+0.247965786390427i</v>
      </c>
      <c r="N267" s="338">
        <f t="shared" si="149"/>
        <v>1.0181300575203367</v>
      </c>
      <c r="O267" s="339">
        <f t="shared" si="150"/>
        <v>0.24602460734801002</v>
      </c>
      <c r="P267" s="732" t="str">
        <f t="shared" si="142"/>
        <v>-0.0190494048788825-0.164094273659623i</v>
      </c>
      <c r="Q267" s="337">
        <f t="shared" si="151"/>
        <v>0.16519627863277928</v>
      </c>
      <c r="R267" s="339">
        <f t="shared" si="152"/>
        <v>-1.6863671929794677</v>
      </c>
      <c r="S267" s="731" t="str">
        <f t="shared" si="129"/>
        <v>6000</v>
      </c>
      <c r="T267" s="337" t="str">
        <f t="shared" si="130"/>
        <v>1+106543.28210346i</v>
      </c>
      <c r="U267" s="346">
        <f t="shared" si="153"/>
        <v>106543.28210815294</v>
      </c>
      <c r="V267" s="347">
        <f t="shared" si="154"/>
        <v>1.570786940937992</v>
      </c>
      <c r="W267" s="340" t="str">
        <f t="shared" si="131"/>
        <v>1+1054.88398122238i</v>
      </c>
      <c r="X267" s="337">
        <f t="shared" si="155"/>
        <v>1054.8844552080473</v>
      </c>
      <c r="Y267" s="339">
        <f t="shared" si="156"/>
        <v>1.569848355531468</v>
      </c>
      <c r="Z267" s="337" t="str">
        <f t="shared" si="132"/>
        <v>1+10.6263275045315i</v>
      </c>
      <c r="AA267" s="346">
        <f t="shared" si="157"/>
        <v>10.673276733672873</v>
      </c>
      <c r="AB267" s="347">
        <f t="shared" si="158"/>
        <v>1.4769667686818784</v>
      </c>
      <c r="AC267" s="732" t="str">
        <f t="shared" si="159"/>
        <v>0.516274963010657-5.54186440510781i</v>
      </c>
      <c r="AD267" s="337">
        <f t="shared" si="160"/>
        <v>5.5658603038553354</v>
      </c>
      <c r="AE267" s="339">
        <f t="shared" si="161"/>
        <v>-1.4779053540884024</v>
      </c>
      <c r="AF267" s="736" t="str">
        <f t="shared" si="133"/>
        <v>-0.919222945075505+0.0208514537728835i</v>
      </c>
      <c r="AG267" s="337">
        <f t="shared" si="162"/>
        <v>-0.72934876694258677</v>
      </c>
      <c r="AH267" s="730">
        <f t="shared" si="163"/>
        <v>178.70053782389991</v>
      </c>
      <c r="AI267" s="360">
        <f t="shared" si="134"/>
        <v>-1.2994621761000928</v>
      </c>
      <c r="AL267" s="337">
        <f t="shared" si="135"/>
        <v>14.910646037710659</v>
      </c>
      <c r="AM267" s="730">
        <f t="shared" si="136"/>
        <v>-84.677739309052967</v>
      </c>
      <c r="AN267" s="351"/>
      <c r="AO267" s="337">
        <f t="shared" si="137"/>
        <v>37.631936394086189</v>
      </c>
      <c r="AP267" s="730">
        <f t="shared" si="138"/>
        <v>-96.621722867047112</v>
      </c>
      <c r="AS267" s="351"/>
      <c r="AT267" s="351"/>
      <c r="AV267" s="405">
        <f t="shared" si="139"/>
        <v>0</v>
      </c>
      <c r="AW267" s="405">
        <f t="shared" si="164"/>
        <v>0</v>
      </c>
      <c r="AX267" s="405">
        <f t="shared" si="140"/>
        <v>0</v>
      </c>
      <c r="AY267" s="405">
        <f t="shared" si="141"/>
        <v>0</v>
      </c>
    </row>
    <row r="268" spans="2:51" ht="13.5" thickBot="1" x14ac:dyDescent="0.25">
      <c r="B268" s="345">
        <v>16885.5</v>
      </c>
      <c r="C268" s="728" t="str">
        <f t="shared" si="124"/>
        <v>2.16217503399043</v>
      </c>
      <c r="D268" s="728" t="str">
        <f t="shared" si="125"/>
        <v>1+12.908191603033i</v>
      </c>
      <c r="E268" s="337">
        <f t="shared" si="143"/>
        <v>12.946868751192762</v>
      </c>
      <c r="F268" s="338">
        <f t="shared" si="144"/>
        <v>1.4934805678843757</v>
      </c>
      <c r="G268" s="338" t="str">
        <f t="shared" si="126"/>
        <v>1+0.0530473627521905i</v>
      </c>
      <c r="H268" s="337">
        <f t="shared" si="145"/>
        <v>1.0014060228972874</v>
      </c>
      <c r="I268" s="338">
        <f t="shared" si="146"/>
        <v>5.2997687769608622E-2</v>
      </c>
      <c r="J268" s="340">
        <f t="shared" si="127"/>
        <v>1</v>
      </c>
      <c r="K268" s="338">
        <f t="shared" si="147"/>
        <v>1</v>
      </c>
      <c r="L268" s="339">
        <f t="shared" si="148"/>
        <v>0</v>
      </c>
      <c r="M268" s="731" t="str">
        <f t="shared" si="128"/>
        <v>0.9873279951+0.249391046881623i</v>
      </c>
      <c r="N268" s="338">
        <f t="shared" si="149"/>
        <v>1.0183380893263776</v>
      </c>
      <c r="O268" s="339">
        <f t="shared" si="150"/>
        <v>0.24741659981356226</v>
      </c>
      <c r="P268" s="732" t="str">
        <f t="shared" si="142"/>
        <v>-0.0191875647390073-0.163102159353917i</v>
      </c>
      <c r="Q268" s="337">
        <f t="shared" si="151"/>
        <v>0.16422690713316174</v>
      </c>
      <c r="R268" s="339">
        <f t="shared" si="152"/>
        <v>-1.6878994799283307</v>
      </c>
      <c r="S268" s="731" t="str">
        <f t="shared" si="129"/>
        <v>6000</v>
      </c>
      <c r="T268" s="337" t="str">
        <f t="shared" si="130"/>
        <v>1+107155.672759425i</v>
      </c>
      <c r="U268" s="346">
        <f t="shared" si="153"/>
        <v>107155.67276409111</v>
      </c>
      <c r="V268" s="347">
        <f t="shared" si="154"/>
        <v>1.5707869945778126</v>
      </c>
      <c r="W268" s="340" t="str">
        <f t="shared" si="131"/>
        <v>1+1060.94725504381i</v>
      </c>
      <c r="X268" s="337">
        <f t="shared" si="155"/>
        <v>1060.9477263206679</v>
      </c>
      <c r="Y268" s="339">
        <f t="shared" si="156"/>
        <v>1.5698537731485112</v>
      </c>
      <c r="Z268" s="337" t="str">
        <f t="shared" si="132"/>
        <v>1+10.6874056273612i</v>
      </c>
      <c r="AA268" s="346">
        <f t="shared" si="157"/>
        <v>10.73408771362298</v>
      </c>
      <c r="AB268" s="347">
        <f t="shared" si="158"/>
        <v>1.4774998860015924</v>
      </c>
      <c r="AC268" s="732" t="str">
        <f t="shared" si="159"/>
        <v>0.510441909061117-5.51073864470774i</v>
      </c>
      <c r="AD268" s="337">
        <f t="shared" si="160"/>
        <v>5.5343284464152696</v>
      </c>
      <c r="AE268" s="339">
        <f t="shared" si="161"/>
        <v>-1.4784331074308938</v>
      </c>
      <c r="AF268" s="736" t="str">
        <f t="shared" si="133"/>
        <v>-0.908607509762523+0.0224834769124752i</v>
      </c>
      <c r="AG268" s="337">
        <f t="shared" si="162"/>
        <v>-0.82981512730689699</v>
      </c>
      <c r="AH268" s="730">
        <f t="shared" si="163"/>
        <v>178.58250620957841</v>
      </c>
      <c r="AI268" s="360">
        <f t="shared" si="134"/>
        <v>-1.4174937904215881</v>
      </c>
      <c r="AL268" s="337">
        <f t="shared" si="135"/>
        <v>14.861298593868666</v>
      </c>
      <c r="AM268" s="730">
        <f t="shared" si="136"/>
        <v>-84.707977348201638</v>
      </c>
      <c r="AN268" s="351"/>
      <c r="AO268" s="337">
        <f t="shared" si="137"/>
        <v>37.580817477563869</v>
      </c>
      <c r="AP268" s="730">
        <f t="shared" si="138"/>
        <v>-96.709516442219936</v>
      </c>
      <c r="AS268" s="351"/>
      <c r="AT268" s="351"/>
      <c r="AV268" s="405">
        <f t="shared" si="139"/>
        <v>0</v>
      </c>
      <c r="AW268" s="405">
        <f t="shared" si="164"/>
        <v>0</v>
      </c>
      <c r="AX268" s="405">
        <f t="shared" si="140"/>
        <v>0</v>
      </c>
      <c r="AY268" s="405">
        <f t="shared" si="141"/>
        <v>0</v>
      </c>
    </row>
    <row r="269" spans="2:51" ht="13.5" thickBot="1" x14ac:dyDescent="0.25">
      <c r="B269" s="345">
        <v>16982</v>
      </c>
      <c r="C269" s="728" t="str">
        <f t="shared" ref="C269:C332" si="165">COMPLEX(Am*Afb,0)</f>
        <v>2.16217503399043</v>
      </c>
      <c r="D269" s="728" t="str">
        <f t="shared" ref="D269:D332" si="166">IMSUM(COMPLEX(1,0),IMDIV(COMPLEX(0,2*PI()*B269),COMPLEX(2*PI()*PS_Pole1,0)))</f>
        <v>1+12.9819614345271i</v>
      </c>
      <c r="E269" s="337">
        <f t="shared" si="143"/>
        <v>13.020419451290691</v>
      </c>
      <c r="F269" s="338">
        <f t="shared" si="144"/>
        <v>1.4939181797455368</v>
      </c>
      <c r="G269" s="338" t="str">
        <f t="shared" ref="G269:G332" si="167">IMSUM(COMPLEX(1,0),IMDIV(COMPLEX(0,2*PI()*B269),COMPLEX(2*PI()*PS_Zero1,0)))</f>
        <v>1+0.053350526443262i</v>
      </c>
      <c r="H269" s="337">
        <f t="shared" si="145"/>
        <v>1.0014221281117035</v>
      </c>
      <c r="I269" s="338">
        <f t="shared" si="146"/>
        <v>5.329999588780971E-2</v>
      </c>
      <c r="J269" s="340">
        <f t="shared" ref="J269:J332" si="168">IF(VIN_nom&gt;Vout, 1,IMSUB(COMPLEX(1,0),IMDIV(COMPLEX(0,2*PI()*B269),COMPLEX(2*PI()*PS_RHPZ,0))))</f>
        <v>1</v>
      </c>
      <c r="K269" s="338">
        <f t="shared" si="147"/>
        <v>1</v>
      </c>
      <c r="L269" s="339">
        <f t="shared" si="148"/>
        <v>0</v>
      </c>
      <c r="M269" s="731" t="str">
        <f t="shared" ref="M269:M332" si="169">IMSUM(COMPLEX(1,0),IMDIV(COMPLEX(0,2*PI()*B269),COMPLEX(Q*(2*PI()*PS_Pole2/2),0)),IMDIV(IMPOWER(COMPLEX(0,2*PI()*B269),2),IMPOWER(COMPLEX(2*PI()*PS_Pole2/2,0),2)))</f>
        <v>0.987182741155555+0.250816307372818i</v>
      </c>
      <c r="N269" s="338">
        <f t="shared" si="149"/>
        <v>1.0185472912337117</v>
      </c>
      <c r="O269" s="339">
        <f t="shared" si="150"/>
        <v>0.24880822109459233</v>
      </c>
      <c r="P269" s="732" t="str">
        <f t="shared" si="142"/>
        <v>-0.0193231334092395-0.162120796985999i</v>
      </c>
      <c r="Q269" s="337">
        <f t="shared" si="151"/>
        <v>0.1632682954529959</v>
      </c>
      <c r="R269" s="339">
        <f t="shared" si="152"/>
        <v>-1.6894264049523189</v>
      </c>
      <c r="S269" s="731" t="str">
        <f t="shared" ref="S269:S332" si="170">COMPLEX(AEA,0)</f>
        <v>6000</v>
      </c>
      <c r="T269" s="337" t="str">
        <f t="shared" ref="T269:T332" si="171">IMSUM(COMPLEX(1,0),IMDIV(COMPLEX(0,2*PI()*B269),COMPLEX(2*PI()*EA_Pole1,0)))</f>
        <v>1+107768.063415389i</v>
      </c>
      <c r="U269" s="346">
        <f t="shared" si="153"/>
        <v>107768.0634200286</v>
      </c>
      <c r="V269" s="347">
        <f t="shared" si="154"/>
        <v>1.5707870476080181</v>
      </c>
      <c r="W269" s="340" t="str">
        <f t="shared" ref="W269:W332" si="172">IMSUM(COMPLEX(1,0),IMDIV(COMPLEX(0,2*PI()*B269),COMPLEX(2*PI()*EA_Zero1,0)))</f>
        <v>1+1067.01052886524i</v>
      </c>
      <c r="X269" s="337">
        <f t="shared" si="155"/>
        <v>1067.0109974640745</v>
      </c>
      <c r="Y269" s="339">
        <f t="shared" si="156"/>
        <v>1.5698591291945283</v>
      </c>
      <c r="Z269" s="337" t="str">
        <f t="shared" ref="Z269:Z332" si="173">IMSUM(COMPLEX(1,0),IMDIV(COMPLEX(0,2*PI()*B269),COMPLEX(2*PI()*EA_Pole2,0)))</f>
        <v>1+10.7484837501909i</v>
      </c>
      <c r="AA269" s="346">
        <f t="shared" si="157"/>
        <v>10.794901709979477</v>
      </c>
      <c r="AB269" s="347">
        <f t="shared" si="158"/>
        <v>1.4780269967462434</v>
      </c>
      <c r="AC269" s="732" t="str">
        <f t="shared" si="159"/>
        <v>0.50470687328342-5.4799575085402i</v>
      </c>
      <c r="AD269" s="337">
        <f t="shared" si="160"/>
        <v>5.5031503089908105</v>
      </c>
      <c r="AE269" s="339">
        <f t="shared" si="161"/>
        <v>-1.4789549151597332</v>
      </c>
      <c r="AF269" s="736" t="str">
        <f t="shared" ref="AF269:AF332" si="174">IMPRODUCT(P269,AC269)</f>
        <v>-0.898167596978962+0.0240664694734663i</v>
      </c>
      <c r="AG269" s="337">
        <f t="shared" si="162"/>
        <v>-0.92973532714186513</v>
      </c>
      <c r="AH269" s="730">
        <f t="shared" si="163"/>
        <v>178.46512246949115</v>
      </c>
      <c r="AI269" s="360">
        <f t="shared" ref="AI269:AI332" si="175">IF(AH269&gt;0,AH269-180,AH269+180)</f>
        <v>-1.5348775305088509</v>
      </c>
      <c r="AL269" s="337">
        <f t="shared" ref="AL269:AL332" si="176">20*LOG10(IMABS(AC269))</f>
        <v>14.812227499449728</v>
      </c>
      <c r="AM269" s="730">
        <f t="shared" ref="AM269:AM332" si="177">(180/PI())*IMARGUMENT(AC269)</f>
        <v>-84.737874728781449</v>
      </c>
      <c r="AN269" s="351"/>
      <c r="AO269" s="337">
        <f t="shared" ref="AO269:AO332" si="178">20*LOG10(IMABS(IMPRODUCT(COMPLEX(Am/Afb,0),P269)))</f>
        <v>37.529968372147835</v>
      </c>
      <c r="AP269" s="730">
        <f t="shared" ref="AP269:AP332" si="179">180/PI()*IMARGUMENT(IMPRODUCT(COMPLEX(Am/Afb,0),P269))</f>
        <v>-96.797002801727388</v>
      </c>
      <c r="AS269" s="351"/>
      <c r="AT269" s="351"/>
      <c r="AV269" s="405">
        <f t="shared" ref="AV269:AV332" si="180">SUM((AG270&lt;0)*(AG269&gt;0))*B269</f>
        <v>0</v>
      </c>
      <c r="AW269" s="405">
        <f t="shared" si="164"/>
        <v>0</v>
      </c>
      <c r="AX269" s="405">
        <f t="shared" ref="AX269:AX332" si="181">SUM((AL270&lt;0)*(AL269&gt;0))*B269</f>
        <v>0</v>
      </c>
      <c r="AY269" s="405">
        <f t="shared" ref="AY269:AY332" si="182">IF(AX269&gt;0,AM269,0)</f>
        <v>0</v>
      </c>
    </row>
    <row r="270" spans="2:51" ht="13.5" thickBot="1" x14ac:dyDescent="0.25">
      <c r="B270" s="345">
        <v>17081</v>
      </c>
      <c r="C270" s="728" t="str">
        <f t="shared" si="165"/>
        <v>2.16217503399043</v>
      </c>
      <c r="D270" s="728" t="str">
        <f t="shared" si="166"/>
        <v>1+13.0576424015521i</v>
      </c>
      <c r="E270" s="337">
        <f t="shared" si="143"/>
        <v>13.095878171654288</v>
      </c>
      <c r="F270" s="338">
        <f t="shared" si="144"/>
        <v>1.4943620204058252</v>
      </c>
      <c r="G270" s="338" t="str">
        <f t="shared" si="167"/>
        <v>1+0.0536615441159675i</v>
      </c>
      <c r="H270" s="337">
        <f t="shared" si="145"/>
        <v>1.0014387456639122</v>
      </c>
      <c r="I270" s="338">
        <f t="shared" si="146"/>
        <v>5.3610125688735757E-2</v>
      </c>
      <c r="J270" s="340">
        <f t="shared" si="168"/>
        <v>1</v>
      </c>
      <c r="K270" s="338">
        <f t="shared" si="147"/>
        <v>1</v>
      </c>
      <c r="L270" s="339">
        <f t="shared" si="148"/>
        <v>0</v>
      </c>
      <c r="M270" s="731" t="str">
        <f t="shared" si="169"/>
        <v>0.987032863955555+0.252278491710936i</v>
      </c>
      <c r="N270" s="338">
        <f t="shared" si="149"/>
        <v>1.0187631284593344</v>
      </c>
      <c r="O270" s="339">
        <f t="shared" si="150"/>
        <v>0.25023550704548697</v>
      </c>
      <c r="P270" s="732" t="str">
        <f t="shared" ref="P270:P333" si="183">(IMDIV(IMPRODUCT(C270,G270,J270),IMPRODUCT(D270,M270)))</f>
        <v>-0.0194595808133028-0.161124998408689i</v>
      </c>
      <c r="Q270" s="337">
        <f t="shared" si="151"/>
        <v>0.16229584220684609</v>
      </c>
      <c r="R270" s="339">
        <f t="shared" si="152"/>
        <v>-1.6909874017625757</v>
      </c>
      <c r="S270" s="731" t="str">
        <f t="shared" si="170"/>
        <v>6000</v>
      </c>
      <c r="T270" s="337" t="str">
        <f t="shared" si="171"/>
        <v>1+108396.319114254i</v>
      </c>
      <c r="U270" s="346">
        <f t="shared" si="153"/>
        <v>108396.3191188667</v>
      </c>
      <c r="V270" s="347">
        <f t="shared" si="154"/>
        <v>1.5707871013893835</v>
      </c>
      <c r="W270" s="340" t="str">
        <f t="shared" si="172"/>
        <v>1+1073.23088231935i</v>
      </c>
      <c r="X270" s="337">
        <f t="shared" si="155"/>
        <v>1073.2313482022273</v>
      </c>
      <c r="Y270" s="339">
        <f t="shared" si="156"/>
        <v>1.569864561107682</v>
      </c>
      <c r="Z270" s="337" t="str">
        <f t="shared" si="173"/>
        <v>1+10.8111442078089i</v>
      </c>
      <c r="AA270" s="346">
        <f t="shared" si="157"/>
        <v>10.857294279977859</v>
      </c>
      <c r="AB270" s="347">
        <f t="shared" si="158"/>
        <v>1.47856162669262</v>
      </c>
      <c r="AC270" s="732" t="str">
        <f t="shared" si="159"/>
        <v>0.498922839394-5.44873115444245i</v>
      </c>
      <c r="AD270" s="337">
        <f t="shared" si="160"/>
        <v>5.4715258560168323</v>
      </c>
      <c r="AE270" s="339">
        <f t="shared" si="161"/>
        <v>-1.4794841669743211</v>
      </c>
      <c r="AF270" s="736" t="str">
        <f t="shared" si="174"/>
        <v>-0.887635627901704+0.0256410825264167i</v>
      </c>
      <c r="AG270" s="337">
        <f t="shared" si="162"/>
        <v>-1.0316830040640712</v>
      </c>
      <c r="AH270" s="730">
        <f t="shared" si="163"/>
        <v>178.34536004515454</v>
      </c>
      <c r="AI270" s="360">
        <f t="shared" si="175"/>
        <v>-1.6546399548454644</v>
      </c>
      <c r="AL270" s="337">
        <f t="shared" si="176"/>
        <v>14.76216911694096</v>
      </c>
      <c r="AM270" s="730">
        <f t="shared" si="177"/>
        <v>-84.768198624056964</v>
      </c>
      <c r="AN270" s="351"/>
      <c r="AO270" s="337">
        <f t="shared" si="178"/>
        <v>37.478079077734407</v>
      </c>
      <c r="AP270" s="730">
        <f t="shared" si="179"/>
        <v>-96.886441330788486</v>
      </c>
      <c r="AS270" s="351"/>
      <c r="AT270" s="351"/>
      <c r="AV270" s="405">
        <f t="shared" si="180"/>
        <v>0</v>
      </c>
      <c r="AW270" s="405">
        <f t="shared" si="164"/>
        <v>0</v>
      </c>
      <c r="AX270" s="405">
        <f t="shared" si="181"/>
        <v>0</v>
      </c>
      <c r="AY270" s="405">
        <f t="shared" si="182"/>
        <v>0</v>
      </c>
    </row>
    <row r="271" spans="2:51" ht="13.5" thickBot="1" x14ac:dyDescent="0.25">
      <c r="B271" s="345">
        <v>17180</v>
      </c>
      <c r="C271" s="728" t="str">
        <f t="shared" si="165"/>
        <v>2.16217503399043</v>
      </c>
      <c r="D271" s="728" t="str">
        <f t="shared" si="166"/>
        <v>1+13.133323368577i</v>
      </c>
      <c r="E271" s="337">
        <f t="shared" si="143"/>
        <v>13.171339442274302</v>
      </c>
      <c r="F271" s="338">
        <f t="shared" si="144"/>
        <v>1.4948007754456969</v>
      </c>
      <c r="G271" s="338" t="str">
        <f t="shared" si="167"/>
        <v>1+0.0539725617886725i</v>
      </c>
      <c r="H271" s="337">
        <f t="shared" si="145"/>
        <v>1.0014554595317917</v>
      </c>
      <c r="I271" s="338">
        <f t="shared" si="146"/>
        <v>5.3920245167617613E-2</v>
      </c>
      <c r="J271" s="340">
        <f t="shared" si="168"/>
        <v>1</v>
      </c>
      <c r="K271" s="338">
        <f t="shared" si="147"/>
        <v>1</v>
      </c>
      <c r="L271" s="339">
        <f t="shared" si="148"/>
        <v>0</v>
      </c>
      <c r="M271" s="731" t="str">
        <f t="shared" si="169"/>
        <v>0.986882115555556+0.253740676049052i</v>
      </c>
      <c r="N271" s="338">
        <f t="shared" si="149"/>
        <v>1.0189801964146505</v>
      </c>
      <c r="O271" s="339">
        <f t="shared" si="150"/>
        <v>0.25166239834438786</v>
      </c>
      <c r="P271" s="732" t="str">
        <f t="shared" si="183"/>
        <v>-0.0195934200582833-0.16014014255002i</v>
      </c>
      <c r="Q271" s="337">
        <f t="shared" si="151"/>
        <v>0.16133433411868989</v>
      </c>
      <c r="R271" s="339">
        <f t="shared" si="152"/>
        <v>-1.6925429286224669</v>
      </c>
      <c r="S271" s="731" t="str">
        <f t="shared" si="170"/>
        <v>6000</v>
      </c>
      <c r="T271" s="337" t="str">
        <f t="shared" si="171"/>
        <v>1+109024.574813118i</v>
      </c>
      <c r="U271" s="346">
        <f t="shared" si="153"/>
        <v>109024.57481770412</v>
      </c>
      <c r="V271" s="347">
        <f t="shared" si="154"/>
        <v>1.5707871545509169</v>
      </c>
      <c r="W271" s="340" t="str">
        <f t="shared" si="172"/>
        <v>1+1079.45123577345i</v>
      </c>
      <c r="X271" s="337">
        <f t="shared" si="155"/>
        <v>1079.4516989716717</v>
      </c>
      <c r="Y271" s="339">
        <f t="shared" si="156"/>
        <v>1.5698699304179327</v>
      </c>
      <c r="Z271" s="337" t="str">
        <f t="shared" si="173"/>
        <v>1+10.8738046654268i</v>
      </c>
      <c r="AA271" s="346">
        <f t="shared" si="157"/>
        <v>10.919689917843712</v>
      </c>
      <c r="AB271" s="347">
        <f t="shared" si="158"/>
        <v>1.479090146985734</v>
      </c>
      <c r="AC271" s="732" t="str">
        <f t="shared" si="159"/>
        <v>0.493237390740219-5.41785561868831i</v>
      </c>
      <c r="AD271" s="337">
        <f t="shared" si="160"/>
        <v>5.4402612647350592</v>
      </c>
      <c r="AE271" s="339">
        <f t="shared" si="161"/>
        <v>-1.4800073711187192</v>
      </c>
      <c r="AF271" s="736" t="str">
        <f t="shared" si="174"/>
        <v>-0.877280378477397+0.0271672148879518i</v>
      </c>
      <c r="AG271" s="337">
        <f t="shared" si="162"/>
        <v>-1.1330688434874927</v>
      </c>
      <c r="AH271" s="730">
        <f t="shared" si="163"/>
        <v>178.22625753186574</v>
      </c>
      <c r="AI271" s="360">
        <f t="shared" si="175"/>
        <v>-1.7737424681342588</v>
      </c>
      <c r="AL271" s="337">
        <f t="shared" si="176"/>
        <v>14.712395137743561</v>
      </c>
      <c r="AM271" s="730">
        <f t="shared" si="177"/>
        <v>-84.798176013354734</v>
      </c>
      <c r="AN271" s="351"/>
      <c r="AO271" s="337">
        <f t="shared" si="178"/>
        <v>37.426467217508382</v>
      </c>
      <c r="AP271" s="730">
        <f t="shared" si="179"/>
        <v>-96.975566454779511</v>
      </c>
      <c r="AS271" s="351"/>
      <c r="AT271" s="351"/>
      <c r="AV271" s="405">
        <f t="shared" si="180"/>
        <v>0</v>
      </c>
      <c r="AW271" s="405">
        <f t="shared" si="164"/>
        <v>0</v>
      </c>
      <c r="AX271" s="405">
        <f t="shared" si="181"/>
        <v>0</v>
      </c>
      <c r="AY271" s="405">
        <f t="shared" si="182"/>
        <v>0</v>
      </c>
    </row>
    <row r="272" spans="2:51" ht="13.5" thickBot="1" x14ac:dyDescent="0.25">
      <c r="B272" s="345">
        <v>17279</v>
      </c>
      <c r="C272" s="728" t="str">
        <f t="shared" si="165"/>
        <v>2.16217503399043</v>
      </c>
      <c r="D272" s="728" t="str">
        <f t="shared" si="166"/>
        <v>1+13.209004335602i</v>
      </c>
      <c r="E272" s="337">
        <f t="shared" si="143"/>
        <v>13.246803219567823</v>
      </c>
      <c r="F272" s="338">
        <f t="shared" si="144"/>
        <v>1.4952345316093505</v>
      </c>
      <c r="G272" s="338" t="str">
        <f t="shared" si="167"/>
        <v>1+0.054283579461378i</v>
      </c>
      <c r="H272" s="337">
        <f t="shared" si="145"/>
        <v>1.0014722697105196</v>
      </c>
      <c r="I272" s="338">
        <f t="shared" si="146"/>
        <v>5.4230354265323667E-2</v>
      </c>
      <c r="J272" s="340">
        <f t="shared" si="168"/>
        <v>1</v>
      </c>
      <c r="K272" s="338">
        <f t="shared" si="147"/>
        <v>1</v>
      </c>
      <c r="L272" s="339">
        <f t="shared" si="148"/>
        <v>0</v>
      </c>
      <c r="M272" s="731" t="str">
        <f t="shared" si="169"/>
        <v>0.986730495955556+0.255202860387169i</v>
      </c>
      <c r="N272" s="338">
        <f t="shared" si="149"/>
        <v>1.0191984946998747</v>
      </c>
      <c r="O272" s="339">
        <f t="shared" si="150"/>
        <v>0.25308889297942677</v>
      </c>
      <c r="P272" s="732" t="str">
        <f t="shared" si="183"/>
        <v>-0.0197247089059061-0.159166046497501i</v>
      </c>
      <c r="Q272" s="337">
        <f t="shared" si="151"/>
        <v>0.16038358550383947</v>
      </c>
      <c r="R272" s="339">
        <f t="shared" si="152"/>
        <v>-1.6940930703234536</v>
      </c>
      <c r="S272" s="731" t="str">
        <f t="shared" si="170"/>
        <v>6000</v>
      </c>
      <c r="T272" s="337" t="str">
        <f t="shared" si="171"/>
        <v>1+109652.830511984i</v>
      </c>
      <c r="U272" s="346">
        <f t="shared" si="153"/>
        <v>109652.83051654385</v>
      </c>
      <c r="V272" s="347">
        <f t="shared" si="154"/>
        <v>1.5707872071032727</v>
      </c>
      <c r="W272" s="340" t="str">
        <f t="shared" si="172"/>
        <v>1+1085.67158922756i</v>
      </c>
      <c r="X272" s="337">
        <f t="shared" si="155"/>
        <v>1085.6720497718891</v>
      </c>
      <c r="Y272" s="339">
        <f t="shared" si="156"/>
        <v>1.5698752382013283</v>
      </c>
      <c r="Z272" s="337" t="str">
        <f t="shared" si="173"/>
        <v>1+10.9364651230448i</v>
      </c>
      <c r="AA272" s="346">
        <f t="shared" si="157"/>
        <v>10.982088571286216</v>
      </c>
      <c r="AB272" s="347">
        <f t="shared" si="158"/>
        <v>1.4796126614702971</v>
      </c>
      <c r="AC272" s="732" t="str">
        <f t="shared" si="159"/>
        <v>0.487648305781145-5.38732507436977i</v>
      </c>
      <c r="AD272" s="337">
        <f t="shared" si="160"/>
        <v>5.4093504533413688</v>
      </c>
      <c r="AE272" s="339">
        <f t="shared" si="161"/>
        <v>-1.4805246303722417</v>
      </c>
      <c r="AF272" s="736" t="str">
        <f t="shared" si="174"/>
        <v>-0.867097954164283+0.0286463659610433i</v>
      </c>
      <c r="AG272" s="337">
        <f t="shared" si="162"/>
        <v>-1.2338992587927957</v>
      </c>
      <c r="AH272" s="730">
        <f t="shared" si="163"/>
        <v>178.10780418261106</v>
      </c>
      <c r="AI272" s="360">
        <f t="shared" si="175"/>
        <v>-1.8921958173889379</v>
      </c>
      <c r="AL272" s="337">
        <f t="shared" si="176"/>
        <v>14.662902376195539</v>
      </c>
      <c r="AM272" s="730">
        <f t="shared" si="177"/>
        <v>-84.827812785495667</v>
      </c>
      <c r="AN272" s="351"/>
      <c r="AO272" s="337">
        <f t="shared" si="178"/>
        <v>37.375129563751102</v>
      </c>
      <c r="AP272" s="730">
        <f t="shared" si="179"/>
        <v>-97.064383031893257</v>
      </c>
      <c r="AS272" s="351"/>
      <c r="AT272" s="351"/>
      <c r="AV272" s="405">
        <f t="shared" si="180"/>
        <v>0</v>
      </c>
      <c r="AW272" s="405">
        <f t="shared" si="164"/>
        <v>0</v>
      </c>
      <c r="AX272" s="405">
        <f t="shared" si="181"/>
        <v>0</v>
      </c>
      <c r="AY272" s="405">
        <f t="shared" si="182"/>
        <v>0</v>
      </c>
    </row>
    <row r="273" spans="2:51" ht="13.5" thickBot="1" x14ac:dyDescent="0.25">
      <c r="B273" s="345">
        <v>17378</v>
      </c>
      <c r="C273" s="728" t="str">
        <f t="shared" si="165"/>
        <v>2.16217503399043</v>
      </c>
      <c r="D273" s="728" t="str">
        <f t="shared" si="166"/>
        <v>1+13.284685302627i</v>
      </c>
      <c r="E273" s="337">
        <f t="shared" ref="E273:E336" si="184">IMABS(D273)</f>
        <v>13.322269460937722</v>
      </c>
      <c r="F273" s="338">
        <f t="shared" ref="F273:F336" si="185">IMARGUMENT(D273)</f>
        <v>1.4956633736830958</v>
      </c>
      <c r="G273" s="338" t="str">
        <f t="shared" si="167"/>
        <v>1+0.0545945971340835i</v>
      </c>
      <c r="H273" s="337">
        <f t="shared" ref="H273:H336" si="186">IMABS(G273)</f>
        <v>1.0014891761952462</v>
      </c>
      <c r="I273" s="338">
        <f t="shared" ref="I273:I336" si="187">IMARGUMENT(G273)</f>
        <v>5.4540452922732748E-2</v>
      </c>
      <c r="J273" s="340">
        <f t="shared" si="168"/>
        <v>1</v>
      </c>
      <c r="K273" s="338">
        <f t="shared" ref="K273:K336" si="188">IMABS(J273)</f>
        <v>1</v>
      </c>
      <c r="L273" s="339">
        <f t="shared" ref="L273:L336" si="189">IMARGUMENT(J273)</f>
        <v>0</v>
      </c>
      <c r="M273" s="731" t="str">
        <f t="shared" si="169"/>
        <v>0.986578005155555+0.256665044725287i</v>
      </c>
      <c r="N273" s="338">
        <f t="shared" ref="N273:N336" si="190">IMABS(M273)</f>
        <v>1.0194180229133425</v>
      </c>
      <c r="O273" s="339">
        <f t="shared" ref="O273:O336" si="191">IMARGUMENT(M273)</f>
        <v>0.25451498894320385</v>
      </c>
      <c r="P273" s="732" t="str">
        <f t="shared" si="183"/>
        <v>-0.0198535035007543-0.158202531388139i</v>
      </c>
      <c r="Q273" s="337">
        <f t="shared" ref="Q273:Q336" si="192">IMABS(P273)</f>
        <v>0.15944341484949939</v>
      </c>
      <c r="R273" s="339">
        <f t="shared" ref="R273:R336" si="193">IMARGUMENT(P273)</f>
        <v>-1.6956379097035661</v>
      </c>
      <c r="S273" s="731" t="str">
        <f t="shared" si="170"/>
        <v>6000</v>
      </c>
      <c r="T273" s="337" t="str">
        <f t="shared" si="171"/>
        <v>1+110281.086210849i</v>
      </c>
      <c r="U273" s="346">
        <f t="shared" ref="U273:U336" si="194">IMABS(T273)</f>
        <v>110281.08621538288</v>
      </c>
      <c r="V273" s="347">
        <f t="shared" ref="V273:V336" si="195">IMARGUMENT(T273)</f>
        <v>1.5707872590568617</v>
      </c>
      <c r="W273" s="340" t="str">
        <f t="shared" si="172"/>
        <v>1+1091.89194268167i</v>
      </c>
      <c r="X273" s="337">
        <f t="shared" ref="X273:X336" si="196">IMABS(W273)</f>
        <v>1091.8924006023447</v>
      </c>
      <c r="Y273" s="339">
        <f t="shared" ref="Y273:Y336" si="197">IMARGUMENT(W273)</f>
        <v>1.5698804855093977</v>
      </c>
      <c r="Z273" s="337" t="str">
        <f t="shared" si="173"/>
        <v>1+10.9991255806629i</v>
      </c>
      <c r="AA273" s="346">
        <f t="shared" ref="AA273:AA336" si="198">IMABS(Z273)</f>
        <v>11.044490189193569</v>
      </c>
      <c r="AB273" s="347">
        <f t="shared" ref="AB273:AB336" si="199">IMARGUMENT(Z273)</f>
        <v>1.4801292716574082</v>
      </c>
      <c r="AC273" s="732" t="str">
        <f t="shared" ref="AC273:AC336" si="200">IMPRODUCT(S273,IMDIV(W273,IMPRODUCT(T273,Z273)))</f>
        <v>0.482153425026932-5.35713382171783i</v>
      </c>
      <c r="AD273" s="337">
        <f t="shared" ref="AD273:AD336" si="201">IMABS(AC273)</f>
        <v>5.3787874757289194</v>
      </c>
      <c r="AE273" s="339">
        <f t="shared" ref="AE273:AE336" si="202">IMARGUMENT(AC273)</f>
        <v>-1.4810360452048721</v>
      </c>
      <c r="AF273" s="736" t="str">
        <f t="shared" si="174"/>
        <v>-0.857084566292449+0.0300799827267623i</v>
      </c>
      <c r="AG273" s="337">
        <f t="shared" ref="AG273:AG336" si="203">20*LOG10(IMABS(AF273))</f>
        <v>-1.3341805563552132</v>
      </c>
      <c r="AH273" s="730">
        <f t="shared" ref="AH273:AH336" si="204">(180/PI())*IMARGUMENT(AF273)</f>
        <v>177.98998949461492</v>
      </c>
      <c r="AI273" s="360">
        <f t="shared" si="175"/>
        <v>-2.0100105053850825</v>
      </c>
      <c r="AL273" s="337">
        <f t="shared" si="176"/>
        <v>14.613687699388167</v>
      </c>
      <c r="AM273" s="730">
        <f t="shared" si="177"/>
        <v>-84.857114696985775</v>
      </c>
      <c r="AN273" s="351"/>
      <c r="AO273" s="337">
        <f t="shared" si="178"/>
        <v>37.324062942996051</v>
      </c>
      <c r="AP273" s="730">
        <f t="shared" si="179"/>
        <v>-97.152895808399322</v>
      </c>
      <c r="AS273" s="351"/>
      <c r="AT273" s="351"/>
      <c r="AV273" s="405">
        <f t="shared" si="180"/>
        <v>0</v>
      </c>
      <c r="AW273" s="405">
        <f t="shared" si="164"/>
        <v>0</v>
      </c>
      <c r="AX273" s="405">
        <f t="shared" si="181"/>
        <v>0</v>
      </c>
      <c r="AY273" s="405">
        <f t="shared" si="182"/>
        <v>0</v>
      </c>
    </row>
    <row r="274" spans="2:51" ht="13.5" thickBot="1" x14ac:dyDescent="0.25">
      <c r="B274" s="345">
        <v>17479.25</v>
      </c>
      <c r="C274" s="728" t="str">
        <f t="shared" si="165"/>
        <v>2.16217503399043</v>
      </c>
      <c r="D274" s="728" t="str">
        <f t="shared" si="166"/>
        <v>1+13.3620862916298i</v>
      </c>
      <c r="E274" s="337">
        <f t="shared" si="184"/>
        <v>13.399453349482622</v>
      </c>
      <c r="F274" s="338">
        <f t="shared" si="185"/>
        <v>1.4960969656514493</v>
      </c>
      <c r="G274" s="338" t="str">
        <f t="shared" si="167"/>
        <v>1+0.0549126833902595i</v>
      </c>
      <c r="H274" s="337">
        <f t="shared" si="186"/>
        <v>1.0015065665272089</v>
      </c>
      <c r="I274" s="338">
        <f t="shared" si="187"/>
        <v>5.4857588416386396E-2</v>
      </c>
      <c r="J274" s="340">
        <f t="shared" si="168"/>
        <v>1</v>
      </c>
      <c r="K274" s="338">
        <f t="shared" si="188"/>
        <v>1</v>
      </c>
      <c r="L274" s="339">
        <f t="shared" si="189"/>
        <v>0</v>
      </c>
      <c r="M274" s="731" t="str">
        <f t="shared" si="169"/>
        <v>0.986421147530556+0.258160460525635i</v>
      </c>
      <c r="N274" s="338">
        <f t="shared" si="190"/>
        <v>1.0196438121590827</v>
      </c>
      <c r="O274" s="339">
        <f t="shared" si="191"/>
        <v>0.25597308172621713</v>
      </c>
      <c r="P274" s="732" t="str">
        <f t="shared" si="183"/>
        <v>-0.0199827021922526-0.15722788031736i</v>
      </c>
      <c r="Q274" s="337">
        <f t="shared" si="192"/>
        <v>0.15849263306537104</v>
      </c>
      <c r="R274" s="339">
        <f t="shared" si="193"/>
        <v>-1.6972124589612803</v>
      </c>
      <c r="S274" s="731" t="str">
        <f t="shared" si="170"/>
        <v>6000</v>
      </c>
      <c r="T274" s="337" t="str">
        <f t="shared" si="171"/>
        <v>1+110923.620448324i</v>
      </c>
      <c r="U274" s="346">
        <f t="shared" si="194"/>
        <v>110923.62045283162</v>
      </c>
      <c r="V274" s="347">
        <f t="shared" si="195"/>
        <v>1.5707873115824835</v>
      </c>
      <c r="W274" s="340" t="str">
        <f t="shared" si="172"/>
        <v>1+1098.25366780519i</v>
      </c>
      <c r="X274" s="337">
        <f t="shared" si="196"/>
        <v>1098.2541230733225</v>
      </c>
      <c r="Y274" s="339">
        <f t="shared" si="197"/>
        <v>1.5698857905927825</v>
      </c>
      <c r="Z274" s="337" t="str">
        <f t="shared" si="173"/>
        <v>1+11.0632101395904i</v>
      </c>
      <c r="AA274" s="346">
        <f t="shared" si="198"/>
        <v>11.10831303991456</v>
      </c>
      <c r="AB274" s="347">
        <f t="shared" si="199"/>
        <v>1.4806516192958625</v>
      </c>
      <c r="AC274" s="732" t="str">
        <f t="shared" si="200"/>
        <v>0.476628912937387-5.32660153973355i</v>
      </c>
      <c r="AD274" s="337">
        <f t="shared" si="201"/>
        <v>5.3478836079088063</v>
      </c>
      <c r="AE274" s="339">
        <f t="shared" si="202"/>
        <v>-1.4815531402855635</v>
      </c>
      <c r="AF274" s="736" t="str">
        <f t="shared" si="174"/>
        <v>-0.847014603010937+0.0315005385861768i</v>
      </c>
      <c r="AG274" s="337">
        <f t="shared" si="203"/>
        <v>-1.4361794575589062</v>
      </c>
      <c r="AH274" s="730">
        <f t="shared" si="204"/>
        <v>177.87014710178184</v>
      </c>
      <c r="AI274" s="360">
        <f t="shared" si="175"/>
        <v>-2.1298528982181608</v>
      </c>
      <c r="AL274" s="337">
        <f t="shared" si="176"/>
        <v>14.563638932932029</v>
      </c>
      <c r="AM274" s="730">
        <f t="shared" si="177"/>
        <v>-84.886742062716365</v>
      </c>
      <c r="AN274" s="351"/>
      <c r="AO274" s="337">
        <f t="shared" si="178"/>
        <v>37.272112808248494</v>
      </c>
      <c r="AP274" s="730">
        <f t="shared" si="179"/>
        <v>-97.243110835501795</v>
      </c>
      <c r="AS274" s="351"/>
      <c r="AT274" s="351"/>
      <c r="AV274" s="405">
        <f t="shared" si="180"/>
        <v>0</v>
      </c>
      <c r="AW274" s="405">
        <f t="shared" si="164"/>
        <v>0</v>
      </c>
      <c r="AX274" s="405">
        <f t="shared" si="181"/>
        <v>0</v>
      </c>
      <c r="AY274" s="405">
        <f t="shared" si="182"/>
        <v>0</v>
      </c>
    </row>
    <row r="275" spans="2:51" ht="13.5" thickBot="1" x14ac:dyDescent="0.25">
      <c r="B275" s="345">
        <v>17580.5</v>
      </c>
      <c r="C275" s="728" t="str">
        <f t="shared" si="165"/>
        <v>2.16217503399043</v>
      </c>
      <c r="D275" s="728" t="str">
        <f t="shared" si="166"/>
        <v>1+13.4394872806326i</v>
      </c>
      <c r="E275" s="337">
        <f t="shared" si="184"/>
        <v>13.476639728295977</v>
      </c>
      <c r="F275" s="338">
        <f t="shared" si="185"/>
        <v>1.4965255909728086</v>
      </c>
      <c r="G275" s="338" t="str">
        <f t="shared" si="167"/>
        <v>1+0.0552307696464355i</v>
      </c>
      <c r="H275" s="337">
        <f t="shared" si="186"/>
        <v>1.001524057582112</v>
      </c>
      <c r="I275" s="338">
        <f t="shared" si="187"/>
        <v>5.5174712864747497E-2</v>
      </c>
      <c r="J275" s="340">
        <f t="shared" si="168"/>
        <v>1</v>
      </c>
      <c r="K275" s="338">
        <f t="shared" si="188"/>
        <v>1</v>
      </c>
      <c r="L275" s="339">
        <f t="shared" si="189"/>
        <v>0</v>
      </c>
      <c r="M275" s="731" t="str">
        <f t="shared" si="169"/>
        <v>0.986263378655555+0.259655876325982i</v>
      </c>
      <c r="N275" s="338">
        <f t="shared" si="190"/>
        <v>1.0198708870183932</v>
      </c>
      <c r="O275" s="339">
        <f t="shared" si="191"/>
        <v>0.25743075327793041</v>
      </c>
      <c r="P275" s="732" t="str">
        <f t="shared" si="183"/>
        <v>-0.0201094058062028-0.156263930677144i</v>
      </c>
      <c r="Q275" s="337">
        <f t="shared" si="192"/>
        <v>0.15755254435441471</v>
      </c>
      <c r="R275" s="339">
        <f t="shared" si="193"/>
        <v>-1.6987816313859916</v>
      </c>
      <c r="S275" s="731" t="str">
        <f t="shared" si="170"/>
        <v>6000</v>
      </c>
      <c r="T275" s="337" t="str">
        <f t="shared" si="171"/>
        <v>1+111566.1546858i</v>
      </c>
      <c r="U275" s="346">
        <f t="shared" si="194"/>
        <v>111566.15469028163</v>
      </c>
      <c r="V275" s="347">
        <f t="shared" si="195"/>
        <v>1.570787363503092</v>
      </c>
      <c r="W275" s="340" t="str">
        <f t="shared" si="172"/>
        <v>1+1104.61539292871i</v>
      </c>
      <c r="X275" s="337">
        <f t="shared" si="196"/>
        <v>1104.6158455748534</v>
      </c>
      <c r="Y275" s="339">
        <f t="shared" si="197"/>
        <v>1.5698910345699133</v>
      </c>
      <c r="Z275" s="337" t="str">
        <f t="shared" si="173"/>
        <v>1+11.1272946985179i</v>
      </c>
      <c r="AA275" s="346">
        <f t="shared" si="198"/>
        <v>11.172138886876789</v>
      </c>
      <c r="AB275" s="347">
        <f t="shared" si="199"/>
        <v>1.481167998784223</v>
      </c>
      <c r="AC275" s="732" t="str">
        <f t="shared" si="200"/>
        <v>0.471198556741555-5.29641248042423i</v>
      </c>
      <c r="AD275" s="337">
        <f t="shared" si="201"/>
        <v>5.317331402373644</v>
      </c>
      <c r="AE275" s="339">
        <f t="shared" si="202"/>
        <v>-1.4820643277174013</v>
      </c>
      <c r="AF275" s="736" t="str">
        <f t="shared" si="174"/>
        <v>-0.837113755671385+0.0328763692800553i</v>
      </c>
      <c r="AG275" s="337">
        <f t="shared" si="203"/>
        <v>-1.5376170073937292</v>
      </c>
      <c r="AH275" s="730">
        <f t="shared" si="204"/>
        <v>177.75095126213313</v>
      </c>
      <c r="AI275" s="360">
        <f t="shared" si="175"/>
        <v>-2.2490487378668718</v>
      </c>
      <c r="AL275" s="337">
        <f t="shared" si="176"/>
        <v>14.513874570725827</v>
      </c>
      <c r="AM275" s="730">
        <f t="shared" si="177"/>
        <v>-84.9160309451008</v>
      </c>
      <c r="AN275" s="351"/>
      <c r="AO275" s="337">
        <f t="shared" si="178"/>
        <v>37.220439620619878</v>
      </c>
      <c r="AP275" s="730">
        <f t="shared" si="179"/>
        <v>-97.333017792766071</v>
      </c>
      <c r="AS275" s="351"/>
      <c r="AT275" s="351"/>
      <c r="AV275" s="405">
        <f t="shared" si="180"/>
        <v>0</v>
      </c>
      <c r="AW275" s="405">
        <f t="shared" si="164"/>
        <v>0</v>
      </c>
      <c r="AX275" s="405">
        <f t="shared" si="181"/>
        <v>0</v>
      </c>
      <c r="AY275" s="405">
        <f t="shared" si="182"/>
        <v>0</v>
      </c>
    </row>
    <row r="276" spans="2:51" ht="13.5" thickBot="1" x14ac:dyDescent="0.25">
      <c r="B276" s="345">
        <v>17681.75</v>
      </c>
      <c r="C276" s="728" t="str">
        <f t="shared" si="165"/>
        <v>2.16217503399043</v>
      </c>
      <c r="D276" s="728" t="str">
        <f t="shared" si="166"/>
        <v>1+13.5168882696355i</v>
      </c>
      <c r="E276" s="337">
        <f t="shared" si="184"/>
        <v>13.553828554833125</v>
      </c>
      <c r="F276" s="338">
        <f t="shared" si="185"/>
        <v>1.4969493343432334</v>
      </c>
      <c r="G276" s="338" t="str">
        <f t="shared" si="167"/>
        <v>1+0.0555488559026115i</v>
      </c>
      <c r="H276" s="337">
        <f t="shared" si="186"/>
        <v>1.0015416493546783</v>
      </c>
      <c r="I276" s="338">
        <f t="shared" si="187"/>
        <v>5.5491826204611322E-2</v>
      </c>
      <c r="J276" s="340">
        <f t="shared" si="168"/>
        <v>1</v>
      </c>
      <c r="K276" s="338">
        <f t="shared" si="188"/>
        <v>1</v>
      </c>
      <c r="L276" s="339">
        <f t="shared" si="189"/>
        <v>0</v>
      </c>
      <c r="M276" s="731" t="str">
        <f t="shared" si="169"/>
        <v>0.986104698530555+0.26115129212633i</v>
      </c>
      <c r="N276" s="338">
        <f t="shared" si="190"/>
        <v>1.0200992470555443</v>
      </c>
      <c r="O276" s="339">
        <f t="shared" si="191"/>
        <v>0.25888800146557239</v>
      </c>
      <c r="P276" s="732" t="str">
        <f t="shared" si="183"/>
        <v>-0.0202336694993956-0.155310503564093i</v>
      </c>
      <c r="Q276" s="337">
        <f t="shared" si="192"/>
        <v>0.15662296734113718</v>
      </c>
      <c r="R276" s="339">
        <f t="shared" si="193"/>
        <v>-1.7003455096041948</v>
      </c>
      <c r="S276" s="731" t="str">
        <f t="shared" si="170"/>
        <v>6000</v>
      </c>
      <c r="T276" s="337" t="str">
        <f t="shared" si="171"/>
        <v>1+112208.688923275i</v>
      </c>
      <c r="U276" s="346">
        <f t="shared" si="194"/>
        <v>112208.68892773098</v>
      </c>
      <c r="V276" s="347">
        <f t="shared" si="195"/>
        <v>1.5707874148290804</v>
      </c>
      <c r="W276" s="340" t="str">
        <f t="shared" si="172"/>
        <v>1+1110.97711805223i</v>
      </c>
      <c r="X276" s="337">
        <f t="shared" si="196"/>
        <v>1110.9775681064125</v>
      </c>
      <c r="Y276" s="339">
        <f t="shared" si="197"/>
        <v>1.5698962184905165</v>
      </c>
      <c r="Z276" s="337" t="str">
        <f t="shared" si="173"/>
        <v>1+11.1913792574454i</v>
      </c>
      <c r="AA276" s="346">
        <f t="shared" si="198"/>
        <v>11.235967679019868</v>
      </c>
      <c r="AB276" s="347">
        <f t="shared" si="199"/>
        <v>1.4816785115555484</v>
      </c>
      <c r="AC276" s="732" t="str">
        <f t="shared" si="200"/>
        <v>0.465860234573585-5.26656093725848i</v>
      </c>
      <c r="AD276" s="337">
        <f t="shared" si="201"/>
        <v>5.2871249147352168</v>
      </c>
      <c r="AE276" s="339">
        <f t="shared" si="202"/>
        <v>-1.4825697078941122</v>
      </c>
      <c r="AF276" s="736" t="str">
        <f t="shared" si="174"/>
        <v>-0.827378293235869+0.0342088657808052i</v>
      </c>
      <c r="AG276" s="337">
        <f t="shared" si="203"/>
        <v>-1.6384996198341475</v>
      </c>
      <c r="AH276" s="730">
        <f t="shared" si="204"/>
        <v>177.63239148938254</v>
      </c>
      <c r="AI276" s="360">
        <f t="shared" si="175"/>
        <v>-2.3676085106174583</v>
      </c>
      <c r="AL276" s="337">
        <f t="shared" si="176"/>
        <v>14.464391425198313</v>
      </c>
      <c r="AM276" s="730">
        <f t="shared" si="177"/>
        <v>-84.944987096275923</v>
      </c>
      <c r="AN276" s="351"/>
      <c r="AO276" s="337">
        <f t="shared" si="178"/>
        <v>37.169040153706973</v>
      </c>
      <c r="AP276" s="730">
        <f t="shared" si="179"/>
        <v>-97.422621414341549</v>
      </c>
      <c r="AS276" s="351"/>
      <c r="AT276" s="351"/>
      <c r="AV276" s="405">
        <f t="shared" si="180"/>
        <v>0</v>
      </c>
      <c r="AW276" s="405">
        <f t="shared" si="164"/>
        <v>0</v>
      </c>
      <c r="AX276" s="405">
        <f t="shared" si="181"/>
        <v>0</v>
      </c>
      <c r="AY276" s="405">
        <f t="shared" si="182"/>
        <v>0</v>
      </c>
    </row>
    <row r="277" spans="2:51" ht="13.5" thickBot="1" x14ac:dyDescent="0.25">
      <c r="B277" s="345">
        <v>17783</v>
      </c>
      <c r="C277" s="728" t="str">
        <f t="shared" si="165"/>
        <v>2.16217503399043</v>
      </c>
      <c r="D277" s="728" t="str">
        <f t="shared" si="166"/>
        <v>1+13.5942892586383i</v>
      </c>
      <c r="E277" s="337">
        <f t="shared" si="184"/>
        <v>13.631019787511448</v>
      </c>
      <c r="F277" s="338">
        <f t="shared" si="185"/>
        <v>1.4973682785473819</v>
      </c>
      <c r="G277" s="338" t="str">
        <f t="shared" si="167"/>
        <v>1+0.0558669421587875i</v>
      </c>
      <c r="H277" s="337">
        <f t="shared" si="186"/>
        <v>1.0015593418396003</v>
      </c>
      <c r="I277" s="338">
        <f t="shared" si="187"/>
        <v>5.5808928372786518E-2</v>
      </c>
      <c r="J277" s="340">
        <f t="shared" si="168"/>
        <v>1</v>
      </c>
      <c r="K277" s="338">
        <f t="shared" si="188"/>
        <v>1</v>
      </c>
      <c r="L277" s="339">
        <f t="shared" si="189"/>
        <v>0</v>
      </c>
      <c r="M277" s="731" t="str">
        <f t="shared" si="169"/>
        <v>0.985945107155556+0.262646707926677i</v>
      </c>
      <c r="N277" s="338">
        <f t="shared" si="190"/>
        <v>1.0203288918327766</v>
      </c>
      <c r="O277" s="339">
        <f t="shared" si="191"/>
        <v>0.26034482416133814</v>
      </c>
      <c r="P277" s="732" t="str">
        <f t="shared" si="183"/>
        <v>-0.0203555468850932-0.154367424038952i</v>
      </c>
      <c r="Q277" s="337">
        <f t="shared" si="192"/>
        <v>0.15570372472555963</v>
      </c>
      <c r="R277" s="339">
        <f t="shared" si="193"/>
        <v>-1.7019041743359338</v>
      </c>
      <c r="S277" s="731" t="str">
        <f t="shared" si="170"/>
        <v>6000</v>
      </c>
      <c r="T277" s="337" t="str">
        <f t="shared" si="171"/>
        <v>1+112851.223160751i</v>
      </c>
      <c r="U277" s="346">
        <f t="shared" si="194"/>
        <v>112851.22316518161</v>
      </c>
      <c r="V277" s="347">
        <f t="shared" si="195"/>
        <v>1.5707874655706053</v>
      </c>
      <c r="W277" s="340" t="str">
        <f t="shared" si="172"/>
        <v>1+1117.33884317575i</v>
      </c>
      <c r="X277" s="337">
        <f t="shared" si="196"/>
        <v>1117.3392906674871</v>
      </c>
      <c r="Y277" s="339">
        <f t="shared" si="197"/>
        <v>1.5699013433804121</v>
      </c>
      <c r="Z277" s="337" t="str">
        <f t="shared" si="173"/>
        <v>1+11.2554638163729i</v>
      </c>
      <c r="AA277" s="346">
        <f t="shared" si="198"/>
        <v>11.299799366434769</v>
      </c>
      <c r="AB277" s="347">
        <f t="shared" si="199"/>
        <v>1.4821832567633393</v>
      </c>
      <c r="AC277" s="732" t="str">
        <f t="shared" si="200"/>
        <v>0.460611883846057-5.23704132840182i</v>
      </c>
      <c r="AD277" s="337">
        <f t="shared" si="201"/>
        <v>5.2572583332882656</v>
      </c>
      <c r="AE277" s="339">
        <f t="shared" si="202"/>
        <v>-1.4830693789535327</v>
      </c>
      <c r="AF277" s="736" t="str">
        <f t="shared" si="174"/>
        <v>-0.81780458624838+0.0354993703084092i</v>
      </c>
      <c r="AG277" s="337">
        <f t="shared" si="203"/>
        <v>-1.7388336017405248</v>
      </c>
      <c r="AH277" s="730">
        <f t="shared" si="204"/>
        <v>177.51445753572838</v>
      </c>
      <c r="AI277" s="360">
        <f t="shared" si="175"/>
        <v>-2.4855424642716173</v>
      </c>
      <c r="AL277" s="337">
        <f t="shared" si="176"/>
        <v>14.415186361616572</v>
      </c>
      <c r="AM277" s="730">
        <f t="shared" si="177"/>
        <v>-84.973616139125539</v>
      </c>
      <c r="AN277" s="351"/>
      <c r="AO277" s="337">
        <f t="shared" si="178"/>
        <v>37.11791123538233</v>
      </c>
      <c r="AP277" s="730">
        <f t="shared" si="179"/>
        <v>-97.511926325146078</v>
      </c>
      <c r="AS277" s="351"/>
      <c r="AT277" s="351"/>
      <c r="AV277" s="405">
        <f t="shared" si="180"/>
        <v>0</v>
      </c>
      <c r="AW277" s="405">
        <f t="shared" si="164"/>
        <v>0</v>
      </c>
      <c r="AX277" s="405">
        <f t="shared" si="181"/>
        <v>0</v>
      </c>
      <c r="AY277" s="405">
        <f t="shared" si="182"/>
        <v>0</v>
      </c>
    </row>
    <row r="278" spans="2:51" ht="13.5" thickBot="1" x14ac:dyDescent="0.25">
      <c r="B278" s="345">
        <v>17886.5</v>
      </c>
      <c r="C278" s="728" t="str">
        <f t="shared" si="165"/>
        <v>2.16217503399043</v>
      </c>
      <c r="D278" s="728" t="str">
        <f t="shared" si="166"/>
        <v>1+13.6734102696189i</v>
      </c>
      <c r="E278" s="337">
        <f t="shared" si="184"/>
        <v>13.709928825538068</v>
      </c>
      <c r="F278" s="338">
        <f t="shared" si="185"/>
        <v>1.4977916565526728</v>
      </c>
      <c r="G278" s="338" t="str">
        <f t="shared" si="167"/>
        <v>1+0.056192096998434i</v>
      </c>
      <c r="H278" s="337">
        <f t="shared" si="186"/>
        <v>1.0015775315795985</v>
      </c>
      <c r="I278" s="338">
        <f t="shared" si="187"/>
        <v>5.6133065643190212E-2</v>
      </c>
      <c r="J278" s="340">
        <f t="shared" si="168"/>
        <v>1</v>
      </c>
      <c r="K278" s="338">
        <f t="shared" si="188"/>
        <v>1</v>
      </c>
      <c r="L278" s="339">
        <f t="shared" si="189"/>
        <v>0</v>
      </c>
      <c r="M278" s="731" t="str">
        <f t="shared" si="169"/>
        <v>0.985781027455555+0.264175355189254i</v>
      </c>
      <c r="N278" s="338">
        <f t="shared" si="190"/>
        <v>1.0205649672513251</v>
      </c>
      <c r="O278" s="339">
        <f t="shared" si="191"/>
        <v>0.26183357870446783</v>
      </c>
      <c r="P278" s="732" t="str">
        <f t="shared" si="183"/>
        <v>-0.020477720479122-0.153413904136855i</v>
      </c>
      <c r="Q278" s="337">
        <f t="shared" si="192"/>
        <v>0.15477455546223737</v>
      </c>
      <c r="R278" s="339">
        <f t="shared" si="193"/>
        <v>-1.7034921696139502</v>
      </c>
      <c r="S278" s="731" t="str">
        <f t="shared" si="170"/>
        <v>6000</v>
      </c>
      <c r="T278" s="337" t="str">
        <f t="shared" si="171"/>
        <v>1+113508.035936837i</v>
      </c>
      <c r="U278" s="346">
        <f t="shared" si="194"/>
        <v>113508.03594124198</v>
      </c>
      <c r="V278" s="347">
        <f t="shared" si="195"/>
        <v>1.5707875168459646</v>
      </c>
      <c r="W278" s="340" t="str">
        <f t="shared" si="172"/>
        <v>1+1123.84193996868i</v>
      </c>
      <c r="X278" s="337">
        <f t="shared" si="196"/>
        <v>1123.8423848710131</v>
      </c>
      <c r="Y278" s="339">
        <f t="shared" si="197"/>
        <v>1.5699065221875774</v>
      </c>
      <c r="Z278" s="337" t="str">
        <f t="shared" si="173"/>
        <v>1+11.3209724766099i</v>
      </c>
      <c r="AA278" s="346">
        <f t="shared" si="198"/>
        <v>11.365052477492521</v>
      </c>
      <c r="AB278" s="347">
        <f t="shared" si="199"/>
        <v>1.4826933582138329</v>
      </c>
      <c r="AC278" s="732" t="str">
        <f t="shared" si="200"/>
        <v>0.455337808158212-5.20720312400533i</v>
      </c>
      <c r="AD278" s="337">
        <f t="shared" si="201"/>
        <v>5.2270734540648274</v>
      </c>
      <c r="AE278" s="339">
        <f t="shared" si="202"/>
        <v>-1.4835743528722196</v>
      </c>
      <c r="AF278" s="736" t="str">
        <f t="shared" si="174"/>
        <v>-0.808181641246326+0.0367764992007224i</v>
      </c>
      <c r="AG278" s="337">
        <f t="shared" si="203"/>
        <v>-1.8408366312578541</v>
      </c>
      <c r="AH278" s="730">
        <f t="shared" si="204"/>
        <v>177.39453923410636</v>
      </c>
      <c r="AI278" s="360">
        <f t="shared" si="175"/>
        <v>-2.6054607658936391</v>
      </c>
      <c r="AL278" s="337">
        <f t="shared" si="176"/>
        <v>14.365172062298928</v>
      </c>
      <c r="AM278" s="730">
        <f t="shared" si="177"/>
        <v>-85.002549013430482</v>
      </c>
      <c r="AN278" s="351"/>
      <c r="AO278" s="337">
        <f t="shared" si="178"/>
        <v>37.065922505182648</v>
      </c>
      <c r="AP278" s="730">
        <f t="shared" si="179"/>
        <v>-97.602911752463129</v>
      </c>
      <c r="AS278" s="351"/>
      <c r="AT278" s="351"/>
      <c r="AV278" s="405">
        <f t="shared" si="180"/>
        <v>0</v>
      </c>
      <c r="AW278" s="405">
        <f t="shared" si="164"/>
        <v>0</v>
      </c>
      <c r="AX278" s="405">
        <f t="shared" si="181"/>
        <v>0</v>
      </c>
      <c r="AY278" s="405">
        <f t="shared" si="182"/>
        <v>0</v>
      </c>
    </row>
    <row r="279" spans="2:51" ht="13.5" thickBot="1" x14ac:dyDescent="0.25">
      <c r="B279" s="345">
        <v>17990</v>
      </c>
      <c r="C279" s="728" t="str">
        <f t="shared" si="165"/>
        <v>2.16217503399043</v>
      </c>
      <c r="D279" s="728" t="str">
        <f t="shared" si="166"/>
        <v>1+13.7525312805996i</v>
      </c>
      <c r="E279" s="337">
        <f t="shared" si="184"/>
        <v>13.788840292927846</v>
      </c>
      <c r="F279" s="338">
        <f t="shared" si="185"/>
        <v>1.4982101887744697</v>
      </c>
      <c r="G279" s="338" t="str">
        <f t="shared" si="167"/>
        <v>1+0.0565172518380805i</v>
      </c>
      <c r="H279" s="337">
        <f t="shared" si="186"/>
        <v>1.0015958265464813</v>
      </c>
      <c r="I279" s="338">
        <f t="shared" si="187"/>
        <v>5.6457191106382448E-2</v>
      </c>
      <c r="J279" s="340">
        <f t="shared" si="168"/>
        <v>1</v>
      </c>
      <c r="K279" s="338">
        <f t="shared" si="188"/>
        <v>1</v>
      </c>
      <c r="L279" s="339">
        <f t="shared" si="189"/>
        <v>0</v>
      </c>
      <c r="M279" s="731" t="str">
        <f t="shared" si="169"/>
        <v>0.985615995555555+0.265704002451831i</v>
      </c>
      <c r="N279" s="338">
        <f t="shared" si="190"/>
        <v>1.0208023842124834</v>
      </c>
      <c r="O279" s="339">
        <f t="shared" si="191"/>
        <v>0.26332188415456587</v>
      </c>
      <c r="P279" s="732" t="str">
        <f t="shared" si="183"/>
        <v>-0.0205975091039194-0.152470839373457i</v>
      </c>
      <c r="Q279" s="337">
        <f t="shared" si="192"/>
        <v>0.15385582290096325</v>
      </c>
      <c r="R279" s="339">
        <f t="shared" si="193"/>
        <v>-1.7050748818226529</v>
      </c>
      <c r="S279" s="731" t="str">
        <f t="shared" si="170"/>
        <v>6000</v>
      </c>
      <c r="T279" s="337" t="str">
        <f t="shared" si="171"/>
        <v>1+114164.848712923i</v>
      </c>
      <c r="U279" s="346">
        <f t="shared" si="194"/>
        <v>114164.84871730262</v>
      </c>
      <c r="V279" s="347">
        <f t="shared" si="195"/>
        <v>1.5707875675313294</v>
      </c>
      <c r="W279" s="340" t="str">
        <f t="shared" si="172"/>
        <v>1+1130.34503676161i</v>
      </c>
      <c r="X279" s="337">
        <f t="shared" si="196"/>
        <v>1130.3454791043334</v>
      </c>
      <c r="Y279" s="339">
        <f t="shared" si="197"/>
        <v>1.5699116414054022</v>
      </c>
      <c r="Z279" s="337" t="str">
        <f t="shared" si="173"/>
        <v>1+11.3864811368469i</v>
      </c>
      <c r="AA279" s="346">
        <f t="shared" si="198"/>
        <v>11.430308512011838</v>
      </c>
      <c r="AB279" s="347">
        <f t="shared" si="199"/>
        <v>1.4831976354199443</v>
      </c>
      <c r="AC279" s="732" t="str">
        <f t="shared" si="200"/>
        <v>0.450153569761815-5.17770035988602i</v>
      </c>
      <c r="AD279" s="337">
        <f t="shared" si="201"/>
        <v>5.1972318837178237</v>
      </c>
      <c r="AE279" s="339">
        <f t="shared" si="202"/>
        <v>-1.4840735615458718</v>
      </c>
      <c r="AF279" s="736" t="str">
        <f t="shared" si="174"/>
        <v>-0.798720362147403+0.0380124376715771i</v>
      </c>
      <c r="AG279" s="337">
        <f t="shared" si="203"/>
        <v>-1.94227937030811</v>
      </c>
      <c r="AH279" s="730">
        <f t="shared" si="204"/>
        <v>177.2752539542673</v>
      </c>
      <c r="AI279" s="360">
        <f t="shared" si="175"/>
        <v>-2.7247460457327008</v>
      </c>
      <c r="AL279" s="337">
        <f t="shared" si="176"/>
        <v>14.315441881473454</v>
      </c>
      <c r="AM279" s="730">
        <f t="shared" si="177"/>
        <v>-85.031151563527075</v>
      </c>
      <c r="AN279" s="351"/>
      <c r="AO279" s="337">
        <f t="shared" si="178"/>
        <v>37.014209946957862</v>
      </c>
      <c r="AP279" s="730">
        <f t="shared" si="179"/>
        <v>-97.693594482205611</v>
      </c>
      <c r="AS279" s="351"/>
      <c r="AT279" s="351"/>
      <c r="AV279" s="405">
        <f t="shared" si="180"/>
        <v>0</v>
      </c>
      <c r="AW279" s="405">
        <f t="shared" si="164"/>
        <v>0</v>
      </c>
      <c r="AX279" s="405">
        <f t="shared" si="181"/>
        <v>0</v>
      </c>
      <c r="AY279" s="405">
        <f t="shared" si="182"/>
        <v>0</v>
      </c>
    </row>
    <row r="280" spans="2:51" ht="13.5" thickBot="1" x14ac:dyDescent="0.25">
      <c r="B280" s="345">
        <v>18093.5</v>
      </c>
      <c r="C280" s="728" t="str">
        <f t="shared" si="165"/>
        <v>2.16217503399043</v>
      </c>
      <c r="D280" s="728" t="str">
        <f t="shared" si="166"/>
        <v>1+13.8316522915802i</v>
      </c>
      <c r="E280" s="337">
        <f t="shared" si="184"/>
        <v>13.867754148209283</v>
      </c>
      <c r="F280" s="338">
        <f t="shared" si="185"/>
        <v>1.4986239577890414</v>
      </c>
      <c r="G280" s="338" t="str">
        <f t="shared" si="167"/>
        <v>1+0.056842406677727i</v>
      </c>
      <c r="H280" s="337">
        <f t="shared" si="186"/>
        <v>1.0016142267344827</v>
      </c>
      <c r="I280" s="338">
        <f t="shared" si="187"/>
        <v>5.6781304694908608E-2</v>
      </c>
      <c r="J280" s="340">
        <f t="shared" si="168"/>
        <v>1</v>
      </c>
      <c r="K280" s="338">
        <f t="shared" si="188"/>
        <v>1</v>
      </c>
      <c r="L280" s="339">
        <f t="shared" si="189"/>
        <v>0</v>
      </c>
      <c r="M280" s="731" t="str">
        <f t="shared" si="169"/>
        <v>0.985450011455556+0.267232649714408i</v>
      </c>
      <c r="N280" s="338">
        <f t="shared" si="190"/>
        <v>1.0210411422421424</v>
      </c>
      <c r="O280" s="339">
        <f t="shared" si="191"/>
        <v>0.26480973825502463</v>
      </c>
      <c r="P280" s="732" t="str">
        <f t="shared" si="183"/>
        <v>-0.0207149653547526-0.151538055036067i</v>
      </c>
      <c r="Q280" s="337">
        <f t="shared" si="192"/>
        <v>0.15294735013645275</v>
      </c>
      <c r="R280" s="339">
        <f t="shared" si="193"/>
        <v>-1.7066523913491565</v>
      </c>
      <c r="S280" s="731" t="str">
        <f t="shared" si="170"/>
        <v>6000</v>
      </c>
      <c r="T280" s="337" t="str">
        <f t="shared" si="171"/>
        <v>1+114821.661489009i</v>
      </c>
      <c r="U280" s="346">
        <f t="shared" si="194"/>
        <v>114821.66149336359</v>
      </c>
      <c r="V280" s="347">
        <f t="shared" si="195"/>
        <v>1.5707876176368247</v>
      </c>
      <c r="W280" s="340" t="str">
        <f t="shared" si="172"/>
        <v>1+1136.84813355454i</v>
      </c>
      <c r="X280" s="337">
        <f t="shared" si="196"/>
        <v>1136.8485733669377</v>
      </c>
      <c r="Y280" s="339">
        <f t="shared" si="197"/>
        <v>1.5699167020564893</v>
      </c>
      <c r="Z280" s="337" t="str">
        <f t="shared" si="173"/>
        <v>1+11.4519897970839i</v>
      </c>
      <c r="AA280" s="346">
        <f t="shared" si="198"/>
        <v>11.495567420206527</v>
      </c>
      <c r="AB280" s="347">
        <f t="shared" si="199"/>
        <v>1.4836961873135293</v>
      </c>
      <c r="AC280" s="732" t="str">
        <f t="shared" si="200"/>
        <v>0.445057144995489-5.14852745630878i</v>
      </c>
      <c r="AD280" s="337">
        <f t="shared" si="201"/>
        <v>5.1677278208780395</v>
      </c>
      <c r="AE280" s="339">
        <f t="shared" si="202"/>
        <v>-1.4845671028938645</v>
      </c>
      <c r="AF280" s="736" t="str">
        <f t="shared" si="174"/>
        <v>-0.789417180368288+0.0392084737529076i</v>
      </c>
      <c r="AG280" s="337">
        <f t="shared" si="203"/>
        <v>-2.0431682236436877</v>
      </c>
      <c r="AH280" s="730">
        <f t="shared" si="204"/>
        <v>177.15659148000179</v>
      </c>
      <c r="AI280" s="360">
        <f t="shared" si="175"/>
        <v>-2.8434085199982064</v>
      </c>
      <c r="AL280" s="337">
        <f t="shared" si="176"/>
        <v>14.265992634556358</v>
      </c>
      <c r="AM280" s="730">
        <f t="shared" si="177"/>
        <v>-85.05942939978226</v>
      </c>
      <c r="AN280" s="351"/>
      <c r="AO280" s="337">
        <f t="shared" si="178"/>
        <v>36.962770340539393</v>
      </c>
      <c r="AP280" s="730">
        <f t="shared" si="179"/>
        <v>-97.78397912021596</v>
      </c>
      <c r="AS280" s="351"/>
      <c r="AT280" s="351"/>
      <c r="AV280" s="405">
        <f t="shared" si="180"/>
        <v>0</v>
      </c>
      <c r="AW280" s="405">
        <f t="shared" si="164"/>
        <v>0</v>
      </c>
      <c r="AX280" s="405">
        <f t="shared" si="181"/>
        <v>0</v>
      </c>
      <c r="AY280" s="405">
        <f t="shared" si="182"/>
        <v>0</v>
      </c>
    </row>
    <row r="281" spans="2:51" ht="13.5" thickBot="1" x14ac:dyDescent="0.25">
      <c r="B281" s="345">
        <v>18197</v>
      </c>
      <c r="C281" s="728" t="str">
        <f t="shared" si="165"/>
        <v>2.16217503399043</v>
      </c>
      <c r="D281" s="728" t="str">
        <f t="shared" si="166"/>
        <v>1+13.9107733025609i</v>
      </c>
      <c r="E281" s="337">
        <f t="shared" si="184"/>
        <v>13.94667035084866</v>
      </c>
      <c r="F281" s="338">
        <f t="shared" si="185"/>
        <v>1.499033044310262</v>
      </c>
      <c r="G281" s="338" t="str">
        <f t="shared" si="167"/>
        <v>1+0.0571675615173735i</v>
      </c>
      <c r="H281" s="337">
        <f t="shared" si="186"/>
        <v>1.0016327321378045</v>
      </c>
      <c r="I281" s="338">
        <f t="shared" si="187"/>
        <v>5.7105406341328963E-2</v>
      </c>
      <c r="J281" s="340">
        <f t="shared" si="168"/>
        <v>1</v>
      </c>
      <c r="K281" s="338">
        <f t="shared" si="188"/>
        <v>1</v>
      </c>
      <c r="L281" s="339">
        <f t="shared" si="189"/>
        <v>0</v>
      </c>
      <c r="M281" s="731" t="str">
        <f t="shared" si="169"/>
        <v>0.985283075155556+0.268761296976985i</v>
      </c>
      <c r="N281" s="338">
        <f t="shared" si="190"/>
        <v>1.021281240864014</v>
      </c>
      <c r="O281" s="339">
        <f t="shared" si="191"/>
        <v>0.26629713875474537</v>
      </c>
      <c r="P281" s="732" t="str">
        <f t="shared" si="183"/>
        <v>-0.0208301403564953-0.150615380284519i</v>
      </c>
      <c r="Q281" s="337">
        <f t="shared" si="192"/>
        <v>0.15204896423692457</v>
      </c>
      <c r="R281" s="339">
        <f t="shared" si="193"/>
        <v>-1.7082247767236785</v>
      </c>
      <c r="S281" s="731" t="str">
        <f t="shared" si="170"/>
        <v>6000</v>
      </c>
      <c r="T281" s="337" t="str">
        <f t="shared" si="171"/>
        <v>1+115478.474265094i</v>
      </c>
      <c r="U281" s="346">
        <f t="shared" si="194"/>
        <v>115478.47426942381</v>
      </c>
      <c r="V281" s="347">
        <f t="shared" si="195"/>
        <v>1.5707876671723451</v>
      </c>
      <c r="W281" s="340" t="str">
        <f t="shared" si="172"/>
        <v>1+1143.35123034747i</v>
      </c>
      <c r="X281" s="337">
        <f t="shared" si="196"/>
        <v>1143.3516676583254</v>
      </c>
      <c r="Y281" s="339">
        <f t="shared" si="197"/>
        <v>1.5699217051401768</v>
      </c>
      <c r="Z281" s="337" t="str">
        <f t="shared" si="173"/>
        <v>1+11.5174984573209i</v>
      </c>
      <c r="AA281" s="346">
        <f t="shared" si="198"/>
        <v>11.560829153412365</v>
      </c>
      <c r="AB281" s="347">
        <f t="shared" si="199"/>
        <v>1.484189110604065</v>
      </c>
      <c r="AC281" s="732" t="str">
        <f t="shared" si="200"/>
        <v>0.440046566715187-5.11967895557593i</v>
      </c>
      <c r="AD281" s="337">
        <f t="shared" si="201"/>
        <v>5.1385555936512812</v>
      </c>
      <c r="AE281" s="339">
        <f t="shared" si="202"/>
        <v>-1.485055072636233</v>
      </c>
      <c r="AF281" s="736" t="str">
        <f t="shared" si="174"/>
        <v>-0.780268624576789+0.040365850236137i</v>
      </c>
      <c r="AG281" s="337">
        <f t="shared" si="203"/>
        <v>-2.1435094890136126</v>
      </c>
      <c r="AH281" s="730">
        <f t="shared" si="204"/>
        <v>177.03854182750575</v>
      </c>
      <c r="AI281" s="360">
        <f t="shared" si="175"/>
        <v>-2.9614581724942468</v>
      </c>
      <c r="AL281" s="337">
        <f t="shared" si="176"/>
        <v>14.216821189778017</v>
      </c>
      <c r="AM281" s="730">
        <f t="shared" si="177"/>
        <v>-85.087388006550057</v>
      </c>
      <c r="AN281" s="351"/>
      <c r="AO281" s="337">
        <f t="shared" si="178"/>
        <v>36.911600519947804</v>
      </c>
      <c r="AP281" s="730">
        <f t="shared" si="179"/>
        <v>-97.874070165944161</v>
      </c>
      <c r="AS281" s="351"/>
      <c r="AT281" s="351"/>
      <c r="AV281" s="405">
        <f t="shared" si="180"/>
        <v>0</v>
      </c>
      <c r="AW281" s="405">
        <f t="shared" si="164"/>
        <v>0</v>
      </c>
      <c r="AX281" s="405">
        <f t="shared" si="181"/>
        <v>0</v>
      </c>
      <c r="AY281" s="405">
        <f t="shared" si="182"/>
        <v>0</v>
      </c>
    </row>
    <row r="282" spans="2:51" ht="13.5" thickBot="1" x14ac:dyDescent="0.25">
      <c r="B282" s="345">
        <v>18303</v>
      </c>
      <c r="C282" s="728" t="str">
        <f t="shared" si="165"/>
        <v>2.16217503399043</v>
      </c>
      <c r="D282" s="728" t="str">
        <f t="shared" si="166"/>
        <v>1+13.9918054490725i</v>
      </c>
      <c r="E282" s="337">
        <f t="shared" si="184"/>
        <v>14.027495133654293</v>
      </c>
      <c r="F282" s="338">
        <f t="shared" si="185"/>
        <v>1.4994472410662971</v>
      </c>
      <c r="G282" s="338" t="str">
        <f t="shared" si="167"/>
        <v>1+0.057500570338654i</v>
      </c>
      <c r="H282" s="337">
        <f t="shared" si="186"/>
        <v>1.0016517935836138</v>
      </c>
      <c r="I282" s="338">
        <f t="shared" si="187"/>
        <v>5.743732408120894E-2</v>
      </c>
      <c r="J282" s="340">
        <f t="shared" si="168"/>
        <v>1</v>
      </c>
      <c r="K282" s="338">
        <f t="shared" si="188"/>
        <v>1</v>
      </c>
      <c r="L282" s="339">
        <f t="shared" si="189"/>
        <v>0</v>
      </c>
      <c r="M282" s="731" t="str">
        <f t="shared" si="169"/>
        <v>0.9851111196+0.270326868086485i</v>
      </c>
      <c r="N282" s="338">
        <f t="shared" si="190"/>
        <v>1.0215285280250441</v>
      </c>
      <c r="O282" s="339">
        <f t="shared" si="191"/>
        <v>0.26781999428860487</v>
      </c>
      <c r="P282" s="732" t="str">
        <f t="shared" si="183"/>
        <v>-0.0209457847196648-0.149680722980726i</v>
      </c>
      <c r="Q282" s="337">
        <f t="shared" si="192"/>
        <v>0.15113915683751641</v>
      </c>
      <c r="R282" s="339">
        <f t="shared" si="193"/>
        <v>-1.7098299112736921</v>
      </c>
      <c r="S282" s="731" t="str">
        <f t="shared" si="170"/>
        <v>6000</v>
      </c>
      <c r="T282" s="337" t="str">
        <f t="shared" si="171"/>
        <v>1+116151.152084081i</v>
      </c>
      <c r="U282" s="346">
        <f t="shared" si="194"/>
        <v>116151.15208838573</v>
      </c>
      <c r="V282" s="347">
        <f t="shared" si="195"/>
        <v>1.5707877173236857</v>
      </c>
      <c r="W282" s="340" t="str">
        <f t="shared" si="172"/>
        <v>1+1150.01140677308i</v>
      </c>
      <c r="X282" s="337">
        <f t="shared" si="196"/>
        <v>1150.0118415512939</v>
      </c>
      <c r="Y282" s="339">
        <f t="shared" si="197"/>
        <v>1.5699267704217446</v>
      </c>
      <c r="Z282" s="337" t="str">
        <f t="shared" si="173"/>
        <v>1+11.5845894523462i</v>
      </c>
      <c r="AA282" s="346">
        <f t="shared" si="198"/>
        <v>11.627670135474725</v>
      </c>
      <c r="AB282" s="347">
        <f t="shared" si="199"/>
        <v>1.4846882048523553</v>
      </c>
      <c r="AC282" s="732" t="str">
        <f t="shared" si="200"/>
        <v>0.435001943900714-5.0904643045896i</v>
      </c>
      <c r="AD282" s="337">
        <f t="shared" si="201"/>
        <v>5.1090168846362483</v>
      </c>
      <c r="AE282" s="339">
        <f t="shared" si="202"/>
        <v>-1.4855491517542967</v>
      </c>
      <c r="AF282" s="736" t="str">
        <f t="shared" si="174"/>
        <v>-0.77105583448813+0.0415123639859919i</v>
      </c>
      <c r="AG282" s="337">
        <f t="shared" si="203"/>
        <v>-2.2457133389160004</v>
      </c>
      <c r="AH282" s="730">
        <f t="shared" si="204"/>
        <v>176.91826574402876</v>
      </c>
      <c r="AI282" s="360">
        <f t="shared" si="175"/>
        <v>-3.0817342559712415</v>
      </c>
      <c r="AL282" s="337">
        <f t="shared" si="176"/>
        <v>14.16674675942814</v>
      </c>
      <c r="AM282" s="730">
        <f t="shared" si="177"/>
        <v>-85.115696654760654</v>
      </c>
      <c r="AN282" s="351"/>
      <c r="AO282" s="337">
        <f t="shared" si="178"/>
        <v>36.859471100395297</v>
      </c>
      <c r="AP282" s="730">
        <f t="shared" si="179"/>
        <v>-97.966037601210573</v>
      </c>
      <c r="AS282" s="351"/>
      <c r="AT282" s="351"/>
      <c r="AV282" s="405">
        <f t="shared" si="180"/>
        <v>0</v>
      </c>
      <c r="AW282" s="405">
        <f t="shared" ref="AW282:AW345" si="205">IF(AV282&gt;0,AI282,0)</f>
        <v>0</v>
      </c>
      <c r="AX282" s="405">
        <f t="shared" si="181"/>
        <v>0</v>
      </c>
      <c r="AY282" s="405">
        <f t="shared" si="182"/>
        <v>0</v>
      </c>
    </row>
    <row r="283" spans="2:51" ht="13.5" thickBot="1" x14ac:dyDescent="0.25">
      <c r="B283" s="345">
        <v>18409</v>
      </c>
      <c r="C283" s="728" t="str">
        <f t="shared" si="165"/>
        <v>2.16217503399043</v>
      </c>
      <c r="D283" s="728" t="str">
        <f t="shared" si="166"/>
        <v>1+14.0728375955841i</v>
      </c>
      <c r="E283" s="337">
        <f t="shared" si="184"/>
        <v>14.108322295428513</v>
      </c>
      <c r="F283" s="338">
        <f t="shared" si="185"/>
        <v>1.4998566919912253</v>
      </c>
      <c r="G283" s="338" t="str">
        <f t="shared" si="167"/>
        <v>1+0.0578335791599345i</v>
      </c>
      <c r="H283" s="337">
        <f t="shared" si="186"/>
        <v>1.0016709653765794</v>
      </c>
      <c r="I283" s="338">
        <f t="shared" si="187"/>
        <v>5.7769229151967909E-2</v>
      </c>
      <c r="J283" s="340">
        <f t="shared" si="168"/>
        <v>1</v>
      </c>
      <c r="K283" s="338">
        <f t="shared" si="188"/>
        <v>1</v>
      </c>
      <c r="L283" s="339">
        <f t="shared" si="189"/>
        <v>0</v>
      </c>
      <c r="M283" s="731" t="str">
        <f t="shared" si="169"/>
        <v>0.984938165288889+0.271892439195984i</v>
      </c>
      <c r="N283" s="338">
        <f t="shared" si="190"/>
        <v>1.021777220305182</v>
      </c>
      <c r="O283" s="339">
        <f t="shared" si="191"/>
        <v>0.26934236928243682</v>
      </c>
      <c r="P283" s="732" t="str">
        <f t="shared" si="183"/>
        <v>-0.021059140325308-0.148756318827173i</v>
      </c>
      <c r="Q283" s="337">
        <f t="shared" si="192"/>
        <v>0.15023957462084536</v>
      </c>
      <c r="R283" s="339">
        <f t="shared" si="193"/>
        <v>-1.7114298321216936</v>
      </c>
      <c r="S283" s="731" t="str">
        <f t="shared" si="170"/>
        <v>6000</v>
      </c>
      <c r="T283" s="337" t="str">
        <f t="shared" si="171"/>
        <v>1+116823.829903068i</v>
      </c>
      <c r="U283" s="346">
        <f t="shared" si="194"/>
        <v>116823.82990734797</v>
      </c>
      <c r="V283" s="347">
        <f t="shared" si="195"/>
        <v>1.5707877668974783</v>
      </c>
      <c r="W283" s="340" t="str">
        <f t="shared" si="172"/>
        <v>1+1156.67158319869i</v>
      </c>
      <c r="X283" s="337">
        <f t="shared" si="196"/>
        <v>1156.6720154734289</v>
      </c>
      <c r="Y283" s="339">
        <f t="shared" si="197"/>
        <v>1.5699317773710351</v>
      </c>
      <c r="Z283" s="337" t="str">
        <f t="shared" si="173"/>
        <v>1+11.6516804473715i</v>
      </c>
      <c r="AA283" s="346">
        <f t="shared" si="198"/>
        <v>11.694513980822775</v>
      </c>
      <c r="AB283" s="347">
        <f t="shared" si="199"/>
        <v>1.4851815937473494</v>
      </c>
      <c r="AC283" s="732" t="str">
        <f t="shared" si="200"/>
        <v>0.430043361993868-5.06157870821527i</v>
      </c>
      <c r="AD283" s="337">
        <f t="shared" si="201"/>
        <v>5.0798145943186892</v>
      </c>
      <c r="AE283" s="339">
        <f t="shared" si="202"/>
        <v>-1.4860375832737927</v>
      </c>
      <c r="AF283" s="736" t="str">
        <f t="shared" si="174"/>
        <v>-0.761998159594297+0.0426208288176274i</v>
      </c>
      <c r="AG283" s="337">
        <f t="shared" si="203"/>
        <v>-2.3473558648179913</v>
      </c>
      <c r="AH283" s="730">
        <f t="shared" si="204"/>
        <v>176.79861196723499</v>
      </c>
      <c r="AI283" s="360">
        <f t="shared" si="175"/>
        <v>-3.2013880327650099</v>
      </c>
      <c r="AL283" s="337">
        <f t="shared" si="176"/>
        <v>14.116957229403852</v>
      </c>
      <c r="AM283" s="730">
        <f t="shared" si="177"/>
        <v>-85.143681719408931</v>
      </c>
      <c r="AN283" s="351"/>
      <c r="AO283" s="337">
        <f t="shared" si="178"/>
        <v>36.807618104517601</v>
      </c>
      <c r="AP283" s="730">
        <f t="shared" si="179"/>
        <v>-98.05770631335605</v>
      </c>
      <c r="AS283" s="351"/>
      <c r="AT283" s="351"/>
      <c r="AV283" s="405">
        <f t="shared" si="180"/>
        <v>0</v>
      </c>
      <c r="AW283" s="405">
        <f t="shared" si="205"/>
        <v>0</v>
      </c>
      <c r="AX283" s="405">
        <f t="shared" si="181"/>
        <v>0</v>
      </c>
      <c r="AY283" s="405">
        <f t="shared" si="182"/>
        <v>0</v>
      </c>
    </row>
    <row r="284" spans="2:51" ht="13.5" thickBot="1" x14ac:dyDescent="0.25">
      <c r="B284" s="345">
        <v>18515</v>
      </c>
      <c r="C284" s="728" t="str">
        <f t="shared" si="165"/>
        <v>2.16217503399043</v>
      </c>
      <c r="D284" s="728" t="str">
        <f t="shared" si="166"/>
        <v>1+14.1538697420957i</v>
      </c>
      <c r="E284" s="337">
        <f t="shared" si="184"/>
        <v>14.18915179551661</v>
      </c>
      <c r="F284" s="338">
        <f t="shared" si="185"/>
        <v>1.5002614780514518</v>
      </c>
      <c r="G284" s="338" t="str">
        <f t="shared" si="167"/>
        <v>1+0.058166587981215i</v>
      </c>
      <c r="H284" s="337">
        <f t="shared" si="186"/>
        <v>1.0016902475103651</v>
      </c>
      <c r="I284" s="338">
        <f t="shared" si="187"/>
        <v>5.8101121481209446E-2</v>
      </c>
      <c r="J284" s="340">
        <f t="shared" si="168"/>
        <v>1</v>
      </c>
      <c r="K284" s="338">
        <f t="shared" si="188"/>
        <v>1</v>
      </c>
      <c r="L284" s="339">
        <f t="shared" si="189"/>
        <v>0</v>
      </c>
      <c r="M284" s="731" t="str">
        <f t="shared" si="169"/>
        <v>0.984764212222222+0.273458010305483i</v>
      </c>
      <c r="N284" s="338">
        <f t="shared" si="190"/>
        <v>1.0220273171857428</v>
      </c>
      <c r="O284" s="339">
        <f t="shared" si="191"/>
        <v>0.27086426133615021</v>
      </c>
      <c r="P284" s="732" t="str">
        <f t="shared" si="183"/>
        <v>-0.0211702576128941-0.147841996249951i</v>
      </c>
      <c r="Q284" s="337">
        <f t="shared" si="192"/>
        <v>0.14935004406616972</v>
      </c>
      <c r="R284" s="339">
        <f t="shared" si="193"/>
        <v>-1.7130246179063919</v>
      </c>
      <c r="S284" s="731" t="str">
        <f t="shared" si="170"/>
        <v>6000</v>
      </c>
      <c r="T284" s="337" t="str">
        <f t="shared" si="171"/>
        <v>1+117496.507722054i</v>
      </c>
      <c r="U284" s="346">
        <f t="shared" si="194"/>
        <v>117496.50772630944</v>
      </c>
      <c r="V284" s="347">
        <f t="shared" si="195"/>
        <v>1.5707878159036424</v>
      </c>
      <c r="W284" s="340" t="str">
        <f t="shared" si="172"/>
        <v>1+1163.3317596243i</v>
      </c>
      <c r="X284" s="337">
        <f t="shared" si="196"/>
        <v>1163.3321894242292</v>
      </c>
      <c r="Y284" s="339">
        <f t="shared" si="197"/>
        <v>1.56993672698992</v>
      </c>
      <c r="Z284" s="337" t="str">
        <f t="shared" si="173"/>
        <v>1+11.7187714423969i</v>
      </c>
      <c r="AA284" s="346">
        <f t="shared" si="198"/>
        <v>11.761360640637507</v>
      </c>
      <c r="AB284" s="347">
        <f t="shared" si="199"/>
        <v>1.4856693743272953</v>
      </c>
      <c r="AC284" s="732" t="str">
        <f t="shared" si="200"/>
        <v>0.425168880111977-5.03301668047488i</v>
      </c>
      <c r="AD284" s="337">
        <f t="shared" si="201"/>
        <v>5.0509430290346824</v>
      </c>
      <c r="AE284" s="339">
        <f t="shared" si="202"/>
        <v>-1.4865204632410176</v>
      </c>
      <c r="AF284" s="736" t="str">
        <f t="shared" si="174"/>
        <v>-0.753092167921664+0.0436924437165356i</v>
      </c>
      <c r="AG284" s="337">
        <f t="shared" si="203"/>
        <v>-2.4484434981203491</v>
      </c>
      <c r="AH284" s="730">
        <f t="shared" si="204"/>
        <v>176.67957048841092</v>
      </c>
      <c r="AI284" s="360">
        <f t="shared" si="175"/>
        <v>-3.3204295115890829</v>
      </c>
      <c r="AL284" s="337">
        <f t="shared" si="176"/>
        <v>14.067449400279052</v>
      </c>
      <c r="AM284" s="730">
        <f t="shared" si="177"/>
        <v>-85.171348703542336</v>
      </c>
      <c r="AN284" s="351"/>
      <c r="AO284" s="337">
        <f t="shared" si="178"/>
        <v>36.75603830034003</v>
      </c>
      <c r="AP284" s="730">
        <f t="shared" si="179"/>
        <v>-98.149080808046733</v>
      </c>
      <c r="AS284" s="351"/>
      <c r="AT284" s="351"/>
      <c r="AV284" s="405">
        <f t="shared" si="180"/>
        <v>0</v>
      </c>
      <c r="AW284" s="405">
        <f t="shared" si="205"/>
        <v>0</v>
      </c>
      <c r="AX284" s="405">
        <f t="shared" si="181"/>
        <v>0</v>
      </c>
      <c r="AY284" s="405">
        <f t="shared" si="182"/>
        <v>0</v>
      </c>
    </row>
    <row r="285" spans="2:51" ht="13.5" thickBot="1" x14ac:dyDescent="0.25">
      <c r="B285" s="345">
        <v>18621</v>
      </c>
      <c r="C285" s="728" t="str">
        <f t="shared" si="165"/>
        <v>2.16217503399043</v>
      </c>
      <c r="D285" s="728" t="str">
        <f t="shared" si="166"/>
        <v>1+14.2349018886072i</v>
      </c>
      <c r="E285" s="337">
        <f t="shared" si="184"/>
        <v>14.269983594183731</v>
      </c>
      <c r="F285" s="338">
        <f t="shared" si="185"/>
        <v>1.5006616783850513</v>
      </c>
      <c r="G285" s="338" t="str">
        <f t="shared" si="167"/>
        <v>1+0.0584995968024955i</v>
      </c>
      <c r="H285" s="337">
        <f t="shared" si="186"/>
        <v>1.001709639978599</v>
      </c>
      <c r="I285" s="338">
        <f t="shared" si="187"/>
        <v>5.8433000996553922E-2</v>
      </c>
      <c r="J285" s="340">
        <f t="shared" si="168"/>
        <v>1</v>
      </c>
      <c r="K285" s="338">
        <f t="shared" si="188"/>
        <v>1</v>
      </c>
      <c r="L285" s="339">
        <f t="shared" si="189"/>
        <v>0</v>
      </c>
      <c r="M285" s="731" t="str">
        <f t="shared" si="169"/>
        <v>0.9845892604+0.275023581414983i</v>
      </c>
      <c r="N285" s="338">
        <f t="shared" si="190"/>
        <v>1.0222788181456872</v>
      </c>
      <c r="O285" s="339">
        <f t="shared" si="191"/>
        <v>0.27238566805580433</v>
      </c>
      <c r="P285" s="732" t="str">
        <f t="shared" si="183"/>
        <v>-0.0212791856106432-0.146937587486218i</v>
      </c>
      <c r="Q285" s="337">
        <f t="shared" si="192"/>
        <v>0.14847039555588906</v>
      </c>
      <c r="R285" s="339">
        <f t="shared" si="193"/>
        <v>-1.7146143454443021</v>
      </c>
      <c r="S285" s="731" t="str">
        <f t="shared" si="170"/>
        <v>6000</v>
      </c>
      <c r="T285" s="337" t="str">
        <f t="shared" si="171"/>
        <v>1+118169.185541041i</v>
      </c>
      <c r="U285" s="346">
        <f t="shared" si="194"/>
        <v>118169.18554527222</v>
      </c>
      <c r="V285" s="347">
        <f t="shared" si="195"/>
        <v>1.5707878643518713</v>
      </c>
      <c r="W285" s="340" t="str">
        <f t="shared" si="172"/>
        <v>1+1169.99193604991i</v>
      </c>
      <c r="X285" s="337">
        <f t="shared" si="196"/>
        <v>1169.9923634032048</v>
      </c>
      <c r="Y285" s="339">
        <f t="shared" si="197"/>
        <v>1.5699416202574581</v>
      </c>
      <c r="Z285" s="337" t="str">
        <f t="shared" si="173"/>
        <v>1+11.7858624374222i</v>
      </c>
      <c r="AA285" s="346">
        <f t="shared" si="198"/>
        <v>11.828210067201189</v>
      </c>
      <c r="AB285" s="347">
        <f t="shared" si="199"/>
        <v>1.4861516414475315</v>
      </c>
      <c r="AC285" s="732" t="str">
        <f t="shared" si="200"/>
        <v>0.420376611660353-5.00477285569979i</v>
      </c>
      <c r="AD285" s="337">
        <f t="shared" si="201"/>
        <v>5.0223966224085164</v>
      </c>
      <c r="AE285" s="339">
        <f t="shared" si="202"/>
        <v>-1.486997885541945</v>
      </c>
      <c r="AF285" s="736" t="str">
        <f t="shared" si="174"/>
        <v>-0.744334521278931+0.0447283653825416i</v>
      </c>
      <c r="AG285" s="337">
        <f t="shared" si="203"/>
        <v>-2.548982562534472</v>
      </c>
      <c r="AH285" s="730">
        <f t="shared" si="204"/>
        <v>176.56113152702437</v>
      </c>
      <c r="AI285" s="360">
        <f t="shared" si="175"/>
        <v>-3.4388684729756278</v>
      </c>
      <c r="AL285" s="337">
        <f t="shared" si="176"/>
        <v>14.018220125809066</v>
      </c>
      <c r="AM285" s="730">
        <f t="shared" si="177"/>
        <v>-85.198702986430902</v>
      </c>
      <c r="AN285" s="351"/>
      <c r="AO285" s="337">
        <f t="shared" si="178"/>
        <v>36.704728510395888</v>
      </c>
      <c r="AP285" s="730">
        <f t="shared" si="179"/>
        <v>-98.240165486544697</v>
      </c>
      <c r="AS285" s="351"/>
      <c r="AT285" s="351"/>
      <c r="AV285" s="405">
        <f t="shared" si="180"/>
        <v>0</v>
      </c>
      <c r="AW285" s="405">
        <f t="shared" si="205"/>
        <v>0</v>
      </c>
      <c r="AX285" s="405">
        <f t="shared" si="181"/>
        <v>0</v>
      </c>
      <c r="AY285" s="405">
        <f t="shared" si="182"/>
        <v>0</v>
      </c>
    </row>
    <row r="286" spans="2:51" ht="13.5" thickBot="1" x14ac:dyDescent="0.25">
      <c r="B286" s="345">
        <v>18729.5</v>
      </c>
      <c r="C286" s="728" t="str">
        <f t="shared" si="165"/>
        <v>2.16217503399043</v>
      </c>
      <c r="D286" s="728" t="str">
        <f t="shared" si="166"/>
        <v>1+14.3178451706498i</v>
      </c>
      <c r="E286" s="337">
        <f t="shared" si="184"/>
        <v>14.352724143196644</v>
      </c>
      <c r="F286" s="338">
        <f t="shared" si="185"/>
        <v>1.5010666489113431</v>
      </c>
      <c r="G286" s="338" t="str">
        <f t="shared" si="167"/>
        <v>1+0.05884045960541i</v>
      </c>
      <c r="H286" s="337">
        <f t="shared" si="186"/>
        <v>1.0017296040781543</v>
      </c>
      <c r="I286" s="338">
        <f t="shared" si="187"/>
        <v>5.8772694512643719E-2</v>
      </c>
      <c r="J286" s="340">
        <f t="shared" si="168"/>
        <v>1</v>
      </c>
      <c r="K286" s="338">
        <f t="shared" si="188"/>
        <v>1</v>
      </c>
      <c r="L286" s="339">
        <f t="shared" si="189"/>
        <v>0</v>
      </c>
      <c r="M286" s="731" t="str">
        <f t="shared" si="169"/>
        <v>0.984409147988889+0.276626076371404i</v>
      </c>
      <c r="N286" s="338">
        <f t="shared" si="190"/>
        <v>1.0225377043282309</v>
      </c>
      <c r="O286" s="339">
        <f t="shared" si="191"/>
        <v>0.27394245187822325</v>
      </c>
      <c r="P286" s="732" t="str">
        <f t="shared" si="183"/>
        <v>-0.0213884650585529-0.146021944403105i</v>
      </c>
      <c r="Q286" s="337">
        <f t="shared" si="192"/>
        <v>0.14758006194884329</v>
      </c>
      <c r="R286" s="339">
        <f t="shared" si="193"/>
        <v>-1.7162364062769222</v>
      </c>
      <c r="S286" s="731" t="str">
        <f t="shared" si="170"/>
        <v>6000</v>
      </c>
      <c r="T286" s="337" t="str">
        <f t="shared" si="171"/>
        <v>1+118857.728402928i</v>
      </c>
      <c r="U286" s="346">
        <f t="shared" si="194"/>
        <v>118857.72840713471</v>
      </c>
      <c r="V286" s="347">
        <f t="shared" si="195"/>
        <v>1.5707879133748068</v>
      </c>
      <c r="W286" s="340" t="str">
        <f t="shared" si="172"/>
        <v>1+1176.8091921082i</v>
      </c>
      <c r="X286" s="337">
        <f t="shared" si="196"/>
        <v>1176.8096169858377</v>
      </c>
      <c r="Y286" s="339">
        <f t="shared" si="197"/>
        <v>1.5699465715703356</v>
      </c>
      <c r="Z286" s="337" t="str">
        <f t="shared" si="173"/>
        <v>1+11.8545357672358i</v>
      </c>
      <c r="AA286" s="346">
        <f t="shared" si="198"/>
        <v>11.89663894789923</v>
      </c>
      <c r="AB286" s="347">
        <f t="shared" si="199"/>
        <v>1.4866396695295641</v>
      </c>
      <c r="AC286" s="732" t="str">
        <f t="shared" si="200"/>
        <v>0.415554548669695-4.976186973845i</v>
      </c>
      <c r="AD286" s="337">
        <f t="shared" si="201"/>
        <v>4.9935080235826934</v>
      </c>
      <c r="AE286" s="339">
        <f t="shared" si="202"/>
        <v>-1.4874810113340355</v>
      </c>
      <c r="AF286" s="736" t="str">
        <f t="shared" si="174"/>
        <v>-0.735520571578394+0.0457529180126063i</v>
      </c>
      <c r="AG286" s="337">
        <f t="shared" si="203"/>
        <v>-2.6513311930240873</v>
      </c>
      <c r="AH286" s="730">
        <f t="shared" si="204"/>
        <v>176.44051321834107</v>
      </c>
      <c r="AI286" s="360">
        <f t="shared" si="175"/>
        <v>-3.5594867816589328</v>
      </c>
      <c r="AL286" s="337">
        <f t="shared" si="176"/>
        <v>13.968115040770011</v>
      </c>
      <c r="AM286" s="730">
        <f t="shared" si="177"/>
        <v>-85.226384055291604</v>
      </c>
      <c r="AN286" s="351"/>
      <c r="AO286" s="337">
        <f t="shared" si="178"/>
        <v>36.652484964945344</v>
      </c>
      <c r="AP286" s="730">
        <f t="shared" si="179"/>
        <v>-98.333102726367315</v>
      </c>
      <c r="AS286" s="351"/>
      <c r="AT286" s="351"/>
      <c r="AV286" s="405">
        <f t="shared" si="180"/>
        <v>0</v>
      </c>
      <c r="AW286" s="405">
        <f t="shared" si="205"/>
        <v>0</v>
      </c>
      <c r="AX286" s="405">
        <f t="shared" si="181"/>
        <v>0</v>
      </c>
      <c r="AY286" s="405">
        <f t="shared" si="182"/>
        <v>0</v>
      </c>
    </row>
    <row r="287" spans="2:51" ht="13.5" thickBot="1" x14ac:dyDescent="0.25">
      <c r="B287" s="345">
        <v>18838</v>
      </c>
      <c r="C287" s="728" t="str">
        <f t="shared" si="165"/>
        <v>2.16217503399043</v>
      </c>
      <c r="D287" s="728" t="str">
        <f t="shared" si="166"/>
        <v>1+14.4007884526923i</v>
      </c>
      <c r="E287" s="337">
        <f t="shared" si="184"/>
        <v>14.435467019088641</v>
      </c>
      <c r="F287" s="338">
        <f t="shared" si="185"/>
        <v>1.5014669769890607</v>
      </c>
      <c r="G287" s="338" t="str">
        <f t="shared" si="167"/>
        <v>1+0.0591813224083245i</v>
      </c>
      <c r="H287" s="337">
        <f t="shared" si="186"/>
        <v>1.0017496837643614</v>
      </c>
      <c r="I287" s="338">
        <f t="shared" si="187"/>
        <v>5.9112374449877325E-2</v>
      </c>
      <c r="J287" s="340">
        <f t="shared" si="168"/>
        <v>1</v>
      </c>
      <c r="K287" s="338">
        <f t="shared" si="188"/>
        <v>1</v>
      </c>
      <c r="L287" s="339">
        <f t="shared" si="189"/>
        <v>0</v>
      </c>
      <c r="M287" s="731" t="str">
        <f t="shared" si="169"/>
        <v>0.984227989155556+0.278228571327826i</v>
      </c>
      <c r="N287" s="338">
        <f t="shared" si="190"/>
        <v>1.0227980604891234</v>
      </c>
      <c r="O287" s="339">
        <f t="shared" si="191"/>
        <v>0.27549872214779247</v>
      </c>
      <c r="P287" s="732" t="str">
        <f t="shared" si="183"/>
        <v>-0.0214955503506875-0.145116344380374i</v>
      </c>
      <c r="Q287" s="337">
        <f t="shared" si="192"/>
        <v>0.14669973446193502</v>
      </c>
      <c r="R287" s="339">
        <f t="shared" si="193"/>
        <v>-1.717853324686976</v>
      </c>
      <c r="S287" s="731" t="str">
        <f t="shared" si="170"/>
        <v>6000</v>
      </c>
      <c r="T287" s="337" t="str">
        <f t="shared" si="171"/>
        <v>1+119546.271264815i</v>
      </c>
      <c r="U287" s="346">
        <f t="shared" si="194"/>
        <v>119546.27126899747</v>
      </c>
      <c r="V287" s="347">
        <f t="shared" si="195"/>
        <v>1.5707879618330338</v>
      </c>
      <c r="W287" s="340" t="str">
        <f t="shared" si="172"/>
        <v>1+1183.62644816649i</v>
      </c>
      <c r="X287" s="337">
        <f t="shared" si="196"/>
        <v>1183.6268705969887</v>
      </c>
      <c r="Y287" s="339">
        <f t="shared" si="197"/>
        <v>1.5699514658477465</v>
      </c>
      <c r="Z287" s="337" t="str">
        <f t="shared" si="173"/>
        <v>1+11.9232090970495i</v>
      </c>
      <c r="AA287" s="346">
        <f t="shared" si="198"/>
        <v>11.965070629627055</v>
      </c>
      <c r="AB287" s="347">
        <f t="shared" si="199"/>
        <v>1.4871221153793595</v>
      </c>
      <c r="AC287" s="732" t="str">
        <f t="shared" si="200"/>
        <v>0.410814789461293-4.94792347765468i</v>
      </c>
      <c r="AD287" s="337">
        <f t="shared" si="201"/>
        <v>4.9649486937899479</v>
      </c>
      <c r="AE287" s="339">
        <f t="shared" si="202"/>
        <v>-1.4879586113646468</v>
      </c>
      <c r="AF287" s="736" t="str">
        <f t="shared" si="174"/>
        <v>-0.726855257342747+0.0467423977812591i</v>
      </c>
      <c r="AG287" s="337">
        <f t="shared" si="203"/>
        <v>-2.7531181454095326</v>
      </c>
      <c r="AH287" s="730">
        <f t="shared" si="204"/>
        <v>176.32050615157866</v>
      </c>
      <c r="AI287" s="360">
        <f t="shared" si="175"/>
        <v>-3.6794938484213446</v>
      </c>
      <c r="AL287" s="337">
        <f t="shared" si="176"/>
        <v>13.918295299854424</v>
      </c>
      <c r="AM287" s="730">
        <f t="shared" si="177"/>
        <v>-85.253748521340952</v>
      </c>
      <c r="AN287" s="351"/>
      <c r="AO287" s="337">
        <f t="shared" si="178"/>
        <v>36.600517753475465</v>
      </c>
      <c r="AP287" s="730">
        <f t="shared" si="179"/>
        <v>-98.425745327080406</v>
      </c>
      <c r="AS287" s="351"/>
      <c r="AT287" s="351"/>
      <c r="AV287" s="405">
        <f t="shared" si="180"/>
        <v>0</v>
      </c>
      <c r="AW287" s="405">
        <f t="shared" si="205"/>
        <v>0</v>
      </c>
      <c r="AX287" s="405">
        <f t="shared" si="181"/>
        <v>0</v>
      </c>
      <c r="AY287" s="405">
        <f t="shared" si="182"/>
        <v>0</v>
      </c>
    </row>
    <row r="288" spans="2:51" ht="13.5" thickBot="1" x14ac:dyDescent="0.25">
      <c r="B288" s="345">
        <v>18946.5</v>
      </c>
      <c r="C288" s="728" t="str">
        <f t="shared" si="165"/>
        <v>2.16217503399043</v>
      </c>
      <c r="D288" s="728" t="str">
        <f t="shared" si="166"/>
        <v>1+14.4837317347348i</v>
      </c>
      <c r="E288" s="337">
        <f t="shared" si="184"/>
        <v>14.518212182075448</v>
      </c>
      <c r="F288" s="338">
        <f t="shared" si="185"/>
        <v>1.5018627418663553</v>
      </c>
      <c r="G288" s="338" t="str">
        <f t="shared" si="167"/>
        <v>1+0.059522185211239i</v>
      </c>
      <c r="H288" s="337">
        <f t="shared" si="186"/>
        <v>1.0017698790302696</v>
      </c>
      <c r="I288" s="338">
        <f t="shared" si="187"/>
        <v>5.9452040730687404E-2</v>
      </c>
      <c r="J288" s="340">
        <f t="shared" si="168"/>
        <v>1</v>
      </c>
      <c r="K288" s="338">
        <f t="shared" si="188"/>
        <v>1</v>
      </c>
      <c r="L288" s="339">
        <f t="shared" si="189"/>
        <v>0</v>
      </c>
      <c r="M288" s="731" t="str">
        <f t="shared" si="169"/>
        <v>0.9840457839+0.279831066284247i</v>
      </c>
      <c r="N288" s="338">
        <f t="shared" si="190"/>
        <v>1.0230598860619764</v>
      </c>
      <c r="O288" s="339">
        <f t="shared" si="191"/>
        <v>0.27705447631732866</v>
      </c>
      <c r="P288" s="732" t="str">
        <f t="shared" si="183"/>
        <v>-0.0216004897753328-0.144220619236478i</v>
      </c>
      <c r="Q288" s="337">
        <f t="shared" si="192"/>
        <v>0.14582924319726626</v>
      </c>
      <c r="R288" s="339">
        <f t="shared" si="193"/>
        <v>-1.7194651774529957</v>
      </c>
      <c r="S288" s="731" t="str">
        <f t="shared" si="170"/>
        <v>6000</v>
      </c>
      <c r="T288" s="337" t="str">
        <f t="shared" si="171"/>
        <v>1+120234.814126703i</v>
      </c>
      <c r="U288" s="346">
        <f t="shared" si="194"/>
        <v>120234.81413086153</v>
      </c>
      <c r="V288" s="347">
        <f t="shared" si="195"/>
        <v>1.5707880097362541</v>
      </c>
      <c r="W288" s="340" t="str">
        <f t="shared" si="172"/>
        <v>1+1190.44370422478i</v>
      </c>
      <c r="X288" s="337">
        <f t="shared" si="196"/>
        <v>1190.4441242361672</v>
      </c>
      <c r="Y288" s="339">
        <f t="shared" si="197"/>
        <v>1.5699563040695561</v>
      </c>
      <c r="Z288" s="337" t="str">
        <f t="shared" si="173"/>
        <v>1+11.9918824268632i</v>
      </c>
      <c r="AA288" s="346">
        <f t="shared" si="198"/>
        <v>12.033505064598195</v>
      </c>
      <c r="AB288" s="347">
        <f t="shared" si="199"/>
        <v>1.4875990740087097</v>
      </c>
      <c r="AC288" s="732" t="str">
        <f t="shared" si="200"/>
        <v>0.406155475926986-4.9199769835049i</v>
      </c>
      <c r="AD288" s="337">
        <f t="shared" si="201"/>
        <v>4.936713055145443</v>
      </c>
      <c r="AE288" s="339">
        <f t="shared" si="202"/>
        <v>-1.4884307796754073</v>
      </c>
      <c r="AF288" s="736" t="str">
        <f t="shared" si="174"/>
        <v>-0.718335284395252+0.0476979182825939i</v>
      </c>
      <c r="AG288" s="337">
        <f t="shared" si="203"/>
        <v>-2.854349866198183</v>
      </c>
      <c r="AH288" s="730">
        <f t="shared" si="204"/>
        <v>176.20110053946283</v>
      </c>
      <c r="AI288" s="360">
        <f t="shared" si="175"/>
        <v>-3.7988994605371715</v>
      </c>
      <c r="AL288" s="337">
        <f t="shared" si="176"/>
        <v>13.868757694528028</v>
      </c>
      <c r="AM288" s="730">
        <f t="shared" si="177"/>
        <v>-85.280801772767347</v>
      </c>
      <c r="AN288" s="351"/>
      <c r="AO288" s="337">
        <f t="shared" si="178"/>
        <v>36.548823638013225</v>
      </c>
      <c r="AP288" s="730">
        <f t="shared" si="179"/>
        <v>-98.51809768776981</v>
      </c>
      <c r="AS288" s="351"/>
      <c r="AT288" s="351"/>
      <c r="AV288" s="405">
        <f t="shared" si="180"/>
        <v>0</v>
      </c>
      <c r="AW288" s="405">
        <f t="shared" si="205"/>
        <v>0</v>
      </c>
      <c r="AX288" s="405">
        <f t="shared" si="181"/>
        <v>0</v>
      </c>
      <c r="AY288" s="405">
        <f t="shared" si="182"/>
        <v>0</v>
      </c>
    </row>
    <row r="289" spans="2:51" ht="13.5" thickBot="1" x14ac:dyDescent="0.25">
      <c r="B289" s="345">
        <v>19055</v>
      </c>
      <c r="C289" s="728" t="str">
        <f t="shared" si="165"/>
        <v>2.16217503399043</v>
      </c>
      <c r="D289" s="728" t="str">
        <f t="shared" si="166"/>
        <v>1+14.5666750167774i</v>
      </c>
      <c r="E289" s="337">
        <f t="shared" si="184"/>
        <v>14.600959593273547</v>
      </c>
      <c r="F289" s="338">
        <f t="shared" si="185"/>
        <v>1.5022540210006923</v>
      </c>
      <c r="G289" s="338" t="str">
        <f t="shared" si="167"/>
        <v>1+0.0598630480141535i</v>
      </c>
      <c r="H289" s="337">
        <f t="shared" si="186"/>
        <v>1.0017901898688892</v>
      </c>
      <c r="I289" s="338">
        <f t="shared" si="187"/>
        <v>5.9791693277525509E-2</v>
      </c>
      <c r="J289" s="340">
        <f t="shared" si="168"/>
        <v>1</v>
      </c>
      <c r="K289" s="338">
        <f t="shared" si="188"/>
        <v>1</v>
      </c>
      <c r="L289" s="339">
        <f t="shared" si="189"/>
        <v>0</v>
      </c>
      <c r="M289" s="731" t="str">
        <f t="shared" si="169"/>
        <v>0.983862532222222+0.281433561240669i</v>
      </c>
      <c r="N289" s="338">
        <f t="shared" si="190"/>
        <v>1.0233231804778626</v>
      </c>
      <c r="O289" s="339">
        <f t="shared" si="191"/>
        <v>0.27860971184650163</v>
      </c>
      <c r="P289" s="732" t="str">
        <f t="shared" si="183"/>
        <v>-0.0217033302695129-0.143334604531226i</v>
      </c>
      <c r="Q289" s="337">
        <f t="shared" si="192"/>
        <v>0.14496842208188135</v>
      </c>
      <c r="R289" s="339">
        <f t="shared" si="193"/>
        <v>-1.721072039569667</v>
      </c>
      <c r="S289" s="731" t="str">
        <f t="shared" si="170"/>
        <v>6000</v>
      </c>
      <c r="T289" s="337" t="str">
        <f t="shared" si="171"/>
        <v>1+120923.35698859i</v>
      </c>
      <c r="U289" s="346">
        <f t="shared" si="194"/>
        <v>120923.35699272486</v>
      </c>
      <c r="V289" s="347">
        <f t="shared" si="195"/>
        <v>1.5707880570939481</v>
      </c>
      <c r="W289" s="340" t="str">
        <f t="shared" si="172"/>
        <v>1+1197.26096028307i</v>
      </c>
      <c r="X289" s="337">
        <f t="shared" si="196"/>
        <v>1197.261377902895</v>
      </c>
      <c r="Y289" s="339">
        <f t="shared" si="197"/>
        <v>1.5699610871933132</v>
      </c>
      <c r="Z289" s="337" t="str">
        <f t="shared" si="173"/>
        <v>1+12.0605557566769i</v>
      </c>
      <c r="AA289" s="346">
        <f t="shared" si="198"/>
        <v>12.10194220610528</v>
      </c>
      <c r="AB289" s="347">
        <f t="shared" si="199"/>
        <v>1.4880706382903373</v>
      </c>
      <c r="AC289" s="732" t="str">
        <f t="shared" si="200"/>
        <v>0.401574801979622-4.89234222607685i</v>
      </c>
      <c r="AD289" s="337">
        <f t="shared" si="201"/>
        <v>4.9087956546020086</v>
      </c>
      <c r="AE289" s="339">
        <f t="shared" si="202"/>
        <v>-1.4888976081909724</v>
      </c>
      <c r="AF289" s="736" t="str">
        <f t="shared" si="174"/>
        <v>-0.709957448761421+0.0486205536925753i</v>
      </c>
      <c r="AG289" s="337">
        <f t="shared" si="203"/>
        <v>-2.9550326937784299</v>
      </c>
      <c r="AH289" s="730">
        <f t="shared" si="204"/>
        <v>176.08228681821987</v>
      </c>
      <c r="AI289" s="360">
        <f t="shared" si="175"/>
        <v>-3.9177131817801296</v>
      </c>
      <c r="AL289" s="337">
        <f t="shared" si="176"/>
        <v>13.819499069677551</v>
      </c>
      <c r="AM289" s="730">
        <f t="shared" si="177"/>
        <v>-85.307549076465591</v>
      </c>
      <c r="AN289" s="351"/>
      <c r="AO289" s="337">
        <f t="shared" si="178"/>
        <v>36.497399435283455</v>
      </c>
      <c r="AP289" s="730">
        <f t="shared" si="179"/>
        <v>-98.610164105314539</v>
      </c>
      <c r="AS289" s="351"/>
      <c r="AT289" s="351"/>
      <c r="AV289" s="405">
        <f t="shared" si="180"/>
        <v>0</v>
      </c>
      <c r="AW289" s="405">
        <f t="shared" si="205"/>
        <v>0</v>
      </c>
      <c r="AX289" s="405">
        <f t="shared" si="181"/>
        <v>0</v>
      </c>
      <c r="AY289" s="405">
        <f t="shared" si="182"/>
        <v>0</v>
      </c>
    </row>
    <row r="290" spans="2:51" ht="13.5" thickBot="1" x14ac:dyDescent="0.25">
      <c r="B290" s="345">
        <v>19165.75</v>
      </c>
      <c r="C290" s="728" t="str">
        <f t="shared" si="165"/>
        <v>2.16217503399043</v>
      </c>
      <c r="D290" s="728" t="str">
        <f t="shared" si="166"/>
        <v>1+14.6513383207977i</v>
      </c>
      <c r="E290" s="337">
        <f t="shared" si="184"/>
        <v>14.68542524377402</v>
      </c>
      <c r="F290" s="338">
        <f t="shared" si="185"/>
        <v>1.5026488665966544</v>
      </c>
      <c r="G290" s="338" t="str">
        <f t="shared" si="167"/>
        <v>1+0.0602109794005385i</v>
      </c>
      <c r="H290" s="337">
        <f t="shared" si="186"/>
        <v>1.0018110410852799</v>
      </c>
      <c r="I290" s="338">
        <f t="shared" si="187"/>
        <v>6.0138375065713595E-2</v>
      </c>
      <c r="J290" s="340">
        <f t="shared" si="168"/>
        <v>1</v>
      </c>
      <c r="K290" s="338">
        <f t="shared" si="188"/>
        <v>1</v>
      </c>
      <c r="L290" s="339">
        <f t="shared" si="189"/>
        <v>0</v>
      </c>
      <c r="M290" s="731" t="str">
        <f t="shared" si="169"/>
        <v>0.983674401197222+0.28306928765932i</v>
      </c>
      <c r="N290" s="338">
        <f t="shared" si="190"/>
        <v>1.0235934491714316</v>
      </c>
      <c r="O290" s="339">
        <f t="shared" si="191"/>
        <v>0.28019666128816229</v>
      </c>
      <c r="P290" s="732" t="str">
        <f t="shared" si="183"/>
        <v>-0.0218061861083033-0.142440063863175i</v>
      </c>
      <c r="Q290" s="337">
        <f t="shared" si="192"/>
        <v>0.14409955428777474</v>
      </c>
      <c r="R290" s="339">
        <f t="shared" si="193"/>
        <v>-1.7227071528191029</v>
      </c>
      <c r="S290" s="731" t="str">
        <f t="shared" si="170"/>
        <v>6000</v>
      </c>
      <c r="T290" s="337" t="str">
        <f t="shared" si="171"/>
        <v>1+121626.178389088i</v>
      </c>
      <c r="U290" s="346">
        <f t="shared" si="194"/>
        <v>121626.17839319898</v>
      </c>
      <c r="V290" s="347">
        <f t="shared" si="195"/>
        <v>1.5707881048807231</v>
      </c>
      <c r="W290" s="340" t="str">
        <f t="shared" si="172"/>
        <v>1+1204.21958801077i</v>
      </c>
      <c r="X290" s="337">
        <f t="shared" si="196"/>
        <v>1204.2200032173641</v>
      </c>
      <c r="Y290" s="339">
        <f t="shared" si="197"/>
        <v>1.5699659136542252</v>
      </c>
      <c r="Z290" s="337" t="str">
        <f t="shared" si="173"/>
        <v>1+12.1306531878i</v>
      </c>
      <c r="AA290" s="346">
        <f t="shared" si="198"/>
        <v>12.171801294906286</v>
      </c>
      <c r="AB290" s="347">
        <f t="shared" si="199"/>
        <v>1.4885465125240582</v>
      </c>
      <c r="AC290" s="732" t="str">
        <f t="shared" si="200"/>
        <v>0.396978416708996-4.86445055063317i</v>
      </c>
      <c r="AD290" s="337">
        <f t="shared" si="201"/>
        <v>4.8806219913949631</v>
      </c>
      <c r="AE290" s="339">
        <f t="shared" si="202"/>
        <v>-1.4893687037505559</v>
      </c>
      <c r="AF290" s="736" t="str">
        <f t="shared" si="174"/>
        <v>-0.701549232327182+0.0495294829934139i</v>
      </c>
      <c r="AG290" s="337">
        <f t="shared" si="203"/>
        <v>-3.0572438007357023</v>
      </c>
      <c r="AH290" s="730">
        <f t="shared" si="204"/>
        <v>175.96160994268979</v>
      </c>
      <c r="AI290" s="360">
        <f t="shared" si="175"/>
        <v>-4.0383900573102096</v>
      </c>
      <c r="AL290" s="337">
        <f t="shared" si="176"/>
        <v>13.769503449141247</v>
      </c>
      <c r="AM290" s="730">
        <f t="shared" si="177"/>
        <v>-85.334540863777079</v>
      </c>
      <c r="AN290" s="351"/>
      <c r="AO290" s="337">
        <f t="shared" si="178"/>
        <v>36.445183948862471</v>
      </c>
      <c r="AP290" s="730">
        <f t="shared" si="179"/>
        <v>-98.703849193533117</v>
      </c>
      <c r="AS290" s="351"/>
      <c r="AT290" s="351"/>
      <c r="AV290" s="405">
        <f t="shared" si="180"/>
        <v>0</v>
      </c>
      <c r="AW290" s="405">
        <f t="shared" si="205"/>
        <v>0</v>
      </c>
      <c r="AX290" s="405">
        <f t="shared" si="181"/>
        <v>0</v>
      </c>
      <c r="AY290" s="405">
        <f t="shared" si="182"/>
        <v>0</v>
      </c>
    </row>
    <row r="291" spans="2:51" ht="13.5" thickBot="1" x14ac:dyDescent="0.25">
      <c r="B291" s="345">
        <v>19276.5</v>
      </c>
      <c r="C291" s="728" t="str">
        <f t="shared" si="165"/>
        <v>2.16217503399043</v>
      </c>
      <c r="D291" s="728" t="str">
        <f t="shared" si="166"/>
        <v>1+14.7360016248181i</v>
      </c>
      <c r="E291" s="337">
        <f t="shared" si="184"/>
        <v>14.769893157590602</v>
      </c>
      <c r="F291" s="338">
        <f t="shared" si="185"/>
        <v>1.5030391960680536</v>
      </c>
      <c r="G291" s="338" t="str">
        <f t="shared" si="167"/>
        <v>1+0.0605589107869235i</v>
      </c>
      <c r="H291" s="337">
        <f t="shared" si="186"/>
        <v>1.0018320127025779</v>
      </c>
      <c r="I291" s="338">
        <f t="shared" si="187"/>
        <v>6.0485042381200498E-2</v>
      </c>
      <c r="J291" s="340">
        <f t="shared" si="168"/>
        <v>1</v>
      </c>
      <c r="K291" s="338">
        <f t="shared" si="188"/>
        <v>1</v>
      </c>
      <c r="L291" s="339">
        <f t="shared" si="189"/>
        <v>0</v>
      </c>
      <c r="M291" s="731" t="str">
        <f t="shared" si="169"/>
        <v>0.9834851799+0.284705014077971i</v>
      </c>
      <c r="N291" s="338">
        <f t="shared" si="190"/>
        <v>1.0238652470535723</v>
      </c>
      <c r="O291" s="339">
        <f t="shared" si="191"/>
        <v>0.28178306502945055</v>
      </c>
      <c r="P291" s="732" t="str">
        <f t="shared" si="183"/>
        <v>-0.0219069497732537-0.141555305806899i</v>
      </c>
      <c r="Q291" s="337">
        <f t="shared" si="192"/>
        <v>0.14324042393979625</v>
      </c>
      <c r="R291" s="339">
        <f t="shared" si="193"/>
        <v>-1.7243372187163033</v>
      </c>
      <c r="S291" s="731" t="str">
        <f t="shared" si="170"/>
        <v>6000</v>
      </c>
      <c r="T291" s="337" t="str">
        <f t="shared" si="171"/>
        <v>1+122328.999789585i</v>
      </c>
      <c r="U291" s="346">
        <f t="shared" si="194"/>
        <v>122328.99979367235</v>
      </c>
      <c r="V291" s="347">
        <f t="shared" si="195"/>
        <v>1.5707881521183955</v>
      </c>
      <c r="W291" s="340" t="str">
        <f t="shared" si="172"/>
        <v>1+1211.17821573847i</v>
      </c>
      <c r="X291" s="337">
        <f t="shared" si="196"/>
        <v>1211.1786285595631</v>
      </c>
      <c r="Y291" s="339">
        <f t="shared" si="197"/>
        <v>1.5699706846558807</v>
      </c>
      <c r="Z291" s="337" t="str">
        <f t="shared" si="173"/>
        <v>1+12.2007506189232i</v>
      </c>
      <c r="AA291" s="346">
        <f t="shared" si="198"/>
        <v>12.241663108628455</v>
      </c>
      <c r="AB291" s="347">
        <f t="shared" si="199"/>
        <v>1.4890169553403518</v>
      </c>
      <c r="AC291" s="732" t="str">
        <f t="shared" si="200"/>
        <v>0.392460322106849-4.83687295250554i</v>
      </c>
      <c r="AD291" s="337">
        <f t="shared" si="201"/>
        <v>4.8527688037972583</v>
      </c>
      <c r="AE291" s="339">
        <f t="shared" si="202"/>
        <v>-1.489834422802867</v>
      </c>
      <c r="AF291" s="736" t="str">
        <f t="shared" si="174"/>
        <v>-0.69328263850543+0.0504062919172391i</v>
      </c>
      <c r="AG291" s="337">
        <f t="shared" si="203"/>
        <v>-3.1588960241257178</v>
      </c>
      <c r="AH291" s="730">
        <f t="shared" si="204"/>
        <v>175.84153031031573</v>
      </c>
      <c r="AI291" s="360">
        <f t="shared" si="175"/>
        <v>-4.1584696896842672</v>
      </c>
      <c r="AL291" s="337">
        <f t="shared" si="176"/>
        <v>13.719792021950234</v>
      </c>
      <c r="AM291" s="730">
        <f t="shared" si="177"/>
        <v>-85.361224599913342</v>
      </c>
      <c r="AN291" s="351"/>
      <c r="AO291" s="337">
        <f t="shared" si="178"/>
        <v>36.393243152663487</v>
      </c>
      <c r="AP291" s="730">
        <f t="shared" si="179"/>
        <v>-98.797245089770897</v>
      </c>
      <c r="AS291" s="351"/>
      <c r="AT291" s="351"/>
      <c r="AV291" s="405">
        <f t="shared" si="180"/>
        <v>0</v>
      </c>
      <c r="AW291" s="405">
        <f t="shared" si="205"/>
        <v>0</v>
      </c>
      <c r="AX291" s="405">
        <f t="shared" si="181"/>
        <v>0</v>
      </c>
      <c r="AY291" s="405">
        <f t="shared" si="182"/>
        <v>0</v>
      </c>
    </row>
    <row r="292" spans="2:51" ht="13.5" thickBot="1" x14ac:dyDescent="0.25">
      <c r="B292" s="345">
        <v>19387.25</v>
      </c>
      <c r="C292" s="728" t="str">
        <f t="shared" si="165"/>
        <v>2.16217503399043</v>
      </c>
      <c r="D292" s="728" t="str">
        <f t="shared" si="166"/>
        <v>1+14.8206649288384i</v>
      </c>
      <c r="E292" s="337">
        <f t="shared" si="184"/>
        <v>14.854363296112712</v>
      </c>
      <c r="F292" s="338">
        <f t="shared" si="185"/>
        <v>1.5034250863384819</v>
      </c>
      <c r="G292" s="338" t="str">
        <f t="shared" si="167"/>
        <v>1+0.0609068421733085i</v>
      </c>
      <c r="H292" s="337">
        <f t="shared" si="186"/>
        <v>1.0018531047132231</v>
      </c>
      <c r="I292" s="338">
        <f t="shared" si="187"/>
        <v>6.0831695141573994E-2</v>
      </c>
      <c r="J292" s="340">
        <f t="shared" si="168"/>
        <v>1</v>
      </c>
      <c r="K292" s="338">
        <f t="shared" si="188"/>
        <v>1</v>
      </c>
      <c r="L292" s="339">
        <f t="shared" si="189"/>
        <v>0</v>
      </c>
      <c r="M292" s="731" t="str">
        <f t="shared" si="169"/>
        <v>0.983294868330556+0.286340740496622i</v>
      </c>
      <c r="N292" s="338">
        <f t="shared" si="190"/>
        <v>1.0241385735111042</v>
      </c>
      <c r="O292" s="339">
        <f t="shared" si="191"/>
        <v>0.28336892039093348</v>
      </c>
      <c r="P292" s="732" t="str">
        <f t="shared" si="183"/>
        <v>-0.0220056671132872-0.140680166884956i</v>
      </c>
      <c r="Q292" s="337">
        <f t="shared" si="192"/>
        <v>0.14239086606899992</v>
      </c>
      <c r="R292" s="339">
        <f t="shared" si="193"/>
        <v>-1.7259623115878409</v>
      </c>
      <c r="S292" s="731" t="str">
        <f t="shared" si="170"/>
        <v>6000</v>
      </c>
      <c r="T292" s="337" t="str">
        <f t="shared" si="171"/>
        <v>1+123031.821190083i</v>
      </c>
      <c r="U292" s="346">
        <f t="shared" si="194"/>
        <v>123031.82119414699</v>
      </c>
      <c r="V292" s="347">
        <f t="shared" si="195"/>
        <v>1.5707881988163761</v>
      </c>
      <c r="W292" s="340" t="str">
        <f t="shared" si="172"/>
        <v>1+1218.13684346617i</v>
      </c>
      <c r="X292" s="337">
        <f t="shared" si="196"/>
        <v>1218.1372539290162</v>
      </c>
      <c r="Y292" s="339">
        <f t="shared" si="197"/>
        <v>1.5699754011487148</v>
      </c>
      <c r="Z292" s="337" t="str">
        <f t="shared" si="173"/>
        <v>1+12.2708480500463i</v>
      </c>
      <c r="AA292" s="346">
        <f t="shared" si="198"/>
        <v>12.311527600883858</v>
      </c>
      <c r="AB292" s="347">
        <f t="shared" si="199"/>
        <v>1.4894820589945366</v>
      </c>
      <c r="AC292" s="732" t="str">
        <f t="shared" si="200"/>
        <v>0.388018754091697-4.80960419293958i</v>
      </c>
      <c r="AD292" s="337">
        <f t="shared" si="201"/>
        <v>4.8252306728558443</v>
      </c>
      <c r="AE292" s="339">
        <f t="shared" si="202"/>
        <v>-1.4902948566621979</v>
      </c>
      <c r="AF292" s="736" t="str">
        <f t="shared" si="174"/>
        <v>-0.685154532049579+0.0512520057363861i</v>
      </c>
      <c r="AG292" s="337">
        <f t="shared" si="203"/>
        <v>-3.2599957715645895</v>
      </c>
      <c r="AH292" s="730">
        <f t="shared" si="204"/>
        <v>175.72203843057525</v>
      </c>
      <c r="AI292" s="360">
        <f t="shared" si="175"/>
        <v>-4.2779615694247468</v>
      </c>
      <c r="AL292" s="337">
        <f t="shared" si="176"/>
        <v>13.67036159734255</v>
      </c>
      <c r="AM292" s="730">
        <f t="shared" si="177"/>
        <v>-85.387605516797919</v>
      </c>
      <c r="AN292" s="351"/>
      <c r="AO292" s="337">
        <f t="shared" si="178"/>
        <v>36.341573829832292</v>
      </c>
      <c r="AP292" s="730">
        <f t="shared" si="179"/>
        <v>-98.890356052626771</v>
      </c>
      <c r="AS292" s="351"/>
      <c r="AT292" s="351"/>
      <c r="AV292" s="405">
        <f t="shared" si="180"/>
        <v>0</v>
      </c>
      <c r="AW292" s="405">
        <f t="shared" si="205"/>
        <v>0</v>
      </c>
      <c r="AX292" s="405">
        <f t="shared" si="181"/>
        <v>0</v>
      </c>
      <c r="AY292" s="405">
        <f t="shared" si="182"/>
        <v>0</v>
      </c>
    </row>
    <row r="293" spans="2:51" ht="13.5" thickBot="1" x14ac:dyDescent="0.25">
      <c r="B293" s="345">
        <v>19498</v>
      </c>
      <c r="C293" s="728" t="str">
        <f t="shared" si="165"/>
        <v>2.16217503399043</v>
      </c>
      <c r="D293" s="728" t="str">
        <f t="shared" si="166"/>
        <v>1+14.9053282328589i</v>
      </c>
      <c r="E293" s="337">
        <f t="shared" si="184"/>
        <v>14.938835621602527</v>
      </c>
      <c r="F293" s="338">
        <f t="shared" si="185"/>
        <v>1.5038066125970191</v>
      </c>
      <c r="G293" s="338" t="str">
        <f t="shared" si="167"/>
        <v>1+0.061254773559694i</v>
      </c>
      <c r="H293" s="337">
        <f t="shared" si="186"/>
        <v>1.0018743171096109</v>
      </c>
      <c r="I293" s="338">
        <f t="shared" si="187"/>
        <v>6.117833326444324E-2</v>
      </c>
      <c r="J293" s="340">
        <f t="shared" si="168"/>
        <v>1</v>
      </c>
      <c r="K293" s="338">
        <f t="shared" si="188"/>
        <v>1</v>
      </c>
      <c r="L293" s="339">
        <f t="shared" si="189"/>
        <v>0</v>
      </c>
      <c r="M293" s="731" t="str">
        <f t="shared" si="169"/>
        <v>0.983103466488889+0.287976466915276i</v>
      </c>
      <c r="N293" s="338">
        <f t="shared" si="190"/>
        <v>1.0244134279281363</v>
      </c>
      <c r="O293" s="339">
        <f t="shared" si="191"/>
        <v>0.28495422470072207</v>
      </c>
      <c r="P293" s="732" t="str">
        <f t="shared" si="183"/>
        <v>-0.0221023826977404-0.139814487251967i</v>
      </c>
      <c r="Q293" s="337">
        <f t="shared" si="192"/>
        <v>0.1415507194133884</v>
      </c>
      <c r="R293" s="339">
        <f t="shared" si="193"/>
        <v>-1.7275825040332971</v>
      </c>
      <c r="S293" s="731" t="str">
        <f t="shared" si="170"/>
        <v>6000</v>
      </c>
      <c r="T293" s="337" t="str">
        <f t="shared" si="171"/>
        <v>1+123734.642590582i</v>
      </c>
      <c r="U293" s="346">
        <f t="shared" si="194"/>
        <v>123734.64259462291</v>
      </c>
      <c r="V293" s="347">
        <f t="shared" si="195"/>
        <v>1.570788244983861</v>
      </c>
      <c r="W293" s="340" t="str">
        <f t="shared" si="172"/>
        <v>1+1225.09547119388i</v>
      </c>
      <c r="X293" s="337">
        <f t="shared" si="196"/>
        <v>1225.0958793252694</v>
      </c>
      <c r="Y293" s="339">
        <f t="shared" si="197"/>
        <v>1.5699800640615682</v>
      </c>
      <c r="Z293" s="337" t="str">
        <f t="shared" si="173"/>
        <v>1+12.3409454811696i</v>
      </c>
      <c r="AA293" s="346">
        <f t="shared" si="198"/>
        <v>12.381394726330326</v>
      </c>
      <c r="AB293" s="347">
        <f t="shared" si="199"/>
        <v>1.4899419136689394</v>
      </c>
      <c r="AC293" s="732" t="str">
        <f t="shared" si="200"/>
        <v>0.38365199788063-4.78263914821207i</v>
      </c>
      <c r="AD293" s="337">
        <f t="shared" si="201"/>
        <v>4.7980023006964547</v>
      </c>
      <c r="AE293" s="339">
        <f t="shared" si="202"/>
        <v>-1.4907500945912324</v>
      </c>
      <c r="AF293" s="736" t="str">
        <f t="shared" si="174"/>
        <v>-0.677161863498365+0.0520676133921053i</v>
      </c>
      <c r="AG293" s="337">
        <f t="shared" si="203"/>
        <v>-3.3605493433248865</v>
      </c>
      <c r="AH293" s="730">
        <f t="shared" si="204"/>
        <v>175.6031250294437</v>
      </c>
      <c r="AI293" s="360">
        <f t="shared" si="175"/>
        <v>-4.3968749705562971</v>
      </c>
      <c r="AL293" s="337">
        <f t="shared" si="176"/>
        <v>13.62120903761971</v>
      </c>
      <c r="AM293" s="730">
        <f t="shared" si="177"/>
        <v>-85.413688728805866</v>
      </c>
      <c r="AN293" s="351"/>
      <c r="AO293" s="337">
        <f t="shared" si="178"/>
        <v>36.29017281779484</v>
      </c>
      <c r="AP293" s="730">
        <f t="shared" si="179"/>
        <v>-98.983186241750417</v>
      </c>
      <c r="AS293" s="351"/>
      <c r="AT293" s="351"/>
      <c r="AV293" s="405">
        <f t="shared" si="180"/>
        <v>0</v>
      </c>
      <c r="AW293" s="405">
        <f t="shared" si="205"/>
        <v>0</v>
      </c>
      <c r="AX293" s="405">
        <f t="shared" si="181"/>
        <v>0</v>
      </c>
      <c r="AY293" s="405">
        <f t="shared" si="182"/>
        <v>0</v>
      </c>
    </row>
    <row r="294" spans="2:51" ht="13.5" thickBot="1" x14ac:dyDescent="0.25">
      <c r="B294" s="345">
        <v>19611.75</v>
      </c>
      <c r="C294" s="728" t="str">
        <f t="shared" si="165"/>
        <v>2.16217503399043</v>
      </c>
      <c r="D294" s="728" t="str">
        <f t="shared" si="166"/>
        <v>1+14.9922848995163i</v>
      </c>
      <c r="E294" s="337">
        <f t="shared" si="184"/>
        <v>15.025598374383112</v>
      </c>
      <c r="F294" s="338">
        <f t="shared" si="185"/>
        <v>1.5041940079167215</v>
      </c>
      <c r="G294" s="338" t="str">
        <f t="shared" si="167"/>
        <v>1+0.0616121297240395i</v>
      </c>
      <c r="H294" s="337">
        <f t="shared" si="186"/>
        <v>1.0018962294215563</v>
      </c>
      <c r="I294" s="338">
        <f t="shared" si="187"/>
        <v>6.1534345809155337E-2</v>
      </c>
      <c r="J294" s="340">
        <f t="shared" si="168"/>
        <v>1</v>
      </c>
      <c r="K294" s="338">
        <f t="shared" si="188"/>
        <v>1</v>
      </c>
      <c r="L294" s="339">
        <f t="shared" si="189"/>
        <v>0</v>
      </c>
      <c r="M294" s="731" t="str">
        <f t="shared" si="169"/>
        <v>0.982905744975+0.289656501950232i</v>
      </c>
      <c r="N294" s="338">
        <f t="shared" si="190"/>
        <v>1.024697317565975</v>
      </c>
      <c r="O294" s="339">
        <f t="shared" si="191"/>
        <v>0.28658189534812728</v>
      </c>
      <c r="P294" s="732" t="str">
        <f t="shared" si="183"/>
        <v>-0.0221996797999-0.138935041001125i</v>
      </c>
      <c r="Q294" s="337">
        <f t="shared" si="192"/>
        <v>0.14069744632082834</v>
      </c>
      <c r="R294" s="339">
        <f t="shared" si="193"/>
        <v>-1.7292415574556939</v>
      </c>
      <c r="S294" s="731" t="str">
        <f t="shared" si="170"/>
        <v>6000</v>
      </c>
      <c r="T294" s="337" t="str">
        <f t="shared" si="171"/>
        <v>1+124456.50204256i</v>
      </c>
      <c r="U294" s="346">
        <f t="shared" si="194"/>
        <v>124456.50204657744</v>
      </c>
      <c r="V294" s="347">
        <f t="shared" si="195"/>
        <v>1.5707882918591274</v>
      </c>
      <c r="W294" s="340" t="str">
        <f t="shared" si="172"/>
        <v>1+1232.24259448079i</v>
      </c>
      <c r="X294" s="337">
        <f t="shared" si="196"/>
        <v>1232.2430002449796</v>
      </c>
      <c r="Y294" s="339">
        <f t="shared" si="197"/>
        <v>1.5699847984603359</v>
      </c>
      <c r="Z294" s="337" t="str">
        <f t="shared" si="173"/>
        <v>1+12.4129417140387i</v>
      </c>
      <c r="AA294" s="346">
        <f t="shared" si="198"/>
        <v>12.453157109589602</v>
      </c>
      <c r="AB294" s="347">
        <f t="shared" si="199"/>
        <v>1.4904088533175834</v>
      </c>
      <c r="AC294" s="732" t="str">
        <f t="shared" si="200"/>
        <v>0.379243083012704-4.75525457658556i</v>
      </c>
      <c r="AD294" s="337">
        <f t="shared" si="201"/>
        <v>4.7703533835713783</v>
      </c>
      <c r="AE294" s="339">
        <f t="shared" si="202"/>
        <v>-1.4912123467163754</v>
      </c>
      <c r="AF294" s="736" t="str">
        <f t="shared" si="174"/>
        <v>-0.669090564577911+0.0528749756794454i</v>
      </c>
      <c r="AG294" s="337">
        <f t="shared" si="203"/>
        <v>-3.4632646523581423</v>
      </c>
      <c r="AH294" s="730">
        <f t="shared" si="204"/>
        <v>175.48158317451197</v>
      </c>
      <c r="AI294" s="360">
        <f t="shared" si="175"/>
        <v>-4.5184168254880319</v>
      </c>
      <c r="AL294" s="337">
        <f t="shared" si="176"/>
        <v>13.571011047680056</v>
      </c>
      <c r="AM294" s="730">
        <f t="shared" si="177"/>
        <v>-85.440173824647516</v>
      </c>
      <c r="AN294" s="351"/>
      <c r="AO294" s="337">
        <f t="shared" si="178"/>
        <v>36.237655498701237</v>
      </c>
      <c r="AP294" s="730">
        <f t="shared" si="179"/>
        <v>-99.078243000840544</v>
      </c>
      <c r="AS294" s="351"/>
      <c r="AT294" s="351"/>
      <c r="AV294" s="405">
        <f t="shared" si="180"/>
        <v>0</v>
      </c>
      <c r="AW294" s="405">
        <f t="shared" si="205"/>
        <v>0</v>
      </c>
      <c r="AX294" s="405">
        <f t="shared" si="181"/>
        <v>0</v>
      </c>
      <c r="AY294" s="405">
        <f t="shared" si="182"/>
        <v>0</v>
      </c>
    </row>
    <row r="295" spans="2:51" ht="13.5" thickBot="1" x14ac:dyDescent="0.25">
      <c r="B295" s="345">
        <v>19725.5</v>
      </c>
      <c r="C295" s="728" t="str">
        <f t="shared" si="165"/>
        <v>2.16217503399043</v>
      </c>
      <c r="D295" s="728" t="str">
        <f t="shared" si="166"/>
        <v>1+15.0792415661738i</v>
      </c>
      <c r="E295" s="337">
        <f t="shared" si="184"/>
        <v>15.112363356239939</v>
      </c>
      <c r="F295" s="338">
        <f t="shared" si="185"/>
        <v>1.504576954968873</v>
      </c>
      <c r="G295" s="338" t="str">
        <f t="shared" si="167"/>
        <v>1+0.0619694858883855i</v>
      </c>
      <c r="H295" s="337">
        <f t="shared" si="186"/>
        <v>1.0019182687132073</v>
      </c>
      <c r="I295" s="338">
        <f t="shared" si="187"/>
        <v>6.1890342736503338E-2</v>
      </c>
      <c r="J295" s="340">
        <f t="shared" si="168"/>
        <v>1</v>
      </c>
      <c r="K295" s="338">
        <f t="shared" si="188"/>
        <v>1</v>
      </c>
      <c r="L295" s="339">
        <f t="shared" si="189"/>
        <v>0</v>
      </c>
      <c r="M295" s="731" t="str">
        <f t="shared" si="169"/>
        <v>0.982706873322222+0.291336536985191i</v>
      </c>
      <c r="N295" s="338">
        <f t="shared" si="190"/>
        <v>1.0249828177375762</v>
      </c>
      <c r="O295" s="339">
        <f t="shared" si="191"/>
        <v>0.2882089789966748</v>
      </c>
      <c r="P295" s="732" t="str">
        <f t="shared" si="183"/>
        <v>-0.0222949565743562-0.138065242976424i</v>
      </c>
      <c r="Q295" s="337">
        <f t="shared" si="192"/>
        <v>0.13985376793919935</v>
      </c>
      <c r="R295" s="339">
        <f t="shared" si="193"/>
        <v>-1.7308955912290451</v>
      </c>
      <c r="S295" s="731" t="str">
        <f t="shared" si="170"/>
        <v>6000</v>
      </c>
      <c r="T295" s="337" t="str">
        <f t="shared" si="171"/>
        <v>1+125178.361494539i</v>
      </c>
      <c r="U295" s="346">
        <f t="shared" si="194"/>
        <v>125178.36149853331</v>
      </c>
      <c r="V295" s="347">
        <f t="shared" si="195"/>
        <v>1.5707883381937675</v>
      </c>
      <c r="W295" s="340" t="str">
        <f t="shared" si="172"/>
        <v>1+1239.38971776771i</v>
      </c>
      <c r="X295" s="337">
        <f t="shared" si="196"/>
        <v>1239.3901211920013</v>
      </c>
      <c r="Y295" s="339">
        <f t="shared" si="197"/>
        <v>1.5699894782559241</v>
      </c>
      <c r="Z295" s="337" t="str">
        <f t="shared" si="173"/>
        <v>1+12.4849379469079i</v>
      </c>
      <c r="AA295" s="346">
        <f t="shared" si="198"/>
        <v>12.524922176929516</v>
      </c>
      <c r="AB295" s="347">
        <f t="shared" si="199"/>
        <v>1.4908704421415928</v>
      </c>
      <c r="AC295" s="732" t="str">
        <f t="shared" si="200"/>
        <v>0.374909573685414-4.72817979957276i</v>
      </c>
      <c r="AD295" s="337">
        <f t="shared" si="201"/>
        <v>4.743020283061087</v>
      </c>
      <c r="AE295" s="339">
        <f t="shared" si="202"/>
        <v>-1.4916693020794358</v>
      </c>
      <c r="AF295" s="736" t="str">
        <f t="shared" si="174"/>
        <v>-0.66115588552886+0.0536525819221587i</v>
      </c>
      <c r="AG295" s="337">
        <f t="shared" si="203"/>
        <v>-3.5654169300490439</v>
      </c>
      <c r="AH295" s="730">
        <f t="shared" si="204"/>
        <v>175.3606324063976</v>
      </c>
      <c r="AI295" s="360">
        <f t="shared" si="175"/>
        <v>-4.639367593602401</v>
      </c>
      <c r="AL295" s="337">
        <f t="shared" si="176"/>
        <v>13.521099637472053</v>
      </c>
      <c r="AM295" s="730">
        <f t="shared" si="177"/>
        <v>-85.466355438376752</v>
      </c>
      <c r="AN295" s="351"/>
      <c r="AO295" s="337">
        <f t="shared" si="178"/>
        <v>36.185414631218329</v>
      </c>
      <c r="AP295" s="730">
        <f t="shared" si="179"/>
        <v>-99.173012155225607</v>
      </c>
      <c r="AS295" s="351"/>
      <c r="AT295" s="351"/>
      <c r="AV295" s="405">
        <f t="shared" si="180"/>
        <v>0</v>
      </c>
      <c r="AW295" s="405">
        <f t="shared" si="205"/>
        <v>0</v>
      </c>
      <c r="AX295" s="405">
        <f t="shared" si="181"/>
        <v>0</v>
      </c>
      <c r="AY295" s="405">
        <f t="shared" si="182"/>
        <v>0</v>
      </c>
    </row>
    <row r="296" spans="2:51" ht="13.5" thickBot="1" x14ac:dyDescent="0.25">
      <c r="B296" s="345">
        <v>19839.25</v>
      </c>
      <c r="C296" s="728" t="str">
        <f t="shared" si="165"/>
        <v>2.16217503399043</v>
      </c>
      <c r="D296" s="728" t="str">
        <f t="shared" si="166"/>
        <v>1+15.1661982328313i</v>
      </c>
      <c r="E296" s="337">
        <f t="shared" si="184"/>
        <v>15.199130528998536</v>
      </c>
      <c r="F296" s="338">
        <f t="shared" si="185"/>
        <v>1.5049555298215667</v>
      </c>
      <c r="G296" s="338" t="str">
        <f t="shared" si="167"/>
        <v>1+0.0623268420527315i</v>
      </c>
      <c r="H296" s="337">
        <f t="shared" si="186"/>
        <v>1.0019404349761847</v>
      </c>
      <c r="I296" s="338">
        <f t="shared" si="187"/>
        <v>6.2246323957286617E-2</v>
      </c>
      <c r="J296" s="340">
        <f t="shared" si="168"/>
        <v>1</v>
      </c>
      <c r="K296" s="338">
        <f t="shared" si="188"/>
        <v>1</v>
      </c>
      <c r="L296" s="339">
        <f t="shared" si="189"/>
        <v>0</v>
      </c>
      <c r="M296" s="731" t="str">
        <f t="shared" si="169"/>
        <v>0.982506851530555+0.29301657202015i</v>
      </c>
      <c r="N296" s="338">
        <f t="shared" si="190"/>
        <v>1.0252699277667925</v>
      </c>
      <c r="O296" s="339">
        <f t="shared" si="191"/>
        <v>0.28983547277641997</v>
      </c>
      <c r="P296" s="732" t="str">
        <f t="shared" si="183"/>
        <v>-0.0223882573735161-0.137204931303521i</v>
      </c>
      <c r="Q296" s="337">
        <f t="shared" si="192"/>
        <v>0.13901952108328786</v>
      </c>
      <c r="R296" s="339">
        <f t="shared" si="193"/>
        <v>-1.7325446786406995</v>
      </c>
      <c r="S296" s="731" t="str">
        <f t="shared" si="170"/>
        <v>6000</v>
      </c>
      <c r="T296" s="337" t="str">
        <f t="shared" si="171"/>
        <v>1+125900.220946518i</v>
      </c>
      <c r="U296" s="346">
        <f t="shared" si="194"/>
        <v>125900.22095048941</v>
      </c>
      <c r="V296" s="347">
        <f t="shared" si="195"/>
        <v>1.5707883839970804</v>
      </c>
      <c r="W296" s="340" t="str">
        <f t="shared" si="172"/>
        <v>1+1246.53684105463i</v>
      </c>
      <c r="X296" s="337">
        <f t="shared" si="196"/>
        <v>1246.5372421658551</v>
      </c>
      <c r="Y296" s="339">
        <f t="shared" si="197"/>
        <v>1.5699941043875478</v>
      </c>
      <c r="Z296" s="337" t="str">
        <f t="shared" si="173"/>
        <v>1+12.5569341797771i</v>
      </c>
      <c r="AA296" s="346">
        <f t="shared" si="198"/>
        <v>12.596689882475252</v>
      </c>
      <c r="AB296" s="347">
        <f t="shared" si="199"/>
        <v>1.4913267713990743</v>
      </c>
      <c r="AC296" s="732" t="str">
        <f t="shared" si="200"/>
        <v>0.370649763723767-4.7014096243486i</v>
      </c>
      <c r="AD296" s="337">
        <f t="shared" si="201"/>
        <v>4.7159976360539169</v>
      </c>
      <c r="AE296" s="339">
        <f t="shared" si="202"/>
        <v>-1.4921210510086069</v>
      </c>
      <c r="AF296" s="736" t="str">
        <f t="shared" si="174"/>
        <v>-0.653354786844143+0.0544013933188564i</v>
      </c>
      <c r="AG296" s="337">
        <f t="shared" si="203"/>
        <v>-3.6670126644561893</v>
      </c>
      <c r="AH296" s="730">
        <f t="shared" si="204"/>
        <v>175.24026335062061</v>
      </c>
      <c r="AI296" s="360">
        <f t="shared" si="175"/>
        <v>-4.7597366493793913</v>
      </c>
      <c r="AL296" s="337">
        <f t="shared" si="176"/>
        <v>13.471471574563674</v>
      </c>
      <c r="AM296" s="730">
        <f t="shared" si="177"/>
        <v>-85.492238745417808</v>
      </c>
      <c r="AN296" s="351"/>
      <c r="AO296" s="337">
        <f t="shared" si="178"/>
        <v>36.133446959719564</v>
      </c>
      <c r="AP296" s="730">
        <f t="shared" si="179"/>
        <v>-99.267497903961555</v>
      </c>
      <c r="AS296" s="351"/>
      <c r="AT296" s="351"/>
      <c r="AV296" s="405">
        <f t="shared" si="180"/>
        <v>0</v>
      </c>
      <c r="AW296" s="405">
        <f t="shared" si="205"/>
        <v>0</v>
      </c>
      <c r="AX296" s="405">
        <f t="shared" si="181"/>
        <v>0</v>
      </c>
      <c r="AY296" s="405">
        <f t="shared" si="182"/>
        <v>0</v>
      </c>
    </row>
    <row r="297" spans="2:51" ht="13.5" thickBot="1" x14ac:dyDescent="0.25">
      <c r="B297" s="345">
        <v>19953</v>
      </c>
      <c r="C297" s="728" t="str">
        <f t="shared" si="165"/>
        <v>2.16217503399043</v>
      </c>
      <c r="D297" s="728" t="str">
        <f t="shared" si="166"/>
        <v>1+15.2531548994887i</v>
      </c>
      <c r="E297" s="337">
        <f t="shared" si="184"/>
        <v>15.28589985535023</v>
      </c>
      <c r="F297" s="338">
        <f t="shared" si="185"/>
        <v>1.5053298068207941</v>
      </c>
      <c r="G297" s="338" t="str">
        <f t="shared" si="167"/>
        <v>1+0.062684198217077i</v>
      </c>
      <c r="H297" s="337">
        <f t="shared" si="186"/>
        <v>1.0019627282020613</v>
      </c>
      <c r="I297" s="338">
        <f t="shared" si="187"/>
        <v>6.2602289382328355E-2</v>
      </c>
      <c r="J297" s="340">
        <f t="shared" si="168"/>
        <v>1</v>
      </c>
      <c r="K297" s="338">
        <f t="shared" si="188"/>
        <v>1</v>
      </c>
      <c r="L297" s="339">
        <f t="shared" si="189"/>
        <v>0</v>
      </c>
      <c r="M297" s="731" t="str">
        <f t="shared" si="169"/>
        <v>0.9823056796+0.294696607055106i</v>
      </c>
      <c r="N297" s="338">
        <f t="shared" si="190"/>
        <v>1.0255586469745206</v>
      </c>
      <c r="O297" s="339">
        <f t="shared" si="191"/>
        <v>0.2914613738259243</v>
      </c>
      <c r="P297" s="732" t="str">
        <f t="shared" si="183"/>
        <v>-0.0224796253078335-0.136353947721787i</v>
      </c>
      <c r="Q297" s="337">
        <f t="shared" si="192"/>
        <v>0.13819454625019184</v>
      </c>
      <c r="R297" s="339">
        <f t="shared" si="193"/>
        <v>-1.7341888912643912</v>
      </c>
      <c r="S297" s="731" t="str">
        <f t="shared" si="170"/>
        <v>6000</v>
      </c>
      <c r="T297" s="337" t="str">
        <f t="shared" si="171"/>
        <v>1+126622.080398496i</v>
      </c>
      <c r="U297" s="346">
        <f t="shared" si="194"/>
        <v>126622.08040244474</v>
      </c>
      <c r="V297" s="347">
        <f t="shared" si="195"/>
        <v>1.5707884292781535</v>
      </c>
      <c r="W297" s="340" t="str">
        <f t="shared" si="172"/>
        <v>1+1253.68396434154i</v>
      </c>
      <c r="X297" s="337">
        <f t="shared" si="196"/>
        <v>1253.6843631660722</v>
      </c>
      <c r="Y297" s="339">
        <f t="shared" si="197"/>
        <v>1.5699986777730046</v>
      </c>
      <c r="Z297" s="337" t="str">
        <f t="shared" si="173"/>
        <v>1+12.6289304126462i</v>
      </c>
      <c r="AA297" s="346">
        <f t="shared" si="198"/>
        <v>12.668460181389849</v>
      </c>
      <c r="AB297" s="347">
        <f t="shared" si="199"/>
        <v>1.4917779302890024</v>
      </c>
      <c r="AC297" s="732" t="str">
        <f t="shared" si="200"/>
        <v>0.366461994836216-4.67493897271159i</v>
      </c>
      <c r="AD297" s="337">
        <f t="shared" si="201"/>
        <v>4.6892801998000753</v>
      </c>
      <c r="AE297" s="339">
        <f t="shared" si="202"/>
        <v>-1.4925676817941513</v>
      </c>
      <c r="AF297" s="736" t="str">
        <f t="shared" si="174"/>
        <v>-0.64568431262114+0.0551223367576254i</v>
      </c>
      <c r="AG297" s="337">
        <f t="shared" si="203"/>
        <v>-3.7680582344054905</v>
      </c>
      <c r="AH297" s="730">
        <f t="shared" si="204"/>
        <v>175.12046684764866</v>
      </c>
      <c r="AI297" s="360">
        <f t="shared" si="175"/>
        <v>-4.8795331523513426</v>
      </c>
      <c r="AL297" s="337">
        <f t="shared" si="176"/>
        <v>13.422123680544811</v>
      </c>
      <c r="AM297" s="730">
        <f t="shared" si="177"/>
        <v>-85.51782880443011</v>
      </c>
      <c r="AN297" s="351"/>
      <c r="AO297" s="337">
        <f t="shared" si="178"/>
        <v>36.081749283789129</v>
      </c>
      <c r="AP297" s="730">
        <f t="shared" si="179"/>
        <v>-99.361704347921261</v>
      </c>
      <c r="AS297" s="351"/>
      <c r="AT297" s="351"/>
      <c r="AV297" s="405">
        <f t="shared" si="180"/>
        <v>0</v>
      </c>
      <c r="AW297" s="405">
        <f t="shared" si="205"/>
        <v>0</v>
      </c>
      <c r="AX297" s="405">
        <f t="shared" si="181"/>
        <v>0</v>
      </c>
      <c r="AY297" s="405">
        <f t="shared" si="182"/>
        <v>0</v>
      </c>
    </row>
    <row r="298" spans="2:51" ht="13.5" thickBot="1" x14ac:dyDescent="0.25">
      <c r="B298" s="345">
        <v>20069</v>
      </c>
      <c r="C298" s="728" t="str">
        <f t="shared" si="165"/>
        <v>2.16217503399043</v>
      </c>
      <c r="D298" s="728" t="str">
        <f t="shared" si="166"/>
        <v>1+15.3418315881241i</v>
      </c>
      <c r="E298" s="337">
        <f t="shared" si="184"/>
        <v>15.374387678160145</v>
      </c>
      <c r="F298" s="338">
        <f t="shared" si="185"/>
        <v>1.5057071362161367</v>
      </c>
      <c r="G298" s="338" t="str">
        <f t="shared" si="167"/>
        <v>1+0.0630486229648935i</v>
      </c>
      <c r="H298" s="337">
        <f t="shared" si="186"/>
        <v>1.0019855931388282</v>
      </c>
      <c r="I298" s="338">
        <f t="shared" si="187"/>
        <v>6.2965279521795758E-2</v>
      </c>
      <c r="J298" s="340">
        <f t="shared" si="168"/>
        <v>1</v>
      </c>
      <c r="K298" s="338">
        <f t="shared" si="188"/>
        <v>1</v>
      </c>
      <c r="L298" s="339">
        <f t="shared" si="189"/>
        <v>0</v>
      </c>
      <c r="M298" s="731" t="str">
        <f t="shared" si="169"/>
        <v>0.982099343955556+0.296409873552295i</v>
      </c>
      <c r="N298" s="338">
        <f t="shared" si="190"/>
        <v>1.0258547336427419</v>
      </c>
      <c r="O298" s="339">
        <f t="shared" si="191"/>
        <v>0.29311882216540414</v>
      </c>
      <c r="P298" s="732" t="str">
        <f t="shared" si="183"/>
        <v>-0.0225708533687724-0.135495577779845i</v>
      </c>
      <c r="Q298" s="337">
        <f t="shared" si="192"/>
        <v>0.13736264055298533</v>
      </c>
      <c r="R298" s="339">
        <f t="shared" si="193"/>
        <v>-1.7358606788597446</v>
      </c>
      <c r="S298" s="731" t="str">
        <f t="shared" si="170"/>
        <v>6000</v>
      </c>
      <c r="T298" s="337" t="str">
        <f t="shared" si="171"/>
        <v>1+127358.218389085i</v>
      </c>
      <c r="U298" s="346">
        <f t="shared" si="194"/>
        <v>127358.21839301095</v>
      </c>
      <c r="V298" s="347">
        <f t="shared" si="195"/>
        <v>1.5707884749262648</v>
      </c>
      <c r="W298" s="340" t="str">
        <f t="shared" si="172"/>
        <v>1+1260.97245929787i</v>
      </c>
      <c r="X298" s="337">
        <f t="shared" si="196"/>
        <v>1260.9728558171737</v>
      </c>
      <c r="Y298" s="339">
        <f t="shared" si="197"/>
        <v>1.570003288229312</v>
      </c>
      <c r="Z298" s="337" t="str">
        <f t="shared" si="173"/>
        <v>1+12.7023507468249i</v>
      </c>
      <c r="AA298" s="346">
        <f t="shared" si="198"/>
        <v>12.741652737983525</v>
      </c>
      <c r="AB298" s="347">
        <f t="shared" si="199"/>
        <v>1.4922327787991745</v>
      </c>
      <c r="AC298" s="732" t="str">
        <f t="shared" si="200"/>
        <v>0.362263912741774-4.64824804671095i</v>
      </c>
      <c r="AD298" s="337">
        <f t="shared" si="201"/>
        <v>4.6623432999112309</v>
      </c>
      <c r="AE298" s="339">
        <f t="shared" si="202"/>
        <v>-1.4930179654961271</v>
      </c>
      <c r="AF298" s="736" t="str">
        <f t="shared" si="174"/>
        <v>-0.637993660408429+0.0558297669182616i</v>
      </c>
      <c r="AG298" s="337">
        <f t="shared" si="203"/>
        <v>-3.8705424136695599</v>
      </c>
      <c r="AH298" s="730">
        <f t="shared" si="204"/>
        <v>174.99888111848583</v>
      </c>
      <c r="AI298" s="360">
        <f t="shared" si="175"/>
        <v>-5.0011188815141736</v>
      </c>
      <c r="AL298" s="337">
        <f t="shared" si="176"/>
        <v>13.372084970855024</v>
      </c>
      <c r="AM298" s="730">
        <f t="shared" si="177"/>
        <v>-85.543628160136848</v>
      </c>
      <c r="AN298" s="351"/>
      <c r="AO298" s="337">
        <f t="shared" si="178"/>
        <v>36.029303814214842</v>
      </c>
      <c r="AP298" s="730">
        <f t="shared" si="179"/>
        <v>-99.457490721377326</v>
      </c>
      <c r="AS298" s="351"/>
      <c r="AT298" s="351"/>
      <c r="AV298" s="405">
        <f t="shared" si="180"/>
        <v>0</v>
      </c>
      <c r="AW298" s="405">
        <f t="shared" si="205"/>
        <v>0</v>
      </c>
      <c r="AX298" s="405">
        <f t="shared" si="181"/>
        <v>0</v>
      </c>
      <c r="AY298" s="405">
        <f t="shared" si="182"/>
        <v>0</v>
      </c>
    </row>
    <row r="299" spans="2:51" ht="13.5" thickBot="1" x14ac:dyDescent="0.25">
      <c r="B299" s="345">
        <v>20185</v>
      </c>
      <c r="C299" s="728" t="str">
        <f t="shared" si="165"/>
        <v>2.16217503399043</v>
      </c>
      <c r="D299" s="728" t="str">
        <f t="shared" si="166"/>
        <v>1+15.4305082767594i</v>
      </c>
      <c r="E299" s="337">
        <f t="shared" si="184"/>
        <v>15.462877664883093</v>
      </c>
      <c r="F299" s="338">
        <f t="shared" si="185"/>
        <v>1.5060801469500742</v>
      </c>
      <c r="G299" s="338" t="str">
        <f t="shared" si="167"/>
        <v>1+0.06341304771271i</v>
      </c>
      <c r="H299" s="337">
        <f t="shared" si="186"/>
        <v>1.0020085900930265</v>
      </c>
      <c r="I299" s="338">
        <f t="shared" si="187"/>
        <v>6.3328253047219035E-2</v>
      </c>
      <c r="J299" s="340">
        <f t="shared" si="168"/>
        <v>1</v>
      </c>
      <c r="K299" s="338">
        <f t="shared" si="188"/>
        <v>1</v>
      </c>
      <c r="L299" s="339">
        <f t="shared" si="189"/>
        <v>0</v>
      </c>
      <c r="M299" s="731" t="str">
        <f t="shared" si="169"/>
        <v>0.981891812222222+0.298123140049483i</v>
      </c>
      <c r="N299" s="338">
        <f t="shared" si="190"/>
        <v>1.0261524923431231</v>
      </c>
      <c r="O299" s="339">
        <f t="shared" si="191"/>
        <v>0.29477564811082474</v>
      </c>
      <c r="P299" s="732" t="str">
        <f t="shared" si="183"/>
        <v>-0.0226601581288236-0.134646587231844i</v>
      </c>
      <c r="Q299" s="337">
        <f t="shared" si="192"/>
        <v>0.13654005353597115</v>
      </c>
      <c r="R299" s="339">
        <f t="shared" si="193"/>
        <v>-1.7375275420136795</v>
      </c>
      <c r="S299" s="731" t="str">
        <f t="shared" si="170"/>
        <v>6000</v>
      </c>
      <c r="T299" s="337" t="str">
        <f t="shared" si="171"/>
        <v>1+128094.356379674i</v>
      </c>
      <c r="U299" s="346">
        <f t="shared" si="194"/>
        <v>128094.35638357737</v>
      </c>
      <c r="V299" s="347">
        <f t="shared" si="195"/>
        <v>1.5707885200497109</v>
      </c>
      <c r="W299" s="340" t="str">
        <f t="shared" si="172"/>
        <v>1+1268.2609542542i</v>
      </c>
      <c r="X299" s="337">
        <f t="shared" si="196"/>
        <v>1268.2613484947706</v>
      </c>
      <c r="Y299" s="339">
        <f t="shared" si="197"/>
        <v>1.5700078456945272</v>
      </c>
      <c r="Z299" s="337" t="str">
        <f t="shared" si="173"/>
        <v>1+12.7757710810035i</v>
      </c>
      <c r="AA299" s="346">
        <f t="shared" si="198"/>
        <v>12.814847900549006</v>
      </c>
      <c r="AB299" s="347">
        <f t="shared" si="199"/>
        <v>1.4926824314427236</v>
      </c>
      <c r="AC299" s="732" t="str">
        <f t="shared" si="200"/>
        <v>0.358137411964571-4.62185829487388i</v>
      </c>
      <c r="AD299" s="337">
        <f t="shared" si="201"/>
        <v>4.6357131602098898</v>
      </c>
      <c r="AE299" s="339">
        <f t="shared" si="202"/>
        <v>-1.4934631057979075</v>
      </c>
      <c r="AF299" s="736" t="str">
        <f t="shared" si="174"/>
        <v>-0.630432896460922+0.0565100595297827i</v>
      </c>
      <c r="AG299" s="337">
        <f t="shared" si="203"/>
        <v>-3.972467510440381</v>
      </c>
      <c r="AH299" s="730">
        <f t="shared" si="204"/>
        <v>174.87787223415629</v>
      </c>
      <c r="AI299" s="360">
        <f t="shared" si="175"/>
        <v>-5.1221277658437145</v>
      </c>
      <c r="AL299" s="337">
        <f t="shared" si="176"/>
        <v>13.322331113596489</v>
      </c>
      <c r="AM299" s="730">
        <f t="shared" si="177"/>
        <v>-85.569132820720043</v>
      </c>
      <c r="AN299" s="351"/>
      <c r="AO299" s="337">
        <f t="shared" si="178"/>
        <v>35.977132574702566</v>
      </c>
      <c r="AP299" s="730">
        <f t="shared" si="179"/>
        <v>-99.5529949451237</v>
      </c>
      <c r="AS299" s="351"/>
      <c r="AT299" s="351"/>
      <c r="AV299" s="405">
        <f t="shared" si="180"/>
        <v>0</v>
      </c>
      <c r="AW299" s="405">
        <f t="shared" si="205"/>
        <v>0</v>
      </c>
      <c r="AX299" s="405">
        <f t="shared" si="181"/>
        <v>0</v>
      </c>
      <c r="AY299" s="405">
        <f t="shared" si="182"/>
        <v>0</v>
      </c>
    </row>
    <row r="300" spans="2:51" ht="13.5" thickBot="1" x14ac:dyDescent="0.25">
      <c r="B300" s="345">
        <v>20301</v>
      </c>
      <c r="C300" s="728" t="str">
        <f t="shared" si="165"/>
        <v>2.16217503399043</v>
      </c>
      <c r="D300" s="728" t="str">
        <f t="shared" si="166"/>
        <v>1+15.5191849653948i</v>
      </c>
      <c r="E300" s="337">
        <f t="shared" si="184"/>
        <v>15.551369778580151</v>
      </c>
      <c r="F300" s="338">
        <f t="shared" si="185"/>
        <v>1.5064489126414775</v>
      </c>
      <c r="G300" s="338" t="str">
        <f t="shared" si="167"/>
        <v>1+0.0637774724605265i</v>
      </c>
      <c r="H300" s="337">
        <f t="shared" si="186"/>
        <v>1.0020317190555663</v>
      </c>
      <c r="I300" s="338">
        <f t="shared" si="187"/>
        <v>6.3691209864102025E-2</v>
      </c>
      <c r="J300" s="340">
        <f t="shared" si="168"/>
        <v>1</v>
      </c>
      <c r="K300" s="338">
        <f t="shared" si="188"/>
        <v>1</v>
      </c>
      <c r="L300" s="339">
        <f t="shared" si="189"/>
        <v>0</v>
      </c>
      <c r="M300" s="731" t="str">
        <f t="shared" si="169"/>
        <v>0.9816830844+0.299836406546672i</v>
      </c>
      <c r="N300" s="338">
        <f t="shared" si="190"/>
        <v>1.0264519223460584</v>
      </c>
      <c r="O300" s="339">
        <f t="shared" si="191"/>
        <v>0.29643184865508554</v>
      </c>
      <c r="P300" s="732" t="str">
        <f t="shared" si="183"/>
        <v>-0.0227475815803748-0.133806819217845i</v>
      </c>
      <c r="Q300" s="337">
        <f t="shared" si="192"/>
        <v>0.13572662722160625</v>
      </c>
      <c r="R300" s="339">
        <f t="shared" si="193"/>
        <v>-1.7391895514324616</v>
      </c>
      <c r="S300" s="731" t="str">
        <f t="shared" si="170"/>
        <v>6000</v>
      </c>
      <c r="T300" s="337" t="str">
        <f t="shared" si="171"/>
        <v>1+128830.494370264i</v>
      </c>
      <c r="U300" s="346">
        <f t="shared" si="194"/>
        <v>128830.49437414506</v>
      </c>
      <c r="V300" s="347">
        <f t="shared" si="195"/>
        <v>1.570788564657486</v>
      </c>
      <c r="W300" s="340" t="str">
        <f t="shared" si="172"/>
        <v>1+1275.54944921053i</v>
      </c>
      <c r="X300" s="337">
        <f t="shared" si="196"/>
        <v>1275.5498411984088</v>
      </c>
      <c r="Y300" s="339">
        <f t="shared" si="197"/>
        <v>1.5700123510770236</v>
      </c>
      <c r="Z300" s="337" t="str">
        <f t="shared" si="173"/>
        <v>1+12.8491914151822i</v>
      </c>
      <c r="AA300" s="346">
        <f t="shared" si="198"/>
        <v>12.888045624686155</v>
      </c>
      <c r="AB300" s="347">
        <f t="shared" si="199"/>
        <v>1.4931269765661122</v>
      </c>
      <c r="AC300" s="732" t="str">
        <f t="shared" si="200"/>
        <v>0.354080877601871-4.59576468015013i</v>
      </c>
      <c r="AD300" s="337">
        <f t="shared" si="201"/>
        <v>4.609384586167522</v>
      </c>
      <c r="AE300" s="339">
        <f t="shared" si="202"/>
        <v>-1.4939031901465749</v>
      </c>
      <c r="AF300" s="736" t="str">
        <f t="shared" si="174"/>
        <v>-0.622999137373905+0.0571640960081507i</v>
      </c>
      <c r="AG300" s="337">
        <f t="shared" si="203"/>
        <v>-4.0738399539996193</v>
      </c>
      <c r="AH300" s="730">
        <f t="shared" si="204"/>
        <v>174.75743113314067</v>
      </c>
      <c r="AI300" s="360">
        <f t="shared" si="175"/>
        <v>-5.2425688668593295</v>
      </c>
      <c r="AL300" s="337">
        <f t="shared" si="176"/>
        <v>13.272858904006263</v>
      </c>
      <c r="AM300" s="730">
        <f t="shared" si="177"/>
        <v>-85.594347796528453</v>
      </c>
      <c r="AN300" s="351"/>
      <c r="AO300" s="337">
        <f t="shared" si="178"/>
        <v>35.925232340733558</v>
      </c>
      <c r="AP300" s="730">
        <f t="shared" si="179"/>
        <v>-99.648221070330877</v>
      </c>
      <c r="AS300" s="351"/>
      <c r="AT300" s="351"/>
      <c r="AV300" s="405">
        <f t="shared" si="180"/>
        <v>0</v>
      </c>
      <c r="AW300" s="405">
        <f t="shared" si="205"/>
        <v>0</v>
      </c>
      <c r="AX300" s="405">
        <f t="shared" si="181"/>
        <v>0</v>
      </c>
      <c r="AY300" s="405">
        <f t="shared" si="182"/>
        <v>0</v>
      </c>
    </row>
    <row r="301" spans="2:51" ht="13.5" thickBot="1" x14ac:dyDescent="0.25">
      <c r="B301" s="345">
        <v>20417</v>
      </c>
      <c r="C301" s="728" t="str">
        <f t="shared" si="165"/>
        <v>2.16217503399043</v>
      </c>
      <c r="D301" s="728" t="str">
        <f t="shared" si="166"/>
        <v>1+15.6078616540301i</v>
      </c>
      <c r="E301" s="337">
        <f t="shared" si="184"/>
        <v>15.639863983147142</v>
      </c>
      <c r="F301" s="338">
        <f t="shared" si="185"/>
        <v>1.5068135052476797</v>
      </c>
      <c r="G301" s="338" t="str">
        <f t="shared" si="167"/>
        <v>1+0.064141897208343i</v>
      </c>
      <c r="H301" s="337">
        <f t="shared" si="186"/>
        <v>1.0020549800173071</v>
      </c>
      <c r="I301" s="338">
        <f t="shared" si="187"/>
        <v>6.4054149877974878E-2</v>
      </c>
      <c r="J301" s="340">
        <f t="shared" si="168"/>
        <v>1</v>
      </c>
      <c r="K301" s="338">
        <f t="shared" si="188"/>
        <v>1</v>
      </c>
      <c r="L301" s="339">
        <f t="shared" si="189"/>
        <v>0</v>
      </c>
      <c r="M301" s="731" t="str">
        <f t="shared" si="169"/>
        <v>0.981473160488889+0.30154967304386i</v>
      </c>
      <c r="N301" s="338">
        <f t="shared" si="190"/>
        <v>1.0267530229188064</v>
      </c>
      <c r="O301" s="339">
        <f t="shared" si="191"/>
        <v>0.29808742080040462</v>
      </c>
      <c r="P301" s="732" t="str">
        <f t="shared" si="183"/>
        <v>-0.022833164544426-0.132976120371546i</v>
      </c>
      <c r="Q301" s="337">
        <f t="shared" si="192"/>
        <v>0.134922207186885</v>
      </c>
      <c r="R301" s="339">
        <f t="shared" si="193"/>
        <v>-1.740846776170109</v>
      </c>
      <c r="S301" s="731" t="str">
        <f t="shared" si="170"/>
        <v>6000</v>
      </c>
      <c r="T301" s="337" t="str">
        <f t="shared" si="171"/>
        <v>1+129566.632360853i</v>
      </c>
      <c r="U301" s="346">
        <f t="shared" si="194"/>
        <v>129566.63236471203</v>
      </c>
      <c r="V301" s="347">
        <f t="shared" si="195"/>
        <v>1.5707886087583793</v>
      </c>
      <c r="W301" s="340" t="str">
        <f t="shared" si="172"/>
        <v>1+1282.83794416686i</v>
      </c>
      <c r="X301" s="337">
        <f t="shared" si="196"/>
        <v>1282.8383339276452</v>
      </c>
      <c r="Y301" s="339">
        <f t="shared" si="197"/>
        <v>1.5700168052645305</v>
      </c>
      <c r="Z301" s="337" t="str">
        <f t="shared" si="173"/>
        <v>1+12.9226117493609i</v>
      </c>
      <c r="AA301" s="346">
        <f t="shared" si="198"/>
        <v>12.961245866995979</v>
      </c>
      <c r="AB301" s="347">
        <f t="shared" si="199"/>
        <v>1.4935665005281911</v>
      </c>
      <c r="AC301" s="732" t="str">
        <f t="shared" si="200"/>
        <v>0.35009273994523-4.56996227646511i</v>
      </c>
      <c r="AD301" s="337">
        <f t="shared" si="201"/>
        <v>4.5833524995222144</v>
      </c>
      <c r="AE301" s="339">
        <f t="shared" si="202"/>
        <v>-1.4943383040220399</v>
      </c>
      <c r="AF301" s="736" t="str">
        <f t="shared" si="174"/>
        <v>-0.615689578905627+0.0577927262921862i</v>
      </c>
      <c r="AG301" s="337">
        <f t="shared" si="203"/>
        <v>-4.1746660656179149</v>
      </c>
      <c r="AH301" s="730">
        <f t="shared" si="204"/>
        <v>174.63754896129709</v>
      </c>
      <c r="AI301" s="360">
        <f t="shared" si="175"/>
        <v>-5.3624510387029147</v>
      </c>
      <c r="AL301" s="337">
        <f t="shared" si="176"/>
        <v>13.223665190762198</v>
      </c>
      <c r="AM301" s="730">
        <f t="shared" si="177"/>
        <v>-85.619277985200185</v>
      </c>
      <c r="AN301" s="351"/>
      <c r="AO301" s="337">
        <f t="shared" si="178"/>
        <v>35.873599942359327</v>
      </c>
      <c r="AP301" s="730">
        <f t="shared" si="179"/>
        <v>-99.743173053502773</v>
      </c>
      <c r="AS301" s="351"/>
      <c r="AT301" s="351"/>
      <c r="AV301" s="405">
        <f t="shared" si="180"/>
        <v>0</v>
      </c>
      <c r="AW301" s="405">
        <f t="shared" si="205"/>
        <v>0</v>
      </c>
      <c r="AX301" s="405">
        <f t="shared" si="181"/>
        <v>0</v>
      </c>
      <c r="AY301" s="405">
        <f t="shared" si="182"/>
        <v>0</v>
      </c>
    </row>
    <row r="302" spans="2:51" ht="13.5" thickBot="1" x14ac:dyDescent="0.25">
      <c r="B302" s="345">
        <v>20536</v>
      </c>
      <c r="C302" s="728" t="str">
        <f t="shared" si="165"/>
        <v>2.16217503399043</v>
      </c>
      <c r="D302" s="728" t="str">
        <f t="shared" si="166"/>
        <v>1+15.6988317053025i</v>
      </c>
      <c r="E302" s="337">
        <f t="shared" si="184"/>
        <v>15.730648966632337</v>
      </c>
      <c r="F302" s="338">
        <f t="shared" si="185"/>
        <v>1.5071832643194008</v>
      </c>
      <c r="G302" s="338" t="str">
        <f t="shared" si="167"/>
        <v>1+0.06451574673412i</v>
      </c>
      <c r="H302" s="337">
        <f t="shared" si="186"/>
        <v>1.0020789797100131</v>
      </c>
      <c r="I302" s="338">
        <f t="shared" si="187"/>
        <v>6.4426458712061624E-2</v>
      </c>
      <c r="J302" s="340">
        <f t="shared" si="168"/>
        <v>1</v>
      </c>
      <c r="K302" s="338">
        <f t="shared" si="188"/>
        <v>1</v>
      </c>
      <c r="L302" s="339">
        <f t="shared" si="189"/>
        <v>0</v>
      </c>
      <c r="M302" s="731" t="str">
        <f t="shared" si="169"/>
        <v>0.981256564622222+0.303307248157354i</v>
      </c>
      <c r="N302" s="338">
        <f t="shared" si="190"/>
        <v>1.0270636457391487</v>
      </c>
      <c r="O302" s="339">
        <f t="shared" si="191"/>
        <v>0.29978515334802019</v>
      </c>
      <c r="P302" s="732" t="str">
        <f t="shared" si="183"/>
        <v>-0.0229190899496136-0.13213320479848i</v>
      </c>
      <c r="Q302" s="337">
        <f t="shared" si="192"/>
        <v>0.13410618365472765</v>
      </c>
      <c r="R302" s="339">
        <f t="shared" si="193"/>
        <v>-1.7425419589553599</v>
      </c>
      <c r="S302" s="731" t="str">
        <f t="shared" si="170"/>
        <v>6000</v>
      </c>
      <c r="T302" s="337" t="str">
        <f t="shared" si="171"/>
        <v>1+130321.808402922i</v>
      </c>
      <c r="U302" s="346">
        <f t="shared" si="194"/>
        <v>130321.80840675868</v>
      </c>
      <c r="V302" s="347">
        <f t="shared" si="195"/>
        <v>1.5707886534821009</v>
      </c>
      <c r="W302" s="340" t="str">
        <f t="shared" si="172"/>
        <v>1+1290.3149346824i</v>
      </c>
      <c r="X302" s="337">
        <f t="shared" si="196"/>
        <v>1290.315322184638</v>
      </c>
      <c r="Y302" s="339">
        <f t="shared" si="197"/>
        <v>1.5700213223576771</v>
      </c>
      <c r="Z302" s="337" t="str">
        <f t="shared" si="173"/>
        <v>1+12.9979308852855i</v>
      </c>
      <c r="AA302" s="346">
        <f t="shared" si="198"/>
        <v>13.036341791264093</v>
      </c>
      <c r="AB302" s="347">
        <f t="shared" si="199"/>
        <v>1.4940122623359726</v>
      </c>
      <c r="AC302" s="732" t="str">
        <f t="shared" si="200"/>
        <v>0.346070934585632-4.54379012555869i</v>
      </c>
      <c r="AD302" s="337">
        <f t="shared" si="201"/>
        <v>4.5569500542456716</v>
      </c>
      <c r="AE302" s="339">
        <f t="shared" si="202"/>
        <v>-1.4947795934603967</v>
      </c>
      <c r="AF302" s="736" t="str">
        <f t="shared" si="174"/>
        <v>-0.608317182100473+0.058412072925441i</v>
      </c>
      <c r="AG302" s="337">
        <f t="shared" si="203"/>
        <v>-4.2775385543527866</v>
      </c>
      <c r="AH302" s="730">
        <f t="shared" si="204"/>
        <v>174.51513811983745</v>
      </c>
      <c r="AI302" s="360">
        <f t="shared" si="175"/>
        <v>-5.4848618801625548</v>
      </c>
      <c r="AL302" s="337">
        <f t="shared" si="176"/>
        <v>13.173485371805349</v>
      </c>
      <c r="AM302" s="730">
        <f t="shared" si="177"/>
        <v>-85.644562007561717</v>
      </c>
      <c r="AN302" s="351"/>
      <c r="AO302" s="337">
        <f t="shared" si="178"/>
        <v>35.82090727258128</v>
      </c>
      <c r="AP302" s="730">
        <f t="shared" si="179"/>
        <v>-99.840299872600866</v>
      </c>
      <c r="AS302" s="351"/>
      <c r="AT302" s="351"/>
      <c r="AV302" s="405">
        <f t="shared" si="180"/>
        <v>0</v>
      </c>
      <c r="AW302" s="405">
        <f t="shared" si="205"/>
        <v>0</v>
      </c>
      <c r="AX302" s="405">
        <f t="shared" si="181"/>
        <v>0</v>
      </c>
      <c r="AY302" s="405">
        <f t="shared" si="182"/>
        <v>0</v>
      </c>
    </row>
    <row r="303" spans="2:51" ht="13.5" thickBot="1" x14ac:dyDescent="0.25">
      <c r="B303" s="345">
        <v>20655</v>
      </c>
      <c r="C303" s="728" t="str">
        <f t="shared" si="165"/>
        <v>2.16217503399043</v>
      </c>
      <c r="D303" s="728" t="str">
        <f t="shared" si="166"/>
        <v>1+15.7898017565749i</v>
      </c>
      <c r="E303" s="337">
        <f t="shared" si="184"/>
        <v>15.821436076157429</v>
      </c>
      <c r="F303" s="338">
        <f t="shared" si="185"/>
        <v>1.5075487799121328</v>
      </c>
      <c r="G303" s="338" t="str">
        <f t="shared" si="167"/>
        <v>1+0.064889596259897i</v>
      </c>
      <c r="H303" s="337">
        <f t="shared" si="186"/>
        <v>1.0021031182980984</v>
      </c>
      <c r="I303" s="338">
        <f t="shared" si="187"/>
        <v>6.4798749661453992E-2</v>
      </c>
      <c r="J303" s="340">
        <f t="shared" si="168"/>
        <v>1</v>
      </c>
      <c r="K303" s="338">
        <f t="shared" si="188"/>
        <v>1</v>
      </c>
      <c r="L303" s="339">
        <f t="shared" si="189"/>
        <v>0</v>
      </c>
      <c r="M303" s="731" t="str">
        <f t="shared" si="169"/>
        <v>0.98103871+0.305064823270848i</v>
      </c>
      <c r="N303" s="338">
        <f t="shared" si="190"/>
        <v>1.0273760250831911</v>
      </c>
      <c r="O303" s="339">
        <f t="shared" si="191"/>
        <v>0.30148221821196147</v>
      </c>
      <c r="P303" s="732" t="str">
        <f t="shared" si="183"/>
        <v>-0.0230031618540485-0.131299517447154i</v>
      </c>
      <c r="Q303" s="337">
        <f t="shared" si="192"/>
        <v>0.13329932009256107</v>
      </c>
      <c r="R303" s="339">
        <f t="shared" si="193"/>
        <v>-1.7442322484626409</v>
      </c>
      <c r="S303" s="731" t="str">
        <f t="shared" si="170"/>
        <v>6000</v>
      </c>
      <c r="T303" s="337" t="str">
        <f t="shared" si="171"/>
        <v>1+131076.984444992i</v>
      </c>
      <c r="U303" s="346">
        <f t="shared" si="194"/>
        <v>131076.98444880656</v>
      </c>
      <c r="V303" s="347">
        <f t="shared" si="195"/>
        <v>1.5707886976904875</v>
      </c>
      <c r="W303" s="340" t="str">
        <f t="shared" si="172"/>
        <v>1+1297.79192519794i</v>
      </c>
      <c r="X303" s="337">
        <f t="shared" si="196"/>
        <v>1297.7923104676554</v>
      </c>
      <c r="Y303" s="339">
        <f t="shared" si="197"/>
        <v>1.5700257874020451</v>
      </c>
      <c r="Z303" s="337" t="str">
        <f t="shared" si="173"/>
        <v>1+13.0732500212102i</v>
      </c>
      <c r="AA303" s="346">
        <f t="shared" si="198"/>
        <v>13.11144027622719</v>
      </c>
      <c r="AB303" s="347">
        <f t="shared" si="199"/>
        <v>1.4944529178446506</v>
      </c>
      <c r="AC303" s="732" t="str">
        <f t="shared" si="200"/>
        <v>0.34211790232597-4.5179142861698i</v>
      </c>
      <c r="AD303" s="337">
        <f t="shared" si="201"/>
        <v>4.5308491650317713</v>
      </c>
      <c r="AE303" s="339">
        <f t="shared" si="202"/>
        <v>-1.495215828133093</v>
      </c>
      <c r="AF303" s="736" t="str">
        <f t="shared" si="174"/>
        <v>-0.60106975912207+0.0590063980820495i</v>
      </c>
      <c r="AG303" s="337">
        <f t="shared" si="203"/>
        <v>-4.3798492255384618</v>
      </c>
      <c r="AH303" s="730">
        <f t="shared" si="204"/>
        <v>174.39329725929221</v>
      </c>
      <c r="AI303" s="360">
        <f t="shared" si="175"/>
        <v>-5.6067027407077887</v>
      </c>
      <c r="AL303" s="337">
        <f t="shared" si="176"/>
        <v>13.123592089380448</v>
      </c>
      <c r="AM303" s="730">
        <f t="shared" si="177"/>
        <v>-85.66955641318448</v>
      </c>
      <c r="AN303" s="351"/>
      <c r="AO303" s="337">
        <f t="shared" si="178"/>
        <v>35.768489883820521</v>
      </c>
      <c r="AP303" s="730">
        <f t="shared" si="179"/>
        <v>-99.937146327523337</v>
      </c>
      <c r="AS303" s="351"/>
      <c r="AT303" s="351"/>
      <c r="AV303" s="405">
        <f t="shared" si="180"/>
        <v>0</v>
      </c>
      <c r="AW303" s="405">
        <f t="shared" si="205"/>
        <v>0</v>
      </c>
      <c r="AX303" s="405">
        <f t="shared" si="181"/>
        <v>0</v>
      </c>
      <c r="AY303" s="405">
        <f t="shared" si="182"/>
        <v>0</v>
      </c>
    </row>
    <row r="304" spans="2:51" ht="13.5" thickBot="1" x14ac:dyDescent="0.25">
      <c r="B304" s="345">
        <v>20774</v>
      </c>
      <c r="C304" s="728" t="str">
        <f t="shared" si="165"/>
        <v>2.16217503399043</v>
      </c>
      <c r="D304" s="728" t="str">
        <f t="shared" si="166"/>
        <v>1+15.8807718078475i</v>
      </c>
      <c r="E304" s="337">
        <f t="shared" si="184"/>
        <v>15.912225275332299</v>
      </c>
      <c r="F304" s="338">
        <f t="shared" si="185"/>
        <v>1.5079101245624702</v>
      </c>
      <c r="G304" s="338" t="str">
        <f t="shared" si="167"/>
        <v>1+0.0652634457856745i</v>
      </c>
      <c r="H304" s="337">
        <f t="shared" si="186"/>
        <v>1.0021273957715255</v>
      </c>
      <c r="I304" s="338">
        <f t="shared" si="187"/>
        <v>6.517102262424912E-2</v>
      </c>
      <c r="J304" s="340">
        <f t="shared" si="168"/>
        <v>1</v>
      </c>
      <c r="K304" s="338">
        <f t="shared" si="188"/>
        <v>1</v>
      </c>
      <c r="L304" s="339">
        <f t="shared" si="189"/>
        <v>0</v>
      </c>
      <c r="M304" s="731" t="str">
        <f t="shared" si="169"/>
        <v>0.980819596622222+0.306822398384344i</v>
      </c>
      <c r="N304" s="338">
        <f t="shared" si="190"/>
        <v>1.0276901601496917</v>
      </c>
      <c r="O304" s="339">
        <f t="shared" si="191"/>
        <v>0.30317861218657483</v>
      </c>
      <c r="P304" s="732" t="str">
        <f t="shared" si="183"/>
        <v>-0.0230854207389042-0.130474903579268i</v>
      </c>
      <c r="Q304" s="337">
        <f t="shared" si="192"/>
        <v>0.1325014608021795</v>
      </c>
      <c r="R304" s="339">
        <f t="shared" si="193"/>
        <v>-1.7459177141247952</v>
      </c>
      <c r="S304" s="731" t="str">
        <f t="shared" si="170"/>
        <v>6000</v>
      </c>
      <c r="T304" s="337" t="str">
        <f t="shared" si="171"/>
        <v>1+131832.160487063i</v>
      </c>
      <c r="U304" s="346">
        <f t="shared" si="194"/>
        <v>131832.16049085569</v>
      </c>
      <c r="V304" s="347">
        <f t="shared" si="195"/>
        <v>1.5707887413923949</v>
      </c>
      <c r="W304" s="340" t="str">
        <f t="shared" si="172"/>
        <v>1+1305.26891571349i</v>
      </c>
      <c r="X304" s="337">
        <f t="shared" si="196"/>
        <v>1305.2692987762605</v>
      </c>
      <c r="Y304" s="339">
        <f t="shared" si="197"/>
        <v>1.5700302012920886</v>
      </c>
      <c r="Z304" s="337" t="str">
        <f t="shared" si="173"/>
        <v>1+13.1485691571349i</v>
      </c>
      <c r="AA304" s="346">
        <f t="shared" si="198"/>
        <v>13.186541278135037</v>
      </c>
      <c r="AB304" s="347">
        <f t="shared" si="199"/>
        <v>1.4948885541269747</v>
      </c>
      <c r="AC304" s="732" t="str">
        <f t="shared" si="200"/>
        <v>0.338232087032819-4.49232978455196i</v>
      </c>
      <c r="AD304" s="337">
        <f t="shared" si="201"/>
        <v>4.5050447098637356</v>
      </c>
      <c r="AE304" s="339">
        <f t="shared" si="202"/>
        <v>-1.4956470942272808</v>
      </c>
      <c r="AF304" s="736" t="str">
        <f t="shared" si="174"/>
        <v>-0.593944525522241+0.0595765242312712i</v>
      </c>
      <c r="AG304" s="337">
        <f t="shared" si="203"/>
        <v>-4.4816045648459397</v>
      </c>
      <c r="AH304" s="730">
        <f t="shared" si="204"/>
        <v>174.27201746329251</v>
      </c>
      <c r="AI304" s="360">
        <f t="shared" si="175"/>
        <v>-5.7279825367074864</v>
      </c>
      <c r="AL304" s="337">
        <f t="shared" si="176"/>
        <v>13.073982108968691</v>
      </c>
      <c r="AM304" s="730">
        <f t="shared" si="177"/>
        <v>-85.694266140228549</v>
      </c>
      <c r="AN304" s="351"/>
      <c r="AO304" s="337">
        <f t="shared" si="178"/>
        <v>35.7163445249248</v>
      </c>
      <c r="AP304" s="730">
        <f t="shared" si="179"/>
        <v>-100.03371639647891</v>
      </c>
      <c r="AS304" s="351"/>
      <c r="AT304" s="351"/>
      <c r="AV304" s="405">
        <f t="shared" si="180"/>
        <v>0</v>
      </c>
      <c r="AW304" s="405">
        <f t="shared" si="205"/>
        <v>0</v>
      </c>
      <c r="AX304" s="405">
        <f t="shared" si="181"/>
        <v>0</v>
      </c>
      <c r="AY304" s="405">
        <f t="shared" si="182"/>
        <v>0</v>
      </c>
    </row>
    <row r="305" spans="2:51" ht="13.5" thickBot="1" x14ac:dyDescent="0.25">
      <c r="B305" s="345">
        <v>20893</v>
      </c>
      <c r="C305" s="728" t="str">
        <f t="shared" si="165"/>
        <v>2.16217503399043</v>
      </c>
      <c r="D305" s="728" t="str">
        <f t="shared" si="166"/>
        <v>1+15.9717418591199i</v>
      </c>
      <c r="E305" s="337">
        <f t="shared" si="184"/>
        <v>16.003016528591189</v>
      </c>
      <c r="F305" s="338">
        <f t="shared" si="185"/>
        <v>1.5082673691653075</v>
      </c>
      <c r="G305" s="338" t="str">
        <f t="shared" si="167"/>
        <v>1+0.0656372953114515i</v>
      </c>
      <c r="H305" s="337">
        <f t="shared" si="186"/>
        <v>1.0021518121202011</v>
      </c>
      <c r="I305" s="338">
        <f t="shared" si="187"/>
        <v>6.5543277498572472E-2</v>
      </c>
      <c r="J305" s="340">
        <f t="shared" si="168"/>
        <v>1</v>
      </c>
      <c r="K305" s="338">
        <f t="shared" si="188"/>
        <v>1</v>
      </c>
      <c r="L305" s="339">
        <f t="shared" si="189"/>
        <v>0</v>
      </c>
      <c r="M305" s="731" t="str">
        <f t="shared" si="169"/>
        <v>0.980599224488889+0.308579973497837i</v>
      </c>
      <c r="N305" s="338">
        <f t="shared" si="190"/>
        <v>1.0280060501340138</v>
      </c>
      <c r="O305" s="339">
        <f t="shared" si="191"/>
        <v>0.30487433207665526</v>
      </c>
      <c r="P305" s="732" t="str">
        <f t="shared" si="183"/>
        <v>-0.0231659059539375-0.129659211915039i</v>
      </c>
      <c r="Q305" s="337">
        <f t="shared" si="192"/>
        <v>0.13171245359910227</v>
      </c>
      <c r="R305" s="339">
        <f t="shared" si="193"/>
        <v>-1.747598423743391</v>
      </c>
      <c r="S305" s="731" t="str">
        <f t="shared" si="170"/>
        <v>6000</v>
      </c>
      <c r="T305" s="337" t="str">
        <f t="shared" si="171"/>
        <v>1+132587.336529132i</v>
      </c>
      <c r="U305" s="346">
        <f t="shared" si="194"/>
        <v>132587.33653290311</v>
      </c>
      <c r="V305" s="347">
        <f t="shared" si="195"/>
        <v>1.5707887845964774</v>
      </c>
      <c r="W305" s="340" t="str">
        <f t="shared" si="172"/>
        <v>1+1312.74590622903i</v>
      </c>
      <c r="X305" s="337">
        <f t="shared" si="196"/>
        <v>1312.7462871099947</v>
      </c>
      <c r="Y305" s="339">
        <f t="shared" si="197"/>
        <v>1.5700345649018845</v>
      </c>
      <c r="Z305" s="337" t="str">
        <f t="shared" si="173"/>
        <v>1+13.2238882930595i</v>
      </c>
      <c r="AA305" s="346">
        <f t="shared" si="198"/>
        <v>13.261644754226987</v>
      </c>
      <c r="AB305" s="347">
        <f t="shared" si="199"/>
        <v>1.4953192562909692</v>
      </c>
      <c r="AC305" s="732" t="str">
        <f t="shared" si="200"/>
        <v>0.334411976254331-4.46703175697104i</v>
      </c>
      <c r="AD305" s="337">
        <f t="shared" si="201"/>
        <v>4.4795316817330466</v>
      </c>
      <c r="AE305" s="339">
        <f t="shared" si="202"/>
        <v>-1.4960734759855623</v>
      </c>
      <c r="AF305" s="736" t="str">
        <f t="shared" si="174"/>
        <v>-0.586938773600095+0.060123244279156i</v>
      </c>
      <c r="AG305" s="337">
        <f t="shared" si="203"/>
        <v>-4.5828109485803594</v>
      </c>
      <c r="AH305" s="730">
        <f t="shared" si="204"/>
        <v>174.15129002034899</v>
      </c>
      <c r="AI305" s="360">
        <f t="shared" si="175"/>
        <v>-5.8487099796510051</v>
      </c>
      <c r="AL305" s="337">
        <f t="shared" si="176"/>
        <v>13.024652250183992</v>
      </c>
      <c r="AM305" s="730">
        <f t="shared" si="177"/>
        <v>-85.718696015439434</v>
      </c>
      <c r="AN305" s="351"/>
      <c r="AO305" s="337">
        <f t="shared" si="178"/>
        <v>35.664467999975081</v>
      </c>
      <c r="AP305" s="730">
        <f t="shared" si="179"/>
        <v>-100.13001396421157</v>
      </c>
      <c r="AS305" s="351"/>
      <c r="AT305" s="351"/>
      <c r="AV305" s="405">
        <f t="shared" si="180"/>
        <v>0</v>
      </c>
      <c r="AW305" s="405">
        <f t="shared" si="205"/>
        <v>0</v>
      </c>
      <c r="AX305" s="405">
        <f t="shared" si="181"/>
        <v>0</v>
      </c>
      <c r="AY305" s="405">
        <f t="shared" si="182"/>
        <v>0</v>
      </c>
    </row>
    <row r="306" spans="2:51" ht="13.5" thickBot="1" x14ac:dyDescent="0.25">
      <c r="B306" s="345">
        <v>21014.75</v>
      </c>
      <c r="C306" s="728" t="str">
        <f t="shared" si="165"/>
        <v>2.16217503399043</v>
      </c>
      <c r="D306" s="728" t="str">
        <f t="shared" si="166"/>
        <v>1+16.0648141594763i</v>
      </c>
      <c r="E306" s="337">
        <f t="shared" si="184"/>
        <v>16.095907988632085</v>
      </c>
      <c r="F306" s="338">
        <f t="shared" si="185"/>
        <v>1.5086286984180246</v>
      </c>
      <c r="G306" s="338" t="str">
        <f t="shared" si="167"/>
        <v>1+0.066019784217026i</v>
      </c>
      <c r="H306" s="337">
        <f t="shared" si="186"/>
        <v>1.0021769364279258</v>
      </c>
      <c r="I306" s="338">
        <f t="shared" si="187"/>
        <v>6.5924116074973907E-2</v>
      </c>
      <c r="J306" s="340">
        <f t="shared" si="168"/>
        <v>1</v>
      </c>
      <c r="K306" s="338">
        <f t="shared" si="188"/>
        <v>1</v>
      </c>
      <c r="L306" s="339">
        <f t="shared" si="189"/>
        <v>0</v>
      </c>
      <c r="M306" s="731" t="str">
        <f t="shared" si="169"/>
        <v>0.980372456997222+0.310378164842946i</v>
      </c>
      <c r="N306" s="338">
        <f t="shared" si="190"/>
        <v>1.0283310554729177</v>
      </c>
      <c r="O306" s="339">
        <f t="shared" si="191"/>
        <v>0.30660853781873904</v>
      </c>
      <c r="P306" s="732" t="str">
        <f t="shared" si="183"/>
        <v>-0.0232464553869897-0.128833749854313i</v>
      </c>
      <c r="Q306" s="337">
        <f t="shared" si="192"/>
        <v>0.13091421920319807</v>
      </c>
      <c r="R306" s="339">
        <f t="shared" si="193"/>
        <v>-1.7493131201617891</v>
      </c>
      <c r="S306" s="731" t="str">
        <f t="shared" si="170"/>
        <v>6000</v>
      </c>
      <c r="T306" s="337" t="str">
        <f t="shared" si="171"/>
        <v>1+133359.964118393i</v>
      </c>
      <c r="U306" s="346">
        <f t="shared" si="194"/>
        <v>133359.96412214224</v>
      </c>
      <c r="V306" s="347">
        <f t="shared" si="195"/>
        <v>1.5707888282925793</v>
      </c>
      <c r="W306" s="340" t="str">
        <f t="shared" si="172"/>
        <v>1+1320.39568434052i</v>
      </c>
      <c r="X306" s="337">
        <f t="shared" si="196"/>
        <v>1320.3960630148326</v>
      </c>
      <c r="Y306" s="339">
        <f t="shared" si="197"/>
        <v>1.570038978205631</v>
      </c>
      <c r="Z306" s="337" t="str">
        <f t="shared" si="173"/>
        <v>1+13.3009479972514i</v>
      </c>
      <c r="AA306" s="346">
        <f t="shared" si="198"/>
        <v>13.338486331873868</v>
      </c>
      <c r="AB306" s="347">
        <f t="shared" si="199"/>
        <v>1.4957548919413008</v>
      </c>
      <c r="AC306" s="732" t="str">
        <f t="shared" si="200"/>
        <v>0.330570052175878-4.44144063175918i</v>
      </c>
      <c r="AD306" s="337">
        <f t="shared" si="201"/>
        <v>4.4537255690979594</v>
      </c>
      <c r="AE306" s="339">
        <f t="shared" si="202"/>
        <v>-1.4965047420282496</v>
      </c>
      <c r="AF306" s="736" t="str">
        <f t="shared" si="174"/>
        <v>-0.579892033315026+0.0606591720887989i</v>
      </c>
      <c r="AG306" s="337">
        <f t="shared" si="203"/>
        <v>-4.6857945419277325</v>
      </c>
      <c r="AH306" s="730">
        <f t="shared" si="204"/>
        <v>174.02833542833531</v>
      </c>
      <c r="AI306" s="360">
        <f t="shared" si="175"/>
        <v>-5.9716645716646894</v>
      </c>
      <c r="AL306" s="337">
        <f t="shared" si="176"/>
        <v>12.974469060883173</v>
      </c>
      <c r="AM306" s="730">
        <f t="shared" si="177"/>
        <v>-85.743405739532733</v>
      </c>
      <c r="AN306" s="351"/>
      <c r="AO306" s="337">
        <f t="shared" si="178"/>
        <v>35.611667595928516</v>
      </c>
      <c r="AP306" s="730">
        <f t="shared" si="179"/>
        <v>-100.22825883213196</v>
      </c>
      <c r="AS306" s="351"/>
      <c r="AT306" s="351"/>
      <c r="AV306" s="405">
        <f t="shared" si="180"/>
        <v>0</v>
      </c>
      <c r="AW306" s="405">
        <f t="shared" si="205"/>
        <v>0</v>
      </c>
      <c r="AX306" s="405">
        <f t="shared" si="181"/>
        <v>0</v>
      </c>
      <c r="AY306" s="405">
        <f t="shared" si="182"/>
        <v>0</v>
      </c>
    </row>
    <row r="307" spans="2:51" ht="13.5" thickBot="1" x14ac:dyDescent="0.25">
      <c r="B307" s="345">
        <v>21136.5</v>
      </c>
      <c r="C307" s="728" t="str">
        <f t="shared" si="165"/>
        <v>2.16217503399043</v>
      </c>
      <c r="D307" s="728" t="str">
        <f t="shared" si="166"/>
        <v>1+16.1578864598328i</v>
      </c>
      <c r="E307" s="337">
        <f t="shared" si="184"/>
        <v>16.1888015260194</v>
      </c>
      <c r="F307" s="338">
        <f t="shared" si="185"/>
        <v>1.5089858810044774</v>
      </c>
      <c r="G307" s="338" t="str">
        <f t="shared" si="167"/>
        <v>1+0.0664022731226005i</v>
      </c>
      <c r="H307" s="337">
        <f t="shared" si="186"/>
        <v>1.0022022060821101</v>
      </c>
      <c r="I307" s="338">
        <f t="shared" si="187"/>
        <v>6.6304935501581494E-2</v>
      </c>
      <c r="J307" s="340">
        <f t="shared" si="168"/>
        <v>1</v>
      </c>
      <c r="K307" s="338">
        <f t="shared" si="188"/>
        <v>1</v>
      </c>
      <c r="L307" s="339">
        <f t="shared" si="189"/>
        <v>0</v>
      </c>
      <c r="M307" s="731" t="str">
        <f t="shared" si="169"/>
        <v>0.9801443719+0.312176356188055i</v>
      </c>
      <c r="N307" s="338">
        <f t="shared" si="190"/>
        <v>1.0286578960617065</v>
      </c>
      <c r="O307" s="339">
        <f t="shared" si="191"/>
        <v>0.30834203122833154</v>
      </c>
      <c r="P307" s="732" t="str">
        <f t="shared" si="183"/>
        <v>-0.0233252280931273-0.128017317445073i</v>
      </c>
      <c r="Q307" s="337">
        <f t="shared" si="192"/>
        <v>0.13012493931383412</v>
      </c>
      <c r="R307" s="339">
        <f t="shared" si="193"/>
        <v>-1.751022976731226</v>
      </c>
      <c r="S307" s="731" t="str">
        <f t="shared" si="170"/>
        <v>6000</v>
      </c>
      <c r="T307" s="337" t="str">
        <f t="shared" si="171"/>
        <v>1+134132.591707653i</v>
      </c>
      <c r="U307" s="346">
        <f t="shared" si="194"/>
        <v>134132.59171138061</v>
      </c>
      <c r="V307" s="347">
        <f t="shared" si="195"/>
        <v>1.5707888714852865</v>
      </c>
      <c r="W307" s="340" t="str">
        <f t="shared" si="172"/>
        <v>1+1328.04546245201i</v>
      </c>
      <c r="X307" s="337">
        <f t="shared" si="196"/>
        <v>1328.0458389450921</v>
      </c>
      <c r="Y307" s="339">
        <f t="shared" si="197"/>
        <v>1.5700433406665772</v>
      </c>
      <c r="Z307" s="337" t="str">
        <f t="shared" si="173"/>
        <v>1+13.3780077014432i</v>
      </c>
      <c r="AA307" s="346">
        <f t="shared" si="198"/>
        <v>13.415330411878552</v>
      </c>
      <c r="AB307" s="347">
        <f t="shared" si="199"/>
        <v>1.4961855369612469</v>
      </c>
      <c r="AC307" s="732" t="str">
        <f t="shared" si="200"/>
        <v>0.326793835331937-4.4161394138338i</v>
      </c>
      <c r="AD307" s="337">
        <f t="shared" si="201"/>
        <v>4.4282142600858085</v>
      </c>
      <c r="AE307" s="339">
        <f t="shared" si="202"/>
        <v>-1.4969310677799565</v>
      </c>
      <c r="AF307" s="736" t="str">
        <f t="shared" si="174"/>
        <v>-0.572964861971005+0.0611721889619414i</v>
      </c>
      <c r="AG307" s="337">
        <f t="shared" si="203"/>
        <v>-4.7882166775390012</v>
      </c>
      <c r="AH307" s="730">
        <f t="shared" si="204"/>
        <v>173.9059411970633</v>
      </c>
      <c r="AI307" s="360">
        <f t="shared" si="175"/>
        <v>-6.0940588029367007</v>
      </c>
      <c r="AL307" s="337">
        <f t="shared" si="176"/>
        <v>12.924572522913076</v>
      </c>
      <c r="AM307" s="730">
        <f t="shared" si="177"/>
        <v>-85.767832405803276</v>
      </c>
      <c r="AN307" s="351"/>
      <c r="AO307" s="337">
        <f t="shared" si="178"/>
        <v>35.559141998287359</v>
      </c>
      <c r="AP307" s="730">
        <f t="shared" si="179"/>
        <v>-100.3262263971334</v>
      </c>
      <c r="AS307" s="351"/>
      <c r="AT307" s="351"/>
      <c r="AV307" s="405">
        <f t="shared" si="180"/>
        <v>0</v>
      </c>
      <c r="AW307" s="405">
        <f t="shared" si="205"/>
        <v>0</v>
      </c>
      <c r="AX307" s="405">
        <f t="shared" si="181"/>
        <v>0</v>
      </c>
      <c r="AY307" s="405">
        <f t="shared" si="182"/>
        <v>0</v>
      </c>
    </row>
    <row r="308" spans="2:51" ht="13.5" thickBot="1" x14ac:dyDescent="0.25">
      <c r="B308" s="345">
        <v>21258.25</v>
      </c>
      <c r="C308" s="728" t="str">
        <f t="shared" si="165"/>
        <v>2.16217503399043</v>
      </c>
      <c r="D308" s="728" t="str">
        <f t="shared" si="166"/>
        <v>1+16.2509587601893i</v>
      </c>
      <c r="E308" s="337">
        <f t="shared" si="184"/>
        <v>16.281697105196784</v>
      </c>
      <c r="F308" s="338">
        <f t="shared" si="185"/>
        <v>1.509338987809423</v>
      </c>
      <c r="G308" s="338" t="str">
        <f t="shared" si="167"/>
        <v>1+0.066784762028175i</v>
      </c>
      <c r="H308" s="337">
        <f t="shared" si="186"/>
        <v>1.0022276210717602</v>
      </c>
      <c r="I308" s="338">
        <f t="shared" si="187"/>
        <v>6.668573566939244E-2</v>
      </c>
      <c r="J308" s="340">
        <f t="shared" si="168"/>
        <v>1</v>
      </c>
      <c r="K308" s="338">
        <f t="shared" si="188"/>
        <v>1</v>
      </c>
      <c r="L308" s="339">
        <f t="shared" si="189"/>
        <v>0</v>
      </c>
      <c r="M308" s="731" t="str">
        <f t="shared" si="169"/>
        <v>0.979914969197222+0.313974547533163i</v>
      </c>
      <c r="N308" s="338">
        <f t="shared" si="190"/>
        <v>1.0289865710277499</v>
      </c>
      <c r="O308" s="339">
        <f t="shared" si="191"/>
        <v>0.31007480891774925</v>
      </c>
      <c r="P308" s="732" t="str">
        <f t="shared" si="183"/>
        <v>-0.0234022627794979-0.127209763301792i</v>
      </c>
      <c r="Q308" s="337">
        <f t="shared" si="192"/>
        <v>0.12934446173879507</v>
      </c>
      <c r="R308" s="339">
        <f t="shared" si="193"/>
        <v>-1.7527280610577789</v>
      </c>
      <c r="S308" s="731" t="str">
        <f t="shared" si="170"/>
        <v>6000</v>
      </c>
      <c r="T308" s="337" t="str">
        <f t="shared" si="171"/>
        <v>1+134905.219296914i</v>
      </c>
      <c r="U308" s="346">
        <f t="shared" si="194"/>
        <v>134905.21930062029</v>
      </c>
      <c r="V308" s="347">
        <f t="shared" si="195"/>
        <v>1.5707889141832483</v>
      </c>
      <c r="W308" s="340" t="str">
        <f t="shared" si="172"/>
        <v>1+1335.6952405635i</v>
      </c>
      <c r="X308" s="337">
        <f t="shared" si="196"/>
        <v>1335.6956149003356</v>
      </c>
      <c r="Y308" s="339">
        <f t="shared" si="197"/>
        <v>1.5700476531582812</v>
      </c>
      <c r="Z308" s="337" t="str">
        <f t="shared" si="173"/>
        <v>1+13.455067405635i</v>
      </c>
      <c r="AA308" s="346">
        <f t="shared" si="198"/>
        <v>13.492176951484938</v>
      </c>
      <c r="AB308" s="347">
        <f t="shared" si="199"/>
        <v>1.4966112764641508</v>
      </c>
      <c r="AC308" s="732" t="str">
        <f t="shared" si="200"/>
        <v>0.32308183860283-4.39112323265873i</v>
      </c>
      <c r="AD308" s="337">
        <f t="shared" si="201"/>
        <v>4.4029927457162854</v>
      </c>
      <c r="AE308" s="339">
        <f t="shared" si="202"/>
        <v>-1.4973525374891177</v>
      </c>
      <c r="AF308" s="736" t="str">
        <f t="shared" si="174"/>
        <v>-0.566154593141784+0.0616630555720641i</v>
      </c>
      <c r="AG308" s="337">
        <f t="shared" si="203"/>
        <v>-4.8900838442381298</v>
      </c>
      <c r="AH308" s="730">
        <f t="shared" si="204"/>
        <v>173.78409862591039</v>
      </c>
      <c r="AI308" s="360">
        <f t="shared" si="175"/>
        <v>-6.2159013740896114</v>
      </c>
      <c r="AL308" s="337">
        <f t="shared" si="176"/>
        <v>12.874959398502426</v>
      </c>
      <c r="AM308" s="730">
        <f t="shared" si="177"/>
        <v>-85.791980841330826</v>
      </c>
      <c r="AN308" s="351"/>
      <c r="AO308" s="337">
        <f t="shared" si="178"/>
        <v>35.506887955998877</v>
      </c>
      <c r="AP308" s="730">
        <f t="shared" si="179"/>
        <v>-100.42392053275881</v>
      </c>
      <c r="AS308" s="351"/>
      <c r="AT308" s="351"/>
      <c r="AV308" s="405">
        <f t="shared" si="180"/>
        <v>0</v>
      </c>
      <c r="AW308" s="405">
        <f t="shared" si="205"/>
        <v>0</v>
      </c>
      <c r="AX308" s="405">
        <f t="shared" si="181"/>
        <v>0</v>
      </c>
      <c r="AY308" s="405">
        <f t="shared" si="182"/>
        <v>0</v>
      </c>
    </row>
    <row r="309" spans="2:51" ht="13.5" thickBot="1" x14ac:dyDescent="0.25">
      <c r="B309" s="345">
        <v>21380</v>
      </c>
      <c r="C309" s="728" t="str">
        <f t="shared" si="165"/>
        <v>2.16217503399043</v>
      </c>
      <c r="D309" s="728" t="str">
        <f t="shared" si="166"/>
        <v>1+16.3440310605458i</v>
      </c>
      <c r="E309" s="337">
        <f t="shared" si="184"/>
        <v>16.374594691414071</v>
      </c>
      <c r="F309" s="338">
        <f t="shared" si="185"/>
        <v>1.5096880881131436</v>
      </c>
      <c r="G309" s="338" t="str">
        <f t="shared" si="167"/>
        <v>1+0.06716725093375i</v>
      </c>
      <c r="H309" s="337">
        <f t="shared" si="186"/>
        <v>1.00225318138582</v>
      </c>
      <c r="I309" s="338">
        <f t="shared" si="187"/>
        <v>6.7066516469437842E-2</v>
      </c>
      <c r="J309" s="340">
        <f t="shared" si="168"/>
        <v>1</v>
      </c>
      <c r="K309" s="338">
        <f t="shared" si="188"/>
        <v>1</v>
      </c>
      <c r="L309" s="339">
        <f t="shared" si="189"/>
        <v>0</v>
      </c>
      <c r="M309" s="731" t="str">
        <f t="shared" si="169"/>
        <v>0.979684248888889+0.315772738878274i</v>
      </c>
      <c r="N309" s="338">
        <f t="shared" si="190"/>
        <v>1.0293170794947848</v>
      </c>
      <c r="O309" s="339">
        <f t="shared" si="191"/>
        <v>0.31180686751090969</v>
      </c>
      <c r="P309" s="732" t="str">
        <f t="shared" si="183"/>
        <v>-0.0234775970723584-0.126410939425166i</v>
      </c>
      <c r="Q309" s="337">
        <f t="shared" si="192"/>
        <v>0.1285726377214258</v>
      </c>
      <c r="R309" s="339">
        <f t="shared" si="193"/>
        <v>-1.7544284391546139</v>
      </c>
      <c r="S309" s="731" t="str">
        <f t="shared" si="170"/>
        <v>6000</v>
      </c>
      <c r="T309" s="337" t="str">
        <f t="shared" si="171"/>
        <v>1+135677.846886175i</v>
      </c>
      <c r="U309" s="346">
        <f t="shared" si="194"/>
        <v>135677.84688986017</v>
      </c>
      <c r="V309" s="347">
        <f t="shared" si="195"/>
        <v>1.5707889563949167</v>
      </c>
      <c r="W309" s="340" t="str">
        <f t="shared" si="172"/>
        <v>1+1343.345018675i</v>
      </c>
      <c r="X309" s="337">
        <f t="shared" si="196"/>
        <v>1343.3453908801475</v>
      </c>
      <c r="Y309" s="339">
        <f t="shared" si="197"/>
        <v>1.5700519165344031</v>
      </c>
      <c r="Z309" s="337" t="str">
        <f t="shared" si="173"/>
        <v>1+13.5321271098269i</v>
      </c>
      <c r="AA309" s="346">
        <f t="shared" si="198"/>
        <v>13.569025908904152</v>
      </c>
      <c r="AB309" s="347">
        <f t="shared" si="199"/>
        <v>1.4970321936423852</v>
      </c>
      <c r="AC309" s="732" t="str">
        <f t="shared" si="200"/>
        <v>0.319432616626865-4.36638732555462i</v>
      </c>
      <c r="AD309" s="337">
        <f t="shared" si="201"/>
        <v>4.378056129531589</v>
      </c>
      <c r="AE309" s="339">
        <f t="shared" si="202"/>
        <v>-1.4977692335028983</v>
      </c>
      <c r="AF309" s="736" t="str">
        <f t="shared" si="174"/>
        <v>-0.559458633982432+0.0621325051403831i</v>
      </c>
      <c r="AG309" s="337">
        <f t="shared" si="203"/>
        <v>-4.9914024213182975</v>
      </c>
      <c r="AH309" s="730">
        <f t="shared" si="204"/>
        <v>173.66279921445567</v>
      </c>
      <c r="AI309" s="360">
        <f t="shared" si="175"/>
        <v>-6.3372007855443258</v>
      </c>
      <c r="AL309" s="337">
        <f t="shared" si="176"/>
        <v>12.825626504115542</v>
      </c>
      <c r="AM309" s="730">
        <f t="shared" si="177"/>
        <v>-85.815855764260377</v>
      </c>
      <c r="AN309" s="351"/>
      <c r="AO309" s="337">
        <f t="shared" si="178"/>
        <v>35.454902273305592</v>
      </c>
      <c r="AP309" s="730">
        <f t="shared" si="179"/>
        <v>-100.52134502128391</v>
      </c>
      <c r="AS309" s="351"/>
      <c r="AT309" s="351"/>
      <c r="AV309" s="405">
        <f t="shared" si="180"/>
        <v>0</v>
      </c>
      <c r="AW309" s="405">
        <f t="shared" si="205"/>
        <v>0</v>
      </c>
      <c r="AX309" s="405">
        <f t="shared" si="181"/>
        <v>0</v>
      </c>
      <c r="AY309" s="405">
        <f t="shared" si="182"/>
        <v>0</v>
      </c>
    </row>
    <row r="310" spans="2:51" ht="13.5" thickBot="1" x14ac:dyDescent="0.25">
      <c r="B310" s="345">
        <v>21504.5</v>
      </c>
      <c r="C310" s="728" t="str">
        <f t="shared" si="165"/>
        <v>2.16217503399043</v>
      </c>
      <c r="D310" s="728" t="str">
        <f t="shared" si="166"/>
        <v>1+16.4392056099862i</v>
      </c>
      <c r="E310" s="337">
        <f t="shared" si="184"/>
        <v>16.469592620565994</v>
      </c>
      <c r="F310" s="338">
        <f t="shared" si="185"/>
        <v>1.51004100092312</v>
      </c>
      <c r="G310" s="338" t="str">
        <f t="shared" si="167"/>
        <v>1+0.0675583792191215i</v>
      </c>
      <c r="H310" s="337">
        <f t="shared" si="186"/>
        <v>1.0022794693111869</v>
      </c>
      <c r="I310" s="338">
        <f t="shared" si="187"/>
        <v>6.745587792543413E-2</v>
      </c>
      <c r="J310" s="340">
        <f t="shared" si="168"/>
        <v>1</v>
      </c>
      <c r="K310" s="338">
        <f t="shared" si="188"/>
        <v>1</v>
      </c>
      <c r="L310" s="339">
        <f t="shared" si="189"/>
        <v>0</v>
      </c>
      <c r="M310" s="731" t="str">
        <f t="shared" si="169"/>
        <v>0.979446954655556+0.317611546454996i</v>
      </c>
      <c r="N310" s="338">
        <f t="shared" si="190"/>
        <v>1.0296569484180531</v>
      </c>
      <c r="O310" s="339">
        <f t="shared" si="191"/>
        <v>0.31357730142866697</v>
      </c>
      <c r="P310" s="732" t="str">
        <f t="shared" si="183"/>
        <v>-0.0235529126323051-0.125602949827498i</v>
      </c>
      <c r="Q310" s="337">
        <f t="shared" si="192"/>
        <v>0.12779217776857071</v>
      </c>
      <c r="R310" s="339">
        <f t="shared" si="193"/>
        <v>-1.7561624244263527</v>
      </c>
      <c r="S310" s="731" t="str">
        <f t="shared" si="170"/>
        <v>6000</v>
      </c>
      <c r="T310" s="337" t="str">
        <f t="shared" si="171"/>
        <v>1+136467.926022625i</v>
      </c>
      <c r="U310" s="346">
        <f t="shared" si="194"/>
        <v>136467.92602628889</v>
      </c>
      <c r="V310" s="347">
        <f t="shared" si="195"/>
        <v>1.5707889990657435</v>
      </c>
      <c r="W310" s="340" t="str">
        <f t="shared" si="172"/>
        <v>1+1351.16758438243i</v>
      </c>
      <c r="X310" s="337">
        <f t="shared" si="196"/>
        <v>1351.1679544327017</v>
      </c>
      <c r="Y310" s="339">
        <f t="shared" si="197"/>
        <v>1.5700562262855478</v>
      </c>
      <c r="Z310" s="337" t="str">
        <f t="shared" si="173"/>
        <v>1+13.6109273822858i</v>
      </c>
      <c r="AA310" s="346">
        <f t="shared" si="198"/>
        <v>13.647613132187525</v>
      </c>
      <c r="AB310" s="347">
        <f t="shared" si="199"/>
        <v>1.4974577159744002</v>
      </c>
      <c r="AC310" s="732" t="str">
        <f t="shared" si="200"/>
        <v>0.315764422654541-4.34137769093478i</v>
      </c>
      <c r="AD310" s="337">
        <f t="shared" si="201"/>
        <v>4.3528458996340031</v>
      </c>
      <c r="AE310" s="339">
        <f t="shared" si="202"/>
        <v>-1.498190488754596</v>
      </c>
      <c r="AF310" s="736" t="str">
        <f t="shared" si="174"/>
        <v>-0.552727016155873+0.0625911465224381i</v>
      </c>
      <c r="AG310" s="337">
        <f t="shared" si="203"/>
        <v>-5.0944487265959806</v>
      </c>
      <c r="AH310" s="730">
        <f t="shared" si="204"/>
        <v>173.53931302862722</v>
      </c>
      <c r="AI310" s="360">
        <f t="shared" si="175"/>
        <v>-6.4606869713727804</v>
      </c>
      <c r="AL310" s="337">
        <f t="shared" si="176"/>
        <v>12.775465848899204</v>
      </c>
      <c r="AM310" s="730">
        <f t="shared" si="177"/>
        <v>-85.839991912280382</v>
      </c>
      <c r="AN310" s="351"/>
      <c r="AO310" s="337">
        <f t="shared" si="178"/>
        <v>35.402016623244236</v>
      </c>
      <c r="AP310" s="730">
        <f t="shared" si="179"/>
        <v>-100.62069505909245</v>
      </c>
      <c r="AS310" s="351"/>
      <c r="AT310" s="351"/>
      <c r="AV310" s="405">
        <f t="shared" si="180"/>
        <v>0</v>
      </c>
      <c r="AW310" s="405">
        <f t="shared" si="205"/>
        <v>0</v>
      </c>
      <c r="AX310" s="405">
        <f t="shared" si="181"/>
        <v>0</v>
      </c>
      <c r="AY310" s="405">
        <f t="shared" si="182"/>
        <v>0</v>
      </c>
    </row>
    <row r="311" spans="2:51" ht="13.5" thickBot="1" x14ac:dyDescent="0.25">
      <c r="B311" s="345">
        <v>21629</v>
      </c>
      <c r="C311" s="728" t="str">
        <f t="shared" si="165"/>
        <v>2.16217503399043</v>
      </c>
      <c r="D311" s="728" t="str">
        <f t="shared" si="166"/>
        <v>1+16.5343801594268i</v>
      </c>
      <c r="E311" s="337">
        <f t="shared" si="184"/>
        <v>16.564592577435963</v>
      </c>
      <c r="F311" s="338">
        <f t="shared" si="185"/>
        <v>1.5103898657801962</v>
      </c>
      <c r="G311" s="338" t="str">
        <f t="shared" si="167"/>
        <v>1+0.0679495075044935i</v>
      </c>
      <c r="H311" s="337">
        <f t="shared" si="186"/>
        <v>1.0023059091764865</v>
      </c>
      <c r="I311" s="338">
        <f t="shared" si="187"/>
        <v>6.7845218898492335E-2</v>
      </c>
      <c r="J311" s="340">
        <f t="shared" si="168"/>
        <v>1</v>
      </c>
      <c r="K311" s="338">
        <f t="shared" si="188"/>
        <v>1</v>
      </c>
      <c r="L311" s="339">
        <f t="shared" si="189"/>
        <v>0</v>
      </c>
      <c r="M311" s="731" t="str">
        <f t="shared" si="169"/>
        <v>0.979208282622222+0.319450354031719i</v>
      </c>
      <c r="N311" s="338">
        <f t="shared" si="190"/>
        <v>1.0299987327404592</v>
      </c>
      <c r="O311" s="339">
        <f t="shared" si="191"/>
        <v>0.31534697629533287</v>
      </c>
      <c r="P311" s="732" t="str">
        <f t="shared" si="183"/>
        <v>-0.0236265263911344-0.124803786757191i</v>
      </c>
      <c r="Q311" s="337">
        <f t="shared" si="192"/>
        <v>0.12702046267529249</v>
      </c>
      <c r="R311" s="339">
        <f t="shared" si="193"/>
        <v>-1.7578916231770367</v>
      </c>
      <c r="S311" s="731" t="str">
        <f t="shared" si="170"/>
        <v>6000</v>
      </c>
      <c r="T311" s="337" t="str">
        <f t="shared" si="171"/>
        <v>1+137258.005159077i</v>
      </c>
      <c r="U311" s="346">
        <f t="shared" si="194"/>
        <v>137258.00516271978</v>
      </c>
      <c r="V311" s="347">
        <f t="shared" si="195"/>
        <v>1.57078904124533</v>
      </c>
      <c r="W311" s="340" t="str">
        <f t="shared" si="172"/>
        <v>1+1358.99015008987i</v>
      </c>
      <c r="X311" s="337">
        <f t="shared" si="196"/>
        <v>1358.9905180100732</v>
      </c>
      <c r="Y311" s="339">
        <f t="shared" si="197"/>
        <v>1.5700604864214791</v>
      </c>
      <c r="Z311" s="337" t="str">
        <f t="shared" si="173"/>
        <v>1+13.6897276547449i</v>
      </c>
      <c r="AA311" s="346">
        <f t="shared" si="198"/>
        <v>13.726202798337466</v>
      </c>
      <c r="AB311" s="347">
        <f t="shared" si="199"/>
        <v>1.4978783657075276</v>
      </c>
      <c r="AC311" s="732" t="str">
        <f t="shared" si="200"/>
        <v>0.312158942056433-4.31665139421844i</v>
      </c>
      <c r="AD311" s="337">
        <f t="shared" si="201"/>
        <v>4.3279235742228392</v>
      </c>
      <c r="AE311" s="339">
        <f t="shared" si="202"/>
        <v>-1.4986069205313786</v>
      </c>
      <c r="AF311" s="736" t="str">
        <f t="shared" si="174"/>
        <v>-0.546109671591894+0.0630288600480677i</v>
      </c>
      <c r="AG311" s="337">
        <f t="shared" si="203"/>
        <v>-5.1969345320485463</v>
      </c>
      <c r="AH311" s="730">
        <f t="shared" si="204"/>
        <v>173.41637745500896</v>
      </c>
      <c r="AI311" s="360">
        <f t="shared" si="175"/>
        <v>-6.5836225449910444</v>
      </c>
      <c r="AL311" s="337">
        <f t="shared" si="176"/>
        <v>12.725591661256985</v>
      </c>
      <c r="AM311" s="730">
        <f t="shared" si="177"/>
        <v>-85.863851695545151</v>
      </c>
      <c r="AN311" s="351"/>
      <c r="AO311" s="337">
        <f t="shared" si="178"/>
        <v>35.349405005433908</v>
      </c>
      <c r="AP311" s="730">
        <f t="shared" si="179"/>
        <v>-100.71977084944594</v>
      </c>
      <c r="AS311" s="351"/>
      <c r="AT311" s="351"/>
      <c r="AV311" s="405">
        <f t="shared" si="180"/>
        <v>0</v>
      </c>
      <c r="AW311" s="405">
        <f t="shared" si="205"/>
        <v>0</v>
      </c>
      <c r="AX311" s="405">
        <f t="shared" si="181"/>
        <v>0</v>
      </c>
      <c r="AY311" s="405">
        <f t="shared" si="182"/>
        <v>0</v>
      </c>
    </row>
    <row r="312" spans="2:51" ht="13.5" thickBot="1" x14ac:dyDescent="0.25">
      <c r="B312" s="345">
        <v>21753.5</v>
      </c>
      <c r="C312" s="728" t="str">
        <f t="shared" si="165"/>
        <v>2.16217503399043</v>
      </c>
      <c r="D312" s="728" t="str">
        <f t="shared" si="166"/>
        <v>1+16.6295547088673i</v>
      </c>
      <c r="E312" s="337">
        <f t="shared" si="184"/>
        <v>16.659594527335006</v>
      </c>
      <c r="F312" s="338">
        <f t="shared" si="185"/>
        <v>1.5107347518495178</v>
      </c>
      <c r="G312" s="338" t="str">
        <f t="shared" si="167"/>
        <v>1+0.0683406357898655i</v>
      </c>
      <c r="H312" s="337">
        <f t="shared" si="186"/>
        <v>1.0023325009696948</v>
      </c>
      <c r="I312" s="338">
        <f t="shared" si="187"/>
        <v>6.8234539272199995E-2</v>
      </c>
      <c r="J312" s="340">
        <f t="shared" si="168"/>
        <v>1</v>
      </c>
      <c r="K312" s="338">
        <f t="shared" si="188"/>
        <v>1</v>
      </c>
      <c r="L312" s="339">
        <f t="shared" si="189"/>
        <v>0</v>
      </c>
      <c r="M312" s="731" t="str">
        <f t="shared" si="169"/>
        <v>0.978968232788889+0.321289161608443i</v>
      </c>
      <c r="N312" s="338">
        <f t="shared" si="190"/>
        <v>1.0303424315133569</v>
      </c>
      <c r="O312" s="339">
        <f t="shared" si="191"/>
        <v>0.31711588853869266</v>
      </c>
      <c r="P312" s="732" t="str">
        <f t="shared" si="183"/>
        <v>-0.0236984753078162-0.124013302343226i</v>
      </c>
      <c r="Q312" s="337">
        <f t="shared" si="192"/>
        <v>0.1262573439051668</v>
      </c>
      <c r="R312" s="339">
        <f t="shared" si="193"/>
        <v>-1.759616101116011</v>
      </c>
      <c r="S312" s="731" t="str">
        <f t="shared" si="170"/>
        <v>6000</v>
      </c>
      <c r="T312" s="337" t="str">
        <f t="shared" si="171"/>
        <v>1+138048.084295528i</v>
      </c>
      <c r="U312" s="346">
        <f t="shared" si="194"/>
        <v>138048.08429914995</v>
      </c>
      <c r="V312" s="347">
        <f t="shared" si="195"/>
        <v>1.5707890829421109</v>
      </c>
      <c r="W312" s="340" t="str">
        <f t="shared" si="172"/>
        <v>1+1366.81271579731i</v>
      </c>
      <c r="X312" s="337">
        <f t="shared" si="196"/>
        <v>1366.8130816118266</v>
      </c>
      <c r="Y312" s="339">
        <f t="shared" si="197"/>
        <v>1.5700646977940722</v>
      </c>
      <c r="Z312" s="337" t="str">
        <f t="shared" si="173"/>
        <v>1+13.7685279272039i</v>
      </c>
      <c r="AA312" s="346">
        <f t="shared" si="198"/>
        <v>13.804794865632511</v>
      </c>
      <c r="AB312" s="347">
        <f t="shared" si="199"/>
        <v>1.4982942259121828</v>
      </c>
      <c r="AC312" s="732" t="str">
        <f t="shared" si="200"/>
        <v>0.30861475586158-4.29220367365173i</v>
      </c>
      <c r="AD312" s="337">
        <f t="shared" si="201"/>
        <v>4.3032842624726646</v>
      </c>
      <c r="AE312" s="339">
        <f t="shared" si="202"/>
        <v>-1.4990186110602217</v>
      </c>
      <c r="AF312" s="736" t="str">
        <f t="shared" si="174"/>
        <v>-0.539604051070691+0.0634463477499105i</v>
      </c>
      <c r="AG312" s="337">
        <f t="shared" si="203"/>
        <v>-5.2988663193544028</v>
      </c>
      <c r="AH312" s="730">
        <f t="shared" si="204"/>
        <v>173.29398401747412</v>
      </c>
      <c r="AI312" s="360">
        <f t="shared" si="175"/>
        <v>-6.7060159825258836</v>
      </c>
      <c r="AL312" s="337">
        <f t="shared" si="176"/>
        <v>12.676000705270475</v>
      </c>
      <c r="AM312" s="730">
        <f t="shared" si="177"/>
        <v>-85.887439825313365</v>
      </c>
      <c r="AN312" s="351"/>
      <c r="AO312" s="337">
        <f t="shared" si="178"/>
        <v>35.297064174114546</v>
      </c>
      <c r="AP312" s="730">
        <f t="shared" si="179"/>
        <v>-100.8185761572125</v>
      </c>
      <c r="AS312" s="351"/>
      <c r="AT312" s="351"/>
      <c r="AV312" s="405">
        <f t="shared" si="180"/>
        <v>0</v>
      </c>
      <c r="AW312" s="405">
        <f t="shared" si="205"/>
        <v>0</v>
      </c>
      <c r="AX312" s="405">
        <f t="shared" si="181"/>
        <v>0</v>
      </c>
      <c r="AY312" s="405">
        <f t="shared" si="182"/>
        <v>0</v>
      </c>
    </row>
    <row r="313" spans="2:51" ht="13.5" thickBot="1" x14ac:dyDescent="0.25">
      <c r="B313" s="345">
        <v>21878</v>
      </c>
      <c r="C313" s="728" t="str">
        <f t="shared" si="165"/>
        <v>2.16217503399043</v>
      </c>
      <c r="D313" s="728" t="str">
        <f t="shared" si="166"/>
        <v>1+16.7247292583078i</v>
      </c>
      <c r="E313" s="337">
        <f t="shared" si="184"/>
        <v>16.754598436360599</v>
      </c>
      <c r="F313" s="338">
        <f t="shared" si="185"/>
        <v>1.5110757267313146</v>
      </c>
      <c r="G313" s="338" t="str">
        <f t="shared" si="167"/>
        <v>1+0.0687317640752375i</v>
      </c>
      <c r="H313" s="337">
        <f t="shared" si="186"/>
        <v>1.00235924467872</v>
      </c>
      <c r="I313" s="338">
        <f t="shared" si="187"/>
        <v>6.8623838930182396E-2</v>
      </c>
      <c r="J313" s="340">
        <f t="shared" si="168"/>
        <v>1</v>
      </c>
      <c r="K313" s="338">
        <f t="shared" si="188"/>
        <v>1</v>
      </c>
      <c r="L313" s="339">
        <f t="shared" si="189"/>
        <v>0</v>
      </c>
      <c r="M313" s="731" t="str">
        <f t="shared" si="169"/>
        <v>0.978726805155556+0.323127969185167i</v>
      </c>
      <c r="N313" s="338">
        <f t="shared" si="190"/>
        <v>1.030688043784215</v>
      </c>
      <c r="O313" s="339">
        <f t="shared" si="191"/>
        <v>0.31888403459936243</v>
      </c>
      <c r="P313" s="732" t="str">
        <f t="shared" si="183"/>
        <v>-0.0237687953108024-0.123231352022987i</v>
      </c>
      <c r="Q313" s="337">
        <f t="shared" si="192"/>
        <v>0.12550267627401482</v>
      </c>
      <c r="R313" s="339">
        <f t="shared" si="193"/>
        <v>-1.761335922400495</v>
      </c>
      <c r="S313" s="731" t="str">
        <f t="shared" si="170"/>
        <v>6000</v>
      </c>
      <c r="T313" s="337" t="str">
        <f t="shared" si="171"/>
        <v>1+138838.16343198i</v>
      </c>
      <c r="U313" s="346">
        <f t="shared" si="194"/>
        <v>138838.16343558131</v>
      </c>
      <c r="V313" s="347">
        <f t="shared" si="195"/>
        <v>1.5707891241643284</v>
      </c>
      <c r="W313" s="340" t="str">
        <f t="shared" si="172"/>
        <v>1+1374.63528150475i</v>
      </c>
      <c r="X313" s="337">
        <f t="shared" si="196"/>
        <v>1374.6356452375455</v>
      </c>
      <c r="Y313" s="339">
        <f t="shared" si="197"/>
        <v>1.5700688612358116</v>
      </c>
      <c r="Z313" s="337" t="str">
        <f t="shared" si="173"/>
        <v>1+13.8473281996629i</v>
      </c>
      <c r="AA313" s="346">
        <f t="shared" si="198"/>
        <v>13.883389293295041</v>
      </c>
      <c r="AB313" s="347">
        <f t="shared" si="199"/>
        <v>1.498705377784435</v>
      </c>
      <c r="AC313" s="732" t="str">
        <f t="shared" si="200"/>
        <v>0.305130484935849-4.26802987299368i</v>
      </c>
      <c r="AD313" s="337">
        <f t="shared" si="201"/>
        <v>4.2789231834193568</v>
      </c>
      <c r="AE313" s="339">
        <f t="shared" si="202"/>
        <v>-1.4994256407129516</v>
      </c>
      <c r="AF313" s="736" t="str">
        <f t="shared" si="174"/>
        <v>-0.533207675763035+0.0638442862295024i</v>
      </c>
      <c r="AG313" s="337">
        <f t="shared" si="203"/>
        <v>-5.4002504607268005</v>
      </c>
      <c r="AH313" s="730">
        <f t="shared" si="204"/>
        <v>173.17212443511829</v>
      </c>
      <c r="AI313" s="360">
        <f t="shared" si="175"/>
        <v>-6.8278755648817082</v>
      </c>
      <c r="AL313" s="337">
        <f t="shared" si="176"/>
        <v>12.626689799243769</v>
      </c>
      <c r="AM313" s="730">
        <f t="shared" si="177"/>
        <v>-85.910760906551474</v>
      </c>
      <c r="AN313" s="351"/>
      <c r="AO313" s="337">
        <f t="shared" si="178"/>
        <v>35.244990938768865</v>
      </c>
      <c r="AP313" s="730">
        <f t="shared" si="179"/>
        <v>-100.91711465833023</v>
      </c>
      <c r="AS313" s="351"/>
      <c r="AT313" s="351"/>
      <c r="AV313" s="405">
        <f t="shared" si="180"/>
        <v>0</v>
      </c>
      <c r="AW313" s="405">
        <f t="shared" si="205"/>
        <v>0</v>
      </c>
      <c r="AX313" s="405">
        <f t="shared" si="181"/>
        <v>0</v>
      </c>
      <c r="AY313" s="405">
        <f t="shared" si="182"/>
        <v>0</v>
      </c>
    </row>
    <row r="314" spans="2:51" ht="13.5" thickBot="1" x14ac:dyDescent="0.25">
      <c r="B314" s="345">
        <v>22005.25</v>
      </c>
      <c r="C314" s="728" t="str">
        <f t="shared" si="165"/>
        <v>2.16217503399043</v>
      </c>
      <c r="D314" s="728" t="str">
        <f t="shared" si="166"/>
        <v>1+16.8220060568324i</v>
      </c>
      <c r="E314" s="337">
        <f t="shared" si="184"/>
        <v>16.851702815327176</v>
      </c>
      <c r="F314" s="338">
        <f t="shared" si="185"/>
        <v>1.5114202602366007</v>
      </c>
      <c r="G314" s="338" t="str">
        <f t="shared" si="167"/>
        <v>1+0.069131531740407i</v>
      </c>
      <c r="H314" s="337">
        <f t="shared" si="186"/>
        <v>1.0023867360858159</v>
      </c>
      <c r="I314" s="338">
        <f t="shared" si="187"/>
        <v>6.9021716048346018E-2</v>
      </c>
      <c r="J314" s="340">
        <f t="shared" si="168"/>
        <v>1</v>
      </c>
      <c r="K314" s="338">
        <f t="shared" si="188"/>
        <v>1</v>
      </c>
      <c r="L314" s="339">
        <f t="shared" si="189"/>
        <v>0</v>
      </c>
      <c r="M314" s="731" t="str">
        <f t="shared" si="169"/>
        <v>0.978478620997222+0.325007392993505i</v>
      </c>
      <c r="N314" s="338">
        <f t="shared" si="190"/>
        <v>1.0310432664292317</v>
      </c>
      <c r="O314" s="339">
        <f t="shared" si="191"/>
        <v>0.32069044064814145</v>
      </c>
      <c r="P314" s="732" t="str">
        <f t="shared" si="183"/>
        <v>-0.0238390216444603-0.122440801518648i</v>
      </c>
      <c r="Q314" s="337">
        <f t="shared" si="192"/>
        <v>0.12473992476145719</v>
      </c>
      <c r="R314" s="339">
        <f t="shared" si="193"/>
        <v>-1.7630889848363964</v>
      </c>
      <c r="S314" s="731" t="str">
        <f t="shared" si="170"/>
        <v>6000</v>
      </c>
      <c r="T314" s="337" t="str">
        <f t="shared" si="171"/>
        <v>1+139645.694115622i</v>
      </c>
      <c r="U314" s="346">
        <f t="shared" si="194"/>
        <v>139645.6941192025</v>
      </c>
      <c r="V314" s="347">
        <f t="shared" si="195"/>
        <v>1.570789165815059</v>
      </c>
      <c r="W314" s="340" t="str">
        <f t="shared" si="172"/>
        <v>1+1382.63063480814i</v>
      </c>
      <c r="X314" s="337">
        <f t="shared" si="196"/>
        <v>1382.6309964375746</v>
      </c>
      <c r="Y314" s="339">
        <f t="shared" si="197"/>
        <v>1.5700730679573902</v>
      </c>
      <c r="Z314" s="337" t="str">
        <f t="shared" si="173"/>
        <v>1+13.9278690403891i</v>
      </c>
      <c r="AA314" s="346">
        <f t="shared" si="198"/>
        <v>13.963722140111107</v>
      </c>
      <c r="AB314" s="347">
        <f t="shared" si="199"/>
        <v>1.4991208284617081</v>
      </c>
      <c r="AC314" s="732" t="str">
        <f t="shared" si="200"/>
        <v>0.3016297718724-4.24360043560313i</v>
      </c>
      <c r="AD314" s="337">
        <f t="shared" si="201"/>
        <v>4.254306662234268</v>
      </c>
      <c r="AE314" s="339">
        <f t="shared" si="202"/>
        <v>-1.4998369263193774</v>
      </c>
      <c r="AF314" s="736" t="str">
        <f t="shared" si="174"/>
        <v>-0.526780397320411+0.0642314916048406i</v>
      </c>
      <c r="AG314" s="337">
        <f t="shared" si="203"/>
        <v>-5.5033146077676367</v>
      </c>
      <c r="AH314" s="730">
        <f t="shared" si="204"/>
        <v>173.04811642689555</v>
      </c>
      <c r="AI314" s="360">
        <f t="shared" si="175"/>
        <v>-6.9518835731044533</v>
      </c>
      <c r="AL314" s="337">
        <f t="shared" si="176"/>
        <v>12.576575836938254</v>
      </c>
      <c r="AM314" s="730">
        <f t="shared" si="177"/>
        <v>-85.93432583597415</v>
      </c>
      <c r="AN314" s="351"/>
      <c r="AO314" s="337">
        <f t="shared" si="178"/>
        <v>35.192040754033542</v>
      </c>
      <c r="AP314" s="730">
        <f t="shared" si="179"/>
        <v>-101.01755773713028</v>
      </c>
      <c r="AS314" s="351"/>
      <c r="AT314" s="351"/>
      <c r="AV314" s="405">
        <f t="shared" si="180"/>
        <v>0</v>
      </c>
      <c r="AW314" s="405">
        <f t="shared" si="205"/>
        <v>0</v>
      </c>
      <c r="AX314" s="405">
        <f t="shared" si="181"/>
        <v>0</v>
      </c>
      <c r="AY314" s="405">
        <f t="shared" si="182"/>
        <v>0</v>
      </c>
    </row>
    <row r="315" spans="2:51" ht="13.5" thickBot="1" x14ac:dyDescent="0.25">
      <c r="B315" s="345">
        <v>22132.5</v>
      </c>
      <c r="C315" s="728" t="str">
        <f t="shared" si="165"/>
        <v>2.16217503399043</v>
      </c>
      <c r="D315" s="728" t="str">
        <f t="shared" si="166"/>
        <v>1+16.9192828553568i</v>
      </c>
      <c r="E315" s="337">
        <f t="shared" si="184"/>
        <v>16.948809171725621</v>
      </c>
      <c r="F315" s="338">
        <f t="shared" si="185"/>
        <v>1.5117608458475331</v>
      </c>
      <c r="G315" s="338" t="str">
        <f t="shared" si="167"/>
        <v>1+0.069531299405576i</v>
      </c>
      <c r="H315" s="337">
        <f t="shared" si="186"/>
        <v>1.0024143861682293</v>
      </c>
      <c r="I315" s="338">
        <f t="shared" si="187"/>
        <v>6.9419571279813977E-2</v>
      </c>
      <c r="J315" s="340">
        <f t="shared" si="168"/>
        <v>1</v>
      </c>
      <c r="K315" s="338">
        <f t="shared" si="188"/>
        <v>1</v>
      </c>
      <c r="L315" s="339">
        <f t="shared" si="189"/>
        <v>0</v>
      </c>
      <c r="M315" s="731" t="str">
        <f t="shared" si="169"/>
        <v>0.9782289975+0.326886816801842i</v>
      </c>
      <c r="N315" s="338">
        <f t="shared" si="190"/>
        <v>1.0314004860134089</v>
      </c>
      <c r="O315" s="339">
        <f t="shared" si="191"/>
        <v>0.32249603881528921</v>
      </c>
      <c r="P315" s="732" t="str">
        <f t="shared" si="183"/>
        <v>-0.023907619058751-0.121658871088607i</v>
      </c>
      <c r="Q315" s="337">
        <f t="shared" si="192"/>
        <v>0.12398570548096524</v>
      </c>
      <c r="R315" s="339">
        <f t="shared" si="193"/>
        <v>-1.7648373133830075</v>
      </c>
      <c r="S315" s="731" t="str">
        <f t="shared" si="170"/>
        <v>6000</v>
      </c>
      <c r="T315" s="337" t="str">
        <f t="shared" si="171"/>
        <v>1+140453.224799264i</v>
      </c>
      <c r="U315" s="346">
        <f t="shared" si="194"/>
        <v>140453.22480282391</v>
      </c>
      <c r="V315" s="347">
        <f t="shared" si="195"/>
        <v>1.5707892069868508</v>
      </c>
      <c r="W315" s="340" t="str">
        <f t="shared" si="172"/>
        <v>1+1390.62598811152i</v>
      </c>
      <c r="X315" s="337">
        <f t="shared" si="196"/>
        <v>1390.6263476617796</v>
      </c>
      <c r="Y315" s="339">
        <f t="shared" si="197"/>
        <v>1.5700772263062099</v>
      </c>
      <c r="Z315" s="337" t="str">
        <f t="shared" si="173"/>
        <v>1+14.0084098811152i</v>
      </c>
      <c r="AA315" s="346">
        <f t="shared" si="198"/>
        <v>14.044057369482864</v>
      </c>
      <c r="AB315" s="347">
        <f t="shared" si="199"/>
        <v>1.4995315262628648</v>
      </c>
      <c r="AC315" s="732" t="str">
        <f t="shared" si="200"/>
        <v>0.298188858532714-4.21944764168763i</v>
      </c>
      <c r="AD315" s="337">
        <f t="shared" si="201"/>
        <v>4.2299710396522041</v>
      </c>
      <c r="AE315" s="339">
        <f t="shared" si="202"/>
        <v>-1.5002435069435056</v>
      </c>
      <c r="AF315" s="736" t="str">
        <f t="shared" si="174"/>
        <v>-0.520462222342566+0.0645996269555228i</v>
      </c>
      <c r="AG315" s="337">
        <f t="shared" si="203"/>
        <v>-5.6058197696871304</v>
      </c>
      <c r="AH315" s="730">
        <f t="shared" si="204"/>
        <v>172.92464922617813</v>
      </c>
      <c r="AI315" s="360">
        <f t="shared" si="175"/>
        <v>-7.0753507738218673</v>
      </c>
      <c r="AL315" s="337">
        <f t="shared" si="176"/>
        <v>12.52674788006682</v>
      </c>
      <c r="AM315" s="730">
        <f t="shared" si="177"/>
        <v>-85.957621189768489</v>
      </c>
      <c r="AN315" s="351"/>
      <c r="AO315" s="337">
        <f t="shared" si="178"/>
        <v>35.139363548985479</v>
      </c>
      <c r="AP315" s="730">
        <f t="shared" si="179"/>
        <v>-101.11772958405338</v>
      </c>
      <c r="AS315" s="351"/>
      <c r="AT315" s="351"/>
      <c r="AV315" s="405">
        <f t="shared" si="180"/>
        <v>0</v>
      </c>
      <c r="AW315" s="405">
        <f t="shared" si="205"/>
        <v>0</v>
      </c>
      <c r="AX315" s="405">
        <f t="shared" si="181"/>
        <v>0</v>
      </c>
      <c r="AY315" s="405">
        <f t="shared" si="182"/>
        <v>0</v>
      </c>
    </row>
    <row r="316" spans="2:51" ht="13.5" thickBot="1" x14ac:dyDescent="0.25">
      <c r="B316" s="345">
        <v>22259.75</v>
      </c>
      <c r="C316" s="728" t="str">
        <f t="shared" si="165"/>
        <v>2.16217503399043</v>
      </c>
      <c r="D316" s="728" t="str">
        <f t="shared" si="166"/>
        <v>1+17.0165596538814i</v>
      </c>
      <c r="E316" s="337">
        <f t="shared" si="184"/>
        <v>17.045917471761513</v>
      </c>
      <c r="F316" s="338">
        <f t="shared" si="185"/>
        <v>1.5120975509562851</v>
      </c>
      <c r="G316" s="338" t="str">
        <f t="shared" si="167"/>
        <v>1+0.0699310670707455i</v>
      </c>
      <c r="H316" s="337">
        <f t="shared" si="186"/>
        <v>1.0024421949128304</v>
      </c>
      <c r="I316" s="338">
        <f t="shared" si="187"/>
        <v>6.9817404500451569E-2</v>
      </c>
      <c r="J316" s="340">
        <f t="shared" si="168"/>
        <v>1</v>
      </c>
      <c r="K316" s="338">
        <f t="shared" si="188"/>
        <v>1</v>
      </c>
      <c r="L316" s="339">
        <f t="shared" si="189"/>
        <v>0</v>
      </c>
      <c r="M316" s="731" t="str">
        <f t="shared" si="169"/>
        <v>0.977977934663889+0.32876624061018i</v>
      </c>
      <c r="N316" s="338">
        <f t="shared" si="190"/>
        <v>1.0317597015072826</v>
      </c>
      <c r="O316" s="339">
        <f t="shared" si="191"/>
        <v>0.32430082534210369</v>
      </c>
      <c r="P316" s="732" t="str">
        <f t="shared" si="183"/>
        <v>-0.0239746227988284-0.120885416506699i</v>
      </c>
      <c r="Q316" s="337">
        <f t="shared" si="192"/>
        <v>0.12323987367059493</v>
      </c>
      <c r="R316" s="339">
        <f t="shared" si="193"/>
        <v>-1.7665809717979373</v>
      </c>
      <c r="S316" s="731" t="str">
        <f t="shared" si="170"/>
        <v>6000</v>
      </c>
      <c r="T316" s="337" t="str">
        <f t="shared" si="171"/>
        <v>1+141260.755482906i</v>
      </c>
      <c r="U316" s="346">
        <f t="shared" si="194"/>
        <v>141260.75548644556</v>
      </c>
      <c r="V316" s="347">
        <f t="shared" si="195"/>
        <v>1.5707892476879177</v>
      </c>
      <c r="W316" s="340" t="str">
        <f t="shared" si="172"/>
        <v>1+1398.62134141491i</v>
      </c>
      <c r="X316" s="337">
        <f t="shared" si="196"/>
        <v>1398.6216989097668</v>
      </c>
      <c r="Y316" s="339">
        <f t="shared" si="197"/>
        <v>1.5700813371118527</v>
      </c>
      <c r="Z316" s="337" t="str">
        <f t="shared" si="173"/>
        <v>1+14.0889507218414i</v>
      </c>
      <c r="AA316" s="346">
        <f t="shared" si="198"/>
        <v>14.124394940756764</v>
      </c>
      <c r="AB316" s="347">
        <f t="shared" si="199"/>
        <v>1.4999375521492351</v>
      </c>
      <c r="AC316" s="732" t="str">
        <f t="shared" si="200"/>
        <v>0.294806392894187-4.19556684283334i</v>
      </c>
      <c r="AD316" s="337">
        <f t="shared" si="201"/>
        <v>4.2059115470934243</v>
      </c>
      <c r="AE316" s="339">
        <f t="shared" si="202"/>
        <v>-1.5006454627253001</v>
      </c>
      <c r="AF316" s="736" t="str">
        <f t="shared" si="174"/>
        <v>-0.514250717345926+0.0649493388903493i</v>
      </c>
      <c r="AG316" s="337">
        <f t="shared" si="203"/>
        <v>-5.7077724114100441</v>
      </c>
      <c r="AH316" s="730">
        <f t="shared" si="204"/>
        <v>172.8017145882425</v>
      </c>
      <c r="AI316" s="360">
        <f t="shared" si="175"/>
        <v>-7.1982854117574959</v>
      </c>
      <c r="AL316" s="337">
        <f t="shared" si="176"/>
        <v>12.477202699325717</v>
      </c>
      <c r="AM316" s="730">
        <f t="shared" si="177"/>
        <v>-85.980651559616192</v>
      </c>
      <c r="AN316" s="351"/>
      <c r="AO316" s="337">
        <f t="shared" si="178"/>
        <v>35.086956088003667</v>
      </c>
      <c r="AP316" s="730">
        <f t="shared" si="179"/>
        <v>-101.21763385214126</v>
      </c>
      <c r="AS316" s="351"/>
      <c r="AT316" s="351"/>
      <c r="AV316" s="405">
        <f t="shared" si="180"/>
        <v>0</v>
      </c>
      <c r="AW316" s="405">
        <f t="shared" si="205"/>
        <v>0</v>
      </c>
      <c r="AX316" s="405">
        <f t="shared" si="181"/>
        <v>0</v>
      </c>
      <c r="AY316" s="405">
        <f t="shared" si="182"/>
        <v>0</v>
      </c>
    </row>
    <row r="317" spans="2:51" ht="13.5" thickBot="1" x14ac:dyDescent="0.25">
      <c r="B317" s="345">
        <v>22387</v>
      </c>
      <c r="C317" s="728" t="str">
        <f t="shared" si="165"/>
        <v>2.16217503399043</v>
      </c>
      <c r="D317" s="728" t="str">
        <f t="shared" si="166"/>
        <v>1+17.1138364524059i</v>
      </c>
      <c r="E317" s="337">
        <f t="shared" si="184"/>
        <v>17.143027682404789</v>
      </c>
      <c r="F317" s="338">
        <f t="shared" si="185"/>
        <v>1.5124304414315659</v>
      </c>
      <c r="G317" s="338" t="str">
        <f t="shared" si="167"/>
        <v>1+0.0703308347359145i</v>
      </c>
      <c r="H317" s="337">
        <f t="shared" si="186"/>
        <v>1.0024701623064152</v>
      </c>
      <c r="I317" s="338">
        <f t="shared" si="187"/>
        <v>7.0215215586163643E-2</v>
      </c>
      <c r="J317" s="340">
        <f t="shared" si="168"/>
        <v>1</v>
      </c>
      <c r="K317" s="338">
        <f t="shared" si="188"/>
        <v>1</v>
      </c>
      <c r="L317" s="339">
        <f t="shared" si="189"/>
        <v>0</v>
      </c>
      <c r="M317" s="731" t="str">
        <f t="shared" si="169"/>
        <v>0.977725432488889+0.330645664418517i</v>
      </c>
      <c r="N317" s="338">
        <f t="shared" si="190"/>
        <v>1.0321209118772605</v>
      </c>
      <c r="O317" s="339">
        <f t="shared" si="191"/>
        <v>0.32610479648403956</v>
      </c>
      <c r="P317" s="732" t="str">
        <f t="shared" si="183"/>
        <v>-0.0240400671292015-0.120120296772763i</v>
      </c>
      <c r="Q317" s="337">
        <f t="shared" si="192"/>
        <v>0.12250228783313873</v>
      </c>
      <c r="R317" s="339">
        <f t="shared" si="193"/>
        <v>-1.768320022329442</v>
      </c>
      <c r="S317" s="731" t="str">
        <f t="shared" si="170"/>
        <v>6000</v>
      </c>
      <c r="T317" s="337" t="str">
        <f t="shared" si="171"/>
        <v>1+142068.286166547i</v>
      </c>
      <c r="U317" s="346">
        <f t="shared" si="194"/>
        <v>142068.28617006645</v>
      </c>
      <c r="V317" s="347">
        <f t="shared" si="195"/>
        <v>1.5707892879262866</v>
      </c>
      <c r="W317" s="340" t="str">
        <f t="shared" si="172"/>
        <v>1+1406.61669471829i</v>
      </c>
      <c r="X317" s="337">
        <f t="shared" si="196"/>
        <v>1406.61705018111</v>
      </c>
      <c r="Y317" s="339">
        <f t="shared" si="197"/>
        <v>1.5700854011850391</v>
      </c>
      <c r="Z317" s="337" t="str">
        <f t="shared" si="173"/>
        <v>1+14.1694915625675i</v>
      </c>
      <c r="AA317" s="346">
        <f t="shared" si="198"/>
        <v>14.204734814197398</v>
      </c>
      <c r="AB317" s="347">
        <f t="shared" si="199"/>
        <v>1.5003389852567683</v>
      </c>
      <c r="AC317" s="732" t="str">
        <f t="shared" si="200"/>
        <v>0.291481060866019-4.17195349363777i</v>
      </c>
      <c r="AD317" s="337">
        <f t="shared" si="201"/>
        <v>4.1821235230346767</v>
      </c>
      <c r="AE317" s="339">
        <f t="shared" si="202"/>
        <v>-1.5010428719980153</v>
      </c>
      <c r="AF317" s="736" t="str">
        <f t="shared" si="174"/>
        <v>-0.508143516048044+0.0652812505120927i</v>
      </c>
      <c r="AG317" s="337">
        <f t="shared" si="203"/>
        <v>-5.8091788886742322</v>
      </c>
      <c r="AH317" s="730">
        <f t="shared" si="204"/>
        <v>172.67930445836134</v>
      </c>
      <c r="AI317" s="360">
        <f t="shared" si="175"/>
        <v>-7.3206955416386563</v>
      </c>
      <c r="AL317" s="337">
        <f t="shared" si="176"/>
        <v>12.427937119514009</v>
      </c>
      <c r="AM317" s="730">
        <f t="shared" si="177"/>
        <v>-86.003421433682135</v>
      </c>
      <c r="AN317" s="351"/>
      <c r="AO317" s="337">
        <f t="shared" si="178"/>
        <v>35.034815190551186</v>
      </c>
      <c r="AP317" s="730">
        <f t="shared" si="179"/>
        <v>-101.31727410795651</v>
      </c>
      <c r="AS317" s="351"/>
      <c r="AT317" s="351"/>
      <c r="AV317" s="405">
        <f t="shared" si="180"/>
        <v>0</v>
      </c>
      <c r="AW317" s="405">
        <f t="shared" si="205"/>
        <v>0</v>
      </c>
      <c r="AX317" s="405">
        <f t="shared" si="181"/>
        <v>0</v>
      </c>
      <c r="AY317" s="405">
        <f t="shared" si="182"/>
        <v>0</v>
      </c>
    </row>
    <row r="318" spans="2:51" ht="13.5" thickBot="1" x14ac:dyDescent="0.25">
      <c r="B318" s="345">
        <v>22517.5</v>
      </c>
      <c r="C318" s="728" t="str">
        <f t="shared" si="165"/>
        <v>2.16217503399043</v>
      </c>
      <c r="D318" s="728" t="str">
        <f t="shared" si="166"/>
        <v>1+17.2135977271206i</v>
      </c>
      <c r="E318" s="337">
        <f t="shared" si="184"/>
        <v>17.242620065150525</v>
      </c>
      <c r="F318" s="338">
        <f t="shared" si="185"/>
        <v>1.5127679394387405</v>
      </c>
      <c r="G318" s="338" t="str">
        <f t="shared" si="167"/>
        <v>1+0.070740812577208i</v>
      </c>
      <c r="H318" s="337">
        <f t="shared" si="186"/>
        <v>1.0024990087596515</v>
      </c>
      <c r="I318" s="338">
        <f t="shared" si="187"/>
        <v>7.0623163756338384E-2</v>
      </c>
      <c r="J318" s="340">
        <f t="shared" si="168"/>
        <v>1</v>
      </c>
      <c r="K318" s="338">
        <f t="shared" si="188"/>
        <v>1</v>
      </c>
      <c r="L318" s="339">
        <f t="shared" si="189"/>
        <v>0</v>
      </c>
      <c r="M318" s="731" t="str">
        <f t="shared" si="169"/>
        <v>0.977464986388889+0.332573089227853i</v>
      </c>
      <c r="N318" s="338">
        <f t="shared" si="190"/>
        <v>1.0324934185237156</v>
      </c>
      <c r="O318" s="339">
        <f t="shared" si="191"/>
        <v>0.32795399074920989</v>
      </c>
      <c r="P318" s="732" t="str">
        <f t="shared" si="183"/>
        <v>-0.0241055981582889-0.119344148159661i</v>
      </c>
      <c r="Q318" s="337">
        <f t="shared" si="192"/>
        <v>0.12175428354897425</v>
      </c>
      <c r="R318" s="339">
        <f t="shared" si="193"/>
        <v>-1.7700987664316117</v>
      </c>
      <c r="S318" s="731" t="str">
        <f t="shared" si="170"/>
        <v>6000</v>
      </c>
      <c r="T318" s="337" t="str">
        <f t="shared" si="171"/>
        <v>1+142896.44140596i</v>
      </c>
      <c r="U318" s="346">
        <f t="shared" si="194"/>
        <v>142896.44140945908</v>
      </c>
      <c r="V318" s="347">
        <f t="shared" si="195"/>
        <v>1.5707893287199961</v>
      </c>
      <c r="W318" s="340" t="str">
        <f t="shared" si="172"/>
        <v>1+1414.81625154416i</v>
      </c>
      <c r="X318" s="337">
        <f t="shared" si="196"/>
        <v>1414.8166049468985</v>
      </c>
      <c r="Y318" s="339">
        <f t="shared" si="197"/>
        <v>1.5700895213476282</v>
      </c>
      <c r="Z318" s="337" t="str">
        <f t="shared" si="173"/>
        <v>1+14.2520894385185i</v>
      </c>
      <c r="AA318" s="346">
        <f t="shared" si="198"/>
        <v>14.287128940537023</v>
      </c>
      <c r="AB318" s="347">
        <f t="shared" si="199"/>
        <v>1.5007459818713353</v>
      </c>
      <c r="AC318" s="732" t="str">
        <f t="shared" si="200"/>
        <v>0.288128802160978-4.14801018039168i</v>
      </c>
      <c r="AD318" s="337">
        <f t="shared" si="201"/>
        <v>4.1580051302599106</v>
      </c>
      <c r="AE318" s="339">
        <f t="shared" si="202"/>
        <v>-1.501445789243703</v>
      </c>
      <c r="AF318" s="736" t="str">
        <f t="shared" si="174"/>
        <v>-0.501986258659168+0.0656037801108479i</v>
      </c>
      <c r="AG318" s="337">
        <f t="shared" si="203"/>
        <v>-5.912614593848728</v>
      </c>
      <c r="AH318" s="730">
        <f t="shared" si="204"/>
        <v>172.55430447080229</v>
      </c>
      <c r="AI318" s="360">
        <f t="shared" si="175"/>
        <v>-7.4456955291977067</v>
      </c>
      <c r="AL318" s="337">
        <f t="shared" si="176"/>
        <v>12.377700416802684</v>
      </c>
      <c r="AM318" s="730">
        <f t="shared" si="177"/>
        <v>-86.02650689135308</v>
      </c>
      <c r="AN318" s="351"/>
      <c r="AO318" s="337">
        <f t="shared" si="178"/>
        <v>34.981616188088019</v>
      </c>
      <c r="AP318" s="730">
        <f t="shared" si="179"/>
        <v>-101.41918863784463</v>
      </c>
      <c r="AS318" s="351"/>
      <c r="AT318" s="351"/>
      <c r="AV318" s="405">
        <f t="shared" si="180"/>
        <v>0</v>
      </c>
      <c r="AW318" s="405">
        <f t="shared" si="205"/>
        <v>0</v>
      </c>
      <c r="AX318" s="405">
        <f t="shared" si="181"/>
        <v>0</v>
      </c>
      <c r="AY318" s="405">
        <f t="shared" si="182"/>
        <v>0</v>
      </c>
    </row>
    <row r="319" spans="2:51" ht="13.5" thickBot="1" x14ac:dyDescent="0.25">
      <c r="B319" s="345">
        <v>22648</v>
      </c>
      <c r="C319" s="728" t="str">
        <f t="shared" si="165"/>
        <v>2.16217503399043</v>
      </c>
      <c r="D319" s="728" t="str">
        <f t="shared" si="166"/>
        <v>1+17.3133590018354i</v>
      </c>
      <c r="E319" s="337">
        <f t="shared" si="184"/>
        <v>17.342214389357402</v>
      </c>
      <c r="F319" s="338">
        <f t="shared" si="185"/>
        <v>1.5131015610597949</v>
      </c>
      <c r="G319" s="338" t="str">
        <f t="shared" si="167"/>
        <v>1+0.0711507904185015i</v>
      </c>
      <c r="H319" s="337">
        <f t="shared" si="186"/>
        <v>1.0025280220408692</v>
      </c>
      <c r="I319" s="338">
        <f t="shared" si="187"/>
        <v>7.1031088382259397E-2</v>
      </c>
      <c r="J319" s="340">
        <f t="shared" si="168"/>
        <v>1</v>
      </c>
      <c r="K319" s="338">
        <f t="shared" si="188"/>
        <v>1</v>
      </c>
      <c r="L319" s="339">
        <f t="shared" si="189"/>
        <v>0</v>
      </c>
      <c r="M319" s="731" t="str">
        <f t="shared" si="169"/>
        <v>0.977203026488889+0.33450051403719i</v>
      </c>
      <c r="N319" s="338">
        <f t="shared" si="190"/>
        <v>1.0328680210318204</v>
      </c>
      <c r="O319" s="339">
        <f t="shared" si="191"/>
        <v>0.32980231951607636</v>
      </c>
      <c r="P319" s="732" t="str">
        <f t="shared" si="183"/>
        <v>-0.0241695590761546-0.118576475230375i</v>
      </c>
      <c r="Q319" s="337">
        <f t="shared" si="192"/>
        <v>0.12101466053332324</v>
      </c>
      <c r="R319" s="339">
        <f t="shared" si="193"/>
        <v>-1.7718727921936122</v>
      </c>
      <c r="S319" s="731" t="str">
        <f t="shared" si="170"/>
        <v>6000</v>
      </c>
      <c r="T319" s="337" t="str">
        <f t="shared" si="171"/>
        <v>1+143724.596645373i</v>
      </c>
      <c r="U319" s="346">
        <f t="shared" si="194"/>
        <v>143724.59664885188</v>
      </c>
      <c r="V319" s="347">
        <f t="shared" si="195"/>
        <v>1.5707893690435908</v>
      </c>
      <c r="W319" s="340" t="str">
        <f t="shared" si="172"/>
        <v>1+1423.01580837003i</v>
      </c>
      <c r="X319" s="337">
        <f t="shared" si="196"/>
        <v>1423.0161597364274</v>
      </c>
      <c r="Y319" s="339">
        <f t="shared" si="197"/>
        <v>1.5700935940286778</v>
      </c>
      <c r="Z319" s="337" t="str">
        <f t="shared" si="173"/>
        <v>1+14.3346873144695i</v>
      </c>
      <c r="AA319" s="346">
        <f t="shared" si="198"/>
        <v>14.369525406345639</v>
      </c>
      <c r="AB319" s="347">
        <f t="shared" si="199"/>
        <v>1.5011483110236961</v>
      </c>
      <c r="AC319" s="732" t="str">
        <f t="shared" si="200"/>
        <v>0.284833950277456-4.12433878984517i</v>
      </c>
      <c r="AD319" s="337">
        <f t="shared" si="201"/>
        <v>4.1341626519347523</v>
      </c>
      <c r="AE319" s="339">
        <f t="shared" si="202"/>
        <v>-1.5018440860386091</v>
      </c>
      <c r="AF319" s="736" t="str">
        <f t="shared" si="174"/>
        <v>-0.495933867343876+0.0659088441813942i</v>
      </c>
      <c r="AG319" s="337">
        <f t="shared" si="203"/>
        <v>-6.0154890777802086</v>
      </c>
      <c r="AH319" s="730">
        <f t="shared" si="204"/>
        <v>172.42983955655049</v>
      </c>
      <c r="AI319" s="360">
        <f t="shared" si="175"/>
        <v>-7.5701604434495096</v>
      </c>
      <c r="AL319" s="337">
        <f t="shared" si="176"/>
        <v>12.327751184810054</v>
      </c>
      <c r="AM319" s="730">
        <f t="shared" si="177"/>
        <v>-86.049327616694782</v>
      </c>
      <c r="AN319" s="351"/>
      <c r="AO319" s="337">
        <f t="shared" si="178"/>
        <v>34.928690936149174</v>
      </c>
      <c r="AP319" s="730">
        <f t="shared" si="179"/>
        <v>-101.52083282675471</v>
      </c>
      <c r="AS319" s="351"/>
      <c r="AT319" s="351"/>
      <c r="AV319" s="405">
        <f t="shared" si="180"/>
        <v>0</v>
      </c>
      <c r="AW319" s="405">
        <f t="shared" si="205"/>
        <v>0</v>
      </c>
      <c r="AX319" s="405">
        <f t="shared" si="181"/>
        <v>0</v>
      </c>
      <c r="AY319" s="405">
        <f t="shared" si="182"/>
        <v>0</v>
      </c>
    </row>
    <row r="320" spans="2:51" ht="13.5" thickBot="1" x14ac:dyDescent="0.25">
      <c r="B320" s="345">
        <v>22778.5</v>
      </c>
      <c r="C320" s="728" t="str">
        <f t="shared" si="165"/>
        <v>2.16217503399043</v>
      </c>
      <c r="D320" s="728" t="str">
        <f t="shared" si="166"/>
        <v>1+17.4131202765501i</v>
      </c>
      <c r="E320" s="337">
        <f t="shared" si="184"/>
        <v>17.441810621767459</v>
      </c>
      <c r="F320" s="338">
        <f t="shared" si="185"/>
        <v>1.5134313726246418</v>
      </c>
      <c r="G320" s="338" t="str">
        <f t="shared" si="167"/>
        <v>1+0.071560768259795i</v>
      </c>
      <c r="H320" s="337">
        <f t="shared" si="186"/>
        <v>1.0025572021355849</v>
      </c>
      <c r="I320" s="338">
        <f t="shared" si="187"/>
        <v>7.1438989330217334E-2</v>
      </c>
      <c r="J320" s="340">
        <f t="shared" si="168"/>
        <v>1</v>
      </c>
      <c r="K320" s="338">
        <f t="shared" si="188"/>
        <v>1</v>
      </c>
      <c r="L320" s="339">
        <f t="shared" si="189"/>
        <v>0</v>
      </c>
      <c r="M320" s="731" t="str">
        <f t="shared" si="169"/>
        <v>0.976939552788889+0.336427938846527i</v>
      </c>
      <c r="N320" s="338">
        <f t="shared" si="190"/>
        <v>1.0332447182733995</v>
      </c>
      <c r="O320" s="339">
        <f t="shared" si="191"/>
        <v>0.33164977879245106</v>
      </c>
      <c r="P320" s="732" t="str">
        <f t="shared" si="183"/>
        <v>-0.0242319838389392-0.117817135896343i</v>
      </c>
      <c r="Q320" s="337">
        <f t="shared" si="192"/>
        <v>0.12028327627558191</v>
      </c>
      <c r="R320" s="339">
        <f t="shared" si="193"/>
        <v>-1.7736421620868756</v>
      </c>
      <c r="S320" s="731" t="str">
        <f t="shared" si="170"/>
        <v>6000</v>
      </c>
      <c r="T320" s="337" t="str">
        <f t="shared" si="171"/>
        <v>1+144552.751884786i</v>
      </c>
      <c r="U320" s="346">
        <f t="shared" si="194"/>
        <v>144552.75188824497</v>
      </c>
      <c r="V320" s="347">
        <f t="shared" si="195"/>
        <v>1.5707894089051508</v>
      </c>
      <c r="W320" s="340" t="str">
        <f t="shared" si="172"/>
        <v>1+1431.2153651959i</v>
      </c>
      <c r="X320" s="337">
        <f t="shared" si="196"/>
        <v>1431.2157145492895</v>
      </c>
      <c r="Y320" s="339">
        <f t="shared" si="197"/>
        <v>1.5700976200442653</v>
      </c>
      <c r="Z320" s="337" t="str">
        <f t="shared" si="173"/>
        <v>1+14.4172851904205i</v>
      </c>
      <c r="AA320" s="346">
        <f t="shared" si="198"/>
        <v>14.451924171608372</v>
      </c>
      <c r="AB320" s="347">
        <f t="shared" si="199"/>
        <v>1.5015460524181665</v>
      </c>
      <c r="AC320" s="732" t="str">
        <f t="shared" si="200"/>
        <v>0.2815952039722-4.10093473864777i</v>
      </c>
      <c r="AD320" s="337">
        <f t="shared" si="201"/>
        <v>4.1105913917036556</v>
      </c>
      <c r="AE320" s="339">
        <f t="shared" si="202"/>
        <v>-1.5022378412790522</v>
      </c>
      <c r="AF320" s="736" t="str">
        <f t="shared" si="174"/>
        <v>-0.489983995837075+0.066197043897306i</v>
      </c>
      <c r="AG320" s="337">
        <f t="shared" si="203"/>
        <v>-6.11780885365821</v>
      </c>
      <c r="AH320" s="730">
        <f t="shared" si="204"/>
        <v>172.30590161583041</v>
      </c>
      <c r="AI320" s="360">
        <f t="shared" si="175"/>
        <v>-7.6940983841695925</v>
      </c>
      <c r="AL320" s="337">
        <f t="shared" si="176"/>
        <v>12.278086168309576</v>
      </c>
      <c r="AM320" s="730">
        <f t="shared" si="177"/>
        <v>-86.071888130133331</v>
      </c>
      <c r="AN320" s="351"/>
      <c r="AO320" s="337">
        <f t="shared" si="178"/>
        <v>34.876036176771649</v>
      </c>
      <c r="AP320" s="730">
        <f t="shared" si="179"/>
        <v>-101.62221025403629</v>
      </c>
      <c r="AS320" s="351"/>
      <c r="AT320" s="351"/>
      <c r="AV320" s="405">
        <f t="shared" si="180"/>
        <v>0</v>
      </c>
      <c r="AW320" s="405">
        <f t="shared" si="205"/>
        <v>0</v>
      </c>
      <c r="AX320" s="405">
        <f t="shared" si="181"/>
        <v>0</v>
      </c>
      <c r="AY320" s="405">
        <f t="shared" si="182"/>
        <v>0</v>
      </c>
    </row>
    <row r="321" spans="2:51" ht="13.5" thickBot="1" x14ac:dyDescent="0.25">
      <c r="B321" s="345">
        <v>22909</v>
      </c>
      <c r="C321" s="728" t="str">
        <f t="shared" si="165"/>
        <v>2.16217503399043</v>
      </c>
      <c r="D321" s="728" t="str">
        <f t="shared" si="166"/>
        <v>1+17.5128815512649i</v>
      </c>
      <c r="E321" s="337">
        <f t="shared" si="184"/>
        <v>17.54140872987784</v>
      </c>
      <c r="F321" s="338">
        <f t="shared" si="185"/>
        <v>1.5137574389601003</v>
      </c>
      <c r="G321" s="338" t="str">
        <f t="shared" si="167"/>
        <v>1+0.0719707461010885i</v>
      </c>
      <c r="H321" s="337">
        <f t="shared" si="186"/>
        <v>1.0025865490292334</v>
      </c>
      <c r="I321" s="338">
        <f t="shared" si="187"/>
        <v>7.184686646654985E-2</v>
      </c>
      <c r="J321" s="340">
        <f t="shared" si="168"/>
        <v>1</v>
      </c>
      <c r="K321" s="338">
        <f t="shared" si="188"/>
        <v>1</v>
      </c>
      <c r="L321" s="339">
        <f t="shared" si="189"/>
        <v>0</v>
      </c>
      <c r="M321" s="731" t="str">
        <f t="shared" si="169"/>
        <v>0.976674565288889+0.338355363655863i</v>
      </c>
      <c r="N321" s="338">
        <f t="shared" si="190"/>
        <v>1.0336235091158343</v>
      </c>
      <c r="O321" s="339">
        <f t="shared" si="191"/>
        <v>0.33349636460197746</v>
      </c>
      <c r="P321" s="732" t="str">
        <f t="shared" si="183"/>
        <v>-0.0242929054570414-0.117065991256757i</v>
      </c>
      <c r="Q321" s="337">
        <f t="shared" si="192"/>
        <v>0.11955999148741964</v>
      </c>
      <c r="R321" s="339">
        <f t="shared" si="193"/>
        <v>-1.7754069370955272</v>
      </c>
      <c r="S321" s="731" t="str">
        <f t="shared" si="170"/>
        <v>6000</v>
      </c>
      <c r="T321" s="337" t="str">
        <f t="shared" si="171"/>
        <v>1+145380.907124199i</v>
      </c>
      <c r="U321" s="346">
        <f t="shared" si="194"/>
        <v>145380.90712763823</v>
      </c>
      <c r="V321" s="347">
        <f t="shared" si="195"/>
        <v>1.5707894483125719</v>
      </c>
      <c r="W321" s="340" t="str">
        <f t="shared" si="172"/>
        <v>1+1439.41492202177i</v>
      </c>
      <c r="X321" s="337">
        <f t="shared" si="196"/>
        <v>1439.4152693850856</v>
      </c>
      <c r="Y321" s="339">
        <f t="shared" si="197"/>
        <v>1.5701016001918726</v>
      </c>
      <c r="Z321" s="337" t="str">
        <f t="shared" si="173"/>
        <v>1+14.4998830663716i</v>
      </c>
      <c r="AA321" s="346">
        <f t="shared" si="198"/>
        <v>14.534325197216756</v>
      </c>
      <c r="AB321" s="347">
        <f t="shared" si="199"/>
        <v>1.5019392839574404</v>
      </c>
      <c r="AC321" s="732" t="str">
        <f t="shared" si="200"/>
        <v>0.278411298604794-4.07779354535999i</v>
      </c>
      <c r="AD321" s="337">
        <f t="shared" si="201"/>
        <v>4.0872867589356146</v>
      </c>
      <c r="AE321" s="339">
        <f t="shared" si="202"/>
        <v>-1.5026271320781401</v>
      </c>
      <c r="AF321" s="736" t="str">
        <f t="shared" si="174"/>
        <v>-0.484134362883151+0.0664689584225127i</v>
      </c>
      <c r="AG321" s="337">
        <f t="shared" si="203"/>
        <v>-6.2195803243021217</v>
      </c>
      <c r="AH321" s="730">
        <f t="shared" si="204"/>
        <v>172.18248273625349</v>
      </c>
      <c r="AI321" s="360">
        <f t="shared" si="175"/>
        <v>-7.8175172637465096</v>
      </c>
      <c r="AL321" s="337">
        <f t="shared" si="176"/>
        <v>12.228702166781723</v>
      </c>
      <c r="AM321" s="730">
        <f t="shared" si="177"/>
        <v>-86.09419284992434</v>
      </c>
      <c r="AN321" s="351"/>
      <c r="AO321" s="337">
        <f t="shared" si="178"/>
        <v>34.823648707655593</v>
      </c>
      <c r="AP321" s="730">
        <f t="shared" si="179"/>
        <v>-101.72332441382216</v>
      </c>
      <c r="AS321" s="351"/>
      <c r="AT321" s="351"/>
      <c r="AV321" s="405">
        <f t="shared" si="180"/>
        <v>0</v>
      </c>
      <c r="AW321" s="405">
        <f t="shared" si="205"/>
        <v>0</v>
      </c>
      <c r="AX321" s="405">
        <f t="shared" si="181"/>
        <v>0</v>
      </c>
      <c r="AY321" s="405">
        <f t="shared" si="182"/>
        <v>0</v>
      </c>
    </row>
    <row r="322" spans="2:51" ht="13.5" thickBot="1" x14ac:dyDescent="0.25">
      <c r="B322" s="345">
        <v>23042.25</v>
      </c>
      <c r="C322" s="728" t="str">
        <f t="shared" si="165"/>
        <v>2.16217503399043</v>
      </c>
      <c r="D322" s="728" t="str">
        <f t="shared" si="166"/>
        <v>1+17.6147450750637i</v>
      </c>
      <c r="E322" s="337">
        <f t="shared" si="184"/>
        <v>17.643107551094303</v>
      </c>
      <c r="F322" s="338">
        <f t="shared" si="185"/>
        <v>1.514086577815082</v>
      </c>
      <c r="G322" s="338" t="str">
        <f t="shared" si="167"/>
        <v>1+0.0723893633221795i</v>
      </c>
      <c r="H322" s="337">
        <f t="shared" si="186"/>
        <v>1.0026166864371402</v>
      </c>
      <c r="I322" s="338">
        <f t="shared" si="187"/>
        <v>7.2263314006535795E-2</v>
      </c>
      <c r="J322" s="340">
        <f t="shared" si="168"/>
        <v>1</v>
      </c>
      <c r="K322" s="338">
        <f t="shared" si="188"/>
        <v>1</v>
      </c>
      <c r="L322" s="339">
        <f t="shared" si="189"/>
        <v>0</v>
      </c>
      <c r="M322" s="731" t="str">
        <f t="shared" si="169"/>
        <v>0.976402431775+0.340323404696815i</v>
      </c>
      <c r="N322" s="338">
        <f t="shared" si="190"/>
        <v>1.0340124412020222</v>
      </c>
      <c r="O322" s="339">
        <f t="shared" si="191"/>
        <v>0.33538095775375532</v>
      </c>
      <c r="P322" s="732" t="str">
        <f t="shared" si="183"/>
        <v>-0.0243535932183243-0.116307332348331i</v>
      </c>
      <c r="Q322" s="337">
        <f t="shared" si="192"/>
        <v>0.11882968089088151</v>
      </c>
      <c r="R322" s="339">
        <f t="shared" si="193"/>
        <v>-1.777204221562301</v>
      </c>
      <c r="S322" s="731" t="str">
        <f t="shared" si="170"/>
        <v>6000</v>
      </c>
      <c r="T322" s="337" t="str">
        <f t="shared" si="171"/>
        <v>1+146226.513910803i</v>
      </c>
      <c r="U322" s="346">
        <f t="shared" si="194"/>
        <v>146226.51391422236</v>
      </c>
      <c r="V322" s="347">
        <f t="shared" si="195"/>
        <v>1.5707894880898408</v>
      </c>
      <c r="W322" s="340" t="str">
        <f t="shared" si="172"/>
        <v>1+1447.78726644359i</v>
      </c>
      <c r="X322" s="337">
        <f t="shared" si="196"/>
        <v>1447.7876117981539</v>
      </c>
      <c r="Y322" s="339">
        <f t="shared" si="197"/>
        <v>1.5701056176940837</v>
      </c>
      <c r="Z322" s="337" t="str">
        <f t="shared" si="173"/>
        <v>1+14.5842215105898i</v>
      </c>
      <c r="AA322" s="346">
        <f t="shared" si="198"/>
        <v>14.618464935483145</v>
      </c>
      <c r="AB322" s="347">
        <f t="shared" si="199"/>
        <v>1.5023362276938426</v>
      </c>
      <c r="AC322" s="732" t="str">
        <f t="shared" si="200"/>
        <v>0.275215608924003-4.05443137434718i</v>
      </c>
      <c r="AD322" s="337">
        <f t="shared" si="201"/>
        <v>4.0637614842269185</v>
      </c>
      <c r="AE322" s="339">
        <f t="shared" si="202"/>
        <v>-1.5030200980895994</v>
      </c>
      <c r="AF322" s="736" t="str">
        <f t="shared" si="174"/>
        <v>-0.478262586326766+0.0667303791278905i</v>
      </c>
      <c r="AG322" s="337">
        <f t="shared" si="203"/>
        <v>-6.3229371863407344</v>
      </c>
      <c r="AH322" s="730">
        <f t="shared" si="204"/>
        <v>172.05699062777424</v>
      </c>
      <c r="AI322" s="360">
        <f t="shared" si="175"/>
        <v>-7.9430093722257595</v>
      </c>
      <c r="AL322" s="337">
        <f t="shared" si="176"/>
        <v>12.178564196521471</v>
      </c>
      <c r="AM322" s="730">
        <f t="shared" si="177"/>
        <v>-86.116708143873055</v>
      </c>
      <c r="AN322" s="351"/>
      <c r="AO322" s="337">
        <f t="shared" si="178"/>
        <v>34.770429815877236</v>
      </c>
      <c r="AP322" s="730">
        <f t="shared" si="179"/>
        <v>-101.82630122835272</v>
      </c>
      <c r="AS322" s="351"/>
      <c r="AT322" s="351"/>
      <c r="AV322" s="405">
        <f t="shared" si="180"/>
        <v>0</v>
      </c>
      <c r="AW322" s="405">
        <f t="shared" si="205"/>
        <v>0</v>
      </c>
      <c r="AX322" s="405">
        <f t="shared" si="181"/>
        <v>0</v>
      </c>
      <c r="AY322" s="405">
        <f t="shared" si="182"/>
        <v>0</v>
      </c>
    </row>
    <row r="323" spans="2:51" ht="13.5" thickBot="1" x14ac:dyDescent="0.25">
      <c r="B323" s="345">
        <v>23175.5</v>
      </c>
      <c r="C323" s="728" t="str">
        <f t="shared" si="165"/>
        <v>2.16217503399043</v>
      </c>
      <c r="D323" s="728" t="str">
        <f t="shared" si="166"/>
        <v>1+17.7166085988625i</v>
      </c>
      <c r="E323" s="337">
        <f t="shared" si="184"/>
        <v>17.744808261722319</v>
      </c>
      <c r="F323" s="338">
        <f t="shared" si="185"/>
        <v>1.5144119439219785</v>
      </c>
      <c r="G323" s="338" t="str">
        <f t="shared" si="167"/>
        <v>1+0.0728079805432705i</v>
      </c>
      <c r="H323" s="337">
        <f t="shared" si="186"/>
        <v>1.0026469977169379</v>
      </c>
      <c r="I323" s="338">
        <f t="shared" si="187"/>
        <v>7.2679736439271836E-2</v>
      </c>
      <c r="J323" s="340">
        <f t="shared" si="168"/>
        <v>1</v>
      </c>
      <c r="K323" s="338">
        <f t="shared" si="188"/>
        <v>1</v>
      </c>
      <c r="L323" s="339">
        <f t="shared" si="189"/>
        <v>0</v>
      </c>
      <c r="M323" s="731" t="str">
        <f t="shared" si="169"/>
        <v>0.976128719988889+0.342291445737767i</v>
      </c>
      <c r="N323" s="338">
        <f t="shared" si="190"/>
        <v>1.0344035536541807</v>
      </c>
      <c r="O323" s="339">
        <f t="shared" si="191"/>
        <v>0.33726463190987932</v>
      </c>
      <c r="P323" s="732" t="str">
        <f t="shared" si="183"/>
        <v>-0.0244127804953907-0.115556934241469i</v>
      </c>
      <c r="Q323" s="337">
        <f t="shared" si="192"/>
        <v>0.11810753110112547</v>
      </c>
      <c r="R323" s="339">
        <f t="shared" si="193"/>
        <v>-1.778996839392585</v>
      </c>
      <c r="S323" s="731" t="str">
        <f t="shared" si="170"/>
        <v>6000</v>
      </c>
      <c r="T323" s="337" t="str">
        <f t="shared" si="171"/>
        <v>1+147072.120697406i</v>
      </c>
      <c r="U323" s="346">
        <f t="shared" si="194"/>
        <v>147072.12070080568</v>
      </c>
      <c r="V323" s="347">
        <f t="shared" si="195"/>
        <v>1.5707895274097021</v>
      </c>
      <c r="W323" s="340" t="str">
        <f t="shared" si="172"/>
        <v>1+1456.15961086541i</v>
      </c>
      <c r="X323" s="337">
        <f t="shared" si="196"/>
        <v>1456.159954234322</v>
      </c>
      <c r="Y323" s="339">
        <f t="shared" si="197"/>
        <v>1.5701095889982051</v>
      </c>
      <c r="Z323" s="337" t="str">
        <f t="shared" si="173"/>
        <v>1+14.668559954808i</v>
      </c>
      <c r="AA323" s="346">
        <f t="shared" si="198"/>
        <v>14.702606950734854</v>
      </c>
      <c r="AB323" s="347">
        <f t="shared" si="199"/>
        <v>1.5027286281277079</v>
      </c>
      <c r="AC323" s="732" t="str">
        <f t="shared" si="200"/>
        <v>0.272074542496262-4.03133412607582i</v>
      </c>
      <c r="AD323" s="337">
        <f t="shared" si="201"/>
        <v>4.0405048437958895</v>
      </c>
      <c r="AE323" s="339">
        <f t="shared" si="202"/>
        <v>-1.503408566539205</v>
      </c>
      <c r="AF323" s="736" t="str">
        <f t="shared" si="174"/>
        <v>-0.472490708596679+0.0669759751074484i</v>
      </c>
      <c r="AG323" s="337">
        <f t="shared" si="203"/>
        <v>-6.425735541428919</v>
      </c>
      <c r="AH323" s="730">
        <f t="shared" si="204"/>
        <v>171.93202358918271</v>
      </c>
      <c r="AI323" s="360">
        <f t="shared" si="175"/>
        <v>-8.0679764108172947</v>
      </c>
      <c r="AL323" s="337">
        <f t="shared" si="176"/>
        <v>12.128712634771396</v>
      </c>
      <c r="AM323" s="730">
        <f t="shared" si="177"/>
        <v>-86.138965746509442</v>
      </c>
      <c r="AN323" s="351"/>
      <c r="AO323" s="337">
        <f t="shared" si="178"/>
        <v>34.717483022539099</v>
      </c>
      <c r="AP323" s="730">
        <f t="shared" si="179"/>
        <v>-101.92901066430785</v>
      </c>
      <c r="AS323" s="351"/>
      <c r="AT323" s="351"/>
      <c r="AV323" s="405">
        <f t="shared" si="180"/>
        <v>0</v>
      </c>
      <c r="AW323" s="405">
        <f t="shared" si="205"/>
        <v>0</v>
      </c>
      <c r="AX323" s="405">
        <f t="shared" si="181"/>
        <v>0</v>
      </c>
      <c r="AY323" s="405">
        <f t="shared" si="182"/>
        <v>0</v>
      </c>
    </row>
    <row r="324" spans="2:51" ht="13.5" thickBot="1" x14ac:dyDescent="0.25">
      <c r="B324" s="345">
        <v>23308.75</v>
      </c>
      <c r="C324" s="728" t="str">
        <f t="shared" si="165"/>
        <v>2.16217503399043</v>
      </c>
      <c r="D324" s="728" t="str">
        <f t="shared" si="166"/>
        <v>1+17.8184721226612i</v>
      </c>
      <c r="E324" s="337">
        <f t="shared" si="184"/>
        <v>17.846510829460595</v>
      </c>
      <c r="F324" s="338">
        <f t="shared" si="185"/>
        <v>1.514733601711</v>
      </c>
      <c r="G324" s="338" t="str">
        <f t="shared" si="167"/>
        <v>1+0.073226597764361i</v>
      </c>
      <c r="H324" s="337">
        <f t="shared" si="186"/>
        <v>1.0026774828528582</v>
      </c>
      <c r="I324" s="338">
        <f t="shared" si="187"/>
        <v>7.3096133622619366E-2</v>
      </c>
      <c r="J324" s="340">
        <f t="shared" si="168"/>
        <v>1</v>
      </c>
      <c r="K324" s="338">
        <f t="shared" si="188"/>
        <v>1</v>
      </c>
      <c r="L324" s="339">
        <f t="shared" si="189"/>
        <v>0</v>
      </c>
      <c r="M324" s="731" t="str">
        <f t="shared" si="169"/>
        <v>0.975853429930556+0.344259486778716i</v>
      </c>
      <c r="N324" s="338">
        <f t="shared" si="190"/>
        <v>1.034796845252427</v>
      </c>
      <c r="O324" s="339">
        <f t="shared" si="191"/>
        <v>0.33914738288863405</v>
      </c>
      <c r="P324" s="732" t="str">
        <f t="shared" si="183"/>
        <v>-0.0244704995793553-0.114814658792145i</v>
      </c>
      <c r="Q324" s="337">
        <f t="shared" si="192"/>
        <v>0.11739340366144901</v>
      </c>
      <c r="R324" s="339">
        <f t="shared" si="193"/>
        <v>-1.7807848509770148</v>
      </c>
      <c r="S324" s="731" t="str">
        <f t="shared" si="170"/>
        <v>6000</v>
      </c>
      <c r="T324" s="337" t="str">
        <f t="shared" si="171"/>
        <v>1+147917.727484009i</v>
      </c>
      <c r="U324" s="346">
        <f t="shared" si="194"/>
        <v>147917.72748738926</v>
      </c>
      <c r="V324" s="347">
        <f t="shared" si="195"/>
        <v>1.5707895662800009</v>
      </c>
      <c r="W324" s="340" t="str">
        <f t="shared" si="172"/>
        <v>1+1464.53195528722i</v>
      </c>
      <c r="X324" s="337">
        <f t="shared" si="196"/>
        <v>1464.5322966931824</v>
      </c>
      <c r="Y324" s="339">
        <f t="shared" si="197"/>
        <v>1.5701135148965428</v>
      </c>
      <c r="Z324" s="337" t="str">
        <f t="shared" si="173"/>
        <v>1+14.752898399026i</v>
      </c>
      <c r="AA324" s="346">
        <f t="shared" si="198"/>
        <v>14.786751204101053</v>
      </c>
      <c r="AB324" s="347">
        <f t="shared" si="199"/>
        <v>1.5031165626983654</v>
      </c>
      <c r="AC324" s="732" t="str">
        <f t="shared" si="200"/>
        <v>0.268986863386528-4.00849734084046i</v>
      </c>
      <c r="AD324" s="337">
        <f t="shared" si="201"/>
        <v>4.017512273061473</v>
      </c>
      <c r="AE324" s="339">
        <f t="shared" si="202"/>
        <v>-1.5037926140818232</v>
      </c>
      <c r="AF324" s="736" t="str">
        <f t="shared" si="174"/>
        <v>-0.46681649738517+0.0672062975535898i</v>
      </c>
      <c r="AG324" s="337">
        <f t="shared" si="203"/>
        <v>-6.5279818652390826</v>
      </c>
      <c r="AH324" s="730">
        <f t="shared" si="204"/>
        <v>171.80757376834995</v>
      </c>
      <c r="AI324" s="360">
        <f t="shared" si="175"/>
        <v>-8.192426231650046</v>
      </c>
      <c r="AL324" s="337">
        <f t="shared" si="176"/>
        <v>12.079144243192932</v>
      </c>
      <c r="AM324" s="730">
        <f t="shared" si="177"/>
        <v>-86.160970049833836</v>
      </c>
      <c r="AN324" s="351"/>
      <c r="AO324" s="337">
        <f t="shared" si="178"/>
        <v>34.664805090307425</v>
      </c>
      <c r="AP324" s="730">
        <f t="shared" si="179"/>
        <v>-102.03145618181615</v>
      </c>
      <c r="AS324" s="351"/>
      <c r="AT324" s="351"/>
      <c r="AV324" s="405">
        <f t="shared" si="180"/>
        <v>0</v>
      </c>
      <c r="AW324" s="405">
        <f t="shared" si="205"/>
        <v>0</v>
      </c>
      <c r="AX324" s="405">
        <f t="shared" si="181"/>
        <v>0</v>
      </c>
      <c r="AY324" s="405">
        <f t="shared" si="182"/>
        <v>0</v>
      </c>
    </row>
    <row r="325" spans="2:51" ht="13.5" thickBot="1" x14ac:dyDescent="0.25">
      <c r="B325" s="345">
        <v>23442</v>
      </c>
      <c r="C325" s="728" t="str">
        <f t="shared" si="165"/>
        <v>2.16217503399043</v>
      </c>
      <c r="D325" s="728" t="str">
        <f t="shared" si="166"/>
        <v>1+17.92033564646i</v>
      </c>
      <c r="E325" s="337">
        <f t="shared" si="184"/>
        <v>17.948215222739694</v>
      </c>
      <c r="F325" s="338">
        <f t="shared" si="185"/>
        <v>1.5150516141550805</v>
      </c>
      <c r="G325" s="338" t="str">
        <f t="shared" si="167"/>
        <v>1+0.073645214985452i</v>
      </c>
      <c r="H325" s="337">
        <f t="shared" si="186"/>
        <v>1.0027081418290436</v>
      </c>
      <c r="I325" s="338">
        <f t="shared" si="187"/>
        <v>7.3512505414493598E-2</v>
      </c>
      <c r="J325" s="340">
        <f t="shared" si="168"/>
        <v>1</v>
      </c>
      <c r="K325" s="338">
        <f t="shared" si="188"/>
        <v>1</v>
      </c>
      <c r="L325" s="339">
        <f t="shared" si="189"/>
        <v>0</v>
      </c>
      <c r="M325" s="731" t="str">
        <f t="shared" si="169"/>
        <v>0.9755765616+0.346227527819668i</v>
      </c>
      <c r="N325" s="338">
        <f t="shared" si="190"/>
        <v>1.0351923147721864</v>
      </c>
      <c r="O325" s="339">
        <f t="shared" si="191"/>
        <v>0.34102920652569635</v>
      </c>
      <c r="P325" s="732" t="str">
        <f t="shared" si="183"/>
        <v>-0.0245267818650858-0.114080370951404i</v>
      </c>
      <c r="Q325" s="337">
        <f t="shared" si="192"/>
        <v>0.11668716324029584</v>
      </c>
      <c r="R325" s="339">
        <f t="shared" si="193"/>
        <v>-1.7825683152662841</v>
      </c>
      <c r="S325" s="731" t="str">
        <f t="shared" si="170"/>
        <v>6000</v>
      </c>
      <c r="T325" s="337" t="str">
        <f t="shared" si="171"/>
        <v>1+148763.334270613i</v>
      </c>
      <c r="U325" s="346">
        <f t="shared" si="194"/>
        <v>148763.33427397406</v>
      </c>
      <c r="V325" s="347">
        <f t="shared" si="195"/>
        <v>1.5707896047084033</v>
      </c>
      <c r="W325" s="340" t="str">
        <f t="shared" si="172"/>
        <v>1+1472.90429970904i</v>
      </c>
      <c r="X325" s="337">
        <f t="shared" si="196"/>
        <v>1472.9046391743689</v>
      </c>
      <c r="Y325" s="339">
        <f t="shared" si="197"/>
        <v>1.5701173961633894</v>
      </c>
      <c r="Z325" s="337" t="str">
        <f t="shared" si="173"/>
        <v>1+14.8372368432443i</v>
      </c>
      <c r="AA325" s="346">
        <f t="shared" si="198"/>
        <v>14.87089765759035</v>
      </c>
      <c r="AB325" s="347">
        <f t="shared" si="199"/>
        <v>1.5035001070978435</v>
      </c>
      <c r="AC325" s="732" t="str">
        <f t="shared" si="200"/>
        <v>0.265951370366246-3.98591665799654i</v>
      </c>
      <c r="AD325" s="337">
        <f t="shared" si="201"/>
        <v>3.9947793100362867</v>
      </c>
      <c r="AE325" s="339">
        <f t="shared" si="202"/>
        <v>-1.5041723156428575</v>
      </c>
      <c r="AF325" s="736" t="str">
        <f t="shared" si="174"/>
        <v>-0.461237782173319+0.0674218774166774i</v>
      </c>
      <c r="AG325" s="337">
        <f t="shared" si="203"/>
        <v>-6.6296825238173067</v>
      </c>
      <c r="AH325" s="730">
        <f t="shared" si="204"/>
        <v>171.68363349474072</v>
      </c>
      <c r="AI325" s="360">
        <f t="shared" si="175"/>
        <v>-8.3163665052592819</v>
      </c>
      <c r="AL325" s="337">
        <f t="shared" si="176"/>
        <v>12.029855837801973</v>
      </c>
      <c r="AM325" s="730">
        <f t="shared" si="177"/>
        <v>-86.182725346755632</v>
      </c>
      <c r="AN325" s="351"/>
      <c r="AO325" s="337">
        <f t="shared" si="178"/>
        <v>34.612392837120169</v>
      </c>
      <c r="AP325" s="730">
        <f t="shared" si="179"/>
        <v>-102.13364115850359</v>
      </c>
      <c r="AS325" s="351"/>
      <c r="AT325" s="351"/>
      <c r="AV325" s="405">
        <f t="shared" si="180"/>
        <v>0</v>
      </c>
      <c r="AW325" s="405">
        <f t="shared" si="205"/>
        <v>0</v>
      </c>
      <c r="AX325" s="405">
        <f t="shared" si="181"/>
        <v>0</v>
      </c>
      <c r="AY325" s="405">
        <f t="shared" si="182"/>
        <v>0</v>
      </c>
    </row>
    <row r="326" spans="2:51" ht="13.5" thickBot="1" x14ac:dyDescent="0.25">
      <c r="B326" s="345">
        <v>23578.5</v>
      </c>
      <c r="C326" s="728" t="str">
        <f t="shared" si="165"/>
        <v>2.16217503399043</v>
      </c>
      <c r="D326" s="728" t="str">
        <f t="shared" si="166"/>
        <v>1+18.024683646449i</v>
      </c>
      <c r="E326" s="337">
        <f t="shared" si="184"/>
        <v>18.052402071596067</v>
      </c>
      <c r="F326" s="338">
        <f t="shared" si="185"/>
        <v>1.5153736675417941</v>
      </c>
      <c r="G326" s="338" t="str">
        <f t="shared" si="167"/>
        <v>1+0.074074042382667i</v>
      </c>
      <c r="H326" s="337">
        <f t="shared" si="186"/>
        <v>1.0027397288204498</v>
      </c>
      <c r="I326" s="338">
        <f t="shared" si="187"/>
        <v>7.3939006139474031E-2</v>
      </c>
      <c r="J326" s="340">
        <f t="shared" si="168"/>
        <v>1</v>
      </c>
      <c r="K326" s="338">
        <f t="shared" si="188"/>
        <v>1</v>
      </c>
      <c r="L326" s="339">
        <f t="shared" si="189"/>
        <v>0</v>
      </c>
      <c r="M326" s="731" t="str">
        <f t="shared" si="169"/>
        <v>0.9752913039+0.348243569861617i</v>
      </c>
      <c r="N326" s="338">
        <f t="shared" si="190"/>
        <v>1.0355996868543971</v>
      </c>
      <c r="O326" s="339">
        <f t="shared" si="191"/>
        <v>0.34295596242088539</v>
      </c>
      <c r="P326" s="732" t="str">
        <f t="shared" si="183"/>
        <v>-0.0245829790047985-0.113336317861066i</v>
      </c>
      <c r="Q326" s="337">
        <f t="shared" si="192"/>
        <v>0.11597173708733932</v>
      </c>
      <c r="R326" s="339">
        <f t="shared" si="193"/>
        <v>-1.7843906238232046</v>
      </c>
      <c r="S326" s="731" t="str">
        <f t="shared" si="170"/>
        <v>6000</v>
      </c>
      <c r="T326" s="337" t="str">
        <f t="shared" si="171"/>
        <v>1+149629.565612987i</v>
      </c>
      <c r="U326" s="346">
        <f t="shared" si="194"/>
        <v>149629.56561632859</v>
      </c>
      <c r="V326" s="347">
        <f t="shared" si="195"/>
        <v>1.5707896436237205</v>
      </c>
      <c r="W326" s="340" t="str">
        <f t="shared" si="172"/>
        <v>1+1481.48084765334i</v>
      </c>
      <c r="X326" s="337">
        <f t="shared" si="196"/>
        <v>1481.4811851534459</v>
      </c>
      <c r="Y326" s="339">
        <f t="shared" si="197"/>
        <v>1.5701213266086242</v>
      </c>
      <c r="Z326" s="337" t="str">
        <f t="shared" si="173"/>
        <v>1+14.9236323226873i</v>
      </c>
      <c r="AA326" s="346">
        <f t="shared" si="198"/>
        <v>14.95709870605784</v>
      </c>
      <c r="AB326" s="347">
        <f t="shared" si="199"/>
        <v>1.5038885314816783</v>
      </c>
      <c r="AC326" s="732" t="str">
        <f t="shared" si="200"/>
        <v>0.262894731403694-3.96304631802543i</v>
      </c>
      <c r="AD326" s="337">
        <f t="shared" si="201"/>
        <v>3.9717565079715977</v>
      </c>
      <c r="AE326" s="339">
        <f t="shared" si="202"/>
        <v>-1.5045568484967744</v>
      </c>
      <c r="AF326" s="736" t="str">
        <f t="shared" si="174"/>
        <v>-0.455619812860427+0.0676279635886945i</v>
      </c>
      <c r="AG326" s="337">
        <f t="shared" si="203"/>
        <v>-6.7333044371543203</v>
      </c>
      <c r="AH326" s="730">
        <f t="shared" si="204"/>
        <v>171.55719079584506</v>
      </c>
      <c r="AI326" s="360">
        <f t="shared" si="175"/>
        <v>-8.4428092041549405</v>
      </c>
      <c r="AL326" s="337">
        <f t="shared" si="176"/>
        <v>11.979652316679761</v>
      </c>
      <c r="AM326" s="730">
        <f t="shared" si="177"/>
        <v>-86.204757456369194</v>
      </c>
      <c r="AN326" s="351"/>
      <c r="AO326" s="337">
        <f t="shared" si="178"/>
        <v>34.558974444905346</v>
      </c>
      <c r="AP326" s="730">
        <f t="shared" si="179"/>
        <v>-102.23805174778573</v>
      </c>
      <c r="AS326" s="351"/>
      <c r="AT326" s="351"/>
      <c r="AV326" s="405">
        <f t="shared" si="180"/>
        <v>0</v>
      </c>
      <c r="AW326" s="405">
        <f t="shared" si="205"/>
        <v>0</v>
      </c>
      <c r="AX326" s="405">
        <f t="shared" si="181"/>
        <v>0</v>
      </c>
      <c r="AY326" s="405">
        <f t="shared" si="182"/>
        <v>0</v>
      </c>
    </row>
    <row r="327" spans="2:51" ht="13.5" thickBot="1" x14ac:dyDescent="0.25">
      <c r="B327" s="345">
        <v>23715</v>
      </c>
      <c r="C327" s="728" t="str">
        <f t="shared" si="165"/>
        <v>2.16217503399043</v>
      </c>
      <c r="D327" s="728" t="str">
        <f t="shared" si="166"/>
        <v>1+18.129031646438i</v>
      </c>
      <c r="E327" s="337">
        <f t="shared" si="184"/>
        <v>18.156590771330134</v>
      </c>
      <c r="F327" s="338">
        <f t="shared" si="185"/>
        <v>1.5156920248572434</v>
      </c>
      <c r="G327" s="338" t="str">
        <f t="shared" si="167"/>
        <v>1+0.074502869779882i</v>
      </c>
      <c r="H327" s="337">
        <f t="shared" si="186"/>
        <v>1.0027714982015783</v>
      </c>
      <c r="I327" s="338">
        <f t="shared" si="187"/>
        <v>7.4365479917597177E-2</v>
      </c>
      <c r="J327" s="340">
        <f t="shared" si="168"/>
        <v>1</v>
      </c>
      <c r="K327" s="338">
        <f t="shared" si="188"/>
        <v>1</v>
      </c>
      <c r="L327" s="339">
        <f t="shared" si="189"/>
        <v>0</v>
      </c>
      <c r="M327" s="731" t="str">
        <f t="shared" si="169"/>
        <v>0.97500439+0.350259611903567i</v>
      </c>
      <c r="N327" s="338">
        <f t="shared" si="190"/>
        <v>1.0360093417774328</v>
      </c>
      <c r="O327" s="339">
        <f t="shared" si="191"/>
        <v>0.34488173639616598</v>
      </c>
      <c r="P327" s="732" t="str">
        <f t="shared" si="183"/>
        <v>-0.0246377323431853-0.112600369467886i</v>
      </c>
      <c r="Q327" s="337">
        <f t="shared" si="192"/>
        <v>0.11526430956423099</v>
      </c>
      <c r="R327" s="339">
        <f t="shared" si="193"/>
        <v>-1.7862082813358131</v>
      </c>
      <c r="S327" s="731" t="str">
        <f t="shared" si="170"/>
        <v>6000</v>
      </c>
      <c r="T327" s="337" t="str">
        <f t="shared" si="171"/>
        <v>1+150495.796955362i</v>
      </c>
      <c r="U327" s="346">
        <f t="shared" si="194"/>
        <v>150495.79695868437</v>
      </c>
      <c r="V327" s="347">
        <f t="shared" si="195"/>
        <v>1.5707896820910563</v>
      </c>
      <c r="W327" s="340" t="str">
        <f t="shared" si="172"/>
        <v>1+1490.05739559764i</v>
      </c>
      <c r="X327" s="337">
        <f t="shared" si="196"/>
        <v>1490.057731155146</v>
      </c>
      <c r="Y327" s="339">
        <f t="shared" si="197"/>
        <v>1.5701252118077675</v>
      </c>
      <c r="Z327" s="337" t="str">
        <f t="shared" si="173"/>
        <v>1+15.0100278021303i</v>
      </c>
      <c r="AA327" s="346">
        <f t="shared" si="198"/>
        <v>15.043301985293143</v>
      </c>
      <c r="AB327" s="347">
        <f t="shared" si="199"/>
        <v>1.5042725043130458</v>
      </c>
      <c r="AC327" s="732" t="str">
        <f t="shared" si="200"/>
        <v>0.259890410086907-3.94043576907084i</v>
      </c>
      <c r="AD327" s="337">
        <f t="shared" si="201"/>
        <v>3.9489969708051236</v>
      </c>
      <c r="AE327" s="339">
        <f t="shared" si="202"/>
        <v>-1.5049369745963348</v>
      </c>
      <c r="AF327" s="736" t="str">
        <f t="shared" si="174"/>
        <v>-0.450097633824132+0.0678196455969347i</v>
      </c>
      <c r="AG327" s="337">
        <f t="shared" si="203"/>
        <v>-6.8363669243262564</v>
      </c>
      <c r="AH327" s="730">
        <f t="shared" si="204"/>
        <v>171.43126707058477</v>
      </c>
      <c r="AI327" s="360">
        <f t="shared" si="175"/>
        <v>-8.5687329294152335</v>
      </c>
      <c r="AL327" s="337">
        <f t="shared" si="176"/>
        <v>11.929736011965</v>
      </c>
      <c r="AM327" s="730">
        <f t="shared" si="177"/>
        <v>-86.22653707755677</v>
      </c>
      <c r="AN327" s="351"/>
      <c r="AO327" s="337">
        <f t="shared" si="178"/>
        <v>34.505828262448176</v>
      </c>
      <c r="AP327" s="730">
        <f t="shared" si="179"/>
        <v>-102.34219585185851</v>
      </c>
      <c r="AS327" s="351"/>
      <c r="AT327" s="351"/>
      <c r="AV327" s="405">
        <f t="shared" si="180"/>
        <v>0</v>
      </c>
      <c r="AW327" s="405">
        <f t="shared" si="205"/>
        <v>0</v>
      </c>
      <c r="AX327" s="405">
        <f t="shared" si="181"/>
        <v>0</v>
      </c>
      <c r="AY327" s="405">
        <f t="shared" si="182"/>
        <v>0</v>
      </c>
    </row>
    <row r="328" spans="2:51" ht="13.5" thickBot="1" x14ac:dyDescent="0.25">
      <c r="B328" s="345">
        <v>23851.5</v>
      </c>
      <c r="C328" s="728" t="str">
        <f t="shared" si="165"/>
        <v>2.16217503399043</v>
      </c>
      <c r="D328" s="728" t="str">
        <f t="shared" si="166"/>
        <v>1+18.2333796464269i</v>
      </c>
      <c r="E328" s="337">
        <f t="shared" si="184"/>
        <v>18.260781290260685</v>
      </c>
      <c r="F328" s="338">
        <f t="shared" si="185"/>
        <v>1.5160067493023457</v>
      </c>
      <c r="G328" s="338" t="str">
        <f t="shared" si="167"/>
        <v>1+0.074931697177097i</v>
      </c>
      <c r="H328" s="337">
        <f t="shared" si="186"/>
        <v>1.0028034499550946</v>
      </c>
      <c r="I328" s="338">
        <f t="shared" si="187"/>
        <v>7.4791926596297492E-2</v>
      </c>
      <c r="J328" s="340">
        <f t="shared" si="168"/>
        <v>1</v>
      </c>
      <c r="K328" s="338">
        <f t="shared" si="188"/>
        <v>1</v>
      </c>
      <c r="L328" s="339">
        <f t="shared" si="189"/>
        <v>0</v>
      </c>
      <c r="M328" s="731" t="str">
        <f t="shared" si="169"/>
        <v>0.9747158199+0.352275653945517i</v>
      </c>
      <c r="N328" s="338">
        <f t="shared" si="190"/>
        <v>1.036421278209817</v>
      </c>
      <c r="O328" s="339">
        <f t="shared" si="191"/>
        <v>0.34680652403202794</v>
      </c>
      <c r="P328" s="732" t="str">
        <f t="shared" si="183"/>
        <v>-0.0246910728965415-0.111872390147629i</v>
      </c>
      <c r="Q328" s="337">
        <f t="shared" si="192"/>
        <v>0.11456474483070979</v>
      </c>
      <c r="R328" s="339">
        <f t="shared" si="193"/>
        <v>-1.7880213467380754</v>
      </c>
      <c r="S328" s="731" t="str">
        <f t="shared" si="170"/>
        <v>6000</v>
      </c>
      <c r="T328" s="337" t="str">
        <f t="shared" si="171"/>
        <v>1+151362.028297736i</v>
      </c>
      <c r="U328" s="346">
        <f t="shared" si="194"/>
        <v>151362.02830103933</v>
      </c>
      <c r="V328" s="347">
        <f t="shared" si="195"/>
        <v>1.5707897201181018</v>
      </c>
      <c r="W328" s="340" t="str">
        <f t="shared" si="172"/>
        <v>1+1498.63394354194i</v>
      </c>
      <c r="X328" s="337">
        <f t="shared" si="196"/>
        <v>1498.6342771790808</v>
      </c>
      <c r="Y328" s="339">
        <f t="shared" si="197"/>
        <v>1.5701290525376366</v>
      </c>
      <c r="Z328" s="337" t="str">
        <f t="shared" si="173"/>
        <v>1+15.0964232815732i</v>
      </c>
      <c r="AA328" s="346">
        <f t="shared" si="198"/>
        <v>15.129507457165461</v>
      </c>
      <c r="AB328" s="347">
        <f t="shared" si="199"/>
        <v>1.5046521015704095</v>
      </c>
      <c r="AC328" s="732" t="str">
        <f t="shared" si="200"/>
        <v>0.256937220963549-3.91808062937595i</v>
      </c>
      <c r="AD328" s="337">
        <f t="shared" si="201"/>
        <v>3.9264962184888845</v>
      </c>
      <c r="AE328" s="339">
        <f t="shared" si="202"/>
        <v>-1.5053127691508745</v>
      </c>
      <c r="AF328" s="736" t="str">
        <f t="shared" si="174"/>
        <v>-0.44466910045206+0.0679974334073671i</v>
      </c>
      <c r="AG328" s="337">
        <f t="shared" si="203"/>
        <v>-6.9388764865565866</v>
      </c>
      <c r="AH328" s="730">
        <f t="shared" si="204"/>
        <v>171.30585463311482</v>
      </c>
      <c r="AI328" s="360">
        <f t="shared" si="175"/>
        <v>-8.6941453668851807</v>
      </c>
      <c r="AL328" s="337">
        <f t="shared" si="176"/>
        <v>11.88010367060599</v>
      </c>
      <c r="AM328" s="730">
        <f t="shared" si="177"/>
        <v>-86.248068519495902</v>
      </c>
      <c r="AN328" s="351"/>
      <c r="AO328" s="337">
        <f t="shared" si="178"/>
        <v>34.452951041576853</v>
      </c>
      <c r="AP328" s="730">
        <f t="shared" si="179"/>
        <v>-102.44607684738932</v>
      </c>
      <c r="AS328" s="351"/>
      <c r="AT328" s="351"/>
      <c r="AV328" s="405">
        <f t="shared" si="180"/>
        <v>0</v>
      </c>
      <c r="AW328" s="405">
        <f t="shared" si="205"/>
        <v>0</v>
      </c>
      <c r="AX328" s="405">
        <f t="shared" si="181"/>
        <v>0</v>
      </c>
      <c r="AY328" s="405">
        <f t="shared" si="182"/>
        <v>0</v>
      </c>
    </row>
    <row r="329" spans="2:51" ht="13.5" thickBot="1" x14ac:dyDescent="0.25">
      <c r="B329" s="345">
        <v>23988</v>
      </c>
      <c r="C329" s="728" t="str">
        <f t="shared" si="165"/>
        <v>2.16217503399043</v>
      </c>
      <c r="D329" s="728" t="str">
        <f t="shared" si="166"/>
        <v>1+18.3377276464159i</v>
      </c>
      <c r="E329" s="337">
        <f t="shared" si="184"/>
        <v>18.364973597425234</v>
      </c>
      <c r="F329" s="338">
        <f t="shared" si="185"/>
        <v>1.5163179026466738</v>
      </c>
      <c r="G329" s="338" t="str">
        <f t="shared" si="167"/>
        <v>1+0.075360524574312i</v>
      </c>
      <c r="H329" s="337">
        <f t="shared" si="186"/>
        <v>1.002835584063567</v>
      </c>
      <c r="I329" s="338">
        <f t="shared" si="187"/>
        <v>7.5218346023068317E-2</v>
      </c>
      <c r="J329" s="340">
        <f t="shared" si="168"/>
        <v>1</v>
      </c>
      <c r="K329" s="338">
        <f t="shared" si="188"/>
        <v>1</v>
      </c>
      <c r="L329" s="339">
        <f t="shared" si="189"/>
        <v>0</v>
      </c>
      <c r="M329" s="731" t="str">
        <f t="shared" si="169"/>
        <v>0.9744255936+0.354291695987466i</v>
      </c>
      <c r="N329" s="338">
        <f t="shared" si="190"/>
        <v>1.0368354948150587</v>
      </c>
      <c r="O329" s="339">
        <f t="shared" si="191"/>
        <v>0.3487303209282866</v>
      </c>
      <c r="P329" s="732" t="str">
        <f t="shared" si="183"/>
        <v>-0.0247430308207037-0.111152247320218i</v>
      </c>
      <c r="Q329" s="337">
        <f t="shared" si="192"/>
        <v>0.11387291011706517</v>
      </c>
      <c r="R329" s="339">
        <f t="shared" si="193"/>
        <v>-1.7898298775518919</v>
      </c>
      <c r="S329" s="731" t="str">
        <f t="shared" si="170"/>
        <v>6000</v>
      </c>
      <c r="T329" s="337" t="str">
        <f t="shared" si="171"/>
        <v>1+152228.25964011i</v>
      </c>
      <c r="U329" s="346">
        <f t="shared" si="194"/>
        <v>152228.25964339453</v>
      </c>
      <c r="V329" s="347">
        <f t="shared" si="195"/>
        <v>1.5707897577123731</v>
      </c>
      <c r="W329" s="340" t="str">
        <f t="shared" si="172"/>
        <v>1+1507.21049148624i</v>
      </c>
      <c r="X329" s="337">
        <f t="shared" si="196"/>
        <v>1507.2108232248709</v>
      </c>
      <c r="Y329" s="339">
        <f t="shared" si="197"/>
        <v>1.5701328495573676</v>
      </c>
      <c r="Z329" s="337" t="str">
        <f t="shared" si="173"/>
        <v>1+15.1828187610163i</v>
      </c>
      <c r="AA329" s="346">
        <f t="shared" si="198"/>
        <v>15.215715084407586</v>
      </c>
      <c r="AB329" s="347">
        <f t="shared" si="199"/>
        <v>1.5050273975154609</v>
      </c>
      <c r="AC329" s="732" t="str">
        <f t="shared" si="200"/>
        <v>0.25403401191959-3.89597661472276i</v>
      </c>
      <c r="AD329" s="337">
        <f t="shared" si="201"/>
        <v>3.9042498718292324</v>
      </c>
      <c r="AE329" s="339">
        <f t="shared" si="202"/>
        <v>-1.5056843056704663</v>
      </c>
      <c r="AF329" s="736" t="str">
        <f t="shared" si="174"/>
        <v>-0.439332127619883+0.0681618181341926i</v>
      </c>
      <c r="AG329" s="337">
        <f t="shared" si="203"/>
        <v>-7.0408395147631628</v>
      </c>
      <c r="AH329" s="730">
        <f t="shared" si="204"/>
        <v>171.18094597585616</v>
      </c>
      <c r="AI329" s="360">
        <f t="shared" si="175"/>
        <v>-8.8190540241438384</v>
      </c>
      <c r="AL329" s="337">
        <f t="shared" si="176"/>
        <v>11.830752094257697</v>
      </c>
      <c r="AM329" s="730">
        <f t="shared" si="177"/>
        <v>-86.26935599400349</v>
      </c>
      <c r="AN329" s="351"/>
      <c r="AO329" s="337">
        <f t="shared" si="178"/>
        <v>34.400339589718584</v>
      </c>
      <c r="AP329" s="730">
        <f t="shared" si="179"/>
        <v>-102.54969803014029</v>
      </c>
      <c r="AS329" s="351"/>
      <c r="AT329" s="351"/>
      <c r="AV329" s="405">
        <f t="shared" si="180"/>
        <v>0</v>
      </c>
      <c r="AW329" s="405">
        <f t="shared" si="205"/>
        <v>0</v>
      </c>
      <c r="AX329" s="405">
        <f t="shared" si="181"/>
        <v>0</v>
      </c>
      <c r="AY329" s="405">
        <f t="shared" si="182"/>
        <v>0</v>
      </c>
    </row>
    <row r="330" spans="2:51" ht="13.5" thickBot="1" x14ac:dyDescent="0.25">
      <c r="B330" s="345">
        <v>24127.75</v>
      </c>
      <c r="C330" s="728" t="str">
        <f t="shared" si="165"/>
        <v>2.16217503399043</v>
      </c>
      <c r="D330" s="728" t="str">
        <f t="shared" si="166"/>
        <v>1+18.4445601225951i</v>
      </c>
      <c r="E330" s="337">
        <f t="shared" si="184"/>
        <v>18.471648494815653</v>
      </c>
      <c r="F330" s="338">
        <f t="shared" si="185"/>
        <v>1.516632827791617</v>
      </c>
      <c r="G330" s="338" t="str">
        <f t="shared" si="167"/>
        <v>1+0.075799562147651i</v>
      </c>
      <c r="H330" s="337">
        <f t="shared" si="186"/>
        <v>1.0028686721708757</v>
      </c>
      <c r="I330" s="338">
        <f t="shared" si="187"/>
        <v>7.5654889901207903E-2</v>
      </c>
      <c r="J330" s="340">
        <f t="shared" si="168"/>
        <v>1</v>
      </c>
      <c r="K330" s="338">
        <f t="shared" si="188"/>
        <v>1</v>
      </c>
      <c r="L330" s="339">
        <f t="shared" si="189"/>
        <v>0</v>
      </c>
      <c r="M330" s="731" t="str">
        <f t="shared" si="169"/>
        <v>0.974126741330556+0.356355739030414i</v>
      </c>
      <c r="N330" s="338">
        <f t="shared" si="190"/>
        <v>1.0372619345735195</v>
      </c>
      <c r="O330" s="339">
        <f t="shared" si="191"/>
        <v>0.35069889153415718</v>
      </c>
      <c r="P330" s="732" t="str">
        <f t="shared" si="183"/>
        <v>-0.024794824053596-0.110422941489448i</v>
      </c>
      <c r="Q330" s="337">
        <f t="shared" si="192"/>
        <v>0.11317247592515965</v>
      </c>
      <c r="R330" s="339">
        <f t="shared" si="193"/>
        <v>-1.7916768294245666</v>
      </c>
      <c r="S330" s="731" t="str">
        <f t="shared" si="170"/>
        <v>6000</v>
      </c>
      <c r="T330" s="337" t="str">
        <f t="shared" si="171"/>
        <v>1+153115.115538255i</v>
      </c>
      <c r="U330" s="346">
        <f t="shared" si="194"/>
        <v>153115.1155415205</v>
      </c>
      <c r="V330" s="347">
        <f t="shared" si="195"/>
        <v>1.5707897957610633</v>
      </c>
      <c r="W330" s="340" t="str">
        <f t="shared" si="172"/>
        <v>1+1515.99124295302i</v>
      </c>
      <c r="X330" s="337">
        <f t="shared" si="196"/>
        <v>1515.9915727701928</v>
      </c>
      <c r="Y330" s="339">
        <f t="shared" si="197"/>
        <v>1.5701366924733864</v>
      </c>
      <c r="Z330" s="337" t="str">
        <f t="shared" si="173"/>
        <v>1+15.2712712756841i</v>
      </c>
      <c r="AA330" s="346">
        <f t="shared" si="198"/>
        <v>15.303977469126588</v>
      </c>
      <c r="AB330" s="347">
        <f t="shared" si="199"/>
        <v>1.5054072487214347</v>
      </c>
      <c r="AC330" s="732" t="str">
        <f t="shared" si="200"/>
        <v>0.251112288880153-3.87360210493816i</v>
      </c>
      <c r="AD330" s="337">
        <f t="shared" si="201"/>
        <v>3.8817329440609352</v>
      </c>
      <c r="AE330" s="339">
        <f t="shared" si="202"/>
        <v>-1.5060603520091116</v>
      </c>
      <c r="AF330" s="736" t="str">
        <f t="shared" si="174"/>
        <v>-0.433960823607468+0.0683167250632863i</v>
      </c>
      <c r="AG330" s="337">
        <f t="shared" si="203"/>
        <v>-7.1446705863532598</v>
      </c>
      <c r="AH330" s="730">
        <f t="shared" si="204"/>
        <v>171.05357756048244</v>
      </c>
      <c r="AI330" s="360">
        <f t="shared" si="175"/>
        <v>-8.946422439517562</v>
      </c>
      <c r="AL330" s="337">
        <f t="shared" si="176"/>
        <v>11.780513068701499</v>
      </c>
      <c r="AM330" s="730">
        <f t="shared" si="177"/>
        <v>-86.290901862109209</v>
      </c>
      <c r="AN330" s="351"/>
      <c r="AO330" s="337">
        <f t="shared" si="178"/>
        <v>34.346747543684671</v>
      </c>
      <c r="AP330" s="730">
        <f t="shared" si="179"/>
        <v>-102.6555205774084</v>
      </c>
      <c r="AS330" s="351"/>
      <c r="AT330" s="351"/>
      <c r="AV330" s="405">
        <f t="shared" si="180"/>
        <v>0</v>
      </c>
      <c r="AW330" s="405">
        <f t="shared" si="205"/>
        <v>0</v>
      </c>
      <c r="AX330" s="405">
        <f t="shared" si="181"/>
        <v>0</v>
      </c>
      <c r="AY330" s="405">
        <f t="shared" si="182"/>
        <v>0</v>
      </c>
    </row>
    <row r="331" spans="2:51" ht="13.5" thickBot="1" x14ac:dyDescent="0.25">
      <c r="B331" s="345">
        <v>24267.5</v>
      </c>
      <c r="C331" s="728" t="str">
        <f t="shared" si="165"/>
        <v>2.16217503399043</v>
      </c>
      <c r="D331" s="728" t="str">
        <f t="shared" si="166"/>
        <v>1+18.5513925987744i</v>
      </c>
      <c r="E331" s="337">
        <f t="shared" si="184"/>
        <v>18.578325203146317</v>
      </c>
      <c r="F331" s="338">
        <f t="shared" si="185"/>
        <v>1.5169441363679621</v>
      </c>
      <c r="G331" s="338" t="str">
        <f t="shared" si="167"/>
        <v>1+0.0762385997209905i</v>
      </c>
      <c r="H331" s="337">
        <f t="shared" si="186"/>
        <v>1.0029019513827946</v>
      </c>
      <c r="I331" s="338">
        <f t="shared" si="187"/>
        <v>7.6091404890931996E-2</v>
      </c>
      <c r="J331" s="340">
        <f t="shared" si="168"/>
        <v>1</v>
      </c>
      <c r="K331" s="338">
        <f t="shared" si="188"/>
        <v>1</v>
      </c>
      <c r="L331" s="339">
        <f t="shared" si="189"/>
        <v>0</v>
      </c>
      <c r="M331" s="731" t="str">
        <f t="shared" si="169"/>
        <v>0.973826153055555+0.358419782073364i</v>
      </c>
      <c r="N331" s="338">
        <f t="shared" si="190"/>
        <v>1.0376907615260429</v>
      </c>
      <c r="O331" s="339">
        <f t="shared" si="191"/>
        <v>0.35266641438872409</v>
      </c>
      <c r="P331" s="732" t="str">
        <f t="shared" si="183"/>
        <v>-0.0248452293647239-0.109701577928518i</v>
      </c>
      <c r="Q331" s="337">
        <f t="shared" si="192"/>
        <v>0.11247987207581829</v>
      </c>
      <c r="R331" s="339">
        <f t="shared" si="193"/>
        <v>-1.7935191458657549</v>
      </c>
      <c r="S331" s="731" t="str">
        <f t="shared" si="170"/>
        <v>6000</v>
      </c>
      <c r="T331" s="337" t="str">
        <f t="shared" si="171"/>
        <v>1+154001.971436401i</v>
      </c>
      <c r="U331" s="346">
        <f t="shared" si="194"/>
        <v>154001.97143964772</v>
      </c>
      <c r="V331" s="347">
        <f t="shared" si="195"/>
        <v>1.5707898333715289</v>
      </c>
      <c r="W331" s="340" t="str">
        <f t="shared" si="172"/>
        <v>1+1524.77199441981i</v>
      </c>
      <c r="X331" s="337">
        <f t="shared" si="196"/>
        <v>1524.7723223376547</v>
      </c>
      <c r="Y331" s="339">
        <f t="shared" si="197"/>
        <v>1.5701404911287864</v>
      </c>
      <c r="Z331" s="337" t="str">
        <f t="shared" si="173"/>
        <v>1+15.359723790352i</v>
      </c>
      <c r="AA331" s="346">
        <f t="shared" si="198"/>
        <v>15.392242036685401</v>
      </c>
      <c r="AB331" s="347">
        <f t="shared" si="199"/>
        <v>1.5057827435783651</v>
      </c>
      <c r="AC331" s="732" t="str">
        <f t="shared" si="200"/>
        <v>0.248240612537628-3.85148203440763i</v>
      </c>
      <c r="AD331" s="337">
        <f t="shared" si="201"/>
        <v>3.8594737028612842</v>
      </c>
      <c r="AE331" s="339">
        <f t="shared" si="202"/>
        <v>-1.5064320858211078</v>
      </c>
      <c r="AF331" s="736" t="str">
        <f t="shared" si="174"/>
        <v>-0.428681251493993+0.0684585676376513i</v>
      </c>
      <c r="AG331" s="337">
        <f t="shared" si="203"/>
        <v>-7.247942002175396</v>
      </c>
      <c r="AH331" s="730">
        <f t="shared" si="204"/>
        <v>170.92672182534508</v>
      </c>
      <c r="AI331" s="360">
        <f t="shared" si="175"/>
        <v>-9.0732781746549165</v>
      </c>
      <c r="AL331" s="337">
        <f t="shared" si="176"/>
        <v>11.73056172282986</v>
      </c>
      <c r="AM331" s="730">
        <f t="shared" si="177"/>
        <v>-86.312200640638892</v>
      </c>
      <c r="AN331" s="351"/>
      <c r="AO331" s="337">
        <f t="shared" si="178"/>
        <v>34.29342747373417</v>
      </c>
      <c r="AP331" s="730">
        <f t="shared" si="179"/>
        <v>-102.76107753401602</v>
      </c>
      <c r="AS331" s="351"/>
      <c r="AT331" s="351"/>
      <c r="AV331" s="405">
        <f t="shared" si="180"/>
        <v>0</v>
      </c>
      <c r="AW331" s="405">
        <f t="shared" si="205"/>
        <v>0</v>
      </c>
      <c r="AX331" s="405">
        <f t="shared" si="181"/>
        <v>0</v>
      </c>
      <c r="AY331" s="405">
        <f t="shared" si="182"/>
        <v>0</v>
      </c>
    </row>
    <row r="332" spans="2:51" ht="13.5" thickBot="1" x14ac:dyDescent="0.25">
      <c r="B332" s="345">
        <v>24407.25</v>
      </c>
      <c r="C332" s="728" t="str">
        <f t="shared" si="165"/>
        <v>2.16217503399043</v>
      </c>
      <c r="D332" s="728" t="str">
        <f t="shared" si="166"/>
        <v>1+18.6582250749535i</v>
      </c>
      <c r="E332" s="337">
        <f t="shared" si="184"/>
        <v>18.685003691399782</v>
      </c>
      <c r="F332" s="338">
        <f t="shared" si="185"/>
        <v>1.5172518902591856</v>
      </c>
      <c r="G332" s="338" t="str">
        <f t="shared" si="167"/>
        <v>1+0.0766776372943295i</v>
      </c>
      <c r="H332" s="337">
        <f t="shared" si="186"/>
        <v>1.0029354216802997</v>
      </c>
      <c r="I332" s="338">
        <f t="shared" si="187"/>
        <v>7.6527890828771858E-2</v>
      </c>
      <c r="J332" s="340">
        <f t="shared" si="168"/>
        <v>1</v>
      </c>
      <c r="K332" s="338">
        <f t="shared" si="188"/>
        <v>1</v>
      </c>
      <c r="L332" s="339">
        <f t="shared" si="189"/>
        <v>0</v>
      </c>
      <c r="M332" s="731" t="str">
        <f t="shared" si="169"/>
        <v>0.973523828775+0.360483825116312i</v>
      </c>
      <c r="N332" s="338">
        <f t="shared" si="190"/>
        <v>1.0381219742223087</v>
      </c>
      <c r="O332" s="339">
        <f t="shared" si="191"/>
        <v>0.3546328848332016</v>
      </c>
      <c r="P332" s="732" t="str">
        <f t="shared" si="183"/>
        <v>-0.0248942764978699-0.108988023732685i</v>
      </c>
      <c r="Q332" s="337">
        <f t="shared" si="192"/>
        <v>0.11179496553740112</v>
      </c>
      <c r="R332" s="339">
        <f t="shared" si="193"/>
        <v>-1.7953568842636141</v>
      </c>
      <c r="S332" s="731" t="str">
        <f t="shared" si="170"/>
        <v>6000</v>
      </c>
      <c r="T332" s="337" t="str">
        <f t="shared" si="171"/>
        <v>1+154888.827334546i</v>
      </c>
      <c r="U332" s="346">
        <f t="shared" si="194"/>
        <v>154888.8273377741</v>
      </c>
      <c r="V332" s="347">
        <f t="shared" si="195"/>
        <v>1.5707898705512979</v>
      </c>
      <c r="W332" s="340" t="str">
        <f t="shared" si="172"/>
        <v>1+1533.55274588659i</v>
      </c>
      <c r="X332" s="337">
        <f t="shared" si="196"/>
        <v>1533.5530719268572</v>
      </c>
      <c r="Y332" s="339">
        <f t="shared" si="197"/>
        <v>1.5701442462838442</v>
      </c>
      <c r="Z332" s="337" t="str">
        <f t="shared" si="173"/>
        <v>1+15.4481763050198i</v>
      </c>
      <c r="AA332" s="346">
        <f t="shared" si="198"/>
        <v>15.480508749746409</v>
      </c>
      <c r="AB332" s="347">
        <f t="shared" si="199"/>
        <v>1.5061539564964974</v>
      </c>
      <c r="AC332" s="732" t="str">
        <f t="shared" si="200"/>
        <v>0.245417847958299-3.8296121060257i</v>
      </c>
      <c r="AD332" s="337">
        <f t="shared" si="201"/>
        <v>3.8374677591759752</v>
      </c>
      <c r="AE332" s="339">
        <f t="shared" si="202"/>
        <v>-1.5067995807639512</v>
      </c>
      <c r="AF332" s="736" t="str">
        <f t="shared" si="174"/>
        <v>-0.423491354863093+0.0685878164092901i</v>
      </c>
      <c r="AG332" s="337">
        <f t="shared" si="203"/>
        <v>-7.350660277103227</v>
      </c>
      <c r="AH332" s="730">
        <f t="shared" si="204"/>
        <v>170.80037126208128</v>
      </c>
      <c r="AI332" s="360">
        <f t="shared" si="175"/>
        <v>-9.1996287379187152</v>
      </c>
      <c r="AL332" s="337">
        <f t="shared" si="176"/>
        <v>11.680894794743111</v>
      </c>
      <c r="AM332" s="730">
        <f t="shared" si="177"/>
        <v>-86.33325654985623</v>
      </c>
      <c r="AN332" s="351"/>
      <c r="AO332" s="337">
        <f t="shared" si="178"/>
        <v>34.240376126893096</v>
      </c>
      <c r="AP332" s="730">
        <f t="shared" si="179"/>
        <v>-102.86637218806247</v>
      </c>
      <c r="AS332" s="351"/>
      <c r="AT332" s="351"/>
      <c r="AV332" s="405">
        <f t="shared" si="180"/>
        <v>0</v>
      </c>
      <c r="AW332" s="405">
        <f t="shared" si="205"/>
        <v>0</v>
      </c>
      <c r="AX332" s="405">
        <f t="shared" si="181"/>
        <v>0</v>
      </c>
      <c r="AY332" s="405">
        <f t="shared" si="182"/>
        <v>0</v>
      </c>
    </row>
    <row r="333" spans="2:51" ht="13.5" thickBot="1" x14ac:dyDescent="0.25">
      <c r="B333" s="345">
        <v>24547</v>
      </c>
      <c r="C333" s="728" t="str">
        <f t="shared" ref="C333:C396" si="206">COMPLEX(Am*Afb,0)</f>
        <v>2.16217503399043</v>
      </c>
      <c r="D333" s="728" t="str">
        <f t="shared" ref="D333:D396" si="207">IMSUM(COMPLEX(1,0),IMDIV(COMPLEX(0,2*PI()*B333),COMPLEX(2*PI()*PS_Pole1,0)))</f>
        <v>1+18.7650575511327i</v>
      </c>
      <c r="E333" s="337">
        <f t="shared" si="184"/>
        <v>18.791683929263026</v>
      </c>
      <c r="F333" s="338">
        <f t="shared" si="185"/>
        <v>1.5175561499462455</v>
      </c>
      <c r="G333" s="338" t="str">
        <f t="shared" ref="G333:G396" si="208">IMSUM(COMPLEX(1,0),IMDIV(COMPLEX(0,2*PI()*B333),COMPLEX(2*PI()*PS_Zero1,0)))</f>
        <v>1+0.0771166748676685i</v>
      </c>
      <c r="H333" s="337">
        <f t="shared" si="186"/>
        <v>1.002969083044261</v>
      </c>
      <c r="I333" s="338">
        <f t="shared" si="187"/>
        <v>7.6964347551326265E-2</v>
      </c>
      <c r="J333" s="340">
        <f t="shared" ref="J333:J396" si="209">IF(VIN_nom&gt;Vout, 1,IMSUB(COMPLEX(1,0),IMDIV(COMPLEX(0,2*PI()*B333),COMPLEX(2*PI()*PS_RHPZ,0))))</f>
        <v>1</v>
      </c>
      <c r="K333" s="338">
        <f t="shared" si="188"/>
        <v>1</v>
      </c>
      <c r="L333" s="339">
        <f t="shared" si="189"/>
        <v>0</v>
      </c>
      <c r="M333" s="731" t="str">
        <f t="shared" ref="M333:M396" si="210">IMSUM(COMPLEX(1,0),IMDIV(COMPLEX(0,2*PI()*B333),COMPLEX(Q*(2*PI()*PS_Pole2/2),0)),IMDIV(IMPOWER(COMPLEX(0,2*PI()*B333),2),IMPOWER(COMPLEX(2*PI()*PS_Pole2/2,0),2)))</f>
        <v>0.973219768488889+0.362547868159259i</v>
      </c>
      <c r="N333" s="338">
        <f t="shared" si="190"/>
        <v>1.0385555712066592</v>
      </c>
      <c r="O333" s="339">
        <f t="shared" si="191"/>
        <v>0.35659829823023326</v>
      </c>
      <c r="P333" s="732" t="str">
        <f t="shared" si="183"/>
        <v>-0.0249419943727087-0.1082821489839i</v>
      </c>
      <c r="Q333" s="337">
        <f t="shared" si="192"/>
        <v>0.11111762628791055</v>
      </c>
      <c r="R333" s="339">
        <f t="shared" si="193"/>
        <v>-1.7971901006251536</v>
      </c>
      <c r="S333" s="731" t="str">
        <f t="shared" ref="S333:S396" si="211">COMPLEX(AEA,0)</f>
        <v>6000</v>
      </c>
      <c r="T333" s="337" t="str">
        <f t="shared" ref="T333:T396" si="212">IMSUM(COMPLEX(1,0),IMDIV(COMPLEX(0,2*PI()*B333),COMPLEX(2*PI()*EA_Pole1,0)))</f>
        <v>1+155775.68323269i</v>
      </c>
      <c r="U333" s="346">
        <f t="shared" si="194"/>
        <v>155775.68323589975</v>
      </c>
      <c r="V333" s="347">
        <f t="shared" si="195"/>
        <v>1.5707899073077261</v>
      </c>
      <c r="W333" s="340" t="str">
        <f t="shared" ref="W333:W396" si="213">IMSUM(COMPLEX(1,0),IMDIV(COMPLEX(0,2*PI()*B333),COMPLEX(2*PI()*EA_Zero1,0)))</f>
        <v>1+1542.33349735337i</v>
      </c>
      <c r="X333" s="337">
        <f t="shared" si="196"/>
        <v>1542.3338215374379</v>
      </c>
      <c r="Y333" s="339">
        <f t="shared" si="197"/>
        <v>1.5701479586815223</v>
      </c>
      <c r="Z333" s="337" t="str">
        <f t="shared" ref="Z333:Z396" si="214">IMSUM(COMPLEX(1,0),IMDIV(COMPLEX(0,2*PI()*B333),COMPLEX(2*PI()*EA_Pole2,0)))</f>
        <v>1+15.5366288196876i</v>
      </c>
      <c r="AA333" s="346">
        <f t="shared" si="198"/>
        <v>15.568777571818131</v>
      </c>
      <c r="AB333" s="347">
        <f t="shared" si="199"/>
        <v>1.5065209602033536</v>
      </c>
      <c r="AC333" s="732" t="str">
        <f t="shared" si="200"/>
        <v>0.242642892154426-3.80798811848718i</v>
      </c>
      <c r="AD333" s="337">
        <f t="shared" si="201"/>
        <v>3.8157108228549759</v>
      </c>
      <c r="AE333" s="339">
        <f t="shared" si="202"/>
        <v>-1.5071629088295571</v>
      </c>
      <c r="AF333" s="736" t="str">
        <f t="shared" ref="AF333:AF396" si="215">IMPRODUCT(P333,AC333)</f>
        <v>-0.418389134425643+0.0687049244244989i</v>
      </c>
      <c r="AG333" s="337">
        <f t="shared" si="203"/>
        <v>-7.4528318152887172</v>
      </c>
      <c r="AH333" s="730">
        <f t="shared" si="204"/>
        <v>170.67451853689286</v>
      </c>
      <c r="AI333" s="360">
        <f t="shared" ref="AI333:AI396" si="216">IF(AH333&gt;0,AH333-180,AH333+180)</f>
        <v>-9.3254814631071383</v>
      </c>
      <c r="AL333" s="337">
        <f t="shared" ref="AL333:AL396" si="217">20*LOG10(IMABS(AC333))</f>
        <v>11.63150907746946</v>
      </c>
      <c r="AM333" s="730">
        <f t="shared" ref="AM333:AM396" si="218">(180/PI())*IMARGUMENT(AC333)</f>
        <v>-86.354073714594094</v>
      </c>
      <c r="AN333" s="351"/>
      <c r="AO333" s="337">
        <f t="shared" ref="AO333:AO396" si="219">20*LOG10(IMABS(IMPRODUCT(COMPLEX(Am/Afb,0),P333)))</f>
        <v>34.18759030598126</v>
      </c>
      <c r="AP333" s="730">
        <f t="shared" ref="AP333:AP396" si="220">180/PI()*IMARGUMENT(IMPRODUCT(COMPLEX(Am/Afb,0),P333))</f>
        <v>-102.97140774851302</v>
      </c>
      <c r="AS333" s="351"/>
      <c r="AT333" s="351"/>
      <c r="AV333" s="405">
        <f t="shared" ref="AV333:AV396" si="221">SUM((AG334&lt;0)*(AG333&gt;0))*B333</f>
        <v>0</v>
      </c>
      <c r="AW333" s="405">
        <f t="shared" si="205"/>
        <v>0</v>
      </c>
      <c r="AX333" s="405">
        <f t="shared" ref="AX333:AX396" si="222">SUM((AL334&lt;0)*(AL333&gt;0))*B333</f>
        <v>0</v>
      </c>
      <c r="AY333" s="405">
        <f t="shared" ref="AY333:AY396" si="223">IF(AX333&gt;0,AM333,0)</f>
        <v>0</v>
      </c>
    </row>
    <row r="334" spans="2:51" ht="13.5" thickBot="1" x14ac:dyDescent="0.25">
      <c r="B334" s="345">
        <v>24690</v>
      </c>
      <c r="C334" s="728" t="str">
        <f t="shared" si="206"/>
        <v>2.16217503399043</v>
      </c>
      <c r="D334" s="728" t="str">
        <f t="shared" si="207"/>
        <v>1+18.8743745035021i</v>
      </c>
      <c r="E334" s="337">
        <f t="shared" si="184"/>
        <v>18.900846883101565</v>
      </c>
      <c r="F334" s="338">
        <f t="shared" si="185"/>
        <v>1.5178639300625432</v>
      </c>
      <c r="G334" s="338" t="str">
        <f t="shared" si="208"/>
        <v>1+0.077565922617132i</v>
      </c>
      <c r="H334" s="337">
        <f t="shared" si="186"/>
        <v>1.0030037249938042</v>
      </c>
      <c r="I334" s="338">
        <f t="shared" si="187"/>
        <v>7.741092401750832E-2</v>
      </c>
      <c r="J334" s="340">
        <f t="shared" si="209"/>
        <v>1</v>
      </c>
      <c r="K334" s="338">
        <f t="shared" si="188"/>
        <v>1</v>
      </c>
      <c r="L334" s="339">
        <f t="shared" si="189"/>
        <v>0</v>
      </c>
      <c r="M334" s="731" t="str">
        <f t="shared" si="210"/>
        <v>0.97290684+0.364659912203207i</v>
      </c>
      <c r="N334" s="338">
        <f t="shared" si="190"/>
        <v>1.0390017184234279</v>
      </c>
      <c r="O334" s="339">
        <f t="shared" si="191"/>
        <v>0.35860831989346703</v>
      </c>
      <c r="P334" s="732" t="str">
        <f t="shared" ref="P334:P397" si="224">(IMDIV(IMPRODUCT(C334,G334,J334),IMPRODUCT(D334,M334)))</f>
        <v>-0.0249894753112581-0.107567675473061i</v>
      </c>
      <c r="Q334" s="337">
        <f t="shared" si="192"/>
        <v>0.11043223570592849</v>
      </c>
      <c r="R334" s="339">
        <f t="shared" si="193"/>
        <v>-1.7990613259385015</v>
      </c>
      <c r="S334" s="731" t="str">
        <f t="shared" si="211"/>
        <v>6000</v>
      </c>
      <c r="T334" s="337" t="str">
        <f t="shared" si="212"/>
        <v>1+156683.163686607i</v>
      </c>
      <c r="U334" s="346">
        <f t="shared" si="194"/>
        <v>156683.16368979815</v>
      </c>
      <c r="V334" s="347">
        <f t="shared" si="195"/>
        <v>1.5707899444882309</v>
      </c>
      <c r="W334" s="340" t="str">
        <f t="shared" si="213"/>
        <v>1+1551.31845234264i</v>
      </c>
      <c r="X334" s="337">
        <f t="shared" si="196"/>
        <v>1551.3187746490933</v>
      </c>
      <c r="Y334" s="339">
        <f t="shared" si="197"/>
        <v>1.5701517139109453</v>
      </c>
      <c r="Z334" s="337" t="str">
        <f t="shared" si="214"/>
        <v>1+15.6271383695803i</v>
      </c>
      <c r="AA334" s="346">
        <f t="shared" si="198"/>
        <v>15.659101303140254</v>
      </c>
      <c r="AB334" s="347">
        <f t="shared" si="199"/>
        <v>1.5068922158496587</v>
      </c>
      <c r="AC334" s="732" t="str">
        <f t="shared" si="200"/>
        <v>0.239851773722931-3.78611154921952i</v>
      </c>
      <c r="AD334" s="337">
        <f t="shared" si="201"/>
        <v>3.7937012977422815</v>
      </c>
      <c r="AE334" s="339">
        <f t="shared" si="202"/>
        <v>-1.5075304464269443</v>
      </c>
      <c r="AF334" s="736" t="str">
        <f t="shared" si="215"/>
        <v>-0.413256988409064+0.0688126433274241i</v>
      </c>
      <c r="AG334" s="337">
        <f t="shared" si="203"/>
        <v>-7.5568200460586956</v>
      </c>
      <c r="AH334" s="730">
        <f t="shared" si="204"/>
        <v>170.54624687077731</v>
      </c>
      <c r="AI334" s="360">
        <f t="shared" si="216"/>
        <v>-9.4537531292226902</v>
      </c>
      <c r="AL334" s="337">
        <f t="shared" si="217"/>
        <v>11.5812626625808</v>
      </c>
      <c r="AM334" s="730">
        <f t="shared" si="218"/>
        <v>-86.375132067736772</v>
      </c>
      <c r="AN334" s="351"/>
      <c r="AO334" s="337">
        <f t="shared" si="219"/>
        <v>34.13384849009995</v>
      </c>
      <c r="AP334" s="730">
        <f t="shared" si="220"/>
        <v>-103.07862106148595</v>
      </c>
      <c r="AS334" s="351"/>
      <c r="AT334" s="351"/>
      <c r="AV334" s="405">
        <f t="shared" si="221"/>
        <v>0</v>
      </c>
      <c r="AW334" s="405">
        <f t="shared" si="205"/>
        <v>0</v>
      </c>
      <c r="AX334" s="405">
        <f t="shared" si="222"/>
        <v>0</v>
      </c>
      <c r="AY334" s="405">
        <f t="shared" si="223"/>
        <v>0</v>
      </c>
    </row>
    <row r="335" spans="2:51" ht="13.5" thickBot="1" x14ac:dyDescent="0.25">
      <c r="B335" s="345">
        <v>24833</v>
      </c>
      <c r="C335" s="728" t="str">
        <f t="shared" si="206"/>
        <v>2.16217503399043</v>
      </c>
      <c r="D335" s="728" t="str">
        <f t="shared" si="207"/>
        <v>1+18.9836914558716i</v>
      </c>
      <c r="E335" s="337">
        <f t="shared" si="184"/>
        <v>19.010011606827923</v>
      </c>
      <c r="F335" s="338">
        <f t="shared" si="185"/>
        <v>1.5181681753614267</v>
      </c>
      <c r="G335" s="338" t="str">
        <f t="shared" si="208"/>
        <v>1+0.0780151703665955i</v>
      </c>
      <c r="H335" s="337">
        <f t="shared" si="186"/>
        <v>1.003038566959082</v>
      </c>
      <c r="I335" s="338">
        <f t="shared" si="187"/>
        <v>7.785746954780795E-2</v>
      </c>
      <c r="J335" s="340">
        <f t="shared" si="209"/>
        <v>1</v>
      </c>
      <c r="K335" s="338">
        <f t="shared" si="188"/>
        <v>1</v>
      </c>
      <c r="L335" s="339">
        <f t="shared" si="189"/>
        <v>0</v>
      </c>
      <c r="M335" s="731" t="str">
        <f t="shared" si="210"/>
        <v>0.972592093822222+0.366771956247155i</v>
      </c>
      <c r="N335" s="338">
        <f t="shared" si="190"/>
        <v>1.0394503590142528</v>
      </c>
      <c r="O335" s="339">
        <f t="shared" si="191"/>
        <v>0.36061722501742371</v>
      </c>
      <c r="P335" s="732" t="str">
        <f t="shared" si="224"/>
        <v>-0.0250356231874763-0.106860976742097i</v>
      </c>
      <c r="Q335" s="337">
        <f t="shared" si="192"/>
        <v>0.10975450231612503</v>
      </c>
      <c r="R335" s="339">
        <f t="shared" si="193"/>
        <v>-1.8009279308310431</v>
      </c>
      <c r="S335" s="731" t="str">
        <f t="shared" si="211"/>
        <v>6000</v>
      </c>
      <c r="T335" s="337" t="str">
        <f t="shared" si="212"/>
        <v>1+157590.644140523i</v>
      </c>
      <c r="U335" s="346">
        <f t="shared" si="194"/>
        <v>157590.6441436958</v>
      </c>
      <c r="V335" s="347">
        <f t="shared" si="195"/>
        <v>1.5707899812405306</v>
      </c>
      <c r="W335" s="340" t="str">
        <f t="shared" si="213"/>
        <v>1+1560.30340733191i</v>
      </c>
      <c r="X335" s="337">
        <f t="shared" si="196"/>
        <v>1560.3037277823728</v>
      </c>
      <c r="Y335" s="339">
        <f t="shared" si="197"/>
        <v>1.5701554258916601</v>
      </c>
      <c r="Z335" s="337" t="str">
        <f t="shared" si="214"/>
        <v>1+15.717647919473i</v>
      </c>
      <c r="AA335" s="346">
        <f t="shared" si="198"/>
        <v>15.749427168011984</v>
      </c>
      <c r="AB335" s="347">
        <f t="shared" si="199"/>
        <v>1.5072592131070777</v>
      </c>
      <c r="AC335" s="732" t="str">
        <f t="shared" si="200"/>
        <v>0.237108474821014-3.76448388852997i</v>
      </c>
      <c r="AD335" s="337">
        <f t="shared" si="201"/>
        <v>3.7719437132377345</v>
      </c>
      <c r="AE335" s="339">
        <f t="shared" si="202"/>
        <v>-1.5078937684559481</v>
      </c>
      <c r="AF335" s="736" t="str">
        <f t="shared" si="215"/>
        <v>-0.408212583688376+0.0689085569153594i</v>
      </c>
      <c r="AG335" s="337">
        <f t="shared" si="203"/>
        <v>-7.6602490372198373</v>
      </c>
      <c r="AH335" s="730">
        <f t="shared" si="204"/>
        <v>170.41848146955016</v>
      </c>
      <c r="AI335" s="360">
        <f t="shared" si="216"/>
        <v>-9.5815185304498414</v>
      </c>
      <c r="AL335" s="337">
        <f t="shared" si="217"/>
        <v>11.531304067240885</v>
      </c>
      <c r="AM335" s="730">
        <f t="shared" si="218"/>
        <v>-86.39594888660281</v>
      </c>
      <c r="AN335" s="351"/>
      <c r="AO335" s="337">
        <f t="shared" si="219"/>
        <v>34.080378094278714</v>
      </c>
      <c r="AP335" s="730">
        <f t="shared" si="220"/>
        <v>-103.18556964384697</v>
      </c>
      <c r="AS335" s="351"/>
      <c r="AT335" s="351"/>
      <c r="AV335" s="405">
        <f t="shared" si="221"/>
        <v>0</v>
      </c>
      <c r="AW335" s="405">
        <f t="shared" si="205"/>
        <v>0</v>
      </c>
      <c r="AX335" s="405">
        <f t="shared" si="222"/>
        <v>0</v>
      </c>
      <c r="AY335" s="405">
        <f t="shared" si="223"/>
        <v>0</v>
      </c>
    </row>
    <row r="336" spans="2:51" ht="13.5" thickBot="1" x14ac:dyDescent="0.25">
      <c r="B336" s="345">
        <v>24976</v>
      </c>
      <c r="C336" s="728" t="str">
        <f t="shared" si="206"/>
        <v>2.16217503399043</v>
      </c>
      <c r="D336" s="728" t="str">
        <f t="shared" si="207"/>
        <v>1+19.0930084082409i</v>
      </c>
      <c r="E336" s="337">
        <f t="shared" si="184"/>
        <v>19.119178070125237</v>
      </c>
      <c r="F336" s="338">
        <f t="shared" si="185"/>
        <v>1.5184689463352616</v>
      </c>
      <c r="G336" s="338" t="str">
        <f t="shared" si="208"/>
        <v>1+0.0784644181160585i</v>
      </c>
      <c r="H336" s="337">
        <f t="shared" si="186"/>
        <v>1.0030736089192516</v>
      </c>
      <c r="I336" s="338">
        <f t="shared" si="187"/>
        <v>7.8303983967372676E-2</v>
      </c>
      <c r="J336" s="340">
        <f t="shared" si="209"/>
        <v>1</v>
      </c>
      <c r="K336" s="338">
        <f t="shared" si="188"/>
        <v>1</v>
      </c>
      <c r="L336" s="339">
        <f t="shared" si="189"/>
        <v>0</v>
      </c>
      <c r="M336" s="731" t="str">
        <f t="shared" si="210"/>
        <v>0.972275529955556+0.368884000291101i</v>
      </c>
      <c r="N336" s="338">
        <f t="shared" si="190"/>
        <v>1.0399014914024898</v>
      </c>
      <c r="O336" s="339">
        <f t="shared" si="191"/>
        <v>0.36262500870357689</v>
      </c>
      <c r="P336" s="732" t="str">
        <f t="shared" si="224"/>
        <v>-0.0250804664836672-0.106161922774096i</v>
      </c>
      <c r="Q336" s="337">
        <f t="shared" si="192"/>
        <v>0.10908429605645112</v>
      </c>
      <c r="R336" s="339">
        <f t="shared" si="193"/>
        <v>-1.8027899710714657</v>
      </c>
      <c r="S336" s="731" t="str">
        <f t="shared" si="211"/>
        <v>6000</v>
      </c>
      <c r="T336" s="337" t="str">
        <f t="shared" si="212"/>
        <v>1+158498.124594438i</v>
      </c>
      <c r="U336" s="346">
        <f t="shared" si="194"/>
        <v>158498.12459759263</v>
      </c>
      <c r="V336" s="347">
        <f t="shared" si="195"/>
        <v>1.5707900175719796</v>
      </c>
      <c r="W336" s="340" t="str">
        <f t="shared" si="213"/>
        <v>1+1569.28836232117i</v>
      </c>
      <c r="X336" s="337">
        <f t="shared" si="196"/>
        <v>1569.2886809368952</v>
      </c>
      <c r="Y336" s="339">
        <f t="shared" si="197"/>
        <v>1.5701590953665272</v>
      </c>
      <c r="Z336" s="337" t="str">
        <f t="shared" si="214"/>
        <v>1+15.8081574693656i</v>
      </c>
      <c r="AA336" s="346">
        <f t="shared" si="198"/>
        <v>15.839755129933652</v>
      </c>
      <c r="AB336" s="347">
        <f t="shared" si="199"/>
        <v>1.5076220247277006</v>
      </c>
      <c r="AC336" s="732" t="str">
        <f t="shared" si="200"/>
        <v>0.234411910727911-3.74310092966068i</v>
      </c>
      <c r="AD336" s="337">
        <f t="shared" si="201"/>
        <v>3.7504337767140692</v>
      </c>
      <c r="AE336" s="339">
        <f t="shared" si="202"/>
        <v>-1.5082529469331534</v>
      </c>
      <c r="AF336" s="736" t="str">
        <f t="shared" si="215"/>
        <v>-0.403253951900668+0.0689930982473135i</v>
      </c>
      <c r="AG336" s="337">
        <f t="shared" si="203"/>
        <v>-7.7631253060809442</v>
      </c>
      <c r="AH336" s="730">
        <f t="shared" si="204"/>
        <v>170.29121501165463</v>
      </c>
      <c r="AI336" s="360">
        <f t="shared" si="216"/>
        <v>-9.7087849883453714</v>
      </c>
      <c r="AL336" s="337">
        <f t="shared" si="217"/>
        <v>11.481630026225996</v>
      </c>
      <c r="AM336" s="730">
        <f t="shared" si="218"/>
        <v>-86.416528297438603</v>
      </c>
      <c r="AN336" s="351"/>
      <c r="AO336" s="337">
        <f t="shared" si="219"/>
        <v>34.027175866432486</v>
      </c>
      <c r="AP336" s="730">
        <f t="shared" si="220"/>
        <v>-103.29225669090673</v>
      </c>
      <c r="AS336" s="351"/>
      <c r="AT336" s="351"/>
      <c r="AV336" s="405">
        <f t="shared" si="221"/>
        <v>0</v>
      </c>
      <c r="AW336" s="405">
        <f t="shared" si="205"/>
        <v>0</v>
      </c>
      <c r="AX336" s="405">
        <f t="shared" si="222"/>
        <v>0</v>
      </c>
      <c r="AY336" s="405">
        <f t="shared" si="223"/>
        <v>0</v>
      </c>
    </row>
    <row r="337" spans="2:51" ht="13.5" thickBot="1" x14ac:dyDescent="0.25">
      <c r="B337" s="345">
        <v>25119</v>
      </c>
      <c r="C337" s="728" t="str">
        <f t="shared" si="206"/>
        <v>2.16217503399043</v>
      </c>
      <c r="D337" s="728" t="str">
        <f t="shared" si="207"/>
        <v>1+19.2023253606104i</v>
      </c>
      <c r="E337" s="337">
        <f t="shared" ref="E337:E400" si="225">IMABS(D337)</f>
        <v>19.228346243365323</v>
      </c>
      <c r="F337" s="338">
        <f t="shared" ref="F337:F400" si="226">IMARGUMENT(D337)</f>
        <v>1.5187663021051909</v>
      </c>
      <c r="G337" s="338" t="str">
        <f t="shared" si="208"/>
        <v>1+0.078913665865522i</v>
      </c>
      <c r="H337" s="337">
        <f t="shared" ref="H337:H400" si="227">IMABS(G337)</f>
        <v>1.0031088508533534</v>
      </c>
      <c r="I337" s="338">
        <f t="shared" ref="I337:I400" si="228">IMARGUMENT(G337)</f>
        <v>7.8750467101425553E-2</v>
      </c>
      <c r="J337" s="340">
        <f t="shared" si="209"/>
        <v>1</v>
      </c>
      <c r="K337" s="338">
        <f t="shared" ref="K337:K400" si="229">IMABS(J337)</f>
        <v>1</v>
      </c>
      <c r="L337" s="339">
        <f t="shared" ref="L337:L400" si="230">IMARGUMENT(J337)</f>
        <v>0</v>
      </c>
      <c r="M337" s="731" t="str">
        <f t="shared" si="210"/>
        <v>0.9719571484+0.370996044335049i</v>
      </c>
      <c r="N337" s="338">
        <f t="shared" ref="N337:N400" si="231">IMABS(M337)</f>
        <v>1.0403551140058442</v>
      </c>
      <c r="O337" s="339">
        <f t="shared" ref="O337:O400" si="232">IMARGUMENT(M337)</f>
        <v>0.36463166607708775</v>
      </c>
      <c r="P337" s="732" t="str">
        <f t="shared" si="224"/>
        <v>-0.0251240328945966-0.105470386475725i</v>
      </c>
      <c r="Q337" s="337">
        <f t="shared" ref="Q337:Q400" si="233">IMABS(P337)</f>
        <v>0.10842148980819055</v>
      </c>
      <c r="R337" s="339">
        <f t="shared" ref="R337:R400" si="234">IMARGUMENT(P337)</f>
        <v>-1.804647501080854</v>
      </c>
      <c r="S337" s="731" t="str">
        <f t="shared" si="211"/>
        <v>6000</v>
      </c>
      <c r="T337" s="337" t="str">
        <f t="shared" si="212"/>
        <v>1+159405.605048354i</v>
      </c>
      <c r="U337" s="346">
        <f t="shared" ref="U337:U400" si="235">IMABS(T337)</f>
        <v>159405.60505149062</v>
      </c>
      <c r="V337" s="347">
        <f t="shared" ref="V337:V400" si="236">IMARGUMENT(T337)</f>
        <v>1.5707900534897661</v>
      </c>
      <c r="W337" s="340" t="str">
        <f t="shared" si="213"/>
        <v>1+1578.27331731044i</v>
      </c>
      <c r="X337" s="337">
        <f t="shared" ref="X337:X400" si="237">IMABS(W337)</f>
        <v>1578.2736341123175</v>
      </c>
      <c r="Y337" s="339">
        <f t="shared" ref="Y337:Y400" si="238">IMARGUMENT(W337)</f>
        <v>1.5701627230614912</v>
      </c>
      <c r="Z337" s="337" t="str">
        <f t="shared" si="214"/>
        <v>1+15.8986670192582i</v>
      </c>
      <c r="AA337" s="346">
        <f t="shared" ref="AA337:AA400" si="239">IMABS(Z337)</f>
        <v>15.93008515323281</v>
      </c>
      <c r="AB337" s="347">
        <f t="shared" ref="AB337:AB400" si="240">IMARGUMENT(Z337)</f>
        <v>1.5079807218179497</v>
      </c>
      <c r="AC337" s="732" t="str">
        <f t="shared" ref="AC337:AC400" si="241">IMPRODUCT(S337,IMDIV(W337,IMPRODUCT(T337,Z337)))</f>
        <v>0.231761027265597-3.72195855972731i</v>
      </c>
      <c r="AD337" s="337">
        <f t="shared" ref="AD337:AD400" si="242">IMABS(AC337)</f>
        <v>3.7291672923169585</v>
      </c>
      <c r="AE337" s="339">
        <f t="shared" ref="AE337:AE400" si="243">IMARGUMENT(AC337)</f>
        <v>-1.5086080522462249</v>
      </c>
      <c r="AF337" s="736" t="str">
        <f t="shared" si="215"/>
        <v>-0.398379179413779+0.0690666841712008i</v>
      </c>
      <c r="AG337" s="337">
        <f t="shared" ref="AG337:AG400" si="244">20*LOG10(IMABS(AF337))</f>
        <v>-7.8654552590639835</v>
      </c>
      <c r="AH337" s="730">
        <f t="shared" ref="AH337:AH400" si="245">(180/PI())*IMARGUMENT(AF337)</f>
        <v>170.16444034607613</v>
      </c>
      <c r="AI337" s="360">
        <f t="shared" si="216"/>
        <v>-9.8355596539238661</v>
      </c>
      <c r="AL337" s="337">
        <f t="shared" si="217"/>
        <v>11.432237329336335</v>
      </c>
      <c r="AM337" s="730">
        <f t="shared" si="218"/>
        <v>-86.436874333160276</v>
      </c>
      <c r="AN337" s="351"/>
      <c r="AO337" s="337">
        <f t="shared" si="219"/>
        <v>33.974238610339093</v>
      </c>
      <c r="AP337" s="730">
        <f t="shared" si="220"/>
        <v>-103.39868532076356</v>
      </c>
      <c r="AS337" s="351"/>
      <c r="AT337" s="351"/>
      <c r="AV337" s="405">
        <f t="shared" si="221"/>
        <v>0</v>
      </c>
      <c r="AW337" s="405">
        <f t="shared" si="205"/>
        <v>0</v>
      </c>
      <c r="AX337" s="405">
        <f t="shared" si="222"/>
        <v>0</v>
      </c>
      <c r="AY337" s="405">
        <f t="shared" si="223"/>
        <v>0</v>
      </c>
    </row>
    <row r="338" spans="2:51" ht="13.5" thickBot="1" x14ac:dyDescent="0.25">
      <c r="B338" s="345">
        <v>25265.25</v>
      </c>
      <c r="C338" s="728" t="str">
        <f t="shared" si="206"/>
        <v>2.16217503399043</v>
      </c>
      <c r="D338" s="728" t="str">
        <f t="shared" si="207"/>
        <v>1+19.31412678917i</v>
      </c>
      <c r="E338" s="337">
        <f t="shared" si="225"/>
        <v>19.339997249951569</v>
      </c>
      <c r="F338" s="338">
        <f t="shared" si="226"/>
        <v>1.5190669436660837</v>
      </c>
      <c r="G338" s="338" t="str">
        <f t="shared" si="208"/>
        <v>1+0.0793731237911095i</v>
      </c>
      <c r="H338" s="337">
        <f t="shared" si="227"/>
        <v>1.0031451005614087</v>
      </c>
      <c r="I338" s="338">
        <f t="shared" si="228"/>
        <v>7.9207065037217139E-2</v>
      </c>
      <c r="J338" s="340">
        <f t="shared" si="209"/>
        <v>1</v>
      </c>
      <c r="K338" s="338">
        <f t="shared" si="229"/>
        <v>1</v>
      </c>
      <c r="L338" s="339">
        <f t="shared" si="230"/>
        <v>0</v>
      </c>
      <c r="M338" s="731" t="str">
        <f t="shared" si="210"/>
        <v>0.971629650775+0.373156089379995i</v>
      </c>
      <c r="N338" s="338">
        <f t="shared" si="231"/>
        <v>1.0408216203108578</v>
      </c>
      <c r="O338" s="339">
        <f t="shared" si="232"/>
        <v>0.36668275924382338</v>
      </c>
      <c r="P338" s="732" t="str">
        <f t="shared" si="224"/>
        <v>-0.0251672967715724-0.104770779862347i</v>
      </c>
      <c r="Q338" s="337">
        <f t="shared" si="233"/>
        <v>0.10775114449393461</v>
      </c>
      <c r="R338" s="339">
        <f t="shared" si="234"/>
        <v>-1.8065426378726908</v>
      </c>
      <c r="S338" s="731" t="str">
        <f t="shared" si="211"/>
        <v>6000</v>
      </c>
      <c r="T338" s="337" t="str">
        <f t="shared" si="212"/>
        <v>1+160333.710058041i</v>
      </c>
      <c r="U338" s="346">
        <f t="shared" si="235"/>
        <v>160333.71006115951</v>
      </c>
      <c r="V338" s="347">
        <f t="shared" si="236"/>
        <v>1.5707900898033142</v>
      </c>
      <c r="W338" s="340" t="str">
        <f t="shared" si="213"/>
        <v>1+1587.46247582219i</v>
      </c>
      <c r="X338" s="337">
        <f t="shared" si="237"/>
        <v>1587.4627907902336</v>
      </c>
      <c r="Y338" s="339">
        <f t="shared" si="238"/>
        <v>1.5701663907284023</v>
      </c>
      <c r="Z338" s="337" t="str">
        <f t="shared" si="214"/>
        <v>1+15.9912336043758i</v>
      </c>
      <c r="AA338" s="346">
        <f t="shared" si="239"/>
        <v>16.022470227456122</v>
      </c>
      <c r="AB338" s="347">
        <f t="shared" si="240"/>
        <v>1.5083433876835695</v>
      </c>
      <c r="AC338" s="732" t="str">
        <f t="shared" si="241"/>
        <v>0.229096078459049-3.70058034362633i</v>
      </c>
      <c r="AD338" s="337">
        <f t="shared" si="242"/>
        <v>3.7076650189571985</v>
      </c>
      <c r="AE338" s="339">
        <f t="shared" si="243"/>
        <v>-1.5089670867584815</v>
      </c>
      <c r="AF338" s="736" t="str">
        <f t="shared" si="215"/>
        <v>-0.393478417540785+0.0691310289315312i</v>
      </c>
      <c r="AG338" s="337">
        <f t="shared" si="244"/>
        <v>-7.9695523744795445</v>
      </c>
      <c r="AH338" s="730">
        <f t="shared" si="245"/>
        <v>170.03528584405208</v>
      </c>
      <c r="AI338" s="360">
        <f t="shared" si="216"/>
        <v>-9.9647141559479167</v>
      </c>
      <c r="AL338" s="337">
        <f t="shared" si="217"/>
        <v>11.382009789976786</v>
      </c>
      <c r="AM338" s="730">
        <f t="shared" si="218"/>
        <v>-86.457445495412117</v>
      </c>
      <c r="AN338" s="351"/>
      <c r="AO338" s="337">
        <f t="shared" si="219"/>
        <v>33.920369034283112</v>
      </c>
      <c r="AP338" s="730">
        <f t="shared" si="220"/>
        <v>-103.50726866053574</v>
      </c>
      <c r="AS338" s="351"/>
      <c r="AT338" s="351"/>
      <c r="AV338" s="405">
        <f t="shared" si="221"/>
        <v>0</v>
      </c>
      <c r="AW338" s="405">
        <f t="shared" si="205"/>
        <v>0</v>
      </c>
      <c r="AX338" s="405">
        <f t="shared" si="222"/>
        <v>0</v>
      </c>
      <c r="AY338" s="405">
        <f t="shared" si="223"/>
        <v>0</v>
      </c>
    </row>
    <row r="339" spans="2:51" ht="13.5" thickBot="1" x14ac:dyDescent="0.25">
      <c r="B339" s="345">
        <v>25411.5</v>
      </c>
      <c r="C339" s="728" t="str">
        <f t="shared" si="206"/>
        <v>2.16217503399043</v>
      </c>
      <c r="D339" s="728" t="str">
        <f t="shared" si="207"/>
        <v>1+19.4259282177296i</v>
      </c>
      <c r="E339" s="337">
        <f t="shared" si="225"/>
        <v>19.451649984522728</v>
      </c>
      <c r="F339" s="338">
        <f t="shared" si="226"/>
        <v>1.5193641338803128</v>
      </c>
      <c r="G339" s="338" t="str">
        <f t="shared" si="208"/>
        <v>1+0.079832581716697i</v>
      </c>
      <c r="H339" s="337">
        <f t="shared" si="227"/>
        <v>1.0031815593916951</v>
      </c>
      <c r="I339" s="338">
        <f t="shared" si="228"/>
        <v>7.9663629879726139E-2</v>
      </c>
      <c r="J339" s="340">
        <f t="shared" si="209"/>
        <v>1</v>
      </c>
      <c r="K339" s="338">
        <f t="shared" si="229"/>
        <v>1</v>
      </c>
      <c r="L339" s="339">
        <f t="shared" si="230"/>
        <v>0</v>
      </c>
      <c r="M339" s="731" t="str">
        <f t="shared" si="210"/>
        <v>0.9713002519+0.375316134424941i</v>
      </c>
      <c r="N339" s="338">
        <f t="shared" si="231"/>
        <v>1.0412907279432981</v>
      </c>
      <c r="O339" s="339">
        <f t="shared" si="232"/>
        <v>0.368732664082355</v>
      </c>
      <c r="P339" s="732" t="str">
        <f t="shared" si="224"/>
        <v>-0.0252092812491582-0.104078776633656i</v>
      </c>
      <c r="Q339" s="337">
        <f t="shared" si="233"/>
        <v>0.10708827950180923</v>
      </c>
      <c r="R339" s="339">
        <f t="shared" si="234"/>
        <v>-1.8084331680829411</v>
      </c>
      <c r="S339" s="731" t="str">
        <f t="shared" si="211"/>
        <v>6000</v>
      </c>
      <c r="T339" s="337" t="str">
        <f t="shared" si="212"/>
        <v>1+161261.815067728i</v>
      </c>
      <c r="U339" s="346">
        <f t="shared" si="235"/>
        <v>161261.81507082854</v>
      </c>
      <c r="V339" s="347">
        <f t="shared" si="236"/>
        <v>1.5707901256988741</v>
      </c>
      <c r="W339" s="340" t="str">
        <f t="shared" si="213"/>
        <v>1+1596.65163433394i</v>
      </c>
      <c r="X339" s="337">
        <f t="shared" si="237"/>
        <v>1596.6519474892584</v>
      </c>
      <c r="Y339" s="339">
        <f t="shared" si="238"/>
        <v>1.5701700161785159</v>
      </c>
      <c r="Z339" s="337" t="str">
        <f t="shared" si="214"/>
        <v>1+16.0838001894932i</v>
      </c>
      <c r="AA339" s="346">
        <f t="shared" si="239"/>
        <v>16.114857384896137</v>
      </c>
      <c r="AB339" s="347">
        <f t="shared" si="240"/>
        <v>1.5087018952384676</v>
      </c>
      <c r="AC339" s="732" t="str">
        <f t="shared" si="241"/>
        <v>0.226476773355232-3.67944536439843i</v>
      </c>
      <c r="AD339" s="337">
        <f t="shared" si="242"/>
        <v>3.6864088105448225</v>
      </c>
      <c r="AE339" s="339">
        <f t="shared" si="243"/>
        <v>-1.5093220047588261</v>
      </c>
      <c r="AF339" s="736" t="str">
        <f t="shared" si="215"/>
        <v>-0.388661488892879+0.0691847475252811i</v>
      </c>
      <c r="AG339" s="337">
        <f t="shared" si="244"/>
        <v>-8.0730912689879837</v>
      </c>
      <c r="AH339" s="730">
        <f t="shared" si="245"/>
        <v>169.90663113846978</v>
      </c>
      <c r="AI339" s="360">
        <f t="shared" si="216"/>
        <v>-10.093368861530223</v>
      </c>
      <c r="AL339" s="337">
        <f t="shared" si="217"/>
        <v>11.332069907508446</v>
      </c>
      <c r="AM339" s="730">
        <f t="shared" si="218"/>
        <v>-86.477780798905087</v>
      </c>
      <c r="AN339" s="351"/>
      <c r="AO339" s="337">
        <f t="shared" si="219"/>
        <v>33.866770022242996</v>
      </c>
      <c r="AP339" s="730">
        <f t="shared" si="220"/>
        <v>-103.61558806262512</v>
      </c>
      <c r="AS339" s="351"/>
      <c r="AT339" s="351"/>
      <c r="AV339" s="405">
        <f t="shared" si="221"/>
        <v>0</v>
      </c>
      <c r="AW339" s="405">
        <f t="shared" si="205"/>
        <v>0</v>
      </c>
      <c r="AX339" s="405">
        <f t="shared" si="222"/>
        <v>0</v>
      </c>
      <c r="AY339" s="405">
        <f t="shared" si="223"/>
        <v>0</v>
      </c>
    </row>
    <row r="340" spans="2:51" ht="13.5" thickBot="1" x14ac:dyDescent="0.25">
      <c r="B340" s="345">
        <v>25557.75</v>
      </c>
      <c r="C340" s="728" t="str">
        <f t="shared" si="206"/>
        <v>2.16217503399043</v>
      </c>
      <c r="D340" s="728" t="str">
        <f t="shared" si="207"/>
        <v>1+19.5377296462892i</v>
      </c>
      <c r="E340" s="337">
        <f t="shared" si="225"/>
        <v>19.563304417492663</v>
      </c>
      <c r="F340" s="338">
        <f t="shared" si="226"/>
        <v>1.5196579317889543</v>
      </c>
      <c r="G340" s="338" t="str">
        <f t="shared" si="208"/>
        <v>1+0.0802920396422845i</v>
      </c>
      <c r="H340" s="337">
        <f t="shared" si="227"/>
        <v>1.003218227321413</v>
      </c>
      <c r="I340" s="338">
        <f t="shared" si="228"/>
        <v>8.0120161442227791E-2</v>
      </c>
      <c r="J340" s="340">
        <f t="shared" si="209"/>
        <v>1</v>
      </c>
      <c r="K340" s="338">
        <f t="shared" si="229"/>
        <v>1</v>
      </c>
      <c r="L340" s="339">
        <f t="shared" si="230"/>
        <v>0</v>
      </c>
      <c r="M340" s="731" t="str">
        <f t="shared" si="210"/>
        <v>0.970968951775+0.377476179469887i</v>
      </c>
      <c r="N340" s="338">
        <f t="shared" si="231"/>
        <v>1.0417624351925081</v>
      </c>
      <c r="O340" s="339">
        <f t="shared" si="232"/>
        <v>0.37078137545501449</v>
      </c>
      <c r="P340" s="732" t="str">
        <f t="shared" si="224"/>
        <v>-0.0252500135666941-0.103394249799518i</v>
      </c>
      <c r="Q340" s="337">
        <f t="shared" si="233"/>
        <v>0.10643276787119352</v>
      </c>
      <c r="R340" s="339">
        <f t="shared" si="234"/>
        <v>-1.8103191458017402</v>
      </c>
      <c r="S340" s="731" t="str">
        <f t="shared" si="211"/>
        <v>6000</v>
      </c>
      <c r="T340" s="337" t="str">
        <f t="shared" si="212"/>
        <v>1+162189.920077415i</v>
      </c>
      <c r="U340" s="346">
        <f t="shared" si="235"/>
        <v>162189.92008049783</v>
      </c>
      <c r="V340" s="347">
        <f t="shared" si="236"/>
        <v>1.5707901611836212</v>
      </c>
      <c r="W340" s="340" t="str">
        <f t="shared" si="213"/>
        <v>1+1605.84079284569i</v>
      </c>
      <c r="X340" s="337">
        <f t="shared" si="237"/>
        <v>1605.8411042090293</v>
      </c>
      <c r="Y340" s="339">
        <f t="shared" si="238"/>
        <v>1.5701736001365676</v>
      </c>
      <c r="Z340" s="337" t="str">
        <f t="shared" si="214"/>
        <v>1+16.1763667746107i</v>
      </c>
      <c r="AA340" s="346">
        <f t="shared" si="239"/>
        <v>16.207246589927884</v>
      </c>
      <c r="AB340" s="347">
        <f t="shared" si="240"/>
        <v>1.5090563155028858</v>
      </c>
      <c r="AC340" s="732" t="str">
        <f t="shared" si="241"/>
        <v>0.223902076846717-3.65854951038393i</v>
      </c>
      <c r="AD340" s="337">
        <f t="shared" si="242"/>
        <v>3.6653944753527918</v>
      </c>
      <c r="AE340" s="339">
        <f t="shared" si="243"/>
        <v>-1.509672876549939</v>
      </c>
      <c r="AF340" s="736" t="str">
        <f t="shared" si="215"/>
        <v>-0.383926512458531+0.069228237507496i</v>
      </c>
      <c r="AG340" s="337">
        <f t="shared" si="244"/>
        <v>-8.176078451816668</v>
      </c>
      <c r="AH340" s="730">
        <f t="shared" si="245"/>
        <v>169.77846910214592</v>
      </c>
      <c r="AI340" s="360">
        <f t="shared" si="216"/>
        <v>-10.22153089785408</v>
      </c>
      <c r="AL340" s="337">
        <f t="shared" si="217"/>
        <v>11.282414418559885</v>
      </c>
      <c r="AM340" s="730">
        <f t="shared" si="218"/>
        <v>-86.497884271686047</v>
      </c>
      <c r="AN340" s="351"/>
      <c r="AO340" s="337">
        <f t="shared" si="219"/>
        <v>33.813438328362885</v>
      </c>
      <c r="AP340" s="730">
        <f t="shared" si="220"/>
        <v>-103.72364662616796</v>
      </c>
      <c r="AS340" s="351"/>
      <c r="AT340" s="351"/>
      <c r="AV340" s="405">
        <f t="shared" si="221"/>
        <v>0</v>
      </c>
      <c r="AW340" s="405">
        <f t="shared" si="205"/>
        <v>0</v>
      </c>
      <c r="AX340" s="405">
        <f t="shared" si="222"/>
        <v>0</v>
      </c>
      <c r="AY340" s="405">
        <f t="shared" si="223"/>
        <v>0</v>
      </c>
    </row>
    <row r="341" spans="2:51" ht="13.5" thickBot="1" x14ac:dyDescent="0.25">
      <c r="B341" s="345">
        <v>25704</v>
      </c>
      <c r="C341" s="728" t="str">
        <f t="shared" si="206"/>
        <v>2.16217503399043</v>
      </c>
      <c r="D341" s="728" t="str">
        <f t="shared" si="207"/>
        <v>1+19.6495310748489i</v>
      </c>
      <c r="E341" s="337">
        <f t="shared" si="225"/>
        <v>19.674960519946477</v>
      </c>
      <c r="F341" s="338">
        <f t="shared" si="226"/>
        <v>1.519948395095218</v>
      </c>
      <c r="G341" s="338" t="str">
        <f t="shared" si="208"/>
        <v>1+0.080751497567872i</v>
      </c>
      <c r="H341" s="337">
        <f t="shared" si="227"/>
        <v>1.0032551043276352</v>
      </c>
      <c r="I341" s="338">
        <f t="shared" si="228"/>
        <v>8.0576659538080034E-2</v>
      </c>
      <c r="J341" s="340">
        <f t="shared" si="209"/>
        <v>1</v>
      </c>
      <c r="K341" s="338">
        <f t="shared" si="229"/>
        <v>1</v>
      </c>
      <c r="L341" s="339">
        <f t="shared" si="230"/>
        <v>0</v>
      </c>
      <c r="M341" s="731" t="str">
        <f t="shared" si="210"/>
        <v>0.9706357504+0.379636224514833i</v>
      </c>
      <c r="N341" s="338">
        <f t="shared" si="231"/>
        <v>1.0422367403418706</v>
      </c>
      <c r="O341" s="339">
        <f t="shared" si="232"/>
        <v>0.37282888825024019</v>
      </c>
      <c r="P341" s="732" t="str">
        <f t="shared" si="224"/>
        <v>-0.0252895202124728-0.102717075225497i</v>
      </c>
      <c r="Q341" s="337">
        <f t="shared" si="233"/>
        <v>0.10578448551398018</v>
      </c>
      <c r="R341" s="339">
        <f t="shared" si="234"/>
        <v>-1.8122006238073782</v>
      </c>
      <c r="S341" s="731" t="str">
        <f t="shared" si="211"/>
        <v>6000</v>
      </c>
      <c r="T341" s="337" t="str">
        <f t="shared" si="212"/>
        <v>1+163118.025087101i</v>
      </c>
      <c r="U341" s="346">
        <f t="shared" si="235"/>
        <v>163118.02509016625</v>
      </c>
      <c r="V341" s="347">
        <f t="shared" si="236"/>
        <v>1.5707901962645676</v>
      </c>
      <c r="W341" s="340" t="str">
        <f t="shared" si="213"/>
        <v>1+1615.02995135744i</v>
      </c>
      <c r="X341" s="337">
        <f t="shared" si="237"/>
        <v>1615.0302609491921</v>
      </c>
      <c r="Y341" s="339">
        <f t="shared" si="238"/>
        <v>1.5701771433107987</v>
      </c>
      <c r="Z341" s="337" t="str">
        <f t="shared" si="214"/>
        <v>1+16.2689333597283i</v>
      </c>
      <c r="AA341" s="346">
        <f t="shared" si="239"/>
        <v>16.299637807733038</v>
      </c>
      <c r="AB341" s="347">
        <f t="shared" si="240"/>
        <v>1.5094067178909694</v>
      </c>
      <c r="AC341" s="732" t="str">
        <f t="shared" si="241"/>
        <v>0.221370982966393-3.63788876170977i</v>
      </c>
      <c r="AD341" s="337">
        <f t="shared" si="242"/>
        <v>3.64461791614344</v>
      </c>
      <c r="AE341" s="339">
        <f t="shared" si="243"/>
        <v>-1.510019770844738</v>
      </c>
      <c r="AF341" s="736" t="str">
        <f t="shared" si="215"/>
        <v>-0.379271659546716+0.0692618814598857i</v>
      </c>
      <c r="AG341" s="337">
        <f t="shared" si="244"/>
        <v>-8.2785203213736036</v>
      </c>
      <c r="AH341" s="730">
        <f t="shared" si="245"/>
        <v>169.65079277414699</v>
      </c>
      <c r="AI341" s="360">
        <f t="shared" si="216"/>
        <v>-10.349207225853007</v>
      </c>
      <c r="AL341" s="337">
        <f t="shared" si="217"/>
        <v>11.233040114763106</v>
      </c>
      <c r="AM341" s="730">
        <f t="shared" si="218"/>
        <v>-86.517759850715208</v>
      </c>
      <c r="AN341" s="351"/>
      <c r="AO341" s="337">
        <f t="shared" si="219"/>
        <v>33.76037076260274</v>
      </c>
      <c r="AP341" s="730">
        <f t="shared" si="220"/>
        <v>-103.83144737513781</v>
      </c>
      <c r="AS341" s="351"/>
      <c r="AT341" s="351"/>
      <c r="AV341" s="405">
        <f t="shared" si="221"/>
        <v>0</v>
      </c>
      <c r="AW341" s="405">
        <f t="shared" si="205"/>
        <v>0</v>
      </c>
      <c r="AX341" s="405">
        <f t="shared" si="222"/>
        <v>0</v>
      </c>
      <c r="AY341" s="405">
        <f t="shared" si="223"/>
        <v>0</v>
      </c>
    </row>
    <row r="342" spans="2:51" ht="13.5" thickBot="1" x14ac:dyDescent="0.25">
      <c r="B342" s="345">
        <v>25853.75</v>
      </c>
      <c r="C342" s="728" t="str">
        <f t="shared" si="206"/>
        <v>2.16217503399043</v>
      </c>
      <c r="D342" s="728" t="str">
        <f t="shared" si="207"/>
        <v>1+19.7640080931518i</v>
      </c>
      <c r="E342" s="337">
        <f t="shared" si="225"/>
        <v>19.7892904346308</v>
      </c>
      <c r="F342" s="338">
        <f t="shared" si="226"/>
        <v>1.5202424133012813</v>
      </c>
      <c r="G342" s="338" t="str">
        <f t="shared" si="208"/>
        <v>1+0.081221951067747i</v>
      </c>
      <c r="H342" s="337">
        <f t="shared" si="227"/>
        <v>1.0032930804781082</v>
      </c>
      <c r="I342" s="338">
        <f t="shared" si="228"/>
        <v>8.1044047502236913E-2</v>
      </c>
      <c r="J342" s="340">
        <f t="shared" si="209"/>
        <v>1</v>
      </c>
      <c r="K342" s="338">
        <f t="shared" si="229"/>
        <v>1</v>
      </c>
      <c r="L342" s="339">
        <f t="shared" si="230"/>
        <v>0</v>
      </c>
      <c r="M342" s="731" t="str">
        <f t="shared" si="210"/>
        <v>0.970292604930556+0.38184796294547i</v>
      </c>
      <c r="N342" s="338">
        <f t="shared" si="231"/>
        <v>1.04272508648662</v>
      </c>
      <c r="O342" s="339">
        <f t="shared" si="232"/>
        <v>0.37492415409387014</v>
      </c>
      <c r="P342" s="732" t="str">
        <f t="shared" si="224"/>
        <v>-0.0253287291984664-0.102031186321311i</v>
      </c>
      <c r="Q342" s="337">
        <f t="shared" si="233"/>
        <v>0.10512805289238132</v>
      </c>
      <c r="R342" s="339">
        <f t="shared" si="234"/>
        <v>-1.8141225198929156</v>
      </c>
      <c r="S342" s="731" t="str">
        <f t="shared" si="211"/>
        <v>6000</v>
      </c>
      <c r="T342" s="337" t="str">
        <f t="shared" si="212"/>
        <v>1+164068.341156849i</v>
      </c>
      <c r="U342" s="346">
        <f t="shared" si="235"/>
        <v>164068.34115989649</v>
      </c>
      <c r="V342" s="347">
        <f t="shared" si="236"/>
        <v>1.5707902317738041</v>
      </c>
      <c r="W342" s="340" t="str">
        <f t="shared" si="213"/>
        <v>1+1624.43902135494i</v>
      </c>
      <c r="X342" s="337">
        <f t="shared" si="237"/>
        <v>1624.4393291534761</v>
      </c>
      <c r="Y342" s="339">
        <f t="shared" si="238"/>
        <v>1.5701807297422932</v>
      </c>
      <c r="Z342" s="337" t="str">
        <f t="shared" si="214"/>
        <v>1+16.3637152135494i</v>
      </c>
      <c r="AA342" s="346">
        <f t="shared" si="239"/>
        <v>16.394242147478124</v>
      </c>
      <c r="AB342" s="347">
        <f t="shared" si="240"/>
        <v>1.5097614135785256</v>
      </c>
      <c r="AC342" s="732" t="str">
        <f t="shared" si="241"/>
        <v>0.218823475139727-3.61697307531976i</v>
      </c>
      <c r="AD342" s="337">
        <f t="shared" si="242"/>
        <v>3.6235863368850905</v>
      </c>
      <c r="AE342" s="339">
        <f t="shared" si="243"/>
        <v>-1.5103709156100362</v>
      </c>
      <c r="AF342" s="736" t="str">
        <f t="shared" si="215"/>
        <v>-0.374586574311197+0.0692865127794602i</v>
      </c>
      <c r="AG342" s="337">
        <f t="shared" si="244"/>
        <v>-8.3828553154389613</v>
      </c>
      <c r="AH342" s="730">
        <f t="shared" si="245"/>
        <v>169.52055712673331</v>
      </c>
      <c r="AI342" s="360">
        <f t="shared" si="216"/>
        <v>-10.479442873266692</v>
      </c>
      <c r="AL342" s="337">
        <f t="shared" si="217"/>
        <v>11.182772268714938</v>
      </c>
      <c r="AM342" s="730">
        <f t="shared" si="218"/>
        <v>-86.537878963764896</v>
      </c>
      <c r="AN342" s="351"/>
      <c r="AO342" s="337">
        <f t="shared" si="219"/>
        <v>33.706303614585536</v>
      </c>
      <c r="AP342" s="730">
        <f t="shared" si="220"/>
        <v>-103.94156390950184</v>
      </c>
      <c r="AS342" s="351"/>
      <c r="AT342" s="351"/>
      <c r="AV342" s="405">
        <f t="shared" si="221"/>
        <v>0</v>
      </c>
      <c r="AW342" s="405">
        <f t="shared" si="205"/>
        <v>0</v>
      </c>
      <c r="AX342" s="405">
        <f t="shared" si="222"/>
        <v>0</v>
      </c>
      <c r="AY342" s="405">
        <f t="shared" si="223"/>
        <v>0</v>
      </c>
    </row>
    <row r="343" spans="2:51" ht="13.5" thickBot="1" x14ac:dyDescent="0.25">
      <c r="B343" s="345">
        <v>26003.5</v>
      </c>
      <c r="C343" s="728" t="str">
        <f t="shared" si="206"/>
        <v>2.16217503399043</v>
      </c>
      <c r="D343" s="728" t="str">
        <f t="shared" si="207"/>
        <v>1+19.8784851114547i</v>
      </c>
      <c r="E343" s="337">
        <f t="shared" si="225"/>
        <v>19.903622040380647</v>
      </c>
      <c r="F343" s="338">
        <f t="shared" si="226"/>
        <v>1.5205330536974264</v>
      </c>
      <c r="G343" s="338" t="str">
        <f t="shared" si="208"/>
        <v>1+0.081692404567622i</v>
      </c>
      <c r="H343" s="337">
        <f t="shared" si="227"/>
        <v>1.0033312757828492</v>
      </c>
      <c r="I343" s="338">
        <f t="shared" si="228"/>
        <v>8.1511399982974866E-2</v>
      </c>
      <c r="J343" s="340">
        <f t="shared" si="209"/>
        <v>1</v>
      </c>
      <c r="K343" s="338">
        <f t="shared" si="229"/>
        <v>1</v>
      </c>
      <c r="L343" s="339">
        <f t="shared" si="230"/>
        <v>0</v>
      </c>
      <c r="M343" s="731" t="str">
        <f t="shared" si="210"/>
        <v>0.969947466122222+0.384059701376107i</v>
      </c>
      <c r="N343" s="338">
        <f t="shared" si="231"/>
        <v>1.0432161527018375</v>
      </c>
      <c r="O343" s="339">
        <f t="shared" si="232"/>
        <v>0.37701815254333043</v>
      </c>
      <c r="P343" s="732" t="str">
        <f t="shared" si="224"/>
        <v>-0.0253667070484648-0.101352751215884i</v>
      </c>
      <c r="Q343" s="337">
        <f t="shared" si="233"/>
        <v>0.1044789452737321</v>
      </c>
      <c r="R343" s="339">
        <f t="shared" si="234"/>
        <v>-1.8160398062577827</v>
      </c>
      <c r="S343" s="731" t="str">
        <f t="shared" si="211"/>
        <v>6000</v>
      </c>
      <c r="T343" s="337" t="str">
        <f t="shared" si="212"/>
        <v>1+165018.657226596i</v>
      </c>
      <c r="U343" s="346">
        <f t="shared" si="235"/>
        <v>165018.65722962597</v>
      </c>
      <c r="V343" s="347">
        <f t="shared" si="236"/>
        <v>1.5707902668740561</v>
      </c>
      <c r="W343" s="340" t="str">
        <f t="shared" si="213"/>
        <v>1+1633.84809135244i</v>
      </c>
      <c r="X343" s="337">
        <f t="shared" si="237"/>
        <v>1633.8483973784139</v>
      </c>
      <c r="Y343" s="339">
        <f t="shared" si="238"/>
        <v>1.5701842748664319</v>
      </c>
      <c r="Z343" s="337" t="str">
        <f t="shared" si="214"/>
        <v>1+16.4584970673706i</v>
      </c>
      <c r="AA343" s="346">
        <f t="shared" si="239"/>
        <v>16.488848526099289</v>
      </c>
      <c r="AB343" s="347">
        <f t="shared" si="240"/>
        <v>1.5101120391074838</v>
      </c>
      <c r="AC343" s="732" t="str">
        <f t="shared" si="241"/>
        <v>0.216319636689857-3.59629563581896i</v>
      </c>
      <c r="AD343" s="337">
        <f t="shared" si="242"/>
        <v>3.6027956485801593</v>
      </c>
      <c r="AE343" s="339">
        <f t="shared" si="243"/>
        <v>-1.5107180311151083</v>
      </c>
      <c r="AF343" s="736" t="str">
        <f t="shared" si="215"/>
        <v>-0.36998177372867+0.0693015875329545i</v>
      </c>
      <c r="AG343" s="337">
        <f t="shared" si="244"/>
        <v>-8.4866318152222338</v>
      </c>
      <c r="AH343" s="730">
        <f t="shared" si="245"/>
        <v>169.39081645646425</v>
      </c>
      <c r="AI343" s="360">
        <f t="shared" si="216"/>
        <v>-10.60918354353575</v>
      </c>
      <c r="AL343" s="337">
        <f t="shared" si="217"/>
        <v>11.132792590711809</v>
      </c>
      <c r="AM343" s="730">
        <f t="shared" si="218"/>
        <v>-86.55776721720909</v>
      </c>
      <c r="AN343" s="351"/>
      <c r="AO343" s="337">
        <f t="shared" si="219"/>
        <v>33.652506792805397</v>
      </c>
      <c r="AP343" s="730">
        <f t="shared" si="220"/>
        <v>-104.05141632632666</v>
      </c>
      <c r="AS343" s="351"/>
      <c r="AT343" s="351"/>
      <c r="AV343" s="405">
        <f t="shared" si="221"/>
        <v>0</v>
      </c>
      <c r="AW343" s="405">
        <f t="shared" si="205"/>
        <v>0</v>
      </c>
      <c r="AX343" s="405">
        <f t="shared" si="222"/>
        <v>0</v>
      </c>
      <c r="AY343" s="405">
        <f t="shared" si="223"/>
        <v>0</v>
      </c>
    </row>
    <row r="344" spans="2:51" ht="13.5" thickBot="1" x14ac:dyDescent="0.25">
      <c r="B344" s="345">
        <v>26153.25</v>
      </c>
      <c r="C344" s="728" t="str">
        <f t="shared" si="206"/>
        <v>2.16217503399043</v>
      </c>
      <c r="D344" s="728" t="str">
        <f t="shared" si="207"/>
        <v>1+19.9929621297577i</v>
      </c>
      <c r="E344" s="337">
        <f t="shared" si="225"/>
        <v>20.017955308220806</v>
      </c>
      <c r="F344" s="338">
        <f t="shared" si="226"/>
        <v>1.5208203741115727</v>
      </c>
      <c r="G344" s="338" t="str">
        <f t="shared" si="208"/>
        <v>1+0.0821628580674975i</v>
      </c>
      <c r="H344" s="337">
        <f t="shared" si="227"/>
        <v>1.0033696902168312</v>
      </c>
      <c r="I344" s="338">
        <f t="shared" si="228"/>
        <v>8.1978716780201646E-2</v>
      </c>
      <c r="J344" s="340">
        <f t="shared" si="209"/>
        <v>1</v>
      </c>
      <c r="K344" s="338">
        <f t="shared" si="229"/>
        <v>1</v>
      </c>
      <c r="L344" s="339">
        <f t="shared" si="230"/>
        <v>0</v>
      </c>
      <c r="M344" s="731" t="str">
        <f t="shared" si="210"/>
        <v>0.969600333975+0.386271439806746i</v>
      </c>
      <c r="N344" s="338">
        <f t="shared" si="231"/>
        <v>1.0437099371256404</v>
      </c>
      <c r="O344" s="339">
        <f t="shared" si="232"/>
        <v>0.37911087819660927</v>
      </c>
      <c r="P344" s="732" t="str">
        <f t="shared" si="224"/>
        <v>-0.0254034799126145-0.100681645442229i</v>
      </c>
      <c r="Q344" s="337">
        <f t="shared" si="233"/>
        <v>0.10383703828897144</v>
      </c>
      <c r="R344" s="339">
        <f t="shared" si="234"/>
        <v>-1.8179525355279811</v>
      </c>
      <c r="S344" s="731" t="str">
        <f t="shared" si="211"/>
        <v>6000</v>
      </c>
      <c r="T344" s="337" t="str">
        <f t="shared" si="212"/>
        <v>1+165968.973296345i</v>
      </c>
      <c r="U344" s="346">
        <f t="shared" si="235"/>
        <v>165968.97329935763</v>
      </c>
      <c r="V344" s="347">
        <f t="shared" si="236"/>
        <v>1.5707903015723497</v>
      </c>
      <c r="W344" s="340" t="str">
        <f t="shared" si="213"/>
        <v>1+1643.25716134995i</v>
      </c>
      <c r="X344" s="337">
        <f t="shared" si="237"/>
        <v>1643.2574656236604</v>
      </c>
      <c r="Y344" s="339">
        <f t="shared" si="238"/>
        <v>1.5701877793927754</v>
      </c>
      <c r="Z344" s="337" t="str">
        <f t="shared" si="214"/>
        <v>1+16.5532789211918i</v>
      </c>
      <c r="AA344" s="346">
        <f t="shared" si="239"/>
        <v>16.583456908701901</v>
      </c>
      <c r="AB344" s="347">
        <f t="shared" si="240"/>
        <v>1.5104586640514746</v>
      </c>
      <c r="AC344" s="732" t="str">
        <f t="shared" si="241"/>
        <v>0.213858476387991-3.57585241057927i</v>
      </c>
      <c r="AD344" s="337">
        <f t="shared" si="242"/>
        <v>3.5822417436807035</v>
      </c>
      <c r="AE344" s="339">
        <f t="shared" si="243"/>
        <v>-1.511061186231049</v>
      </c>
      <c r="AF344" s="736" t="str">
        <f t="shared" si="215"/>
        <v>-0.365455454064747+0.0693074715881136i</v>
      </c>
      <c r="AG344" s="337">
        <f t="shared" si="244"/>
        <v>-8.5898563443892879</v>
      </c>
      <c r="AH344" s="730">
        <f t="shared" si="245"/>
        <v>169.26156380206902</v>
      </c>
      <c r="AI344" s="360">
        <f t="shared" si="216"/>
        <v>-10.73843619793098</v>
      </c>
      <c r="AL344" s="337">
        <f t="shared" si="217"/>
        <v>11.08309780783695</v>
      </c>
      <c r="AM344" s="730">
        <f t="shared" si="218"/>
        <v>-86.577428557070817</v>
      </c>
      <c r="AN344" s="351"/>
      <c r="AO344" s="337">
        <f t="shared" si="219"/>
        <v>33.598977046513184</v>
      </c>
      <c r="AP344" s="730">
        <f t="shared" si="220"/>
        <v>-104.16100764086019</v>
      </c>
      <c r="AS344" s="351"/>
      <c r="AT344" s="351"/>
      <c r="AV344" s="405">
        <f t="shared" si="221"/>
        <v>0</v>
      </c>
      <c r="AW344" s="405">
        <f t="shared" si="205"/>
        <v>0</v>
      </c>
      <c r="AX344" s="405">
        <f t="shared" si="222"/>
        <v>0</v>
      </c>
      <c r="AY344" s="405">
        <f t="shared" si="223"/>
        <v>0</v>
      </c>
    </row>
    <row r="345" spans="2:51" ht="13.5" thickBot="1" x14ac:dyDescent="0.25">
      <c r="B345" s="345">
        <v>26303</v>
      </c>
      <c r="C345" s="728" t="str">
        <f t="shared" si="206"/>
        <v>2.16217503399043</v>
      </c>
      <c r="D345" s="728" t="str">
        <f t="shared" si="207"/>
        <v>1+20.1074391480606i</v>
      </c>
      <c r="E345" s="337">
        <f t="shared" si="225"/>
        <v>20.132290209833556</v>
      </c>
      <c r="F345" s="338">
        <f t="shared" si="226"/>
        <v>1.5211044310601991</v>
      </c>
      <c r="G345" s="338" t="str">
        <f t="shared" si="208"/>
        <v>1+0.0826333115673725i</v>
      </c>
      <c r="H345" s="337">
        <f t="shared" si="227"/>
        <v>1.0034083237548861</v>
      </c>
      <c r="I345" s="338">
        <f t="shared" si="228"/>
        <v>8.2445997693916417E-2</v>
      </c>
      <c r="J345" s="340">
        <f t="shared" si="209"/>
        <v>1</v>
      </c>
      <c r="K345" s="338">
        <f t="shared" si="229"/>
        <v>1</v>
      </c>
      <c r="L345" s="339">
        <f t="shared" si="230"/>
        <v>0</v>
      </c>
      <c r="M345" s="731" t="str">
        <f t="shared" si="210"/>
        <v>0.969251208488889+0.388483178237383i</v>
      </c>
      <c r="N345" s="338">
        <f t="shared" si="231"/>
        <v>1.0442064378898408</v>
      </c>
      <c r="O345" s="339">
        <f t="shared" si="232"/>
        <v>0.38120232568058549</v>
      </c>
      <c r="P345" s="732" t="str">
        <f t="shared" si="224"/>
        <v>-0.025439073221451-0.100017747335605i</v>
      </c>
      <c r="Q345" s="337">
        <f t="shared" si="233"/>
        <v>0.10320221038551096</v>
      </c>
      <c r="R345" s="339">
        <f t="shared" si="234"/>
        <v>-1.8198607590468683</v>
      </c>
      <c r="S345" s="731" t="str">
        <f t="shared" si="211"/>
        <v>6000</v>
      </c>
      <c r="T345" s="337" t="str">
        <f t="shared" si="212"/>
        <v>1+166919.289366092i</v>
      </c>
      <c r="U345" s="346">
        <f t="shared" si="235"/>
        <v>166919.28936908749</v>
      </c>
      <c r="V345" s="347">
        <f t="shared" si="236"/>
        <v>1.5707903358755499</v>
      </c>
      <c r="W345" s="340" t="str">
        <f t="shared" si="213"/>
        <v>1+1652.66623134745i</v>
      </c>
      <c r="X345" s="337">
        <f t="shared" si="237"/>
        <v>1652.6665338888497</v>
      </c>
      <c r="Y345" s="339">
        <f t="shared" si="238"/>
        <v>1.5701912440147257</v>
      </c>
      <c r="Z345" s="337" t="str">
        <f t="shared" si="214"/>
        <v>1+16.648060775013i</v>
      </c>
      <c r="AA345" s="346">
        <f t="shared" si="239"/>
        <v>16.67806726118247</v>
      </c>
      <c r="AB345" s="347">
        <f t="shared" si="240"/>
        <v>1.5108013564093328</v>
      </c>
      <c r="AC345" s="732" t="str">
        <f t="shared" si="241"/>
        <v>0.211439030937063-3.55563945713015i</v>
      </c>
      <c r="AD345" s="337">
        <f t="shared" si="242"/>
        <v>3.5619206073275116</v>
      </c>
      <c r="AE345" s="339">
        <f t="shared" si="243"/>
        <v>-1.5114004482701568</v>
      </c>
      <c r="AF345" s="736" t="str">
        <f t="shared" si="215"/>
        <v>-0.361005861829632+0.0693045169258658i</v>
      </c>
      <c r="AG345" s="337">
        <f t="shared" si="244"/>
        <v>-8.6925353153410096</v>
      </c>
      <c r="AH345" s="730">
        <f t="shared" si="245"/>
        <v>169.13279236507933</v>
      </c>
      <c r="AI345" s="360">
        <f t="shared" si="216"/>
        <v>-10.867207634920675</v>
      </c>
      <c r="AL345" s="337">
        <f t="shared" si="217"/>
        <v>11.033684702410707</v>
      </c>
      <c r="AM345" s="730">
        <f t="shared" si="218"/>
        <v>-86.596866840060699</v>
      </c>
      <c r="AN345" s="351"/>
      <c r="AO345" s="337">
        <f t="shared" si="219"/>
        <v>33.545711180987709</v>
      </c>
      <c r="AP345" s="730">
        <f t="shared" si="220"/>
        <v>-104.27034079485998</v>
      </c>
      <c r="AS345" s="351"/>
      <c r="AT345" s="351"/>
      <c r="AV345" s="405">
        <f t="shared" si="221"/>
        <v>0</v>
      </c>
      <c r="AW345" s="405">
        <f t="shared" si="205"/>
        <v>0</v>
      </c>
      <c r="AX345" s="405">
        <f t="shared" si="222"/>
        <v>0</v>
      </c>
      <c r="AY345" s="405">
        <f t="shared" si="223"/>
        <v>0</v>
      </c>
    </row>
    <row r="346" spans="2:51" ht="13.5" thickBot="1" x14ac:dyDescent="0.25">
      <c r="B346" s="345">
        <v>26456</v>
      </c>
      <c r="C346" s="728" t="str">
        <f t="shared" si="206"/>
        <v>2.16217503399043</v>
      </c>
      <c r="D346" s="728" t="str">
        <f t="shared" si="207"/>
        <v>1+20.2244006425537i</v>
      </c>
      <c r="E346" s="337">
        <f t="shared" si="225"/>
        <v>20.249108161855588</v>
      </c>
      <c r="F346" s="338">
        <f t="shared" si="226"/>
        <v>1.5213913398360575</v>
      </c>
      <c r="G346" s="338" t="str">
        <f t="shared" si="208"/>
        <v>1+0.0831139752433715i</v>
      </c>
      <c r="H346" s="337">
        <f t="shared" si="227"/>
        <v>1.0034480220124786</v>
      </c>
      <c r="I346" s="338">
        <f t="shared" si="228"/>
        <v>8.2923382661553705E-2</v>
      </c>
      <c r="J346" s="340">
        <f t="shared" si="209"/>
        <v>1</v>
      </c>
      <c r="K346" s="338">
        <f t="shared" si="229"/>
        <v>1</v>
      </c>
      <c r="L346" s="339">
        <f t="shared" si="230"/>
        <v>0</v>
      </c>
      <c r="M346" s="731" t="str">
        <f t="shared" si="210"/>
        <v>0.968892447288889+0.390742917669018i</v>
      </c>
      <c r="N346" s="338">
        <f t="shared" si="231"/>
        <v>1.0447165175883597</v>
      </c>
      <c r="O346" s="339">
        <f t="shared" si="232"/>
        <v>0.3833378378712779</v>
      </c>
      <c r="P346" s="732" t="str">
        <f t="shared" si="224"/>
        <v>-0.0254742465006595-0.0993467610462012i</v>
      </c>
      <c r="Q346" s="337">
        <f t="shared" si="233"/>
        <v>0.10256079253373271</v>
      </c>
      <c r="R346" s="339">
        <f t="shared" si="234"/>
        <v>-1.8218057950457809</v>
      </c>
      <c r="S346" s="731" t="str">
        <f t="shared" si="211"/>
        <v>6000</v>
      </c>
      <c r="T346" s="337" t="str">
        <f t="shared" si="212"/>
        <v>1+167890.22999161i</v>
      </c>
      <c r="U346" s="346">
        <f t="shared" si="235"/>
        <v>167890.22999458815</v>
      </c>
      <c r="V346" s="347">
        <f t="shared" si="236"/>
        <v>1.570790370522158</v>
      </c>
      <c r="W346" s="340" t="str">
        <f t="shared" si="213"/>
        <v>1+1662.27950486743i</v>
      </c>
      <c r="X346" s="337">
        <f t="shared" si="237"/>
        <v>1662.2798056591762</v>
      </c>
      <c r="Y346" s="339">
        <f t="shared" si="238"/>
        <v>1.5701947433208554</v>
      </c>
      <c r="Z346" s="337" t="str">
        <f t="shared" si="214"/>
        <v>1+16.7448996640589i</v>
      </c>
      <c r="AA346" s="346">
        <f t="shared" si="239"/>
        <v>16.774732926619123</v>
      </c>
      <c r="AB346" s="347">
        <f t="shared" si="240"/>
        <v>1.5111474937651794</v>
      </c>
      <c r="AC346" s="732" t="str">
        <f t="shared" si="241"/>
        <v>0.209009185472425-3.53522163804914i</v>
      </c>
      <c r="AD346" s="337">
        <f t="shared" si="242"/>
        <v>3.5413947633302181</v>
      </c>
      <c r="AE346" s="339">
        <f t="shared" si="243"/>
        <v>-1.511743120966482</v>
      </c>
      <c r="AF346" s="736" t="str">
        <f t="shared" si="215"/>
        <v>-0.356537170832255+0.0692927218365389i</v>
      </c>
      <c r="AG346" s="337">
        <f t="shared" si="244"/>
        <v>-8.7968858212426859</v>
      </c>
      <c r="AH346" s="730">
        <f t="shared" si="245"/>
        <v>169.00171631208681</v>
      </c>
      <c r="AI346" s="360">
        <f t="shared" si="216"/>
        <v>-10.998283687913187</v>
      </c>
      <c r="AL346" s="337">
        <f t="shared" si="217"/>
        <v>10.983486815196745</v>
      </c>
      <c r="AM346" s="730">
        <f t="shared" si="218"/>
        <v>-86.616500539314487</v>
      </c>
      <c r="AN346" s="351"/>
      <c r="AO346" s="337">
        <f t="shared" si="219"/>
        <v>33.491558562299993</v>
      </c>
      <c r="AP346" s="730">
        <f t="shared" si="220"/>
        <v>-104.38178314859866</v>
      </c>
      <c r="AS346" s="351"/>
      <c r="AT346" s="351"/>
      <c r="AV346" s="405">
        <f t="shared" si="221"/>
        <v>0</v>
      </c>
      <c r="AW346" s="405">
        <f t="shared" ref="AW346:AW409" si="246">IF(AV346&gt;0,AI346,0)</f>
        <v>0</v>
      </c>
      <c r="AX346" s="405">
        <f t="shared" si="222"/>
        <v>0</v>
      </c>
      <c r="AY346" s="405">
        <f t="shared" si="223"/>
        <v>0</v>
      </c>
    </row>
    <row r="347" spans="2:51" ht="13.5" thickBot="1" x14ac:dyDescent="0.25">
      <c r="B347" s="345">
        <v>26609</v>
      </c>
      <c r="C347" s="728" t="str">
        <f t="shared" si="206"/>
        <v>2.16217503399043</v>
      </c>
      <c r="D347" s="728" t="str">
        <f t="shared" si="207"/>
        <v>1+20.3413621370469i</v>
      </c>
      <c r="E347" s="337">
        <f t="shared" si="225"/>
        <v>20.365927761594492</v>
      </c>
      <c r="F347" s="338">
        <f t="shared" si="226"/>
        <v>1.5216749571995847</v>
      </c>
      <c r="G347" s="338" t="str">
        <f t="shared" si="208"/>
        <v>1+0.083594638919371i</v>
      </c>
      <c r="H347" s="337">
        <f t="shared" si="227"/>
        <v>1.0034879489341464</v>
      </c>
      <c r="I347" s="338">
        <f t="shared" si="228"/>
        <v>8.3400729749447594E-2</v>
      </c>
      <c r="J347" s="340">
        <f t="shared" si="209"/>
        <v>1</v>
      </c>
      <c r="K347" s="338">
        <f t="shared" si="229"/>
        <v>1</v>
      </c>
      <c r="L347" s="339">
        <f t="shared" si="230"/>
        <v>0</v>
      </c>
      <c r="M347" s="731" t="str">
        <f t="shared" si="210"/>
        <v>0.968531605288889+0.393002657100655i</v>
      </c>
      <c r="N347" s="338">
        <f t="shared" si="231"/>
        <v>1.0452294288488282</v>
      </c>
      <c r="O347" s="339">
        <f t="shared" si="232"/>
        <v>0.38547200456380148</v>
      </c>
      <c r="P347" s="732" t="str">
        <f t="shared" si="224"/>
        <v>-0.0255082399439714-0.0986830505233221i</v>
      </c>
      <c r="Q347" s="337">
        <f t="shared" si="233"/>
        <v>0.10192651649903356</v>
      </c>
      <c r="R347" s="339">
        <f t="shared" si="234"/>
        <v>-1.8237462320139384</v>
      </c>
      <c r="S347" s="731" t="str">
        <f t="shared" si="211"/>
        <v>6000</v>
      </c>
      <c r="T347" s="337" t="str">
        <f t="shared" si="212"/>
        <v>1+168861.170617129i</v>
      </c>
      <c r="U347" s="346">
        <f t="shared" si="235"/>
        <v>168861.17062009004</v>
      </c>
      <c r="V347" s="347">
        <f t="shared" si="236"/>
        <v>1.5707904047703345</v>
      </c>
      <c r="W347" s="340" t="str">
        <f t="shared" si="213"/>
        <v>1+1671.89277838742i</v>
      </c>
      <c r="X347" s="337">
        <f t="shared" si="237"/>
        <v>1671.8930774496337</v>
      </c>
      <c r="Y347" s="339">
        <f t="shared" si="238"/>
        <v>1.5701982023854393</v>
      </c>
      <c r="Z347" s="337" t="str">
        <f t="shared" si="214"/>
        <v>1+16.841738553105i</v>
      </c>
      <c r="AA347" s="346">
        <f t="shared" si="239"/>
        <v>16.871400578824012</v>
      </c>
      <c r="AB347" s="347">
        <f t="shared" si="240"/>
        <v>1.5114896646521094</v>
      </c>
      <c r="AC347" s="732" t="str">
        <f t="shared" si="241"/>
        <v>0.206620937404994-3.51503615130514i</v>
      </c>
      <c r="AD347" s="337">
        <f t="shared" si="242"/>
        <v>3.5211037128656364</v>
      </c>
      <c r="AE347" s="339">
        <f t="shared" si="243"/>
        <v>-1.5120818670370049</v>
      </c>
      <c r="AF347" s="736" t="str">
        <f t="shared" si="215"/>
        <v>-0.352145026559324+0.0692724011541121i</v>
      </c>
      <c r="AG347" s="337">
        <f t="shared" si="244"/>
        <v>-8.9006800198118867</v>
      </c>
      <c r="AH347" s="730">
        <f t="shared" si="245"/>
        <v>168.87112874323262</v>
      </c>
      <c r="AI347" s="360">
        <f t="shared" si="216"/>
        <v>-11.128871256767383</v>
      </c>
      <c r="AL347" s="337">
        <f t="shared" si="217"/>
        <v>10.933576344981615</v>
      </c>
      <c r="AM347" s="730">
        <f t="shared" si="218"/>
        <v>-86.635909259482091</v>
      </c>
      <c r="AN347" s="351"/>
      <c r="AO347" s="337">
        <f t="shared" si="219"/>
        <v>33.43767483394592</v>
      </c>
      <c r="AP347" s="730">
        <f t="shared" si="220"/>
        <v>-104.49296199728525</v>
      </c>
      <c r="AS347" s="351"/>
      <c r="AT347" s="351"/>
      <c r="AV347" s="405">
        <f t="shared" si="221"/>
        <v>0</v>
      </c>
      <c r="AW347" s="405">
        <f t="shared" si="246"/>
        <v>0</v>
      </c>
      <c r="AX347" s="405">
        <f t="shared" si="222"/>
        <v>0</v>
      </c>
      <c r="AY347" s="405">
        <f t="shared" si="223"/>
        <v>0</v>
      </c>
    </row>
    <row r="348" spans="2:51" ht="13.5" thickBot="1" x14ac:dyDescent="0.25">
      <c r="B348" s="345">
        <v>26762</v>
      </c>
      <c r="C348" s="728" t="str">
        <f t="shared" si="206"/>
        <v>2.16217503399043</v>
      </c>
      <c r="D348" s="728" t="str">
        <f t="shared" si="207"/>
        <v>1+20.45832363154i</v>
      </c>
      <c r="E348" s="337">
        <f t="shared" si="225"/>
        <v>20.482748980857725</v>
      </c>
      <c r="F348" s="338">
        <f t="shared" si="226"/>
        <v>1.5219553394214369</v>
      </c>
      <c r="G348" s="338" t="str">
        <f t="shared" si="208"/>
        <v>1+0.08407530259537i</v>
      </c>
      <c r="H348" s="337">
        <f t="shared" si="227"/>
        <v>1.0035281044925961</v>
      </c>
      <c r="I348" s="338">
        <f t="shared" si="228"/>
        <v>8.3878038744594596E-2</v>
      </c>
      <c r="J348" s="340">
        <f t="shared" si="209"/>
        <v>1</v>
      </c>
      <c r="K348" s="338">
        <f t="shared" si="229"/>
        <v>1</v>
      </c>
      <c r="L348" s="339">
        <f t="shared" si="230"/>
        <v>0</v>
      </c>
      <c r="M348" s="731" t="str">
        <f t="shared" si="210"/>
        <v>0.968168682488889+0.39526239653229i</v>
      </c>
      <c r="N348" s="338">
        <f t="shared" si="231"/>
        <v>1.0457451696588038</v>
      </c>
      <c r="O348" s="339">
        <f t="shared" si="232"/>
        <v>0.38760482012130476</v>
      </c>
      <c r="P348" s="732" t="str">
        <f t="shared" si="224"/>
        <v>-0.0255410785004289-0.0980264945717279i</v>
      </c>
      <c r="Q348" s="337">
        <f t="shared" si="233"/>
        <v>0.10129926124600352</v>
      </c>
      <c r="R348" s="339">
        <f t="shared" si="234"/>
        <v>-1.8256821207981464</v>
      </c>
      <c r="S348" s="731" t="str">
        <f t="shared" si="211"/>
        <v>6000</v>
      </c>
      <c r="T348" s="337" t="str">
        <f t="shared" si="212"/>
        <v>1+169832.111242647i</v>
      </c>
      <c r="U348" s="346">
        <f t="shared" si="235"/>
        <v>169832.11124559108</v>
      </c>
      <c r="V348" s="347">
        <f t="shared" si="236"/>
        <v>1.5707904386269131</v>
      </c>
      <c r="W348" s="340" t="str">
        <f t="shared" si="213"/>
        <v>1+1681.5060519074i</v>
      </c>
      <c r="X348" s="337">
        <f t="shared" si="237"/>
        <v>1681.5063492598567</v>
      </c>
      <c r="Y348" s="339">
        <f t="shared" si="238"/>
        <v>1.5702016218986672</v>
      </c>
      <c r="Z348" s="337" t="str">
        <f t="shared" si="214"/>
        <v>1+16.9385774421509i</v>
      </c>
      <c r="AA348" s="346">
        <f t="shared" si="239"/>
        <v>16.968070183840688</v>
      </c>
      <c r="AB348" s="347">
        <f t="shared" si="240"/>
        <v>1.5118279367819849</v>
      </c>
      <c r="AC348" s="732" t="str">
        <f t="shared" si="241"/>
        <v>0.204273343724997-3.49507906779571i</v>
      </c>
      <c r="AD348" s="337">
        <f t="shared" si="242"/>
        <v>3.5010434571853462</v>
      </c>
      <c r="AE348" s="339">
        <f t="shared" si="243"/>
        <v>-1.5124167535102309</v>
      </c>
      <c r="AF348" s="736" t="str">
        <f t="shared" si="215"/>
        <v>-0.347827710774661+0.069243889015969i</v>
      </c>
      <c r="AG348" s="337">
        <f t="shared" si="244"/>
        <v>-9.0039244061373864</v>
      </c>
      <c r="AH348" s="730">
        <f t="shared" si="245"/>
        <v>168.74102290475889</v>
      </c>
      <c r="AI348" s="360">
        <f t="shared" si="216"/>
        <v>-11.258977095241107</v>
      </c>
      <c r="AL348" s="337">
        <f t="shared" si="217"/>
        <v>10.883950030774294</v>
      </c>
      <c r="AM348" s="730">
        <f t="shared" si="218"/>
        <v>-86.655096841013957</v>
      </c>
      <c r="AN348" s="351"/>
      <c r="AO348" s="337">
        <f t="shared" si="219"/>
        <v>33.384056761827765</v>
      </c>
      <c r="AP348" s="730">
        <f t="shared" si="220"/>
        <v>-104.60388025422709</v>
      </c>
      <c r="AS348" s="351"/>
      <c r="AT348" s="351"/>
      <c r="AV348" s="405">
        <f t="shared" si="221"/>
        <v>0</v>
      </c>
      <c r="AW348" s="405">
        <f t="shared" si="246"/>
        <v>0</v>
      </c>
      <c r="AX348" s="405">
        <f t="shared" si="222"/>
        <v>0</v>
      </c>
      <c r="AY348" s="405">
        <f t="shared" si="223"/>
        <v>0</v>
      </c>
    </row>
    <row r="349" spans="2:51" ht="13.5" thickBot="1" x14ac:dyDescent="0.25">
      <c r="B349" s="345">
        <v>26915</v>
      </c>
      <c r="C349" s="728" t="str">
        <f t="shared" si="206"/>
        <v>2.16217503399043</v>
      </c>
      <c r="D349" s="728" t="str">
        <f t="shared" si="207"/>
        <v>1+20.5752851260332i</v>
      </c>
      <c r="E349" s="337">
        <f t="shared" si="225"/>
        <v>20.599571792092259</v>
      </c>
      <c r="F349" s="338">
        <f t="shared" si="226"/>
        <v>1.5222325414978599</v>
      </c>
      <c r="G349" s="338" t="str">
        <f t="shared" si="208"/>
        <v>1+0.0845559662713695i</v>
      </c>
      <c r="H349" s="337">
        <f t="shared" si="227"/>
        <v>1.0035684886603828</v>
      </c>
      <c r="I349" s="338">
        <f t="shared" si="228"/>
        <v>8.4355309434096665E-2</v>
      </c>
      <c r="J349" s="340">
        <f t="shared" si="209"/>
        <v>1</v>
      </c>
      <c r="K349" s="338">
        <f t="shared" si="229"/>
        <v>1</v>
      </c>
      <c r="L349" s="339">
        <f t="shared" si="230"/>
        <v>0</v>
      </c>
      <c r="M349" s="731" t="str">
        <f t="shared" si="210"/>
        <v>0.967803678888889+0.397522135963927i</v>
      </c>
      <c r="N349" s="338">
        <f t="shared" si="231"/>
        <v>1.0462637379992632</v>
      </c>
      <c r="O349" s="339">
        <f t="shared" si="232"/>
        <v>0.38973627893862495</v>
      </c>
      <c r="P349" s="732" t="str">
        <f t="shared" si="224"/>
        <v>-0.0255727864355324-0.0973769747219799i</v>
      </c>
      <c r="Q349" s="337">
        <f t="shared" si="233"/>
        <v>0.10067890847681286</v>
      </c>
      <c r="R349" s="339">
        <f t="shared" si="234"/>
        <v>-1.8276135110023879</v>
      </c>
      <c r="S349" s="731" t="str">
        <f t="shared" si="211"/>
        <v>6000</v>
      </c>
      <c r="T349" s="337" t="str">
        <f t="shared" si="212"/>
        <v>1+170803.051868166i</v>
      </c>
      <c r="U349" s="346">
        <f t="shared" si="235"/>
        <v>170803.05187109334</v>
      </c>
      <c r="V349" s="347">
        <f t="shared" si="236"/>
        <v>1.5707904720985721</v>
      </c>
      <c r="W349" s="340" t="str">
        <f t="shared" si="213"/>
        <v>1+1691.11932542739i</v>
      </c>
      <c r="X349" s="337">
        <f t="shared" si="237"/>
        <v>1691.1196210895287</v>
      </c>
      <c r="Y349" s="339">
        <f t="shared" si="238"/>
        <v>1.5702050025350356</v>
      </c>
      <c r="Z349" s="337" t="str">
        <f t="shared" si="214"/>
        <v>1+17.035416331197i</v>
      </c>
      <c r="AA349" s="346">
        <f t="shared" si="239"/>
        <v>17.064741708482238</v>
      </c>
      <c r="AB349" s="347">
        <f t="shared" si="240"/>
        <v>1.5121623763359398</v>
      </c>
      <c r="AC349" s="732" t="str">
        <f t="shared" si="241"/>
        <v>0.201965487963813-3.47534654620116i</v>
      </c>
      <c r="AD349" s="337">
        <f t="shared" si="242"/>
        <v>3.4812100876736518</v>
      </c>
      <c r="AE349" s="339">
        <f t="shared" si="243"/>
        <v>-1.5127478458994763</v>
      </c>
      <c r="AF349" s="736" t="str">
        <f t="shared" si="215"/>
        <v>-0.343583553070597+0.0692075067993028i</v>
      </c>
      <c r="AG349" s="337">
        <f t="shared" si="244"/>
        <v>-9.1066253645681563</v>
      </c>
      <c r="AH349" s="730">
        <f t="shared" si="245"/>
        <v>168.61139220093031</v>
      </c>
      <c r="AI349" s="360">
        <f t="shared" si="216"/>
        <v>-11.388607799069689</v>
      </c>
      <c r="AL349" s="337">
        <f t="shared" si="217"/>
        <v>10.834604666571758</v>
      </c>
      <c r="AM349" s="730">
        <f t="shared" si="218"/>
        <v>-86.674067037546635</v>
      </c>
      <c r="AN349" s="351"/>
      <c r="AO349" s="337">
        <f t="shared" si="219"/>
        <v>33.330701167599521</v>
      </c>
      <c r="AP349" s="730">
        <f t="shared" si="220"/>
        <v>-104.71454076152303</v>
      </c>
      <c r="AS349" s="351"/>
      <c r="AT349" s="351"/>
      <c r="AV349" s="405">
        <f t="shared" si="221"/>
        <v>0</v>
      </c>
      <c r="AW349" s="405">
        <f t="shared" si="246"/>
        <v>0</v>
      </c>
      <c r="AX349" s="405">
        <f t="shared" si="222"/>
        <v>0</v>
      </c>
      <c r="AY349" s="405">
        <f t="shared" si="223"/>
        <v>0</v>
      </c>
    </row>
    <row r="350" spans="2:51" ht="13.5" thickBot="1" x14ac:dyDescent="0.25">
      <c r="B350" s="345">
        <v>27071.75</v>
      </c>
      <c r="C350" s="728" t="str">
        <f t="shared" si="206"/>
        <v>2.16217503399043</v>
      </c>
      <c r="D350" s="728" t="str">
        <f t="shared" si="207"/>
        <v>1+20.6951133238227i</v>
      </c>
      <c r="E350" s="337">
        <f t="shared" si="225"/>
        <v>20.719259530346729</v>
      </c>
      <c r="F350" s="338">
        <f t="shared" si="226"/>
        <v>1.5225132959230108</v>
      </c>
      <c r="G350" s="338" t="str">
        <f t="shared" si="208"/>
        <v>1+0.0850484109198195i</v>
      </c>
      <c r="H350" s="337">
        <f t="shared" si="227"/>
        <v>1.0036100996901069</v>
      </c>
      <c r="I350" s="338">
        <f t="shared" si="228"/>
        <v>8.4844237986683863E-2</v>
      </c>
      <c r="J350" s="340">
        <f t="shared" si="209"/>
        <v>1</v>
      </c>
      <c r="K350" s="338">
        <f t="shared" si="229"/>
        <v>1</v>
      </c>
      <c r="L350" s="339">
        <f t="shared" si="230"/>
        <v>0</v>
      </c>
      <c r="M350" s="731" t="str">
        <f t="shared" si="210"/>
        <v>0.967427571197222+0.399837261165945i</v>
      </c>
      <c r="N350" s="338">
        <f t="shared" si="231"/>
        <v>1.0467979465633472</v>
      </c>
      <c r="O350" s="339">
        <f t="shared" si="232"/>
        <v>0.39191856653872742</v>
      </c>
      <c r="P350" s="732" t="str">
        <f t="shared" si="224"/>
        <v>-0.0256041236737345-0.0967187110862611i</v>
      </c>
      <c r="Q350" s="337">
        <f t="shared" si="233"/>
        <v>0.10005038842147258</v>
      </c>
      <c r="R350" s="339">
        <f t="shared" si="234"/>
        <v>-1.8295876244750537</v>
      </c>
      <c r="S350" s="731" t="str">
        <f t="shared" si="211"/>
        <v>6000</v>
      </c>
      <c r="T350" s="337" t="str">
        <f t="shared" si="212"/>
        <v>1+171797.790058035i</v>
      </c>
      <c r="U350" s="346">
        <f t="shared" si="235"/>
        <v>171797.79006094538</v>
      </c>
      <c r="V350" s="347">
        <f t="shared" si="236"/>
        <v>1.5707905059982517</v>
      </c>
      <c r="W350" s="340" t="str">
        <f t="shared" si="213"/>
        <v>1+1700.96821839639i</v>
      </c>
      <c r="X350" s="337">
        <f t="shared" si="237"/>
        <v>1700.9685123465952</v>
      </c>
      <c r="Y350" s="339">
        <f t="shared" si="238"/>
        <v>1.5702084264014762</v>
      </c>
      <c r="Z350" s="337" t="str">
        <f t="shared" si="214"/>
        <v>1+17.1346287224254i</v>
      </c>
      <c r="AA350" s="346">
        <f t="shared" si="239"/>
        <v>17.163784590100327</v>
      </c>
      <c r="AB350" s="347">
        <f t="shared" si="240"/>
        <v>1.5125011059372082</v>
      </c>
      <c r="AC350" s="732" t="str">
        <f t="shared" si="241"/>
        <v>0.199641346694233-3.45535934322024i</v>
      </c>
      <c r="AD350" s="337">
        <f t="shared" si="242"/>
        <v>3.461121907429626</v>
      </c>
      <c r="AE350" s="339">
        <f t="shared" si="243"/>
        <v>-1.5130831855339839</v>
      </c>
      <c r="AF350" s="736" t="str">
        <f t="shared" si="215"/>
        <v>-0.339309543747281+0.0691623942292134i</v>
      </c>
      <c r="AG350" s="337">
        <f t="shared" si="244"/>
        <v>-9.2112864944630797</v>
      </c>
      <c r="AH350" s="730">
        <f t="shared" si="245"/>
        <v>168.47907028490587</v>
      </c>
      <c r="AI350" s="360">
        <f t="shared" si="216"/>
        <v>-11.520929715094127</v>
      </c>
      <c r="AL350" s="337">
        <f t="shared" si="217"/>
        <v>10.784337925157841</v>
      </c>
      <c r="AM350" s="730">
        <f t="shared" si="218"/>
        <v>-86.69328058330737</v>
      </c>
      <c r="AN350" s="351"/>
      <c r="AO350" s="337">
        <f t="shared" si="219"/>
        <v>33.276306779118514</v>
      </c>
      <c r="AP350" s="730">
        <f t="shared" si="220"/>
        <v>-104.82764913178673</v>
      </c>
      <c r="AS350" s="351"/>
      <c r="AT350" s="351"/>
      <c r="AV350" s="405">
        <f t="shared" si="221"/>
        <v>0</v>
      </c>
      <c r="AW350" s="405">
        <f t="shared" si="246"/>
        <v>0</v>
      </c>
      <c r="AX350" s="405">
        <f t="shared" si="222"/>
        <v>0</v>
      </c>
      <c r="AY350" s="405">
        <f t="shared" si="223"/>
        <v>0</v>
      </c>
    </row>
    <row r="351" spans="2:51" ht="13.5" thickBot="1" x14ac:dyDescent="0.25">
      <c r="B351" s="345">
        <v>27228.5</v>
      </c>
      <c r="C351" s="728" t="str">
        <f t="shared" si="206"/>
        <v>2.16217503399043</v>
      </c>
      <c r="D351" s="728" t="str">
        <f t="shared" si="207"/>
        <v>1+20.8149415216122i</v>
      </c>
      <c r="E351" s="337">
        <f t="shared" si="225"/>
        <v>20.83894888299637</v>
      </c>
      <c r="F351" s="338">
        <f t="shared" si="226"/>
        <v>1.5227908253208504</v>
      </c>
      <c r="G351" s="338" t="str">
        <f t="shared" si="208"/>
        <v>1+0.0855408555682695i</v>
      </c>
      <c r="H351" s="337">
        <f t="shared" si="227"/>
        <v>1.003651950614032</v>
      </c>
      <c r="I351" s="338">
        <f t="shared" si="228"/>
        <v>8.5333125880818289E-2</v>
      </c>
      <c r="J351" s="340">
        <f t="shared" si="209"/>
        <v>1</v>
      </c>
      <c r="K351" s="338">
        <f t="shared" si="229"/>
        <v>1</v>
      </c>
      <c r="L351" s="339">
        <f t="shared" si="230"/>
        <v>0</v>
      </c>
      <c r="M351" s="731" t="str">
        <f t="shared" si="210"/>
        <v>0.967049279455556+0.402152386367963i</v>
      </c>
      <c r="N351" s="338">
        <f t="shared" si="231"/>
        <v>1.0473351186496886</v>
      </c>
      <c r="O351" s="339">
        <f t="shared" si="232"/>
        <v>0.39409941826808376</v>
      </c>
      <c r="P351" s="732" t="str">
        <f t="shared" si="224"/>
        <v>-0.0256343236510023-0.0960675893876624i</v>
      </c>
      <c r="Q351" s="337">
        <f t="shared" si="233"/>
        <v>9.942887045421385E-2</v>
      </c>
      <c r="R351" s="339">
        <f t="shared" si="234"/>
        <v>-1.8315571177081154</v>
      </c>
      <c r="S351" s="731" t="str">
        <f t="shared" si="211"/>
        <v>6000</v>
      </c>
      <c r="T351" s="337" t="str">
        <f t="shared" si="212"/>
        <v>1+172792.528247904i</v>
      </c>
      <c r="U351" s="346">
        <f t="shared" si="235"/>
        <v>172792.52825079765</v>
      </c>
      <c r="V351" s="347">
        <f t="shared" si="236"/>
        <v>1.5707905395076214</v>
      </c>
      <c r="W351" s="340" t="str">
        <f t="shared" si="213"/>
        <v>1+1710.81711136539i</v>
      </c>
      <c r="X351" s="337">
        <f t="shared" si="237"/>
        <v>1710.8174036233725</v>
      </c>
      <c r="Y351" s="339">
        <f t="shared" si="238"/>
        <v>1.5702118108466574</v>
      </c>
      <c r="Z351" s="337" t="str">
        <f t="shared" si="214"/>
        <v>1+17.2338411136539i</v>
      </c>
      <c r="AA351" s="346">
        <f t="shared" si="239"/>
        <v>17.262829418454771</v>
      </c>
      <c r="AB351" s="347">
        <f t="shared" si="240"/>
        <v>1.5128359486800766</v>
      </c>
      <c r="AC351" s="732" t="str">
        <f t="shared" si="241"/>
        <v>0.197357049280897-3.43559995437325i</v>
      </c>
      <c r="AD351" s="337">
        <f t="shared" si="242"/>
        <v>3.4412638450706359</v>
      </c>
      <c r="AE351" s="339">
        <f t="shared" si="243"/>
        <v>-1.5134146773410406</v>
      </c>
      <c r="AF351" s="736" t="str">
        <f t="shared" si="215"/>
        <v>-0.335108920193074+0.0691096651926948i</v>
      </c>
      <c r="AG351" s="337">
        <f t="shared" si="244"/>
        <v>-9.3153904521872271</v>
      </c>
      <c r="AH351" s="730">
        <f t="shared" si="245"/>
        <v>168.34723355338434</v>
      </c>
      <c r="AI351" s="360">
        <f t="shared" si="216"/>
        <v>-11.652766446615658</v>
      </c>
      <c r="AL351" s="337">
        <f t="shared" si="217"/>
        <v>10.734359433618337</v>
      </c>
      <c r="AM351" s="730">
        <f t="shared" si="218"/>
        <v>-86.712273664794893</v>
      </c>
      <c r="AN351" s="351"/>
      <c r="AO351" s="337">
        <f t="shared" si="219"/>
        <v>33.222181312933884</v>
      </c>
      <c r="AP351" s="730">
        <f t="shared" si="220"/>
        <v>-104.94049278182074</v>
      </c>
      <c r="AS351" s="351"/>
      <c r="AT351" s="351"/>
      <c r="AV351" s="405">
        <f t="shared" si="221"/>
        <v>0</v>
      </c>
      <c r="AW351" s="405">
        <f t="shared" si="246"/>
        <v>0</v>
      </c>
      <c r="AX351" s="405">
        <f t="shared" si="222"/>
        <v>0</v>
      </c>
      <c r="AY351" s="405">
        <f t="shared" si="223"/>
        <v>0</v>
      </c>
    </row>
    <row r="352" spans="2:51" ht="13.5" thickBot="1" x14ac:dyDescent="0.25">
      <c r="B352" s="345">
        <v>27385.25</v>
      </c>
      <c r="C352" s="728" t="str">
        <f t="shared" si="206"/>
        <v>2.16217503399043</v>
      </c>
      <c r="D352" s="728" t="str">
        <f t="shared" si="207"/>
        <v>1+20.9347697194019i</v>
      </c>
      <c r="E352" s="337">
        <f t="shared" si="225"/>
        <v>20.958639822383194</v>
      </c>
      <c r="F352" s="338">
        <f t="shared" si="226"/>
        <v>1.5230651849008709</v>
      </c>
      <c r="G352" s="338" t="str">
        <f t="shared" si="208"/>
        <v>1+0.08603330021672i</v>
      </c>
      <c r="H352" s="337">
        <f t="shared" si="227"/>
        <v>1.0036940414021498</v>
      </c>
      <c r="I352" s="338">
        <f t="shared" si="228"/>
        <v>8.5821972887901568E-2</v>
      </c>
      <c r="J352" s="340">
        <f t="shared" si="209"/>
        <v>1</v>
      </c>
      <c r="K352" s="338">
        <f t="shared" si="229"/>
        <v>1</v>
      </c>
      <c r="L352" s="339">
        <f t="shared" si="230"/>
        <v>0</v>
      </c>
      <c r="M352" s="731" t="str">
        <f t="shared" si="210"/>
        <v>0.966668803663889+0.404467511569984i</v>
      </c>
      <c r="N352" s="338">
        <f t="shared" si="231"/>
        <v>1.0478752520660983</v>
      </c>
      <c r="O352" s="339">
        <f t="shared" si="232"/>
        <v>0.39627882820294902</v>
      </c>
      <c r="P352" s="732" t="str">
        <f t="shared" si="224"/>
        <v>-0.0256634103766494-0.0954234906412452i</v>
      </c>
      <c r="Q352" s="337">
        <f t="shared" si="233"/>
        <v>9.8814235808005538E-2</v>
      </c>
      <c r="R352" s="339">
        <f t="shared" si="234"/>
        <v>-1.8335220402159185</v>
      </c>
      <c r="S352" s="731" t="str">
        <f t="shared" si="211"/>
        <v>6000</v>
      </c>
      <c r="T352" s="337" t="str">
        <f t="shared" si="212"/>
        <v>1+173787.266437774i</v>
      </c>
      <c r="U352" s="346">
        <f t="shared" si="235"/>
        <v>173787.26644065109</v>
      </c>
      <c r="V352" s="347">
        <f t="shared" si="236"/>
        <v>1.5707905726333835</v>
      </c>
      <c r="W352" s="340" t="str">
        <f t="shared" si="213"/>
        <v>1+1720.6660043344i</v>
      </c>
      <c r="X352" s="337">
        <f t="shared" si="237"/>
        <v>1720.6662949195318</v>
      </c>
      <c r="Y352" s="339">
        <f t="shared" si="238"/>
        <v>1.5702151565475071</v>
      </c>
      <c r="Z352" s="337" t="str">
        <f t="shared" si="214"/>
        <v>1+17.3330535048825i</v>
      </c>
      <c r="AA352" s="346">
        <f t="shared" si="239"/>
        <v>17.361876160228753</v>
      </c>
      <c r="AB352" s="347">
        <f t="shared" si="240"/>
        <v>1.5131669710105369</v>
      </c>
      <c r="AC352" s="732" t="str">
        <f t="shared" si="241"/>
        <v>0.195111691154101-3.4160645199025i</v>
      </c>
      <c r="AD352" s="337">
        <f t="shared" si="242"/>
        <v>3.4216319755581122</v>
      </c>
      <c r="AE352" s="339">
        <f t="shared" si="243"/>
        <v>-1.5137423870964135</v>
      </c>
      <c r="AF352" s="736" t="str">
        <f t="shared" si="215"/>
        <v>-0.330980032144176+0.0690496270125288i</v>
      </c>
      <c r="AG352" s="337">
        <f t="shared" si="244"/>
        <v>-9.4189437575052022</v>
      </c>
      <c r="AH352" s="730">
        <f t="shared" si="245"/>
        <v>168.21587540072886</v>
      </c>
      <c r="AI352" s="360">
        <f t="shared" si="216"/>
        <v>-11.784124599271138</v>
      </c>
      <c r="AL352" s="337">
        <f t="shared" si="217"/>
        <v>10.684665916026979</v>
      </c>
      <c r="AM352" s="730">
        <f t="shared" si="218"/>
        <v>-86.731050050683024</v>
      </c>
      <c r="AN352" s="351"/>
      <c r="AO352" s="337">
        <f t="shared" si="219"/>
        <v>33.16832152520724</v>
      </c>
      <c r="AP352" s="730">
        <f t="shared" si="220"/>
        <v>-105.05307454858819</v>
      </c>
      <c r="AS352" s="351"/>
      <c r="AT352" s="351"/>
      <c r="AV352" s="405">
        <f t="shared" si="221"/>
        <v>0</v>
      </c>
      <c r="AW352" s="405">
        <f t="shared" si="246"/>
        <v>0</v>
      </c>
      <c r="AX352" s="405">
        <f t="shared" si="222"/>
        <v>0</v>
      </c>
      <c r="AY352" s="405">
        <f t="shared" si="223"/>
        <v>0</v>
      </c>
    </row>
    <row r="353" spans="2:51" ht="13.5" thickBot="1" x14ac:dyDescent="0.25">
      <c r="B353" s="345">
        <v>27542</v>
      </c>
      <c r="C353" s="728" t="str">
        <f t="shared" si="206"/>
        <v>2.16217503399043</v>
      </c>
      <c r="D353" s="728" t="str">
        <f t="shared" si="207"/>
        <v>1+21.0545979171914i</v>
      </c>
      <c r="E353" s="337">
        <f t="shared" si="225"/>
        <v>21.078332321476488</v>
      </c>
      <c r="F353" s="338">
        <f t="shared" si="226"/>
        <v>1.5233364286204776</v>
      </c>
      <c r="G353" s="338" t="str">
        <f t="shared" si="208"/>
        <v>1+0.08652574486517i</v>
      </c>
      <c r="H353" s="337">
        <f t="shared" si="227"/>
        <v>1.0037363720242842</v>
      </c>
      <c r="I353" s="338">
        <f t="shared" si="228"/>
        <v>8.6310778779450273E-2</v>
      </c>
      <c r="J353" s="340">
        <f t="shared" si="209"/>
        <v>1</v>
      </c>
      <c r="K353" s="338">
        <f t="shared" si="229"/>
        <v>1</v>
      </c>
      <c r="L353" s="339">
        <f t="shared" si="230"/>
        <v>0</v>
      </c>
      <c r="M353" s="731" t="str">
        <f t="shared" si="210"/>
        <v>0.966286143822222+0.406782636772002i</v>
      </c>
      <c r="N353" s="338">
        <f t="shared" si="231"/>
        <v>1.0484183446134481</v>
      </c>
      <c r="O353" s="339">
        <f t="shared" si="232"/>
        <v>0.39845679045466187</v>
      </c>
      <c r="P353" s="732" t="str">
        <f t="shared" si="224"/>
        <v>-0.0256914072035263-0.094786298542561i</v>
      </c>
      <c r="Q353" s="337">
        <f t="shared" si="233"/>
        <v>9.8206368406009728E-2</v>
      </c>
      <c r="R353" s="339">
        <f t="shared" si="234"/>
        <v>-1.8354824402956889</v>
      </c>
      <c r="S353" s="731" t="str">
        <f t="shared" si="211"/>
        <v>6000</v>
      </c>
      <c r="T353" s="337" t="str">
        <f t="shared" si="212"/>
        <v>1+174782.004627643i</v>
      </c>
      <c r="U353" s="346">
        <f t="shared" si="235"/>
        <v>174782.00463050374</v>
      </c>
      <c r="V353" s="347">
        <f t="shared" si="236"/>
        <v>1.5707906053820879</v>
      </c>
      <c r="W353" s="340" t="str">
        <f t="shared" si="213"/>
        <v>1+1730.5148973034i</v>
      </c>
      <c r="X353" s="337">
        <f t="shared" si="237"/>
        <v>1730.5151862347225</v>
      </c>
      <c r="Y353" s="339">
        <f t="shared" si="238"/>
        <v>1.5702184641655428</v>
      </c>
      <c r="Z353" s="337" t="str">
        <f t="shared" si="214"/>
        <v>1+17.4322658961109i</v>
      </c>
      <c r="AA353" s="346">
        <f t="shared" si="239"/>
        <v>17.460924782860474</v>
      </c>
      <c r="AB353" s="347">
        <f t="shared" si="240"/>
        <v>1.5134942378702898</v>
      </c>
      <c r="AC353" s="732" t="str">
        <f t="shared" si="241"/>
        <v>0.192904393241546-3.396749266456i</v>
      </c>
      <c r="AD353" s="337">
        <f t="shared" si="242"/>
        <v>3.4022224624649788</v>
      </c>
      <c r="AE353" s="339">
        <f t="shared" si="243"/>
        <v>-1.5140663790868352</v>
      </c>
      <c r="AF353" s="736" t="str">
        <f t="shared" si="215"/>
        <v>-0.326921275362641+0.0689825751648356i</v>
      </c>
      <c r="AG353" s="337">
        <f t="shared" si="244"/>
        <v>-9.5219528187528955</v>
      </c>
      <c r="AH353" s="730">
        <f t="shared" si="245"/>
        <v>168.08498937635369</v>
      </c>
      <c r="AI353" s="360">
        <f t="shared" si="216"/>
        <v>-11.91501062364631</v>
      </c>
      <c r="AL353" s="337">
        <f t="shared" si="217"/>
        <v>10.635254151799234</v>
      </c>
      <c r="AM353" s="730">
        <f t="shared" si="218"/>
        <v>-86.749613424330221</v>
      </c>
      <c r="AN353" s="351"/>
      <c r="AO353" s="337">
        <f t="shared" si="219"/>
        <v>33.114724228187306</v>
      </c>
      <c r="AP353" s="730">
        <f t="shared" si="220"/>
        <v>-105.16539719931615</v>
      </c>
      <c r="AS353" s="351"/>
      <c r="AT353" s="351"/>
      <c r="AV353" s="405">
        <f t="shared" si="221"/>
        <v>0</v>
      </c>
      <c r="AW353" s="405">
        <f t="shared" si="246"/>
        <v>0</v>
      </c>
      <c r="AX353" s="405">
        <f t="shared" si="222"/>
        <v>0</v>
      </c>
      <c r="AY353" s="405">
        <f t="shared" si="223"/>
        <v>0</v>
      </c>
    </row>
    <row r="354" spans="2:51" ht="13.5" thickBot="1" x14ac:dyDescent="0.25">
      <c r="B354" s="345">
        <v>27702.5</v>
      </c>
      <c r="C354" s="728" t="str">
        <f t="shared" si="206"/>
        <v>2.16217503399043</v>
      </c>
      <c r="D354" s="728" t="str">
        <f t="shared" si="207"/>
        <v>1+21.1772928182773i</v>
      </c>
      <c r="E354" s="337">
        <f t="shared" si="225"/>
        <v>21.200889866018816</v>
      </c>
      <c r="F354" s="338">
        <f t="shared" si="226"/>
        <v>1.5236109879356952</v>
      </c>
      <c r="G354" s="338" t="str">
        <f t="shared" si="208"/>
        <v>1+0.087029970486071i</v>
      </c>
      <c r="H354" s="337">
        <f t="shared" si="227"/>
        <v>1.0037799638181699</v>
      </c>
      <c r="I354" s="338">
        <f t="shared" si="228"/>
        <v>8.6811235750599736E-2</v>
      </c>
      <c r="J354" s="340">
        <f t="shared" si="209"/>
        <v>1</v>
      </c>
      <c r="K354" s="338">
        <f t="shared" si="229"/>
        <v>1</v>
      </c>
      <c r="L354" s="339">
        <f t="shared" si="230"/>
        <v>0</v>
      </c>
      <c r="M354" s="731" t="str">
        <f t="shared" si="210"/>
        <v>0.965892066388889+0.409153147744403i</v>
      </c>
      <c r="N354" s="338">
        <f t="shared" si="231"/>
        <v>1.0489774936680727</v>
      </c>
      <c r="O354" s="339">
        <f t="shared" si="232"/>
        <v>0.40068535090528684</v>
      </c>
      <c r="P354" s="732" t="str">
        <f t="shared" si="224"/>
        <v>-0.0257189682131997-0.0941409003490335i</v>
      </c>
      <c r="Q354" s="337">
        <f t="shared" si="233"/>
        <v>9.7590852258181635E-2</v>
      </c>
      <c r="R354" s="339">
        <f t="shared" si="234"/>
        <v>-1.8374851030903834</v>
      </c>
      <c r="S354" s="731" t="str">
        <f t="shared" si="211"/>
        <v>6000</v>
      </c>
      <c r="T354" s="337" t="str">
        <f t="shared" si="212"/>
        <v>1+175800.540381863i</v>
      </c>
      <c r="U354" s="346">
        <f t="shared" si="235"/>
        <v>175800.54038470713</v>
      </c>
      <c r="V354" s="347">
        <f t="shared" si="236"/>
        <v>1.5707906385302428</v>
      </c>
      <c r="W354" s="340" t="str">
        <f t="shared" si="213"/>
        <v>1+1740.59940972142i</v>
      </c>
      <c r="X354" s="337">
        <f t="shared" si="237"/>
        <v>1740.5996969787614</v>
      </c>
      <c r="Y354" s="339">
        <f t="shared" si="238"/>
        <v>1.5702218121280569</v>
      </c>
      <c r="Z354" s="337" t="str">
        <f t="shared" si="214"/>
        <v>1+17.5338517895219i</v>
      </c>
      <c r="AA354" s="346">
        <f t="shared" si="239"/>
        <v>17.562344905419675</v>
      </c>
      <c r="AB354" s="347">
        <f t="shared" si="240"/>
        <v>1.5138255090611101</v>
      </c>
      <c r="AC354" s="732" t="str">
        <f t="shared" si="241"/>
        <v>0.190682833813887-3.37719621810925i</v>
      </c>
      <c r="AD354" s="337">
        <f t="shared" si="242"/>
        <v>3.382575089886803</v>
      </c>
      <c r="AE354" s="339">
        <f t="shared" si="243"/>
        <v>-1.514394335463296</v>
      </c>
      <c r="AF354" s="736" t="str">
        <f t="shared" si="215"/>
        <v>-0.322836458369818+0.0689069485269456i</v>
      </c>
      <c r="AG354" s="337">
        <f t="shared" si="244"/>
        <v>-9.6268688601469226</v>
      </c>
      <c r="AH354" s="730">
        <f t="shared" si="245"/>
        <v>167.95145473419421</v>
      </c>
      <c r="AI354" s="360">
        <f t="shared" si="216"/>
        <v>-12.048545265805785</v>
      </c>
      <c r="AL354" s="337">
        <f t="shared" si="217"/>
        <v>10.584948925860409</v>
      </c>
      <c r="AM354" s="730">
        <f t="shared" si="218"/>
        <v>-86.768403940565832</v>
      </c>
      <c r="AN354" s="351"/>
      <c r="AO354" s="337">
        <f t="shared" si="219"/>
        <v>33.060113412732107</v>
      </c>
      <c r="AP354" s="730">
        <f t="shared" si="220"/>
        <v>-105.2801413252399</v>
      </c>
      <c r="AS354" s="351"/>
      <c r="AT354" s="351"/>
      <c r="AV354" s="405">
        <f t="shared" si="221"/>
        <v>0</v>
      </c>
      <c r="AW354" s="405">
        <f t="shared" si="246"/>
        <v>0</v>
      </c>
      <c r="AX354" s="405">
        <f t="shared" si="222"/>
        <v>0</v>
      </c>
      <c r="AY354" s="405">
        <f t="shared" si="223"/>
        <v>0</v>
      </c>
    </row>
    <row r="355" spans="2:51" ht="13.5" thickBot="1" x14ac:dyDescent="0.25">
      <c r="B355" s="345">
        <v>27863</v>
      </c>
      <c r="C355" s="728" t="str">
        <f t="shared" si="206"/>
        <v>2.16217503399043</v>
      </c>
      <c r="D355" s="728" t="str">
        <f t="shared" si="207"/>
        <v>1+21.2999877193633i</v>
      </c>
      <c r="E355" s="337">
        <f t="shared" si="225"/>
        <v>21.323448990372722</v>
      </c>
      <c r="F355" s="338">
        <f t="shared" si="226"/>
        <v>1.5238823911448607</v>
      </c>
      <c r="G355" s="338" t="str">
        <f t="shared" si="208"/>
        <v>1+0.0875341961069725i</v>
      </c>
      <c r="H355" s="337">
        <f t="shared" si="227"/>
        <v>1.003823806994083</v>
      </c>
      <c r="I355" s="338">
        <f t="shared" si="228"/>
        <v>8.7311649130988531E-2</v>
      </c>
      <c r="J355" s="340">
        <f t="shared" si="209"/>
        <v>1</v>
      </c>
      <c r="K355" s="338">
        <f t="shared" si="229"/>
        <v>1</v>
      </c>
      <c r="L355" s="339">
        <f t="shared" si="230"/>
        <v>0</v>
      </c>
      <c r="M355" s="731" t="str">
        <f t="shared" si="210"/>
        <v>0.965495699155555+0.411523658716807i</v>
      </c>
      <c r="N355" s="338">
        <f t="shared" si="231"/>
        <v>1.0495397404441345</v>
      </c>
      <c r="O355" s="339">
        <f t="shared" si="232"/>
        <v>0.40291238119473499</v>
      </c>
      <c r="P355" s="732" t="str">
        <f t="shared" si="224"/>
        <v>-0.0257454340904736-0.0935025047193476i</v>
      </c>
      <c r="Q355" s="337">
        <f t="shared" si="233"/>
        <v>9.6982193032012526E-2</v>
      </c>
      <c r="R355" s="339">
        <f t="shared" si="234"/>
        <v>-1.8394831232086075</v>
      </c>
      <c r="S355" s="731" t="str">
        <f t="shared" si="211"/>
        <v>6000</v>
      </c>
      <c r="T355" s="337" t="str">
        <f t="shared" si="212"/>
        <v>1+176819.076136084i</v>
      </c>
      <c r="U355" s="346">
        <f t="shared" si="235"/>
        <v>176819.07613891177</v>
      </c>
      <c r="V355" s="347">
        <f t="shared" si="236"/>
        <v>1.570790671296509</v>
      </c>
      <c r="W355" s="340" t="str">
        <f t="shared" si="213"/>
        <v>1+1750.68392213945i</v>
      </c>
      <c r="X355" s="337">
        <f t="shared" si="237"/>
        <v>1750.6842077420954</v>
      </c>
      <c r="Y355" s="339">
        <f t="shared" si="238"/>
        <v>1.5702251215198637</v>
      </c>
      <c r="Z355" s="337" t="str">
        <f t="shared" si="214"/>
        <v>1+17.635437682933i</v>
      </c>
      <c r="AA355" s="346">
        <f t="shared" si="239"/>
        <v>17.663766933149148</v>
      </c>
      <c r="AB355" s="347">
        <f t="shared" si="240"/>
        <v>1.514152976093772</v>
      </c>
      <c r="AC355" s="732" t="str">
        <f t="shared" si="241"/>
        <v>0.188499390374966-3.35786627235236i</v>
      </c>
      <c r="AD355" s="337">
        <f t="shared" si="242"/>
        <v>3.3631529735016912</v>
      </c>
      <c r="AE355" s="339">
        <f t="shared" si="243"/>
        <v>-1.514718525870417</v>
      </c>
      <c r="AF355" s="736" t="str">
        <f t="shared" si="215"/>
        <v>-0.318821905608558+0.0688245596613425i</v>
      </c>
      <c r="AG355" s="337">
        <f t="shared" si="244"/>
        <v>-9.7312275562934847</v>
      </c>
      <c r="AH355" s="730">
        <f t="shared" si="245"/>
        <v>167.8184018719511</v>
      </c>
      <c r="AI355" s="360">
        <f t="shared" si="216"/>
        <v>-12.181598128048904</v>
      </c>
      <c r="AL355" s="337">
        <f t="shared" si="217"/>
        <v>10.534932434230409</v>
      </c>
      <c r="AM355" s="730">
        <f t="shared" si="218"/>
        <v>-86.786978682652489</v>
      </c>
      <c r="AN355" s="351"/>
      <c r="AO355" s="337">
        <f t="shared" si="219"/>
        <v>33.005771208215535</v>
      </c>
      <c r="AP355" s="730">
        <f t="shared" si="220"/>
        <v>-105.39461944539647</v>
      </c>
      <c r="AS355" s="351"/>
      <c r="AT355" s="351"/>
      <c r="AV355" s="405">
        <f t="shared" si="221"/>
        <v>0</v>
      </c>
      <c r="AW355" s="405">
        <f t="shared" si="246"/>
        <v>0</v>
      </c>
      <c r="AX355" s="405">
        <f t="shared" si="222"/>
        <v>0</v>
      </c>
      <c r="AY355" s="405">
        <f t="shared" si="223"/>
        <v>0</v>
      </c>
    </row>
    <row r="356" spans="2:51" ht="13.5" thickBot="1" x14ac:dyDescent="0.25">
      <c r="B356" s="345">
        <v>28023.5</v>
      </c>
      <c r="C356" s="728" t="str">
        <f t="shared" si="206"/>
        <v>2.16217503399043</v>
      </c>
      <c r="D356" s="728" t="str">
        <f t="shared" si="207"/>
        <v>1+21.4226826204492i</v>
      </c>
      <c r="E356" s="337">
        <f t="shared" si="225"/>
        <v>21.446009667453204</v>
      </c>
      <c r="F356" s="338">
        <f t="shared" si="226"/>
        <v>1.5241506923176387</v>
      </c>
      <c r="G356" s="338" t="str">
        <f t="shared" si="208"/>
        <v>1+0.0880384217278735i</v>
      </c>
      <c r="H356" s="337">
        <f t="shared" si="227"/>
        <v>1.0038679015190868</v>
      </c>
      <c r="I356" s="338">
        <f t="shared" si="228"/>
        <v>8.7812018675722997E-2</v>
      </c>
      <c r="J356" s="340">
        <f t="shared" si="209"/>
        <v>1</v>
      </c>
      <c r="K356" s="338">
        <f t="shared" si="229"/>
        <v>1</v>
      </c>
      <c r="L356" s="339">
        <f t="shared" si="230"/>
        <v>0</v>
      </c>
      <c r="M356" s="731" t="str">
        <f t="shared" si="210"/>
        <v>0.965097042122222+0.413894169689209i</v>
      </c>
      <c r="N356" s="338">
        <f t="shared" si="231"/>
        <v>1.0501050825587799</v>
      </c>
      <c r="O356" s="339">
        <f t="shared" si="232"/>
        <v>0.40513787511616556</v>
      </c>
      <c r="P356" s="732" t="str">
        <f t="shared" si="224"/>
        <v>-0.0257708279068718-0.0928709950540514i</v>
      </c>
      <c r="Q356" s="337">
        <f t="shared" si="233"/>
        <v>9.6380274399563967E-2</v>
      </c>
      <c r="R356" s="339">
        <f t="shared" si="234"/>
        <v>-1.8414765487580804</v>
      </c>
      <c r="S356" s="731" t="str">
        <f t="shared" si="211"/>
        <v>6000</v>
      </c>
      <c r="T356" s="337" t="str">
        <f t="shared" si="212"/>
        <v>1+177837.611890304i</v>
      </c>
      <c r="U356" s="346">
        <f t="shared" si="235"/>
        <v>177837.61189311554</v>
      </c>
      <c r="V356" s="347">
        <f t="shared" si="236"/>
        <v>1.5707907036874484</v>
      </c>
      <c r="W356" s="340" t="str">
        <f t="shared" si="213"/>
        <v>1+1760.76843455747i</v>
      </c>
      <c r="X356" s="337">
        <f t="shared" si="237"/>
        <v>1760.7687185243731</v>
      </c>
      <c r="Y356" s="339">
        <f t="shared" si="238"/>
        <v>1.5702283930036851</v>
      </c>
      <c r="Z356" s="337" t="str">
        <f t="shared" si="214"/>
        <v>1+17.7370235763439i</v>
      </c>
      <c r="AA356" s="346">
        <f t="shared" si="239"/>
        <v>17.765190833418576</v>
      </c>
      <c r="AB356" s="347">
        <f t="shared" si="240"/>
        <v>1.5144767040528095</v>
      </c>
      <c r="AC356" s="732" t="str">
        <f t="shared" si="241"/>
        <v>0.186353196844746-3.33875564466376i</v>
      </c>
      <c r="AD356" s="337">
        <f t="shared" si="242"/>
        <v>3.3439522677138172</v>
      </c>
      <c r="AE356" s="339">
        <f t="shared" si="243"/>
        <v>-1.5150390147365731</v>
      </c>
      <c r="AF356" s="736" t="str">
        <f t="shared" si="215"/>
        <v>-0.314876035128036+0.0687356903192515i</v>
      </c>
      <c r="AG356" s="337">
        <f t="shared" si="244"/>
        <v>-9.8350354395019419</v>
      </c>
      <c r="AH356" s="730">
        <f t="shared" si="245"/>
        <v>167.68582434178109</v>
      </c>
      <c r="AI356" s="360">
        <f t="shared" si="216"/>
        <v>-12.314175658218915</v>
      </c>
      <c r="AL356" s="337">
        <f t="shared" si="217"/>
        <v>10.48520139198761</v>
      </c>
      <c r="AM356" s="730">
        <f t="shared" si="218"/>
        <v>-86.805341342064168</v>
      </c>
      <c r="AN356" s="351"/>
      <c r="AO356" s="337">
        <f t="shared" si="219"/>
        <v>32.951694367249871</v>
      </c>
      <c r="AP356" s="730">
        <f t="shared" si="220"/>
        <v>-105.50883431615475</v>
      </c>
      <c r="AS356" s="351"/>
      <c r="AT356" s="351"/>
      <c r="AV356" s="405">
        <f t="shared" si="221"/>
        <v>0</v>
      </c>
      <c r="AW356" s="405">
        <f t="shared" si="246"/>
        <v>0</v>
      </c>
      <c r="AX356" s="405">
        <f t="shared" si="222"/>
        <v>0</v>
      </c>
      <c r="AY356" s="405">
        <f t="shared" si="223"/>
        <v>0</v>
      </c>
    </row>
    <row r="357" spans="2:51" ht="13.5" thickBot="1" x14ac:dyDescent="0.25">
      <c r="B357" s="345">
        <v>28184</v>
      </c>
      <c r="C357" s="728" t="str">
        <f t="shared" si="206"/>
        <v>2.16217503399043</v>
      </c>
      <c r="D357" s="728" t="str">
        <f t="shared" si="207"/>
        <v>1+21.5453775215351i</v>
      </c>
      <c r="E357" s="337">
        <f t="shared" si="225"/>
        <v>21.568571870790844</v>
      </c>
      <c r="F357" s="338">
        <f t="shared" si="226"/>
        <v>1.5244159442965137</v>
      </c>
      <c r="G357" s="338" t="str">
        <f t="shared" si="208"/>
        <v>1+0.0885426473487745i</v>
      </c>
      <c r="H357" s="337">
        <f t="shared" si="227"/>
        <v>1.0039122473600617</v>
      </c>
      <c r="I357" s="338">
        <f t="shared" si="228"/>
        <v>8.831234414004159E-2</v>
      </c>
      <c r="J357" s="340">
        <f t="shared" si="209"/>
        <v>1</v>
      </c>
      <c r="K357" s="338">
        <f t="shared" si="229"/>
        <v>1</v>
      </c>
      <c r="L357" s="339">
        <f t="shared" si="230"/>
        <v>0</v>
      </c>
      <c r="M357" s="731" t="str">
        <f t="shared" si="210"/>
        <v>0.964696095288889+0.416264680661611i</v>
      </c>
      <c r="N357" s="338">
        <f t="shared" si="231"/>
        <v>1.0506735176218835</v>
      </c>
      <c r="O357" s="339">
        <f t="shared" si="232"/>
        <v>0.4073618265014966</v>
      </c>
      <c r="P357" s="732" t="str">
        <f t="shared" si="224"/>
        <v>-0.0257951721049762-0.0922462573830678i</v>
      </c>
      <c r="Q357" s="337">
        <f t="shared" si="233"/>
        <v>9.5784982670085256E-2</v>
      </c>
      <c r="R357" s="339">
        <f t="shared" si="234"/>
        <v>-1.8434654266579689</v>
      </c>
      <c r="S357" s="731" t="str">
        <f t="shared" si="211"/>
        <v>6000</v>
      </c>
      <c r="T357" s="337" t="str">
        <f t="shared" si="212"/>
        <v>1+178856.147644524i</v>
      </c>
      <c r="U357" s="346">
        <f t="shared" si="235"/>
        <v>178856.14764731954</v>
      </c>
      <c r="V357" s="347">
        <f t="shared" si="236"/>
        <v>1.5707907357094733</v>
      </c>
      <c r="W357" s="340" t="str">
        <f t="shared" si="213"/>
        <v>1+1770.85294697549i</v>
      </c>
      <c r="X357" s="337">
        <f t="shared" si="237"/>
        <v>1770.8532293252815</v>
      </c>
      <c r="Y357" s="339">
        <f t="shared" si="238"/>
        <v>1.5702316272271473</v>
      </c>
      <c r="Z357" s="337" t="str">
        <f t="shared" si="214"/>
        <v>1+17.8386094697549i</v>
      </c>
      <c r="AA357" s="346">
        <f t="shared" si="239"/>
        <v>17.866616574338554</v>
      </c>
      <c r="AB357" s="347">
        <f t="shared" si="240"/>
        <v>1.5147967565480398</v>
      </c>
      <c r="AC357" s="732" t="str">
        <f t="shared" si="241"/>
        <v>0.184243411577581-3.31986063535927i</v>
      </c>
      <c r="AD357" s="337">
        <f t="shared" si="242"/>
        <v>3.3249692138300775</v>
      </c>
      <c r="AE357" s="339">
        <f t="shared" si="243"/>
        <v>-1.5153558650303658</v>
      </c>
      <c r="AF357" s="736" t="str">
        <f t="shared" si="215"/>
        <v>-0.310997309156118+0.068640611288108i</v>
      </c>
      <c r="AG357" s="337">
        <f t="shared" si="244"/>
        <v>-9.9382989302338025</v>
      </c>
      <c r="AH357" s="730">
        <f t="shared" si="245"/>
        <v>167.55371584757881</v>
      </c>
      <c r="AI357" s="360">
        <f t="shared" si="216"/>
        <v>-12.446284152421185</v>
      </c>
      <c r="AL357" s="337">
        <f t="shared" si="217"/>
        <v>10.435752569771255</v>
      </c>
      <c r="AM357" s="730">
        <f t="shared" si="218"/>
        <v>-86.82349552663598</v>
      </c>
      <c r="AN357" s="351"/>
      <c r="AO357" s="337">
        <f t="shared" si="219"/>
        <v>32.897879698734378</v>
      </c>
      <c r="AP357" s="730">
        <f t="shared" si="220"/>
        <v>-105.62278862578522</v>
      </c>
      <c r="AS357" s="351"/>
      <c r="AT357" s="351"/>
      <c r="AV357" s="405">
        <f t="shared" si="221"/>
        <v>0</v>
      </c>
      <c r="AW357" s="405">
        <f t="shared" si="246"/>
        <v>0</v>
      </c>
      <c r="AX357" s="405">
        <f t="shared" si="222"/>
        <v>0</v>
      </c>
      <c r="AY357" s="405">
        <f t="shared" si="223"/>
        <v>0</v>
      </c>
    </row>
    <row r="358" spans="2:51" ht="13.5" thickBot="1" x14ac:dyDescent="0.25">
      <c r="B358" s="345">
        <v>28348</v>
      </c>
      <c r="C358" s="728" t="str">
        <f t="shared" si="206"/>
        <v>2.16217503399043</v>
      </c>
      <c r="D358" s="728" t="str">
        <f t="shared" si="207"/>
        <v>1+21.6707480123645i</v>
      </c>
      <c r="E358" s="337">
        <f t="shared" si="225"/>
        <v>21.693808319781009</v>
      </c>
      <c r="F358" s="338">
        <f t="shared" si="226"/>
        <v>1.5246838846604196</v>
      </c>
      <c r="G358" s="338" t="str">
        <f t="shared" si="208"/>
        <v>1+0.0890578685439635i</v>
      </c>
      <c r="H358" s="337">
        <f t="shared" si="227"/>
        <v>1.0039578198059886</v>
      </c>
      <c r="I358" s="338">
        <f t="shared" si="228"/>
        <v>8.8823534341198288E-2</v>
      </c>
      <c r="J358" s="340">
        <f t="shared" si="209"/>
        <v>1</v>
      </c>
      <c r="K358" s="338">
        <f t="shared" si="229"/>
        <v>1</v>
      </c>
      <c r="L358" s="339">
        <f t="shared" si="230"/>
        <v>0</v>
      </c>
      <c r="M358" s="731" t="str">
        <f t="shared" si="210"/>
        <v>0.964284039822222+0.418686885019705i</v>
      </c>
      <c r="N358" s="338">
        <f t="shared" si="231"/>
        <v>1.0512575408259235</v>
      </c>
      <c r="O358" s="339">
        <f t="shared" si="232"/>
        <v>0.40963267553236521</v>
      </c>
      <c r="P358" s="732" t="str">
        <f t="shared" si="224"/>
        <v>-0.0258189856871003-0.0916147753599016i</v>
      </c>
      <c r="Q358" s="337">
        <f t="shared" si="233"/>
        <v>9.5183439138097556E-2</v>
      </c>
      <c r="R358" s="339">
        <f t="shared" si="234"/>
        <v>-1.845493025851586</v>
      </c>
      <c r="S358" s="731" t="str">
        <f t="shared" si="211"/>
        <v>6000</v>
      </c>
      <c r="T358" s="337" t="str">
        <f t="shared" si="212"/>
        <v>1+179896.894458806i</v>
      </c>
      <c r="U358" s="346">
        <f t="shared" si="235"/>
        <v>179896.89446158538</v>
      </c>
      <c r="V358" s="347">
        <f t="shared" si="236"/>
        <v>1.5707907680552475</v>
      </c>
      <c r="W358" s="340" t="str">
        <f t="shared" si="213"/>
        <v>1+1781.15737087927i</v>
      </c>
      <c r="X358" s="337">
        <f t="shared" si="237"/>
        <v>1781.1576515956006</v>
      </c>
      <c r="Y358" s="339">
        <f t="shared" si="238"/>
        <v>1.5702348941493143</v>
      </c>
      <c r="Z358" s="337" t="str">
        <f t="shared" si="214"/>
        <v>1+17.9424106318696i</v>
      </c>
      <c r="AA358" s="346">
        <f t="shared" si="239"/>
        <v>17.970255960409336</v>
      </c>
      <c r="AB358" s="347">
        <f t="shared" si="240"/>
        <v>1.5151200565020873</v>
      </c>
      <c r="AC358" s="732" t="str">
        <f t="shared" si="241"/>
        <v>0.182124375378902-3.30077254485795i</v>
      </c>
      <c r="AD358" s="337">
        <f t="shared" si="242"/>
        <v>3.3057931999741275</v>
      </c>
      <c r="AE358" s="339">
        <f t="shared" si="243"/>
        <v>-1.5156759304080203</v>
      </c>
      <c r="AF358" s="736" t="str">
        <f t="shared" si="215"/>
        <v>-0.307101801852472+0.0685373153541605i</v>
      </c>
      <c r="AG358" s="337">
        <f t="shared" si="244"/>
        <v>-10.043258509477056</v>
      </c>
      <c r="AH358" s="730">
        <f t="shared" si="245"/>
        <v>167.41920457593255</v>
      </c>
      <c r="AI358" s="360">
        <f t="shared" si="216"/>
        <v>-12.580795424067446</v>
      </c>
      <c r="AL358" s="337">
        <f t="shared" si="217"/>
        <v>10.385513639764731</v>
      </c>
      <c r="AM358" s="730">
        <f t="shared" si="218"/>
        <v>-86.841833921943831</v>
      </c>
      <c r="AN358" s="351"/>
      <c r="AO358" s="337">
        <f t="shared" si="219"/>
        <v>32.843159049497643</v>
      </c>
      <c r="AP358" s="730">
        <f t="shared" si="220"/>
        <v>-105.73896150212366</v>
      </c>
      <c r="AS358" s="351"/>
      <c r="AT358" s="351"/>
      <c r="AV358" s="405">
        <f t="shared" si="221"/>
        <v>0</v>
      </c>
      <c r="AW358" s="405">
        <f t="shared" si="246"/>
        <v>0</v>
      </c>
      <c r="AX358" s="405">
        <f t="shared" si="222"/>
        <v>0</v>
      </c>
      <c r="AY358" s="405">
        <f t="shared" si="223"/>
        <v>0</v>
      </c>
    </row>
    <row r="359" spans="2:51" ht="13.5" thickBot="1" x14ac:dyDescent="0.25">
      <c r="B359" s="345">
        <v>28512</v>
      </c>
      <c r="C359" s="728" t="str">
        <f t="shared" si="206"/>
        <v>2.16217503399043</v>
      </c>
      <c r="D359" s="728" t="str">
        <f t="shared" si="207"/>
        <v>1+21.7961185031937i</v>
      </c>
      <c r="E359" s="337">
        <f t="shared" si="225"/>
        <v>21.819046308334897</v>
      </c>
      <c r="F359" s="338">
        <f t="shared" si="226"/>
        <v>1.5249487491697447</v>
      </c>
      <c r="G359" s="338" t="str">
        <f t="shared" si="208"/>
        <v>1+0.089573089739152i</v>
      </c>
      <c r="H359" s="337">
        <f t="shared" si="227"/>
        <v>1.0040036545777202</v>
      </c>
      <c r="I359" s="338">
        <f t="shared" si="228"/>
        <v>8.933467800220711E-2</v>
      </c>
      <c r="J359" s="340">
        <f t="shared" si="209"/>
        <v>1</v>
      </c>
      <c r="K359" s="338">
        <f t="shared" si="229"/>
        <v>1</v>
      </c>
      <c r="L359" s="339">
        <f t="shared" si="230"/>
        <v>0</v>
      </c>
      <c r="M359" s="731" t="str">
        <f t="shared" si="210"/>
        <v>0.9638695936+0.421109089377798i</v>
      </c>
      <c r="N359" s="338">
        <f t="shared" si="231"/>
        <v>1.0518447882759261</v>
      </c>
      <c r="O359" s="339">
        <f t="shared" si="232"/>
        <v>0.41190190112129405</v>
      </c>
      <c r="P359" s="732" t="str">
        <f t="shared" si="224"/>
        <v>-0.0258417488306577-0.0909901314017986i</v>
      </c>
      <c r="Q359" s="337">
        <f t="shared" si="233"/>
        <v>9.4588582794877391E-2</v>
      </c>
      <c r="R359" s="339">
        <f t="shared" si="234"/>
        <v>-1.8475159722888321</v>
      </c>
      <c r="S359" s="731" t="str">
        <f t="shared" si="211"/>
        <v>6000</v>
      </c>
      <c r="T359" s="337" t="str">
        <f t="shared" si="212"/>
        <v>1+180937.641273087i</v>
      </c>
      <c r="U359" s="346">
        <f t="shared" si="235"/>
        <v>180937.64127585042</v>
      </c>
      <c r="V359" s="347">
        <f t="shared" si="236"/>
        <v>1.5707908000289184</v>
      </c>
      <c r="W359" s="340" t="str">
        <f t="shared" si="213"/>
        <v>1+1791.46179478304i</v>
      </c>
      <c r="X359" s="337">
        <f t="shared" si="237"/>
        <v>1791.4620738847002</v>
      </c>
      <c r="Y359" s="339">
        <f t="shared" si="238"/>
        <v>1.5702381234890552</v>
      </c>
      <c r="Z359" s="337" t="str">
        <f t="shared" si="214"/>
        <v>1+18.0462117939843i</v>
      </c>
      <c r="AA359" s="346">
        <f t="shared" si="239"/>
        <v>18.073897203241419</v>
      </c>
      <c r="AB359" s="347">
        <f t="shared" si="240"/>
        <v>1.5154396486880015</v>
      </c>
      <c r="AC359" s="732" t="str">
        <f t="shared" si="241"/>
        <v>0.18004165052494-3.28190203024957i</v>
      </c>
      <c r="AD359" s="337">
        <f t="shared" si="242"/>
        <v>3.2868367668748006</v>
      </c>
      <c r="AE359" s="339">
        <f t="shared" si="243"/>
        <v>-1.5159923252278644</v>
      </c>
      <c r="AF359" s="736" t="str">
        <f t="shared" si="215"/>
        <v>-0.303273288092161+0.068428074513474i</v>
      </c>
      <c r="AG359" s="337">
        <f t="shared" si="244"/>
        <v>-10.147662901145502</v>
      </c>
      <c r="AH359" s="730">
        <f t="shared" si="245"/>
        <v>167.28517019506046</v>
      </c>
      <c r="AI359" s="360">
        <f t="shared" si="216"/>
        <v>-12.714829804939541</v>
      </c>
      <c r="AL359" s="337">
        <f t="shared" si="217"/>
        <v>10.335562727778921</v>
      </c>
      <c r="AM359" s="730">
        <f t="shared" si="218"/>
        <v>-86.859962009780702</v>
      </c>
      <c r="AN359" s="351"/>
      <c r="AO359" s="337">
        <f t="shared" si="219"/>
        <v>32.788705569815008</v>
      </c>
      <c r="AP359" s="730">
        <f t="shared" si="220"/>
        <v>-105.85486779515884</v>
      </c>
      <c r="AS359" s="351"/>
      <c r="AT359" s="351"/>
      <c r="AV359" s="405">
        <f t="shared" si="221"/>
        <v>0</v>
      </c>
      <c r="AW359" s="405">
        <f t="shared" si="246"/>
        <v>0</v>
      </c>
      <c r="AX359" s="405">
        <f t="shared" si="222"/>
        <v>0</v>
      </c>
      <c r="AY359" s="405">
        <f t="shared" si="223"/>
        <v>0</v>
      </c>
    </row>
    <row r="360" spans="2:51" ht="13.5" thickBot="1" x14ac:dyDescent="0.25">
      <c r="B360" s="345">
        <v>28676</v>
      </c>
      <c r="C360" s="728" t="str">
        <f t="shared" si="206"/>
        <v>2.16217503399043</v>
      </c>
      <c r="D360" s="728" t="str">
        <f t="shared" si="207"/>
        <v>1+21.921488994023i</v>
      </c>
      <c r="E360" s="337">
        <f t="shared" si="225"/>
        <v>21.944285810093515</v>
      </c>
      <c r="F360" s="338">
        <f t="shared" si="226"/>
        <v>1.525210590450168</v>
      </c>
      <c r="G360" s="338" t="str">
        <f t="shared" si="208"/>
        <v>1+0.090088310934341i</v>
      </c>
      <c r="H360" s="337">
        <f t="shared" si="227"/>
        <v>1.0040497516393312</v>
      </c>
      <c r="I360" s="338">
        <f t="shared" si="228"/>
        <v>8.9845774862370276E-2</v>
      </c>
      <c r="J360" s="340">
        <f t="shared" si="209"/>
        <v>1</v>
      </c>
      <c r="K360" s="338">
        <f t="shared" si="229"/>
        <v>1</v>
      </c>
      <c r="L360" s="339">
        <f t="shared" si="230"/>
        <v>0</v>
      </c>
      <c r="M360" s="731" t="str">
        <f t="shared" si="210"/>
        <v>0.963452756622222+0.423531293735892i</v>
      </c>
      <c r="N360" s="338">
        <f t="shared" si="231"/>
        <v>1.0524352573990274</v>
      </c>
      <c r="O360" s="339">
        <f t="shared" si="232"/>
        <v>0.41416949681344711</v>
      </c>
      <c r="P360" s="732" t="str">
        <f t="shared" si="224"/>
        <v>-0.0258634835784299-0.090372211956251i</v>
      </c>
      <c r="Q360" s="337">
        <f t="shared" si="233"/>
        <v>9.4000300407377793E-2</v>
      </c>
      <c r="R360" s="339">
        <f t="shared" si="234"/>
        <v>-1.8495343124012438</v>
      </c>
      <c r="S360" s="731" t="str">
        <f t="shared" si="211"/>
        <v>6000</v>
      </c>
      <c r="T360" s="337" t="str">
        <f t="shared" si="212"/>
        <v>1+181978.388087369i</v>
      </c>
      <c r="U360" s="346">
        <f t="shared" si="235"/>
        <v>181978.38809011658</v>
      </c>
      <c r="V360" s="347">
        <f t="shared" si="236"/>
        <v>1.5707908316368699</v>
      </c>
      <c r="W360" s="340" t="str">
        <f t="shared" si="213"/>
        <v>1+1801.76621868682i</v>
      </c>
      <c r="X360" s="337">
        <f t="shared" si="237"/>
        <v>1801.766496192279</v>
      </c>
      <c r="Y360" s="339">
        <f t="shared" si="238"/>
        <v>1.5702413158911792</v>
      </c>
      <c r="Z360" s="337" t="str">
        <f t="shared" si="214"/>
        <v>1+18.150012956099i</v>
      </c>
      <c r="AA360" s="346">
        <f t="shared" si="239"/>
        <v>18.177540271075223</v>
      </c>
      <c r="AB360" s="347">
        <f t="shared" si="240"/>
        <v>1.5157555964617908</v>
      </c>
      <c r="AC360" s="732" t="str">
        <f t="shared" si="241"/>
        <v>0.177994412931259-3.26324540394404i</v>
      </c>
      <c r="AD360" s="337">
        <f t="shared" si="242"/>
        <v>3.2680961701572744</v>
      </c>
      <c r="AE360" s="339">
        <f t="shared" si="243"/>
        <v>-1.5163051122074818</v>
      </c>
      <c r="AF360" s="736" t="str">
        <f t="shared" si="215"/>
        <v>-0.299510260886393+0.0683131451048413i</v>
      </c>
      <c r="AG360" s="337">
        <f t="shared" si="244"/>
        <v>-10.251518609129231</v>
      </c>
      <c r="AH360" s="730">
        <f t="shared" si="245"/>
        <v>167.15160645117862</v>
      </c>
      <c r="AI360" s="360">
        <f t="shared" si="216"/>
        <v>-12.848393548821377</v>
      </c>
      <c r="AL360" s="337">
        <f t="shared" si="217"/>
        <v>10.2858965603538</v>
      </c>
      <c r="AM360" s="730">
        <f t="shared" si="218"/>
        <v>-86.877883383599425</v>
      </c>
      <c r="AN360" s="351"/>
      <c r="AO360" s="337">
        <f t="shared" si="219"/>
        <v>32.734516029256397</v>
      </c>
      <c r="AP360" s="730">
        <f t="shared" si="220"/>
        <v>-105.97051016522197</v>
      </c>
      <c r="AS360" s="351"/>
      <c r="AT360" s="351"/>
      <c r="AV360" s="405">
        <f t="shared" si="221"/>
        <v>0</v>
      </c>
      <c r="AW360" s="405">
        <f t="shared" si="246"/>
        <v>0</v>
      </c>
      <c r="AX360" s="405">
        <f t="shared" si="222"/>
        <v>0</v>
      </c>
      <c r="AY360" s="405">
        <f t="shared" si="223"/>
        <v>0</v>
      </c>
    </row>
    <row r="361" spans="2:51" ht="13.5" thickBot="1" x14ac:dyDescent="0.25">
      <c r="B361" s="345">
        <v>28840</v>
      </c>
      <c r="C361" s="728" t="str">
        <f t="shared" si="206"/>
        <v>2.16217503399043</v>
      </c>
      <c r="D361" s="728" t="str">
        <f t="shared" si="207"/>
        <v>1+22.0468594848522i</v>
      </c>
      <c r="E361" s="337">
        <f t="shared" si="225"/>
        <v>22.069526799295389</v>
      </c>
      <c r="F361" s="338">
        <f t="shared" si="226"/>
        <v>1.5254694599344787</v>
      </c>
      <c r="G361" s="338" t="str">
        <f t="shared" si="208"/>
        <v>1+0.0906035321295295i</v>
      </c>
      <c r="H361" s="337">
        <f t="shared" si="227"/>
        <v>1.0040961109546966</v>
      </c>
      <c r="I361" s="338">
        <f t="shared" si="228"/>
        <v>9.0356824661133581E-2</v>
      </c>
      <c r="J361" s="340">
        <f t="shared" si="209"/>
        <v>1</v>
      </c>
      <c r="K361" s="338">
        <f t="shared" si="229"/>
        <v>1</v>
      </c>
      <c r="L361" s="339">
        <f t="shared" si="230"/>
        <v>0</v>
      </c>
      <c r="M361" s="731" t="str">
        <f t="shared" si="210"/>
        <v>0.963033528888889+0.425953498093985i</v>
      </c>
      <c r="N361" s="338">
        <f t="shared" si="231"/>
        <v>1.0530289456148341</v>
      </c>
      <c r="O361" s="339">
        <f t="shared" si="232"/>
        <v>0.41643545619638778</v>
      </c>
      <c r="P361" s="732" t="str">
        <f t="shared" si="224"/>
        <v>-0.0258842113755401-0.0897609060286147i</v>
      </c>
      <c r="Q361" s="337">
        <f t="shared" si="233"/>
        <v>9.3418481306492232E-2</v>
      </c>
      <c r="R361" s="339">
        <f t="shared" si="234"/>
        <v>-1.8515480914697322</v>
      </c>
      <c r="S361" s="731" t="str">
        <f t="shared" si="211"/>
        <v>6000</v>
      </c>
      <c r="T361" s="337" t="str">
        <f t="shared" si="212"/>
        <v>1+183019.13490165i</v>
      </c>
      <c r="U361" s="346">
        <f t="shared" si="235"/>
        <v>183019.13490438194</v>
      </c>
      <c r="V361" s="347">
        <f t="shared" si="236"/>
        <v>1.5707908628853413</v>
      </c>
      <c r="W361" s="340" t="str">
        <f t="shared" si="213"/>
        <v>1+1812.07064259059i</v>
      </c>
      <c r="X361" s="337">
        <f t="shared" si="237"/>
        <v>1812.0709185180015</v>
      </c>
      <c r="Y361" s="339">
        <f t="shared" si="238"/>
        <v>1.5702444719858282</v>
      </c>
      <c r="Z361" s="337" t="str">
        <f t="shared" si="214"/>
        <v>1+18.2538141182136i</v>
      </c>
      <c r="AA361" s="346">
        <f t="shared" si="239"/>
        <v>18.281185132870743</v>
      </c>
      <c r="AB361" s="347">
        <f t="shared" si="240"/>
        <v>1.5160679617456281</v>
      </c>
      <c r="AC361" s="732" t="str">
        <f t="shared" si="241"/>
        <v>0.175981861736378-3.24479906095766i</v>
      </c>
      <c r="AD361" s="337">
        <f t="shared" si="242"/>
        <v>3.2495677499710505</v>
      </c>
      <c r="AE361" s="339">
        <f t="shared" si="243"/>
        <v>-1.5166143526451414</v>
      </c>
      <c r="AF361" s="736" t="str">
        <f t="shared" si="215"/>
        <v>-0.295811255299803+0.0681927734109224i</v>
      </c>
      <c r="AG361" s="337">
        <f t="shared" si="244"/>
        <v>-10.354832025976874</v>
      </c>
      <c r="AH361" s="730">
        <f t="shared" si="245"/>
        <v>167.01850723774973</v>
      </c>
      <c r="AI361" s="360">
        <f t="shared" si="216"/>
        <v>-12.981492762250269</v>
      </c>
      <c r="AL361" s="337">
        <f t="shared" si="217"/>
        <v>10.236511919349081</v>
      </c>
      <c r="AM361" s="730">
        <f t="shared" si="218"/>
        <v>-86.89560155553211</v>
      </c>
      <c r="AN361" s="351"/>
      <c r="AO361" s="337">
        <f t="shared" si="219"/>
        <v>32.680587253413485</v>
      </c>
      <c r="AP361" s="730">
        <f t="shared" si="220"/>
        <v>-106.08589120671816</v>
      </c>
      <c r="AS361" s="351"/>
      <c r="AT361" s="351"/>
      <c r="AV361" s="405">
        <f t="shared" si="221"/>
        <v>0</v>
      </c>
      <c r="AW361" s="405">
        <f t="shared" si="246"/>
        <v>0</v>
      </c>
      <c r="AX361" s="405">
        <f t="shared" si="222"/>
        <v>0</v>
      </c>
      <c r="AY361" s="405">
        <f t="shared" si="223"/>
        <v>0</v>
      </c>
    </row>
    <row r="362" spans="2:51" ht="13.5" thickBot="1" x14ac:dyDescent="0.25">
      <c r="B362" s="345">
        <v>29008</v>
      </c>
      <c r="C362" s="728" t="str">
        <f t="shared" si="206"/>
        <v>2.16217503399043</v>
      </c>
      <c r="D362" s="728" t="str">
        <f t="shared" si="207"/>
        <v>1+22.1752877925309i</v>
      </c>
      <c r="E362" s="337">
        <f t="shared" si="225"/>
        <v>22.197823962757472</v>
      </c>
      <c r="F362" s="338">
        <f t="shared" si="226"/>
        <v>1.5257316144486479</v>
      </c>
      <c r="G362" s="338" t="str">
        <f t="shared" si="208"/>
        <v>1+0.0911313196953325i</v>
      </c>
      <c r="H362" s="337">
        <f t="shared" si="227"/>
        <v>1.0041438728735106</v>
      </c>
      <c r="I362" s="338">
        <f t="shared" si="228"/>
        <v>9.0880290019773491E-2</v>
      </c>
      <c r="J362" s="340">
        <f t="shared" si="209"/>
        <v>1</v>
      </c>
      <c r="K362" s="338">
        <f t="shared" si="229"/>
        <v>1</v>
      </c>
      <c r="L362" s="339">
        <f t="shared" si="230"/>
        <v>0</v>
      </c>
      <c r="M362" s="731" t="str">
        <f t="shared" si="210"/>
        <v>0.962601597155556+0.428434780607153i</v>
      </c>
      <c r="N362" s="338">
        <f t="shared" si="231"/>
        <v>1.0536404491477758</v>
      </c>
      <c r="O362" s="339">
        <f t="shared" si="232"/>
        <v>0.4187549795620944</v>
      </c>
      <c r="P362" s="732" t="str">
        <f t="shared" si="224"/>
        <v>-0.0259044224483884-0.0891414342336472i</v>
      </c>
      <c r="Q362" s="337">
        <f t="shared" si="233"/>
        <v>9.282906010305296E-2</v>
      </c>
      <c r="R362" s="339">
        <f t="shared" si="234"/>
        <v>-1.8536063039909692</v>
      </c>
      <c r="S362" s="731" t="str">
        <f t="shared" si="211"/>
        <v>6000</v>
      </c>
      <c r="T362" s="337" t="str">
        <f t="shared" si="212"/>
        <v>1+184085.265784572i</v>
      </c>
      <c r="U362" s="346">
        <f t="shared" si="235"/>
        <v>184085.26578728814</v>
      </c>
      <c r="V362" s="347">
        <f t="shared" si="236"/>
        <v>1.5707908945296052</v>
      </c>
      <c r="W362" s="340" t="str">
        <f t="shared" si="213"/>
        <v>1+1822.62639390665i</v>
      </c>
      <c r="X362" s="337">
        <f t="shared" si="237"/>
        <v>1822.6266682360265</v>
      </c>
      <c r="Y362" s="339">
        <f t="shared" si="238"/>
        <v>1.5702476680555078</v>
      </c>
      <c r="Z362" s="337" t="str">
        <f t="shared" si="214"/>
        <v>1+18.3601470159896i</v>
      </c>
      <c r="AA362" s="346">
        <f t="shared" si="239"/>
        <v>18.387359746541968</v>
      </c>
      <c r="AB362" s="347">
        <f t="shared" si="240"/>
        <v>1.5163842943353547</v>
      </c>
      <c r="AC362" s="732" t="str">
        <f t="shared" si="241"/>
        <v>0.173955376105782-3.22611716244283i</v>
      </c>
      <c r="AD362" s="337">
        <f t="shared" si="242"/>
        <v>3.2308036799973285</v>
      </c>
      <c r="AE362" s="339">
        <f t="shared" si="243"/>
        <v>-1.5169275208094521</v>
      </c>
      <c r="AF362" s="736" t="str">
        <f t="shared" si="215"/>
        <v>-0.292086924415751+0.0680640701251922i</v>
      </c>
      <c r="AG362" s="337">
        <f t="shared" si="244"/>
        <v>-10.460109557654311</v>
      </c>
      <c r="AH362" s="730">
        <f t="shared" si="245"/>
        <v>166.88263713284906</v>
      </c>
      <c r="AI362" s="360">
        <f t="shared" si="216"/>
        <v>-13.117362867150945</v>
      </c>
      <c r="AL362" s="337">
        <f t="shared" si="217"/>
        <v>10.186211377720687</v>
      </c>
      <c r="AM362" s="730">
        <f t="shared" si="218"/>
        <v>-86.913544769624963</v>
      </c>
      <c r="AN362" s="351"/>
      <c r="AO362" s="337">
        <f t="shared" si="219"/>
        <v>32.625610263364422</v>
      </c>
      <c r="AP362" s="730">
        <f t="shared" si="220"/>
        <v>-106.20381809752602</v>
      </c>
      <c r="AS362" s="351"/>
      <c r="AT362" s="351"/>
      <c r="AV362" s="405">
        <f t="shared" si="221"/>
        <v>0</v>
      </c>
      <c r="AW362" s="405">
        <f t="shared" si="246"/>
        <v>0</v>
      </c>
      <c r="AX362" s="405">
        <f t="shared" si="222"/>
        <v>0</v>
      </c>
      <c r="AY362" s="405">
        <f t="shared" si="223"/>
        <v>0</v>
      </c>
    </row>
    <row r="363" spans="2:51" ht="13.5" thickBot="1" x14ac:dyDescent="0.25">
      <c r="B363" s="345">
        <v>29176</v>
      </c>
      <c r="C363" s="728" t="str">
        <f t="shared" si="206"/>
        <v>2.16217503399043</v>
      </c>
      <c r="D363" s="728" t="str">
        <f t="shared" si="207"/>
        <v>1+22.3037161002098i</v>
      </c>
      <c r="E363" s="337">
        <f t="shared" si="225"/>
        <v>22.326122634231812</v>
      </c>
      <c r="F363" s="338">
        <f t="shared" si="226"/>
        <v>1.525990756000869</v>
      </c>
      <c r="G363" s="338" t="str">
        <f t="shared" si="208"/>
        <v>1+0.091659107261136i</v>
      </c>
      <c r="H363" s="337">
        <f t="shared" si="227"/>
        <v>1.0041919099175758</v>
      </c>
      <c r="I363" s="338">
        <f t="shared" si="228"/>
        <v>9.1403705440306904E-2</v>
      </c>
      <c r="J363" s="340">
        <f t="shared" si="209"/>
        <v>1</v>
      </c>
      <c r="K363" s="338">
        <f t="shared" si="229"/>
        <v>1</v>
      </c>
      <c r="L363" s="339">
        <f t="shared" si="230"/>
        <v>0</v>
      </c>
      <c r="M363" s="731" t="str">
        <f t="shared" si="210"/>
        <v>0.962167156622222+0.430916063120324i</v>
      </c>
      <c r="N363" s="338">
        <f t="shared" si="231"/>
        <v>1.0542553252118818</v>
      </c>
      <c r="O363" s="339">
        <f t="shared" si="232"/>
        <v>0.42107277233954143</v>
      </c>
      <c r="P363" s="732" t="str">
        <f t="shared" si="224"/>
        <v>-0.0259236205723143-0.088528674631821i</v>
      </c>
      <c r="Q363" s="337">
        <f t="shared" si="233"/>
        <v>9.2246194152626929E-2</v>
      </c>
      <c r="R363" s="339">
        <f t="shared" si="234"/>
        <v>-1.8556598229001031</v>
      </c>
      <c r="S363" s="731" t="str">
        <f t="shared" si="211"/>
        <v>6000</v>
      </c>
      <c r="T363" s="337" t="str">
        <f t="shared" si="212"/>
        <v>1+185151.396667495i</v>
      </c>
      <c r="U363" s="346">
        <f t="shared" si="235"/>
        <v>185151.39667019548</v>
      </c>
      <c r="V363" s="347">
        <f t="shared" si="236"/>
        <v>1.5707909258094437</v>
      </c>
      <c r="W363" s="340" t="str">
        <f t="shared" si="213"/>
        <v>1+1833.18214522272i</v>
      </c>
      <c r="X363" s="337">
        <f t="shared" si="237"/>
        <v>1833.1824179724651</v>
      </c>
      <c r="Y363" s="339">
        <f t="shared" si="238"/>
        <v>1.5702508273182538</v>
      </c>
      <c r="Z363" s="337" t="str">
        <f t="shared" si="214"/>
        <v>1+18.4664799137657i</v>
      </c>
      <c r="AA363" s="346">
        <f t="shared" si="239"/>
        <v>18.493536179041371</v>
      </c>
      <c r="AB363" s="347">
        <f t="shared" si="240"/>
        <v>1.5166969946528155</v>
      </c>
      <c r="AC363" s="732" t="str">
        <f t="shared" si="241"/>
        <v>0.171963659585595-3.207648527731i</v>
      </c>
      <c r="AD363" s="337">
        <f t="shared" si="242"/>
        <v>3.2122547498093801</v>
      </c>
      <c r="AE363" s="339">
        <f t="shared" si="243"/>
        <v>-1.5172370931440053</v>
      </c>
      <c r="AF363" s="736" t="str">
        <f t="shared" si="215"/>
        <v>-0.288426793508061+0.0679301484942907i</v>
      </c>
      <c r="AG363" s="337">
        <f t="shared" si="244"/>
        <v>-10.564831254889535</v>
      </c>
      <c r="AH363" s="730">
        <f t="shared" si="245"/>
        <v>166.74724197798142</v>
      </c>
      <c r="AI363" s="360">
        <f t="shared" si="216"/>
        <v>-13.252758022018583</v>
      </c>
      <c r="AL363" s="337">
        <f t="shared" si="217"/>
        <v>10.136199599189645</v>
      </c>
      <c r="AM363" s="730">
        <f t="shared" si="218"/>
        <v>-86.931281957848881</v>
      </c>
      <c r="AN363" s="351"/>
      <c r="AO363" s="337">
        <f t="shared" si="219"/>
        <v>32.570900344660238</v>
      </c>
      <c r="AP363" s="730">
        <f t="shared" si="220"/>
        <v>-106.32147606416977</v>
      </c>
      <c r="AS363" s="351"/>
      <c r="AT363" s="351"/>
      <c r="AV363" s="405">
        <f t="shared" si="221"/>
        <v>0</v>
      </c>
      <c r="AW363" s="405">
        <f t="shared" si="246"/>
        <v>0</v>
      </c>
      <c r="AX363" s="405">
        <f t="shared" si="222"/>
        <v>0</v>
      </c>
      <c r="AY363" s="405">
        <f t="shared" si="223"/>
        <v>0</v>
      </c>
    </row>
    <row r="364" spans="2:51" ht="13.5" thickBot="1" x14ac:dyDescent="0.25">
      <c r="B364" s="345">
        <v>29344</v>
      </c>
      <c r="C364" s="728" t="str">
        <f t="shared" si="206"/>
        <v>2.16217503399043</v>
      </c>
      <c r="D364" s="728" t="str">
        <f t="shared" si="207"/>
        <v>1+22.4321444078885i</v>
      </c>
      <c r="E364" s="337">
        <f t="shared" si="225"/>
        <v>22.45442278786884</v>
      </c>
      <c r="F364" s="338">
        <f t="shared" si="226"/>
        <v>1.5262469362024491</v>
      </c>
      <c r="G364" s="338" t="str">
        <f t="shared" si="208"/>
        <v>1+0.092186894826939i</v>
      </c>
      <c r="H364" s="337">
        <f t="shared" si="227"/>
        <v>1.0042402220474109</v>
      </c>
      <c r="I364" s="338">
        <f t="shared" si="228"/>
        <v>9.1927070643126094E-2</v>
      </c>
      <c r="J364" s="340">
        <f t="shared" si="209"/>
        <v>1</v>
      </c>
      <c r="K364" s="338">
        <f t="shared" si="229"/>
        <v>1</v>
      </c>
      <c r="L364" s="339">
        <f t="shared" si="230"/>
        <v>0</v>
      </c>
      <c r="M364" s="731" t="str">
        <f t="shared" si="210"/>
        <v>0.961730207288889+0.433397345633492i</v>
      </c>
      <c r="N364" s="338">
        <f t="shared" si="231"/>
        <v>1.0548735710093822</v>
      </c>
      <c r="O364" s="339">
        <f t="shared" si="232"/>
        <v>0.42338882777418141</v>
      </c>
      <c r="P364" s="732" t="str">
        <f t="shared" si="224"/>
        <v>-0.0259418269783008-0.08792251579529i</v>
      </c>
      <c r="Q364" s="337">
        <f t="shared" si="233"/>
        <v>9.1669772393876456E-2</v>
      </c>
      <c r="R364" s="339">
        <f t="shared" si="234"/>
        <v>-1.857708693333505</v>
      </c>
      <c r="S364" s="731" t="str">
        <f t="shared" si="211"/>
        <v>6000</v>
      </c>
      <c r="T364" s="337" t="str">
        <f t="shared" si="212"/>
        <v>1+186217.527550417i</v>
      </c>
      <c r="U364" s="346">
        <f t="shared" si="235"/>
        <v>186217.527553102</v>
      </c>
      <c r="V364" s="347">
        <f t="shared" si="236"/>
        <v>1.5707909567311162</v>
      </c>
      <c r="W364" s="340" t="str">
        <f t="shared" si="213"/>
        <v>1+1843.73789653878i</v>
      </c>
      <c r="X364" s="337">
        <f t="shared" si="237"/>
        <v>1843.7381677269809</v>
      </c>
      <c r="Y364" s="339">
        <f t="shared" si="238"/>
        <v>1.5702539504062463</v>
      </c>
      <c r="Z364" s="337" t="str">
        <f t="shared" si="214"/>
        <v>1+18.5728128115417i</v>
      </c>
      <c r="AA364" s="346">
        <f t="shared" si="239"/>
        <v>18.599714399220417</v>
      </c>
      <c r="AB364" s="347">
        <f t="shared" si="240"/>
        <v>1.5170061248418316</v>
      </c>
      <c r="AC364" s="732" t="str">
        <f t="shared" si="241"/>
        <v>0.1700059220691-3.18938953643531i</v>
      </c>
      <c r="AD364" s="337">
        <f t="shared" si="242"/>
        <v>3.1939172858202838</v>
      </c>
      <c r="AE364" s="339">
        <f t="shared" si="243"/>
        <v>-1.5175431311667014</v>
      </c>
      <c r="AF364" s="736" t="str">
        <f t="shared" si="215"/>
        <v>-0.284829416110169+0.0677912431521945i</v>
      </c>
      <c r="AG364" s="337">
        <f t="shared" si="244"/>
        <v>-10.669003642163062</v>
      </c>
      <c r="AH364" s="730">
        <f t="shared" si="245"/>
        <v>166.61231566230734</v>
      </c>
      <c r="AI364" s="360">
        <f t="shared" si="216"/>
        <v>-13.387684337692662</v>
      </c>
      <c r="AL364" s="337">
        <f t="shared" si="217"/>
        <v>10.086473296932381</v>
      </c>
      <c r="AM364" s="730">
        <f t="shared" si="218"/>
        <v>-86.948816644919887</v>
      </c>
      <c r="AN364" s="351"/>
      <c r="AO364" s="337">
        <f t="shared" si="219"/>
        <v>32.516454259643993</v>
      </c>
      <c r="AP364" s="730">
        <f t="shared" si="220"/>
        <v>-106.43886769277276</v>
      </c>
      <c r="AS364" s="351"/>
      <c r="AT364" s="351"/>
      <c r="AV364" s="405">
        <f t="shared" si="221"/>
        <v>0</v>
      </c>
      <c r="AW364" s="405">
        <f t="shared" si="246"/>
        <v>0</v>
      </c>
      <c r="AX364" s="405">
        <f t="shared" si="222"/>
        <v>0</v>
      </c>
      <c r="AY364" s="405">
        <f t="shared" si="223"/>
        <v>0</v>
      </c>
    </row>
    <row r="365" spans="2:51" ht="13.5" thickBot="1" x14ac:dyDescent="0.25">
      <c r="B365" s="345">
        <v>29512</v>
      </c>
      <c r="C365" s="728" t="str">
        <f t="shared" si="206"/>
        <v>2.16217503399043</v>
      </c>
      <c r="D365" s="728" t="str">
        <f t="shared" si="207"/>
        <v>1+22.5605727155672i</v>
      </c>
      <c r="E365" s="337">
        <f t="shared" si="225"/>
        <v>22.582724398406747</v>
      </c>
      <c r="F365" s="338">
        <f t="shared" si="226"/>
        <v>1.5265002054933736</v>
      </c>
      <c r="G365" s="338" t="str">
        <f t="shared" si="208"/>
        <v>1+0.092714682392742i</v>
      </c>
      <c r="H365" s="337">
        <f t="shared" si="227"/>
        <v>1.0042888092233164</v>
      </c>
      <c r="I365" s="338">
        <f t="shared" si="228"/>
        <v>9.2450385348788522E-2</v>
      </c>
      <c r="J365" s="340">
        <f t="shared" si="209"/>
        <v>1</v>
      </c>
      <c r="K365" s="338">
        <f t="shared" si="229"/>
        <v>1</v>
      </c>
      <c r="L365" s="339">
        <f t="shared" si="230"/>
        <v>0</v>
      </c>
      <c r="M365" s="731" t="str">
        <f t="shared" si="210"/>
        <v>0.961290749155555+0.435878628146661i</v>
      </c>
      <c r="N365" s="338">
        <f t="shared" si="231"/>
        <v>1.0554951837346598</v>
      </c>
      <c r="O365" s="339">
        <f t="shared" si="232"/>
        <v>0.42570313915830876</v>
      </c>
      <c r="P365" s="732" t="str">
        <f t="shared" si="224"/>
        <v>-0.0259590623235936-0.0873228488095717i</v>
      </c>
      <c r="Q365" s="337">
        <f t="shared" si="233"/>
        <v>9.1099686283430931E-2</v>
      </c>
      <c r="R365" s="339">
        <f t="shared" si="234"/>
        <v>-1.8597529593028941</v>
      </c>
      <c r="S365" s="731" t="str">
        <f t="shared" si="211"/>
        <v>6000</v>
      </c>
      <c r="T365" s="337" t="str">
        <f t="shared" si="212"/>
        <v>1+187283.658433339i</v>
      </c>
      <c r="U365" s="346">
        <f t="shared" si="235"/>
        <v>187283.65843600879</v>
      </c>
      <c r="V365" s="347">
        <f t="shared" si="236"/>
        <v>1.5707909873007391</v>
      </c>
      <c r="W365" s="340" t="str">
        <f t="shared" si="213"/>
        <v>1+1854.29364785484i</v>
      </c>
      <c r="X365" s="337">
        <f t="shared" si="237"/>
        <v>1854.293917499275</v>
      </c>
      <c r="Y365" s="339">
        <f t="shared" si="238"/>
        <v>1.57025703793727</v>
      </c>
      <c r="Z365" s="337" t="str">
        <f t="shared" si="214"/>
        <v>1+18.6791457093176i</v>
      </c>
      <c r="AA365" s="346">
        <f t="shared" si="239"/>
        <v>18.705894376637492</v>
      </c>
      <c r="AB365" s="347">
        <f t="shared" si="240"/>
        <v>1.5173117456380059</v>
      </c>
      <c r="AC365" s="732" t="str">
        <f t="shared" si="241"/>
        <v>0.168081395744741-3.17133664941287i</v>
      </c>
      <c r="AD365" s="337">
        <f t="shared" si="242"/>
        <v>3.1757876974862072</v>
      </c>
      <c r="AE365" s="339">
        <f t="shared" si="243"/>
        <v>-1.5178456950014751</v>
      </c>
      <c r="AF365" s="736" t="str">
        <f t="shared" si="215"/>
        <v>-0.281293386188508+0.0676475794228854i</v>
      </c>
      <c r="AG365" s="337">
        <f t="shared" si="244"/>
        <v>-10.772633131999591</v>
      </c>
      <c r="AH365" s="730">
        <f t="shared" si="245"/>
        <v>166.47785221929331</v>
      </c>
      <c r="AI365" s="360">
        <f t="shared" si="216"/>
        <v>-13.522147780706689</v>
      </c>
      <c r="AL365" s="337">
        <f t="shared" si="217"/>
        <v>10.037029239760951</v>
      </c>
      <c r="AM365" s="730">
        <f t="shared" si="218"/>
        <v>-86.966152275685715</v>
      </c>
      <c r="AN365" s="351"/>
      <c r="AO365" s="337">
        <f t="shared" si="219"/>
        <v>32.462268826978885</v>
      </c>
      <c r="AP365" s="730">
        <f t="shared" si="220"/>
        <v>-106.55599550502097</v>
      </c>
      <c r="AS365" s="351"/>
      <c r="AT365" s="351"/>
      <c r="AV365" s="405">
        <f t="shared" si="221"/>
        <v>0</v>
      </c>
      <c r="AW365" s="405">
        <f t="shared" si="246"/>
        <v>0</v>
      </c>
      <c r="AX365" s="405">
        <f t="shared" si="222"/>
        <v>0</v>
      </c>
      <c r="AY365" s="405">
        <f t="shared" si="223"/>
        <v>0</v>
      </c>
    </row>
    <row r="366" spans="2:51" ht="13.5" thickBot="1" x14ac:dyDescent="0.25">
      <c r="B366" s="345">
        <v>29684</v>
      </c>
      <c r="C366" s="728" t="str">
        <f t="shared" si="206"/>
        <v>2.16217503399043</v>
      </c>
      <c r="D366" s="728" t="str">
        <f t="shared" si="207"/>
        <v>1+22.6920588400955i</v>
      </c>
      <c r="E366" s="337">
        <f t="shared" si="225"/>
        <v>22.714082292761827</v>
      </c>
      <c r="F366" s="338">
        <f t="shared" si="226"/>
        <v>1.5267565407835557</v>
      </c>
      <c r="G366" s="338" t="str">
        <f t="shared" si="208"/>
        <v>1+0.0932550363291595i</v>
      </c>
      <c r="H366" s="337">
        <f t="shared" si="227"/>
        <v>1.0043388381421645</v>
      </c>
      <c r="I366" s="338">
        <f t="shared" si="228"/>
        <v>9.2986107321828423E-2</v>
      </c>
      <c r="J366" s="340">
        <f t="shared" si="209"/>
        <v>1</v>
      </c>
      <c r="K366" s="338">
        <f t="shared" si="229"/>
        <v>1</v>
      </c>
      <c r="L366" s="339">
        <f t="shared" si="230"/>
        <v>0</v>
      </c>
      <c r="M366" s="731" t="str">
        <f t="shared" si="210"/>
        <v>0.960838228622222+0.438418988814905i</v>
      </c>
      <c r="N366" s="338">
        <f t="shared" si="231"/>
        <v>1.0561350819546587</v>
      </c>
      <c r="O366" s="339">
        <f t="shared" si="232"/>
        <v>0.4280707394069585</v>
      </c>
      <c r="P366" s="732" t="str">
        <f t="shared" si="224"/>
        <v>-0.0259757230059774-0.0867155184163041i</v>
      </c>
      <c r="Q366" s="337">
        <f t="shared" si="233"/>
        <v>9.0522479638439207E-2</v>
      </c>
      <c r="R366" s="339">
        <f t="shared" si="234"/>
        <v>-1.8618411728686854</v>
      </c>
      <c r="S366" s="731" t="str">
        <f t="shared" si="211"/>
        <v>6000</v>
      </c>
      <c r="T366" s="337" t="str">
        <f t="shared" si="212"/>
        <v>1+188375.173384902i</v>
      </c>
      <c r="U366" s="346">
        <f t="shared" si="235"/>
        <v>188375.17338755631</v>
      </c>
      <c r="V366" s="347">
        <f t="shared" si="236"/>
        <v>1.5707910182397298</v>
      </c>
      <c r="W366" s="340" t="str">
        <f t="shared" si="213"/>
        <v>1+1865.10072658319i</v>
      </c>
      <c r="X366" s="337">
        <f t="shared" si="237"/>
        <v>1865.1009946652066</v>
      </c>
      <c r="Y366" s="339">
        <f t="shared" si="238"/>
        <v>1.5702601627744106</v>
      </c>
      <c r="Z366" s="337" t="str">
        <f t="shared" si="214"/>
        <v>1+18.788010342755i</v>
      </c>
      <c r="AA366" s="346">
        <f t="shared" si="239"/>
        <v>18.814604238183403</v>
      </c>
      <c r="AB366" s="347">
        <f t="shared" si="240"/>
        <v>1.51762106938068</v>
      </c>
      <c r="AC366" s="732" t="str">
        <f t="shared" si="241"/>
        <v>0.166144674948842-3.15306384262051i</v>
      </c>
      <c r="AD366" s="337">
        <f t="shared" si="242"/>
        <v>3.1574381464495347</v>
      </c>
      <c r="AE366" s="339">
        <f t="shared" si="243"/>
        <v>-1.5181519248459989</v>
      </c>
      <c r="AF366" s="736" t="str">
        <f t="shared" si="215"/>
        <v>-0.277735293767931+0.0674957913757759i</v>
      </c>
      <c r="AG366" s="337">
        <f t="shared" si="244"/>
        <v>-10.878174131260268</v>
      </c>
      <c r="AH366" s="730">
        <f t="shared" si="245"/>
        <v>166.34066071759935</v>
      </c>
      <c r="AI366" s="360">
        <f t="shared" si="216"/>
        <v>-13.659339282400651</v>
      </c>
      <c r="AL366" s="337">
        <f t="shared" si="217"/>
        <v>9.9866970314593644</v>
      </c>
      <c r="AM366" s="730">
        <f t="shared" si="218"/>
        <v>-86.983697953337881</v>
      </c>
      <c r="AN366" s="351"/>
      <c r="AO366" s="337">
        <f t="shared" si="219"/>
        <v>32.407060036019786</v>
      </c>
      <c r="AP366" s="730">
        <f t="shared" si="220"/>
        <v>-106.67564132906273</v>
      </c>
      <c r="AS366" s="351"/>
      <c r="AT366" s="351"/>
      <c r="AV366" s="405">
        <f t="shared" si="221"/>
        <v>0</v>
      </c>
      <c r="AW366" s="405">
        <f t="shared" si="246"/>
        <v>0</v>
      </c>
      <c r="AX366" s="405">
        <f t="shared" si="222"/>
        <v>0</v>
      </c>
      <c r="AY366" s="405">
        <f t="shared" si="223"/>
        <v>0</v>
      </c>
    </row>
    <row r="367" spans="2:51" ht="13.5" thickBot="1" x14ac:dyDescent="0.25">
      <c r="B367" s="345">
        <v>29856</v>
      </c>
      <c r="C367" s="728" t="str">
        <f t="shared" si="206"/>
        <v>2.16217503399043</v>
      </c>
      <c r="D367" s="728" t="str">
        <f t="shared" si="207"/>
        <v>1+22.8235449646237i</v>
      </c>
      <c r="E367" s="337">
        <f t="shared" si="225"/>
        <v>22.845441662445484</v>
      </c>
      <c r="F367" s="338">
        <f t="shared" si="226"/>
        <v>1.5270099282774745</v>
      </c>
      <c r="G367" s="338" t="str">
        <f t="shared" si="208"/>
        <v>1+0.093795390265577i</v>
      </c>
      <c r="H367" s="337">
        <f t="shared" si="227"/>
        <v>1.0043891552755198</v>
      </c>
      <c r="I367" s="338">
        <f t="shared" si="228"/>
        <v>9.3521775772197405E-2</v>
      </c>
      <c r="J367" s="340">
        <f t="shared" si="209"/>
        <v>1</v>
      </c>
      <c r="K367" s="338">
        <f t="shared" si="229"/>
        <v>1</v>
      </c>
      <c r="L367" s="339">
        <f t="shared" si="230"/>
        <v>0</v>
      </c>
      <c r="M367" s="731" t="str">
        <f t="shared" si="210"/>
        <v>0.9603830784+0.44095934948315i</v>
      </c>
      <c r="N367" s="338">
        <f t="shared" si="231"/>
        <v>1.0567785033646659</v>
      </c>
      <c r="O367" s="339">
        <f t="shared" si="232"/>
        <v>0.43043649748763507</v>
      </c>
      <c r="P367" s="732" t="str">
        <f t="shared" si="224"/>
        <v>-0.0259914078969115-0.086114769416571i</v>
      </c>
      <c r="Q367" s="337">
        <f t="shared" si="233"/>
        <v>8.995169145787546E-2</v>
      </c>
      <c r="R367" s="339">
        <f t="shared" si="234"/>
        <v>-1.8639246499929116</v>
      </c>
      <c r="S367" s="731" t="str">
        <f t="shared" si="211"/>
        <v>6000</v>
      </c>
      <c r="T367" s="337" t="str">
        <f t="shared" si="212"/>
        <v>1+189466.688336466i</v>
      </c>
      <c r="U367" s="346">
        <f t="shared" si="235"/>
        <v>189466.68833910496</v>
      </c>
      <c r="V367" s="347">
        <f t="shared" si="236"/>
        <v>1.5707910488222421</v>
      </c>
      <c r="W367" s="340" t="str">
        <f t="shared" si="213"/>
        <v>1+1875.90780531154i</v>
      </c>
      <c r="X367" s="337">
        <f t="shared" si="237"/>
        <v>1875.9080718491402</v>
      </c>
      <c r="Y367" s="339">
        <f t="shared" si="238"/>
        <v>1.5702632516072752</v>
      </c>
      <c r="Z367" s="337" t="str">
        <f t="shared" si="214"/>
        <v>1+18.8968749761923i</v>
      </c>
      <c r="AA367" s="346">
        <f t="shared" si="239"/>
        <v>18.923315879249142</v>
      </c>
      <c r="AB367" s="347">
        <f t="shared" si="240"/>
        <v>1.5179268391143492</v>
      </c>
      <c r="AC367" s="732" t="str">
        <f t="shared" si="241"/>
        <v>0.164241205273595-3.1349998149911i</v>
      </c>
      <c r="AD367" s="337">
        <f t="shared" si="242"/>
        <v>3.1392991277519182</v>
      </c>
      <c r="AE367" s="339">
        <f t="shared" si="243"/>
        <v>-1.5184546363293163</v>
      </c>
      <c r="AF367" s="736" t="str">
        <f t="shared" si="215"/>
        <v>-0.274238646348698+0.0673394654273404i</v>
      </c>
      <c r="AG367" s="337">
        <f t="shared" si="244"/>
        <v>-10.983159327341976</v>
      </c>
      <c r="AH367" s="730">
        <f t="shared" si="245"/>
        <v>166.20394218126492</v>
      </c>
      <c r="AI367" s="360">
        <f t="shared" si="216"/>
        <v>-13.796057818735079</v>
      </c>
      <c r="AL367" s="337">
        <f t="shared" si="217"/>
        <v>9.9366539874168307</v>
      </c>
      <c r="AM367" s="730">
        <f t="shared" si="218"/>
        <v>-87.001042043742117</v>
      </c>
      <c r="AN367" s="351"/>
      <c r="AO367" s="337">
        <f t="shared" si="219"/>
        <v>32.352117883980618</v>
      </c>
      <c r="AP367" s="730">
        <f t="shared" si="220"/>
        <v>-106.79501577499308</v>
      </c>
      <c r="AS367" s="351"/>
      <c r="AT367" s="351"/>
      <c r="AV367" s="405">
        <f t="shared" si="221"/>
        <v>0</v>
      </c>
      <c r="AW367" s="405">
        <f t="shared" si="246"/>
        <v>0</v>
      </c>
      <c r="AX367" s="405">
        <f t="shared" si="222"/>
        <v>0</v>
      </c>
      <c r="AY367" s="405">
        <f t="shared" si="223"/>
        <v>0</v>
      </c>
    </row>
    <row r="368" spans="2:51" ht="13.5" thickBot="1" x14ac:dyDescent="0.25">
      <c r="B368" s="345">
        <v>30028</v>
      </c>
      <c r="C368" s="728" t="str">
        <f t="shared" si="206"/>
        <v>2.16217503399043</v>
      </c>
      <c r="D368" s="728" t="str">
        <f t="shared" si="207"/>
        <v>1+22.955031089152i</v>
      </c>
      <c r="E368" s="337">
        <f t="shared" si="225"/>
        <v>22.976802482154362</v>
      </c>
      <c r="F368" s="338">
        <f t="shared" si="226"/>
        <v>1.5272604185009031</v>
      </c>
      <c r="G368" s="338" t="str">
        <f t="shared" si="208"/>
        <v>1+0.0943357442019945i</v>
      </c>
      <c r="H368" s="337">
        <f t="shared" si="227"/>
        <v>1.0044397605800679</v>
      </c>
      <c r="I368" s="338">
        <f t="shared" si="228"/>
        <v>9.4057390400552165E-2</v>
      </c>
      <c r="J368" s="340">
        <f t="shared" si="209"/>
        <v>1</v>
      </c>
      <c r="K368" s="338">
        <f t="shared" si="229"/>
        <v>1</v>
      </c>
      <c r="L368" s="339">
        <f t="shared" si="230"/>
        <v>0</v>
      </c>
      <c r="M368" s="731" t="str">
        <f t="shared" si="210"/>
        <v>0.959925298488889+0.443499710151394i</v>
      </c>
      <c r="N368" s="338">
        <f t="shared" si="231"/>
        <v>1.0574254449290281</v>
      </c>
      <c r="O368" s="339">
        <f t="shared" si="232"/>
        <v>0.4328004063547406</v>
      </c>
      <c r="P368" s="732" t="str">
        <f t="shared" si="224"/>
        <v>-0.0260061374191401-0.085520492664316i</v>
      </c>
      <c r="Q368" s="337">
        <f t="shared" si="233"/>
        <v>8.9387213006170654E-2</v>
      </c>
      <c r="R368" s="339">
        <f t="shared" si="234"/>
        <v>-1.8660034344550902</v>
      </c>
      <c r="S368" s="731" t="str">
        <f t="shared" si="211"/>
        <v>6000</v>
      </c>
      <c r="T368" s="337" t="str">
        <f t="shared" si="212"/>
        <v>1+190558.203288029i</v>
      </c>
      <c r="U368" s="346">
        <f t="shared" si="235"/>
        <v>190558.20329065289</v>
      </c>
      <c r="V368" s="347">
        <f t="shared" si="236"/>
        <v>1.570791079054402</v>
      </c>
      <c r="W368" s="340" t="str">
        <f t="shared" si="213"/>
        <v>1+1886.71488403989i</v>
      </c>
      <c r="X368" s="337">
        <f t="shared" si="237"/>
        <v>1886.7151490507663</v>
      </c>
      <c r="Y368" s="339">
        <f t="shared" si="238"/>
        <v>1.5702663050545593</v>
      </c>
      <c r="Z368" s="337" t="str">
        <f t="shared" si="214"/>
        <v>1+19.0057396096297i</v>
      </c>
      <c r="AA368" s="346">
        <f t="shared" si="239"/>
        <v>19.032029269340864</v>
      </c>
      <c r="AB368" s="347">
        <f t="shared" si="240"/>
        <v>1.5182291156842069</v>
      </c>
      <c r="AC368" s="732" t="str">
        <f t="shared" si="241"/>
        <v>0.162370230574213-3.11714101865653i</v>
      </c>
      <c r="AD368" s="337">
        <f t="shared" si="242"/>
        <v>3.1213670437754977</v>
      </c>
      <c r="AE368" s="339">
        <f t="shared" si="243"/>
        <v>-1.5187538896840493</v>
      </c>
      <c r="AF368" s="736" t="str">
        <f t="shared" si="215"/>
        <v>-0.270802058148745+0.0671788155732948i</v>
      </c>
      <c r="AG368" s="337">
        <f t="shared" si="244"/>
        <v>-11.087595253280462</v>
      </c>
      <c r="AH368" s="730">
        <f t="shared" si="245"/>
        <v>166.06769065083336</v>
      </c>
      <c r="AI368" s="360">
        <f t="shared" si="216"/>
        <v>-13.932309349166644</v>
      </c>
      <c r="AL368" s="337">
        <f t="shared" si="217"/>
        <v>9.8868968133173514</v>
      </c>
      <c r="AM368" s="730">
        <f t="shared" si="218"/>
        <v>-87.018187997973442</v>
      </c>
      <c r="AN368" s="351"/>
      <c r="AO368" s="337">
        <f t="shared" si="219"/>
        <v>32.297439132141619</v>
      </c>
      <c r="AP368" s="730">
        <f t="shared" si="220"/>
        <v>-106.91412135119324</v>
      </c>
      <c r="AS368" s="351"/>
      <c r="AT368" s="351"/>
      <c r="AV368" s="405">
        <f t="shared" si="221"/>
        <v>0</v>
      </c>
      <c r="AW368" s="405">
        <f t="shared" si="246"/>
        <v>0</v>
      </c>
      <c r="AX368" s="405">
        <f t="shared" si="222"/>
        <v>0</v>
      </c>
      <c r="AY368" s="405">
        <f t="shared" si="223"/>
        <v>0</v>
      </c>
    </row>
    <row r="369" spans="2:51" ht="13.5" thickBot="1" x14ac:dyDescent="0.25">
      <c r="B369" s="345">
        <v>30200</v>
      </c>
      <c r="C369" s="728" t="str">
        <f t="shared" si="206"/>
        <v>2.16217503399043</v>
      </c>
      <c r="D369" s="728" t="str">
        <f t="shared" si="207"/>
        <v>1+23.0865172136801i</v>
      </c>
      <c r="E369" s="337">
        <f t="shared" si="225"/>
        <v>23.108164727159696</v>
      </c>
      <c r="F369" s="338">
        <f t="shared" si="226"/>
        <v>1.5275080608321985</v>
      </c>
      <c r="G369" s="338" t="str">
        <f t="shared" si="208"/>
        <v>1+0.0948760981384115i</v>
      </c>
      <c r="H369" s="337">
        <f t="shared" si="227"/>
        <v>1.0044906540122558</v>
      </c>
      <c r="I369" s="338">
        <f t="shared" si="228"/>
        <v>9.4592950907732537E-2</v>
      </c>
      <c r="J369" s="340">
        <f t="shared" si="209"/>
        <v>1</v>
      </c>
      <c r="K369" s="338">
        <f t="shared" si="229"/>
        <v>1</v>
      </c>
      <c r="L369" s="339">
        <f t="shared" si="230"/>
        <v>0</v>
      </c>
      <c r="M369" s="731" t="str">
        <f t="shared" si="210"/>
        <v>0.959464888888889+0.446040070819637i</v>
      </c>
      <c r="N369" s="338">
        <f t="shared" si="231"/>
        <v>1.0580759036039686</v>
      </c>
      <c r="O369" s="339">
        <f t="shared" si="232"/>
        <v>0.43516245901423595</v>
      </c>
      <c r="P369" s="732" t="str">
        <f t="shared" si="224"/>
        <v>-0.0260199314459106-0.0849325814770908i</v>
      </c>
      <c r="Q369" s="337">
        <f t="shared" si="233"/>
        <v>8.8828938014661379E-2</v>
      </c>
      <c r="R369" s="339">
        <f t="shared" si="234"/>
        <v>-1.8680775689387028</v>
      </c>
      <c r="S369" s="731" t="str">
        <f t="shared" si="211"/>
        <v>6000</v>
      </c>
      <c r="T369" s="337" t="str">
        <f t="shared" si="212"/>
        <v>1+191649.718239591i</v>
      </c>
      <c r="U369" s="346">
        <f t="shared" si="235"/>
        <v>191649.71824219995</v>
      </c>
      <c r="V369" s="347">
        <f t="shared" si="236"/>
        <v>1.5707911089421955</v>
      </c>
      <c r="W369" s="340" t="str">
        <f t="shared" si="213"/>
        <v>1+1897.52196276823i</v>
      </c>
      <c r="X369" s="337">
        <f t="shared" si="237"/>
        <v>1897.5222262697732</v>
      </c>
      <c r="Y369" s="339">
        <f t="shared" si="238"/>
        <v>1.5702693237208643</v>
      </c>
      <c r="Z369" s="337" t="str">
        <f t="shared" si="214"/>
        <v>1+19.1146042430669i</v>
      </c>
      <c r="AA369" s="346">
        <f t="shared" si="239"/>
        <v>19.140744378656521</v>
      </c>
      <c r="AB369" s="347">
        <f t="shared" si="240"/>
        <v>1.5185279585556846</v>
      </c>
      <c r="AC369" s="732" t="str">
        <f t="shared" si="241"/>
        <v>0.160531016058651-3.09948398545727i</v>
      </c>
      <c r="AD369" s="337">
        <f t="shared" si="242"/>
        <v>3.1036383782945633</v>
      </c>
      <c r="AE369" s="339">
        <f t="shared" si="243"/>
        <v>-1.5190497437770156</v>
      </c>
      <c r="AF369" s="736" t="str">
        <f t="shared" si="215"/>
        <v>-0.267424182164576+0.0670140472182944i</v>
      </c>
      <c r="AG369" s="337">
        <f t="shared" si="244"/>
        <v>-11.1914883298059</v>
      </c>
      <c r="AH369" s="730">
        <f t="shared" si="245"/>
        <v>165.93190030790115</v>
      </c>
      <c r="AI369" s="360">
        <f t="shared" si="216"/>
        <v>-14.068099692098855</v>
      </c>
      <c r="AL369" s="337">
        <f t="shared" si="217"/>
        <v>9.8374222706647494</v>
      </c>
      <c r="AM369" s="730">
        <f t="shared" si="218"/>
        <v>-87.035139188852085</v>
      </c>
      <c r="AN369" s="351"/>
      <c r="AO369" s="337">
        <f t="shared" si="219"/>
        <v>32.243020598268792</v>
      </c>
      <c r="AP369" s="730">
        <f t="shared" si="220"/>
        <v>-107.03296050324673</v>
      </c>
      <c r="AS369" s="351"/>
      <c r="AT369" s="351"/>
      <c r="AV369" s="405">
        <f t="shared" si="221"/>
        <v>0</v>
      </c>
      <c r="AW369" s="405">
        <f t="shared" si="246"/>
        <v>0</v>
      </c>
      <c r="AX369" s="405">
        <f t="shared" si="222"/>
        <v>0</v>
      </c>
      <c r="AY369" s="405">
        <f t="shared" si="223"/>
        <v>0</v>
      </c>
    </row>
    <row r="370" spans="2:51" ht="13.5" thickBot="1" x14ac:dyDescent="0.25">
      <c r="B370" s="345">
        <v>30375.75</v>
      </c>
      <c r="C370" s="728" t="str">
        <f t="shared" si="206"/>
        <v>2.16217503399043</v>
      </c>
      <c r="D370" s="728" t="str">
        <f t="shared" si="207"/>
        <v>1+23.2208700415048i</v>
      </c>
      <c r="E370" s="337">
        <f t="shared" si="225"/>
        <v>23.242392421703386</v>
      </c>
      <c r="F370" s="338">
        <f t="shared" si="226"/>
        <v>1.5277582108465118</v>
      </c>
      <c r="G370" s="338" t="str">
        <f t="shared" si="208"/>
        <v>1+0.09542823304728i</v>
      </c>
      <c r="H370" s="337">
        <f t="shared" si="227"/>
        <v>1.0045429546129554</v>
      </c>
      <c r="I370" s="338">
        <f t="shared" si="228"/>
        <v>9.5140131664404548E-2</v>
      </c>
      <c r="J370" s="340">
        <f t="shared" si="209"/>
        <v>1</v>
      </c>
      <c r="K370" s="338">
        <f t="shared" si="229"/>
        <v>1</v>
      </c>
      <c r="L370" s="339">
        <f t="shared" si="230"/>
        <v>0</v>
      </c>
      <c r="M370" s="731" t="str">
        <f t="shared" si="210"/>
        <v>0.958991724975+0.448635817258265i</v>
      </c>
      <c r="N370" s="338">
        <f t="shared" si="231"/>
        <v>1.0587441735837404</v>
      </c>
      <c r="O370" s="339">
        <f t="shared" si="232"/>
        <v>0.4375740853386369</v>
      </c>
      <c r="P370" s="732" t="str">
        <f t="shared" si="224"/>
        <v>-0.0260330800244396-0.0843383192199051i</v>
      </c>
      <c r="Q370" s="337">
        <f t="shared" si="233"/>
        <v>8.8264791080008176E-2</v>
      </c>
      <c r="R370" s="339">
        <f t="shared" si="234"/>
        <v>-1.8701921645207447</v>
      </c>
      <c r="S370" s="731" t="str">
        <f t="shared" si="211"/>
        <v>6000</v>
      </c>
      <c r="T370" s="337" t="str">
        <f t="shared" si="212"/>
        <v>1+192765.030755506i</v>
      </c>
      <c r="U370" s="346">
        <f t="shared" si="235"/>
        <v>192765.03075809983</v>
      </c>
      <c r="V370" s="347">
        <f t="shared" si="236"/>
        <v>1.5707911391319886</v>
      </c>
      <c r="W370" s="340" t="str">
        <f t="shared" si="213"/>
        <v>1+1908.5646609456i</v>
      </c>
      <c r="X370" s="337">
        <f t="shared" si="237"/>
        <v>1908.5649229225589</v>
      </c>
      <c r="Y370" s="339">
        <f t="shared" si="238"/>
        <v>1.5702723728891403</v>
      </c>
      <c r="Z370" s="337" t="str">
        <f t="shared" si="214"/>
        <v>1+19.2258423786868i</v>
      </c>
      <c r="AA370" s="346">
        <f t="shared" si="239"/>
        <v>19.251831475735219</v>
      </c>
      <c r="AB370" s="347">
        <f t="shared" si="240"/>
        <v>1.5188298305564742</v>
      </c>
      <c r="AC370" s="732" t="str">
        <f t="shared" si="241"/>
        <v>0.158683765859902-3.08164686993125i</v>
      </c>
      <c r="AD370" s="337">
        <f t="shared" si="242"/>
        <v>3.0857297303076541</v>
      </c>
      <c r="AE370" s="339">
        <f t="shared" si="243"/>
        <v>-1.5193485967993225</v>
      </c>
      <c r="AF370" s="736" t="str">
        <f t="shared" si="215"/>
        <v>-0.264031944614493+0.0668416374718749i</v>
      </c>
      <c r="AG370" s="337">
        <f t="shared" si="244"/>
        <v>-11.297092351110008</v>
      </c>
      <c r="AH370" s="730">
        <f t="shared" si="245"/>
        <v>165.79361988880021</v>
      </c>
      <c r="AI370" s="360">
        <f t="shared" si="216"/>
        <v>-14.206380111199792</v>
      </c>
      <c r="AL370" s="337">
        <f t="shared" si="217"/>
        <v>9.787157697172578</v>
      </c>
      <c r="AM370" s="730">
        <f t="shared" si="218"/>
        <v>-87.052262205725</v>
      </c>
      <c r="AN370" s="351"/>
      <c r="AO370" s="337">
        <f t="shared" si="219"/>
        <v>32.187681150456868</v>
      </c>
      <c r="AP370" s="730">
        <f t="shared" si="220"/>
        <v>-107.15411790547481</v>
      </c>
      <c r="AS370" s="351"/>
      <c r="AT370" s="351"/>
      <c r="AV370" s="405">
        <f t="shared" si="221"/>
        <v>0</v>
      </c>
      <c r="AW370" s="405">
        <f t="shared" si="246"/>
        <v>0</v>
      </c>
      <c r="AX370" s="405">
        <f t="shared" si="222"/>
        <v>0</v>
      </c>
      <c r="AY370" s="405">
        <f t="shared" si="223"/>
        <v>0</v>
      </c>
    </row>
    <row r="371" spans="2:51" ht="13.5" thickBot="1" x14ac:dyDescent="0.25">
      <c r="B371" s="345">
        <v>30551.5</v>
      </c>
      <c r="C371" s="728" t="str">
        <f t="shared" si="206"/>
        <v>2.16217503399043</v>
      </c>
      <c r="D371" s="728" t="str">
        <f t="shared" si="207"/>
        <v>1+23.3552228693295i</v>
      </c>
      <c r="E371" s="337">
        <f t="shared" si="225"/>
        <v>23.376621553938278</v>
      </c>
      <c r="F371" s="338">
        <f t="shared" si="226"/>
        <v>1.52800548814116</v>
      </c>
      <c r="G371" s="338" t="str">
        <f t="shared" si="208"/>
        <v>1+0.0959803679561485i</v>
      </c>
      <c r="H371" s="337">
        <f t="shared" si="227"/>
        <v>1.0045955559492574</v>
      </c>
      <c r="I371" s="338">
        <f t="shared" si="228"/>
        <v>9.5687255283329289E-2</v>
      </c>
      <c r="J371" s="340">
        <f t="shared" si="209"/>
        <v>1</v>
      </c>
      <c r="K371" s="338">
        <f t="shared" si="229"/>
        <v>1</v>
      </c>
      <c r="L371" s="339">
        <f t="shared" si="230"/>
        <v>0</v>
      </c>
      <c r="M371" s="731" t="str">
        <f t="shared" si="210"/>
        <v>0.958515815455556+0.451231563696893i</v>
      </c>
      <c r="N371" s="338">
        <f t="shared" si="231"/>
        <v>1.0594161092577234</v>
      </c>
      <c r="O371" s="339">
        <f t="shared" si="232"/>
        <v>0.43998375903464043</v>
      </c>
      <c r="P371" s="732" t="str">
        <f t="shared" si="224"/>
        <v>-0.0260452921455586-0.0837504854962779i</v>
      </c>
      <c r="Q371" s="337">
        <f t="shared" si="233"/>
        <v>8.770690431094777E-2</v>
      </c>
      <c r="R371" s="339">
        <f t="shared" si="234"/>
        <v>-1.8723019918924713</v>
      </c>
      <c r="S371" s="731" t="str">
        <f t="shared" si="211"/>
        <v>6000</v>
      </c>
      <c r="T371" s="337" t="str">
        <f t="shared" si="212"/>
        <v>1+193880.34327142i</v>
      </c>
      <c r="U371" s="346">
        <f t="shared" si="235"/>
        <v>193880.34327399891</v>
      </c>
      <c r="V371" s="347">
        <f t="shared" si="236"/>
        <v>1.5707911689744434</v>
      </c>
      <c r="W371" s="340" t="str">
        <f t="shared" si="213"/>
        <v>1+1919.60735912297i</v>
      </c>
      <c r="X371" s="337">
        <f t="shared" si="237"/>
        <v>1919.6076195928854</v>
      </c>
      <c r="Y371" s="339">
        <f t="shared" si="238"/>
        <v>1.5702753869762467</v>
      </c>
      <c r="Z371" s="337" t="str">
        <f t="shared" si="214"/>
        <v>1+19.3370805143066i</v>
      </c>
      <c r="AA371" s="346">
        <f t="shared" si="239"/>
        <v>19.362920307039843</v>
      </c>
      <c r="AB371" s="347">
        <f t="shared" si="240"/>
        <v>1.5191282387876999</v>
      </c>
      <c r="AC371" s="732" t="str">
        <f t="shared" si="241"/>
        <v>0.156868189877194-3.06401333533182i</v>
      </c>
      <c r="AD371" s="337">
        <f t="shared" si="242"/>
        <v>3.0680262952078121</v>
      </c>
      <c r="AE371" s="339">
        <f t="shared" si="243"/>
        <v>-1.5196440207858966</v>
      </c>
      <c r="AF371" s="736" t="str">
        <f t="shared" si="215"/>
        <v>-0.260698282234806+0.0666653353954674i</v>
      </c>
      <c r="AG371" s="337">
        <f t="shared" si="244"/>
        <v>-11.402142799987283</v>
      </c>
      <c r="AH371" s="730">
        <f t="shared" si="245"/>
        <v>165.65580913730147</v>
      </c>
      <c r="AI371" s="360">
        <f t="shared" si="216"/>
        <v>-14.344190862698525</v>
      </c>
      <c r="AL371" s="337">
        <f t="shared" si="217"/>
        <v>9.7371815502241006</v>
      </c>
      <c r="AM371" s="730">
        <f t="shared" si="218"/>
        <v>-87.069188753322621</v>
      </c>
      <c r="AN371" s="351"/>
      <c r="AO371" s="337">
        <f t="shared" si="219"/>
        <v>32.132606848528063</v>
      </c>
      <c r="AP371" s="730">
        <f t="shared" si="220"/>
        <v>-107.2750021093759</v>
      </c>
      <c r="AS371" s="351"/>
      <c r="AT371" s="351"/>
      <c r="AV371" s="405">
        <f t="shared" si="221"/>
        <v>0</v>
      </c>
      <c r="AW371" s="405">
        <f t="shared" si="246"/>
        <v>0</v>
      </c>
      <c r="AX371" s="405">
        <f t="shared" si="222"/>
        <v>0</v>
      </c>
      <c r="AY371" s="405">
        <f t="shared" si="223"/>
        <v>0</v>
      </c>
    </row>
    <row r="372" spans="2:51" ht="13.5" thickBot="1" x14ac:dyDescent="0.25">
      <c r="B372" s="345">
        <v>30727.25</v>
      </c>
      <c r="C372" s="728" t="str">
        <f t="shared" si="206"/>
        <v>2.16217503399043</v>
      </c>
      <c r="D372" s="728" t="str">
        <f t="shared" si="207"/>
        <v>1+23.4895756971541i</v>
      </c>
      <c r="E372" s="337">
        <f t="shared" si="225"/>
        <v>23.510852099239884</v>
      </c>
      <c r="F372" s="338">
        <f t="shared" si="226"/>
        <v>1.5282499418893098</v>
      </c>
      <c r="G372" s="338" t="str">
        <f t="shared" si="208"/>
        <v>1+0.096532502865017i</v>
      </c>
      <c r="H372" s="337">
        <f t="shared" si="227"/>
        <v>1.0046484579739245</v>
      </c>
      <c r="I372" s="338">
        <f t="shared" si="228"/>
        <v>9.6234321445950802E-2</v>
      </c>
      <c r="J372" s="340">
        <f t="shared" si="209"/>
        <v>1</v>
      </c>
      <c r="K372" s="338">
        <f t="shared" si="229"/>
        <v>1</v>
      </c>
      <c r="L372" s="339">
        <f t="shared" si="230"/>
        <v>0</v>
      </c>
      <c r="M372" s="731" t="str">
        <f t="shared" si="210"/>
        <v>0.958037160330556+0.453827310135521i</v>
      </c>
      <c r="N372" s="338">
        <f t="shared" si="231"/>
        <v>1.0600917073532261</v>
      </c>
      <c r="O372" s="339">
        <f t="shared" si="232"/>
        <v>0.44239147280761881</v>
      </c>
      <c r="P372" s="732" t="str">
        <f t="shared" si="224"/>
        <v>-0.0260565873505795-0.0831689740221599i</v>
      </c>
      <c r="Q372" s="337">
        <f t="shared" si="233"/>
        <v>8.7155171873257692E-2</v>
      </c>
      <c r="R372" s="339">
        <f t="shared" si="234"/>
        <v>-1.8744070932509773</v>
      </c>
      <c r="S372" s="731" t="str">
        <f t="shared" si="211"/>
        <v>6000</v>
      </c>
      <c r="T372" s="337" t="str">
        <f t="shared" si="212"/>
        <v>1+194995.655787334i</v>
      </c>
      <c r="U372" s="346">
        <f t="shared" si="235"/>
        <v>194995.65578989816</v>
      </c>
      <c r="V372" s="347">
        <f t="shared" si="236"/>
        <v>1.5707911984755196</v>
      </c>
      <c r="W372" s="340" t="str">
        <f t="shared" si="213"/>
        <v>1+1930.65005730034i</v>
      </c>
      <c r="X372" s="337">
        <f t="shared" si="237"/>
        <v>1930.6503162804511</v>
      </c>
      <c r="Y372" s="339">
        <f t="shared" si="238"/>
        <v>1.5702783665841422</v>
      </c>
      <c r="Z372" s="337" t="str">
        <f t="shared" si="214"/>
        <v>1+19.4483186499265i</v>
      </c>
      <c r="AA372" s="346">
        <f t="shared" si="239"/>
        <v>19.474010842892092</v>
      </c>
      <c r="AB372" s="347">
        <f t="shared" si="240"/>
        <v>1.5194232424735323</v>
      </c>
      <c r="AC372" s="732" t="str">
        <f t="shared" si="241"/>
        <v>0.155083568716774-3.04657992539639i</v>
      </c>
      <c r="AD372" s="337">
        <f t="shared" si="242"/>
        <v>3.050524570481969</v>
      </c>
      <c r="AE372" s="339">
        <f t="shared" si="243"/>
        <v>-1.51993607436491</v>
      </c>
      <c r="AF372" s="736" t="str">
        <f t="shared" si="215"/>
        <v>-0.257421875226634+0.0664853346487438i</v>
      </c>
      <c r="AG372" s="337">
        <f t="shared" si="244"/>
        <v>-11.506646179149593</v>
      </c>
      <c r="AH372" s="730">
        <f t="shared" si="245"/>
        <v>165.51846227654264</v>
      </c>
      <c r="AI372" s="360">
        <f t="shared" si="216"/>
        <v>-14.481537723457365</v>
      </c>
      <c r="AL372" s="337">
        <f t="shared" si="217"/>
        <v>9.6874905474385571</v>
      </c>
      <c r="AM372" s="730">
        <f t="shared" si="218"/>
        <v>-87.085922190791777</v>
      </c>
      <c r="AN372" s="351"/>
      <c r="AO372" s="337">
        <f t="shared" si="219"/>
        <v>32.077794472151282</v>
      </c>
      <c r="AP372" s="730">
        <f t="shared" si="220"/>
        <v>-107.39561553266553</v>
      </c>
      <c r="AS372" s="351"/>
      <c r="AT372" s="351"/>
      <c r="AV372" s="405">
        <f t="shared" si="221"/>
        <v>0</v>
      </c>
      <c r="AW372" s="405">
        <f t="shared" si="246"/>
        <v>0</v>
      </c>
      <c r="AX372" s="405">
        <f t="shared" si="222"/>
        <v>0</v>
      </c>
      <c r="AY372" s="405">
        <f t="shared" si="223"/>
        <v>0</v>
      </c>
    </row>
    <row r="373" spans="2:51" ht="13.5" thickBot="1" x14ac:dyDescent="0.25">
      <c r="B373" s="345">
        <v>30903</v>
      </c>
      <c r="C373" s="728" t="str">
        <f t="shared" si="206"/>
        <v>2.16217503399043</v>
      </c>
      <c r="D373" s="728" t="str">
        <f t="shared" si="207"/>
        <v>1+23.6239285249788i</v>
      </c>
      <c r="E373" s="337">
        <f t="shared" si="225"/>
        <v>23.645084033542936</v>
      </c>
      <c r="F373" s="338">
        <f t="shared" si="226"/>
        <v>1.5284916201488821</v>
      </c>
      <c r="G373" s="338" t="str">
        <f t="shared" si="208"/>
        <v>1+0.0970846377738855i</v>
      </c>
      <c r="H373" s="337">
        <f t="shared" si="227"/>
        <v>1.004701660639459</v>
      </c>
      <c r="I373" s="338">
        <f t="shared" si="228"/>
        <v>9.6781329833917656E-2</v>
      </c>
      <c r="J373" s="340">
        <f t="shared" si="209"/>
        <v>1</v>
      </c>
      <c r="K373" s="338">
        <f t="shared" si="229"/>
        <v>1</v>
      </c>
      <c r="L373" s="339">
        <f t="shared" si="230"/>
        <v>0</v>
      </c>
      <c r="M373" s="731" t="str">
        <f t="shared" si="210"/>
        <v>0.9575557596+0.456423056574149i</v>
      </c>
      <c r="N373" s="338">
        <f t="shared" si="231"/>
        <v>1.0607709645892565</v>
      </c>
      <c r="O373" s="339">
        <f t="shared" si="232"/>
        <v>0.44479721941920708</v>
      </c>
      <c r="P373" s="732" t="str">
        <f t="shared" si="224"/>
        <v>-0.0260669846585675-0.0825936809093657i</v>
      </c>
      <c r="Q373" s="337">
        <f t="shared" si="233"/>
        <v>8.6609490330725958E-2</v>
      </c>
      <c r="R373" s="339">
        <f t="shared" si="234"/>
        <v>-1.8765075097341724</v>
      </c>
      <c r="S373" s="731" t="str">
        <f t="shared" si="211"/>
        <v>6000</v>
      </c>
      <c r="T373" s="337" t="str">
        <f t="shared" si="212"/>
        <v>1+196110.968303249i</v>
      </c>
      <c r="U373" s="346">
        <f t="shared" si="235"/>
        <v>196110.9683057986</v>
      </c>
      <c r="V373" s="347">
        <f t="shared" si="236"/>
        <v>1.5707912276410418</v>
      </c>
      <c r="W373" s="340" t="str">
        <f t="shared" si="213"/>
        <v>1+1941.69275547771i</v>
      </c>
      <c r="X373" s="337">
        <f t="shared" si="237"/>
        <v>1941.6930129849625</v>
      </c>
      <c r="Y373" s="339">
        <f t="shared" si="238"/>
        <v>1.5702813123010919</v>
      </c>
      <c r="Z373" s="337" t="str">
        <f t="shared" si="214"/>
        <v>1+19.5595567855463i</v>
      </c>
      <c r="AA373" s="346">
        <f t="shared" si="239"/>
        <v>19.58510305428619</v>
      </c>
      <c r="AB373" s="347">
        <f t="shared" si="240"/>
        <v>1.5197148994967991</v>
      </c>
      <c r="AC373" s="732" t="str">
        <f t="shared" si="241"/>
        <v>0.153329203275665-3.0293432614502i</v>
      </c>
      <c r="AD373" s="337">
        <f t="shared" si="242"/>
        <v>3.033221132768082</v>
      </c>
      <c r="AE373" s="339">
        <f t="shared" si="243"/>
        <v>-1.5202248148367488</v>
      </c>
      <c r="AF373" s="736" t="str">
        <f t="shared" si="215"/>
        <v>-0.254201440690652+0.0663018210323197i</v>
      </c>
      <c r="AG373" s="337">
        <f t="shared" si="244"/>
        <v>-11.610608879536279</v>
      </c>
      <c r="AH373" s="730">
        <f t="shared" si="245"/>
        <v>165.38157366642491</v>
      </c>
      <c r="AI373" s="360">
        <f t="shared" si="216"/>
        <v>-14.618426333575087</v>
      </c>
      <c r="AL373" s="337">
        <f t="shared" si="217"/>
        <v>9.6380814620005992</v>
      </c>
      <c r="AM373" s="730">
        <f t="shared" si="218"/>
        <v>-87.102465801202754</v>
      </c>
      <c r="AN373" s="351"/>
      <c r="AO373" s="337">
        <f t="shared" si="219"/>
        <v>32.023240857202552</v>
      </c>
      <c r="AP373" s="730">
        <f t="shared" si="220"/>
        <v>-107.5159605323723</v>
      </c>
      <c r="AS373" s="351"/>
      <c r="AT373" s="351"/>
      <c r="AV373" s="405">
        <f t="shared" si="221"/>
        <v>0</v>
      </c>
      <c r="AW373" s="405">
        <f t="shared" si="246"/>
        <v>0</v>
      </c>
      <c r="AX373" s="405">
        <f t="shared" si="222"/>
        <v>0</v>
      </c>
      <c r="AY373" s="405">
        <f t="shared" si="223"/>
        <v>0</v>
      </c>
    </row>
    <row r="374" spans="2:51" ht="13.5" thickBot="1" x14ac:dyDescent="0.25">
      <c r="B374" s="345">
        <v>31083</v>
      </c>
      <c r="C374" s="728" t="str">
        <f t="shared" si="206"/>
        <v>2.16217503399043</v>
      </c>
      <c r="D374" s="728" t="str">
        <f t="shared" si="207"/>
        <v>1+23.761530283206i</v>
      </c>
      <c r="E374" s="337">
        <f t="shared" si="225"/>
        <v>23.782563390007308</v>
      </c>
      <c r="F374" s="338">
        <f t="shared" si="226"/>
        <v>1.5287363147925035</v>
      </c>
      <c r="G374" s="338" t="str">
        <f t="shared" si="208"/>
        <v>1+0.0976501244515315i</v>
      </c>
      <c r="H374" s="337">
        <f t="shared" si="227"/>
        <v>1.0047564614399849</v>
      </c>
      <c r="I374" s="338">
        <f t="shared" si="228"/>
        <v>9.7341505801089828E-2</v>
      </c>
      <c r="J374" s="340">
        <f t="shared" si="209"/>
        <v>1</v>
      </c>
      <c r="K374" s="338">
        <f t="shared" si="229"/>
        <v>1</v>
      </c>
      <c r="L374" s="339">
        <f t="shared" si="230"/>
        <v>0</v>
      </c>
      <c r="M374" s="731" t="str">
        <f t="shared" si="210"/>
        <v>0.9570598716+0.459081573552543i</v>
      </c>
      <c r="N374" s="338">
        <f t="shared" si="231"/>
        <v>1.061470437177827</v>
      </c>
      <c r="O374" s="339">
        <f t="shared" si="232"/>
        <v>0.44725909538414971</v>
      </c>
      <c r="P374" s="732" t="str">
        <f t="shared" si="224"/>
        <v>-0.026076722008897-0.0820108156458581i</v>
      </c>
      <c r="Q374" s="337">
        <f t="shared" si="233"/>
        <v>8.6056779591315288E-2</v>
      </c>
      <c r="R374" s="339">
        <f t="shared" si="234"/>
        <v>-1.8786539043755632</v>
      </c>
      <c r="S374" s="731" t="str">
        <f t="shared" si="211"/>
        <v>6000</v>
      </c>
      <c r="T374" s="337" t="str">
        <f t="shared" si="212"/>
        <v>1+197253.251392094i</v>
      </c>
      <c r="U374" s="346">
        <f t="shared" si="235"/>
        <v>197253.25139462884</v>
      </c>
      <c r="V374" s="347">
        <f t="shared" si="236"/>
        <v>1.5707912571699707</v>
      </c>
      <c r="W374" s="340" t="str">
        <f t="shared" si="213"/>
        <v>1+1953.00248903063i</v>
      </c>
      <c r="X374" s="337">
        <f t="shared" si="237"/>
        <v>1953.0027450466719</v>
      </c>
      <c r="Y374" s="339">
        <f t="shared" si="238"/>
        <v>1.5702842947221141</v>
      </c>
      <c r="Z374" s="337" t="str">
        <f t="shared" si="214"/>
        <v>1+19.6734848903063i</v>
      </c>
      <c r="AA374" s="346">
        <f t="shared" si="239"/>
        <v>19.698883413257473</v>
      </c>
      <c r="AB374" s="347">
        <f t="shared" si="240"/>
        <v>1.5200101994703994</v>
      </c>
      <c r="AC374" s="732" t="str">
        <f t="shared" si="241"/>
        <v>0.151563065772002-3.01189026811226i</v>
      </c>
      <c r="AD374" s="337">
        <f t="shared" si="242"/>
        <v>3.015701303188953</v>
      </c>
      <c r="AE374" s="339">
        <f t="shared" si="243"/>
        <v>-1.5205171619182558</v>
      </c>
      <c r="AF374" s="736" t="str">
        <f t="shared" si="215"/>
        <v>-0.250959845456661+0.0661104145971169i</v>
      </c>
      <c r="AG374" s="337">
        <f t="shared" si="244"/>
        <v>-11.716531728138246</v>
      </c>
      <c r="AH374" s="730">
        <f t="shared" si="245"/>
        <v>165.24184405838039</v>
      </c>
      <c r="AI374" s="360">
        <f t="shared" si="216"/>
        <v>-14.758155941619606</v>
      </c>
      <c r="AL374" s="337">
        <f t="shared" si="217"/>
        <v>9.5877664733916799</v>
      </c>
      <c r="AM374" s="730">
        <f t="shared" si="218"/>
        <v>-87.119216055126074</v>
      </c>
      <c r="AN374" s="351"/>
      <c r="AO374" s="337">
        <f t="shared" si="219"/>
        <v>31.96763299720951</v>
      </c>
      <c r="AP374" s="730">
        <f t="shared" si="220"/>
        <v>-107.6389398864935</v>
      </c>
      <c r="AS374" s="351"/>
      <c r="AT374" s="351"/>
      <c r="AV374" s="405">
        <f t="shared" si="221"/>
        <v>0</v>
      </c>
      <c r="AW374" s="405">
        <f t="shared" si="246"/>
        <v>0</v>
      </c>
      <c r="AX374" s="405">
        <f t="shared" si="222"/>
        <v>0</v>
      </c>
      <c r="AY374" s="405">
        <f t="shared" si="223"/>
        <v>0</v>
      </c>
    </row>
    <row r="375" spans="2:51" ht="13.5" thickBot="1" x14ac:dyDescent="0.25">
      <c r="B375" s="345">
        <v>31263</v>
      </c>
      <c r="C375" s="728" t="str">
        <f t="shared" si="206"/>
        <v>2.16217503399043</v>
      </c>
      <c r="D375" s="728" t="str">
        <f t="shared" si="207"/>
        <v>1+23.8991320414332i</v>
      </c>
      <c r="E375" s="337">
        <f t="shared" si="225"/>
        <v>23.920044154095098</v>
      </c>
      <c r="F375" s="338">
        <f t="shared" si="226"/>
        <v>1.5289781966791922</v>
      </c>
      <c r="G375" s="338" t="str">
        <f t="shared" si="208"/>
        <v>1+0.0982156111291775i</v>
      </c>
      <c r="H375" s="337">
        <f t="shared" si="227"/>
        <v>1.0048115774957402</v>
      </c>
      <c r="I375" s="338">
        <f t="shared" si="228"/>
        <v>9.7901620490317864E-2</v>
      </c>
      <c r="J375" s="340">
        <f t="shared" si="209"/>
        <v>1</v>
      </c>
      <c r="K375" s="338">
        <f t="shared" si="229"/>
        <v>1</v>
      </c>
      <c r="L375" s="339">
        <f t="shared" si="230"/>
        <v>0</v>
      </c>
      <c r="M375" s="731" t="str">
        <f t="shared" si="210"/>
        <v>0.9565611036+0.461740090530937i</v>
      </c>
      <c r="N375" s="338">
        <f t="shared" si="231"/>
        <v>1.062173741025435</v>
      </c>
      <c r="O375" s="339">
        <f t="shared" si="232"/>
        <v>0.44971889270920873</v>
      </c>
      <c r="P375" s="732" t="str">
        <f t="shared" si="224"/>
        <v>-0.0260855562896076-0.0814342599583265i</v>
      </c>
      <c r="Q375" s="337">
        <f t="shared" si="233"/>
        <v>8.5510203729722123E-2</v>
      </c>
      <c r="R375" s="339">
        <f t="shared" si="234"/>
        <v>-1.8807954688980835</v>
      </c>
      <c r="S375" s="731" t="str">
        <f t="shared" si="211"/>
        <v>6000</v>
      </c>
      <c r="T375" s="337" t="str">
        <f t="shared" si="212"/>
        <v>1+198395.534480939i</v>
      </c>
      <c r="U375" s="346">
        <f t="shared" si="235"/>
        <v>198395.53448345923</v>
      </c>
      <c r="V375" s="347">
        <f t="shared" si="236"/>
        <v>1.5707912863588676</v>
      </c>
      <c r="W375" s="340" t="str">
        <f t="shared" si="213"/>
        <v>1+1964.31222258355i</v>
      </c>
      <c r="X375" s="337">
        <f t="shared" si="237"/>
        <v>1964.3124771255532</v>
      </c>
      <c r="Y375" s="339">
        <f t="shared" si="238"/>
        <v>1.5702872427999419</v>
      </c>
      <c r="Z375" s="337" t="str">
        <f t="shared" si="214"/>
        <v>1+19.7874129950663i</v>
      </c>
      <c r="AA375" s="346">
        <f t="shared" si="239"/>
        <v>19.812665470282358</v>
      </c>
      <c r="AB375" s="347">
        <f t="shared" si="240"/>
        <v>1.520302107715741</v>
      </c>
      <c r="AC375" s="732" t="str">
        <f t="shared" si="241"/>
        <v>0.149827242906705-2.99463671763731i</v>
      </c>
      <c r="AD375" s="337">
        <f t="shared" si="242"/>
        <v>2.9983824428078858</v>
      </c>
      <c r="AE375" s="339">
        <f t="shared" si="243"/>
        <v>-1.5208061512746669</v>
      </c>
      <c r="AF375" s="736" t="str">
        <f t="shared" si="215"/>
        <v>-0.247774351923386+0.0659156940171498i</v>
      </c>
      <c r="AG375" s="337">
        <f t="shared" si="244"/>
        <v>-11.821900653388912</v>
      </c>
      <c r="AH375" s="730">
        <f t="shared" si="245"/>
        <v>165.10258357923851</v>
      </c>
      <c r="AI375" s="360">
        <f t="shared" si="216"/>
        <v>-14.897416420761488</v>
      </c>
      <c r="AL375" s="337">
        <f t="shared" si="217"/>
        <v>9.537740523601542</v>
      </c>
      <c r="AM375" s="730">
        <f t="shared" si="218"/>
        <v>-87.135773925572636</v>
      </c>
      <c r="AN375" s="351"/>
      <c r="AO375" s="337">
        <f t="shared" si="219"/>
        <v>31.912290021748969</v>
      </c>
      <c r="AP375" s="730">
        <f t="shared" si="220"/>
        <v>-107.76164249518887</v>
      </c>
      <c r="AS375" s="351"/>
      <c r="AT375" s="351"/>
      <c r="AV375" s="405">
        <f t="shared" si="221"/>
        <v>0</v>
      </c>
      <c r="AW375" s="405">
        <f t="shared" si="246"/>
        <v>0</v>
      </c>
      <c r="AX375" s="405">
        <f t="shared" si="222"/>
        <v>0</v>
      </c>
      <c r="AY375" s="405">
        <f t="shared" si="223"/>
        <v>0</v>
      </c>
    </row>
    <row r="376" spans="2:51" ht="13.5" thickBot="1" x14ac:dyDescent="0.25">
      <c r="B376" s="345">
        <v>31443</v>
      </c>
      <c r="C376" s="728" t="str">
        <f t="shared" si="206"/>
        <v>2.16217503399043</v>
      </c>
      <c r="D376" s="728" t="str">
        <f t="shared" si="207"/>
        <v>1+24.0367337996605i</v>
      </c>
      <c r="E376" s="337">
        <f t="shared" si="225"/>
        <v>24.057526301674105</v>
      </c>
      <c r="F376" s="338">
        <f t="shared" si="226"/>
        <v>1.5292173140027965</v>
      </c>
      <c r="G376" s="338" t="str">
        <f t="shared" si="208"/>
        <v>1+0.098781097806824i</v>
      </c>
      <c r="H376" s="337">
        <f t="shared" si="227"/>
        <v>1.0048670087548508</v>
      </c>
      <c r="I376" s="338">
        <f t="shared" si="228"/>
        <v>9.8461673560266583E-2</v>
      </c>
      <c r="J376" s="340">
        <f t="shared" si="209"/>
        <v>1</v>
      </c>
      <c r="K376" s="338">
        <f t="shared" si="229"/>
        <v>1</v>
      </c>
      <c r="L376" s="339">
        <f t="shared" si="230"/>
        <v>0</v>
      </c>
      <c r="M376" s="731" t="str">
        <f t="shared" si="210"/>
        <v>0.9560594556+0.464398607509334i</v>
      </c>
      <c r="N376" s="338">
        <f t="shared" si="231"/>
        <v>1.0628808725811079</v>
      </c>
      <c r="O376" s="339">
        <f t="shared" si="232"/>
        <v>0.45217660380165781</v>
      </c>
      <c r="P376" s="732" t="str">
        <f t="shared" si="224"/>
        <v>-0.0260935063421163-0.0808639096203789i</v>
      </c>
      <c r="Q376" s="337">
        <f t="shared" si="233"/>
        <v>8.4969659010254189E-2</v>
      </c>
      <c r="R376" s="339">
        <f t="shared" si="234"/>
        <v>-1.8829322442441874</v>
      </c>
      <c r="S376" s="731" t="str">
        <f t="shared" si="211"/>
        <v>6000</v>
      </c>
      <c r="T376" s="337" t="str">
        <f t="shared" si="212"/>
        <v>1+199537.817569784i</v>
      </c>
      <c r="U376" s="346">
        <f t="shared" si="235"/>
        <v>199537.81757228979</v>
      </c>
      <c r="V376" s="347">
        <f t="shared" si="236"/>
        <v>1.5707913152135724</v>
      </c>
      <c r="W376" s="340" t="str">
        <f t="shared" si="213"/>
        <v>1+1975.62195613648i</v>
      </c>
      <c r="X376" s="337">
        <f t="shared" si="237"/>
        <v>1975.6222092213211</v>
      </c>
      <c r="Y376" s="339">
        <f t="shared" si="238"/>
        <v>1.5702901571243828</v>
      </c>
      <c r="Z376" s="337" t="str">
        <f t="shared" si="214"/>
        <v>1+19.9013410998263i</v>
      </c>
      <c r="AA376" s="346">
        <f t="shared" si="239"/>
        <v>19.926449196272664</v>
      </c>
      <c r="AB376" s="347">
        <f t="shared" si="240"/>
        <v>1.5205906822848407</v>
      </c>
      <c r="AC376" s="732" t="str">
        <f t="shared" si="241"/>
        <v>0.148121045431652-2.97757921944007i</v>
      </c>
      <c r="AD376" s="337">
        <f t="shared" si="242"/>
        <v>2.981261117738784</v>
      </c>
      <c r="AE376" s="339">
        <f t="shared" si="243"/>
        <v>-1.5210918403740303</v>
      </c>
      <c r="AF376" s="736" t="str">
        <f t="shared" si="215"/>
        <v>-0.244643694326692+0.065717835415952i</v>
      </c>
      <c r="AG376" s="337">
        <f t="shared" si="244"/>
        <v>-11.926722172787168</v>
      </c>
      <c r="AH376" s="730">
        <f t="shared" si="245"/>
        <v>164.96378659049273</v>
      </c>
      <c r="AI376" s="360">
        <f t="shared" si="216"/>
        <v>-15.036213409507269</v>
      </c>
      <c r="AL376" s="337">
        <f t="shared" si="217"/>
        <v>9.4880003192215749</v>
      </c>
      <c r="AM376" s="730">
        <f t="shared" si="218"/>
        <v>-87.152142705219049</v>
      </c>
      <c r="AN376" s="351"/>
      <c r="AO376" s="337">
        <f t="shared" si="219"/>
        <v>31.857208706730678</v>
      </c>
      <c r="AP376" s="730">
        <f t="shared" si="220"/>
        <v>-107.88407070428818</v>
      </c>
      <c r="AS376" s="351"/>
      <c r="AT376" s="351"/>
      <c r="AV376" s="405">
        <f t="shared" si="221"/>
        <v>0</v>
      </c>
      <c r="AW376" s="405">
        <f t="shared" si="246"/>
        <v>0</v>
      </c>
      <c r="AX376" s="405">
        <f t="shared" si="222"/>
        <v>0</v>
      </c>
      <c r="AY376" s="405">
        <f t="shared" si="223"/>
        <v>0</v>
      </c>
    </row>
    <row r="377" spans="2:51" ht="13.5" thickBot="1" x14ac:dyDescent="0.25">
      <c r="B377" s="345">
        <v>31623</v>
      </c>
      <c r="C377" s="728" t="str">
        <f t="shared" si="206"/>
        <v>2.16217503399043</v>
      </c>
      <c r="D377" s="728" t="str">
        <f t="shared" si="207"/>
        <v>1+24.1743355578877i</v>
      </c>
      <c r="E377" s="337">
        <f t="shared" si="225"/>
        <v>24.195009809160108</v>
      </c>
      <c r="F377" s="338">
        <f t="shared" si="226"/>
        <v>1.5294537138630364</v>
      </c>
      <c r="G377" s="338" t="str">
        <f t="shared" si="208"/>
        <v>1+0.09934658448447i</v>
      </c>
      <c r="H377" s="337">
        <f t="shared" si="227"/>
        <v>1.0049227551651569</v>
      </c>
      <c r="I377" s="338">
        <f t="shared" si="228"/>
        <v>9.9021664669829049E-2</v>
      </c>
      <c r="J377" s="340">
        <f t="shared" si="209"/>
        <v>1</v>
      </c>
      <c r="K377" s="338">
        <f t="shared" si="229"/>
        <v>1</v>
      </c>
      <c r="L377" s="339">
        <f t="shared" si="230"/>
        <v>0</v>
      </c>
      <c r="M377" s="731" t="str">
        <f t="shared" si="210"/>
        <v>0.9555549276+0.467057124487729i</v>
      </c>
      <c r="N377" s="338">
        <f t="shared" si="231"/>
        <v>1.0635918282853565</v>
      </c>
      <c r="O377" s="339">
        <f t="shared" si="232"/>
        <v>0.45463222113067586</v>
      </c>
      <c r="P377" s="732" t="str">
        <f t="shared" si="224"/>
        <v>-0.0261005905067794-0.0802996627572593i</v>
      </c>
      <c r="Q377" s="337">
        <f t="shared" si="233"/>
        <v>8.4435044050039793E-2</v>
      </c>
      <c r="R377" s="339">
        <f t="shared" si="234"/>
        <v>-1.8850642703238834</v>
      </c>
      <c r="S377" s="731" t="str">
        <f t="shared" si="211"/>
        <v>6000</v>
      </c>
      <c r="T377" s="337" t="str">
        <f t="shared" si="212"/>
        <v>1+200680.100658629i</v>
      </c>
      <c r="U377" s="346">
        <f t="shared" si="235"/>
        <v>200680.10066112052</v>
      </c>
      <c r="V377" s="347">
        <f t="shared" si="236"/>
        <v>1.570791343739792</v>
      </c>
      <c r="W377" s="340" t="str">
        <f t="shared" si="213"/>
        <v>1+1986.9316896894i</v>
      </c>
      <c r="X377" s="337">
        <f t="shared" si="237"/>
        <v>1986.9319413336668</v>
      </c>
      <c r="Y377" s="339">
        <f t="shared" si="238"/>
        <v>1.5702930382718154</v>
      </c>
      <c r="Z377" s="337" t="str">
        <f t="shared" si="214"/>
        <v>1+20.0152692045863i</v>
      </c>
      <c r="AA377" s="346">
        <f t="shared" si="239"/>
        <v>20.040234562800425</v>
      </c>
      <c r="AB377" s="347">
        <f t="shared" si="240"/>
        <v>1.5208759799135232</v>
      </c>
      <c r="AC377" s="732" t="str">
        <f t="shared" si="241"/>
        <v>0.146443803560579-2.96071445916052i</v>
      </c>
      <c r="AD377" s="337">
        <f t="shared" si="242"/>
        <v>2.9643339717858139</v>
      </c>
      <c r="AE377" s="339">
        <f t="shared" si="243"/>
        <v>-1.5213742853814998</v>
      </c>
      <c r="AF377" s="736" t="str">
        <f t="shared" si="215"/>
        <v>-0.241566642340121+0.0655170076672447i</v>
      </c>
      <c r="AG377" s="337">
        <f t="shared" si="244"/>
        <v>-12.031002691553766</v>
      </c>
      <c r="AH377" s="730">
        <f t="shared" si="245"/>
        <v>164.8254475874418</v>
      </c>
      <c r="AI377" s="360">
        <f t="shared" si="216"/>
        <v>-15.174552412558199</v>
      </c>
      <c r="AL377" s="337">
        <f t="shared" si="217"/>
        <v>9.4385426226702318</v>
      </c>
      <c r="AM377" s="730">
        <f t="shared" si="218"/>
        <v>-87.168325612091593</v>
      </c>
      <c r="AN377" s="351"/>
      <c r="AO377" s="337">
        <f t="shared" si="219"/>
        <v>31.802385884515445</v>
      </c>
      <c r="AP377" s="730">
        <f t="shared" si="220"/>
        <v>-108.00622680046668</v>
      </c>
      <c r="AS377" s="351"/>
      <c r="AT377" s="351"/>
      <c r="AV377" s="405">
        <f t="shared" si="221"/>
        <v>0</v>
      </c>
      <c r="AW377" s="405">
        <f t="shared" si="246"/>
        <v>0</v>
      </c>
      <c r="AX377" s="405">
        <f t="shared" si="222"/>
        <v>0</v>
      </c>
      <c r="AY377" s="405">
        <f t="shared" si="223"/>
        <v>0</v>
      </c>
    </row>
    <row r="378" spans="2:51" ht="13.5" thickBot="1" x14ac:dyDescent="0.25">
      <c r="B378" s="345">
        <v>31807</v>
      </c>
      <c r="C378" s="728" t="str">
        <f t="shared" si="206"/>
        <v>2.16217503399043</v>
      </c>
      <c r="D378" s="728" t="str">
        <f t="shared" si="207"/>
        <v>1+24.3149951329644i</v>
      </c>
      <c r="E378" s="337">
        <f t="shared" si="225"/>
        <v>24.335549887275661</v>
      </c>
      <c r="F378" s="338">
        <f t="shared" si="226"/>
        <v>1.5296926062658642</v>
      </c>
      <c r="G378" s="338" t="str">
        <f t="shared" si="208"/>
        <v>1+0.0999246375327305i</v>
      </c>
      <c r="H378" s="337">
        <f t="shared" si="227"/>
        <v>1.0049800660640227</v>
      </c>
      <c r="I378" s="338">
        <f t="shared" si="228"/>
        <v>9.959403563030983E-2</v>
      </c>
      <c r="J378" s="340">
        <f t="shared" si="209"/>
        <v>1</v>
      </c>
      <c r="K378" s="338">
        <f t="shared" si="229"/>
        <v>1</v>
      </c>
      <c r="L378" s="339">
        <f t="shared" si="230"/>
        <v>0</v>
      </c>
      <c r="M378" s="731" t="str">
        <f t="shared" si="210"/>
        <v>0.955036211155556+0.469774719621199i</v>
      </c>
      <c r="N378" s="338">
        <f t="shared" si="231"/>
        <v>1.0643225318546703</v>
      </c>
      <c r="O378" s="339">
        <f t="shared" si="232"/>
        <v>0.45714023588460256</v>
      </c>
      <c r="P378" s="732" t="str">
        <f t="shared" si="224"/>
        <v>-0.026106955722461-0.079729081823008i</v>
      </c>
      <c r="Q378" s="337">
        <f t="shared" si="233"/>
        <v>8.389457446959514E-2</v>
      </c>
      <c r="R378" s="339">
        <f t="shared" si="234"/>
        <v>-1.887238806520156</v>
      </c>
      <c r="S378" s="731" t="str">
        <f t="shared" si="211"/>
        <v>6000</v>
      </c>
      <c r="T378" s="337" t="str">
        <f t="shared" si="212"/>
        <v>1+201847.767816116i</v>
      </c>
      <c r="U378" s="346">
        <f t="shared" si="235"/>
        <v>201847.7678185931</v>
      </c>
      <c r="V378" s="347">
        <f t="shared" si="236"/>
        <v>1.5707913725662181</v>
      </c>
      <c r="W378" s="340" t="str">
        <f t="shared" si="213"/>
        <v>1+1998.49275065461i</v>
      </c>
      <c r="X378" s="337">
        <f t="shared" si="237"/>
        <v>1998.4930008431425</v>
      </c>
      <c r="Y378" s="339">
        <f t="shared" si="238"/>
        <v>1.5702959497401321</v>
      </c>
      <c r="Z378" s="337" t="str">
        <f t="shared" si="214"/>
        <v>1+20.1317290450076i</v>
      </c>
      <c r="AA378" s="346">
        <f t="shared" si="239"/>
        <v>20.156550159727299</v>
      </c>
      <c r="AB378" s="347">
        <f t="shared" si="240"/>
        <v>1.5211642882449212</v>
      </c>
      <c r="AC378" s="732" t="str">
        <f t="shared" si="241"/>
        <v>0.144758539870432-2.943670763078i</v>
      </c>
      <c r="AD378" s="337">
        <f t="shared" si="242"/>
        <v>2.9472279511883079</v>
      </c>
      <c r="AE378" s="339">
        <f t="shared" si="243"/>
        <v>-1.5216597110710073</v>
      </c>
      <c r="AF378" s="736" t="str">
        <f t="shared" si="215"/>
        <v>-0.238475371920288+0.0653088168032715i</v>
      </c>
      <c r="AG378" s="337">
        <f t="shared" si="244"/>
        <v>-12.137047942059425</v>
      </c>
      <c r="AH378" s="730">
        <f t="shared" si="245"/>
        <v>164.68450215362353</v>
      </c>
      <c r="AI378" s="360">
        <f t="shared" si="216"/>
        <v>-15.315497846376473</v>
      </c>
      <c r="AL378" s="337">
        <f t="shared" si="217"/>
        <v>9.3882745467553068</v>
      </c>
      <c r="AM378" s="730">
        <f t="shared" si="218"/>
        <v>-87.184679299464989</v>
      </c>
      <c r="AN378" s="351"/>
      <c r="AO378" s="337">
        <f t="shared" si="219"/>
        <v>31.746608709924701</v>
      </c>
      <c r="AP378" s="730">
        <f t="shared" si="220"/>
        <v>-108.13081854691148</v>
      </c>
      <c r="AS378" s="351"/>
      <c r="AT378" s="351"/>
      <c r="AV378" s="405">
        <f t="shared" si="221"/>
        <v>0</v>
      </c>
      <c r="AW378" s="405">
        <f t="shared" si="246"/>
        <v>0</v>
      </c>
      <c r="AX378" s="405">
        <f t="shared" si="222"/>
        <v>0</v>
      </c>
      <c r="AY378" s="405">
        <f t="shared" si="223"/>
        <v>0</v>
      </c>
    </row>
    <row r="379" spans="2:51" ht="13.5" thickBot="1" x14ac:dyDescent="0.25">
      <c r="B379" s="345">
        <v>31991</v>
      </c>
      <c r="C379" s="728" t="str">
        <f t="shared" si="206"/>
        <v>2.16217503399043</v>
      </c>
      <c r="D379" s="728" t="str">
        <f t="shared" si="207"/>
        <v>1+24.4556547080411i</v>
      </c>
      <c r="E379" s="337">
        <f t="shared" si="225"/>
        <v>24.476091338261771</v>
      </c>
      <c r="F379" s="338">
        <f t="shared" si="226"/>
        <v>1.5299287552468681</v>
      </c>
      <c r="G379" s="338" t="str">
        <f t="shared" si="208"/>
        <v>1+0.100502690580991i</v>
      </c>
      <c r="H379" s="337">
        <f t="shared" si="227"/>
        <v>1.0050377061653053</v>
      </c>
      <c r="I379" s="338">
        <f t="shared" si="228"/>
        <v>0.10016634112596165</v>
      </c>
      <c r="J379" s="340">
        <f t="shared" si="209"/>
        <v>1</v>
      </c>
      <c r="K379" s="338">
        <f t="shared" si="229"/>
        <v>1</v>
      </c>
      <c r="L379" s="339">
        <f t="shared" si="230"/>
        <v>0</v>
      </c>
      <c r="M379" s="731" t="str">
        <f t="shared" si="210"/>
        <v>0.954514485288889+0.47249231475467i</v>
      </c>
      <c r="N379" s="338">
        <f t="shared" si="231"/>
        <v>1.0650572238751022</v>
      </c>
      <c r="O379" s="339">
        <f t="shared" si="232"/>
        <v>0.45964604706953582</v>
      </c>
      <c r="P379" s="732" t="str">
        <f t="shared" si="224"/>
        <v>-0.0261124533633176-0.0791646706089738i</v>
      </c>
      <c r="Q379" s="337">
        <f t="shared" si="233"/>
        <v>8.3360094129497936E-2</v>
      </c>
      <c r="R379" s="339">
        <f t="shared" si="234"/>
        <v>-1.8894084611904429</v>
      </c>
      <c r="S379" s="731" t="str">
        <f t="shared" si="211"/>
        <v>6000</v>
      </c>
      <c r="T379" s="337" t="str">
        <f t="shared" si="212"/>
        <v>1+203015.434973602i</v>
      </c>
      <c r="U379" s="346">
        <f t="shared" si="235"/>
        <v>203015.43497606486</v>
      </c>
      <c r="V379" s="347">
        <f t="shared" si="236"/>
        <v>1.5707914010610473</v>
      </c>
      <c r="W379" s="340" t="str">
        <f t="shared" si="213"/>
        <v>1+2010.05381161982i</v>
      </c>
      <c r="X379" s="337">
        <f t="shared" si="237"/>
        <v>2010.0540603693642</v>
      </c>
      <c r="Y379" s="339">
        <f t="shared" si="238"/>
        <v>1.5702988277171519</v>
      </c>
      <c r="Z379" s="337" t="str">
        <f t="shared" si="214"/>
        <v>1+20.248188885429i</v>
      </c>
      <c r="AA379" s="346">
        <f t="shared" si="239"/>
        <v>20.27286741287503</v>
      </c>
      <c r="AB379" s="347">
        <f t="shared" si="240"/>
        <v>1.5214492882139998</v>
      </c>
      <c r="AC379" s="732" t="str">
        <f t="shared" si="241"/>
        <v>0.1431021771113-2.92682169730897i</v>
      </c>
      <c r="AD379" s="337">
        <f t="shared" si="242"/>
        <v>2.9303179829043389</v>
      </c>
      <c r="AE379" s="339">
        <f t="shared" si="243"/>
        <v>-1.5219418615578955</v>
      </c>
      <c r="AF379" s="736" t="str">
        <f t="shared" si="215"/>
        <v>-0.23543762452467+0.0650978583592834i</v>
      </c>
      <c r="AG379" s="337">
        <f t="shared" si="244"/>
        <v>-12.242541066948762</v>
      </c>
      <c r="AH379" s="730">
        <f t="shared" si="245"/>
        <v>164.54402406592899</v>
      </c>
      <c r="AI379" s="360">
        <f t="shared" si="216"/>
        <v>-15.455975934071006</v>
      </c>
      <c r="AL379" s="337">
        <f t="shared" si="217"/>
        <v>9.3382950059052039</v>
      </c>
      <c r="AM379" s="730">
        <f t="shared" si="218"/>
        <v>-87.200845331551236</v>
      </c>
      <c r="AN379" s="351"/>
      <c r="AO379" s="337">
        <f t="shared" si="219"/>
        <v>31.691095125885482</v>
      </c>
      <c r="AP379" s="730">
        <f t="shared" si="220"/>
        <v>-108.25513060251983</v>
      </c>
      <c r="AS379" s="351"/>
      <c r="AT379" s="351"/>
      <c r="AV379" s="405">
        <f t="shared" si="221"/>
        <v>0</v>
      </c>
      <c r="AW379" s="405">
        <f t="shared" si="246"/>
        <v>0</v>
      </c>
      <c r="AX379" s="405">
        <f t="shared" si="222"/>
        <v>0</v>
      </c>
      <c r="AY379" s="405">
        <f t="shared" si="223"/>
        <v>0</v>
      </c>
    </row>
    <row r="380" spans="2:51" ht="13.5" thickBot="1" x14ac:dyDescent="0.25">
      <c r="B380" s="345">
        <v>32175</v>
      </c>
      <c r="C380" s="728" t="str">
        <f t="shared" si="206"/>
        <v>2.16217503399043</v>
      </c>
      <c r="D380" s="728" t="str">
        <f t="shared" si="207"/>
        <v>1+24.5963142831179i</v>
      </c>
      <c r="E380" s="337">
        <f t="shared" si="225"/>
        <v>24.616634138604521</v>
      </c>
      <c r="F380" s="338">
        <f t="shared" si="226"/>
        <v>1.5301622077682198</v>
      </c>
      <c r="G380" s="338" t="str">
        <f t="shared" si="208"/>
        <v>1+0.101080743629251i</v>
      </c>
      <c r="H380" s="337">
        <f t="shared" si="227"/>
        <v>1.005095675412367</v>
      </c>
      <c r="I380" s="338">
        <f t="shared" si="228"/>
        <v>0.10073858079318067</v>
      </c>
      <c r="J380" s="340">
        <f t="shared" si="209"/>
        <v>1</v>
      </c>
      <c r="K380" s="338">
        <f t="shared" si="229"/>
        <v>1</v>
      </c>
      <c r="L380" s="339">
        <f t="shared" si="230"/>
        <v>0</v>
      </c>
      <c r="M380" s="731" t="str">
        <f t="shared" si="210"/>
        <v>0.95398975+0.47520990988814i</v>
      </c>
      <c r="N380" s="338">
        <f t="shared" si="231"/>
        <v>1.0657959005179916</v>
      </c>
      <c r="O380" s="339">
        <f t="shared" si="232"/>
        <v>0.46214964684189003</v>
      </c>
      <c r="P380" s="732" t="str">
        <f t="shared" si="224"/>
        <v>-0.0261171015033898-0.0786063274937933i</v>
      </c>
      <c r="Q380" s="337">
        <f t="shared" si="233"/>
        <v>8.2831501936158625E-2</v>
      </c>
      <c r="R380" s="339">
        <f t="shared" si="234"/>
        <v>-1.8915732738169282</v>
      </c>
      <c r="S380" s="731" t="str">
        <f t="shared" si="211"/>
        <v>6000</v>
      </c>
      <c r="T380" s="337" t="str">
        <f t="shared" si="212"/>
        <v>1+204183.102131088i</v>
      </c>
      <c r="U380" s="346">
        <f t="shared" si="235"/>
        <v>204183.1021335368</v>
      </c>
      <c r="V380" s="347">
        <f t="shared" si="236"/>
        <v>1.5707914292299681</v>
      </c>
      <c r="W380" s="340" t="str">
        <f t="shared" si="213"/>
        <v>1+2021.61487258503i</v>
      </c>
      <c r="X380" s="337">
        <f t="shared" si="237"/>
        <v>2021.6151199120436</v>
      </c>
      <c r="Y380" s="339">
        <f t="shared" si="238"/>
        <v>1.5703016727774575</v>
      </c>
      <c r="Z380" s="337" t="str">
        <f t="shared" si="214"/>
        <v>1+20.3646487258503i</v>
      </c>
      <c r="AA380" s="346">
        <f t="shared" si="239"/>
        <v>20.389186293897957</v>
      </c>
      <c r="AB380" s="347">
        <f t="shared" si="240"/>
        <v>1.5217310363959862</v>
      </c>
      <c r="AC380" s="732" t="str">
        <f t="shared" si="241"/>
        <v>0.141474058730242-2.91016395498109i</v>
      </c>
      <c r="AD380" s="337">
        <f t="shared" si="242"/>
        <v>2.9136007197563618</v>
      </c>
      <c r="AE380" s="339">
        <f t="shared" si="243"/>
        <v>-1.5222207928484968</v>
      </c>
      <c r="AF380" s="736" t="str">
        <f t="shared" si="215"/>
        <v>-0.232452193257831+0.0648842912113219i</v>
      </c>
      <c r="AG380" s="337">
        <f t="shared" si="244"/>
        <v>-12.347488560413113</v>
      </c>
      <c r="AH380" s="730">
        <f t="shared" si="245"/>
        <v>164.40400785326918</v>
      </c>
      <c r="AI380" s="360">
        <f t="shared" si="216"/>
        <v>-15.595992146730822</v>
      </c>
      <c r="AL380" s="337">
        <f t="shared" si="217"/>
        <v>9.2886007147210261</v>
      </c>
      <c r="AM380" s="730">
        <f t="shared" si="218"/>
        <v>-87.216826917276833</v>
      </c>
      <c r="AN380" s="351"/>
      <c r="AO380" s="337">
        <f t="shared" si="219"/>
        <v>31.635841923605277</v>
      </c>
      <c r="AP380" s="730">
        <f t="shared" si="220"/>
        <v>-108.37916522945402</v>
      </c>
      <c r="AS380" s="351"/>
      <c r="AT380" s="351"/>
      <c r="AV380" s="405">
        <f t="shared" si="221"/>
        <v>0</v>
      </c>
      <c r="AW380" s="405">
        <f t="shared" si="246"/>
        <v>0</v>
      </c>
      <c r="AX380" s="405">
        <f t="shared" si="222"/>
        <v>0</v>
      </c>
      <c r="AY380" s="405">
        <f t="shared" si="223"/>
        <v>0</v>
      </c>
    </row>
    <row r="381" spans="2:51" ht="13.5" thickBot="1" x14ac:dyDescent="0.25">
      <c r="B381" s="345">
        <v>32359</v>
      </c>
      <c r="C381" s="728" t="str">
        <f t="shared" si="206"/>
        <v>2.16217503399043</v>
      </c>
      <c r="D381" s="728" t="str">
        <f t="shared" si="207"/>
        <v>1+24.7369738581946i</v>
      </c>
      <c r="E381" s="337">
        <f t="shared" si="225"/>
        <v>24.757178265323432</v>
      </c>
      <c r="F381" s="338">
        <f t="shared" si="226"/>
        <v>1.5303930097268814</v>
      </c>
      <c r="G381" s="338" t="str">
        <f t="shared" si="208"/>
        <v>1+0.101658796677512i</v>
      </c>
      <c r="H381" s="337">
        <f t="shared" si="227"/>
        <v>1.0051539737482609</v>
      </c>
      <c r="I381" s="338">
        <f t="shared" si="228"/>
        <v>0.10131075426862113</v>
      </c>
      <c r="J381" s="340">
        <f t="shared" si="209"/>
        <v>1</v>
      </c>
      <c r="K381" s="338">
        <f t="shared" si="229"/>
        <v>1</v>
      </c>
      <c r="L381" s="339">
        <f t="shared" si="230"/>
        <v>0</v>
      </c>
      <c r="M381" s="731" t="str">
        <f t="shared" si="210"/>
        <v>0.953462005288889+0.477927505021611i</v>
      </c>
      <c r="N381" s="338">
        <f t="shared" si="231"/>
        <v>1.0665385579460742</v>
      </c>
      <c r="O381" s="339">
        <f t="shared" si="232"/>
        <v>0.4646510274256217</v>
      </c>
      <c r="P381" s="732" t="str">
        <f t="shared" si="224"/>
        <v>-0.0261209177395813-0.078053953146527i</v>
      </c>
      <c r="Q381" s="337">
        <f t="shared" si="233"/>
        <v>8.2308699086780637E-2</v>
      </c>
      <c r="R381" s="339">
        <f t="shared" si="234"/>
        <v>-1.893733282883882</v>
      </c>
      <c r="S381" s="731" t="str">
        <f t="shared" si="211"/>
        <v>6000</v>
      </c>
      <c r="T381" s="337" t="str">
        <f t="shared" si="212"/>
        <v>1+205350.769288574i</v>
      </c>
      <c r="U381" s="346">
        <f t="shared" si="235"/>
        <v>205350.76929100888</v>
      </c>
      <c r="V381" s="347">
        <f t="shared" si="236"/>
        <v>1.5707914570785402</v>
      </c>
      <c r="W381" s="340" t="str">
        <f t="shared" si="213"/>
        <v>1+2033.17593355024i</v>
      </c>
      <c r="X381" s="337">
        <f t="shared" si="237"/>
        <v>2033.1761794709009</v>
      </c>
      <c r="Y381" s="339">
        <f t="shared" si="238"/>
        <v>1.5703044854825623</v>
      </c>
      <c r="Z381" s="337" t="str">
        <f t="shared" si="214"/>
        <v>1+20.4811085662716i</v>
      </c>
      <c r="AA381" s="346">
        <f t="shared" si="239"/>
        <v>20.505506775093465</v>
      </c>
      <c r="AB381" s="347">
        <f t="shared" si="240"/>
        <v>1.5220095880844751</v>
      </c>
      <c r="AC381" s="732" t="str">
        <f t="shared" si="241"/>
        <v>0.139873546698176-2.89369430353184i</v>
      </c>
      <c r="AD381" s="337">
        <f t="shared" si="242"/>
        <v>2.8970728902391372</v>
      </c>
      <c r="AE381" s="339">
        <f t="shared" si="243"/>
        <v>-1.5224965596804534</v>
      </c>
      <c r="AF381" s="736" t="str">
        <f t="shared" si="215"/>
        <v>-0.229517904995493+0.0646682676056322i</v>
      </c>
      <c r="AG381" s="337">
        <f t="shared" si="244"/>
        <v>-12.451896804724612</v>
      </c>
      <c r="AH381" s="730">
        <f t="shared" si="245"/>
        <v>164.26444817442191</v>
      </c>
      <c r="AI381" s="360">
        <f t="shared" si="216"/>
        <v>-15.735551825578085</v>
      </c>
      <c r="AL381" s="337">
        <f t="shared" si="217"/>
        <v>9.2391884434636289</v>
      </c>
      <c r="AM381" s="730">
        <f t="shared" si="218"/>
        <v>-87.232627192877644</v>
      </c>
      <c r="AN381" s="351"/>
      <c r="AO381" s="337">
        <f t="shared" si="219"/>
        <v>31.580845950551179</v>
      </c>
      <c r="AP381" s="730">
        <f t="shared" si="220"/>
        <v>-108.50292463270041</v>
      </c>
      <c r="AS381" s="351"/>
      <c r="AT381" s="351"/>
      <c r="AV381" s="405">
        <f t="shared" si="221"/>
        <v>0</v>
      </c>
      <c r="AW381" s="405">
        <f t="shared" si="246"/>
        <v>0</v>
      </c>
      <c r="AX381" s="405">
        <f t="shared" si="222"/>
        <v>0</v>
      </c>
      <c r="AY381" s="405">
        <f t="shared" si="223"/>
        <v>0</v>
      </c>
    </row>
    <row r="382" spans="2:51" ht="13.5" thickBot="1" x14ac:dyDescent="0.25">
      <c r="B382" s="345">
        <v>32547.5</v>
      </c>
      <c r="C382" s="728" t="str">
        <f t="shared" si="206"/>
        <v>2.16217503399043</v>
      </c>
      <c r="D382" s="728" t="str">
        <f t="shared" si="207"/>
        <v>1+24.8810734772271i</v>
      </c>
      <c r="E382" s="337">
        <f t="shared" si="225"/>
        <v>24.901160964484646</v>
      </c>
      <c r="F382" s="338">
        <f t="shared" si="226"/>
        <v>1.5306267546016883</v>
      </c>
      <c r="G382" s="338" t="str">
        <f t="shared" si="208"/>
        <v>1+0.102250986892714i</v>
      </c>
      <c r="H382" s="337">
        <f t="shared" si="227"/>
        <v>1.0052140390586146</v>
      </c>
      <c r="I382" s="338">
        <f t="shared" si="228"/>
        <v>0.10189685209771007</v>
      </c>
      <c r="J382" s="340">
        <f t="shared" si="209"/>
        <v>1</v>
      </c>
      <c r="K382" s="338">
        <f t="shared" si="229"/>
        <v>1</v>
      </c>
      <c r="L382" s="339">
        <f t="shared" si="230"/>
        <v>0</v>
      </c>
      <c r="M382" s="731" t="str">
        <f t="shared" si="210"/>
        <v>0.952918233055555+0.480711563079543i</v>
      </c>
      <c r="N382" s="338">
        <f t="shared" si="231"/>
        <v>1.0673035021811268</v>
      </c>
      <c r="O382" s="339">
        <f t="shared" si="232"/>
        <v>0.46721127375687194</v>
      </c>
      <c r="P382" s="732" t="str">
        <f t="shared" si="224"/>
        <v>-0.0261239825482371-0.0774941576567743i</v>
      </c>
      <c r="Q382" s="337">
        <f t="shared" si="233"/>
        <v>8.1779012803491258E-2</v>
      </c>
      <c r="R382" s="339">
        <f t="shared" si="234"/>
        <v>-1.8959411762608485</v>
      </c>
      <c r="S382" s="731" t="str">
        <f t="shared" si="211"/>
        <v>6000</v>
      </c>
      <c r="T382" s="337" t="str">
        <f t="shared" si="212"/>
        <v>1+206546.993523282i</v>
      </c>
      <c r="U382" s="346">
        <f t="shared" si="235"/>
        <v>206546.99352570277</v>
      </c>
      <c r="V382" s="347">
        <f t="shared" si="236"/>
        <v>1.5707914852816751</v>
      </c>
      <c r="W382" s="340" t="str">
        <f t="shared" si="213"/>
        <v>1+2045.01973785428i</v>
      </c>
      <c r="X382" s="337">
        <f t="shared" si="237"/>
        <v>2045.0199823506832</v>
      </c>
      <c r="Y382" s="339">
        <f t="shared" si="238"/>
        <v>1.5703073339985021</v>
      </c>
      <c r="Z382" s="337" t="str">
        <f t="shared" si="214"/>
        <v>1+20.600416609312i</v>
      </c>
      <c r="AA382" s="346">
        <f t="shared" si="239"/>
        <v>20.624673681714764</v>
      </c>
      <c r="AB382" s="347">
        <f t="shared" si="240"/>
        <v>1.5222916939623243</v>
      </c>
      <c r="AC382" s="732" t="str">
        <f t="shared" si="241"/>
        <v>0.138261870852561-2.87701360542704i</v>
      </c>
      <c r="AD382" s="337">
        <f t="shared" si="242"/>
        <v>2.8803339443099207</v>
      </c>
      <c r="AE382" s="339">
        <f t="shared" si="243"/>
        <v>-1.5227758452454974</v>
      </c>
      <c r="AF382" s="736" t="str">
        <f t="shared" si="215"/>
        <v>-0.226563696620887+0.0644445660014478i</v>
      </c>
      <c r="AG382" s="337">
        <f t="shared" si="244"/>
        <v>-12.558305876076668</v>
      </c>
      <c r="AH382" s="730">
        <f t="shared" si="245"/>
        <v>164.1219433181509</v>
      </c>
      <c r="AI382" s="360">
        <f t="shared" si="216"/>
        <v>-15.878056681849102</v>
      </c>
      <c r="AL382" s="337">
        <f t="shared" si="217"/>
        <v>9.1888568507636315</v>
      </c>
      <c r="AM382" s="730">
        <f t="shared" si="218"/>
        <v>-87.248629077033584</v>
      </c>
      <c r="AN382" s="351"/>
      <c r="AO382" s="337">
        <f t="shared" si="219"/>
        <v>31.524768471899126</v>
      </c>
      <c r="AP382" s="730">
        <f t="shared" si="220"/>
        <v>-108.62942760481558</v>
      </c>
      <c r="AS382" s="351"/>
      <c r="AT382" s="351"/>
      <c r="AV382" s="405">
        <f t="shared" si="221"/>
        <v>0</v>
      </c>
      <c r="AW382" s="405">
        <f t="shared" si="246"/>
        <v>0</v>
      </c>
      <c r="AX382" s="405">
        <f t="shared" si="222"/>
        <v>0</v>
      </c>
      <c r="AY382" s="405">
        <f t="shared" si="223"/>
        <v>0</v>
      </c>
    </row>
    <row r="383" spans="2:51" ht="13.5" thickBot="1" x14ac:dyDescent="0.25">
      <c r="B383" s="345">
        <v>32736</v>
      </c>
      <c r="C383" s="728" t="str">
        <f t="shared" si="206"/>
        <v>2.16217503399043</v>
      </c>
      <c r="D383" s="728" t="str">
        <f t="shared" si="207"/>
        <v>1+25.0251730962594i</v>
      </c>
      <c r="E383" s="337">
        <f t="shared" si="225"/>
        <v>25.045145008519022</v>
      </c>
      <c r="F383" s="338">
        <f t="shared" si="226"/>
        <v>1.5308578118996605</v>
      </c>
      <c r="G383" s="338" t="str">
        <f t="shared" si="208"/>
        <v>1+0.102843177107916i</v>
      </c>
      <c r="H383" s="337">
        <f t="shared" si="227"/>
        <v>1.0052744496293786</v>
      </c>
      <c r="I383" s="338">
        <f t="shared" si="228"/>
        <v>0.10248287968661683</v>
      </c>
      <c r="J383" s="340">
        <f t="shared" si="209"/>
        <v>1</v>
      </c>
      <c r="K383" s="338">
        <f t="shared" si="229"/>
        <v>1</v>
      </c>
      <c r="L383" s="339">
        <f t="shared" si="230"/>
        <v>0</v>
      </c>
      <c r="M383" s="731" t="str">
        <f t="shared" si="210"/>
        <v>0.9523713024+0.483495621137473i</v>
      </c>
      <c r="N383" s="338">
        <f t="shared" si="231"/>
        <v>1.0680726161147394</v>
      </c>
      <c r="O383" s="339">
        <f t="shared" si="232"/>
        <v>0.46976917472037311</v>
      </c>
      <c r="P383" s="732" t="str">
        <f t="shared" si="224"/>
        <v>-0.026126210185718-0.0769404225015085i</v>
      </c>
      <c r="Q383" s="337">
        <f t="shared" si="233"/>
        <v>8.1255199669799272E-2</v>
      </c>
      <c r="R383" s="339">
        <f t="shared" si="234"/>
        <v>-1.8981441069334153</v>
      </c>
      <c r="S383" s="731" t="str">
        <f t="shared" si="211"/>
        <v>6000</v>
      </c>
      <c r="T383" s="337" t="str">
        <f t="shared" si="212"/>
        <v>1+207743.217757989i</v>
      </c>
      <c r="U383" s="346">
        <f t="shared" si="235"/>
        <v>207743.21776039581</v>
      </c>
      <c r="V383" s="347">
        <f t="shared" si="236"/>
        <v>1.5707915131600123</v>
      </c>
      <c r="W383" s="340" t="str">
        <f t="shared" si="213"/>
        <v>1+2056.86354215831i</v>
      </c>
      <c r="X383" s="337">
        <f t="shared" si="237"/>
        <v>2056.8637852468573</v>
      </c>
      <c r="Y383" s="339">
        <f t="shared" si="238"/>
        <v>1.5703101497098766</v>
      </c>
      <c r="Z383" s="337" t="str">
        <f t="shared" si="214"/>
        <v>1+20.7197246523523i</v>
      </c>
      <c r="AA383" s="346">
        <f t="shared" si="239"/>
        <v>20.743842210865751</v>
      </c>
      <c r="AB383" s="347">
        <f t="shared" si="240"/>
        <v>1.5225705585973794</v>
      </c>
      <c r="AC383" s="732" t="str">
        <f t="shared" si="241"/>
        <v>0.1366778694954-2.86052367281267i</v>
      </c>
      <c r="AD383" s="337">
        <f t="shared" si="242"/>
        <v>2.8637870945186359</v>
      </c>
      <c r="AE383" s="339">
        <f t="shared" si="243"/>
        <v>-1.5230519220475154</v>
      </c>
      <c r="AF383" s="736" t="str">
        <f t="shared" si="215"/>
        <v>-0.223660774707947+0.0642185896915437i</v>
      </c>
      <c r="AG383" s="337">
        <f t="shared" si="244"/>
        <v>-12.664162210474521</v>
      </c>
      <c r="AH383" s="730">
        <f t="shared" si="245"/>
        <v>163.97990665247582</v>
      </c>
      <c r="AI383" s="360">
        <f t="shared" si="216"/>
        <v>-16.020093347524181</v>
      </c>
      <c r="AL383" s="337">
        <f t="shared" si="217"/>
        <v>9.1388145526556084</v>
      </c>
      <c r="AM383" s="730">
        <f t="shared" si="218"/>
        <v>-87.264447112610682</v>
      </c>
      <c r="AN383" s="351"/>
      <c r="AO383" s="337">
        <f t="shared" si="219"/>
        <v>31.468954435609295</v>
      </c>
      <c r="AP383" s="730">
        <f t="shared" si="220"/>
        <v>-108.75564623491351</v>
      </c>
      <c r="AS383" s="351"/>
      <c r="AT383" s="351"/>
      <c r="AV383" s="405">
        <f t="shared" si="221"/>
        <v>0</v>
      </c>
      <c r="AW383" s="405">
        <f t="shared" si="246"/>
        <v>0</v>
      </c>
      <c r="AX383" s="405">
        <f t="shared" si="222"/>
        <v>0</v>
      </c>
      <c r="AY383" s="405">
        <f t="shared" si="223"/>
        <v>0</v>
      </c>
    </row>
    <row r="384" spans="2:51" ht="13.5" thickBot="1" x14ac:dyDescent="0.25">
      <c r="B384" s="345">
        <v>32924.5</v>
      </c>
      <c r="C384" s="728" t="str">
        <f t="shared" si="206"/>
        <v>2.16217503399043</v>
      </c>
      <c r="D384" s="728" t="str">
        <f t="shared" si="207"/>
        <v>1+25.1692727152918i</v>
      </c>
      <c r="E384" s="337">
        <f t="shared" si="225"/>
        <v>25.189130374364499</v>
      </c>
      <c r="F384" s="338">
        <f t="shared" si="226"/>
        <v>1.5310862276838562</v>
      </c>
      <c r="G384" s="338" t="str">
        <f t="shared" si="208"/>
        <v>1+0.103435367323117i</v>
      </c>
      <c r="H384" s="337">
        <f t="shared" si="227"/>
        <v>1.0053352053983129</v>
      </c>
      <c r="I384" s="338">
        <f t="shared" si="228"/>
        <v>0.10306883664552215</v>
      </c>
      <c r="J384" s="340">
        <f t="shared" si="209"/>
        <v>1</v>
      </c>
      <c r="K384" s="338">
        <f t="shared" si="229"/>
        <v>1</v>
      </c>
      <c r="L384" s="339">
        <f t="shared" si="230"/>
        <v>0</v>
      </c>
      <c r="M384" s="731" t="str">
        <f t="shared" si="210"/>
        <v>0.951821213322222+0.486279679195402i</v>
      </c>
      <c r="N384" s="338">
        <f t="shared" si="231"/>
        <v>1.0688458955942013</v>
      </c>
      <c r="O384" s="339">
        <f t="shared" si="232"/>
        <v>0.47232472217580501</v>
      </c>
      <c r="P384" s="732" t="str">
        <f t="shared" si="224"/>
        <v>-0.0261276181166323-0.0763926479455891i</v>
      </c>
      <c r="Q384" s="337">
        <f t="shared" si="233"/>
        <v>8.0737160518483009E-2</v>
      </c>
      <c r="R384" s="339">
        <f t="shared" si="234"/>
        <v>-1.9003421132141411</v>
      </c>
      <c r="S384" s="731" t="str">
        <f t="shared" si="211"/>
        <v>6000</v>
      </c>
      <c r="T384" s="337" t="str">
        <f t="shared" si="212"/>
        <v>1+208939.441992696i</v>
      </c>
      <c r="U384" s="346">
        <f t="shared" si="235"/>
        <v>208939.44199508903</v>
      </c>
      <c r="V384" s="347">
        <f t="shared" si="236"/>
        <v>1.5707915407191302</v>
      </c>
      <c r="W384" s="340" t="str">
        <f t="shared" si="213"/>
        <v>1+2068.70734646234i</v>
      </c>
      <c r="X384" s="337">
        <f t="shared" si="237"/>
        <v>2068.7075881591522</v>
      </c>
      <c r="Y384" s="339">
        <f t="shared" si="238"/>
        <v>1.5703129331801253</v>
      </c>
      <c r="Z384" s="337" t="str">
        <f t="shared" si="214"/>
        <v>1+20.8390326953926i</v>
      </c>
      <c r="AA384" s="346">
        <f t="shared" si="239"/>
        <v>20.863012334743075</v>
      </c>
      <c r="AB384" s="347">
        <f t="shared" si="240"/>
        <v>1.5228462374881075</v>
      </c>
      <c r="AC384" s="732" t="str">
        <f t="shared" si="241"/>
        <v>0.135120913108921-2.84422125937416i</v>
      </c>
      <c r="AD384" s="337">
        <f t="shared" si="242"/>
        <v>2.8474290567870728</v>
      </c>
      <c r="AE384" s="339">
        <f t="shared" si="243"/>
        <v>-1.5233248450271124</v>
      </c>
      <c r="AF384" s="736" t="str">
        <f t="shared" si="215"/>
        <v>-0.220807980964011+0.0639904825589187i</v>
      </c>
      <c r="AG384" s="337">
        <f t="shared" si="244"/>
        <v>-12.769472320853755</v>
      </c>
      <c r="AH384" s="730">
        <f t="shared" si="245"/>
        <v>163.83833283438392</v>
      </c>
      <c r="AI384" s="360">
        <f t="shared" si="216"/>
        <v>-16.16166716561608</v>
      </c>
      <c r="AL384" s="337">
        <f t="shared" si="217"/>
        <v>9.0890582502486374</v>
      </c>
      <c r="AM384" s="730">
        <f t="shared" si="218"/>
        <v>-87.280084447473726</v>
      </c>
      <c r="AN384" s="351"/>
      <c r="AO384" s="337">
        <f t="shared" si="219"/>
        <v>31.413400627637031</v>
      </c>
      <c r="AP384" s="730">
        <f t="shared" si="220"/>
        <v>-108.88158271814231</v>
      </c>
      <c r="AS384" s="351"/>
      <c r="AT384" s="351"/>
      <c r="AV384" s="405">
        <f t="shared" si="221"/>
        <v>0</v>
      </c>
      <c r="AW384" s="405">
        <f t="shared" si="246"/>
        <v>0</v>
      </c>
      <c r="AX384" s="405">
        <f t="shared" si="222"/>
        <v>0</v>
      </c>
      <c r="AY384" s="405">
        <f t="shared" si="223"/>
        <v>0</v>
      </c>
    </row>
    <row r="385" spans="2:51" ht="13.5" thickBot="1" x14ac:dyDescent="0.25">
      <c r="B385" s="345">
        <v>33113</v>
      </c>
      <c r="C385" s="728" t="str">
        <f t="shared" si="206"/>
        <v>2.16217503399043</v>
      </c>
      <c r="D385" s="728" t="str">
        <f t="shared" si="207"/>
        <v>1+25.3133723343243i</v>
      </c>
      <c r="E385" s="337">
        <f t="shared" si="225"/>
        <v>25.333117039482818</v>
      </c>
      <c r="F385" s="338">
        <f t="shared" si="226"/>
        <v>1.5313120469712094</v>
      </c>
      <c r="G385" s="338" t="str">
        <f t="shared" si="208"/>
        <v>1+0.104027557538319i</v>
      </c>
      <c r="H385" s="337">
        <f t="shared" si="227"/>
        <v>1.0053963063028371</v>
      </c>
      <c r="I385" s="338">
        <f t="shared" si="228"/>
        <v>0.10365472258489759</v>
      </c>
      <c r="J385" s="340">
        <f t="shared" si="209"/>
        <v>1</v>
      </c>
      <c r="K385" s="338">
        <f t="shared" si="229"/>
        <v>1</v>
      </c>
      <c r="L385" s="339">
        <f t="shared" si="230"/>
        <v>0</v>
      </c>
      <c r="M385" s="731" t="str">
        <f t="shared" si="210"/>
        <v>0.951267965822222+0.489063737253334i</v>
      </c>
      <c r="N385" s="338">
        <f t="shared" si="231"/>
        <v>1.0696233364580947</v>
      </c>
      <c r="O385" s="339">
        <f t="shared" si="232"/>
        <v>0.47487790805709218</v>
      </c>
      <c r="P385" s="732" t="str">
        <f t="shared" si="224"/>
        <v>-0.0261282233471687-0.0758507365040369i</v>
      </c>
      <c r="Q385" s="337">
        <f t="shared" si="233"/>
        <v>8.0224798432182845E-2</v>
      </c>
      <c r="R385" s="339">
        <f t="shared" si="234"/>
        <v>-1.9025352324434046</v>
      </c>
      <c r="S385" s="731" t="str">
        <f t="shared" si="211"/>
        <v>6000</v>
      </c>
      <c r="T385" s="337" t="str">
        <f t="shared" si="212"/>
        <v>1+210135.666227404i</v>
      </c>
      <c r="U385" s="346">
        <f t="shared" si="235"/>
        <v>210135.66622978344</v>
      </c>
      <c r="V385" s="347">
        <f t="shared" si="236"/>
        <v>1.5707915679644804</v>
      </c>
      <c r="W385" s="340" t="str">
        <f t="shared" si="213"/>
        <v>1+2080.55115076638i</v>
      </c>
      <c r="X385" s="337">
        <f t="shared" si="237"/>
        <v>2080.5513910873019</v>
      </c>
      <c r="Y385" s="339">
        <f t="shared" si="238"/>
        <v>1.5703156849598587</v>
      </c>
      <c r="Z385" s="337" t="str">
        <f t="shared" si="214"/>
        <v>1+20.958340738433i</v>
      </c>
      <c r="AA385" s="346">
        <f t="shared" si="239"/>
        <v>20.982184026174689</v>
      </c>
      <c r="AB385" s="347">
        <f t="shared" si="240"/>
        <v>1.5231187848740884</v>
      </c>
      <c r="AC385" s="732" t="str">
        <f t="shared" si="241"/>
        <v>0.133590389960307-2.82810319186863i</v>
      </c>
      <c r="AD385" s="337">
        <f t="shared" si="242"/>
        <v>2.8312566213869204</v>
      </c>
      <c r="AE385" s="339">
        <f t="shared" si="243"/>
        <v>-1.52359466787871</v>
      </c>
      <c r="AF385" s="736" t="str">
        <f t="shared" si="215"/>
        <v>-0.218004189558571+0.0637603823776335i</v>
      </c>
      <c r="AG385" s="337">
        <f t="shared" si="244"/>
        <v>-12.874242607617267</v>
      </c>
      <c r="AH385" s="730">
        <f t="shared" si="245"/>
        <v>163.69721664796538</v>
      </c>
      <c r="AI385" s="360">
        <f t="shared" si="216"/>
        <v>-16.302783352034623</v>
      </c>
      <c r="AL385" s="337">
        <f t="shared" si="217"/>
        <v>9.0395847006282217</v>
      </c>
      <c r="AM385" s="730">
        <f t="shared" si="218"/>
        <v>-87.295544158086457</v>
      </c>
      <c r="AN385" s="351"/>
      <c r="AO385" s="337">
        <f t="shared" si="219"/>
        <v>31.358103890493958</v>
      </c>
      <c r="AP385" s="730">
        <f t="shared" si="220"/>
        <v>-109.00723919394819</v>
      </c>
      <c r="AS385" s="351"/>
      <c r="AT385" s="351"/>
      <c r="AV385" s="405">
        <f t="shared" si="221"/>
        <v>0</v>
      </c>
      <c r="AW385" s="405">
        <f t="shared" si="246"/>
        <v>0</v>
      </c>
      <c r="AX385" s="405">
        <f t="shared" si="222"/>
        <v>0</v>
      </c>
      <c r="AY385" s="405">
        <f t="shared" si="223"/>
        <v>0</v>
      </c>
    </row>
    <row r="386" spans="2:51" ht="13.5" thickBot="1" x14ac:dyDescent="0.25">
      <c r="B386" s="345">
        <v>33305.75</v>
      </c>
      <c r="C386" s="728" t="str">
        <f t="shared" si="206"/>
        <v>2.16217503399043</v>
      </c>
      <c r="D386" s="728" t="str">
        <f t="shared" si="207"/>
        <v>1+25.4607208837592i</v>
      </c>
      <c r="E386" s="337">
        <f t="shared" si="225"/>
        <v>25.480351408893323</v>
      </c>
      <c r="F386" s="338">
        <f t="shared" si="226"/>
        <v>1.5315403185412013</v>
      </c>
      <c r="G386" s="338" t="str">
        <f t="shared" si="208"/>
        <v>1+0.104633099522298i</v>
      </c>
      <c r="H386" s="337">
        <f t="shared" si="227"/>
        <v>1.0054591416440766</v>
      </c>
      <c r="I386" s="338">
        <f t="shared" si="228"/>
        <v>0.104253744309242</v>
      </c>
      <c r="J386" s="340">
        <f t="shared" si="209"/>
        <v>1</v>
      </c>
      <c r="K386" s="338">
        <f t="shared" si="229"/>
        <v>1</v>
      </c>
      <c r="L386" s="339">
        <f t="shared" si="230"/>
        <v>0</v>
      </c>
      <c r="M386" s="731" t="str">
        <f t="shared" si="210"/>
        <v>0.950698978530556+0.49191056585103i</v>
      </c>
      <c r="N386" s="338">
        <f t="shared" si="231"/>
        <v>1.0704226046636549</v>
      </c>
      <c r="O386" s="339">
        <f t="shared" si="232"/>
        <v>0.4774862087694674</v>
      </c>
      <c r="P386" s="732" t="str">
        <f t="shared" si="224"/>
        <v>-0.0261280294257366-0.0753025705195867i</v>
      </c>
      <c r="Q386" s="337">
        <f t="shared" si="233"/>
        <v>7.9706656237289786E-2</v>
      </c>
      <c r="R386" s="339">
        <f t="shared" si="234"/>
        <v>-1.9047727830014272</v>
      </c>
      <c r="S386" s="731" t="str">
        <f t="shared" si="211"/>
        <v>6000</v>
      </c>
      <c r="T386" s="337" t="str">
        <f t="shared" si="212"/>
        <v>1+211358.861035042i</v>
      </c>
      <c r="U386" s="346">
        <f t="shared" si="235"/>
        <v>211358.86103740765</v>
      </c>
      <c r="V386" s="347">
        <f t="shared" si="236"/>
        <v>1.5707915955052072</v>
      </c>
      <c r="W386" s="340" t="str">
        <f t="shared" si="213"/>
        <v>1+2092.66199044596i</v>
      </c>
      <c r="X386" s="337">
        <f t="shared" si="237"/>
        <v>2092.6622293760756</v>
      </c>
      <c r="Y386" s="339">
        <f t="shared" si="238"/>
        <v>1.5703184665726302</v>
      </c>
      <c r="Z386" s="337" t="str">
        <f t="shared" si="214"/>
        <v>1+21.0803387506135i</v>
      </c>
      <c r="AA386" s="346">
        <f t="shared" si="239"/>
        <v>21.10404420580608</v>
      </c>
      <c r="AB386" s="347">
        <f t="shared" si="240"/>
        <v>1.5233942942482623</v>
      </c>
      <c r="AC386" s="732" t="str">
        <f t="shared" si="241"/>
        <v>0.132052073586245-2.81180911534114i</v>
      </c>
      <c r="AD386" s="337">
        <f t="shared" si="242"/>
        <v>2.8149082136463974</v>
      </c>
      <c r="AE386" s="339">
        <f t="shared" si="243"/>
        <v>-1.5238674231808393</v>
      </c>
      <c r="AF386" s="736" t="str">
        <f t="shared" si="215"/>
        <v>-0.215186714659984+0.0635231707217018i</v>
      </c>
      <c r="AG386" s="337">
        <f t="shared" si="244"/>
        <v>-12.98082342470936</v>
      </c>
      <c r="AH386" s="730">
        <f t="shared" si="245"/>
        <v>163.55338671689177</v>
      </c>
      <c r="AI386" s="360">
        <f t="shared" si="216"/>
        <v>-16.446613283108235</v>
      </c>
      <c r="AL386" s="337">
        <f t="shared" si="217"/>
        <v>8.9892847655819281</v>
      </c>
      <c r="AM386" s="730">
        <f t="shared" si="218"/>
        <v>-87.31117188573829</v>
      </c>
      <c r="AN386" s="351"/>
      <c r="AO386" s="337">
        <f t="shared" si="219"/>
        <v>31.301823008448146</v>
      </c>
      <c r="AP386" s="730">
        <f t="shared" si="220"/>
        <v>-109.13544139736996</v>
      </c>
      <c r="AS386" s="351"/>
      <c r="AT386" s="351"/>
      <c r="AV386" s="405">
        <f t="shared" si="221"/>
        <v>0</v>
      </c>
      <c r="AW386" s="405">
        <f t="shared" si="246"/>
        <v>0</v>
      </c>
      <c r="AX386" s="405">
        <f t="shared" si="222"/>
        <v>0</v>
      </c>
      <c r="AY386" s="405">
        <f t="shared" si="223"/>
        <v>0</v>
      </c>
    </row>
    <row r="387" spans="2:51" ht="13.5" thickBot="1" x14ac:dyDescent="0.25">
      <c r="B387" s="345">
        <v>33498.5</v>
      </c>
      <c r="C387" s="728" t="str">
        <f t="shared" si="206"/>
        <v>2.16217503399043</v>
      </c>
      <c r="D387" s="728" t="str">
        <f t="shared" si="207"/>
        <v>1+25.6080694331942i</v>
      </c>
      <c r="E387" s="337">
        <f t="shared" si="225"/>
        <v>25.627587090775737</v>
      </c>
      <c r="F387" s="338">
        <f t="shared" si="226"/>
        <v>1.5317659671899704</v>
      </c>
      <c r="G387" s="338" t="str">
        <f t="shared" si="208"/>
        <v>1+0.105238641506277i</v>
      </c>
      <c r="H387" s="337">
        <f t="shared" si="227"/>
        <v>1.0055223377260629</v>
      </c>
      <c r="I387" s="338">
        <f t="shared" si="228"/>
        <v>0.10485269095263924</v>
      </c>
      <c r="J387" s="340">
        <f t="shared" si="209"/>
        <v>1</v>
      </c>
      <c r="K387" s="338">
        <f t="shared" si="229"/>
        <v>1</v>
      </c>
      <c r="L387" s="339">
        <f t="shared" si="230"/>
        <v>0</v>
      </c>
      <c r="M387" s="731" t="str">
        <f t="shared" si="210"/>
        <v>0.950126688788889+0.494757394448729i</v>
      </c>
      <c r="N387" s="338">
        <f t="shared" si="231"/>
        <v>1.0712262151901593</v>
      </c>
      <c r="O387" s="339">
        <f t="shared" si="232"/>
        <v>0.48009202339653312</v>
      </c>
      <c r="P387" s="732" t="str">
        <f t="shared" si="224"/>
        <v>-0.0261270307625088-0.0747603357861456i</v>
      </c>
      <c r="Q387" s="337">
        <f t="shared" si="233"/>
        <v>7.9194251958853198E-2</v>
      </c>
      <c r="R387" s="339">
        <f t="shared" si="234"/>
        <v>-1.9070052996338638</v>
      </c>
      <c r="S387" s="731" t="str">
        <f t="shared" si="211"/>
        <v>6000</v>
      </c>
      <c r="T387" s="337" t="str">
        <f t="shared" si="212"/>
        <v>1+212582.055842681i</v>
      </c>
      <c r="U387" s="346">
        <f t="shared" si="235"/>
        <v>212582.05584503303</v>
      </c>
      <c r="V387" s="347">
        <f t="shared" si="236"/>
        <v>1.570791622728996</v>
      </c>
      <c r="W387" s="340" t="str">
        <f t="shared" si="213"/>
        <v>1+2104.77283012555i</v>
      </c>
      <c r="X387" s="337">
        <f t="shared" si="237"/>
        <v>2104.7730676808646</v>
      </c>
      <c r="Y387" s="339">
        <f t="shared" si="238"/>
        <v>1.5703212161746702</v>
      </c>
      <c r="Z387" s="337" t="str">
        <f t="shared" si="214"/>
        <v>1+21.202336762794i</v>
      </c>
      <c r="AA387" s="346">
        <f t="shared" si="239"/>
        <v>21.225905968955153</v>
      </c>
      <c r="AB387" s="347">
        <f t="shared" si="240"/>
        <v>1.5236666401446701</v>
      </c>
      <c r="AC387" s="732" t="str">
        <f t="shared" si="241"/>
        <v>0.130540156521233-2.79570130557542i</v>
      </c>
      <c r="AD387" s="337">
        <f t="shared" si="242"/>
        <v>2.7987473130778877</v>
      </c>
      <c r="AE387" s="339">
        <f t="shared" si="243"/>
        <v>-1.5241370466989956</v>
      </c>
      <c r="AF387" s="736" t="str">
        <f t="shared" si="215"/>
        <v>-0.212418195047757+0.0632841480784516i</v>
      </c>
      <c r="AG387" s="337">
        <f t="shared" si="244"/>
        <v>-13.086852987715481</v>
      </c>
      <c r="AH387" s="730">
        <f t="shared" si="245"/>
        <v>163.41002464651254</v>
      </c>
      <c r="AI387" s="360">
        <f t="shared" si="216"/>
        <v>-16.589975353487461</v>
      </c>
      <c r="AL387" s="337">
        <f t="shared" si="217"/>
        <v>8.9392737929047037</v>
      </c>
      <c r="AM387" s="730">
        <f t="shared" si="218"/>
        <v>-87.326620175386111</v>
      </c>
      <c r="AN387" s="351"/>
      <c r="AO387" s="337">
        <f t="shared" si="219"/>
        <v>31.245804418119256</v>
      </c>
      <c r="AP387" s="730">
        <f t="shared" si="220"/>
        <v>-109.26335517810141</v>
      </c>
      <c r="AS387" s="351"/>
      <c r="AT387" s="351"/>
      <c r="AV387" s="405">
        <f t="shared" si="221"/>
        <v>0</v>
      </c>
      <c r="AW387" s="405">
        <f t="shared" si="246"/>
        <v>0</v>
      </c>
      <c r="AX387" s="405">
        <f t="shared" si="222"/>
        <v>0</v>
      </c>
      <c r="AY387" s="405">
        <f t="shared" si="223"/>
        <v>0</v>
      </c>
    </row>
    <row r="388" spans="2:51" ht="13.5" thickBot="1" x14ac:dyDescent="0.25">
      <c r="B388" s="345">
        <v>33691.25</v>
      </c>
      <c r="C388" s="728" t="str">
        <f t="shared" si="206"/>
        <v>2.16217503399043</v>
      </c>
      <c r="D388" s="728" t="str">
        <f t="shared" si="207"/>
        <v>1+25.7554179826292i</v>
      </c>
      <c r="E388" s="337">
        <f t="shared" si="225"/>
        <v>25.774824062637933</v>
      </c>
      <c r="F388" s="338">
        <f t="shared" si="226"/>
        <v>1.531989037844129</v>
      </c>
      <c r="G388" s="338" t="str">
        <f t="shared" si="208"/>
        <v>1+0.105844183490257i</v>
      </c>
      <c r="H388" s="337">
        <f t="shared" si="227"/>
        <v>1.0055858944807845</v>
      </c>
      <c r="I388" s="338">
        <f t="shared" si="228"/>
        <v>0.10545156209955768</v>
      </c>
      <c r="J388" s="340">
        <f t="shared" si="209"/>
        <v>1</v>
      </c>
      <c r="K388" s="338">
        <f t="shared" si="229"/>
        <v>1</v>
      </c>
      <c r="L388" s="339">
        <f t="shared" si="230"/>
        <v>0</v>
      </c>
      <c r="M388" s="731" t="str">
        <f t="shared" si="210"/>
        <v>0.949551096597222+0.497604223046427i</v>
      </c>
      <c r="N388" s="338">
        <f t="shared" si="231"/>
        <v>1.0720341635613229</v>
      </c>
      <c r="O388" s="339">
        <f t="shared" si="232"/>
        <v>0.48269534355470434</v>
      </c>
      <c r="P388" s="732" t="str">
        <f t="shared" si="224"/>
        <v>-0.026125244150988-0.0742239349686409i</v>
      </c>
      <c r="Q388" s="337">
        <f t="shared" si="233"/>
        <v>7.8687488866895264E-2</v>
      </c>
      <c r="R388" s="339">
        <f t="shared" si="234"/>
        <v>-1.9092328192992769</v>
      </c>
      <c r="S388" s="731" t="str">
        <f t="shared" si="211"/>
        <v>6000</v>
      </c>
      <c r="T388" s="337" t="str">
        <f t="shared" si="212"/>
        <v>1+213805.250650319i</v>
      </c>
      <c r="U388" s="346">
        <f t="shared" si="235"/>
        <v>213805.25065265759</v>
      </c>
      <c r="V388" s="347">
        <f t="shared" si="236"/>
        <v>1.5707916496412864</v>
      </c>
      <c r="W388" s="340" t="str">
        <f t="shared" si="213"/>
        <v>1+2116.88366980514i</v>
      </c>
      <c r="X388" s="337">
        <f t="shared" si="237"/>
        <v>2116.8839060013838</v>
      </c>
      <c r="Y388" s="339">
        <f t="shared" si="238"/>
        <v>1.5703239343153859</v>
      </c>
      <c r="Z388" s="337" t="str">
        <f t="shared" si="214"/>
        <v>1+21.3243347749745i</v>
      </c>
      <c r="AA388" s="346">
        <f t="shared" si="239"/>
        <v>21.347769288503816</v>
      </c>
      <c r="AB388" s="347">
        <f t="shared" si="240"/>
        <v>1.523935876698512</v>
      </c>
      <c r="AC388" s="732" t="str">
        <f t="shared" si="241"/>
        <v>0.129054038584064-2.77977659378128i</v>
      </c>
      <c r="AD388" s="337">
        <f t="shared" si="242"/>
        <v>2.7827707157092751</v>
      </c>
      <c r="AE388" s="339">
        <f t="shared" si="243"/>
        <v>-1.5244035920244126</v>
      </c>
      <c r="AF388" s="736" t="str">
        <f t="shared" si="215"/>
        <v>-0.209697525390852+0.0630434436304337i</v>
      </c>
      <c r="AG388" s="337">
        <f t="shared" si="244"/>
        <v>-13.192337791036653</v>
      </c>
      <c r="AH388" s="730">
        <f t="shared" si="245"/>
        <v>163.26712524870669</v>
      </c>
      <c r="AI388" s="360">
        <f t="shared" si="216"/>
        <v>-16.732874751293309</v>
      </c>
      <c r="AL388" s="337">
        <f t="shared" si="217"/>
        <v>8.8895484888481739</v>
      </c>
      <c r="AM388" s="730">
        <f t="shared" si="218"/>
        <v>-87.341892097581436</v>
      </c>
      <c r="AN388" s="351"/>
      <c r="AO388" s="337">
        <f t="shared" si="219"/>
        <v>31.190044918854582</v>
      </c>
      <c r="AP388" s="730">
        <f t="shared" si="220"/>
        <v>-109.39098265371193</v>
      </c>
      <c r="AS388" s="351"/>
      <c r="AT388" s="351"/>
      <c r="AV388" s="405">
        <f t="shared" si="221"/>
        <v>0</v>
      </c>
      <c r="AW388" s="405">
        <f t="shared" si="246"/>
        <v>0</v>
      </c>
      <c r="AX388" s="405">
        <f t="shared" si="222"/>
        <v>0</v>
      </c>
      <c r="AY388" s="405">
        <f t="shared" si="223"/>
        <v>0</v>
      </c>
    </row>
    <row r="389" spans="2:51" ht="13.5" thickBot="1" x14ac:dyDescent="0.25">
      <c r="B389" s="345">
        <v>33884</v>
      </c>
      <c r="C389" s="728" t="str">
        <f t="shared" si="206"/>
        <v>2.16217503399043</v>
      </c>
      <c r="D389" s="728" t="str">
        <f t="shared" si="207"/>
        <v>1+25.9027665320642i</v>
      </c>
      <c r="E389" s="337">
        <f t="shared" si="225"/>
        <v>25.92206230249872</v>
      </c>
      <c r="F389" s="338">
        <f t="shared" si="226"/>
        <v>1.5322095744105897</v>
      </c>
      <c r="G389" s="338" t="str">
        <f t="shared" si="208"/>
        <v>1+0.106449725474237i</v>
      </c>
      <c r="H389" s="337">
        <f t="shared" si="227"/>
        <v>1.0056498118398574</v>
      </c>
      <c r="I389" s="338">
        <f t="shared" si="228"/>
        <v>0.10605035733478504</v>
      </c>
      <c r="J389" s="340">
        <f t="shared" si="209"/>
        <v>1</v>
      </c>
      <c r="K389" s="338">
        <f t="shared" si="229"/>
        <v>1</v>
      </c>
      <c r="L389" s="339">
        <f t="shared" si="230"/>
        <v>0</v>
      </c>
      <c r="M389" s="731" t="str">
        <f t="shared" si="210"/>
        <v>0.948972201955556+0.500451051644126i</v>
      </c>
      <c r="N389" s="338">
        <f t="shared" si="231"/>
        <v>1.07284644529219</v>
      </c>
      <c r="O389" s="339">
        <f t="shared" si="232"/>
        <v>0.48529616094131772</v>
      </c>
      <c r="P389" s="732" t="str">
        <f t="shared" si="224"/>
        <v>-0.0261226859474374-0.0736932729259248i</v>
      </c>
      <c r="Q389" s="337">
        <f t="shared" si="233"/>
        <v>7.8186272424532965E-2</v>
      </c>
      <c r="R389" s="339">
        <f t="shared" si="234"/>
        <v>-1.9114553780171208</v>
      </c>
      <c r="S389" s="731" t="str">
        <f t="shared" si="211"/>
        <v>6000</v>
      </c>
      <c r="T389" s="337" t="str">
        <f t="shared" si="212"/>
        <v>1+215028.445457958i</v>
      </c>
      <c r="U389" s="346">
        <f t="shared" si="235"/>
        <v>215028.44546028328</v>
      </c>
      <c r="V389" s="347">
        <f t="shared" si="236"/>
        <v>1.5707916762473941</v>
      </c>
      <c r="W389" s="340" t="str">
        <f t="shared" si="213"/>
        <v>1+2128.99450948473i</v>
      </c>
      <c r="X389" s="337">
        <f t="shared" si="237"/>
        <v>2128.9947443373658</v>
      </c>
      <c r="Y389" s="339">
        <f t="shared" si="238"/>
        <v>1.5703266215316825</v>
      </c>
      <c r="Z389" s="337" t="str">
        <f t="shared" si="214"/>
        <v>1+21.446332787155i</v>
      </c>
      <c r="AA389" s="346">
        <f t="shared" si="239"/>
        <v>21.469634137949338</v>
      </c>
      <c r="AB389" s="347">
        <f t="shared" si="240"/>
        <v>1.5242020568176968</v>
      </c>
      <c r="AC389" s="732" t="str">
        <f t="shared" si="241"/>
        <v>0.127593136541002-2.76403188248123i</v>
      </c>
      <c r="AD389" s="337">
        <f t="shared" si="242"/>
        <v>2.7669752900712909</v>
      </c>
      <c r="AE389" s="339">
        <f t="shared" si="243"/>
        <v>-1.5246671115334085</v>
      </c>
      <c r="AF389" s="736" t="str">
        <f t="shared" si="215"/>
        <v>-0.207023631326556+0.0628011809801705i</v>
      </c>
      <c r="AG389" s="337">
        <f t="shared" si="244"/>
        <v>-13.297284216775404</v>
      </c>
      <c r="AH389" s="730">
        <f t="shared" si="245"/>
        <v>163.12468345876937</v>
      </c>
      <c r="AI389" s="360">
        <f t="shared" si="216"/>
        <v>-16.875316541230632</v>
      </c>
      <c r="AL389" s="337">
        <f t="shared" si="217"/>
        <v>8.840105615536034</v>
      </c>
      <c r="AM389" s="730">
        <f t="shared" si="218"/>
        <v>-87.356990653266266</v>
      </c>
      <c r="AN389" s="351"/>
      <c r="AO389" s="337">
        <f t="shared" si="219"/>
        <v>31.134541366428007</v>
      </c>
      <c r="AP389" s="730">
        <f t="shared" si="220"/>
        <v>-109.51832588796428</v>
      </c>
      <c r="AS389" s="351"/>
      <c r="AT389" s="351"/>
      <c r="AV389" s="405">
        <f t="shared" si="221"/>
        <v>0</v>
      </c>
      <c r="AW389" s="405">
        <f t="shared" si="246"/>
        <v>0</v>
      </c>
      <c r="AX389" s="405">
        <f t="shared" si="222"/>
        <v>0</v>
      </c>
      <c r="AY389" s="405">
        <f t="shared" si="223"/>
        <v>0</v>
      </c>
    </row>
    <row r="390" spans="2:51" ht="13.5" thickBot="1" x14ac:dyDescent="0.25">
      <c r="B390" s="345">
        <v>34081.5</v>
      </c>
      <c r="C390" s="728" t="str">
        <f t="shared" si="206"/>
        <v>2.16217503399043</v>
      </c>
      <c r="D390" s="728" t="str">
        <f t="shared" si="207"/>
        <v>1+26.053746239008i</v>
      </c>
      <c r="E390" s="337">
        <f t="shared" si="225"/>
        <v>26.072930274263836</v>
      </c>
      <c r="F390" s="338">
        <f t="shared" si="226"/>
        <v>1.5324329620754567</v>
      </c>
      <c r="G390" s="338" t="str">
        <f t="shared" si="208"/>
        <v>1+0.10707019002332i</v>
      </c>
      <c r="H390" s="337">
        <f t="shared" si="227"/>
        <v>1.0057156783065628</v>
      </c>
      <c r="I390" s="338">
        <f t="shared" si="228"/>
        <v>0.10666382969812528</v>
      </c>
      <c r="J390" s="340">
        <f t="shared" si="209"/>
        <v>1</v>
      </c>
      <c r="K390" s="338">
        <f t="shared" si="229"/>
        <v>1</v>
      </c>
      <c r="L390" s="339">
        <f t="shared" si="230"/>
        <v>0</v>
      </c>
      <c r="M390" s="731" t="str">
        <f t="shared" si="210"/>
        <v>0.9483756159+0.503368035550976i</v>
      </c>
      <c r="N390" s="338">
        <f t="shared" si="231"/>
        <v>1.0736832345008247</v>
      </c>
      <c r="O390" s="339">
        <f t="shared" si="232"/>
        <v>0.48795846645980118</v>
      </c>
      <c r="P390" s="732" t="str">
        <f t="shared" si="224"/>
        <v>-0.0261192810136206-0.0731553890051878i</v>
      </c>
      <c r="Q390" s="337">
        <f t="shared" si="233"/>
        <v>7.7678361087041695E-2</v>
      </c>
      <c r="R390" s="339">
        <f t="shared" si="234"/>
        <v>-1.9137275988371332</v>
      </c>
      <c r="S390" s="731" t="str">
        <f t="shared" si="211"/>
        <v>6000</v>
      </c>
      <c r="T390" s="337" t="str">
        <f t="shared" si="212"/>
        <v>1+216281.783847107i</v>
      </c>
      <c r="U390" s="346">
        <f t="shared" si="235"/>
        <v>216281.78384941877</v>
      </c>
      <c r="V390" s="347">
        <f t="shared" si="236"/>
        <v>1.570791703197004</v>
      </c>
      <c r="W390" s="340" t="str">
        <f t="shared" si="213"/>
        <v>1+2141.40380046641i</v>
      </c>
      <c r="X390" s="337">
        <f t="shared" si="237"/>
        <v>2141.4040339580911</v>
      </c>
      <c r="Y390" s="339">
        <f t="shared" si="238"/>
        <v>1.5703293434416912</v>
      </c>
      <c r="Z390" s="337" t="str">
        <f t="shared" si="214"/>
        <v>1+21.5713372354333i</v>
      </c>
      <c r="AA390" s="346">
        <f t="shared" si="239"/>
        <v>21.594503701747612</v>
      </c>
      <c r="AB390" s="347">
        <f t="shared" si="240"/>
        <v>1.5244716802307152</v>
      </c>
      <c r="AC390" s="732" t="str">
        <f t="shared" si="241"/>
        <v>0.126121795966574-2.74808271170668i</v>
      </c>
      <c r="AD390" s="337">
        <f t="shared" si="242"/>
        <v>2.7509753357307605</v>
      </c>
      <c r="AE390" s="339">
        <f t="shared" si="243"/>
        <v>-1.5249340399860285</v>
      </c>
      <c r="AF390" s="736" t="str">
        <f t="shared" si="215"/>
        <v>-0.204331270424127+0.0625514555497717i</v>
      </c>
      <c r="AG390" s="337">
        <f t="shared" si="244"/>
        <v>-13.404264987569078</v>
      </c>
      <c r="AH390" s="730">
        <f t="shared" si="245"/>
        <v>162.97920092189378</v>
      </c>
      <c r="AI390" s="360">
        <f t="shared" si="216"/>
        <v>-17.020799078106222</v>
      </c>
      <c r="AL390" s="337">
        <f t="shared" si="217"/>
        <v>8.7897339335366826</v>
      </c>
      <c r="AM390" s="730">
        <f t="shared" si="218"/>
        <v>-87.372284527033358</v>
      </c>
      <c r="AN390" s="351"/>
      <c r="AO390" s="337">
        <f t="shared" si="219"/>
        <v>31.077932277633668</v>
      </c>
      <c r="AP390" s="730">
        <f t="shared" si="220"/>
        <v>-109.64851455107285</v>
      </c>
      <c r="AS390" s="351"/>
      <c r="AT390" s="351"/>
      <c r="AV390" s="405">
        <f t="shared" si="221"/>
        <v>0</v>
      </c>
      <c r="AW390" s="405">
        <f t="shared" si="246"/>
        <v>0</v>
      </c>
      <c r="AX390" s="405">
        <f t="shared" si="222"/>
        <v>0</v>
      </c>
      <c r="AY390" s="405">
        <f t="shared" si="223"/>
        <v>0</v>
      </c>
    </row>
    <row r="391" spans="2:51" ht="13.5" thickBot="1" x14ac:dyDescent="0.25">
      <c r="B391" s="345">
        <v>34279</v>
      </c>
      <c r="C391" s="728" t="str">
        <f t="shared" si="206"/>
        <v>2.16217503399043</v>
      </c>
      <c r="D391" s="728" t="str">
        <f t="shared" si="207"/>
        <v>1+26.2047259459518i</v>
      </c>
      <c r="E391" s="337">
        <f t="shared" si="225"/>
        <v>26.223799532150931</v>
      </c>
      <c r="F391" s="338">
        <f t="shared" si="226"/>
        <v>1.5326537793890611</v>
      </c>
      <c r="G391" s="338" t="str">
        <f t="shared" si="208"/>
        <v>1+0.107690654572404i</v>
      </c>
      <c r="H391" s="337">
        <f t="shared" si="227"/>
        <v>1.0057819232230378</v>
      </c>
      <c r="I391" s="338">
        <f t="shared" si="228"/>
        <v>0.10727722148068579</v>
      </c>
      <c r="J391" s="340">
        <f t="shared" si="209"/>
        <v>1</v>
      </c>
      <c r="K391" s="338">
        <f t="shared" si="229"/>
        <v>1</v>
      </c>
      <c r="L391" s="339">
        <f t="shared" si="230"/>
        <v>0</v>
      </c>
      <c r="M391" s="731" t="str">
        <f t="shared" si="210"/>
        <v>0.947775562622222+0.506285019457827i</v>
      </c>
      <c r="N391" s="338">
        <f t="shared" si="231"/>
        <v>1.0745245637170338</v>
      </c>
      <c r="O391" s="339">
        <f t="shared" si="232"/>
        <v>0.49061812694509427</v>
      </c>
      <c r="P391" s="732" t="str">
        <f t="shared" si="224"/>
        <v>-0.0261150994129247-0.0726233347490623i</v>
      </c>
      <c r="Q391" s="337">
        <f t="shared" si="233"/>
        <v>7.7176078984496868E-2</v>
      </c>
      <c r="R391" s="339">
        <f t="shared" si="234"/>
        <v>-1.9159946848534697</v>
      </c>
      <c r="S391" s="731" t="str">
        <f t="shared" si="211"/>
        <v>6000</v>
      </c>
      <c r="T391" s="337" t="str">
        <f t="shared" si="212"/>
        <v>1+217535.122236257i</v>
      </c>
      <c r="U391" s="346">
        <f t="shared" si="235"/>
        <v>217535.12223855549</v>
      </c>
      <c r="V391" s="347">
        <f t="shared" si="236"/>
        <v>1.5707917298360712</v>
      </c>
      <c r="W391" s="340" t="str">
        <f t="shared" si="213"/>
        <v>1+2153.81309144809i</v>
      </c>
      <c r="X391" s="337">
        <f t="shared" si="237"/>
        <v>2153.8133235944979</v>
      </c>
      <c r="Y391" s="339">
        <f t="shared" si="238"/>
        <v>1.5703320339868927</v>
      </c>
      <c r="Z391" s="337" t="str">
        <f t="shared" si="214"/>
        <v>1+21.6963416837117i</v>
      </c>
      <c r="AA391" s="346">
        <f t="shared" si="239"/>
        <v>21.719374817346051</v>
      </c>
      <c r="AB391" s="347">
        <f t="shared" si="240"/>
        <v>1.5247382033732833</v>
      </c>
      <c r="AC391" s="732" t="str">
        <f t="shared" si="241"/>
        <v>0.124675741760531-2.73231615919565i</v>
      </c>
      <c r="AD391" s="337">
        <f t="shared" si="242"/>
        <v>2.7351591607044012</v>
      </c>
      <c r="AE391" s="339">
        <f t="shared" si="243"/>
        <v>-1.5251978992224617</v>
      </c>
      <c r="AF391" s="736" t="str">
        <f t="shared" si="215"/>
        <v>-0.201685830459994+0.0623003399959723i</v>
      </c>
      <c r="AG391" s="337">
        <f t="shared" si="244"/>
        <v>-13.510693734543828</v>
      </c>
      <c r="AH391" s="730">
        <f t="shared" si="245"/>
        <v>162.83418844073142</v>
      </c>
      <c r="AI391" s="360">
        <f t="shared" si="216"/>
        <v>-17.165811559268576</v>
      </c>
      <c r="AL391" s="337">
        <f t="shared" si="217"/>
        <v>8.7396520657068937</v>
      </c>
      <c r="AM391" s="730">
        <f t="shared" si="218"/>
        <v>-87.387402547666525</v>
      </c>
      <c r="AN391" s="351"/>
      <c r="AO391" s="337">
        <f t="shared" si="219"/>
        <v>31.021585398488718</v>
      </c>
      <c r="AP391" s="730">
        <f t="shared" si="220"/>
        <v>-109.77840901160212</v>
      </c>
      <c r="AS391" s="351"/>
      <c r="AT391" s="351"/>
      <c r="AV391" s="405">
        <f t="shared" si="221"/>
        <v>0</v>
      </c>
      <c r="AW391" s="405">
        <f t="shared" si="246"/>
        <v>0</v>
      </c>
      <c r="AX391" s="405">
        <f t="shared" si="222"/>
        <v>0</v>
      </c>
      <c r="AY391" s="405">
        <f t="shared" si="223"/>
        <v>0</v>
      </c>
    </row>
    <row r="392" spans="2:51" ht="13.5" thickBot="1" x14ac:dyDescent="0.25">
      <c r="B392" s="345">
        <v>34476.5</v>
      </c>
      <c r="C392" s="728" t="str">
        <f t="shared" si="206"/>
        <v>2.16217503399043</v>
      </c>
      <c r="D392" s="728" t="str">
        <f t="shared" si="207"/>
        <v>1+26.3557056528955i</v>
      </c>
      <c r="E392" s="337">
        <f t="shared" si="225"/>
        <v>26.374670054089169</v>
      </c>
      <c r="F392" s="338">
        <f t="shared" si="226"/>
        <v>1.5328720704390757</v>
      </c>
      <c r="G392" s="338" t="str">
        <f t="shared" si="208"/>
        <v>1+0.108311119121488i</v>
      </c>
      <c r="H392" s="337">
        <f t="shared" si="227"/>
        <v>1.0058485465145084</v>
      </c>
      <c r="I392" s="338">
        <f t="shared" si="228"/>
        <v>0.10789053223685577</v>
      </c>
      <c r="J392" s="340">
        <f t="shared" si="209"/>
        <v>1</v>
      </c>
      <c r="K392" s="338">
        <f t="shared" si="229"/>
        <v>1</v>
      </c>
      <c r="L392" s="339">
        <f t="shared" si="230"/>
        <v>0</v>
      </c>
      <c r="M392" s="731" t="str">
        <f t="shared" si="210"/>
        <v>0.947172042122222+0.509202003364677i</v>
      </c>
      <c r="N392" s="338">
        <f t="shared" si="231"/>
        <v>1.0753704280891216</v>
      </c>
      <c r="O392" s="339">
        <f t="shared" si="232"/>
        <v>0.49327513372929066</v>
      </c>
      <c r="P392" s="732" t="str">
        <f t="shared" si="224"/>
        <v>-0.0261101574062475-0.0720970145771847i</v>
      </c>
      <c r="Q392" s="337">
        <f t="shared" si="233"/>
        <v>7.6679331183323471E-2</v>
      </c>
      <c r="R392" s="339">
        <f t="shared" si="234"/>
        <v>-1.9182566719315097</v>
      </c>
      <c r="S392" s="731" t="str">
        <f t="shared" si="211"/>
        <v>6000</v>
      </c>
      <c r="T392" s="337" t="str">
        <f t="shared" si="212"/>
        <v>1+218788.460625407i</v>
      </c>
      <c r="U392" s="346">
        <f t="shared" si="235"/>
        <v>218788.46062769234</v>
      </c>
      <c r="V392" s="347">
        <f t="shared" si="236"/>
        <v>1.5707917561699325</v>
      </c>
      <c r="W392" s="340" t="str">
        <f t="shared" si="213"/>
        <v>1+2166.22238242977i</v>
      </c>
      <c r="X392" s="337">
        <f t="shared" si="237"/>
        <v>2166.2226132463179</v>
      </c>
      <c r="Y392" s="339">
        <f t="shared" si="238"/>
        <v>1.5703346937063107</v>
      </c>
      <c r="Z392" s="337" t="str">
        <f t="shared" si="214"/>
        <v>1+21.82134613199i</v>
      </c>
      <c r="AA392" s="346">
        <f t="shared" si="239"/>
        <v>21.844247458132198</v>
      </c>
      <c r="AB392" s="347">
        <f t="shared" si="240"/>
        <v>1.5250016793752956</v>
      </c>
      <c r="AC392" s="732" t="str">
        <f t="shared" si="241"/>
        <v>0.123254398200101-2.71672911292369i</v>
      </c>
      <c r="AD392" s="337">
        <f t="shared" si="242"/>
        <v>2.7195236199898702</v>
      </c>
      <c r="AE392" s="339">
        <f t="shared" si="243"/>
        <v>-1.5254587418389172</v>
      </c>
      <c r="AF392" s="736" t="str">
        <f t="shared" si="215"/>
        <v>-0.199086250194738+0.0620479506248379i</v>
      </c>
      <c r="AG392" s="337">
        <f t="shared" si="244"/>
        <v>-13.616576972828664</v>
      </c>
      <c r="AH392" s="730">
        <f t="shared" si="245"/>
        <v>162.68964094680652</v>
      </c>
      <c r="AI392" s="360">
        <f t="shared" si="216"/>
        <v>-17.31035905319348</v>
      </c>
      <c r="AL392" s="337">
        <f t="shared" si="217"/>
        <v>8.6898567032644003</v>
      </c>
      <c r="AM392" s="730">
        <f t="shared" si="218"/>
        <v>-87.402347728706573</v>
      </c>
      <c r="AN392" s="351"/>
      <c r="AO392" s="337">
        <f t="shared" si="219"/>
        <v>30.965497522646366</v>
      </c>
      <c r="AP392" s="730">
        <f t="shared" si="220"/>
        <v>-109.90801132448684</v>
      </c>
      <c r="AS392" s="351"/>
      <c r="AT392" s="351"/>
      <c r="AV392" s="405">
        <f t="shared" si="221"/>
        <v>0</v>
      </c>
      <c r="AW392" s="405">
        <f t="shared" si="246"/>
        <v>0</v>
      </c>
      <c r="AX392" s="405">
        <f t="shared" si="222"/>
        <v>0</v>
      </c>
      <c r="AY392" s="405">
        <f t="shared" si="223"/>
        <v>0</v>
      </c>
    </row>
    <row r="393" spans="2:51" ht="13.5" thickBot="1" x14ac:dyDescent="0.25">
      <c r="B393" s="345">
        <v>34674</v>
      </c>
      <c r="C393" s="728" t="str">
        <f t="shared" si="206"/>
        <v>2.16217503399043</v>
      </c>
      <c r="D393" s="728" t="str">
        <f t="shared" si="207"/>
        <v>1+26.5066853598393i</v>
      </c>
      <c r="E393" s="337">
        <f t="shared" si="225"/>
        <v>26.525541818509929</v>
      </c>
      <c r="F393" s="338">
        <f t="shared" si="226"/>
        <v>1.5330878783111026</v>
      </c>
      <c r="G393" s="338" t="str">
        <f t="shared" si="208"/>
        <v>1+0.108931583670572i</v>
      </c>
      <c r="H393" s="337">
        <f t="shared" si="227"/>
        <v>1.0059155481057935</v>
      </c>
      <c r="I393" s="338">
        <f t="shared" si="228"/>
        <v>0.10850376152138699</v>
      </c>
      <c r="J393" s="340">
        <f t="shared" si="209"/>
        <v>1</v>
      </c>
      <c r="K393" s="338">
        <f t="shared" si="229"/>
        <v>1</v>
      </c>
      <c r="L393" s="339">
        <f t="shared" si="230"/>
        <v>0</v>
      </c>
      <c r="M393" s="731" t="str">
        <f t="shared" si="210"/>
        <v>0.9465650544+0.512118987271527i</v>
      </c>
      <c r="N393" s="338">
        <f t="shared" si="231"/>
        <v>1.0762208227567842</v>
      </c>
      <c r="O393" s="339">
        <f t="shared" si="232"/>
        <v>0.49592947823329819</v>
      </c>
      <c r="P393" s="732" t="str">
        <f t="shared" si="224"/>
        <v>-0.0261044708339249-0.0715763350656263i</v>
      </c>
      <c r="Q393" s="337">
        <f t="shared" si="233"/>
        <v>7.6188024905138735E-2</v>
      </c>
      <c r="R393" s="339">
        <f t="shared" si="234"/>
        <v>-1.9205135950230139</v>
      </c>
      <c r="S393" s="731" t="str">
        <f t="shared" si="211"/>
        <v>6000</v>
      </c>
      <c r="T393" s="337" t="str">
        <f t="shared" si="212"/>
        <v>1+220041.799014556i</v>
      </c>
      <c r="U393" s="346">
        <f t="shared" si="235"/>
        <v>220041.79901682827</v>
      </c>
      <c r="V393" s="347">
        <f t="shared" si="236"/>
        <v>1.5707917822038031</v>
      </c>
      <c r="W393" s="340" t="str">
        <f t="shared" si="213"/>
        <v>1+2178.63167341145i</v>
      </c>
      <c r="X393" s="337">
        <f t="shared" si="237"/>
        <v>2178.6319029132878</v>
      </c>
      <c r="Y393" s="339">
        <f t="shared" si="238"/>
        <v>1.5703373231266877</v>
      </c>
      <c r="Z393" s="337" t="str">
        <f t="shared" si="214"/>
        <v>1+21.9463505802684i</v>
      </c>
      <c r="AA393" s="346">
        <f t="shared" si="239"/>
        <v>21.96912159809871</v>
      </c>
      <c r="AB393" s="347">
        <f t="shared" si="240"/>
        <v>1.5252621601603844</v>
      </c>
      <c r="AC393" s="732" t="str">
        <f t="shared" si="241"/>
        <v>0.121857205843607-2.70131853102767i</v>
      </c>
      <c r="AD393" s="337">
        <f t="shared" si="242"/>
        <v>2.7040656398633334</v>
      </c>
      <c r="AE393" s="339">
        <f t="shared" si="243"/>
        <v>-1.5257166192374998</v>
      </c>
      <c r="AF393" s="736" t="str">
        <f t="shared" si="215"/>
        <v>-0.19653149817167+0.0617943986107297i</v>
      </c>
      <c r="AG393" s="337">
        <f t="shared" si="244"/>
        <v>-13.721921104575861</v>
      </c>
      <c r="AH393" s="730">
        <f t="shared" si="245"/>
        <v>162.54555349240715</v>
      </c>
      <c r="AI393" s="360">
        <f t="shared" si="216"/>
        <v>-17.454446507592849</v>
      </c>
      <c r="AL393" s="337">
        <f t="shared" si="217"/>
        <v>8.6403445936496492</v>
      </c>
      <c r="AM393" s="730">
        <f t="shared" si="218"/>
        <v>-87.41712301527717</v>
      </c>
      <c r="AN393" s="351"/>
      <c r="AO393" s="337">
        <f t="shared" si="219"/>
        <v>30.90966550051391</v>
      </c>
      <c r="AP393" s="730">
        <f t="shared" si="220"/>
        <v>-110.03732349231564</v>
      </c>
      <c r="AS393" s="351"/>
      <c r="AT393" s="351"/>
      <c r="AV393" s="405">
        <f t="shared" si="221"/>
        <v>0</v>
      </c>
      <c r="AW393" s="405">
        <f t="shared" si="246"/>
        <v>0</v>
      </c>
      <c r="AX393" s="405">
        <f t="shared" si="222"/>
        <v>0</v>
      </c>
      <c r="AY393" s="405">
        <f t="shared" si="223"/>
        <v>0</v>
      </c>
    </row>
    <row r="394" spans="2:51" ht="13.5" thickBot="1" x14ac:dyDescent="0.25">
      <c r="B394" s="345">
        <v>34875.75</v>
      </c>
      <c r="C394" s="728" t="str">
        <f t="shared" si="206"/>
        <v>2.16217503399043</v>
      </c>
      <c r="D394" s="728" t="str">
        <f t="shared" si="207"/>
        <v>1+26.6609139971856i</v>
      </c>
      <c r="E394" s="337">
        <f t="shared" si="225"/>
        <v>26.679661451475109</v>
      </c>
      <c r="F394" s="338">
        <f t="shared" si="226"/>
        <v>1.5333058100313044</v>
      </c>
      <c r="G394" s="338" t="str">
        <f t="shared" si="208"/>
        <v>1+0.109565399988434i</v>
      </c>
      <c r="H394" s="337">
        <f t="shared" si="227"/>
        <v>1.0059843820232128</v>
      </c>
      <c r="I394" s="338">
        <f t="shared" si="228"/>
        <v>0.10913010229620604</v>
      </c>
      <c r="J394" s="340">
        <f t="shared" si="209"/>
        <v>1</v>
      </c>
      <c r="K394" s="338">
        <f t="shared" si="229"/>
        <v>1</v>
      </c>
      <c r="L394" s="339">
        <f t="shared" si="230"/>
        <v>0</v>
      </c>
      <c r="M394" s="731" t="str">
        <f t="shared" si="210"/>
        <v>0.945941424975+0.515098741718144i</v>
      </c>
      <c r="N394" s="338">
        <f t="shared" si="231"/>
        <v>1.0770941895690223</v>
      </c>
      <c r="O394" s="339">
        <f t="shared" si="232"/>
        <v>0.49863818388333092</v>
      </c>
      <c r="P394" s="732" t="str">
        <f t="shared" si="224"/>
        <v>-0.0260979091684958-0.0710501801341952i</v>
      </c>
      <c r="Q394" s="337">
        <f t="shared" si="233"/>
        <v>7.5691670347989043E-2</v>
      </c>
      <c r="R394" s="339">
        <f t="shared" si="234"/>
        <v>-1.9228138916184305</v>
      </c>
      <c r="S394" s="731" t="str">
        <f t="shared" si="211"/>
        <v>6000</v>
      </c>
      <c r="T394" s="337" t="str">
        <f t="shared" si="212"/>
        <v>1+221322.107976637i</v>
      </c>
      <c r="U394" s="346">
        <f t="shared" si="235"/>
        <v>221322.10797889612</v>
      </c>
      <c r="V394" s="347">
        <f t="shared" si="236"/>
        <v>1.5707918084934529</v>
      </c>
      <c r="W394" s="340" t="str">
        <f t="shared" si="213"/>
        <v>1+2191.30799976868i</v>
      </c>
      <c r="X394" s="337">
        <f t="shared" si="237"/>
        <v>2191.3082279428913</v>
      </c>
      <c r="Y394" s="339">
        <f t="shared" si="238"/>
        <v>1.5703399783807588</v>
      </c>
      <c r="Z394" s="337" t="str">
        <f t="shared" si="214"/>
        <v>1+22.0740449976868i</v>
      </c>
      <c r="AA394" s="346">
        <f t="shared" si="239"/>
        <v>22.096684424589622</v>
      </c>
      <c r="AB394" s="347">
        <f t="shared" si="240"/>
        <v>1.5255252064075011</v>
      </c>
      <c r="AC394" s="732" t="str">
        <f t="shared" si="241"/>
        <v>0.120454318355614-2.68575543826217i</v>
      </c>
      <c r="AD394" s="337">
        <f t="shared" si="242"/>
        <v>2.6884552287448149</v>
      </c>
      <c r="AE394" s="339">
        <f t="shared" si="243"/>
        <v>-1.525977036520195</v>
      </c>
      <c r="AF394" s="736" t="str">
        <f t="shared" si="215"/>
        <v>-0.193967013544319+0.0615343004594517i</v>
      </c>
      <c r="AG394" s="337">
        <f t="shared" si="244"/>
        <v>-13.828982044718416</v>
      </c>
      <c r="AH394" s="730">
        <f t="shared" si="245"/>
        <v>162.39883539465072</v>
      </c>
      <c r="AI394" s="360">
        <f t="shared" si="216"/>
        <v>-17.601164605349283</v>
      </c>
      <c r="AL394" s="337">
        <f t="shared" si="217"/>
        <v>8.5900561700215476</v>
      </c>
      <c r="AM394" s="730">
        <f t="shared" si="218"/>
        <v>-87.43204382648787</v>
      </c>
      <c r="AN394" s="351"/>
      <c r="AO394" s="337">
        <f t="shared" si="219"/>
        <v>30.852892983999478</v>
      </c>
      <c r="AP394" s="730">
        <f t="shared" si="220"/>
        <v>-110.1691207788614</v>
      </c>
      <c r="AS394" s="351"/>
      <c r="AT394" s="351"/>
      <c r="AV394" s="405">
        <f t="shared" si="221"/>
        <v>0</v>
      </c>
      <c r="AW394" s="405">
        <f t="shared" si="246"/>
        <v>0</v>
      </c>
      <c r="AX394" s="405">
        <f t="shared" si="222"/>
        <v>0</v>
      </c>
      <c r="AY394" s="405">
        <f t="shared" si="223"/>
        <v>0</v>
      </c>
    </row>
    <row r="395" spans="2:51" ht="13.5" thickBot="1" x14ac:dyDescent="0.25">
      <c r="B395" s="345">
        <v>35077.5</v>
      </c>
      <c r="C395" s="728" t="str">
        <f t="shared" si="206"/>
        <v>2.16217503399043</v>
      </c>
      <c r="D395" s="728" t="str">
        <f t="shared" si="207"/>
        <v>1+26.815142634532i</v>
      </c>
      <c r="E395" s="337">
        <f t="shared" si="225"/>
        <v>26.833782337014952</v>
      </c>
      <c r="F395" s="338">
        <f t="shared" si="226"/>
        <v>1.5335212383628063</v>
      </c>
      <c r="G395" s="338" t="str">
        <f t="shared" si="208"/>
        <v>1+0.110199216306296i</v>
      </c>
      <c r="H395" s="337">
        <f t="shared" si="227"/>
        <v>1.0060536105369942</v>
      </c>
      <c r="I395" s="338">
        <f t="shared" si="228"/>
        <v>0.10975635711721456</v>
      </c>
      <c r="J395" s="340">
        <f t="shared" si="209"/>
        <v>1</v>
      </c>
      <c r="K395" s="338">
        <f t="shared" si="229"/>
        <v>1</v>
      </c>
      <c r="L395" s="339">
        <f t="shared" si="230"/>
        <v>0</v>
      </c>
      <c r="M395" s="731" t="str">
        <f t="shared" si="210"/>
        <v>0.9453141775+0.518078496164763i</v>
      </c>
      <c r="N395" s="338">
        <f t="shared" si="231"/>
        <v>1.0779722734703541</v>
      </c>
      <c r="O395" s="339">
        <f t="shared" si="232"/>
        <v>0.50134409362687282</v>
      </c>
      <c r="P395" s="732" t="str">
        <f t="shared" si="224"/>
        <v>-0.0260906026801951-0.0705297207861441i</v>
      </c>
      <c r="Q395" s="337">
        <f t="shared" si="233"/>
        <v>7.5200804931777498E-2</v>
      </c>
      <c r="R395" s="339">
        <f t="shared" si="234"/>
        <v>-1.9251089748724655</v>
      </c>
      <c r="S395" s="731" t="str">
        <f t="shared" si="211"/>
        <v>6000</v>
      </c>
      <c r="T395" s="337" t="str">
        <f t="shared" si="212"/>
        <v>1+222602.416938718i</v>
      </c>
      <c r="U395" s="346">
        <f t="shared" si="235"/>
        <v>222602.41694096421</v>
      </c>
      <c r="V395" s="347">
        <f t="shared" si="236"/>
        <v>1.5707918344806902</v>
      </c>
      <c r="W395" s="340" t="str">
        <f t="shared" si="213"/>
        <v>1+2203.98432612592i</v>
      </c>
      <c r="X395" s="337">
        <f t="shared" si="237"/>
        <v>2203.9845529877753</v>
      </c>
      <c r="Y395" s="339">
        <f t="shared" si="238"/>
        <v>1.5703426030911822</v>
      </c>
      <c r="Z395" s="337" t="str">
        <f t="shared" si="214"/>
        <v>1+22.2017394151054i</v>
      </c>
      <c r="AA395" s="346">
        <f t="shared" si="239"/>
        <v>22.224248762472147</v>
      </c>
      <c r="AB395" s="347">
        <f t="shared" si="240"/>
        <v>1.5257852329689872</v>
      </c>
      <c r="AC395" s="732" t="str">
        <f t="shared" si="241"/>
        <v>0.119075502175313-2.67037028510629i</v>
      </c>
      <c r="AD395" s="337">
        <f t="shared" si="242"/>
        <v>2.6730238373042901</v>
      </c>
      <c r="AE395" s="339">
        <f t="shared" si="243"/>
        <v>-1.5262344643584951</v>
      </c>
      <c r="AF395" s="736" t="str">
        <f t="shared" si="215"/>
        <v>-0.191447222220363+0.0612732081968128i</v>
      </c>
      <c r="AG395" s="337">
        <f t="shared" si="244"/>
        <v>-13.935493582051343</v>
      </c>
      <c r="AH395" s="730">
        <f t="shared" si="245"/>
        <v>162.25258728189959</v>
      </c>
      <c r="AI395" s="360">
        <f t="shared" si="216"/>
        <v>-17.747412718100406</v>
      </c>
      <c r="AL395" s="337">
        <f t="shared" si="217"/>
        <v>8.5400566338928581</v>
      </c>
      <c r="AM395" s="730">
        <f t="shared" si="218"/>
        <v>-87.446793355151641</v>
      </c>
      <c r="AN395" s="351"/>
      <c r="AO395" s="337">
        <f t="shared" si="219"/>
        <v>30.796380982795238</v>
      </c>
      <c r="AP395" s="730">
        <f t="shared" si="220"/>
        <v>-110.30061936294877</v>
      </c>
      <c r="AS395" s="351"/>
      <c r="AT395" s="351"/>
      <c r="AV395" s="405">
        <f t="shared" si="221"/>
        <v>0</v>
      </c>
      <c r="AW395" s="405">
        <f t="shared" si="246"/>
        <v>0</v>
      </c>
      <c r="AX395" s="405">
        <f t="shared" si="222"/>
        <v>0</v>
      </c>
      <c r="AY395" s="405">
        <f t="shared" si="223"/>
        <v>0</v>
      </c>
    </row>
    <row r="396" spans="2:51" ht="13.5" thickBot="1" x14ac:dyDescent="0.25">
      <c r="B396" s="345">
        <v>35279.25</v>
      </c>
      <c r="C396" s="728" t="str">
        <f t="shared" si="206"/>
        <v>2.16217503399043</v>
      </c>
      <c r="D396" s="728" t="str">
        <f t="shared" si="207"/>
        <v>1+26.9693712718783i</v>
      </c>
      <c r="E396" s="337">
        <f t="shared" si="225"/>
        <v>26.987904453669881</v>
      </c>
      <c r="F396" s="338">
        <f t="shared" si="226"/>
        <v>1.5337342061743822</v>
      </c>
      <c r="G396" s="338" t="str">
        <f t="shared" si="208"/>
        <v>1+0.110833032624158i</v>
      </c>
      <c r="H396" s="337">
        <f t="shared" si="227"/>
        <v>1.006123233565684</v>
      </c>
      <c r="I396" s="338">
        <f t="shared" si="228"/>
        <v>0.11038252551097802</v>
      </c>
      <c r="J396" s="340">
        <f t="shared" si="209"/>
        <v>1</v>
      </c>
      <c r="K396" s="338">
        <f t="shared" si="229"/>
        <v>1</v>
      </c>
      <c r="L396" s="339">
        <f t="shared" si="230"/>
        <v>0</v>
      </c>
      <c r="M396" s="731" t="str">
        <f t="shared" si="210"/>
        <v>0.944683311975+0.52105825061138i</v>
      </c>
      <c r="N396" s="338">
        <f t="shared" si="231"/>
        <v>1.0788550692536263</v>
      </c>
      <c r="O396" s="339">
        <f t="shared" si="232"/>
        <v>0.50404719860529712</v>
      </c>
      <c r="P396" s="732" t="str">
        <f t="shared" si="224"/>
        <v>-0.0260825669838883-0.0700148640181731i</v>
      </c>
      <c r="Q396" s="337">
        <f t="shared" si="233"/>
        <v>7.4715336337008414E-2</v>
      </c>
      <c r="R396" s="339">
        <f t="shared" si="234"/>
        <v>-1.9273988792687002</v>
      </c>
      <c r="S396" s="731" t="str">
        <f t="shared" si="211"/>
        <v>6000</v>
      </c>
      <c r="T396" s="337" t="str">
        <f t="shared" si="212"/>
        <v>1+223882.725900798i</v>
      </c>
      <c r="U396" s="346">
        <f t="shared" si="235"/>
        <v>223882.7259030313</v>
      </c>
      <c r="V396" s="347">
        <f t="shared" si="236"/>
        <v>1.5707918601707032</v>
      </c>
      <c r="W396" s="340" t="str">
        <f t="shared" si="213"/>
        <v>1+2216.66065248315i</v>
      </c>
      <c r="X396" s="337">
        <f t="shared" si="237"/>
        <v>2216.6608780476604</v>
      </c>
      <c r="Y396" s="339">
        <f t="shared" si="238"/>
        <v>1.5703451977819642</v>
      </c>
      <c r="Z396" s="337" t="str">
        <f t="shared" si="214"/>
        <v>1+22.3294338325238i</v>
      </c>
      <c r="AA396" s="346">
        <f t="shared" si="239"/>
        <v>22.35181458586883</v>
      </c>
      <c r="AB396" s="347">
        <f t="shared" si="240"/>
        <v>1.5260422915110405</v>
      </c>
      <c r="AC396" s="732" t="str">
        <f t="shared" si="241"/>
        <v>0.117720210100481-2.65516004333806i</v>
      </c>
      <c r="AD396" s="337">
        <f t="shared" si="242"/>
        <v>2.6577684066910483</v>
      </c>
      <c r="AE396" s="339">
        <f t="shared" si="243"/>
        <v>-1.5264889538997795</v>
      </c>
      <c r="AF396" s="736" t="str">
        <f t="shared" si="215"/>
        <v>-0.188971114646104+0.0610112251809328i</v>
      </c>
      <c r="AG396" s="337">
        <f t="shared" si="244"/>
        <v>-14.041462192113073</v>
      </c>
      <c r="AH396" s="730">
        <f t="shared" si="245"/>
        <v>162.10680424786111</v>
      </c>
      <c r="AI396" s="360">
        <f t="shared" si="216"/>
        <v>-17.893195752138894</v>
      </c>
      <c r="AL396" s="337">
        <f t="shared" si="217"/>
        <v>8.4903426918169895</v>
      </c>
      <c r="AM396" s="730">
        <f t="shared" si="218"/>
        <v>-87.461374531797446</v>
      </c>
      <c r="AN396" s="351"/>
      <c r="AO396" s="337">
        <f t="shared" si="219"/>
        <v>30.740126314809395</v>
      </c>
      <c r="AP396" s="730">
        <f t="shared" si="220"/>
        <v>-110.43182122034145</v>
      </c>
      <c r="AS396" s="351"/>
      <c r="AT396" s="351"/>
      <c r="AV396" s="405">
        <f t="shared" si="221"/>
        <v>0</v>
      </c>
      <c r="AW396" s="405">
        <f t="shared" si="246"/>
        <v>0</v>
      </c>
      <c r="AX396" s="405">
        <f t="shared" si="222"/>
        <v>0</v>
      </c>
      <c r="AY396" s="405">
        <f t="shared" si="223"/>
        <v>0</v>
      </c>
    </row>
    <row r="397" spans="2:51" ht="13.5" thickBot="1" x14ac:dyDescent="0.25">
      <c r="B397" s="345">
        <v>35481</v>
      </c>
      <c r="C397" s="728" t="str">
        <f t="shared" ref="C397:C460" si="247">COMPLEX(Am*Afb,0)</f>
        <v>2.16217503399043</v>
      </c>
      <c r="D397" s="728" t="str">
        <f t="shared" ref="D397:D460" si="248">IMSUM(COMPLEX(1,0),IMDIV(COMPLEX(0,2*PI()*B397),COMPLEX(2*PI()*PS_Pole1,0)))</f>
        <v>1+27.1235999092247i</v>
      </c>
      <c r="E397" s="337">
        <f t="shared" si="225"/>
        <v>27.142027780467952</v>
      </c>
      <c r="F397" s="338">
        <f t="shared" si="226"/>
        <v>1.533944755362006</v>
      </c>
      <c r="G397" s="338" t="str">
        <f t="shared" ref="G397:G460" si="249">IMSUM(COMPLEX(1,0),IMDIV(COMPLEX(0,2*PI()*B397),COMPLEX(2*PI()*PS_Zero1,0)))</f>
        <v>1+0.111466848942019i</v>
      </c>
      <c r="H397" s="337">
        <f t="shared" si="227"/>
        <v>1.0061932510273872</v>
      </c>
      <c r="I397" s="338">
        <f t="shared" si="228"/>
        <v>0.11100860700446273</v>
      </c>
      <c r="J397" s="340">
        <f t="shared" ref="J397:J460" si="250">IF(VIN_nom&gt;Vout, 1,IMSUB(COMPLEX(1,0),IMDIV(COMPLEX(0,2*PI()*B397),COMPLEX(2*PI()*PS_RHPZ,0))))</f>
        <v>1</v>
      </c>
      <c r="K397" s="338">
        <f t="shared" si="229"/>
        <v>1</v>
      </c>
      <c r="L397" s="339">
        <f t="shared" si="230"/>
        <v>0</v>
      </c>
      <c r="M397" s="731" t="str">
        <f t="shared" ref="M397:M460" si="251">IMSUM(COMPLEX(1,0),IMDIV(COMPLEX(0,2*PI()*B397),COMPLEX(Q*(2*PI()*PS_Pole2/2),0)),IMDIV(IMPOWER(COMPLEX(0,2*PI()*B397),2),IMPOWER(COMPLEX(2*PI()*PS_Pole2/2,0),2)))</f>
        <v>0.9440488284+0.524038005057999i</v>
      </c>
      <c r="N397" s="338">
        <f t="shared" si="231"/>
        <v>1.0797425717033575</v>
      </c>
      <c r="O397" s="339">
        <f t="shared" si="232"/>
        <v>0.50674749005616104</v>
      </c>
      <c r="P397" s="732" t="str">
        <f t="shared" si="224"/>
        <v>-0.0260738172946952-0.0695055189207081i</v>
      </c>
      <c r="Q397" s="337">
        <f t="shared" si="233"/>
        <v>7.4235174336388918E-2</v>
      </c>
      <c r="R397" s="339">
        <f t="shared" si="234"/>
        <v>-1.9296836384137033</v>
      </c>
      <c r="S397" s="731" t="str">
        <f t="shared" ref="S397:S460" si="252">COMPLEX(AEA,0)</f>
        <v>6000</v>
      </c>
      <c r="T397" s="337" t="str">
        <f t="shared" ref="T397:T460" si="253">IMSUM(COMPLEX(1,0),IMDIV(COMPLEX(0,2*PI()*B397),COMPLEX(2*PI()*EA_Pole1,0)))</f>
        <v>1+225163.034862879i</v>
      </c>
      <c r="U397" s="346">
        <f t="shared" si="235"/>
        <v>225163.03486509962</v>
      </c>
      <c r="V397" s="347">
        <f t="shared" si="236"/>
        <v>1.5707918855685621</v>
      </c>
      <c r="W397" s="340" t="str">
        <f t="shared" ref="W397:W460" si="254">IMSUM(COMPLEX(1,0),IMDIV(COMPLEX(0,2*PI()*B397),COMPLEX(2*PI()*EA_Zero1,0)))</f>
        <v>1+2229.33697884039i</v>
      </c>
      <c r="X397" s="337">
        <f t="shared" si="237"/>
        <v>2229.3372031223089</v>
      </c>
      <c r="Y397" s="339">
        <f t="shared" si="238"/>
        <v>1.5703477629651923</v>
      </c>
      <c r="Z397" s="337" t="str">
        <f t="shared" ref="Z397:Z460" si="255">IMSUM(COMPLEX(1,0),IMDIV(COMPLEX(0,2*PI()*B397),COMPLEX(2*PI()*EA_Pole2,0)))</f>
        <v>1+22.4571282499424i</v>
      </c>
      <c r="AA397" s="346">
        <f t="shared" si="239"/>
        <v>22.479381869490119</v>
      </c>
      <c r="AB397" s="347">
        <f t="shared" si="240"/>
        <v>1.526296432528657</v>
      </c>
      <c r="AC397" s="732" t="str">
        <f t="shared" si="241"/>
        <v>0.116387910379892-2.64012175292301i</v>
      </c>
      <c r="AD397" s="337">
        <f t="shared" si="242"/>
        <v>2.6426859472778572</v>
      </c>
      <c r="AE397" s="339">
        <f t="shared" si="243"/>
        <v>-1.5267405551320268</v>
      </c>
      <c r="AF397" s="736" t="str">
        <f t="shared" ref="AF397:AF460" si="256">IMPRODUCT(P397,AC397)</f>
        <v>-0.18653770956132+0.0607484501144137i</v>
      </c>
      <c r="AG397" s="337">
        <f t="shared" si="244"/>
        <v>-14.146894238168269</v>
      </c>
      <c r="AH397" s="730">
        <f t="shared" si="245"/>
        <v>161.96148150292049</v>
      </c>
      <c r="AI397" s="360">
        <f t="shared" ref="AI397:AI460" si="257">IF(AH397&gt;0,AH397-180,AH397+180)</f>
        <v>-18.038518497079508</v>
      </c>
      <c r="AL397" s="337">
        <f t="shared" ref="AL397:AL460" si="258">20*LOG10(IMABS(AC397))</f>
        <v>8.4409111062346458</v>
      </c>
      <c r="AM397" s="730">
        <f t="shared" ref="AM397:AM460" si="259">(180/PI())*IMARGUMENT(AC397)</f>
        <v>-87.475790220525511</v>
      </c>
      <c r="AN397" s="351"/>
      <c r="AO397" s="337">
        <f t="shared" ref="AO397:AO460" si="260">20*LOG10(IMABS(IMPRODUCT(COMPLEX(Am/Afb,0),P397)))</f>
        <v>30.684125854336514</v>
      </c>
      <c r="AP397" s="730">
        <f t="shared" ref="AP397:AP460" si="261">180/PI()*IMARGUMENT(IMPRODUCT(COMPLEX(Am/Afb,0),P397))</f>
        <v>-110.56272827655408</v>
      </c>
      <c r="AS397" s="351"/>
      <c r="AT397" s="351"/>
      <c r="AV397" s="405">
        <f t="shared" ref="AV397:AV460" si="262">SUM((AG398&lt;0)*(AG397&gt;0))*B397</f>
        <v>0</v>
      </c>
      <c r="AW397" s="405">
        <f t="shared" si="246"/>
        <v>0</v>
      </c>
      <c r="AX397" s="405">
        <f t="shared" ref="AX397:AX460" si="263">SUM((AL398&lt;0)*(AL397&gt;0))*B397</f>
        <v>0</v>
      </c>
      <c r="AY397" s="405">
        <f t="shared" ref="AY397:AY460" si="264">IF(AX397&gt;0,AM397,0)</f>
        <v>0</v>
      </c>
    </row>
    <row r="398" spans="2:51" ht="13.5" thickBot="1" x14ac:dyDescent="0.25">
      <c r="B398" s="345">
        <v>35687.75</v>
      </c>
      <c r="C398" s="728" t="str">
        <f t="shared" si="247"/>
        <v>2.16217503399043</v>
      </c>
      <c r="D398" s="728" t="str">
        <f t="shared" si="248"/>
        <v>1+27.2816508176329i</v>
      </c>
      <c r="E398" s="337">
        <f t="shared" si="225"/>
        <v>27.299972002462749</v>
      </c>
      <c r="F398" s="338">
        <f t="shared" si="226"/>
        <v>1.5341580561732966</v>
      </c>
      <c r="G398" s="338" t="str">
        <f t="shared" si="249"/>
        <v>1+0.112116373223149i</v>
      </c>
      <c r="H398" s="337">
        <f t="shared" si="227"/>
        <v>1.006265412873121</v>
      </c>
      <c r="I398" s="338">
        <f t="shared" si="228"/>
        <v>0.11165011411607266</v>
      </c>
      <c r="J398" s="340">
        <f t="shared" si="250"/>
        <v>1</v>
      </c>
      <c r="K398" s="338">
        <f t="shared" si="229"/>
        <v>1</v>
      </c>
      <c r="L398" s="339">
        <f t="shared" si="230"/>
        <v>0</v>
      </c>
      <c r="M398" s="731" t="str">
        <f t="shared" si="251"/>
        <v>0.943394866663889+0.527091607198461i</v>
      </c>
      <c r="N398" s="338">
        <f t="shared" si="231"/>
        <v>1.0806569468739069</v>
      </c>
      <c r="O398" s="339">
        <f t="shared" si="232"/>
        <v>0.50951177517962309</v>
      </c>
      <c r="P398" s="732" t="str">
        <f t="shared" ref="P398:P461" si="265">(IMDIV(IMPRODUCT(C398,G398,J398),IMPRODUCT(D398,M398)))</f>
        <v>-0.0260641255151417-0.0689891759517044i</v>
      </c>
      <c r="Q398" s="337">
        <f t="shared" si="233"/>
        <v>7.3748525662309258E-2</v>
      </c>
      <c r="R398" s="339">
        <f t="shared" si="234"/>
        <v>-1.9320197172368461</v>
      </c>
      <c r="S398" s="731" t="str">
        <f t="shared" si="252"/>
        <v>6000</v>
      </c>
      <c r="T398" s="337" t="str">
        <f t="shared" si="253"/>
        <v>1+226475.073910761i</v>
      </c>
      <c r="U398" s="346">
        <f t="shared" si="235"/>
        <v>226475.07391296874</v>
      </c>
      <c r="V398" s="347">
        <f t="shared" si="236"/>
        <v>1.5707919112979383</v>
      </c>
      <c r="W398" s="340" t="str">
        <f t="shared" si="254"/>
        <v>1+2242.32746446298i</v>
      </c>
      <c r="X398" s="337">
        <f t="shared" si="237"/>
        <v>2242.3276874455651</v>
      </c>
      <c r="Y398" s="339">
        <f t="shared" si="238"/>
        <v>1.5703503616316663</v>
      </c>
      <c r="Z398" s="337" t="str">
        <f t="shared" si="255"/>
        <v>1+22.5879873369375i</v>
      </c>
      <c r="AA398" s="346">
        <f t="shared" si="239"/>
        <v>22.610112161014342</v>
      </c>
      <c r="AB398" s="347">
        <f t="shared" si="240"/>
        <v>1.5265538967045784</v>
      </c>
      <c r="AC398" s="732" t="str">
        <f t="shared" si="241"/>
        <v>0.115045905701269-2.62488613614649i</v>
      </c>
      <c r="AD398" s="337">
        <f t="shared" si="242"/>
        <v>2.6274060950208433</v>
      </c>
      <c r="AE398" s="339">
        <f t="shared" si="243"/>
        <v>-1.5269954463708504</v>
      </c>
      <c r="AF398" s="736" t="str">
        <f t="shared" si="256"/>
        <v>-0.184087302426001+0.0604784394845294i</v>
      </c>
      <c r="AG398" s="337">
        <f t="shared" si="244"/>
        <v>-14.254389087573923</v>
      </c>
      <c r="AH398" s="730">
        <f t="shared" si="245"/>
        <v>161.81302985352505</v>
      </c>
      <c r="AI398" s="360">
        <f t="shared" si="257"/>
        <v>-18.186970146474948</v>
      </c>
      <c r="AL398" s="337">
        <f t="shared" si="258"/>
        <v>8.3905440609471338</v>
      </c>
      <c r="AM398" s="730">
        <f t="shared" si="259"/>
        <v>-87.490394412744962</v>
      </c>
      <c r="AN398" s="351"/>
      <c r="AO398" s="337">
        <f t="shared" si="260"/>
        <v>30.626998050218361</v>
      </c>
      <c r="AP398" s="730">
        <f t="shared" si="261"/>
        <v>-110.69657573372992</v>
      </c>
      <c r="AS398" s="351"/>
      <c r="AT398" s="351"/>
      <c r="AV398" s="405">
        <f t="shared" si="262"/>
        <v>0</v>
      </c>
      <c r="AW398" s="405">
        <f t="shared" si="246"/>
        <v>0</v>
      </c>
      <c r="AX398" s="405">
        <f t="shared" si="263"/>
        <v>0</v>
      </c>
      <c r="AY398" s="405">
        <f t="shared" si="264"/>
        <v>0</v>
      </c>
    </row>
    <row r="399" spans="2:51" ht="13.5" thickBot="1" x14ac:dyDescent="0.25">
      <c r="B399" s="345">
        <v>35894.5</v>
      </c>
      <c r="C399" s="728" t="str">
        <f t="shared" si="247"/>
        <v>2.16217503399043</v>
      </c>
      <c r="D399" s="728" t="str">
        <f t="shared" si="248"/>
        <v>1+27.4397017260412i</v>
      </c>
      <c r="E399" s="337">
        <f t="shared" si="225"/>
        <v>27.457917452241499</v>
      </c>
      <c r="F399" s="338">
        <f t="shared" si="226"/>
        <v>1.5343689030648977</v>
      </c>
      <c r="G399" s="338" t="str">
        <f t="shared" si="249"/>
        <v>1+0.112765897504279i</v>
      </c>
      <c r="H399" s="337">
        <f t="shared" si="227"/>
        <v>1.0063379887691539</v>
      </c>
      <c r="I399" s="338">
        <f t="shared" si="228"/>
        <v>0.11229152896215705</v>
      </c>
      <c r="J399" s="340">
        <f t="shared" si="250"/>
        <v>1</v>
      </c>
      <c r="K399" s="338">
        <f t="shared" si="229"/>
        <v>1</v>
      </c>
      <c r="L399" s="339">
        <f t="shared" si="230"/>
        <v>0</v>
      </c>
      <c r="M399" s="731" t="str">
        <f t="shared" si="251"/>
        <v>0.942737105322222+0.530145209338924i</v>
      </c>
      <c r="N399" s="338">
        <f t="shared" si="231"/>
        <v>1.0815762537779452</v>
      </c>
      <c r="O399" s="339">
        <f t="shared" si="232"/>
        <v>0.51227308726801601</v>
      </c>
      <c r="P399" s="732" t="str">
        <f t="shared" si="265"/>
        <v>-0.0260537150370296-0.0684784344120067i</v>
      </c>
      <c r="Q399" s="337">
        <f t="shared" si="233"/>
        <v>7.3267264496159848E-2</v>
      </c>
      <c r="R399" s="339">
        <f t="shared" si="234"/>
        <v>-1.9343504613707554</v>
      </c>
      <c r="S399" s="731" t="str">
        <f t="shared" si="252"/>
        <v>6000</v>
      </c>
      <c r="T399" s="337" t="str">
        <f t="shared" si="253"/>
        <v>1+227787.112958644i</v>
      </c>
      <c r="U399" s="346">
        <f t="shared" si="235"/>
        <v>227787.112960839</v>
      </c>
      <c r="V399" s="347">
        <f t="shared" si="236"/>
        <v>1.5707919367309153</v>
      </c>
      <c r="W399" s="340" t="str">
        <f t="shared" si="254"/>
        <v>1+2255.31795008558i</v>
      </c>
      <c r="X399" s="337">
        <f t="shared" si="237"/>
        <v>2255.3181717838002</v>
      </c>
      <c r="Y399" s="339">
        <f t="shared" si="238"/>
        <v>1.5703529303618444</v>
      </c>
      <c r="Z399" s="337" t="str">
        <f t="shared" si="255"/>
        <v>1+22.7188464239327i</v>
      </c>
      <c r="AA399" s="346">
        <f t="shared" si="239"/>
        <v>22.740843934081244</v>
      </c>
      <c r="AB399" s="347">
        <f t="shared" si="240"/>
        <v>1.5268084006950007</v>
      </c>
      <c r="AC399" s="732" t="str">
        <f t="shared" si="241"/>
        <v>0.113726963963807-2.60982501656098i</v>
      </c>
      <c r="AD399" s="337">
        <f t="shared" si="242"/>
        <v>2.6123017512148068</v>
      </c>
      <c r="AE399" s="339">
        <f t="shared" si="243"/>
        <v>-1.5272474070640716</v>
      </c>
      <c r="AF399" s="736" t="str">
        <f t="shared" si="256"/>
        <v>-0.181679741134525+0.0602077928353186i</v>
      </c>
      <c r="AG399" s="337">
        <f t="shared" si="244"/>
        <v>-14.361333627994636</v>
      </c>
      <c r="AH399" s="730">
        <f t="shared" si="245"/>
        <v>161.66505176720241</v>
      </c>
      <c r="AI399" s="360">
        <f t="shared" si="257"/>
        <v>-18.334948232797586</v>
      </c>
      <c r="AL399" s="337">
        <f t="shared" si="258"/>
        <v>8.3404668312213062</v>
      </c>
      <c r="AM399" s="730">
        <f t="shared" si="259"/>
        <v>-87.504830697069735</v>
      </c>
      <c r="AN399" s="351"/>
      <c r="AO399" s="337">
        <f t="shared" si="260"/>
        <v>30.570130739523496</v>
      </c>
      <c r="AP399" s="730">
        <f t="shared" si="261"/>
        <v>-110.83011753572789</v>
      </c>
      <c r="AS399" s="351"/>
      <c r="AT399" s="351"/>
      <c r="AV399" s="405">
        <f t="shared" si="262"/>
        <v>0</v>
      </c>
      <c r="AW399" s="405">
        <f t="shared" si="246"/>
        <v>0</v>
      </c>
      <c r="AX399" s="405">
        <f t="shared" si="263"/>
        <v>0</v>
      </c>
      <c r="AY399" s="405">
        <f t="shared" si="264"/>
        <v>0</v>
      </c>
    </row>
    <row r="400" spans="2:51" ht="13.5" thickBot="1" x14ac:dyDescent="0.25">
      <c r="B400" s="345">
        <v>36101.25</v>
      </c>
      <c r="C400" s="728" t="str">
        <f t="shared" si="247"/>
        <v>2.16217503399043</v>
      </c>
      <c r="D400" s="728" t="str">
        <f t="shared" si="248"/>
        <v>1+27.5977526344494i</v>
      </c>
      <c r="E400" s="337">
        <f t="shared" si="225"/>
        <v>27.615864108737551</v>
      </c>
      <c r="F400" s="338">
        <f t="shared" si="226"/>
        <v>1.5345773381228729</v>
      </c>
      <c r="G400" s="338" t="str">
        <f t="shared" si="249"/>
        <v>1+0.113415421785409i</v>
      </c>
      <c r="H400" s="337">
        <f t="shared" si="227"/>
        <v>1.0064109786259101</v>
      </c>
      <c r="I400" s="338">
        <f t="shared" si="228"/>
        <v>0.11293285103496124</v>
      </c>
      <c r="J400" s="340">
        <f t="shared" si="250"/>
        <v>1</v>
      </c>
      <c r="K400" s="338">
        <f t="shared" si="229"/>
        <v>1</v>
      </c>
      <c r="L400" s="339">
        <f t="shared" si="230"/>
        <v>0</v>
      </c>
      <c r="M400" s="731" t="str">
        <f t="shared" si="251"/>
        <v>0.942075544375+0.533198811479386i</v>
      </c>
      <c r="N400" s="338">
        <f t="shared" si="231"/>
        <v>1.0825004867770187</v>
      </c>
      <c r="O400" s="339">
        <f t="shared" si="232"/>
        <v>0.51503141720448009</v>
      </c>
      <c r="P400" s="732" t="str">
        <f t="shared" si="265"/>
        <v>-0.0260426010137861-0.0679732029269249i</v>
      </c>
      <c r="Q400" s="337">
        <f t="shared" si="233"/>
        <v>7.2791300192455444E-2</v>
      </c>
      <c r="R400" s="339">
        <f t="shared" si="234"/>
        <v>-1.9366759042923911</v>
      </c>
      <c r="S400" s="731" t="str">
        <f t="shared" si="252"/>
        <v>6000</v>
      </c>
      <c r="T400" s="337" t="str">
        <f t="shared" si="253"/>
        <v>1+229099.152006525i</v>
      </c>
      <c r="U400" s="346">
        <f t="shared" si="235"/>
        <v>229099.15200870743</v>
      </c>
      <c r="V400" s="347">
        <f t="shared" si="236"/>
        <v>1.5707919618725859</v>
      </c>
      <c r="W400" s="340" t="str">
        <f t="shared" si="254"/>
        <v>1+2268.30843570817i</v>
      </c>
      <c r="X400" s="337">
        <f t="shared" si="237"/>
        <v>2268.3086561367354</v>
      </c>
      <c r="Y400" s="339">
        <f t="shared" si="238"/>
        <v>1.5703554696700572</v>
      </c>
      <c r="Z400" s="337" t="str">
        <f t="shared" si="255"/>
        <v>1+22.8497055109279i</v>
      </c>
      <c r="AA400" s="346">
        <f t="shared" si="239"/>
        <v>22.871577163285632</v>
      </c>
      <c r="AB400" s="347">
        <f t="shared" si="240"/>
        <v>1.5270599952276549</v>
      </c>
      <c r="AC400" s="732" t="str">
        <f t="shared" si="241"/>
        <v>0.112430560050787-2.59493541913855i</v>
      </c>
      <c r="AD400" s="337">
        <f t="shared" si="242"/>
        <v>2.5973699121097669</v>
      </c>
      <c r="AE400" s="339">
        <f t="shared" si="243"/>
        <v>-1.5274964874301833</v>
      </c>
      <c r="AF400" s="736" t="str">
        <f t="shared" si="256"/>
        <v>-0.179314056044529+0.0599366025036471i</v>
      </c>
      <c r="AG400" s="337">
        <f t="shared" si="244"/>
        <v>-14.467734357023289</v>
      </c>
      <c r="AH400" s="730">
        <f t="shared" si="245"/>
        <v>161.51754244855636</v>
      </c>
      <c r="AI400" s="360">
        <f t="shared" si="257"/>
        <v>-18.482457551443645</v>
      </c>
      <c r="AL400" s="337">
        <f t="shared" si="258"/>
        <v>8.2906761073164308</v>
      </c>
      <c r="AM400" s="730">
        <f t="shared" si="259"/>
        <v>-87.51910195080751</v>
      </c>
      <c r="AN400" s="351"/>
      <c r="AO400" s="337">
        <f t="shared" si="260"/>
        <v>30.513520734399702</v>
      </c>
      <c r="AP400" s="730">
        <f t="shared" si="261"/>
        <v>-110.96335560063609</v>
      </c>
      <c r="AS400" s="351"/>
      <c r="AT400" s="351"/>
      <c r="AV400" s="405">
        <f t="shared" si="262"/>
        <v>0</v>
      </c>
      <c r="AW400" s="405">
        <f t="shared" si="246"/>
        <v>0</v>
      </c>
      <c r="AX400" s="405">
        <f t="shared" si="263"/>
        <v>0</v>
      </c>
      <c r="AY400" s="405">
        <f t="shared" si="264"/>
        <v>0</v>
      </c>
    </row>
    <row r="401" spans="2:51" ht="13.5" thickBot="1" x14ac:dyDescent="0.25">
      <c r="B401" s="345">
        <v>36308</v>
      </c>
      <c r="C401" s="728" t="str">
        <f t="shared" si="247"/>
        <v>2.16217503399043</v>
      </c>
      <c r="D401" s="728" t="str">
        <f t="shared" si="248"/>
        <v>1+27.7558035428576i</v>
      </c>
      <c r="E401" s="337">
        <f t="shared" ref="E401:E464" si="266">IMABS(D401)</f>
        <v>27.77381195136358</v>
      </c>
      <c r="F401" s="338">
        <f t="shared" ref="F401:F464" si="267">IMARGUMENT(D401)</f>
        <v>1.534783402476773</v>
      </c>
      <c r="G401" s="338" t="str">
        <f t="shared" si="249"/>
        <v>1+0.114064946066538i</v>
      </c>
      <c r="H401" s="337">
        <f t="shared" ref="H401:H464" si="268">IMABS(G401)</f>
        <v>1.0064843823533292</v>
      </c>
      <c r="I401" s="338">
        <f t="shared" ref="I401:I464" si="269">IMARGUMENT(G401)</f>
        <v>0.11357407982718168</v>
      </c>
      <c r="J401" s="340">
        <f t="shared" si="250"/>
        <v>1</v>
      </c>
      <c r="K401" s="338">
        <f t="shared" ref="K401:K464" si="270">IMABS(J401)</f>
        <v>1</v>
      </c>
      <c r="L401" s="339">
        <f t="shared" ref="L401:L464" si="271">IMARGUMENT(J401)</f>
        <v>0</v>
      </c>
      <c r="M401" s="731" t="str">
        <f t="shared" si="251"/>
        <v>0.941410183822222+0.536252413619847i</v>
      </c>
      <c r="N401" s="338">
        <f t="shared" ref="N401:N464" si="272">IMABS(M401)</f>
        <v>1.0834296402246437</v>
      </c>
      <c r="O401" s="339">
        <f t="shared" ref="O401:O464" si="273">IMARGUMENT(M401)</f>
        <v>0.51778675597751733</v>
      </c>
      <c r="P401" s="732" t="str">
        <f t="shared" si="265"/>
        <v>-0.0260307982138483-0.0674733921805788i</v>
      </c>
      <c r="Q401" s="337">
        <f t="shared" ref="Q401:Q464" si="274">IMABS(P401)</f>
        <v>7.2320544162805353E-2</v>
      </c>
      <c r="R401" s="339">
        <f t="shared" ref="R401:R464" si="275">IMARGUMENT(P401)</f>
        <v>-1.9389960786271097</v>
      </c>
      <c r="S401" s="731" t="str">
        <f t="shared" si="252"/>
        <v>6000</v>
      </c>
      <c r="T401" s="337" t="str">
        <f t="shared" si="253"/>
        <v>1+230411.191054407i</v>
      </c>
      <c r="U401" s="346">
        <f t="shared" ref="U401:U464" si="276">IMABS(T401)</f>
        <v>230411.19105657708</v>
      </c>
      <c r="V401" s="347">
        <f t="shared" ref="V401:V464" si="277">IMARGUMENT(T401)</f>
        <v>1.5707919867279259</v>
      </c>
      <c r="W401" s="340" t="str">
        <f t="shared" si="254"/>
        <v>1+2281.29892133076i</v>
      </c>
      <c r="X401" s="337">
        <f t="shared" ref="X401:X464" si="278">IMABS(W401)</f>
        <v>2281.2991405041316</v>
      </c>
      <c r="Y401" s="339">
        <f t="shared" ref="Y401:Y464" si="279">IMARGUMENT(W401)</f>
        <v>1.5703579800589207</v>
      </c>
      <c r="Z401" s="337" t="str">
        <f t="shared" si="255"/>
        <v>1+22.980564597923i</v>
      </c>
      <c r="AA401" s="346">
        <f t="shared" ref="AA401:AA464" si="280">IMABS(Z401)</f>
        <v>23.002311823799623</v>
      </c>
      <c r="AB401" s="347">
        <f t="shared" ref="AB401:AB464" si="281">IMARGUMENT(Z401)</f>
        <v>1.5273087298785115</v>
      </c>
      <c r="AC401" s="732" t="str">
        <f t="shared" ref="AC401:AC464" si="282">IMPRODUCT(S401,IMDIV(W401,IMPRODUCT(T401,Z401)))</f>
        <v>0.111156183696868-2.58021443596819i</v>
      </c>
      <c r="AD401" s="337">
        <f t="shared" ref="AD401:AD464" si="283">IMABS(AC401)</f>
        <v>2.5826076420456703</v>
      </c>
      <c r="AE401" s="339">
        <f t="shared" ref="AE401:AE464" si="284">IMARGUMENT(AC401)</f>
        <v>-1.5277427365475165</v>
      </c>
      <c r="AF401" s="736" t="str">
        <f t="shared" si="256"/>
        <v>-0.176989304736107+0.0596649565552711i</v>
      </c>
      <c r="AG401" s="337">
        <f t="shared" ref="AG401:AG464" si="285">20*LOG10(IMABS(AF401))</f>
        <v>-14.573597659250874</v>
      </c>
      <c r="AH401" s="730">
        <f t="shared" ref="AH401:AH464" si="286">(180/PI())*IMARGUMENT(AF401)</f>
        <v>161.37049721631035</v>
      </c>
      <c r="AI401" s="360">
        <f t="shared" si="257"/>
        <v>-18.629502783689645</v>
      </c>
      <c r="AL401" s="337">
        <f t="shared" si="258"/>
        <v>8.2411686357573899</v>
      </c>
      <c r="AM401" s="730">
        <f t="shared" si="259"/>
        <v>-87.533210985939519</v>
      </c>
      <c r="AN401" s="351"/>
      <c r="AO401" s="337">
        <f t="shared" si="260"/>
        <v>30.457164903731169</v>
      </c>
      <c r="AP401" s="730">
        <f t="shared" si="261"/>
        <v>-111.09629179775018</v>
      </c>
      <c r="AS401" s="351"/>
      <c r="AT401" s="351"/>
      <c r="AV401" s="405">
        <f t="shared" si="262"/>
        <v>0</v>
      </c>
      <c r="AW401" s="405">
        <f t="shared" si="246"/>
        <v>0</v>
      </c>
      <c r="AX401" s="405">
        <f t="shared" si="263"/>
        <v>0</v>
      </c>
      <c r="AY401" s="405">
        <f t="shared" si="264"/>
        <v>0</v>
      </c>
    </row>
    <row r="402" spans="2:51" ht="13.5" thickBot="1" x14ac:dyDescent="0.25">
      <c r="B402" s="345">
        <v>36519.5</v>
      </c>
      <c r="C402" s="728" t="str">
        <f t="shared" si="247"/>
        <v>2.16217503399043</v>
      </c>
      <c r="D402" s="728" t="str">
        <f t="shared" si="248"/>
        <v>1+27.9174856087746i</v>
      </c>
      <c r="E402" s="337">
        <f t="shared" si="266"/>
        <v>27.935389789944526</v>
      </c>
      <c r="F402" s="338">
        <f t="shared" si="267"/>
        <v>1.5349917899586256</v>
      </c>
      <c r="G402" s="338" t="str">
        <f t="shared" si="249"/>
        <v>1+0.114729392912772i</v>
      </c>
      <c r="H402" s="337">
        <f t="shared" si="268"/>
        <v>1.0065599006507926</v>
      </c>
      <c r="I402" s="338">
        <f t="shared" si="269"/>
        <v>0.11422994355061888</v>
      </c>
      <c r="J402" s="340">
        <f t="shared" si="250"/>
        <v>1</v>
      </c>
      <c r="K402" s="338">
        <f t="shared" si="270"/>
        <v>1</v>
      </c>
      <c r="L402" s="339">
        <f t="shared" si="271"/>
        <v>0</v>
      </c>
      <c r="M402" s="731" t="str">
        <f t="shared" si="251"/>
        <v>0.940725605322222+0.539376171069463i</v>
      </c>
      <c r="N402" s="338">
        <f t="shared" si="272"/>
        <v>1.0843852260273634</v>
      </c>
      <c r="O402" s="339">
        <f t="shared" si="273"/>
        <v>0.52060229325644236</v>
      </c>
      <c r="P402" s="732" t="str">
        <f t="shared" si="265"/>
        <v>-0.0260180265622371-0.0669676164296522i</v>
      </c>
      <c r="Q402" s="337">
        <f t="shared" si="274"/>
        <v>7.1844271563307666E-2</v>
      </c>
      <c r="R402" s="339">
        <f t="shared" si="275"/>
        <v>-1.9413641396644499</v>
      </c>
      <c r="S402" s="731" t="str">
        <f t="shared" si="252"/>
        <v>6000</v>
      </c>
      <c r="T402" s="337" t="str">
        <f t="shared" si="253"/>
        <v>1+231753.3736838i</v>
      </c>
      <c r="U402" s="346">
        <f t="shared" si="276"/>
        <v>231753.37368595749</v>
      </c>
      <c r="V402" s="347">
        <f t="shared" si="277"/>
        <v>1.5707920118631047</v>
      </c>
      <c r="W402" s="340" t="str">
        <f t="shared" si="254"/>
        <v>1+2294.58785825545i</v>
      </c>
      <c r="X402" s="337">
        <f t="shared" si="278"/>
        <v>2294.5880761594954</v>
      </c>
      <c r="Y402" s="339">
        <f t="shared" si="279"/>
        <v>1.5703605187115004</v>
      </c>
      <c r="Z402" s="337" t="str">
        <f t="shared" si="255"/>
        <v>1+23.114430121016i</v>
      </c>
      <c r="AA402" s="346">
        <f t="shared" si="280"/>
        <v>23.136051517476609</v>
      </c>
      <c r="AB402" s="347">
        <f t="shared" si="281"/>
        <v>1.5275602704334836</v>
      </c>
      <c r="AC402" s="732" t="str">
        <f t="shared" si="282"/>
        <v>0.109874804549344-2.56532674998563i</v>
      </c>
      <c r="AD402" s="337">
        <f t="shared" si="283"/>
        <v>2.5676786806114564</v>
      </c>
      <c r="AE402" s="339">
        <f t="shared" si="284"/>
        <v>-1.5279917635850879</v>
      </c>
      <c r="AF402" s="736" t="str">
        <f t="shared" si="256"/>
        <v>-0.174652543393049+0.0593866857556i</v>
      </c>
      <c r="AG402" s="337">
        <f t="shared" si="285"/>
        <v>-14.681343580934247</v>
      </c>
      <c r="AH402" s="730">
        <f t="shared" si="286"/>
        <v>161.22054911500388</v>
      </c>
      <c r="AI402" s="360">
        <f t="shared" si="257"/>
        <v>-18.779450884996123</v>
      </c>
      <c r="AL402" s="337">
        <f t="shared" si="258"/>
        <v>8.1908135034465808</v>
      </c>
      <c r="AM402" s="730">
        <f t="shared" si="259"/>
        <v>-87.547479184177007</v>
      </c>
      <c r="AN402" s="351"/>
      <c r="AO402" s="337">
        <f t="shared" si="260"/>
        <v>30.399774114358618</v>
      </c>
      <c r="AP402" s="730">
        <f t="shared" si="261"/>
        <v>-111.23197170081903</v>
      </c>
      <c r="AS402" s="351"/>
      <c r="AT402" s="351"/>
      <c r="AV402" s="405">
        <f t="shared" si="262"/>
        <v>0</v>
      </c>
      <c r="AW402" s="405">
        <f t="shared" si="246"/>
        <v>0</v>
      </c>
      <c r="AX402" s="405">
        <f t="shared" si="263"/>
        <v>0</v>
      </c>
      <c r="AY402" s="405">
        <f t="shared" si="264"/>
        <v>0</v>
      </c>
    </row>
    <row r="403" spans="2:51" ht="13.5" thickBot="1" x14ac:dyDescent="0.25">
      <c r="B403" s="345">
        <v>36731</v>
      </c>
      <c r="C403" s="728" t="str">
        <f t="shared" si="247"/>
        <v>2.16217503399043</v>
      </c>
      <c r="D403" s="728" t="str">
        <f t="shared" si="248"/>
        <v>1+28.0791676746916i</v>
      </c>
      <c r="E403" s="337">
        <f t="shared" si="266"/>
        <v>28.096968827676868</v>
      </c>
      <c r="F403" s="338">
        <f t="shared" si="267"/>
        <v>1.5351977806748676</v>
      </c>
      <c r="G403" s="338" t="str">
        <f t="shared" si="249"/>
        <v>1+0.115393839759006i</v>
      </c>
      <c r="H403" s="337">
        <f t="shared" si="268"/>
        <v>1.0066358518621952</v>
      </c>
      <c r="I403" s="338">
        <f t="shared" si="269"/>
        <v>0.11488570858556794</v>
      </c>
      <c r="J403" s="340">
        <f t="shared" si="250"/>
        <v>1</v>
      </c>
      <c r="K403" s="338">
        <f t="shared" si="270"/>
        <v>1</v>
      </c>
      <c r="L403" s="339">
        <f t="shared" si="271"/>
        <v>0</v>
      </c>
      <c r="M403" s="731" t="str">
        <f t="shared" si="251"/>
        <v>0.940037050622222+0.542499928519076i</v>
      </c>
      <c r="N403" s="338">
        <f t="shared" si="272"/>
        <v>1.0853459489884913</v>
      </c>
      <c r="O403" s="339">
        <f t="shared" si="273"/>
        <v>0.52341468161088056</v>
      </c>
      <c r="P403" s="732" t="str">
        <f t="shared" si="265"/>
        <v>-0.0260045642073148-0.0664673306241901i</v>
      </c>
      <c r="Q403" s="337">
        <f t="shared" si="274"/>
        <v>7.1373268104506449E-2</v>
      </c>
      <c r="R403" s="339">
        <f t="shared" si="275"/>
        <v>-1.9437267537001788</v>
      </c>
      <c r="S403" s="731" t="str">
        <f t="shared" si="252"/>
        <v>6000</v>
      </c>
      <c r="T403" s="337" t="str">
        <f t="shared" si="253"/>
        <v>1+233095.556313193i</v>
      </c>
      <c r="U403" s="346">
        <f t="shared" si="276"/>
        <v>233095.55631533804</v>
      </c>
      <c r="V403" s="347">
        <f t="shared" si="277"/>
        <v>1.5707920367088228</v>
      </c>
      <c r="W403" s="340" t="str">
        <f t="shared" si="254"/>
        <v>1+2307.87679518013i</v>
      </c>
      <c r="X403" s="337">
        <f t="shared" si="278"/>
        <v>2307.8770118294665</v>
      </c>
      <c r="Y403" s="339">
        <f t="shared" si="279"/>
        <v>1.5703630281285614</v>
      </c>
      <c r="Z403" s="337" t="str">
        <f t="shared" si="255"/>
        <v>1+23.248295644109i</v>
      </c>
      <c r="AA403" s="346">
        <f t="shared" si="280"/>
        <v>23.269792658205994</v>
      </c>
      <c r="AB403" s="347">
        <f t="shared" si="281"/>
        <v>1.5278089195884375</v>
      </c>
      <c r="AC403" s="732" t="str">
        <f t="shared" si="282"/>
        <v>0.108615441955048-2.5506095659303i</v>
      </c>
      <c r="AD403" s="337">
        <f t="shared" si="283"/>
        <v>2.55292116447928</v>
      </c>
      <c r="AE403" s="339">
        <f t="shared" si="284"/>
        <v>-1.5282379281686986</v>
      </c>
      <c r="AF403" s="736" t="str">
        <f t="shared" si="256"/>
        <v>-0.172356706546137+0.0591081117337071i</v>
      </c>
      <c r="AG403" s="337">
        <f t="shared" si="285"/>
        <v>-14.78854026281356</v>
      </c>
      <c r="AH403" s="730">
        <f t="shared" si="286"/>
        <v>161.07107711043179</v>
      </c>
      <c r="AI403" s="360">
        <f t="shared" si="257"/>
        <v>-18.928922889568213</v>
      </c>
      <c r="AL403" s="337">
        <f t="shared" si="258"/>
        <v>8.1407480754797401</v>
      </c>
      <c r="AM403" s="730">
        <f t="shared" si="259"/>
        <v>-87.561583375883501</v>
      </c>
      <c r="AN403" s="351"/>
      <c r="AO403" s="337">
        <f t="shared" si="260"/>
        <v>30.342642860446144</v>
      </c>
      <c r="AP403" s="730">
        <f t="shared" si="261"/>
        <v>-111.3673395136847</v>
      </c>
      <c r="AS403" s="351"/>
      <c r="AT403" s="351"/>
      <c r="AV403" s="405">
        <f t="shared" si="262"/>
        <v>0</v>
      </c>
      <c r="AW403" s="405">
        <f t="shared" si="246"/>
        <v>0</v>
      </c>
      <c r="AX403" s="405">
        <f t="shared" si="263"/>
        <v>0</v>
      </c>
      <c r="AY403" s="405">
        <f t="shared" si="264"/>
        <v>0</v>
      </c>
    </row>
    <row r="404" spans="2:51" ht="13.5" thickBot="1" x14ac:dyDescent="0.25">
      <c r="B404" s="345">
        <v>36942.5</v>
      </c>
      <c r="C404" s="728" t="str">
        <f t="shared" si="247"/>
        <v>2.16217503399043</v>
      </c>
      <c r="D404" s="728" t="str">
        <f t="shared" si="248"/>
        <v>1+28.2408497406086i</v>
      </c>
      <c r="E404" s="337">
        <f t="shared" si="266"/>
        <v>28.25854904399079</v>
      </c>
      <c r="F404" s="338">
        <f t="shared" si="267"/>
        <v>1.5354014157214313</v>
      </c>
      <c r="G404" s="338" t="str">
        <f t="shared" si="249"/>
        <v>1+0.116058286605241i</v>
      </c>
      <c r="H404" s="337">
        <f t="shared" si="268"/>
        <v>1.0067122358895537</v>
      </c>
      <c r="I404" s="338">
        <f t="shared" si="269"/>
        <v>0.11554137439043626</v>
      </c>
      <c r="J404" s="340">
        <f t="shared" si="250"/>
        <v>1</v>
      </c>
      <c r="K404" s="338">
        <f t="shared" si="270"/>
        <v>1</v>
      </c>
      <c r="L404" s="339">
        <f t="shared" si="271"/>
        <v>0</v>
      </c>
      <c r="M404" s="731" t="str">
        <f t="shared" si="251"/>
        <v>0.939344519722222+0.545623685968691i</v>
      </c>
      <c r="N404" s="338">
        <f t="shared" si="272"/>
        <v>1.0863118030391792</v>
      </c>
      <c r="O404" s="339">
        <f t="shared" si="273"/>
        <v>0.52622391173477168</v>
      </c>
      <c r="P404" s="732" t="str">
        <f t="shared" si="265"/>
        <v>-0.025990425789935-0.0659724454651309i</v>
      </c>
      <c r="Q404" s="337">
        <f t="shared" si="274"/>
        <v>7.0907445260647961E-2</v>
      </c>
      <c r="R404" s="339">
        <f t="shared" si="275"/>
        <v>-1.9460839530657668</v>
      </c>
      <c r="S404" s="731" t="str">
        <f t="shared" si="252"/>
        <v>6000</v>
      </c>
      <c r="T404" s="337" t="str">
        <f t="shared" si="253"/>
        <v>1+234437.738942587i</v>
      </c>
      <c r="U404" s="346">
        <f t="shared" si="276"/>
        <v>234437.73894471975</v>
      </c>
      <c r="V404" s="347">
        <f t="shared" si="277"/>
        <v>1.5707920612700519</v>
      </c>
      <c r="W404" s="340" t="str">
        <f t="shared" si="254"/>
        <v>1+2321.16573210482i</v>
      </c>
      <c r="X404" s="337">
        <f t="shared" si="278"/>
        <v>2321.1659475138149</v>
      </c>
      <c r="Y404" s="339">
        <f t="shared" si="279"/>
        <v>1.5703655088122337</v>
      </c>
      <c r="Z404" s="337" t="str">
        <f t="shared" si="255"/>
        <v>1+23.3821611672021i</v>
      </c>
      <c r="AA404" s="346">
        <f t="shared" si="280"/>
        <v>23.403535221180018</v>
      </c>
      <c r="AB404" s="347">
        <f t="shared" si="281"/>
        <v>1.5280547268822104</v>
      </c>
      <c r="AC404" s="732" t="str">
        <f t="shared" si="282"/>
        <v>0.107377594710036-2.5360599768089i</v>
      </c>
      <c r="AD404" s="337">
        <f t="shared" si="283"/>
        <v>2.5383321598675126</v>
      </c>
      <c r="AE404" s="339">
        <f t="shared" si="284"/>
        <v>-1.5284812793400286</v>
      </c>
      <c r="AF404" s="736" t="str">
        <f t="shared" si="256"/>
        <v>-0.170100867923139+0.0588293161148912i</v>
      </c>
      <c r="AG404" s="337">
        <f t="shared" si="285"/>
        <v>-14.895194189048137</v>
      </c>
      <c r="AH404" s="730">
        <f t="shared" si="286"/>
        <v>160.92207654025589</v>
      </c>
      <c r="AI404" s="360">
        <f t="shared" si="257"/>
        <v>-19.077923459744113</v>
      </c>
      <c r="AL404" s="337">
        <f t="shared" si="258"/>
        <v>8.0909690435797046</v>
      </c>
      <c r="AM404" s="730">
        <f t="shared" si="259"/>
        <v>-87.575526370940267</v>
      </c>
      <c r="AN404" s="351"/>
      <c r="AO404" s="337">
        <f t="shared" si="260"/>
        <v>30.285767966111599</v>
      </c>
      <c r="AP404" s="730">
        <f t="shared" si="261"/>
        <v>-111.50239708880378</v>
      </c>
      <c r="AS404" s="351"/>
      <c r="AT404" s="351"/>
      <c r="AV404" s="405">
        <f t="shared" si="262"/>
        <v>0</v>
      </c>
      <c r="AW404" s="405">
        <f t="shared" si="246"/>
        <v>0</v>
      </c>
      <c r="AX404" s="405">
        <f t="shared" si="263"/>
        <v>0</v>
      </c>
      <c r="AY404" s="405">
        <f t="shared" si="264"/>
        <v>0</v>
      </c>
    </row>
    <row r="405" spans="2:51" ht="13.5" thickBot="1" x14ac:dyDescent="0.25">
      <c r="B405" s="345">
        <v>37154</v>
      </c>
      <c r="C405" s="728" t="str">
        <f t="shared" si="247"/>
        <v>2.16217503399043</v>
      </c>
      <c r="D405" s="728" t="str">
        <f t="shared" si="248"/>
        <v>1+28.4025318065256i</v>
      </c>
      <c r="E405" s="337">
        <f t="shared" si="266"/>
        <v>28.420130418784119</v>
      </c>
      <c r="F405" s="338">
        <f t="shared" si="267"/>
        <v>1.5356027352604456</v>
      </c>
      <c r="G405" s="338" t="str">
        <f t="shared" si="249"/>
        <v>1+0.116722733451475i</v>
      </c>
      <c r="H405" s="337">
        <f t="shared" si="268"/>
        <v>1.0067890526343561</v>
      </c>
      <c r="I405" s="338">
        <f t="shared" si="269"/>
        <v>0.11619694042413331</v>
      </c>
      <c r="J405" s="340">
        <f t="shared" si="250"/>
        <v>1</v>
      </c>
      <c r="K405" s="338">
        <f t="shared" si="270"/>
        <v>1</v>
      </c>
      <c r="L405" s="339">
        <f t="shared" si="271"/>
        <v>0</v>
      </c>
      <c r="M405" s="731" t="str">
        <f t="shared" si="251"/>
        <v>0.938648012622222+0.548747443418305i</v>
      </c>
      <c r="N405" s="338">
        <f t="shared" si="272"/>
        <v>1.0872827821030611</v>
      </c>
      <c r="O405" s="339">
        <f t="shared" si="273"/>
        <v>0.52902997443650213</v>
      </c>
      <c r="P405" s="732" t="str">
        <f t="shared" si="265"/>
        <v>-0.0259756255826489-0.0654828736633431i</v>
      </c>
      <c r="Q405" s="337">
        <f t="shared" si="274"/>
        <v>7.0446716514109567E-2</v>
      </c>
      <c r="R405" s="339">
        <f t="shared" si="275"/>
        <v>-1.9484357692728143</v>
      </c>
      <c r="S405" s="731" t="str">
        <f t="shared" si="252"/>
        <v>6000</v>
      </c>
      <c r="T405" s="337" t="str">
        <f t="shared" si="253"/>
        <v>1+235779.92157198i</v>
      </c>
      <c r="U405" s="346">
        <f t="shared" si="276"/>
        <v>235779.92157410065</v>
      </c>
      <c r="V405" s="347">
        <f t="shared" si="277"/>
        <v>1.5707920855516502</v>
      </c>
      <c r="W405" s="340" t="str">
        <f t="shared" si="254"/>
        <v>1+2334.4546690295i</v>
      </c>
      <c r="X405" s="337">
        <f t="shared" si="278"/>
        <v>2334.4548832122741</v>
      </c>
      <c r="Y405" s="339">
        <f t="shared" si="279"/>
        <v>1.5703679612532131</v>
      </c>
      <c r="Z405" s="337" t="str">
        <f t="shared" si="255"/>
        <v>1+23.516026690295i</v>
      </c>
      <c r="AA405" s="346">
        <f t="shared" si="280"/>
        <v>23.537279182154144</v>
      </c>
      <c r="AB405" s="347">
        <f t="shared" si="281"/>
        <v>1.5282977407290701</v>
      </c>
      <c r="AC405" s="732" t="str">
        <f t="shared" si="282"/>
        <v>0.106160775783385-2.52167514121801i</v>
      </c>
      <c r="AD405" s="337">
        <f t="shared" si="283"/>
        <v>2.5239087994917329</v>
      </c>
      <c r="AE405" s="339">
        <f t="shared" si="284"/>
        <v>-1.5287218650275072</v>
      </c>
      <c r="AF405" s="736" t="str">
        <f t="shared" si="256"/>
        <v>-0.167884127255685+0.0585503766407264i</v>
      </c>
      <c r="AG405" s="337">
        <f t="shared" si="285"/>
        <v>-15.001311730876516</v>
      </c>
      <c r="AH405" s="730">
        <f t="shared" si="286"/>
        <v>160.77354285289792</v>
      </c>
      <c r="AI405" s="360">
        <f t="shared" si="257"/>
        <v>-19.226457147102082</v>
      </c>
      <c r="AL405" s="337">
        <f t="shared" si="258"/>
        <v>8.0414731557122465</v>
      </c>
      <c r="AM405" s="730">
        <f t="shared" si="259"/>
        <v>-87.589310915444045</v>
      </c>
      <c r="AN405" s="351"/>
      <c r="AO405" s="337">
        <f t="shared" si="260"/>
        <v>30.229146312150661</v>
      </c>
      <c r="AP405" s="730">
        <f t="shared" si="261"/>
        <v>-111.63714623165814</v>
      </c>
      <c r="AS405" s="351"/>
      <c r="AT405" s="351"/>
      <c r="AV405" s="405">
        <f t="shared" si="262"/>
        <v>0</v>
      </c>
      <c r="AW405" s="405">
        <f t="shared" si="246"/>
        <v>0</v>
      </c>
      <c r="AX405" s="405">
        <f t="shared" si="263"/>
        <v>0</v>
      </c>
      <c r="AY405" s="405">
        <f t="shared" si="264"/>
        <v>0</v>
      </c>
    </row>
    <row r="406" spans="2:51" ht="13.5" thickBot="1" x14ac:dyDescent="0.25">
      <c r="B406" s="345">
        <v>37370.25</v>
      </c>
      <c r="C406" s="728" t="str">
        <f t="shared" si="247"/>
        <v>2.16217503399043</v>
      </c>
      <c r="D406" s="728" t="str">
        <f t="shared" si="248"/>
        <v>1+28.5678450299514i</v>
      </c>
      <c r="E406" s="337">
        <f t="shared" si="266"/>
        <v>28.585341867035961</v>
      </c>
      <c r="F406" s="338">
        <f t="shared" si="267"/>
        <v>1.5358062229497207</v>
      </c>
      <c r="G406" s="338" t="str">
        <f t="shared" si="249"/>
        <v>1+0.117402102862814i</v>
      </c>
      <c r="H406" s="337">
        <f t="shared" si="268"/>
        <v>1.0068680418786817</v>
      </c>
      <c r="I406" s="338">
        <f t="shared" si="269"/>
        <v>0.11686712585153575</v>
      </c>
      <c r="J406" s="340">
        <f t="shared" si="250"/>
        <v>1</v>
      </c>
      <c r="K406" s="338">
        <f t="shared" si="270"/>
        <v>1</v>
      </c>
      <c r="L406" s="339">
        <f t="shared" si="271"/>
        <v>0</v>
      </c>
      <c r="M406" s="731" t="str">
        <f t="shared" si="251"/>
        <v>0.937931751775+0.551941356177072i</v>
      </c>
      <c r="N406" s="338">
        <f t="shared" si="272"/>
        <v>1.0882808606450383</v>
      </c>
      <c r="O406" s="339">
        <f t="shared" si="273"/>
        <v>0.53189577307895641</v>
      </c>
      <c r="P406" s="732" t="str">
        <f t="shared" si="265"/>
        <v>-0.0259598232262931-0.0649877115618773i</v>
      </c>
      <c r="Q406" s="337">
        <f t="shared" si="274"/>
        <v>6.9980819343518311E-2</v>
      </c>
      <c r="R406" s="339">
        <f t="shared" si="275"/>
        <v>-1.9508348701771407</v>
      </c>
      <c r="S406" s="731" t="str">
        <f t="shared" si="252"/>
        <v>6000</v>
      </c>
      <c r="T406" s="337" t="str">
        <f t="shared" si="253"/>
        <v>1+237152.247782884i</v>
      </c>
      <c r="U406" s="346">
        <f t="shared" si="276"/>
        <v>237152.24778499233</v>
      </c>
      <c r="V406" s="347">
        <f t="shared" si="277"/>
        <v>1.5707921100944042</v>
      </c>
      <c r="W406" s="340" t="str">
        <f t="shared" si="254"/>
        <v>1+2348.04205725628i</v>
      </c>
      <c r="X406" s="337">
        <f t="shared" si="278"/>
        <v>2348.0422701996449</v>
      </c>
      <c r="Y406" s="339">
        <f t="shared" si="279"/>
        <v>1.5703704400709133</v>
      </c>
      <c r="Z406" s="337" t="str">
        <f t="shared" si="255"/>
        <v>1+23.6528986494859i</v>
      </c>
      <c r="AA406" s="346">
        <f t="shared" si="280"/>
        <v>23.674028269875237</v>
      </c>
      <c r="AB406" s="347">
        <f t="shared" si="281"/>
        <v>1.5285433733643714</v>
      </c>
      <c r="AC406" s="732" t="str">
        <f t="shared" si="282"/>
        <v>0.104937877807705-2.50713469417279i</v>
      </c>
      <c r="AD406" s="337">
        <f t="shared" si="283"/>
        <v>2.509329857337149</v>
      </c>
      <c r="AE406" s="339">
        <f t="shared" si="284"/>
        <v>-1.5289650433878625</v>
      </c>
      <c r="AF406" s="736" t="str">
        <f t="shared" si="256"/>
        <v>-0.165657115109307+0.0582651009303494i</v>
      </c>
      <c r="AG406" s="337">
        <f t="shared" si="285"/>
        <v>-15.109264459013554</v>
      </c>
      <c r="AH406" s="730">
        <f t="shared" si="286"/>
        <v>160.62215140273662</v>
      </c>
      <c r="AI406" s="360">
        <f t="shared" si="257"/>
        <v>-19.37784859726338</v>
      </c>
      <c r="AL406" s="337">
        <f t="shared" si="258"/>
        <v>7.9911550820539308</v>
      </c>
      <c r="AM406" s="730">
        <f t="shared" si="259"/>
        <v>-87.603244009161315</v>
      </c>
      <c r="AN406" s="351"/>
      <c r="AO406" s="337">
        <f t="shared" si="260"/>
        <v>30.171511657671953</v>
      </c>
      <c r="AP406" s="730">
        <f t="shared" si="261"/>
        <v>-111.77460458810206</v>
      </c>
      <c r="AS406" s="351"/>
      <c r="AT406" s="351"/>
      <c r="AV406" s="405">
        <f t="shared" si="262"/>
        <v>0</v>
      </c>
      <c r="AW406" s="405">
        <f t="shared" si="246"/>
        <v>0</v>
      </c>
      <c r="AX406" s="405">
        <f t="shared" si="263"/>
        <v>0</v>
      </c>
      <c r="AY406" s="405">
        <f t="shared" si="264"/>
        <v>0</v>
      </c>
    </row>
    <row r="407" spans="2:51" ht="13.5" thickBot="1" x14ac:dyDescent="0.25">
      <c r="B407" s="345">
        <v>37586.5</v>
      </c>
      <c r="C407" s="728" t="str">
        <f t="shared" si="247"/>
        <v>2.16217503399043</v>
      </c>
      <c r="D407" s="728" t="str">
        <f t="shared" si="248"/>
        <v>1+28.7331582533772i</v>
      </c>
      <c r="E407" s="337">
        <f t="shared" si="266"/>
        <v>28.750554485324599</v>
      </c>
      <c r="F407" s="338">
        <f t="shared" si="267"/>
        <v>1.5360073719978147</v>
      </c>
      <c r="G407" s="338" t="str">
        <f t="shared" si="249"/>
        <v>1+0.118081472274153i</v>
      </c>
      <c r="H407" s="337">
        <f t="shared" si="268"/>
        <v>1.0069474832852165</v>
      </c>
      <c r="I407" s="338">
        <f t="shared" si="269"/>
        <v>0.11753720583358865</v>
      </c>
      <c r="J407" s="340">
        <f t="shared" si="250"/>
        <v>1</v>
      </c>
      <c r="K407" s="338">
        <f t="shared" si="270"/>
        <v>1</v>
      </c>
      <c r="L407" s="339">
        <f t="shared" si="271"/>
        <v>0</v>
      </c>
      <c r="M407" s="731" t="str">
        <f t="shared" si="251"/>
        <v>0.937211334122222+0.55513526893584i</v>
      </c>
      <c r="N407" s="338">
        <f t="shared" si="272"/>
        <v>1.0892842841166959</v>
      </c>
      <c r="O407" s="339">
        <f t="shared" si="273"/>
        <v>0.53475824136074879</v>
      </c>
      <c r="P407" s="732" t="str">
        <f t="shared" si="265"/>
        <v>-0.0259433580707227-0.064497925790161i</v>
      </c>
      <c r="Q407" s="337">
        <f t="shared" si="274"/>
        <v>6.952007090919031E-2</v>
      </c>
      <c r="R407" s="339">
        <f t="shared" si="275"/>
        <v>-1.9532284075249751</v>
      </c>
      <c r="S407" s="731" t="str">
        <f t="shared" si="252"/>
        <v>6000</v>
      </c>
      <c r="T407" s="337" t="str">
        <f t="shared" si="253"/>
        <v>1+238524.573993789i</v>
      </c>
      <c r="U407" s="346">
        <f t="shared" si="276"/>
        <v>238524.57399588524</v>
      </c>
      <c r="V407" s="347">
        <f t="shared" si="277"/>
        <v>1.57079213435475</v>
      </c>
      <c r="W407" s="340" t="str">
        <f t="shared" si="254"/>
        <v>1+2361.62944548306i</v>
      </c>
      <c r="X407" s="337">
        <f t="shared" si="278"/>
        <v>2361.629657201278</v>
      </c>
      <c r="Y407" s="339">
        <f t="shared" si="279"/>
        <v>1.5703728903653811</v>
      </c>
      <c r="Z407" s="337" t="str">
        <f t="shared" si="255"/>
        <v>1+23.7897706086768i</v>
      </c>
      <c r="AA407" s="346">
        <f t="shared" si="280"/>
        <v>23.810778769571197</v>
      </c>
      <c r="AB407" s="347">
        <f t="shared" si="281"/>
        <v>1.5287861845705044</v>
      </c>
      <c r="AC407" s="732" t="str">
        <f t="shared" si="282"/>
        <v>0.103735976860421-2.49276067840625i</v>
      </c>
      <c r="AD407" s="337">
        <f t="shared" si="283"/>
        <v>2.4949182256546152</v>
      </c>
      <c r="AE407" s="339">
        <f t="shared" si="284"/>
        <v>-1.5292054285598735</v>
      </c>
      <c r="AF407" s="736" t="str">
        <f t="shared" si="256"/>
        <v>-0.163469152840984+0.0579798275271977i</v>
      </c>
      <c r="AG407" s="337">
        <f t="shared" si="285"/>
        <v>-15.216669559753997</v>
      </c>
      <c r="AH407" s="730">
        <f t="shared" si="286"/>
        <v>160.47123875878506</v>
      </c>
      <c r="AI407" s="360">
        <f t="shared" si="257"/>
        <v>-19.528761241214937</v>
      </c>
      <c r="AL407" s="337">
        <f t="shared" si="258"/>
        <v>7.9411263119820195</v>
      </c>
      <c r="AM407" s="730">
        <f t="shared" si="259"/>
        <v>-87.617017064975073</v>
      </c>
      <c r="AN407" s="351"/>
      <c r="AO407" s="337">
        <f t="shared" si="260"/>
        <v>30.1141353270034</v>
      </c>
      <c r="AP407" s="730">
        <f t="shared" si="261"/>
        <v>-111.91174417623995</v>
      </c>
      <c r="AS407" s="351"/>
      <c r="AT407" s="351"/>
      <c r="AV407" s="405">
        <f t="shared" si="262"/>
        <v>0</v>
      </c>
      <c r="AW407" s="405">
        <f t="shared" si="246"/>
        <v>0</v>
      </c>
      <c r="AX407" s="405">
        <f t="shared" si="263"/>
        <v>0</v>
      </c>
      <c r="AY407" s="405">
        <f t="shared" si="264"/>
        <v>0</v>
      </c>
    </row>
    <row r="408" spans="2:51" ht="13.5" thickBot="1" x14ac:dyDescent="0.25">
      <c r="B408" s="345">
        <v>37802.75</v>
      </c>
      <c r="C408" s="728" t="str">
        <f t="shared" si="247"/>
        <v>2.16217503399043</v>
      </c>
      <c r="D408" s="728" t="str">
        <f t="shared" si="248"/>
        <v>1+28.8984714768029i</v>
      </c>
      <c r="E408" s="337">
        <f t="shared" si="266"/>
        <v>28.915768253594628</v>
      </c>
      <c r="F408" s="338">
        <f t="shared" si="267"/>
        <v>1.5362062224746442</v>
      </c>
      <c r="G408" s="338" t="str">
        <f t="shared" si="249"/>
        <v>1+0.118760841685492i</v>
      </c>
      <c r="H408" s="337">
        <f t="shared" si="268"/>
        <v>1.0070273767469515</v>
      </c>
      <c r="I408" s="338">
        <f t="shared" si="269"/>
        <v>0.11820717979357689</v>
      </c>
      <c r="J408" s="340">
        <f t="shared" si="250"/>
        <v>1</v>
      </c>
      <c r="K408" s="338">
        <f t="shared" si="270"/>
        <v>1</v>
      </c>
      <c r="L408" s="339">
        <f t="shared" si="271"/>
        <v>0</v>
      </c>
      <c r="M408" s="731" t="str">
        <f t="shared" si="251"/>
        <v>0.936486759663889+0.558329181694605i</v>
      </c>
      <c r="N408" s="338">
        <f t="shared" si="272"/>
        <v>1.0902930460007245</v>
      </c>
      <c r="O408" s="339">
        <f t="shared" si="273"/>
        <v>0.53761736982639985</v>
      </c>
      <c r="P408" s="732" t="str">
        <f t="shared" si="265"/>
        <v>-0.025926244255163-0.0640134291992373i</v>
      </c>
      <c r="Q408" s="337">
        <f t="shared" si="274"/>
        <v>6.9064384881240629E-2</v>
      </c>
      <c r="R408" s="339">
        <f t="shared" si="275"/>
        <v>-1.9556164125074671</v>
      </c>
      <c r="S408" s="731" t="str">
        <f t="shared" si="252"/>
        <v>6000</v>
      </c>
      <c r="T408" s="337" t="str">
        <f t="shared" si="253"/>
        <v>1+239896.900204693i</v>
      </c>
      <c r="U408" s="346">
        <f t="shared" si="276"/>
        <v>239896.90020677727</v>
      </c>
      <c r="V408" s="347">
        <f t="shared" si="277"/>
        <v>1.5707921583375337</v>
      </c>
      <c r="W408" s="340" t="str">
        <f t="shared" si="254"/>
        <v>1+2375.21683370983i</v>
      </c>
      <c r="X408" s="337">
        <f t="shared" si="278"/>
        <v>2375.2170442169177</v>
      </c>
      <c r="Y408" s="339">
        <f t="shared" si="279"/>
        <v>1.5703753126261171</v>
      </c>
      <c r="Z408" s="337" t="str">
        <f t="shared" si="255"/>
        <v>1+23.9266425678675i</v>
      </c>
      <c r="AA408" s="346">
        <f t="shared" si="280"/>
        <v>23.947530657052909</v>
      </c>
      <c r="AB408" s="347">
        <f t="shared" si="281"/>
        <v>1.5290262226537319</v>
      </c>
      <c r="AC408" s="732" t="str">
        <f t="shared" si="282"/>
        <v>0.1025545952665-2.47855025768048i</v>
      </c>
      <c r="AD408" s="337">
        <f t="shared" si="283"/>
        <v>2.4806710432579022</v>
      </c>
      <c r="AE408" s="339">
        <f t="shared" si="284"/>
        <v>-1.5294430683651485</v>
      </c>
      <c r="AF408" s="736" t="str">
        <f t="shared" si="256"/>
        <v>-0.161319356923149+0.0576946280561728i</v>
      </c>
      <c r="AG408" s="337">
        <f t="shared" si="285"/>
        <v>-15.323533493526178</v>
      </c>
      <c r="AH408" s="730">
        <f t="shared" si="286"/>
        <v>160.32080039394543</v>
      </c>
      <c r="AI408" s="360">
        <f t="shared" si="257"/>
        <v>-19.679199606054567</v>
      </c>
      <c r="AL408" s="337">
        <f t="shared" si="258"/>
        <v>7.8913835436471818</v>
      </c>
      <c r="AM408" s="730">
        <f t="shared" si="259"/>
        <v>-87.630632822861642</v>
      </c>
      <c r="AN408" s="351"/>
      <c r="AO408" s="337">
        <f t="shared" si="260"/>
        <v>30.057014161566098</v>
      </c>
      <c r="AP408" s="730">
        <f t="shared" si="261"/>
        <v>-112.04856678319288</v>
      </c>
      <c r="AS408" s="351"/>
      <c r="AT408" s="351"/>
      <c r="AV408" s="405">
        <f t="shared" si="262"/>
        <v>0</v>
      </c>
      <c r="AW408" s="405">
        <f t="shared" si="246"/>
        <v>0</v>
      </c>
      <c r="AX408" s="405">
        <f t="shared" si="263"/>
        <v>0</v>
      </c>
      <c r="AY408" s="405">
        <f t="shared" si="264"/>
        <v>0</v>
      </c>
    </row>
    <row r="409" spans="2:51" ht="13.5" thickBot="1" x14ac:dyDescent="0.25">
      <c r="B409" s="345">
        <v>38019</v>
      </c>
      <c r="C409" s="728" t="str">
        <f t="shared" si="247"/>
        <v>2.16217503399043</v>
      </c>
      <c r="D409" s="728" t="str">
        <f t="shared" si="248"/>
        <v>1+29.0637847002288i</v>
      </c>
      <c r="E409" s="337">
        <f t="shared" si="266"/>
        <v>29.080983152246652</v>
      </c>
      <c r="F409" s="338">
        <f t="shared" si="267"/>
        <v>1.5364028135402812</v>
      </c>
      <c r="G409" s="338" t="str">
        <f t="shared" si="249"/>
        <v>1+0.119440211096831i</v>
      </c>
      <c r="H409" s="337">
        <f t="shared" si="268"/>
        <v>1.0071077221563023</v>
      </c>
      <c r="I409" s="338">
        <f t="shared" si="269"/>
        <v>0.11887704715534859</v>
      </c>
      <c r="J409" s="340">
        <f t="shared" si="250"/>
        <v>1</v>
      </c>
      <c r="K409" s="338">
        <f t="shared" si="270"/>
        <v>1</v>
      </c>
      <c r="L409" s="339">
        <f t="shared" si="271"/>
        <v>0</v>
      </c>
      <c r="M409" s="731" t="str">
        <f t="shared" si="251"/>
        <v>0.9357580284+0.561523094453372i</v>
      </c>
      <c r="N409" s="338">
        <f t="shared" si="272"/>
        <v>1.091307139773009</v>
      </c>
      <c r="O409" s="339">
        <f t="shared" si="273"/>
        <v>0.54047314914434919</v>
      </c>
      <c r="P409" s="732" t="str">
        <f t="shared" si="265"/>
        <v>-0.0259084955670047-0.0635341365983728i</v>
      </c>
      <c r="Q409" s="337">
        <f t="shared" si="274"/>
        <v>6.8613676886217057E-2</v>
      </c>
      <c r="R409" s="339">
        <f t="shared" si="275"/>
        <v>-1.9579989155292787</v>
      </c>
      <c r="S409" s="731" t="str">
        <f t="shared" si="252"/>
        <v>6000</v>
      </c>
      <c r="T409" s="337" t="str">
        <f t="shared" si="253"/>
        <v>1+241269.226415598i</v>
      </c>
      <c r="U409" s="346">
        <f t="shared" si="276"/>
        <v>241269.2264176704</v>
      </c>
      <c r="V409" s="347">
        <f t="shared" si="277"/>
        <v>1.5707921820474919</v>
      </c>
      <c r="W409" s="340" t="str">
        <f t="shared" si="254"/>
        <v>1+2388.80422193661i</v>
      </c>
      <c r="X409" s="337">
        <f t="shared" si="278"/>
        <v>2388.8044312463444</v>
      </c>
      <c r="Y409" s="339">
        <f t="shared" si="279"/>
        <v>1.5703777073314835</v>
      </c>
      <c r="Z409" s="337" t="str">
        <f t="shared" si="255"/>
        <v>1+24.0635145270584i</v>
      </c>
      <c r="AA409" s="346">
        <f t="shared" si="280"/>
        <v>24.084283908681005</v>
      </c>
      <c r="AB409" s="347">
        <f t="shared" si="281"/>
        <v>1.5292635348244585</v>
      </c>
      <c r="AC409" s="732" t="str">
        <f t="shared" si="282"/>
        <v>0.101393268849956-2.46450065972603i</v>
      </c>
      <c r="AD409" s="337">
        <f t="shared" si="283"/>
        <v>2.4665855137736692</v>
      </c>
      <c r="AE409" s="339">
        <f t="shared" si="284"/>
        <v>-1.5296780095404667</v>
      </c>
      <c r="AF409" s="736" t="str">
        <f t="shared" si="256"/>
        <v>-0.159206868618337+0.0574095706241234i</v>
      </c>
      <c r="AG409" s="337">
        <f t="shared" si="285"/>
        <v>-15.429862608150156</v>
      </c>
      <c r="AH409" s="730">
        <f t="shared" si="286"/>
        <v>160.17083188833894</v>
      </c>
      <c r="AI409" s="360">
        <f t="shared" si="257"/>
        <v>-19.829168111661062</v>
      </c>
      <c r="AL409" s="337">
        <f t="shared" si="258"/>
        <v>7.8419235313068416</v>
      </c>
      <c r="AM409" s="730">
        <f t="shared" si="259"/>
        <v>-87.644093960641214</v>
      </c>
      <c r="AN409" s="351"/>
      <c r="AO409" s="337">
        <f t="shared" si="260"/>
        <v>30.000145059282417</v>
      </c>
      <c r="AP409" s="730">
        <f t="shared" si="261"/>
        <v>-112.18507415101996</v>
      </c>
      <c r="AS409" s="351"/>
      <c r="AT409" s="351"/>
      <c r="AV409" s="405">
        <f t="shared" si="262"/>
        <v>0</v>
      </c>
      <c r="AW409" s="405">
        <f t="shared" si="246"/>
        <v>0</v>
      </c>
      <c r="AX409" s="405">
        <f t="shared" si="263"/>
        <v>0</v>
      </c>
      <c r="AY409" s="405">
        <f t="shared" si="264"/>
        <v>0</v>
      </c>
    </row>
    <row r="410" spans="2:51" ht="13.5" thickBot="1" x14ac:dyDescent="0.25">
      <c r="B410" s="345">
        <v>38240.5</v>
      </c>
      <c r="C410" s="728" t="str">
        <f t="shared" si="247"/>
        <v>2.16217503399043</v>
      </c>
      <c r="D410" s="728" t="str">
        <f t="shared" si="248"/>
        <v>1+29.2331113082695i</v>
      </c>
      <c r="E410" s="337">
        <f t="shared" si="266"/>
        <v>29.250210200298977</v>
      </c>
      <c r="F410" s="338">
        <f t="shared" si="267"/>
        <v>1.536601874977495</v>
      </c>
      <c r="G410" s="338" t="str">
        <f t="shared" si="249"/>
        <v>1+0.1201360738696i</v>
      </c>
      <c r="H410" s="337">
        <f t="shared" si="268"/>
        <v>1.0071904865738168</v>
      </c>
      <c r="I410" s="338">
        <f t="shared" si="269"/>
        <v>0.11956306607988121</v>
      </c>
      <c r="J410" s="340">
        <f t="shared" si="250"/>
        <v>1</v>
      </c>
      <c r="K410" s="338">
        <f t="shared" si="270"/>
        <v>1</v>
      </c>
      <c r="L410" s="339">
        <f t="shared" si="271"/>
        <v>0</v>
      </c>
      <c r="M410" s="731" t="str">
        <f t="shared" si="251"/>
        <v>0.935007295988889+0.564794547290674i</v>
      </c>
      <c r="N410" s="338">
        <f t="shared" si="272"/>
        <v>1.0923513739643171</v>
      </c>
      <c r="O410" s="339">
        <f t="shared" si="273"/>
        <v>0.54339477780053969</v>
      </c>
      <c r="P410" s="732" t="str">
        <f t="shared" si="265"/>
        <v>-0.0258896718580075-0.063048515992971i</v>
      </c>
      <c r="Q410" s="337">
        <f t="shared" si="274"/>
        <v>6.8157101448280674E-2</v>
      </c>
      <c r="R410" s="339">
        <f t="shared" si="275"/>
        <v>-1.9604335866981535</v>
      </c>
      <c r="S410" s="731" t="str">
        <f t="shared" si="252"/>
        <v>6000</v>
      </c>
      <c r="T410" s="337" t="str">
        <f t="shared" si="253"/>
        <v>1+242674.869216593i</v>
      </c>
      <c r="U410" s="346">
        <f t="shared" si="276"/>
        <v>242674.86921865336</v>
      </c>
      <c r="V410" s="347">
        <f t="shared" si="277"/>
        <v>1.5707922060550639</v>
      </c>
      <c r="W410" s="340" t="str">
        <f t="shared" si="254"/>
        <v>1+2402.72147739201i</v>
      </c>
      <c r="X410" s="337">
        <f t="shared" si="278"/>
        <v>2402.7216854893622</v>
      </c>
      <c r="Y410" s="339">
        <f t="shared" si="279"/>
        <v>1.5703801320958148</v>
      </c>
      <c r="Z410" s="337" t="str">
        <f t="shared" si="255"/>
        <v>1+24.2037093893047i</v>
      </c>
      <c r="AA410" s="346">
        <f t="shared" si="280"/>
        <v>24.224358571527056</v>
      </c>
      <c r="AB410" s="347">
        <f t="shared" si="281"/>
        <v>1.5295038305679733</v>
      </c>
      <c r="AC410" s="732" t="str">
        <f t="shared" si="282"/>
        <v>0.100224068404692-2.45027386805162i</v>
      </c>
      <c r="AD410" s="337">
        <f t="shared" si="283"/>
        <v>2.4523227545215653</v>
      </c>
      <c r="AE410" s="339">
        <f t="shared" si="284"/>
        <v>-1.5299159045272224</v>
      </c>
      <c r="AF410" s="736" t="str">
        <f t="shared" si="256"/>
        <v>-0.157080899400283+0.0571178076264134i</v>
      </c>
      <c r="AG410" s="337">
        <f t="shared" si="285"/>
        <v>-15.538225188808175</v>
      </c>
      <c r="AH410" s="730">
        <f t="shared" si="286"/>
        <v>160.01770512715174</v>
      </c>
      <c r="AI410" s="360">
        <f t="shared" si="257"/>
        <v>-19.982294872848257</v>
      </c>
      <c r="AL410" s="337">
        <f t="shared" si="258"/>
        <v>7.7915525574110447</v>
      </c>
      <c r="AM410" s="730">
        <f t="shared" si="259"/>
        <v>-87.657724339349642</v>
      </c>
      <c r="AN410" s="351"/>
      <c r="AO410" s="337">
        <f t="shared" si="260"/>
        <v>29.942153452520238</v>
      </c>
      <c r="AP410" s="730">
        <f t="shared" si="261"/>
        <v>-112.3245705334986</v>
      </c>
      <c r="AS410" s="351"/>
      <c r="AT410" s="351"/>
      <c r="AV410" s="405">
        <f t="shared" si="262"/>
        <v>0</v>
      </c>
      <c r="AW410" s="405">
        <f t="shared" ref="AW410:AW473" si="287">IF(AV410&gt;0,AI410,0)</f>
        <v>0</v>
      </c>
      <c r="AX410" s="405">
        <f t="shared" si="263"/>
        <v>0</v>
      </c>
      <c r="AY410" s="405">
        <f t="shared" si="264"/>
        <v>0</v>
      </c>
    </row>
    <row r="411" spans="2:51" ht="13.5" thickBot="1" x14ac:dyDescent="0.25">
      <c r="B411" s="345">
        <v>38462</v>
      </c>
      <c r="C411" s="728" t="str">
        <f t="shared" si="247"/>
        <v>2.16217503399043</v>
      </c>
      <c r="D411" s="728" t="str">
        <f t="shared" si="248"/>
        <v>1+29.4024379163102i</v>
      </c>
      <c r="E411" s="337">
        <f t="shared" si="266"/>
        <v>29.419438394069925</v>
      </c>
      <c r="F411" s="338">
        <f t="shared" si="267"/>
        <v>1.5367986463170245</v>
      </c>
      <c r="G411" s="338" t="str">
        <f t="shared" si="249"/>
        <v>1+0.120831936642371i</v>
      </c>
      <c r="H411" s="337">
        <f t="shared" si="268"/>
        <v>1.0072737249192725</v>
      </c>
      <c r="I411" s="338">
        <f t="shared" si="269"/>
        <v>0.1202489719457189</v>
      </c>
      <c r="J411" s="340">
        <f t="shared" si="250"/>
        <v>1</v>
      </c>
      <c r="K411" s="338">
        <f t="shared" si="270"/>
        <v>1</v>
      </c>
      <c r="L411" s="339">
        <f t="shared" si="271"/>
        <v>0</v>
      </c>
      <c r="M411" s="731" t="str">
        <f t="shared" si="251"/>
        <v>0.934252202488889+0.568066000127977i</v>
      </c>
      <c r="N411" s="338">
        <f t="shared" si="272"/>
        <v>1.093401188199802</v>
      </c>
      <c r="O411" s="339">
        <f t="shared" si="273"/>
        <v>0.54631287329656475</v>
      </c>
      <c r="P411" s="732" t="str">
        <f t="shared" si="265"/>
        <v>-0.0258702102752319-0.0625681802597555i</v>
      </c>
      <c r="Q411" s="337">
        <f t="shared" si="274"/>
        <v>6.77055755510724E-2</v>
      </c>
      <c r="R411" s="339">
        <f t="shared" si="275"/>
        <v>-1.9628625476678703</v>
      </c>
      <c r="S411" s="731" t="str">
        <f t="shared" si="252"/>
        <v>6000</v>
      </c>
      <c r="T411" s="337" t="str">
        <f t="shared" si="253"/>
        <v>1+244080.512017588i</v>
      </c>
      <c r="U411" s="346">
        <f t="shared" si="276"/>
        <v>244080.51201963652</v>
      </c>
      <c r="V411" s="347">
        <f t="shared" si="277"/>
        <v>1.5707922297861199</v>
      </c>
      <c r="W411" s="340" t="str">
        <f t="shared" si="254"/>
        <v>1+2416.63873284741i</v>
      </c>
      <c r="X411" s="337">
        <f t="shared" si="278"/>
        <v>2416.638939746344</v>
      </c>
      <c r="Y411" s="339">
        <f t="shared" si="279"/>
        <v>1.5703825289320503</v>
      </c>
      <c r="Z411" s="337" t="str">
        <f t="shared" si="255"/>
        <v>1+24.343904251551i</v>
      </c>
      <c r="AA411" s="346">
        <f t="shared" si="280"/>
        <v>24.364434617053661</v>
      </c>
      <c r="AB411" s="347">
        <f t="shared" si="281"/>
        <v>1.5297413633077455</v>
      </c>
      <c r="AC411" s="732" t="str">
        <f t="shared" si="282"/>
        <v>0.0990749643998136-2.43621011307571i</v>
      </c>
      <c r="AD411" s="337">
        <f t="shared" si="283"/>
        <v>2.4382238542888528</v>
      </c>
      <c r="AE411" s="339">
        <f t="shared" si="284"/>
        <v>-1.5301510641618148</v>
      </c>
      <c r="AF411" s="736" t="str">
        <f t="shared" si="256"/>
        <v>-0.154992323667595+0.0568263276681187i</v>
      </c>
      <c r="AG411" s="337">
        <f t="shared" si="285"/>
        <v>-15.646039797033477</v>
      </c>
      <c r="AH411" s="730">
        <f t="shared" si="286"/>
        <v>159.86506226041109</v>
      </c>
      <c r="AI411" s="360">
        <f t="shared" si="257"/>
        <v>-20.134937739588906</v>
      </c>
      <c r="AL411" s="337">
        <f t="shared" si="258"/>
        <v>7.7414715171929549</v>
      </c>
      <c r="AM411" s="730">
        <f t="shared" si="259"/>
        <v>-87.671197993923627</v>
      </c>
      <c r="AN411" s="351"/>
      <c r="AO411" s="337">
        <f t="shared" si="260"/>
        <v>29.88441988451298</v>
      </c>
      <c r="AP411" s="730">
        <f t="shared" si="261"/>
        <v>-112.46373974566541</v>
      </c>
      <c r="AS411" s="351"/>
      <c r="AT411" s="351"/>
      <c r="AV411" s="405">
        <f t="shared" si="262"/>
        <v>0</v>
      </c>
      <c r="AW411" s="405">
        <f t="shared" si="287"/>
        <v>0</v>
      </c>
      <c r="AX411" s="405">
        <f t="shared" si="263"/>
        <v>0</v>
      </c>
      <c r="AY411" s="405">
        <f t="shared" si="264"/>
        <v>0</v>
      </c>
    </row>
    <row r="412" spans="2:51" ht="13.5" thickBot="1" x14ac:dyDescent="0.25">
      <c r="B412" s="345">
        <v>38683.5</v>
      </c>
      <c r="C412" s="728" t="str">
        <f t="shared" si="247"/>
        <v>2.16217503399043</v>
      </c>
      <c r="D412" s="728" t="str">
        <f t="shared" si="248"/>
        <v>1+29.571764524351i</v>
      </c>
      <c r="E412" s="337">
        <f t="shared" si="266"/>
        <v>29.588667713901287</v>
      </c>
      <c r="F412" s="338">
        <f t="shared" si="267"/>
        <v>1.5369931668374293</v>
      </c>
      <c r="G412" s="338" t="str">
        <f t="shared" si="249"/>
        <v>1+0.121527799415141i</v>
      </c>
      <c r="H412" s="337">
        <f t="shared" si="268"/>
        <v>1.0073574370751857</v>
      </c>
      <c r="I412" s="338">
        <f t="shared" si="269"/>
        <v>0.12093476413557333</v>
      </c>
      <c r="J412" s="340">
        <f t="shared" si="250"/>
        <v>1</v>
      </c>
      <c r="K412" s="338">
        <f t="shared" si="270"/>
        <v>1</v>
      </c>
      <c r="L412" s="339">
        <f t="shared" si="271"/>
        <v>0</v>
      </c>
      <c r="M412" s="731" t="str">
        <f t="shared" si="251"/>
        <v>0.9334927479+0.571337452965281i</v>
      </c>
      <c r="N412" s="338">
        <f t="shared" si="272"/>
        <v>1.0944565754486324</v>
      </c>
      <c r="O412" s="339">
        <f t="shared" si="273"/>
        <v>0.54922742600677132</v>
      </c>
      <c r="P412" s="732" t="str">
        <f t="shared" si="265"/>
        <v>-0.0258501245610502-0.0620930438848772i</v>
      </c>
      <c r="Q412" s="337">
        <f t="shared" si="274"/>
        <v>6.725901455352358E-2</v>
      </c>
      <c r="R412" s="339">
        <f t="shared" si="275"/>
        <v>-1.9652858287086283</v>
      </c>
      <c r="S412" s="731" t="str">
        <f t="shared" si="252"/>
        <v>6000</v>
      </c>
      <c r="T412" s="337" t="str">
        <f t="shared" si="253"/>
        <v>1+245486.154818585i</v>
      </c>
      <c r="U412" s="346">
        <f t="shared" si="276"/>
        <v>245486.15482062177</v>
      </c>
      <c r="V412" s="347">
        <f t="shared" si="277"/>
        <v>1.5707922532454097</v>
      </c>
      <c r="W412" s="340" t="str">
        <f t="shared" si="254"/>
        <v>1+2430.55598830282i</v>
      </c>
      <c r="X412" s="337">
        <f t="shared" si="278"/>
        <v>2430.5561940170605</v>
      </c>
      <c r="Y412" s="339">
        <f t="shared" si="279"/>
        <v>1.5703848983199353</v>
      </c>
      <c r="Z412" s="337" t="str">
        <f t="shared" si="255"/>
        <v>1+24.4840991137974i</v>
      </c>
      <c r="AA412" s="346">
        <f t="shared" si="280"/>
        <v>24.504512021549306</v>
      </c>
      <c r="AB412" s="347">
        <f t="shared" si="281"/>
        <v>1.5299761803999785</v>
      </c>
      <c r="AC412" s="732" t="str">
        <f t="shared" si="282"/>
        <v>0.0979454991519456-2.42230661286871i</v>
      </c>
      <c r="AD412" s="337">
        <f t="shared" si="283"/>
        <v>2.4242860077869537</v>
      </c>
      <c r="AE412" s="339">
        <f t="shared" si="284"/>
        <v>-1.5303835353254529</v>
      </c>
      <c r="AF412" s="736" t="str">
        <f t="shared" si="256"/>
        <v>-0.152940294168757+0.0565351934905438i</v>
      </c>
      <c r="AG412" s="337">
        <f t="shared" si="285"/>
        <v>-15.753312903295972</v>
      </c>
      <c r="AH412" s="730">
        <f t="shared" si="286"/>
        <v>159.71289886766655</v>
      </c>
      <c r="AI412" s="360">
        <f t="shared" si="257"/>
        <v>-20.287101132333447</v>
      </c>
      <c r="AL412" s="337">
        <f t="shared" si="258"/>
        <v>7.6916770976437796</v>
      </c>
      <c r="AM412" s="730">
        <f t="shared" si="259"/>
        <v>-87.684517610458585</v>
      </c>
      <c r="AN412" s="351"/>
      <c r="AO412" s="337">
        <f t="shared" si="260"/>
        <v>29.82694119779968</v>
      </c>
      <c r="AP412" s="730">
        <f t="shared" si="261"/>
        <v>-112.60258352187478</v>
      </c>
      <c r="AS412" s="351"/>
      <c r="AT412" s="351"/>
      <c r="AV412" s="405">
        <f t="shared" si="262"/>
        <v>0</v>
      </c>
      <c r="AW412" s="405">
        <f t="shared" si="287"/>
        <v>0</v>
      </c>
      <c r="AX412" s="405">
        <f t="shared" si="263"/>
        <v>0</v>
      </c>
      <c r="AY412" s="405">
        <f t="shared" si="264"/>
        <v>0</v>
      </c>
    </row>
    <row r="413" spans="2:51" ht="13.5" thickBot="1" x14ac:dyDescent="0.25">
      <c r="B413" s="345">
        <v>38905</v>
      </c>
      <c r="C413" s="728" t="str">
        <f t="shared" si="247"/>
        <v>2.16217503399043</v>
      </c>
      <c r="D413" s="728" t="str">
        <f t="shared" si="248"/>
        <v>1+29.7410911323917i</v>
      </c>
      <c r="E413" s="337">
        <f t="shared" si="266"/>
        <v>29.75789814058157</v>
      </c>
      <c r="F413" s="338">
        <f t="shared" si="267"/>
        <v>1.5371854749244644</v>
      </c>
      <c r="G413" s="338" t="str">
        <f t="shared" si="249"/>
        <v>1+0.122223662187911i</v>
      </c>
      <c r="H413" s="337">
        <f t="shared" si="268"/>
        <v>1.0074416229234449</v>
      </c>
      <c r="I413" s="338">
        <f t="shared" si="269"/>
        <v>0.12162044203279246</v>
      </c>
      <c r="J413" s="340">
        <f t="shared" si="250"/>
        <v>1</v>
      </c>
      <c r="K413" s="338">
        <f t="shared" si="270"/>
        <v>1</v>
      </c>
      <c r="L413" s="339">
        <f t="shared" si="271"/>
        <v>0</v>
      </c>
      <c r="M413" s="731" t="str">
        <f t="shared" si="251"/>
        <v>0.932728932222222+0.574608905802584i</v>
      </c>
      <c r="N413" s="338">
        <f t="shared" si="272"/>
        <v>1.0955175286740277</v>
      </c>
      <c r="O413" s="339">
        <f t="shared" si="273"/>
        <v>0.55213842644042066</v>
      </c>
      <c r="P413" s="732" t="str">
        <f t="shared" si="265"/>
        <v>-0.0258294281191333-0.0616230232757861i</v>
      </c>
      <c r="Q413" s="337">
        <f t="shared" si="274"/>
        <v>6.6817335734145736E-2</v>
      </c>
      <c r="R413" s="339">
        <f t="shared" si="275"/>
        <v>-1.9677034593320926</v>
      </c>
      <c r="S413" s="731" t="str">
        <f t="shared" si="252"/>
        <v>6000</v>
      </c>
      <c r="T413" s="337" t="str">
        <f t="shared" si="253"/>
        <v>1+246891.79761958i</v>
      </c>
      <c r="U413" s="346">
        <f t="shared" si="276"/>
        <v>246891.79762160519</v>
      </c>
      <c r="V413" s="347">
        <f t="shared" si="277"/>
        <v>1.5707922764375755</v>
      </c>
      <c r="W413" s="340" t="str">
        <f t="shared" si="254"/>
        <v>1+2444.47324375822i</v>
      </c>
      <c r="X413" s="337">
        <f t="shared" si="278"/>
        <v>2444.4734483012562</v>
      </c>
      <c r="Y413" s="339">
        <f t="shared" si="279"/>
        <v>1.5703872407282893</v>
      </c>
      <c r="Z413" s="337" t="str">
        <f t="shared" si="255"/>
        <v>1+24.6242939760437i</v>
      </c>
      <c r="AA413" s="346">
        <f t="shared" si="280"/>
        <v>24.644590761841062</v>
      </c>
      <c r="AB413" s="347">
        <f t="shared" si="281"/>
        <v>1.5302083281254073</v>
      </c>
      <c r="AC413" s="732" t="str">
        <f t="shared" si="282"/>
        <v>0.0968352279261084-2.40856064832931i</v>
      </c>
      <c r="AD413" s="337">
        <f t="shared" si="283"/>
        <v>2.4105064733470445</v>
      </c>
      <c r="AE413" s="339">
        <f t="shared" si="284"/>
        <v>-1.5306133638346939</v>
      </c>
      <c r="AF413" s="736" t="str">
        <f t="shared" si="256"/>
        <v>-0.150923987452257+0.0562444646321884i</v>
      </c>
      <c r="AG413" s="337">
        <f t="shared" si="285"/>
        <v>-15.860050864976527</v>
      </c>
      <c r="AH413" s="730">
        <f t="shared" si="286"/>
        <v>159.5612106329292</v>
      </c>
      <c r="AI413" s="360">
        <f t="shared" si="257"/>
        <v>-20.438789367070797</v>
      </c>
      <c r="AL413" s="337">
        <f t="shared" si="258"/>
        <v>7.6421660421231081</v>
      </c>
      <c r="AM413" s="730">
        <f t="shared" si="259"/>
        <v>-87.697685814049876</v>
      </c>
      <c r="AN413" s="351"/>
      <c r="AO413" s="337">
        <f t="shared" si="260"/>
        <v>29.769714291639779</v>
      </c>
      <c r="AP413" s="730">
        <f t="shared" si="261"/>
        <v>-112.74110355302089</v>
      </c>
      <c r="AS413" s="351"/>
      <c r="AT413" s="351"/>
      <c r="AV413" s="405">
        <f t="shared" si="262"/>
        <v>0</v>
      </c>
      <c r="AW413" s="405">
        <f t="shared" si="287"/>
        <v>0</v>
      </c>
      <c r="AX413" s="405">
        <f t="shared" si="263"/>
        <v>0</v>
      </c>
      <c r="AY413" s="405">
        <f t="shared" si="264"/>
        <v>0</v>
      </c>
    </row>
    <row r="414" spans="2:51" ht="13.5" thickBot="1" x14ac:dyDescent="0.25">
      <c r="B414" s="345">
        <v>39131.5</v>
      </c>
      <c r="C414" s="728" t="str">
        <f t="shared" si="247"/>
        <v>2.16217503399043</v>
      </c>
      <c r="D414" s="728" t="str">
        <f t="shared" si="248"/>
        <v>1+29.9142400114943i</v>
      </c>
      <c r="E414" s="337">
        <f t="shared" si="266"/>
        <v>29.930949792234905</v>
      </c>
      <c r="F414" s="338">
        <f t="shared" si="267"/>
        <v>1.5373798752267367</v>
      </c>
      <c r="G414" s="338" t="str">
        <f t="shared" si="249"/>
        <v>1+0.122935232923949i</v>
      </c>
      <c r="H414" s="337">
        <f t="shared" si="268"/>
        <v>1.0075281988580098</v>
      </c>
      <c r="I414" s="338">
        <f t="shared" si="269"/>
        <v>0.12232147915285134</v>
      </c>
      <c r="J414" s="340">
        <f t="shared" si="250"/>
        <v>1</v>
      </c>
      <c r="K414" s="338">
        <f t="shared" si="270"/>
        <v>1</v>
      </c>
      <c r="L414" s="339">
        <f t="shared" si="271"/>
        <v>0</v>
      </c>
      <c r="M414" s="731" t="str">
        <f t="shared" si="251"/>
        <v>0.931943364788889+0.577954206333731i</v>
      </c>
      <c r="N414" s="338">
        <f t="shared" si="272"/>
        <v>1.0966081797036211</v>
      </c>
      <c r="O414" s="339">
        <f t="shared" si="273"/>
        <v>0.55511145473554535</v>
      </c>
      <c r="P414" s="732" t="str">
        <f t="shared" si="265"/>
        <v>-0.0258076465483344-0.0611475978710612i</v>
      </c>
      <c r="Q414" s="337">
        <f t="shared" si="274"/>
        <v>6.6370651238064293E-2</v>
      </c>
      <c r="R414" s="339">
        <f t="shared" si="275"/>
        <v>-1.9701698508094301</v>
      </c>
      <c r="S414" s="731" t="str">
        <f t="shared" si="252"/>
        <v>6000</v>
      </c>
      <c r="T414" s="337" t="str">
        <f t="shared" si="253"/>
        <v>1+248329.170506377i</v>
      </c>
      <c r="U414" s="346">
        <f t="shared" si="276"/>
        <v>248329.1705083905</v>
      </c>
      <c r="V414" s="347">
        <f t="shared" si="277"/>
        <v>1.5707922998817556</v>
      </c>
      <c r="W414" s="340" t="str">
        <f t="shared" si="254"/>
        <v>1+2458.70465847898i</v>
      </c>
      <c r="X414" s="337">
        <f t="shared" si="278"/>
        <v>2458.704861838085</v>
      </c>
      <c r="Y414" s="339">
        <f t="shared" si="279"/>
        <v>1.5703896085900844</v>
      </c>
      <c r="Z414" s="337" t="str">
        <f t="shared" si="255"/>
        <v>1+24.7676535078667i</v>
      </c>
      <c r="AA414" s="346">
        <f t="shared" si="280"/>
        <v>24.787832908218132</v>
      </c>
      <c r="AB414" s="347">
        <f t="shared" si="281"/>
        <v>1.5304430028988227</v>
      </c>
      <c r="AC414" s="732" t="str">
        <f t="shared" si="282"/>
        <v>0.0957192927067638-2.39466453206184i</v>
      </c>
      <c r="AD414" s="337">
        <f t="shared" si="283"/>
        <v>2.3965768095580064</v>
      </c>
      <c r="AE414" s="339">
        <f t="shared" si="284"/>
        <v>-1.530845694190494</v>
      </c>
      <c r="AF414" s="736" t="str">
        <f t="shared" si="256"/>
        <v>-0.148898273516643+0.055947651026349i</v>
      </c>
      <c r="AG414" s="337">
        <f t="shared" si="285"/>
        <v>-15.968651368444426</v>
      </c>
      <c r="AH414" s="730">
        <f t="shared" si="286"/>
        <v>159.40658526181059</v>
      </c>
      <c r="AI414" s="360">
        <f t="shared" si="257"/>
        <v>-20.593414738189409</v>
      </c>
      <c r="AL414" s="337">
        <f t="shared" si="258"/>
        <v>7.5918270511389627</v>
      </c>
      <c r="AM414" s="730">
        <f t="shared" si="259"/>
        <v>-87.710997362889998</v>
      </c>
      <c r="AN414" s="351"/>
      <c r="AO414" s="337">
        <f t="shared" si="260"/>
        <v>29.711452779156055</v>
      </c>
      <c r="AP414" s="730">
        <f t="shared" si="261"/>
        <v>-112.88241737529937</v>
      </c>
      <c r="AS414" s="351"/>
      <c r="AT414" s="351"/>
      <c r="AV414" s="405">
        <f t="shared" si="262"/>
        <v>0</v>
      </c>
      <c r="AW414" s="405">
        <f t="shared" si="287"/>
        <v>0</v>
      </c>
      <c r="AX414" s="405">
        <f t="shared" si="263"/>
        <v>0</v>
      </c>
      <c r="AY414" s="405">
        <f t="shared" si="264"/>
        <v>0</v>
      </c>
    </row>
    <row r="415" spans="2:51" ht="13.5" thickBot="1" x14ac:dyDescent="0.25">
      <c r="B415" s="345">
        <v>39358</v>
      </c>
      <c r="C415" s="728" t="str">
        <f t="shared" si="247"/>
        <v>2.16217503399043</v>
      </c>
      <c r="D415" s="728" t="str">
        <f t="shared" si="248"/>
        <v>1+30.0873888905968i</v>
      </c>
      <c r="E415" s="337">
        <f t="shared" si="266"/>
        <v>30.104002562018355</v>
      </c>
      <c r="F415" s="338">
        <f t="shared" si="267"/>
        <v>1.5375720405170752</v>
      </c>
      <c r="G415" s="338" t="str">
        <f t="shared" si="249"/>
        <v>1+0.123646803659987i</v>
      </c>
      <c r="H415" s="337">
        <f t="shared" si="268"/>
        <v>1.0076152698601442</v>
      </c>
      <c r="I415" s="338">
        <f t="shared" si="269"/>
        <v>0.12302239545996503</v>
      </c>
      <c r="J415" s="340">
        <f t="shared" si="250"/>
        <v>1</v>
      </c>
      <c r="K415" s="338">
        <f t="shared" si="270"/>
        <v>1</v>
      </c>
      <c r="L415" s="339">
        <f t="shared" si="271"/>
        <v>0</v>
      </c>
      <c r="M415" s="731" t="str">
        <f t="shared" si="251"/>
        <v>0.931153237155556+0.581299506864877i</v>
      </c>
      <c r="N415" s="338">
        <f t="shared" si="272"/>
        <v>1.0977046359320071</v>
      </c>
      <c r="O415" s="339">
        <f t="shared" si="273"/>
        <v>0.55808074892829573</v>
      </c>
      <c r="P415" s="732" t="str">
        <f t="shared" si="265"/>
        <v>-0.0257852536771798-0.060677350924775i</v>
      </c>
      <c r="Q415" s="337">
        <f t="shared" si="274"/>
        <v>6.5928902785082108E-2</v>
      </c>
      <c r="R415" s="339">
        <f t="shared" si="275"/>
        <v>-1.9726303939854051</v>
      </c>
      <c r="S415" s="731" t="str">
        <f t="shared" si="252"/>
        <v>6000</v>
      </c>
      <c r="T415" s="337" t="str">
        <f t="shared" si="253"/>
        <v>1+249766.543393174i</v>
      </c>
      <c r="U415" s="346">
        <f t="shared" si="276"/>
        <v>249766.54339517586</v>
      </c>
      <c r="V415" s="347">
        <f t="shared" si="277"/>
        <v>1.5707923230560996</v>
      </c>
      <c r="W415" s="340" t="str">
        <f t="shared" si="254"/>
        <v>1+2472.93607319974i</v>
      </c>
      <c r="X415" s="337">
        <f t="shared" si="278"/>
        <v>2472.9362753885407</v>
      </c>
      <c r="Y415" s="339">
        <f t="shared" si="279"/>
        <v>1.5703919491984313</v>
      </c>
      <c r="Z415" s="337" t="str">
        <f t="shared" si="255"/>
        <v>1+24.9110130396897i</v>
      </c>
      <c r="AA415" s="346">
        <f t="shared" si="280"/>
        <v>24.931076404030176</v>
      </c>
      <c r="AB415" s="347">
        <f t="shared" si="281"/>
        <v>1.5306749809994875</v>
      </c>
      <c r="AC415" s="732" t="str">
        <f t="shared" si="282"/>
        <v>0.0946225268388804-2.3809275868448i</v>
      </c>
      <c r="AD415" s="337">
        <f t="shared" si="283"/>
        <v>2.3828070833334318</v>
      </c>
      <c r="AE415" s="339">
        <f t="shared" si="284"/>
        <v>-1.5310753548571558</v>
      </c>
      <c r="AF415" s="736" t="str">
        <f t="shared" si="256"/>
        <v>-0.146908244571576+0.055651377547397i</v>
      </c>
      <c r="AG415" s="337">
        <f t="shared" si="285"/>
        <v>-16.076705388956263</v>
      </c>
      <c r="AH415" s="730">
        <f t="shared" si="286"/>
        <v>159.25244793559767</v>
      </c>
      <c r="AI415" s="360">
        <f t="shared" si="257"/>
        <v>-20.747552064402328</v>
      </c>
      <c r="AL415" s="337">
        <f t="shared" si="258"/>
        <v>7.5417776489830999</v>
      </c>
      <c r="AM415" s="730">
        <f t="shared" si="259"/>
        <v>-87.724155949809884</v>
      </c>
      <c r="AN415" s="351"/>
      <c r="AO415" s="337">
        <f t="shared" si="260"/>
        <v>29.653448160800082</v>
      </c>
      <c r="AP415" s="730">
        <f t="shared" si="261"/>
        <v>-113.02339611459252</v>
      </c>
      <c r="AS415" s="351"/>
      <c r="AT415" s="351"/>
      <c r="AV415" s="405">
        <f t="shared" si="262"/>
        <v>0</v>
      </c>
      <c r="AW415" s="405">
        <f t="shared" si="287"/>
        <v>0</v>
      </c>
      <c r="AX415" s="405">
        <f t="shared" si="263"/>
        <v>0</v>
      </c>
      <c r="AY415" s="405">
        <f t="shared" si="264"/>
        <v>0</v>
      </c>
    </row>
    <row r="416" spans="2:51" ht="13.5" thickBot="1" x14ac:dyDescent="0.25">
      <c r="B416" s="345">
        <v>39584.5</v>
      </c>
      <c r="C416" s="728" t="str">
        <f t="shared" si="247"/>
        <v>2.16217503399043</v>
      </c>
      <c r="D416" s="728" t="str">
        <f t="shared" si="248"/>
        <v>1+30.2605377696994i</v>
      </c>
      <c r="E416" s="337">
        <f t="shared" si="266"/>
        <v>30.277056430759647</v>
      </c>
      <c r="F416" s="338">
        <f t="shared" si="267"/>
        <v>1.5377620091049822</v>
      </c>
      <c r="G416" s="338" t="str">
        <f t="shared" si="249"/>
        <v>1+0.124358374396025i</v>
      </c>
      <c r="H416" s="337">
        <f t="shared" si="268"/>
        <v>1.0077028358015183</v>
      </c>
      <c r="I416" s="338">
        <f t="shared" si="269"/>
        <v>0.12372319029684246</v>
      </c>
      <c r="J416" s="340">
        <f t="shared" si="250"/>
        <v>1</v>
      </c>
      <c r="K416" s="338">
        <f t="shared" si="270"/>
        <v>1</v>
      </c>
      <c r="L416" s="339">
        <f t="shared" si="271"/>
        <v>0</v>
      </c>
      <c r="M416" s="731" t="str">
        <f t="shared" si="251"/>
        <v>0.930358549322222+0.584644807396024i</v>
      </c>
      <c r="N416" s="338">
        <f t="shared" si="272"/>
        <v>1.0988068898182624</v>
      </c>
      <c r="O416" s="339">
        <f t="shared" si="273"/>
        <v>0.56104629930563443</v>
      </c>
      <c r="P416" s="732" t="str">
        <f t="shared" si="265"/>
        <v>-0.0257622628096938-0.0602121989395797i</v>
      </c>
      <c r="Q416" s="337">
        <f t="shared" si="274"/>
        <v>6.5492007804122593E-2</v>
      </c>
      <c r="R416" s="339">
        <f t="shared" si="275"/>
        <v>-1.9750851181137736</v>
      </c>
      <c r="S416" s="731" t="str">
        <f t="shared" si="252"/>
        <v>6000</v>
      </c>
      <c r="T416" s="337" t="str">
        <f t="shared" si="253"/>
        <v>1+251203.916279971i</v>
      </c>
      <c r="U416" s="346">
        <f t="shared" si="276"/>
        <v>251203.9162819614</v>
      </c>
      <c r="V416" s="347">
        <f t="shared" si="277"/>
        <v>1.5707923459652391</v>
      </c>
      <c r="W416" s="340" t="str">
        <f t="shared" si="254"/>
        <v>1+2487.1674879205i</v>
      </c>
      <c r="X416" s="337">
        <f t="shared" si="278"/>
        <v>2487.1676889523901</v>
      </c>
      <c r="Y416" s="339">
        <f t="shared" si="279"/>
        <v>1.5703942630211574</v>
      </c>
      <c r="Z416" s="337" t="str">
        <f t="shared" si="255"/>
        <v>1+25.0543725715127i</v>
      </c>
      <c r="AA416" s="346">
        <f t="shared" si="280"/>
        <v>25.074321226150232</v>
      </c>
      <c r="AB416" s="347">
        <f t="shared" si="281"/>
        <v>1.5309043086189518</v>
      </c>
      <c r="AC416" s="732" t="str">
        <f t="shared" si="282"/>
        <v>0.0935444940035568-2.36734709779305i</v>
      </c>
      <c r="AD416" s="337">
        <f t="shared" si="283"/>
        <v>2.3691945580275924</v>
      </c>
      <c r="AE416" s="339">
        <f t="shared" si="284"/>
        <v>-1.5313023915630337</v>
      </c>
      <c r="AF416" s="736" t="str">
        <f t="shared" si="256"/>
        <v>-0.144953092250271+0.055355698412466i</v>
      </c>
      <c r="AG416" s="337">
        <f t="shared" si="285"/>
        <v>-16.184219373789329</v>
      </c>
      <c r="AH416" s="730">
        <f t="shared" si="286"/>
        <v>159.09879435813178</v>
      </c>
      <c r="AI416" s="360">
        <f t="shared" si="257"/>
        <v>-20.901205641868216</v>
      </c>
      <c r="AL416" s="337">
        <f t="shared" si="258"/>
        <v>7.4920145281599719</v>
      </c>
      <c r="AM416" s="730">
        <f t="shared" si="259"/>
        <v>-87.737164194851232</v>
      </c>
      <c r="AN416" s="351"/>
      <c r="AO416" s="337">
        <f t="shared" si="260"/>
        <v>29.595697296790149</v>
      </c>
      <c r="AP416" s="730">
        <f t="shared" si="261"/>
        <v>-113.16404144701697</v>
      </c>
      <c r="AS416" s="351"/>
      <c r="AT416" s="351"/>
      <c r="AV416" s="405">
        <f t="shared" si="262"/>
        <v>0</v>
      </c>
      <c r="AW416" s="405">
        <f t="shared" si="287"/>
        <v>0</v>
      </c>
      <c r="AX416" s="405">
        <f t="shared" si="263"/>
        <v>0</v>
      </c>
      <c r="AY416" s="405">
        <f t="shared" si="264"/>
        <v>0</v>
      </c>
    </row>
    <row r="417" spans="2:51" ht="13.5" thickBot="1" x14ac:dyDescent="0.25">
      <c r="B417" s="345">
        <v>39811</v>
      </c>
      <c r="C417" s="728" t="str">
        <f t="shared" si="247"/>
        <v>2.16217503399043</v>
      </c>
      <c r="D417" s="728" t="str">
        <f t="shared" si="248"/>
        <v>1+30.4336866488021i</v>
      </c>
      <c r="E417" s="337">
        <f t="shared" si="266"/>
        <v>30.450111379721999</v>
      </c>
      <c r="F417" s="338">
        <f t="shared" si="267"/>
        <v>1.5379498184297153</v>
      </c>
      <c r="G417" s="338" t="str">
        <f t="shared" si="249"/>
        <v>1+0.125069945132063i</v>
      </c>
      <c r="H417" s="337">
        <f t="shared" si="268"/>
        <v>1.0077908965531179</v>
      </c>
      <c r="I417" s="338">
        <f t="shared" si="269"/>
        <v>0.12442386300689752</v>
      </c>
      <c r="J417" s="340">
        <f t="shared" si="250"/>
        <v>1</v>
      </c>
      <c r="K417" s="338">
        <f t="shared" si="270"/>
        <v>1</v>
      </c>
      <c r="L417" s="339">
        <f t="shared" si="271"/>
        <v>0</v>
      </c>
      <c r="M417" s="731" t="str">
        <f t="shared" si="251"/>
        <v>0.929559301288889+0.587990107927173i</v>
      </c>
      <c r="N417" s="338">
        <f t="shared" si="272"/>
        <v>1.0999149338166547</v>
      </c>
      <c r="O417" s="339">
        <f t="shared" si="273"/>
        <v>0.56400809630022464</v>
      </c>
      <c r="P417" s="732" t="str">
        <f t="shared" si="265"/>
        <v>-0.0257386869257885-0.0597520602905181i</v>
      </c>
      <c r="Q417" s="337">
        <f t="shared" si="274"/>
        <v>6.5059885594930658E-2</v>
      </c>
      <c r="R417" s="339">
        <f t="shared" si="275"/>
        <v>-1.9775340517230415</v>
      </c>
      <c r="S417" s="731" t="str">
        <f t="shared" si="252"/>
        <v>6000</v>
      </c>
      <c r="T417" s="337" t="str">
        <f t="shared" si="253"/>
        <v>1+252641.289166768i</v>
      </c>
      <c r="U417" s="346">
        <f t="shared" si="276"/>
        <v>252641.28916874711</v>
      </c>
      <c r="V417" s="347">
        <f t="shared" si="277"/>
        <v>1.5707923686137011</v>
      </c>
      <c r="W417" s="340" t="str">
        <f t="shared" si="254"/>
        <v>1+2501.39890264127i</v>
      </c>
      <c r="X417" s="337">
        <f t="shared" si="278"/>
        <v>2501.3991025294126</v>
      </c>
      <c r="Y417" s="339">
        <f t="shared" si="279"/>
        <v>1.5703965505154434</v>
      </c>
      <c r="Z417" s="337" t="str">
        <f t="shared" si="255"/>
        <v>1+25.1977321033358i</v>
      </c>
      <c r="AA417" s="346">
        <f t="shared" si="280"/>
        <v>25.217567351976669</v>
      </c>
      <c r="AB417" s="347">
        <f t="shared" si="281"/>
        <v>1.5311310309003474</v>
      </c>
      <c r="AC417" s="732" t="str">
        <f t="shared" si="282"/>
        <v>0.0924847702191198-2.35392041131593i</v>
      </c>
      <c r="AD417" s="337">
        <f t="shared" si="283"/>
        <v>2.3557365590261234</v>
      </c>
      <c r="AE417" s="339">
        <f t="shared" si="284"/>
        <v>-1.5315268489986051</v>
      </c>
      <c r="AF417" s="736" t="str">
        <f t="shared" si="256"/>
        <v>-0.143032030882104+0.0550606649489965i</v>
      </c>
      <c r="AG417" s="337">
        <f t="shared" si="285"/>
        <v>-16.291199657414886</v>
      </c>
      <c r="AH417" s="730">
        <f t="shared" si="286"/>
        <v>158.94562033427445</v>
      </c>
      <c r="AI417" s="360">
        <f t="shared" si="257"/>
        <v>-21.054379665725548</v>
      </c>
      <c r="AL417" s="337">
        <f t="shared" si="258"/>
        <v>7.4425344374261808</v>
      </c>
      <c r="AM417" s="730">
        <f t="shared" si="259"/>
        <v>-87.750024658589808</v>
      </c>
      <c r="AN417" s="351"/>
      <c r="AO417" s="337">
        <f t="shared" si="260"/>
        <v>29.538197103898362</v>
      </c>
      <c r="AP417" s="730">
        <f t="shared" si="261"/>
        <v>-113.30435500713574</v>
      </c>
      <c r="AS417" s="351"/>
      <c r="AT417" s="351"/>
      <c r="AV417" s="405">
        <f t="shared" si="262"/>
        <v>0</v>
      </c>
      <c r="AW417" s="405">
        <f t="shared" si="287"/>
        <v>0</v>
      </c>
      <c r="AX417" s="405">
        <f t="shared" si="263"/>
        <v>0</v>
      </c>
      <c r="AY417" s="405">
        <f t="shared" si="264"/>
        <v>0</v>
      </c>
    </row>
    <row r="418" spans="2:51" ht="13.5" thickBot="1" x14ac:dyDescent="0.25">
      <c r="B418" s="345">
        <v>40042.75</v>
      </c>
      <c r="C418" s="728" t="str">
        <f t="shared" si="247"/>
        <v>2.16217503399043</v>
      </c>
      <c r="D418" s="728" t="str">
        <f t="shared" si="248"/>
        <v>1+30.6108489125196i</v>
      </c>
      <c r="E418" s="337">
        <f t="shared" si="266"/>
        <v>30.627178635080025</v>
      </c>
      <c r="F418" s="338">
        <f t="shared" si="267"/>
        <v>1.538139784197126</v>
      </c>
      <c r="G418" s="338" t="str">
        <f t="shared" si="249"/>
        <v>1+0.125798009229532i</v>
      </c>
      <c r="H418" s="337">
        <f t="shared" si="268"/>
        <v>1.0078815104594951</v>
      </c>
      <c r="I418" s="338">
        <f t="shared" si="269"/>
        <v>0.12514064938527378</v>
      </c>
      <c r="J418" s="340">
        <f t="shared" si="250"/>
        <v>1</v>
      </c>
      <c r="K418" s="338">
        <f t="shared" si="270"/>
        <v>1</v>
      </c>
      <c r="L418" s="339">
        <f t="shared" si="271"/>
        <v>0</v>
      </c>
      <c r="M418" s="731" t="str">
        <f t="shared" si="251"/>
        <v>0.928736807663889+0.591412948536855i</v>
      </c>
      <c r="N418" s="338">
        <f t="shared" si="272"/>
        <v>1.1010546460583908</v>
      </c>
      <c r="O418" s="339">
        <f t="shared" si="273"/>
        <v>0.56703464950239513</v>
      </c>
      <c r="P418" s="732" t="str">
        <f t="shared" si="265"/>
        <v>-0.0257139722770412-0.0592863619345654i</v>
      </c>
      <c r="Q418" s="337">
        <f t="shared" si="274"/>
        <v>6.462260503647875E-2</v>
      </c>
      <c r="R418" s="339">
        <f t="shared" si="275"/>
        <v>-1.9800337843142468</v>
      </c>
      <c r="S418" s="731" t="str">
        <f t="shared" si="252"/>
        <v>6000</v>
      </c>
      <c r="T418" s="337" t="str">
        <f t="shared" si="253"/>
        <v>1+254111.978643656i</v>
      </c>
      <c r="U418" s="346">
        <f t="shared" si="276"/>
        <v>254111.97864562363</v>
      </c>
      <c r="V418" s="347">
        <f t="shared" si="277"/>
        <v>1.5707923915219302</v>
      </c>
      <c r="W418" s="340" t="str">
        <f t="shared" si="254"/>
        <v>1+2515.96018459065i</v>
      </c>
      <c r="X418" s="337">
        <f t="shared" si="278"/>
        <v>2515.9603833219267</v>
      </c>
      <c r="Y418" s="339">
        <f t="shared" si="279"/>
        <v>1.5703988642462181</v>
      </c>
      <c r="Z418" s="337" t="str">
        <f t="shared" si="255"/>
        <v>1+25.3444145382142i</v>
      </c>
      <c r="AA418" s="346">
        <f t="shared" si="280"/>
        <v>25.364135078587704</v>
      </c>
      <c r="AB418" s="347">
        <f t="shared" si="281"/>
        <v>1.5313603577301709</v>
      </c>
      <c r="AC418" s="732" t="str">
        <f t="shared" si="282"/>
        <v>0.0914190041198634-2.34033899629063i</v>
      </c>
      <c r="AD418" s="337">
        <f t="shared" si="283"/>
        <v>2.3421238335905512</v>
      </c>
      <c r="AE418" s="339">
        <f t="shared" si="284"/>
        <v>-1.5317538850058832</v>
      </c>
      <c r="AF418" s="736" t="str">
        <f t="shared" si="256"/>
        <v>-0.141100930521197+0.0547595119035479i</v>
      </c>
      <c r="AG418" s="337">
        <f t="shared" si="285"/>
        <v>-16.400113707492793</v>
      </c>
      <c r="AH418" s="730">
        <f t="shared" si="286"/>
        <v>158.78938800187262</v>
      </c>
      <c r="AI418" s="360">
        <f t="shared" si="257"/>
        <v>-21.210611998127376</v>
      </c>
      <c r="AL418" s="337">
        <f t="shared" si="258"/>
        <v>7.3921970702630233</v>
      </c>
      <c r="AM418" s="730">
        <f t="shared" si="259"/>
        <v>-87.763032863604337</v>
      </c>
      <c r="AN418" s="351"/>
      <c r="AO418" s="337">
        <f t="shared" si="260"/>
        <v>29.479620420983593</v>
      </c>
      <c r="AP418" s="730">
        <f t="shared" si="261"/>
        <v>-113.44757913452317</v>
      </c>
      <c r="AS418" s="351"/>
      <c r="AT418" s="351"/>
      <c r="AV418" s="405">
        <f t="shared" si="262"/>
        <v>0</v>
      </c>
      <c r="AW418" s="405">
        <f t="shared" si="287"/>
        <v>0</v>
      </c>
      <c r="AX418" s="405">
        <f t="shared" si="263"/>
        <v>0</v>
      </c>
      <c r="AY418" s="405">
        <f t="shared" si="264"/>
        <v>0</v>
      </c>
    </row>
    <row r="419" spans="2:51" ht="13.5" thickBot="1" x14ac:dyDescent="0.25">
      <c r="B419" s="345">
        <v>40274.5</v>
      </c>
      <c r="C419" s="728" t="str">
        <f t="shared" si="247"/>
        <v>2.16217503399043</v>
      </c>
      <c r="D419" s="728" t="str">
        <f t="shared" si="248"/>
        <v>1+30.7880111762372i</v>
      </c>
      <c r="E419" s="337">
        <f t="shared" si="266"/>
        <v>30.804246982974718</v>
      </c>
      <c r="F419" s="338">
        <f t="shared" si="267"/>
        <v>1.5383275660565039</v>
      </c>
      <c r="G419" s="338" t="str">
        <f t="shared" si="249"/>
        <v>1+0.126526073327002i</v>
      </c>
      <c r="H419" s="337">
        <f t="shared" si="268"/>
        <v>1.0079726421047099</v>
      </c>
      <c r="I419" s="338">
        <f t="shared" si="269"/>
        <v>0.12585730652129606</v>
      </c>
      <c r="J419" s="340">
        <f t="shared" si="250"/>
        <v>1</v>
      </c>
      <c r="K419" s="338">
        <f t="shared" si="270"/>
        <v>1</v>
      </c>
      <c r="L419" s="339">
        <f t="shared" si="271"/>
        <v>0</v>
      </c>
      <c r="M419" s="731" t="str">
        <f t="shared" si="251"/>
        <v>0.927909539988889+0.594835789146539i</v>
      </c>
      <c r="N419" s="338">
        <f t="shared" si="272"/>
        <v>1.1022004039429389</v>
      </c>
      <c r="O419" s="339">
        <f t="shared" si="273"/>
        <v>0.57005725350825354</v>
      </c>
      <c r="P419" s="732" t="str">
        <f t="shared" si="265"/>
        <v>-0.025688671675746-0.0588257449046467i</v>
      </c>
      <c r="Q419" s="337">
        <f t="shared" si="274"/>
        <v>6.419015591234252E-2</v>
      </c>
      <c r="R419" s="339">
        <f t="shared" si="275"/>
        <v>-1.9825275130434596</v>
      </c>
      <c r="S419" s="731" t="str">
        <f t="shared" si="252"/>
        <v>6000</v>
      </c>
      <c r="T419" s="337" t="str">
        <f t="shared" si="253"/>
        <v>1+255582.668120544i</v>
      </c>
      <c r="U419" s="346">
        <f t="shared" si="276"/>
        <v>255582.6681225003</v>
      </c>
      <c r="V419" s="347">
        <f t="shared" si="277"/>
        <v>1.5707924141665195</v>
      </c>
      <c r="W419" s="340" t="str">
        <f t="shared" si="254"/>
        <v>1+2530.52146654004i</v>
      </c>
      <c r="X419" s="337">
        <f t="shared" si="278"/>
        <v>2530.5216641277652</v>
      </c>
      <c r="Y419" s="339">
        <f t="shared" si="279"/>
        <v>1.5704011513493736</v>
      </c>
      <c r="Z419" s="337" t="str">
        <f t="shared" si="255"/>
        <v>1+25.4910969730927i</v>
      </c>
      <c r="AA419" s="346">
        <f t="shared" si="280"/>
        <v>25.510704123791168</v>
      </c>
      <c r="AB419" s="347">
        <f t="shared" si="281"/>
        <v>1.5315870494258399</v>
      </c>
      <c r="AC419" s="732" t="str">
        <f t="shared" si="282"/>
        <v>0.0903715454317062-2.32691316510157i</v>
      </c>
      <c r="AD419" s="337">
        <f t="shared" si="283"/>
        <v>2.3286674073698719</v>
      </c>
      <c r="AE419" s="339">
        <f t="shared" si="284"/>
        <v>-1.5319783122429858</v>
      </c>
      <c r="AF419" s="736" t="str">
        <f t="shared" si="256"/>
        <v>-0.139203925224954+0.0544591348380609i</v>
      </c>
      <c r="AG419" s="337">
        <f t="shared" si="285"/>
        <v>-16.508482094563316</v>
      </c>
      <c r="AH419" s="730">
        <f t="shared" si="286"/>
        <v>158.63364913694443</v>
      </c>
      <c r="AI419" s="360">
        <f t="shared" si="257"/>
        <v>-21.366350863055573</v>
      </c>
      <c r="AL419" s="337">
        <f t="shared" si="258"/>
        <v>7.3421492944500475</v>
      </c>
      <c r="AM419" s="730">
        <f t="shared" si="259"/>
        <v>-87.775891597098095</v>
      </c>
      <c r="AN419" s="351"/>
      <c r="AO419" s="337">
        <f t="shared" si="260"/>
        <v>29.421299809726072</v>
      </c>
      <c r="AP419" s="730">
        <f t="shared" si="261"/>
        <v>-113.59045926595752</v>
      </c>
      <c r="AS419" s="351"/>
      <c r="AT419" s="351"/>
      <c r="AV419" s="405">
        <f t="shared" si="262"/>
        <v>0</v>
      </c>
      <c r="AW419" s="405">
        <f t="shared" si="287"/>
        <v>0</v>
      </c>
      <c r="AX419" s="405">
        <f t="shared" si="263"/>
        <v>0</v>
      </c>
      <c r="AY419" s="405">
        <f t="shared" si="264"/>
        <v>0</v>
      </c>
    </row>
    <row r="420" spans="2:51" ht="13.5" thickBot="1" x14ac:dyDescent="0.25">
      <c r="B420" s="345">
        <v>40506.25</v>
      </c>
      <c r="C420" s="728" t="str">
        <f t="shared" si="247"/>
        <v>2.16217503399043</v>
      </c>
      <c r="D420" s="728" t="str">
        <f t="shared" si="248"/>
        <v>1+30.9651734399547i</v>
      </c>
      <c r="E420" s="337">
        <f t="shared" si="266"/>
        <v>30.981316404673255</v>
      </c>
      <c r="F420" s="338">
        <f t="shared" si="267"/>
        <v>1.5385132014399621</v>
      </c>
      <c r="G420" s="338" t="str">
        <f t="shared" si="249"/>
        <v>1+0.127254137424472i</v>
      </c>
      <c r="H420" s="337">
        <f t="shared" si="268"/>
        <v>1.0080642913483477</v>
      </c>
      <c r="I420" s="338">
        <f t="shared" si="269"/>
        <v>0.1265738337139686</v>
      </c>
      <c r="J420" s="340">
        <f t="shared" si="250"/>
        <v>1</v>
      </c>
      <c r="K420" s="338">
        <f t="shared" si="270"/>
        <v>1</v>
      </c>
      <c r="L420" s="339">
        <f t="shared" si="271"/>
        <v>0</v>
      </c>
      <c r="M420" s="731" t="str">
        <f t="shared" si="251"/>
        <v>0.927077498263889+0.598258629756223i</v>
      </c>
      <c r="N420" s="338">
        <f t="shared" si="272"/>
        <v>1.1033521993747166</v>
      </c>
      <c r="O420" s="339">
        <f t="shared" si="273"/>
        <v>0.57307589854007113</v>
      </c>
      <c r="P420" s="732" t="str">
        <f t="shared" si="265"/>
        <v>-0.0256627980393139-0.0583701275142281i</v>
      </c>
      <c r="Q420" s="337">
        <f t="shared" si="274"/>
        <v>6.3762457521913798E-2</v>
      </c>
      <c r="R420" s="339">
        <f t="shared" si="275"/>
        <v>-1.9850152662660645</v>
      </c>
      <c r="S420" s="731" t="str">
        <f t="shared" si="252"/>
        <v>6000</v>
      </c>
      <c r="T420" s="337" t="str">
        <f t="shared" si="253"/>
        <v>1+257053.357597432i</v>
      </c>
      <c r="U420" s="346">
        <f t="shared" si="276"/>
        <v>257053.35759937708</v>
      </c>
      <c r="V420" s="347">
        <f t="shared" si="277"/>
        <v>1.5707924365519941</v>
      </c>
      <c r="W420" s="340" t="str">
        <f t="shared" si="254"/>
        <v>1+2545.08274848943i</v>
      </c>
      <c r="X420" s="337">
        <f t="shared" si="278"/>
        <v>2545.0829449466892</v>
      </c>
      <c r="Y420" s="339">
        <f t="shared" si="279"/>
        <v>1.570403412281947</v>
      </c>
      <c r="Z420" s="337" t="str">
        <f t="shared" si="255"/>
        <v>1+25.6377794079712i</v>
      </c>
      <c r="AA420" s="346">
        <f t="shared" si="280"/>
        <v>25.6572744649893</v>
      </c>
      <c r="AB420" s="347">
        <f t="shared" si="281"/>
        <v>1.5318111511244388</v>
      </c>
      <c r="AC420" s="732" t="str">
        <f t="shared" si="282"/>
        <v>0.0893419774479216-2.31364026355863i</v>
      </c>
      <c r="AD420" s="337">
        <f t="shared" si="283"/>
        <v>2.3153646058653381</v>
      </c>
      <c r="AE420" s="339">
        <f t="shared" si="284"/>
        <v>-1.5322001753944858</v>
      </c>
      <c r="AF420" s="736" t="str">
        <f t="shared" si="256"/>
        <v>-0.137340242329649+0.0541595802033216i</v>
      </c>
      <c r="AG420" s="337">
        <f t="shared" si="285"/>
        <v>-16.616311253602575</v>
      </c>
      <c r="AH420" s="730">
        <f t="shared" si="286"/>
        <v>158.47839955460873</v>
      </c>
      <c r="AI420" s="360">
        <f t="shared" si="257"/>
        <v>-21.521600445391272</v>
      </c>
      <c r="AL420" s="337">
        <f t="shared" si="258"/>
        <v>7.2923878020872106</v>
      </c>
      <c r="AM420" s="730">
        <f t="shared" si="259"/>
        <v>-87.788603419308529</v>
      </c>
      <c r="AN420" s="351"/>
      <c r="AO420" s="337">
        <f t="shared" si="260"/>
        <v>29.363232143049608</v>
      </c>
      <c r="AP420" s="730">
        <f t="shared" si="261"/>
        <v>-113.73299702608278</v>
      </c>
      <c r="AS420" s="351"/>
      <c r="AT420" s="351"/>
      <c r="AV420" s="405">
        <f t="shared" si="262"/>
        <v>0</v>
      </c>
      <c r="AW420" s="405">
        <f t="shared" si="287"/>
        <v>0</v>
      </c>
      <c r="AX420" s="405">
        <f t="shared" si="263"/>
        <v>0</v>
      </c>
      <c r="AY420" s="405">
        <f t="shared" si="264"/>
        <v>0</v>
      </c>
    </row>
    <row r="421" spans="2:51" ht="13.5" thickBot="1" x14ac:dyDescent="0.25">
      <c r="B421" s="345">
        <v>40738</v>
      </c>
      <c r="C421" s="728" t="str">
        <f t="shared" si="247"/>
        <v>2.16217503399043</v>
      </c>
      <c r="D421" s="728" t="str">
        <f t="shared" si="248"/>
        <v>1+31.1423357036723i</v>
      </c>
      <c r="E421" s="337">
        <f t="shared" si="266"/>
        <v>31.158386881868939</v>
      </c>
      <c r="F421" s="338">
        <f t="shared" si="267"/>
        <v>1.5386967269293195</v>
      </c>
      <c r="G421" s="338" t="str">
        <f t="shared" si="249"/>
        <v>1+0.127982201521941i</v>
      </c>
      <c r="H421" s="337">
        <f t="shared" si="268"/>
        <v>1.0081564580492468</v>
      </c>
      <c r="I421" s="338">
        <f t="shared" si="269"/>
        <v>0.12729023026308361</v>
      </c>
      <c r="J421" s="340">
        <f t="shared" si="250"/>
        <v>1</v>
      </c>
      <c r="K421" s="338">
        <f t="shared" si="270"/>
        <v>1</v>
      </c>
      <c r="L421" s="339">
        <f t="shared" si="271"/>
        <v>0</v>
      </c>
      <c r="M421" s="731" t="str">
        <f t="shared" si="251"/>
        <v>0.926240682488889+0.601681470365908i</v>
      </c>
      <c r="N421" s="338">
        <f t="shared" si="272"/>
        <v>1.1045100242547208</v>
      </c>
      <c r="O421" s="339">
        <f t="shared" si="273"/>
        <v>0.57609057497760363</v>
      </c>
      <c r="P421" s="732" t="str">
        <f t="shared" si="265"/>
        <v>-0.025636363974004-0.0579194299057866i</v>
      </c>
      <c r="Q421" s="337">
        <f t="shared" si="274"/>
        <v>6.3339430992225831E-2</v>
      </c>
      <c r="R421" s="339">
        <f t="shared" si="275"/>
        <v>-1.9874970716438398</v>
      </c>
      <c r="S421" s="731" t="str">
        <f t="shared" si="252"/>
        <v>6000</v>
      </c>
      <c r="T421" s="337" t="str">
        <f t="shared" si="253"/>
        <v>1+258524.047074321i</v>
      </c>
      <c r="U421" s="346">
        <f t="shared" si="276"/>
        <v>258524.04707625502</v>
      </c>
      <c r="V421" s="347">
        <f t="shared" si="277"/>
        <v>1.5707924586827759</v>
      </c>
      <c r="W421" s="340" t="str">
        <f t="shared" si="254"/>
        <v>1+2559.64403043882i</v>
      </c>
      <c r="X421" s="337">
        <f t="shared" si="278"/>
        <v>2559.6442257784747</v>
      </c>
      <c r="Y421" s="339">
        <f t="shared" si="279"/>
        <v>1.5704056474905748</v>
      </c>
      <c r="Z421" s="337" t="str">
        <f t="shared" si="255"/>
        <v>1+25.7844618428497i</v>
      </c>
      <c r="AA421" s="346">
        <f t="shared" si="280"/>
        <v>25.803846080097678</v>
      </c>
      <c r="AB421" s="347">
        <f t="shared" si="281"/>
        <v>1.5320327069385515</v>
      </c>
      <c r="AC421" s="732" t="str">
        <f t="shared" si="282"/>
        <v>0.0883298952449274-2.30051769741119i</v>
      </c>
      <c r="AD421" s="337">
        <f t="shared" si="283"/>
        <v>2.3022128152054195</v>
      </c>
      <c r="AE421" s="339">
        <f t="shared" si="284"/>
        <v>-1.5324195181307525</v>
      </c>
      <c r="AF421" s="736" t="str">
        <f t="shared" si="256"/>
        <v>-0.135509130866514+0.0538608918432468i</v>
      </c>
      <c r="AG421" s="337">
        <f t="shared" si="285"/>
        <v>-16.723607506802654</v>
      </c>
      <c r="AH421" s="730">
        <f t="shared" si="286"/>
        <v>158.32363516783437</v>
      </c>
      <c r="AI421" s="360">
        <f t="shared" si="257"/>
        <v>-21.676364832165632</v>
      </c>
      <c r="AL421" s="337">
        <f t="shared" si="258"/>
        <v>7.2429093415437071</v>
      </c>
      <c r="AM421" s="730">
        <f t="shared" si="259"/>
        <v>-87.801170832363454</v>
      </c>
      <c r="AN421" s="351"/>
      <c r="AO421" s="337">
        <f t="shared" si="260"/>
        <v>29.305414350393054</v>
      </c>
      <c r="AP421" s="730">
        <f t="shared" si="261"/>
        <v>-113.87519399980221</v>
      </c>
      <c r="AS421" s="351"/>
      <c r="AT421" s="351"/>
      <c r="AV421" s="405">
        <f t="shared" si="262"/>
        <v>0</v>
      </c>
      <c r="AW421" s="405">
        <f t="shared" si="287"/>
        <v>0</v>
      </c>
      <c r="AX421" s="405">
        <f t="shared" si="263"/>
        <v>0</v>
      </c>
      <c r="AY421" s="405">
        <f t="shared" si="264"/>
        <v>0</v>
      </c>
    </row>
    <row r="422" spans="2:51" ht="13.5" thickBot="1" x14ac:dyDescent="0.25">
      <c r="B422" s="345">
        <v>40975.25</v>
      </c>
      <c r="C422" s="728" t="str">
        <f t="shared" si="247"/>
        <v>2.16217503399043</v>
      </c>
      <c r="D422" s="728" t="str">
        <f t="shared" si="248"/>
        <v>1+31.3237024655579i</v>
      </c>
      <c r="E422" s="337">
        <f t="shared" si="266"/>
        <v>31.339660753600988</v>
      </c>
      <c r="F422" s="338">
        <f t="shared" si="267"/>
        <v>1.5388824596605766</v>
      </c>
      <c r="G422" s="338" t="str">
        <f t="shared" si="249"/>
        <v>1+0.128727544379005i</v>
      </c>
      <c r="H422" s="337">
        <f t="shared" si="268"/>
        <v>1.0082513479692694</v>
      </c>
      <c r="I422" s="338">
        <f t="shared" si="269"/>
        <v>0.12802349261072227</v>
      </c>
      <c r="J422" s="340">
        <f t="shared" si="250"/>
        <v>1</v>
      </c>
      <c r="K422" s="338">
        <f t="shared" si="270"/>
        <v>1</v>
      </c>
      <c r="L422" s="339">
        <f t="shared" si="271"/>
        <v>0</v>
      </c>
      <c r="M422" s="731" t="str">
        <f t="shared" si="251"/>
        <v>0.925379061663889+0.605185543438819i</v>
      </c>
      <c r="N422" s="338">
        <f t="shared" si="272"/>
        <v>1.1057015645070229</v>
      </c>
      <c r="O422" s="339">
        <f t="shared" si="273"/>
        <v>0.57917267626605906</v>
      </c>
      <c r="P422" s="732" t="str">
        <f t="shared" si="265"/>
        <v>-0.0256087348714862-0.0574630509241699i</v>
      </c>
      <c r="Q422" s="337">
        <f t="shared" si="274"/>
        <v>6.2911124002292443E-2</v>
      </c>
      <c r="R422" s="339">
        <f t="shared" si="275"/>
        <v>-1.9900316433159129</v>
      </c>
      <c r="S422" s="731" t="str">
        <f t="shared" si="252"/>
        <v>6000</v>
      </c>
      <c r="T422" s="337" t="str">
        <f t="shared" si="253"/>
        <v>1+260029.63964559i</v>
      </c>
      <c r="U422" s="346">
        <f t="shared" si="276"/>
        <v>260029.63964751287</v>
      </c>
      <c r="V422" s="347">
        <f t="shared" si="277"/>
        <v>1.5707924810794569</v>
      </c>
      <c r="W422" s="340" t="str">
        <f t="shared" si="254"/>
        <v>1+2574.5508875801i</v>
      </c>
      <c r="X422" s="337">
        <f t="shared" si="278"/>
        <v>2574.5510817887225</v>
      </c>
      <c r="Y422" s="339">
        <f t="shared" si="279"/>
        <v>1.5704079095550065</v>
      </c>
      <c r="Z422" s="337" t="str">
        <f t="shared" si="255"/>
        <v>1+25.9346254142625i</v>
      </c>
      <c r="AA422" s="346">
        <f t="shared" si="280"/>
        <v>25.953897498797943</v>
      </c>
      <c r="AB422" s="347">
        <f t="shared" si="281"/>
        <v>1.5322569285991365</v>
      </c>
      <c r="AC422" s="732" t="str">
        <f t="shared" si="282"/>
        <v>0.0873114961929108-2.28723678241766i</v>
      </c>
      <c r="AD422" s="337">
        <f t="shared" si="283"/>
        <v>2.2889026620220738</v>
      </c>
      <c r="AE422" s="339">
        <f t="shared" si="284"/>
        <v>-1.5326415001235869</v>
      </c>
      <c r="AF422" s="736" t="str">
        <f t="shared" si="256"/>
        <v>-0.133667540660938+0.0535560553972463i</v>
      </c>
      <c r="AG422" s="337">
        <f t="shared" si="285"/>
        <v>-16.832904623560406</v>
      </c>
      <c r="AH422" s="730">
        <f t="shared" si="286"/>
        <v>158.1656962768339</v>
      </c>
      <c r="AI422" s="360">
        <f t="shared" si="257"/>
        <v>-21.834303723166101</v>
      </c>
      <c r="AL422" s="337">
        <f t="shared" si="258"/>
        <v>7.192546484809867</v>
      </c>
      <c r="AM422" s="730">
        <f t="shared" si="259"/>
        <v>-87.813889463680766</v>
      </c>
      <c r="AN422" s="351"/>
      <c r="AO422" s="337">
        <f t="shared" si="260"/>
        <v>29.24648009036914</v>
      </c>
      <c r="AP422" s="730">
        <f t="shared" si="261"/>
        <v>-114.02041425948541</v>
      </c>
      <c r="AS422" s="351"/>
      <c r="AT422" s="351"/>
      <c r="AV422" s="405">
        <f t="shared" si="262"/>
        <v>0</v>
      </c>
      <c r="AW422" s="405">
        <f t="shared" si="287"/>
        <v>0</v>
      </c>
      <c r="AX422" s="405">
        <f t="shared" si="263"/>
        <v>0</v>
      </c>
      <c r="AY422" s="405">
        <f t="shared" si="264"/>
        <v>0</v>
      </c>
    </row>
    <row r="423" spans="2:51" ht="13.5" thickBot="1" x14ac:dyDescent="0.25">
      <c r="B423" s="345">
        <v>41212.5</v>
      </c>
      <c r="C423" s="728" t="str">
        <f t="shared" si="247"/>
        <v>2.16217503399043</v>
      </c>
      <c r="D423" s="728" t="str">
        <f t="shared" si="248"/>
        <v>1+31.5050692274436i</v>
      </c>
      <c r="E423" s="337">
        <f t="shared" si="266"/>
        <v>31.52093569401158</v>
      </c>
      <c r="F423" s="338">
        <f t="shared" si="267"/>
        <v>1.5390660561233387</v>
      </c>
      <c r="G423" s="338" t="str">
        <f t="shared" si="249"/>
        <v>1+0.12947288723607i</v>
      </c>
      <c r="H423" s="337">
        <f t="shared" si="268"/>
        <v>1.0083467798972952</v>
      </c>
      <c r="I423" s="338">
        <f t="shared" si="269"/>
        <v>0.12875661655769174</v>
      </c>
      <c r="J423" s="340">
        <f t="shared" si="250"/>
        <v>1</v>
      </c>
      <c r="K423" s="338">
        <f t="shared" si="270"/>
        <v>1</v>
      </c>
      <c r="L423" s="339">
        <f t="shared" si="271"/>
        <v>0</v>
      </c>
      <c r="M423" s="731" t="str">
        <f t="shared" si="251"/>
        <v>0.9245124375+0.608689616511733i</v>
      </c>
      <c r="N423" s="338">
        <f t="shared" si="272"/>
        <v>1.106899406604499</v>
      </c>
      <c r="O423" s="339">
        <f t="shared" si="273"/>
        <v>0.58225059845515692</v>
      </c>
      <c r="P423" s="732" t="str">
        <f t="shared" si="265"/>
        <v>-0.0255805442046415-0.0570116642917875i</v>
      </c>
      <c r="Q423" s="337">
        <f t="shared" si="274"/>
        <v>6.2487551617302912E-2</v>
      </c>
      <c r="R423" s="339">
        <f t="shared" si="275"/>
        <v>-1.9925600380208024</v>
      </c>
      <c r="S423" s="731" t="str">
        <f t="shared" si="252"/>
        <v>6000</v>
      </c>
      <c r="T423" s="337" t="str">
        <f t="shared" si="253"/>
        <v>1+261535.23221686i</v>
      </c>
      <c r="U423" s="346">
        <f t="shared" si="276"/>
        <v>261535.23221877174</v>
      </c>
      <c r="V423" s="347">
        <f t="shared" si="277"/>
        <v>1.5707925032182737</v>
      </c>
      <c r="W423" s="340" t="str">
        <f t="shared" si="254"/>
        <v>1+2589.45774472139i</v>
      </c>
      <c r="X423" s="337">
        <f t="shared" si="278"/>
        <v>2589.457937812002</v>
      </c>
      <c r="Y423" s="339">
        <f t="shared" si="279"/>
        <v>1.5704101455751696</v>
      </c>
      <c r="Z423" s="337" t="str">
        <f t="shared" si="255"/>
        <v>1+26.0847889856754i</v>
      </c>
      <c r="AA423" s="346">
        <f t="shared" si="280"/>
        <v>26.103950207338588</v>
      </c>
      <c r="AB423" s="347">
        <f t="shared" si="281"/>
        <v>1.5324785724948113</v>
      </c>
      <c r="AC423" s="732" t="str">
        <f t="shared" si="282"/>
        <v>0.0863106000537276-2.27410810620056i</v>
      </c>
      <c r="AD423" s="337">
        <f t="shared" si="283"/>
        <v>2.2757454159832404</v>
      </c>
      <c r="AE423" s="339">
        <f t="shared" si="284"/>
        <v>-1.5328609301379155</v>
      </c>
      <c r="AF423" s="736" t="str">
        <f t="shared" si="256"/>
        <v>-0.131858560033942+0.0532522119817111i</v>
      </c>
      <c r="AG423" s="337">
        <f t="shared" si="285"/>
        <v>-16.941656297719458</v>
      </c>
      <c r="AH423" s="730">
        <f t="shared" si="286"/>
        <v>158.00825751758083</v>
      </c>
      <c r="AI423" s="360">
        <f t="shared" si="257"/>
        <v>-21.99174248241917</v>
      </c>
      <c r="AL423" s="337">
        <f t="shared" si="258"/>
        <v>7.1424735321604738</v>
      </c>
      <c r="AM423" s="730">
        <f t="shared" si="259"/>
        <v>-87.826461877400291</v>
      </c>
      <c r="AN423" s="351"/>
      <c r="AO423" s="337">
        <f t="shared" si="260"/>
        <v>29.187801368859525</v>
      </c>
      <c r="AP423" s="730">
        <f t="shared" si="261"/>
        <v>-114.16528060501875</v>
      </c>
      <c r="AS423" s="351"/>
      <c r="AT423" s="351"/>
      <c r="AV423" s="405">
        <f t="shared" si="262"/>
        <v>0</v>
      </c>
      <c r="AW423" s="405">
        <f t="shared" si="287"/>
        <v>0</v>
      </c>
      <c r="AX423" s="405">
        <f t="shared" si="263"/>
        <v>0</v>
      </c>
      <c r="AY423" s="405">
        <f t="shared" si="264"/>
        <v>0</v>
      </c>
    </row>
    <row r="424" spans="2:51" ht="13.5" thickBot="1" x14ac:dyDescent="0.25">
      <c r="B424" s="345">
        <v>41449.75</v>
      </c>
      <c r="C424" s="728" t="str">
        <f t="shared" si="247"/>
        <v>2.16217503399043</v>
      </c>
      <c r="D424" s="728" t="str">
        <f t="shared" si="248"/>
        <v>1+31.6864359893292i</v>
      </c>
      <c r="E424" s="337">
        <f t="shared" si="266"/>
        <v>31.702211684768255</v>
      </c>
      <c r="F424" s="338">
        <f t="shared" si="267"/>
        <v>1.539247552951226</v>
      </c>
      <c r="G424" s="338" t="str">
        <f t="shared" si="249"/>
        <v>1+0.130218230093133i</v>
      </c>
      <c r="H424" s="337">
        <f t="shared" si="268"/>
        <v>1.008442753679448</v>
      </c>
      <c r="I424" s="338">
        <f t="shared" si="269"/>
        <v>0.12948960135532789</v>
      </c>
      <c r="J424" s="340">
        <f t="shared" si="250"/>
        <v>1</v>
      </c>
      <c r="K424" s="338">
        <f t="shared" si="270"/>
        <v>1</v>
      </c>
      <c r="L424" s="339">
        <f t="shared" si="271"/>
        <v>0</v>
      </c>
      <c r="M424" s="731" t="str">
        <f t="shared" si="251"/>
        <v>0.923640809997222+0.612193689584645i</v>
      </c>
      <c r="N424" s="338">
        <f t="shared" si="272"/>
        <v>1.1081035418495804</v>
      </c>
      <c r="O424" s="339">
        <f t="shared" si="273"/>
        <v>0.58532433173233955</v>
      </c>
      <c r="P424" s="732" t="str">
        <f t="shared" si="265"/>
        <v>-0.0255518045498041-0.0565651899536753i</v>
      </c>
      <c r="Q424" s="337">
        <f t="shared" si="274"/>
        <v>6.2068634834727583E-2</v>
      </c>
      <c r="R424" s="339">
        <f t="shared" si="275"/>
        <v>-1.9950822833282371</v>
      </c>
      <c r="S424" s="731" t="str">
        <f t="shared" si="252"/>
        <v>6000</v>
      </c>
      <c r="T424" s="337" t="str">
        <f t="shared" si="253"/>
        <v>1+263040.82478813i</v>
      </c>
      <c r="U424" s="346">
        <f t="shared" si="276"/>
        <v>263040.82479003083</v>
      </c>
      <c r="V424" s="347">
        <f t="shared" si="277"/>
        <v>1.5707925251036543</v>
      </c>
      <c r="W424" s="340" t="str">
        <f t="shared" si="254"/>
        <v>1+2604.36460186267i</v>
      </c>
      <c r="X424" s="337">
        <f t="shared" si="278"/>
        <v>2604.3647938480708</v>
      </c>
      <c r="Y424" s="339">
        <f t="shared" si="279"/>
        <v>1.5704123559982808</v>
      </c>
      <c r="Z424" s="337" t="str">
        <f t="shared" si="255"/>
        <v>1+26.2349525570882i</v>
      </c>
      <c r="AA424" s="346">
        <f t="shared" si="280"/>
        <v>26.254004183603474</v>
      </c>
      <c r="AB424" s="347">
        <f t="shared" si="281"/>
        <v>1.5326976828030248</v>
      </c>
      <c r="AC424" s="732" t="str">
        <f t="shared" si="282"/>
        <v>0.0853268082158874-2.26112906980175i</v>
      </c>
      <c r="AD424" s="337">
        <f t="shared" si="283"/>
        <v>2.2627384591469775</v>
      </c>
      <c r="AE424" s="339">
        <f t="shared" si="284"/>
        <v>-1.5330778519083983</v>
      </c>
      <c r="AF424" s="736" t="str">
        <f t="shared" si="256"/>
        <v>-0.130081449269504+0.0529494009385822i</v>
      </c>
      <c r="AG424" s="337">
        <f t="shared" si="285"/>
        <v>-17.049868961521558</v>
      </c>
      <c r="AH424" s="730">
        <f t="shared" si="286"/>
        <v>157.851314804635</v>
      </c>
      <c r="AI424" s="360">
        <f t="shared" si="257"/>
        <v>-22.148685195365005</v>
      </c>
      <c r="AL424" s="337">
        <f t="shared" si="258"/>
        <v>7.0926871700051564</v>
      </c>
      <c r="AM424" s="730">
        <f t="shared" si="259"/>
        <v>-87.838890579333466</v>
      </c>
      <c r="AN424" s="351"/>
      <c r="AO424" s="337">
        <f t="shared" si="260"/>
        <v>29.129375067212713</v>
      </c>
      <c r="AP424" s="730">
        <f t="shared" si="261"/>
        <v>-114.30979461603151</v>
      </c>
      <c r="AS424" s="351"/>
      <c r="AT424" s="351"/>
      <c r="AV424" s="405">
        <f t="shared" si="262"/>
        <v>0</v>
      </c>
      <c r="AW424" s="405">
        <f t="shared" si="287"/>
        <v>0</v>
      </c>
      <c r="AX424" s="405">
        <f t="shared" si="263"/>
        <v>0</v>
      </c>
      <c r="AY424" s="405">
        <f t="shared" si="264"/>
        <v>0</v>
      </c>
    </row>
    <row r="425" spans="2:51" ht="13.5" thickBot="1" x14ac:dyDescent="0.25">
      <c r="B425" s="345">
        <v>41687</v>
      </c>
      <c r="C425" s="728" t="str">
        <f t="shared" si="247"/>
        <v>2.16217503399043</v>
      </c>
      <c r="D425" s="728" t="str">
        <f t="shared" si="248"/>
        <v>1+31.8678027512147i</v>
      </c>
      <c r="E425" s="337">
        <f t="shared" si="266"/>
        <v>31.883488707955522</v>
      </c>
      <c r="F425" s="338">
        <f t="shared" si="267"/>
        <v>1.5394269859452807</v>
      </c>
      <c r="G425" s="338" t="str">
        <f t="shared" si="249"/>
        <v>1+0.130963572950198i</v>
      </c>
      <c r="H425" s="337">
        <f t="shared" si="268"/>
        <v>1.0085392691610386</v>
      </c>
      <c r="I425" s="338">
        <f t="shared" si="269"/>
        <v>0.13022244625585583</v>
      </c>
      <c r="J425" s="340">
        <f t="shared" si="250"/>
        <v>1</v>
      </c>
      <c r="K425" s="338">
        <f t="shared" si="270"/>
        <v>1</v>
      </c>
      <c r="L425" s="339">
        <f t="shared" si="271"/>
        <v>0</v>
      </c>
      <c r="M425" s="731" t="str">
        <f t="shared" si="251"/>
        <v>0.922764179155556+0.615697762657557i</v>
      </c>
      <c r="N425" s="338">
        <f t="shared" si="272"/>
        <v>1.1093139615429657</v>
      </c>
      <c r="O425" s="339">
        <f t="shared" si="273"/>
        <v>0.58839386645535896</v>
      </c>
      <c r="P425" s="732" t="str">
        <f t="shared" si="265"/>
        <v>-0.0255225281836878-0.0561235496452315i</v>
      </c>
      <c r="Q425" s="337">
        <f t="shared" si="274"/>
        <v>6.165429644126922E-2</v>
      </c>
      <c r="R425" s="339">
        <f t="shared" si="275"/>
        <v>-1.9975984061447845</v>
      </c>
      <c r="S425" s="731" t="str">
        <f t="shared" si="252"/>
        <v>6000</v>
      </c>
      <c r="T425" s="337" t="str">
        <f t="shared" si="253"/>
        <v>1+264546.417359399i</v>
      </c>
      <c r="U425" s="346">
        <f t="shared" si="276"/>
        <v>264546.41736128909</v>
      </c>
      <c r="V425" s="347">
        <f t="shared" si="277"/>
        <v>1.5707925467399257</v>
      </c>
      <c r="W425" s="340" t="str">
        <f t="shared" si="254"/>
        <v>1+2619.27145900395i</v>
      </c>
      <c r="X425" s="337">
        <f t="shared" si="278"/>
        <v>2619.2716498967193</v>
      </c>
      <c r="Y425" s="339">
        <f t="shared" si="279"/>
        <v>1.5704145412613753</v>
      </c>
      <c r="Z425" s="337" t="str">
        <f t="shared" si="255"/>
        <v>1+26.385116128501i</v>
      </c>
      <c r="AA425" s="346">
        <f t="shared" si="280"/>
        <v>26.404059405979293</v>
      </c>
      <c r="AB425" s="347">
        <f t="shared" si="281"/>
        <v>1.5329143026979637</v>
      </c>
      <c r="AC425" s="732" t="str">
        <f t="shared" si="282"/>
        <v>0.0843597333457128-2.24829713300064i</v>
      </c>
      <c r="AD425" s="337">
        <f t="shared" si="283"/>
        <v>2.2498792329520838</v>
      </c>
      <c r="AE425" s="339">
        <f t="shared" si="284"/>
        <v>-1.533292308176514</v>
      </c>
      <c r="AF425" s="736" t="str">
        <f t="shared" si="256"/>
        <v>-0.128335489433077+0.0526476592598267i</v>
      </c>
      <c r="AG425" s="337">
        <f t="shared" si="285"/>
        <v>-17.157548934213867</v>
      </c>
      <c r="AH425" s="730">
        <f t="shared" si="286"/>
        <v>157.69486414745708</v>
      </c>
      <c r="AI425" s="360">
        <f t="shared" si="257"/>
        <v>-22.305135852542918</v>
      </c>
      <c r="AL425" s="337">
        <f t="shared" si="258"/>
        <v>7.0431841411595002</v>
      </c>
      <c r="AM425" s="730">
        <f t="shared" si="259"/>
        <v>-87.851178018386619</v>
      </c>
      <c r="AN425" s="351"/>
      <c r="AO425" s="337">
        <f t="shared" si="260"/>
        <v>29.071198123366081</v>
      </c>
      <c r="AP425" s="730">
        <f t="shared" si="261"/>
        <v>-114.45395783415628</v>
      </c>
      <c r="AS425" s="351"/>
      <c r="AT425" s="351"/>
      <c r="AV425" s="405">
        <f t="shared" si="262"/>
        <v>0</v>
      </c>
      <c r="AW425" s="405">
        <f t="shared" si="287"/>
        <v>0</v>
      </c>
      <c r="AX425" s="405">
        <f t="shared" si="263"/>
        <v>0</v>
      </c>
      <c r="AY425" s="405">
        <f t="shared" si="264"/>
        <v>0</v>
      </c>
    </row>
    <row r="426" spans="2:51" ht="13.5" thickBot="1" x14ac:dyDescent="0.25">
      <c r="B426" s="345">
        <v>41929.75</v>
      </c>
      <c r="C426" s="728" t="str">
        <f t="shared" si="247"/>
        <v>2.16217503399043</v>
      </c>
      <c r="D426" s="728" t="str">
        <f t="shared" si="248"/>
        <v>1+32.0533740112684i</v>
      </c>
      <c r="E426" s="337">
        <f t="shared" si="266"/>
        <v>32.068969199309429</v>
      </c>
      <c r="F426" s="338">
        <f t="shared" si="267"/>
        <v>1.5396084789465709</v>
      </c>
      <c r="G426" s="338" t="str">
        <f t="shared" si="249"/>
        <v>1+0.131726194566856i</v>
      </c>
      <c r="H426" s="337">
        <f t="shared" si="268"/>
        <v>1.008638582612754</v>
      </c>
      <c r="I426" s="338">
        <f t="shared" si="269"/>
        <v>0.1309721346061945</v>
      </c>
      <c r="J426" s="340">
        <f t="shared" si="250"/>
        <v>1</v>
      </c>
      <c r="K426" s="338">
        <f t="shared" si="270"/>
        <v>1</v>
      </c>
      <c r="L426" s="339">
        <f t="shared" si="271"/>
        <v>0</v>
      </c>
      <c r="M426" s="731" t="str">
        <f t="shared" si="251"/>
        <v>0.921862047330556+0.619283068193698i</v>
      </c>
      <c r="N426" s="338">
        <f t="shared" si="272"/>
        <v>1.1105589371392608</v>
      </c>
      <c r="O426" s="339">
        <f t="shared" si="273"/>
        <v>0.59153020448457405</v>
      </c>
      <c r="P426" s="732" t="str">
        <f t="shared" si="265"/>
        <v>-0.0254920301062799-0.0556765947160824i</v>
      </c>
      <c r="Q426" s="337">
        <f t="shared" si="274"/>
        <v>6.1235012844927002E-2</v>
      </c>
      <c r="R426" s="339">
        <f t="shared" si="275"/>
        <v>-2.0001665488249518</v>
      </c>
      <c r="S426" s="731" t="str">
        <f t="shared" si="252"/>
        <v>6000</v>
      </c>
      <c r="T426" s="337" t="str">
        <f t="shared" si="253"/>
        <v>1+266086.91302505i</v>
      </c>
      <c r="U426" s="346">
        <f t="shared" si="276"/>
        <v>266086.91302692908</v>
      </c>
      <c r="V426" s="347">
        <f t="shared" si="277"/>
        <v>1.5707925686243476</v>
      </c>
      <c r="W426" s="340" t="str">
        <f t="shared" si="254"/>
        <v>1+2634.52389133713i</v>
      </c>
      <c r="X426" s="337">
        <f t="shared" si="278"/>
        <v>2634.5240811247359</v>
      </c>
      <c r="Y426" s="339">
        <f t="shared" si="279"/>
        <v>1.570416751587679</v>
      </c>
      <c r="Z426" s="337" t="str">
        <f t="shared" si="255"/>
        <v>1+26.5387608364482i</v>
      </c>
      <c r="AA426" s="346">
        <f t="shared" si="280"/>
        <v>26.557594520855933</v>
      </c>
      <c r="AB426" s="347">
        <f t="shared" si="281"/>
        <v>1.5331334106666947</v>
      </c>
      <c r="AC426" s="732" t="str">
        <f t="shared" si="282"/>
        <v>0.083387149650462-2.23531738704392i</v>
      </c>
      <c r="AD426" s="337">
        <f t="shared" si="283"/>
        <v>2.2368721996456764</v>
      </c>
      <c r="AE426" s="339">
        <f t="shared" si="284"/>
        <v>-1.5335092277033633</v>
      </c>
      <c r="AF426" s="736" t="str">
        <f t="shared" si="256"/>
        <v>-0.126580567949623+0.0523400655919964i</v>
      </c>
      <c r="AG426" s="337">
        <f t="shared" si="285"/>
        <v>-17.267180293665824</v>
      </c>
      <c r="AH426" s="730">
        <f t="shared" si="286"/>
        <v>157.53529183731371</v>
      </c>
      <c r="AI426" s="360">
        <f t="shared" si="257"/>
        <v>-22.464708162686293</v>
      </c>
      <c r="AL426" s="337">
        <f t="shared" si="258"/>
        <v>6.9928234407687304</v>
      </c>
      <c r="AM426" s="730">
        <f t="shared" si="259"/>
        <v>-87.863606591769056</v>
      </c>
      <c r="AN426" s="351"/>
      <c r="AO426" s="337">
        <f t="shared" si="260"/>
        <v>29.011927464304875</v>
      </c>
      <c r="AP426" s="730">
        <f t="shared" si="261"/>
        <v>-114.60110157091725</v>
      </c>
      <c r="AS426" s="351"/>
      <c r="AT426" s="351"/>
      <c r="AV426" s="405">
        <f t="shared" si="262"/>
        <v>0</v>
      </c>
      <c r="AW426" s="405">
        <f t="shared" si="287"/>
        <v>0</v>
      </c>
      <c r="AX426" s="405">
        <f t="shared" si="263"/>
        <v>0</v>
      </c>
      <c r="AY426" s="405">
        <f t="shared" si="264"/>
        <v>0</v>
      </c>
    </row>
    <row r="427" spans="2:51" ht="13.5" thickBot="1" x14ac:dyDescent="0.25">
      <c r="B427" s="345">
        <v>42172.5</v>
      </c>
      <c r="C427" s="728" t="str">
        <f t="shared" si="247"/>
        <v>2.16217503399043</v>
      </c>
      <c r="D427" s="728" t="str">
        <f t="shared" si="248"/>
        <v>1+32.2389452713221i</v>
      </c>
      <c r="E427" s="337">
        <f t="shared" si="266"/>
        <v>32.254450734856761</v>
      </c>
      <c r="F427" s="338">
        <f t="shared" si="267"/>
        <v>1.5397878845766357</v>
      </c>
      <c r="G427" s="338" t="str">
        <f t="shared" si="249"/>
        <v>1+0.132488816183516i</v>
      </c>
      <c r="H427" s="337">
        <f t="shared" si="268"/>
        <v>1.0087384628404479</v>
      </c>
      <c r="I427" s="338">
        <f t="shared" si="269"/>
        <v>0.13172167491696452</v>
      </c>
      <c r="J427" s="340">
        <f t="shared" si="250"/>
        <v>1</v>
      </c>
      <c r="K427" s="338">
        <f t="shared" si="270"/>
        <v>1</v>
      </c>
      <c r="L427" s="339">
        <f t="shared" si="271"/>
        <v>0</v>
      </c>
      <c r="M427" s="731" t="str">
        <f t="shared" si="251"/>
        <v>0.9209546775+0.62286837372984i</v>
      </c>
      <c r="N427" s="338">
        <f t="shared" si="272"/>
        <v>1.1118104735079557</v>
      </c>
      <c r="O427" s="339">
        <f t="shared" si="273"/>
        <v>0.59466212715890687</v>
      </c>
      <c r="P427" s="732" t="str">
        <f t="shared" si="265"/>
        <v>-0.0254609952282599-0.0552345402951739i</v>
      </c>
      <c r="Q427" s="337">
        <f t="shared" si="274"/>
        <v>6.0820364349719762E-2</v>
      </c>
      <c r="R427" s="339">
        <f t="shared" si="275"/>
        <v>-2.0027283368185782</v>
      </c>
      <c r="S427" s="731" t="str">
        <f t="shared" si="252"/>
        <v>6000</v>
      </c>
      <c r="T427" s="337" t="str">
        <f t="shared" si="253"/>
        <v>1+267627.408690701i</v>
      </c>
      <c r="U427" s="346">
        <f t="shared" si="276"/>
        <v>267627.4086925693</v>
      </c>
      <c r="V427" s="347">
        <f t="shared" si="277"/>
        <v>1.5707925902568309</v>
      </c>
      <c r="W427" s="340" t="str">
        <f t="shared" si="254"/>
        <v>1+2649.77632367031i</v>
      </c>
      <c r="X427" s="337">
        <f t="shared" si="278"/>
        <v>2649.7765123654758</v>
      </c>
      <c r="Y427" s="339">
        <f t="shared" si="279"/>
        <v>1.5704189364681764</v>
      </c>
      <c r="Z427" s="337" t="str">
        <f t="shared" si="255"/>
        <v>1+26.6924055443954i</v>
      </c>
      <c r="AA427" s="346">
        <f t="shared" si="280"/>
        <v>26.711130896060361</v>
      </c>
      <c r="AB427" s="347">
        <f t="shared" si="281"/>
        <v>1.5333499997674764</v>
      </c>
      <c r="AC427" s="732" t="str">
        <f t="shared" si="282"/>
        <v>0.0824312811127992-2.22248644084249i</v>
      </c>
      <c r="AD427" s="337">
        <f t="shared" si="283"/>
        <v>2.2240145898430197</v>
      </c>
      <c r="AE427" s="339">
        <f t="shared" si="284"/>
        <v>-1.5337236535561309</v>
      </c>
      <c r="AF427" s="736" t="str">
        <f t="shared" si="256"/>
        <v>-0.124856799327264+0.0520336627469553i</v>
      </c>
      <c r="AG427" s="337">
        <f t="shared" si="285"/>
        <v>-17.376267011075722</v>
      </c>
      <c r="AH427" s="730">
        <f t="shared" si="286"/>
        <v>157.37622650088946</v>
      </c>
      <c r="AI427" s="360">
        <f t="shared" si="257"/>
        <v>-22.623773499110541</v>
      </c>
      <c r="AL427" s="337">
        <f t="shared" si="258"/>
        <v>6.9427526390235252</v>
      </c>
      <c r="AM427" s="730">
        <f t="shared" si="259"/>
        <v>-87.875892288151135</v>
      </c>
      <c r="AN427" s="351"/>
      <c r="AO427" s="337">
        <f t="shared" si="260"/>
        <v>28.952911548640206</v>
      </c>
      <c r="AP427" s="730">
        <f t="shared" si="261"/>
        <v>-114.74788121095935</v>
      </c>
      <c r="AS427" s="351"/>
      <c r="AT427" s="351"/>
      <c r="AV427" s="405">
        <f t="shared" si="262"/>
        <v>0</v>
      </c>
      <c r="AW427" s="405">
        <f t="shared" si="287"/>
        <v>0</v>
      </c>
      <c r="AX427" s="405">
        <f t="shared" si="263"/>
        <v>0</v>
      </c>
      <c r="AY427" s="405">
        <f t="shared" si="264"/>
        <v>0</v>
      </c>
    </row>
    <row r="428" spans="2:51" ht="13.5" thickBot="1" x14ac:dyDescent="0.25">
      <c r="B428" s="345">
        <v>42415.25</v>
      </c>
      <c r="C428" s="728" t="str">
        <f t="shared" si="247"/>
        <v>2.16217503399043</v>
      </c>
      <c r="D428" s="728" t="str">
        <f t="shared" si="248"/>
        <v>1+32.4245165313758i</v>
      </c>
      <c r="E428" s="337">
        <f t="shared" si="266"/>
        <v>32.439933296686398</v>
      </c>
      <c r="F428" s="338">
        <f t="shared" si="267"/>
        <v>1.5399652386288594</v>
      </c>
      <c r="G428" s="338" t="str">
        <f t="shared" si="249"/>
        <v>1+0.133251437800174i</v>
      </c>
      <c r="H428" s="337">
        <f t="shared" si="268"/>
        <v>1.0088389096757786</v>
      </c>
      <c r="I428" s="338">
        <f t="shared" si="269"/>
        <v>0.13247106639005818</v>
      </c>
      <c r="J428" s="340">
        <f t="shared" si="250"/>
        <v>1</v>
      </c>
      <c r="K428" s="338">
        <f t="shared" si="270"/>
        <v>1</v>
      </c>
      <c r="L428" s="339">
        <f t="shared" si="271"/>
        <v>0</v>
      </c>
      <c r="M428" s="731" t="str">
        <f t="shared" si="251"/>
        <v>0.920042069663889+0.626453679265982i</v>
      </c>
      <c r="N428" s="338">
        <f t="shared" si="272"/>
        <v>1.1130685613282312</v>
      </c>
      <c r="O428" s="339">
        <f t="shared" si="273"/>
        <v>0.59778962469881058</v>
      </c>
      <c r="P428" s="732" t="str">
        <f t="shared" si="265"/>
        <v>-0.0254294357876153-0.0547973080424609i</v>
      </c>
      <c r="Q428" s="337">
        <f t="shared" si="274"/>
        <v>6.0410273738634876E-2</v>
      </c>
      <c r="R428" s="339">
        <f t="shared" si="275"/>
        <v>-2.0052837969376101</v>
      </c>
      <c r="S428" s="731" t="str">
        <f t="shared" si="252"/>
        <v>6000</v>
      </c>
      <c r="T428" s="337" t="str">
        <f t="shared" si="253"/>
        <v>1+269167.904356353i</v>
      </c>
      <c r="U428" s="346">
        <f t="shared" si="276"/>
        <v>269167.90435821057</v>
      </c>
      <c r="V428" s="347">
        <f t="shared" si="277"/>
        <v>1.570792611641701</v>
      </c>
      <c r="W428" s="340" t="str">
        <f t="shared" si="254"/>
        <v>1+2665.02875600349i</v>
      </c>
      <c r="X428" s="337">
        <f t="shared" si="278"/>
        <v>2665.0289436187195</v>
      </c>
      <c r="Y428" s="339">
        <f t="shared" si="279"/>
        <v>1.57042109633976</v>
      </c>
      <c r="Z428" s="337" t="str">
        <f t="shared" si="255"/>
        <v>1+26.8460502523426i</v>
      </c>
      <c r="AA428" s="346">
        <f t="shared" si="280"/>
        <v>26.864668509983591</v>
      </c>
      <c r="AB428" s="347">
        <f t="shared" si="281"/>
        <v>1.5335641131674997</v>
      </c>
      <c r="AC428" s="732" t="str">
        <f t="shared" si="282"/>
        <v>0.0814917470610132-2.20980175375392i</v>
      </c>
      <c r="AD428" s="337">
        <f t="shared" si="283"/>
        <v>2.2113038451856757</v>
      </c>
      <c r="AE428" s="339">
        <f t="shared" si="284"/>
        <v>-1.533935628469441</v>
      </c>
      <c r="AF428" s="736" t="str">
        <f t="shared" si="256"/>
        <v>-0.123163476562332+0.0517284834338243i</v>
      </c>
      <c r="AG428" s="337">
        <f t="shared" si="285"/>
        <v>-17.484815504629236</v>
      </c>
      <c r="AH428" s="730">
        <f t="shared" si="286"/>
        <v>157.21766415345962</v>
      </c>
      <c r="AI428" s="360">
        <f t="shared" si="257"/>
        <v>-22.782335846540377</v>
      </c>
      <c r="AL428" s="337">
        <f t="shared" si="258"/>
        <v>6.892968422096061</v>
      </c>
      <c r="AM428" s="730">
        <f t="shared" si="259"/>
        <v>-87.888037556046456</v>
      </c>
      <c r="AN428" s="351"/>
      <c r="AO428" s="337">
        <f t="shared" si="260"/>
        <v>28.894147272014166</v>
      </c>
      <c r="AP428" s="730">
        <f t="shared" si="261"/>
        <v>-114.89429829049372</v>
      </c>
      <c r="AS428" s="351"/>
      <c r="AT428" s="351"/>
      <c r="AV428" s="405">
        <f t="shared" si="262"/>
        <v>0</v>
      </c>
      <c r="AW428" s="405">
        <f t="shared" si="287"/>
        <v>0</v>
      </c>
      <c r="AX428" s="405">
        <f t="shared" si="263"/>
        <v>0</v>
      </c>
      <c r="AY428" s="405">
        <f t="shared" si="264"/>
        <v>0</v>
      </c>
    </row>
    <row r="429" spans="2:51" ht="13.5" thickBot="1" x14ac:dyDescent="0.25">
      <c r="B429" s="345">
        <v>42658</v>
      </c>
      <c r="C429" s="728" t="str">
        <f t="shared" si="247"/>
        <v>2.16217503399043</v>
      </c>
      <c r="D429" s="728" t="str">
        <f t="shared" si="248"/>
        <v>1+32.6100877914295i</v>
      </c>
      <c r="E429" s="337">
        <f t="shared" si="266"/>
        <v>32.625416867294419</v>
      </c>
      <c r="F429" s="338">
        <f t="shared" si="267"/>
        <v>1.5401405760831719</v>
      </c>
      <c r="G429" s="338" t="str">
        <f t="shared" si="249"/>
        <v>1+0.134014059416834i</v>
      </c>
      <c r="H429" s="337">
        <f t="shared" si="268"/>
        <v>1.0089399229495177</v>
      </c>
      <c r="I429" s="338">
        <f t="shared" si="269"/>
        <v>0.13322030822836115</v>
      </c>
      <c r="J429" s="340">
        <f t="shared" si="250"/>
        <v>1</v>
      </c>
      <c r="K429" s="338">
        <f t="shared" si="270"/>
        <v>1</v>
      </c>
      <c r="L429" s="339">
        <f t="shared" si="271"/>
        <v>0</v>
      </c>
      <c r="M429" s="731" t="str">
        <f t="shared" si="251"/>
        <v>0.919124223822222+0.630038984802124i</v>
      </c>
      <c r="N429" s="338">
        <f t="shared" si="272"/>
        <v>1.114333191279562</v>
      </c>
      <c r="O429" s="339">
        <f t="shared" si="273"/>
        <v>0.60091268750820348</v>
      </c>
      <c r="P429" s="732" t="str">
        <f t="shared" si="265"/>
        <v>-0.0253973637341481-0.0543648213665345i</v>
      </c>
      <c r="Q429" s="337">
        <f t="shared" si="274"/>
        <v>6.0004665542437836E-2</v>
      </c>
      <c r="R429" s="339">
        <f t="shared" si="275"/>
        <v>-2.0078329553630141</v>
      </c>
      <c r="S429" s="731" t="str">
        <f t="shared" si="252"/>
        <v>6000</v>
      </c>
      <c r="T429" s="337" t="str">
        <f t="shared" si="253"/>
        <v>1+270708.400022004i</v>
      </c>
      <c r="U429" s="346">
        <f t="shared" si="276"/>
        <v>270708.40002385102</v>
      </c>
      <c r="V429" s="347">
        <f t="shared" si="277"/>
        <v>1.5707926327831854</v>
      </c>
      <c r="W429" s="340" t="str">
        <f t="shared" si="254"/>
        <v>1+2680.28118833667i</v>
      </c>
      <c r="X429" s="337">
        <f t="shared" si="278"/>
        <v>2680.281374884255</v>
      </c>
      <c r="Y429" s="339">
        <f t="shared" si="279"/>
        <v>1.5704232316293776</v>
      </c>
      <c r="Z429" s="337" t="str">
        <f t="shared" si="255"/>
        <v>1+26.9996949602898i</v>
      </c>
      <c r="AA429" s="346">
        <f t="shared" si="280"/>
        <v>27.018207341507662</v>
      </c>
      <c r="AB429" s="347">
        <f t="shared" si="281"/>
        <v>1.5337757930536353</v>
      </c>
      <c r="AC429" s="732" t="str">
        <f t="shared" si="282"/>
        <v>0.080568177593892-2.19726084256814i</v>
      </c>
      <c r="AD429" s="337">
        <f t="shared" si="283"/>
        <v>2.1987374653477971</v>
      </c>
      <c r="AE429" s="339">
        <f t="shared" si="284"/>
        <v>-1.5341451942074433</v>
      </c>
      <c r="AF429" s="736" t="str">
        <f t="shared" si="256"/>
        <v>-0.121499912513648+0.0514245582547846i</v>
      </c>
      <c r="AG429" s="337">
        <f t="shared" si="285"/>
        <v>-17.592832079562285</v>
      </c>
      <c r="AH429" s="730">
        <f t="shared" si="286"/>
        <v>157.05960090205585</v>
      </c>
      <c r="AI429" s="360">
        <f t="shared" si="257"/>
        <v>-22.940399097944152</v>
      </c>
      <c r="AL429" s="337">
        <f t="shared" si="258"/>
        <v>6.8434675325776535</v>
      </c>
      <c r="AM429" s="730">
        <f t="shared" si="259"/>
        <v>-87.900044788364539</v>
      </c>
      <c r="AN429" s="351"/>
      <c r="AO429" s="337">
        <f t="shared" si="260"/>
        <v>28.835631586599483</v>
      </c>
      <c r="AP429" s="730">
        <f t="shared" si="261"/>
        <v>-115.04035430957977</v>
      </c>
      <c r="AS429" s="351"/>
      <c r="AT429" s="351"/>
      <c r="AV429" s="405">
        <f t="shared" si="262"/>
        <v>0</v>
      </c>
      <c r="AW429" s="405">
        <f t="shared" si="287"/>
        <v>0</v>
      </c>
      <c r="AX429" s="405">
        <f t="shared" si="263"/>
        <v>0</v>
      </c>
      <c r="AY429" s="405">
        <f t="shared" si="264"/>
        <v>0</v>
      </c>
    </row>
    <row r="430" spans="2:51" ht="13.5" thickBot="1" x14ac:dyDescent="0.25">
      <c r="B430" s="345">
        <v>42906.5</v>
      </c>
      <c r="C430" s="728" t="str">
        <f t="shared" si="247"/>
        <v>2.16217503399043</v>
      </c>
      <c r="D430" s="728" t="str">
        <f t="shared" si="248"/>
        <v>1+32.8000546632043i</v>
      </c>
      <c r="E430" s="337">
        <f t="shared" si="266"/>
        <v>32.815294999575883</v>
      </c>
      <c r="F430" s="338">
        <f t="shared" si="267"/>
        <v>1.5403180136163719</v>
      </c>
      <c r="G430" s="338" t="str">
        <f t="shared" si="249"/>
        <v>1+0.13479474519125i</v>
      </c>
      <c r="H430" s="337">
        <f t="shared" si="268"/>
        <v>1.0090439154621438</v>
      </c>
      <c r="I430" s="338">
        <f t="shared" si="269"/>
        <v>0.13398714147417667</v>
      </c>
      <c r="J430" s="340">
        <f t="shared" si="250"/>
        <v>1</v>
      </c>
      <c r="K430" s="338">
        <f t="shared" si="270"/>
        <v>1</v>
      </c>
      <c r="L430" s="339">
        <f t="shared" si="271"/>
        <v>0</v>
      </c>
      <c r="M430" s="731" t="str">
        <f t="shared" si="251"/>
        <v>0.918179211455555+0.633709215186185i</v>
      </c>
      <c r="N430" s="338">
        <f t="shared" si="272"/>
        <v>1.1156345431013845</v>
      </c>
      <c r="O430" s="339">
        <f t="shared" si="273"/>
        <v>0.6041051226900096</v>
      </c>
      <c r="P430" s="732" t="str">
        <f t="shared" si="265"/>
        <v>-0.0253640132050433-0.053926927756745i</v>
      </c>
      <c r="Q430" s="337">
        <f t="shared" si="274"/>
        <v>5.9594015665558268E-2</v>
      </c>
      <c r="R430" s="339">
        <f t="shared" si="275"/>
        <v>-2.0104359948322053</v>
      </c>
      <c r="S430" s="731" t="str">
        <f t="shared" si="252"/>
        <v>6000</v>
      </c>
      <c r="T430" s="337" t="str">
        <f t="shared" si="253"/>
        <v>1+272285.385286326i</v>
      </c>
      <c r="U430" s="346">
        <f t="shared" si="276"/>
        <v>272285.38528816227</v>
      </c>
      <c r="V430" s="347">
        <f t="shared" si="277"/>
        <v>1.5707926541776573</v>
      </c>
      <c r="W430" s="340" t="str">
        <f t="shared" si="254"/>
        <v>1+2695.89490382501i</v>
      </c>
      <c r="X430" s="337">
        <f t="shared" si="278"/>
        <v>2695.8950892921739</v>
      </c>
      <c r="Y430" s="339">
        <f t="shared" si="279"/>
        <v>1.5704253924707443</v>
      </c>
      <c r="Z430" s="337" t="str">
        <f t="shared" si="255"/>
        <v>1+27.1569790382501i</v>
      </c>
      <c r="AA430" s="346">
        <f t="shared" si="280"/>
        <v>27.175384274816711</v>
      </c>
      <c r="AB430" s="347">
        <f t="shared" si="281"/>
        <v>1.5339900093665153</v>
      </c>
      <c r="AC430" s="732" t="str">
        <f t="shared" si="282"/>
        <v>0.0796388926556274-2.18456926663202i</v>
      </c>
      <c r="AD430" s="337">
        <f t="shared" si="283"/>
        <v>2.1860204102287275</v>
      </c>
      <c r="AE430" s="339">
        <f t="shared" si="284"/>
        <v>-1.5343572710734281</v>
      </c>
      <c r="AF430" s="736" t="str">
        <f t="shared" si="256"/>
        <v>-0.119827070946223+0.0511147629153191i</v>
      </c>
      <c r="AG430" s="337">
        <f t="shared" si="285"/>
        <v>-17.702862734115222</v>
      </c>
      <c r="AH430" s="730">
        <f t="shared" si="286"/>
        <v>156.89830661721189</v>
      </c>
      <c r="AI430" s="360">
        <f t="shared" si="257"/>
        <v>-23.101693382788113</v>
      </c>
      <c r="AL430" s="337">
        <f t="shared" si="258"/>
        <v>6.7930842502455926</v>
      </c>
      <c r="AM430" s="730">
        <f t="shared" si="259"/>
        <v>-87.912195897717822</v>
      </c>
      <c r="AN430" s="351"/>
      <c r="AO430" s="337">
        <f t="shared" si="260"/>
        <v>28.7759842143786</v>
      </c>
      <c r="AP430" s="730">
        <f t="shared" si="261"/>
        <v>-115.18949748507039</v>
      </c>
      <c r="AS430" s="351"/>
      <c r="AT430" s="351"/>
      <c r="AV430" s="405">
        <f t="shared" si="262"/>
        <v>0</v>
      </c>
      <c r="AW430" s="405">
        <f t="shared" si="287"/>
        <v>0</v>
      </c>
      <c r="AX430" s="405">
        <f t="shared" si="263"/>
        <v>0</v>
      </c>
      <c r="AY430" s="405">
        <f t="shared" si="264"/>
        <v>0</v>
      </c>
    </row>
    <row r="431" spans="2:51" ht="13.5" thickBot="1" x14ac:dyDescent="0.25">
      <c r="B431" s="345">
        <v>43155</v>
      </c>
      <c r="C431" s="728" t="str">
        <f t="shared" si="247"/>
        <v>2.16217503399043</v>
      </c>
      <c r="D431" s="728" t="str">
        <f t="shared" si="248"/>
        <v>1+32.9900215349791i</v>
      </c>
      <c r="E431" s="337">
        <f t="shared" si="266"/>
        <v>33.005174153129154</v>
      </c>
      <c r="F431" s="338">
        <f t="shared" si="267"/>
        <v>1.540493409554627</v>
      </c>
      <c r="G431" s="338" t="str">
        <f t="shared" si="249"/>
        <v>1+0.135575430965668i</v>
      </c>
      <c r="H431" s="337">
        <f t="shared" si="268"/>
        <v>1.009148501203627</v>
      </c>
      <c r="I431" s="338">
        <f t="shared" si="269"/>
        <v>0.13475381622521287</v>
      </c>
      <c r="J431" s="340">
        <f t="shared" si="250"/>
        <v>1</v>
      </c>
      <c r="K431" s="338">
        <f t="shared" si="270"/>
        <v>1</v>
      </c>
      <c r="L431" s="339">
        <f t="shared" si="271"/>
        <v>0</v>
      </c>
      <c r="M431" s="731" t="str">
        <f t="shared" si="251"/>
        <v>0.91722871+0.637379445570247i</v>
      </c>
      <c r="N431" s="338">
        <f t="shared" si="272"/>
        <v>1.1169427308880699</v>
      </c>
      <c r="O431" s="339">
        <f t="shared" si="273"/>
        <v>0.60729289079791759</v>
      </c>
      <c r="P431" s="732" t="str">
        <f t="shared" si="265"/>
        <v>-0.0253301499469365-0.0534938501776751i</v>
      </c>
      <c r="Q431" s="337">
        <f t="shared" si="274"/>
        <v>5.9187908420266354E-2</v>
      </c>
      <c r="R431" s="339">
        <f t="shared" si="275"/>
        <v>-2.0130324841273328</v>
      </c>
      <c r="S431" s="731" t="str">
        <f t="shared" si="252"/>
        <v>6000</v>
      </c>
      <c r="T431" s="337" t="str">
        <f t="shared" si="253"/>
        <v>1+273862.370550648i</v>
      </c>
      <c r="U431" s="346">
        <f t="shared" si="276"/>
        <v>273862.37055247376</v>
      </c>
      <c r="V431" s="347">
        <f t="shared" si="277"/>
        <v>1.5707926753257371</v>
      </c>
      <c r="W431" s="340" t="str">
        <f t="shared" si="254"/>
        <v>1+2711.50861931335i</v>
      </c>
      <c r="X431" s="337">
        <f t="shared" si="278"/>
        <v>2711.5088037125365</v>
      </c>
      <c r="Y431" s="339">
        <f t="shared" si="279"/>
        <v>1.5704275284265123</v>
      </c>
      <c r="Z431" s="337" t="str">
        <f t="shared" si="255"/>
        <v>1+27.3142631162104i</v>
      </c>
      <c r="AA431" s="346">
        <f t="shared" si="280"/>
        <v>27.332562440824535</v>
      </c>
      <c r="AB431" s="347">
        <f t="shared" si="281"/>
        <v>1.5342017619516906</v>
      </c>
      <c r="AC431" s="732" t="str">
        <f t="shared" si="282"/>
        <v>0.0787255861416264-2.17202326984673i</v>
      </c>
      <c r="AD431" s="337">
        <f t="shared" si="283"/>
        <v>2.1734495169359294</v>
      </c>
      <c r="AE431" s="339">
        <f t="shared" si="284"/>
        <v>-1.5345669088509155</v>
      </c>
      <c r="AF431" s="736" t="str">
        <f t="shared" si="256"/>
        <v>-0.118184018281233+0.0508063404032432i</v>
      </c>
      <c r="AG431" s="337">
        <f t="shared" si="285"/>
        <v>-17.812348992415778</v>
      </c>
      <c r="AH431" s="730">
        <f t="shared" si="286"/>
        <v>156.7375273791736</v>
      </c>
      <c r="AI431" s="360">
        <f t="shared" si="257"/>
        <v>-23.262472620826401</v>
      </c>
      <c r="AL431" s="337">
        <f t="shared" si="258"/>
        <v>6.7429911443141988</v>
      </c>
      <c r="AM431" s="730">
        <f t="shared" si="259"/>
        <v>-87.924207257594347</v>
      </c>
      <c r="AN431" s="351"/>
      <c r="AO431" s="337">
        <f t="shared" si="260"/>
        <v>28.716591062009435</v>
      </c>
      <c r="AP431" s="730">
        <f t="shared" si="261"/>
        <v>-115.33826536323205</v>
      </c>
      <c r="AS431" s="351"/>
      <c r="AT431" s="351"/>
      <c r="AV431" s="405">
        <f t="shared" si="262"/>
        <v>0</v>
      </c>
      <c r="AW431" s="405">
        <f t="shared" si="287"/>
        <v>0</v>
      </c>
      <c r="AX431" s="405">
        <f t="shared" si="263"/>
        <v>0</v>
      </c>
      <c r="AY431" s="405">
        <f t="shared" si="264"/>
        <v>0</v>
      </c>
    </row>
    <row r="432" spans="2:51" ht="13.5" thickBot="1" x14ac:dyDescent="0.25">
      <c r="B432" s="345">
        <v>43403.5</v>
      </c>
      <c r="C432" s="728" t="str">
        <f t="shared" si="247"/>
        <v>2.16217503399043</v>
      </c>
      <c r="D432" s="728" t="str">
        <f t="shared" si="248"/>
        <v>1+33.1799884067539i</v>
      </c>
      <c r="E432" s="337">
        <f t="shared" si="266"/>
        <v>33.19505431042888</v>
      </c>
      <c r="F432" s="338">
        <f t="shared" si="267"/>
        <v>1.5406667989216414</v>
      </c>
      <c r="G432" s="338" t="str">
        <f t="shared" si="249"/>
        <v>1+0.136356116740084i</v>
      </c>
      <c r="H432" s="337">
        <f t="shared" si="268"/>
        <v>1.0092536799895433</v>
      </c>
      <c r="I432" s="338">
        <f t="shared" si="269"/>
        <v>0.13552033162959179</v>
      </c>
      <c r="J432" s="340">
        <f t="shared" si="250"/>
        <v>1</v>
      </c>
      <c r="K432" s="338">
        <f t="shared" si="270"/>
        <v>1</v>
      </c>
      <c r="L432" s="339">
        <f t="shared" si="271"/>
        <v>0</v>
      </c>
      <c r="M432" s="731" t="str">
        <f t="shared" si="251"/>
        <v>0.916272719455556+0.641049675954309i</v>
      </c>
      <c r="N432" s="338">
        <f t="shared" si="272"/>
        <v>1.118257744645484</v>
      </c>
      <c r="O432" s="339">
        <f t="shared" si="273"/>
        <v>0.6104759821295388</v>
      </c>
      <c r="P432" s="732" t="str">
        <f t="shared" si="265"/>
        <v>-0.0252957858994024-0.0530655118411653i</v>
      </c>
      <c r="Q432" s="337">
        <f t="shared" si="274"/>
        <v>5.8786268219995566E-2</v>
      </c>
      <c r="R432" s="339">
        <f t="shared" si="275"/>
        <v>-2.0156224494215897</v>
      </c>
      <c r="S432" s="731" t="str">
        <f t="shared" si="252"/>
        <v>6000</v>
      </c>
      <c r="T432" s="337" t="str">
        <f t="shared" si="253"/>
        <v>1+275439.355814971i</v>
      </c>
      <c r="U432" s="346">
        <f t="shared" si="276"/>
        <v>275439.35581678624</v>
      </c>
      <c r="V432" s="347">
        <f t="shared" si="277"/>
        <v>1.570792696231657</v>
      </c>
      <c r="W432" s="340" t="str">
        <f t="shared" si="254"/>
        <v>1+2727.12233480169i</v>
      </c>
      <c r="X432" s="337">
        <f t="shared" si="278"/>
        <v>2727.1225181451273</v>
      </c>
      <c r="Y432" s="339">
        <f t="shared" si="279"/>
        <v>1.5704296399241175</v>
      </c>
      <c r="Z432" s="337" t="str">
        <f t="shared" si="255"/>
        <v>1+27.4715471941707i</v>
      </c>
      <c r="AA432" s="346">
        <f t="shared" si="280"/>
        <v>27.489741818386513</v>
      </c>
      <c r="AB432" s="347">
        <f t="shared" si="281"/>
        <v>1.5344110930509189</v>
      </c>
      <c r="AC432" s="732" t="str">
        <f t="shared" si="282"/>
        <v>0.0778278939830514-2.15962036499234i</v>
      </c>
      <c r="AD432" s="337">
        <f t="shared" si="283"/>
        <v>2.1610222816925058</v>
      </c>
      <c r="AE432" s="339">
        <f t="shared" si="284"/>
        <v>-1.5347741493584584</v>
      </c>
      <c r="AF432" s="736" t="str">
        <f t="shared" si="256"/>
        <v>-0.116570077794119+0.0504993173471049i</v>
      </c>
      <c r="AG432" s="337">
        <f t="shared" si="285"/>
        <v>-17.92129726719488</v>
      </c>
      <c r="AH432" s="730">
        <f t="shared" si="286"/>
        <v>156.57725929230091</v>
      </c>
      <c r="AI432" s="360">
        <f t="shared" si="257"/>
        <v>-23.422740707699091</v>
      </c>
      <c r="AL432" s="337">
        <f t="shared" si="258"/>
        <v>6.6931848958898623</v>
      </c>
      <c r="AM432" s="730">
        <f t="shared" si="259"/>
        <v>-87.9360812640207</v>
      </c>
      <c r="AN432" s="351"/>
      <c r="AO432" s="337">
        <f t="shared" si="260"/>
        <v>28.657449035654704</v>
      </c>
      <c r="AP432" s="730">
        <f t="shared" si="261"/>
        <v>-115.48665944367833</v>
      </c>
      <c r="AS432" s="351"/>
      <c r="AT432" s="351"/>
      <c r="AV432" s="405">
        <f t="shared" si="262"/>
        <v>0</v>
      </c>
      <c r="AW432" s="405">
        <f t="shared" si="287"/>
        <v>0</v>
      </c>
      <c r="AX432" s="405">
        <f t="shared" si="263"/>
        <v>0</v>
      </c>
      <c r="AY432" s="405">
        <f t="shared" si="264"/>
        <v>0</v>
      </c>
    </row>
    <row r="433" spans="2:51" ht="13.5" thickBot="1" x14ac:dyDescent="0.25">
      <c r="B433" s="345">
        <v>43652</v>
      </c>
      <c r="C433" s="728" t="str">
        <f t="shared" si="247"/>
        <v>2.16217503399043</v>
      </c>
      <c r="D433" s="728" t="str">
        <f t="shared" si="248"/>
        <v>1+33.3699552785287i</v>
      </c>
      <c r="E433" s="337">
        <f t="shared" si="266"/>
        <v>33.384935454348351</v>
      </c>
      <c r="F433" s="338">
        <f t="shared" si="267"/>
        <v>1.5408382159448011</v>
      </c>
      <c r="G433" s="338" t="str">
        <f t="shared" si="249"/>
        <v>1+0.137136802514501i</v>
      </c>
      <c r="H433" s="337">
        <f t="shared" si="268"/>
        <v>1.0093594516345012</v>
      </c>
      <c r="I433" s="338">
        <f t="shared" si="269"/>
        <v>0.13628668683654527</v>
      </c>
      <c r="J433" s="340">
        <f t="shared" si="250"/>
        <v>1</v>
      </c>
      <c r="K433" s="338">
        <f t="shared" si="270"/>
        <v>1</v>
      </c>
      <c r="L433" s="339">
        <f t="shared" si="271"/>
        <v>0</v>
      </c>
      <c r="M433" s="731" t="str">
        <f t="shared" si="251"/>
        <v>0.915311239822222+0.644719906338371i</v>
      </c>
      <c r="N433" s="338">
        <f t="shared" si="272"/>
        <v>1.1195795743822101</v>
      </c>
      <c r="O433" s="339">
        <f t="shared" si="273"/>
        <v>0.61365438718016607</v>
      </c>
      <c r="P433" s="732" t="str">
        <f t="shared" si="265"/>
        <v>-0.0252609327239652-0.0526418376702i</v>
      </c>
      <c r="Q433" s="337">
        <f t="shared" si="274"/>
        <v>5.838902118875075E-2</v>
      </c>
      <c r="R433" s="339">
        <f t="shared" si="275"/>
        <v>-2.0182059162884216</v>
      </c>
      <c r="S433" s="731" t="str">
        <f t="shared" si="252"/>
        <v>6000</v>
      </c>
      <c r="T433" s="337" t="str">
        <f t="shared" si="253"/>
        <v>1+277016.341079293i</v>
      </c>
      <c r="U433" s="346">
        <f t="shared" si="276"/>
        <v>277016.34108109795</v>
      </c>
      <c r="V433" s="347">
        <f t="shared" si="277"/>
        <v>1.5707927168995521</v>
      </c>
      <c r="W433" s="340" t="str">
        <f t="shared" si="254"/>
        <v>1+2742.73605029003i</v>
      </c>
      <c r="X433" s="337">
        <f t="shared" si="278"/>
        <v>2742.7362325897393</v>
      </c>
      <c r="Y433" s="339">
        <f t="shared" si="279"/>
        <v>1.5704317273812625</v>
      </c>
      <c r="Z433" s="337" t="str">
        <f t="shared" si="255"/>
        <v>1+27.6288312721311i</v>
      </c>
      <c r="AA433" s="346">
        <f t="shared" si="280"/>
        <v>27.646922386838824</v>
      </c>
      <c r="AB433" s="347">
        <f t="shared" si="281"/>
        <v>1.5346180439461927</v>
      </c>
      <c r="AC433" s="732" t="str">
        <f t="shared" si="282"/>
        <v>0.076945462416963-2.14735812111245i</v>
      </c>
      <c r="AD433" s="337">
        <f t="shared" si="283"/>
        <v>2.1487362575463167</v>
      </c>
      <c r="AE433" s="339">
        <f t="shared" si="284"/>
        <v>-1.5349790334644826</v>
      </c>
      <c r="AF433" s="736" t="str">
        <f t="shared" si="256"/>
        <v>-0.114984591780917+0.0501937184896697i</v>
      </c>
      <c r="AG433" s="337">
        <f t="shared" si="285"/>
        <v>-18.029713858070149</v>
      </c>
      <c r="AH433" s="730">
        <f t="shared" si="286"/>
        <v>156.41749854975518</v>
      </c>
      <c r="AI433" s="360">
        <f t="shared" si="257"/>
        <v>-23.58250145024482</v>
      </c>
      <c r="AL433" s="337">
        <f t="shared" si="258"/>
        <v>6.6436622426199161</v>
      </c>
      <c r="AM433" s="730">
        <f t="shared" si="259"/>
        <v>-87.94782025858521</v>
      </c>
      <c r="AN433" s="351"/>
      <c r="AO433" s="337">
        <f t="shared" si="260"/>
        <v>28.598555098049346</v>
      </c>
      <c r="AP433" s="730">
        <f t="shared" si="261"/>
        <v>-115.63468119165974</v>
      </c>
      <c r="AS433" s="351"/>
      <c r="AT433" s="351"/>
      <c r="AV433" s="405">
        <f t="shared" si="262"/>
        <v>0</v>
      </c>
      <c r="AW433" s="405">
        <f t="shared" si="287"/>
        <v>0</v>
      </c>
      <c r="AX433" s="405">
        <f t="shared" si="263"/>
        <v>0</v>
      </c>
      <c r="AY433" s="405">
        <f t="shared" si="264"/>
        <v>0</v>
      </c>
    </row>
    <row r="434" spans="2:51" ht="13.5" thickBot="1" x14ac:dyDescent="0.25">
      <c r="B434" s="345">
        <v>43906</v>
      </c>
      <c r="C434" s="728" t="str">
        <f t="shared" si="247"/>
        <v>2.16217503399043</v>
      </c>
      <c r="D434" s="728" t="str">
        <f t="shared" si="248"/>
        <v>1+33.5641266484716i</v>
      </c>
      <c r="E434" s="337">
        <f t="shared" si="266"/>
        <v>33.579020201230428</v>
      </c>
      <c r="F434" s="338">
        <f t="shared" si="267"/>
        <v>1.541011423422024</v>
      </c>
      <c r="G434" s="338" t="str">
        <f t="shared" si="249"/>
        <v>1+0.137934767048513i</v>
      </c>
      <c r="H434" s="337">
        <f t="shared" si="268"/>
        <v>1.0094681767944582</v>
      </c>
      <c r="I434" s="338">
        <f t="shared" si="269"/>
        <v>0.13706983718791632</v>
      </c>
      <c r="J434" s="340">
        <f t="shared" si="250"/>
        <v>1</v>
      </c>
      <c r="K434" s="338">
        <f t="shared" si="270"/>
        <v>1</v>
      </c>
      <c r="L434" s="339">
        <f t="shared" si="271"/>
        <v>0</v>
      </c>
      <c r="M434" s="731" t="str">
        <f t="shared" si="251"/>
        <v>0.914322807288889+0.648471369185663i</v>
      </c>
      <c r="N434" s="338">
        <f t="shared" si="272"/>
        <v>1.1209376934433792</v>
      </c>
      <c r="O434" s="339">
        <f t="shared" si="273"/>
        <v>0.61689828652514578</v>
      </c>
      <c r="P434" s="732" t="str">
        <f t="shared" si="265"/>
        <v>-0.0252248145225236-0.0522135301393501i</v>
      </c>
      <c r="Q434" s="337">
        <f t="shared" si="274"/>
        <v>5.7987446894207532E-2</v>
      </c>
      <c r="R434" s="339">
        <f t="shared" si="275"/>
        <v>-2.0208398727592547</v>
      </c>
      <c r="S434" s="731" t="str">
        <f t="shared" si="252"/>
        <v>6000</v>
      </c>
      <c r="T434" s="337" t="str">
        <f t="shared" si="253"/>
        <v>1+278628.229437997i</v>
      </c>
      <c r="U434" s="346">
        <f t="shared" si="276"/>
        <v>278628.22943979152</v>
      </c>
      <c r="V434" s="347">
        <f t="shared" si="277"/>
        <v>1.5707927377831084</v>
      </c>
      <c r="W434" s="340" t="str">
        <f t="shared" si="254"/>
        <v>1+2758.69534097027i</v>
      </c>
      <c r="X434" s="337">
        <f t="shared" si="278"/>
        <v>2758.6955222153592</v>
      </c>
      <c r="Y434" s="339">
        <f t="shared" si="279"/>
        <v>1.5704338366201576</v>
      </c>
      <c r="Z434" s="337" t="str">
        <f t="shared" si="255"/>
        <v>1+27.7895964866258i</v>
      </c>
      <c r="AA434" s="346">
        <f t="shared" si="280"/>
        <v>27.807583010565391</v>
      </c>
      <c r="AB434" s="347">
        <f t="shared" si="281"/>
        <v>1.5348271574369343</v>
      </c>
      <c r="AC434" s="732" t="str">
        <f t="shared" si="282"/>
        <v>0.0760589132732682-2.13496737118369i</v>
      </c>
      <c r="AD434" s="337">
        <f t="shared" si="283"/>
        <v>2.1363217534602104</v>
      </c>
      <c r="AE434" s="339">
        <f t="shared" si="284"/>
        <v>-1.5351860585998849</v>
      </c>
      <c r="AF434" s="736" t="str">
        <f t="shared" si="256"/>
        <v>-0.113392755161932+0.0498828515891884i</v>
      </c>
      <c r="AG434" s="337">
        <f t="shared" si="285"/>
        <v>-18.13998698834029</v>
      </c>
      <c r="AH434" s="730">
        <f t="shared" si="286"/>
        <v>156.2547222940436</v>
      </c>
      <c r="AI434" s="360">
        <f t="shared" si="257"/>
        <v>-23.745277705956397</v>
      </c>
      <c r="AL434" s="337">
        <f t="shared" si="258"/>
        <v>6.5933332557905509</v>
      </c>
      <c r="AM434" s="730">
        <f t="shared" si="259"/>
        <v>-87.959681925096888</v>
      </c>
      <c r="AN434" s="351"/>
      <c r="AO434" s="337">
        <f t="shared" si="260"/>
        <v>28.538610954608576</v>
      </c>
      <c r="AP434" s="730">
        <f t="shared" si="261"/>
        <v>-115.78559578085957</v>
      </c>
      <c r="AS434" s="351"/>
      <c r="AT434" s="351"/>
      <c r="AV434" s="405">
        <f t="shared" si="262"/>
        <v>0</v>
      </c>
      <c r="AW434" s="405">
        <f t="shared" si="287"/>
        <v>0</v>
      </c>
      <c r="AX434" s="405">
        <f t="shared" si="263"/>
        <v>0</v>
      </c>
      <c r="AY434" s="405">
        <f t="shared" si="264"/>
        <v>0</v>
      </c>
    </row>
    <row r="435" spans="2:51" ht="13.5" thickBot="1" x14ac:dyDescent="0.25">
      <c r="B435" s="345">
        <v>44160</v>
      </c>
      <c r="C435" s="728" t="str">
        <f t="shared" si="247"/>
        <v>2.16217503399043</v>
      </c>
      <c r="D435" s="728" t="str">
        <f t="shared" si="248"/>
        <v>1+33.7582980184145i</v>
      </c>
      <c r="E435" s="337">
        <f t="shared" si="266"/>
        <v>33.773105943932499</v>
      </c>
      <c r="F435" s="338">
        <f t="shared" si="267"/>
        <v>1.5411826401426962</v>
      </c>
      <c r="G435" s="338" t="str">
        <f t="shared" si="249"/>
        <v>1+0.138732731582525i</v>
      </c>
      <c r="H435" s="337">
        <f t="shared" si="268"/>
        <v>1.0095775209523778</v>
      </c>
      <c r="I435" s="338">
        <f t="shared" si="269"/>
        <v>0.13785281837833213</v>
      </c>
      <c r="J435" s="340">
        <f t="shared" si="250"/>
        <v>1</v>
      </c>
      <c r="K435" s="338">
        <f t="shared" si="270"/>
        <v>1</v>
      </c>
      <c r="L435" s="339">
        <f t="shared" si="271"/>
        <v>0</v>
      </c>
      <c r="M435" s="731" t="str">
        <f t="shared" si="251"/>
        <v>0.91332864+0.652222832032955i</v>
      </c>
      <c r="N435" s="338">
        <f t="shared" si="272"/>
        <v>1.1223029124391231</v>
      </c>
      <c r="O435" s="339">
        <f t="shared" si="273"/>
        <v>0.62013727040009103</v>
      </c>
      <c r="P435" s="732" t="str">
        <f t="shared" si="265"/>
        <v>-0.025188209087153-0.0517899421734332i</v>
      </c>
      <c r="Q435" s="337">
        <f t="shared" si="274"/>
        <v>5.7590311575348253E-2</v>
      </c>
      <c r="R435" s="339">
        <f t="shared" si="275"/>
        <v>-2.0234670921644549</v>
      </c>
      <c r="S435" s="731" t="str">
        <f t="shared" si="252"/>
        <v>6000</v>
      </c>
      <c r="T435" s="337" t="str">
        <f t="shared" si="253"/>
        <v>1+280240.117796702i</v>
      </c>
      <c r="U435" s="346">
        <f t="shared" si="276"/>
        <v>280240.11779848614</v>
      </c>
      <c r="V435" s="347">
        <f t="shared" si="277"/>
        <v>1.5707927584264281</v>
      </c>
      <c r="W435" s="340" t="str">
        <f t="shared" si="254"/>
        <v>1+2774.65463165051i</v>
      </c>
      <c r="X435" s="337">
        <f t="shared" si="278"/>
        <v>2774.6548118531118</v>
      </c>
      <c r="Y435" s="339">
        <f t="shared" si="279"/>
        <v>1.5704359215951662</v>
      </c>
      <c r="Z435" s="337" t="str">
        <f t="shared" si="255"/>
        <v>1+27.9503617011205i</v>
      </c>
      <c r="AA435" s="346">
        <f t="shared" si="280"/>
        <v>27.968244836304326</v>
      </c>
      <c r="AB435" s="347">
        <f t="shared" si="281"/>
        <v>1.5350338684580029</v>
      </c>
      <c r="AC435" s="732" t="str">
        <f t="shared" si="282"/>
        <v>0.0751875918067824-2.12271861496222i</v>
      </c>
      <c r="AD435" s="337">
        <f t="shared" si="283"/>
        <v>2.1240497857321587</v>
      </c>
      <c r="AE435" s="339">
        <f t="shared" si="284"/>
        <v>-1.5353907052892648</v>
      </c>
      <c r="AF435" s="736" t="str">
        <f t="shared" si="256"/>
        <v>-0.111829315102552+0.0495735192750273i</v>
      </c>
      <c r="AG435" s="337">
        <f t="shared" si="285"/>
        <v>-18.249717597167439</v>
      </c>
      <c r="AH435" s="730">
        <f t="shared" si="286"/>
        <v>156.09246831867782</v>
      </c>
      <c r="AI435" s="360">
        <f t="shared" si="257"/>
        <v>-23.907531681322183</v>
      </c>
      <c r="AL435" s="337">
        <f t="shared" si="258"/>
        <v>6.5432938396703264</v>
      </c>
      <c r="AM435" s="730">
        <f t="shared" si="259"/>
        <v>-87.971407316689678</v>
      </c>
      <c r="AN435" s="351"/>
      <c r="AO435" s="337">
        <f t="shared" si="260"/>
        <v>28.478919761901679</v>
      </c>
      <c r="AP435" s="730">
        <f t="shared" si="261"/>
        <v>-115.93612436463238</v>
      </c>
      <c r="AS435" s="351"/>
      <c r="AT435" s="351"/>
      <c r="AV435" s="405">
        <f t="shared" si="262"/>
        <v>0</v>
      </c>
      <c r="AW435" s="405">
        <f t="shared" si="287"/>
        <v>0</v>
      </c>
      <c r="AX435" s="405">
        <f t="shared" si="263"/>
        <v>0</v>
      </c>
      <c r="AY435" s="405">
        <f t="shared" si="264"/>
        <v>0</v>
      </c>
    </row>
    <row r="436" spans="2:51" ht="13.5" thickBot="1" x14ac:dyDescent="0.25">
      <c r="B436" s="345">
        <v>44414</v>
      </c>
      <c r="C436" s="728" t="str">
        <f t="shared" si="247"/>
        <v>2.16217503399043</v>
      </c>
      <c r="D436" s="728" t="str">
        <f t="shared" si="248"/>
        <v>1+33.9524693883573i</v>
      </c>
      <c r="E436" s="337">
        <f t="shared" si="266"/>
        <v>33.967192665384339</v>
      </c>
      <c r="F436" s="338">
        <f t="shared" si="267"/>
        <v>1.5413519002219214</v>
      </c>
      <c r="G436" s="338" t="str">
        <f t="shared" si="249"/>
        <v>1+0.139530696116537i</v>
      </c>
      <c r="H436" s="337">
        <f t="shared" si="268"/>
        <v>1.009687483907157</v>
      </c>
      <c r="I436" s="338">
        <f t="shared" si="269"/>
        <v>0.13863562950287905</v>
      </c>
      <c r="J436" s="340">
        <f t="shared" si="250"/>
        <v>1</v>
      </c>
      <c r="K436" s="338">
        <f t="shared" si="270"/>
        <v>1</v>
      </c>
      <c r="L436" s="339">
        <f t="shared" si="271"/>
        <v>0</v>
      </c>
      <c r="M436" s="731" t="str">
        <f t="shared" si="251"/>
        <v>0.912328737955556+0.655974294880245i</v>
      </c>
      <c r="N436" s="338">
        <f t="shared" si="272"/>
        <v>1.1236752207124674</v>
      </c>
      <c r="O436" s="339">
        <f t="shared" si="273"/>
        <v>0.62337132928889727</v>
      </c>
      <c r="P436" s="732" t="str">
        <f t="shared" si="265"/>
        <v>-0.02515112802619-0.0513709988318888i</v>
      </c>
      <c r="Q436" s="337">
        <f t="shared" si="274"/>
        <v>5.7197541572830919E-2</v>
      </c>
      <c r="R436" s="339">
        <f t="shared" si="275"/>
        <v>-2.026087600007938</v>
      </c>
      <c r="S436" s="731" t="str">
        <f t="shared" si="252"/>
        <v>6000</v>
      </c>
      <c r="T436" s="337" t="str">
        <f t="shared" si="253"/>
        <v>1+281852.006155405i</v>
      </c>
      <c r="U436" s="346">
        <f t="shared" si="276"/>
        <v>281852.00615717901</v>
      </c>
      <c r="V436" s="347">
        <f t="shared" si="277"/>
        <v>1.5707927788336327</v>
      </c>
      <c r="W436" s="340" t="str">
        <f t="shared" si="254"/>
        <v>1+2790.61392233074i</v>
      </c>
      <c r="X436" s="337">
        <f t="shared" si="278"/>
        <v>2790.6141015027779</v>
      </c>
      <c r="Y436" s="339">
        <f t="shared" si="279"/>
        <v>1.5704379827225783</v>
      </c>
      <c r="Z436" s="337" t="str">
        <f t="shared" si="255"/>
        <v>1+28.1111269156151i</v>
      </c>
      <c r="AA436" s="346">
        <f t="shared" si="280"/>
        <v>28.128907843459185</v>
      </c>
      <c r="AB436" s="347">
        <f t="shared" si="281"/>
        <v>1.5352382181579138</v>
      </c>
      <c r="AC436" s="732" t="str">
        <f t="shared" si="282"/>
        <v>0.0743311514082072-2.11060942862714i</v>
      </c>
      <c r="AD436" s="337">
        <f t="shared" si="283"/>
        <v>2.1119179151376724</v>
      </c>
      <c r="AE436" s="339">
        <f t="shared" si="284"/>
        <v>-1.5355930142689682</v>
      </c>
      <c r="AF436" s="736" t="str">
        <f t="shared" si="256"/>
        <v>-0.11029362679798+0.049265742460521i</v>
      </c>
      <c r="AG436" s="337">
        <f t="shared" si="285"/>
        <v>-18.358912061899183</v>
      </c>
      <c r="AH436" s="730">
        <f t="shared" si="286"/>
        <v>155.93073282837074</v>
      </c>
      <c r="AI436" s="360">
        <f t="shared" si="257"/>
        <v>-24.069267171629264</v>
      </c>
      <c r="AL436" s="337">
        <f t="shared" si="258"/>
        <v>6.493540685421662</v>
      </c>
      <c r="AM436" s="730">
        <f t="shared" si="259"/>
        <v>-87.982998767384274</v>
      </c>
      <c r="AN436" s="351"/>
      <c r="AO436" s="337">
        <f t="shared" si="260"/>
        <v>28.419478451418613</v>
      </c>
      <c r="AP436" s="730">
        <f t="shared" si="261"/>
        <v>-116.08626840424489</v>
      </c>
      <c r="AS436" s="351"/>
      <c r="AT436" s="351"/>
      <c r="AV436" s="405">
        <f t="shared" si="262"/>
        <v>0</v>
      </c>
      <c r="AW436" s="405">
        <f t="shared" si="287"/>
        <v>0</v>
      </c>
      <c r="AX436" s="405">
        <f t="shared" si="263"/>
        <v>0</v>
      </c>
      <c r="AY436" s="405">
        <f t="shared" si="264"/>
        <v>0</v>
      </c>
    </row>
    <row r="437" spans="2:51" ht="13.5" thickBot="1" x14ac:dyDescent="0.25">
      <c r="B437" s="345">
        <v>44668</v>
      </c>
      <c r="C437" s="728" t="str">
        <f t="shared" si="247"/>
        <v>2.16217503399043</v>
      </c>
      <c r="D437" s="728" t="str">
        <f t="shared" si="248"/>
        <v>1+34.1466407583003i</v>
      </c>
      <c r="E437" s="337">
        <f t="shared" si="266"/>
        <v>34.161280348904008</v>
      </c>
      <c r="F437" s="338">
        <f t="shared" si="267"/>
        <v>1.5415192369999564</v>
      </c>
      <c r="G437" s="338" t="str">
        <f t="shared" si="249"/>
        <v>1+0.140328660650549i</v>
      </c>
      <c r="H437" s="337">
        <f t="shared" si="268"/>
        <v>1.0097980654566421</v>
      </c>
      <c r="I437" s="338">
        <f t="shared" si="269"/>
        <v>0.13941826965787024</v>
      </c>
      <c r="J437" s="340">
        <f t="shared" si="250"/>
        <v>1</v>
      </c>
      <c r="K437" s="338">
        <f t="shared" si="270"/>
        <v>1</v>
      </c>
      <c r="L437" s="339">
        <f t="shared" si="271"/>
        <v>0</v>
      </c>
      <c r="M437" s="731" t="str">
        <f t="shared" si="251"/>
        <v>0.911323101155555+0.659725757727536i</v>
      </c>
      <c r="N437" s="338">
        <f t="shared" si="272"/>
        <v>1.1250546076119814</v>
      </c>
      <c r="O437" s="339">
        <f t="shared" si="273"/>
        <v>0.6266004538867842</v>
      </c>
      <c r="P437" s="732" t="str">
        <f t="shared" si="265"/>
        <v>-0.0251135826809682-0.0509566268384735i</v>
      </c>
      <c r="Q437" s="337">
        <f t="shared" si="274"/>
        <v>5.6809064891346905E-2</v>
      </c>
      <c r="R437" s="339">
        <f t="shared" si="275"/>
        <v>-2.0287014212288716</v>
      </c>
      <c r="S437" s="731" t="str">
        <f t="shared" si="252"/>
        <v>6000</v>
      </c>
      <c r="T437" s="337" t="str">
        <f t="shared" si="253"/>
        <v>1+283463.894514109i</v>
      </c>
      <c r="U437" s="346">
        <f t="shared" si="276"/>
        <v>283463.89451587287</v>
      </c>
      <c r="V437" s="347">
        <f t="shared" si="277"/>
        <v>1.5707927990087505</v>
      </c>
      <c r="W437" s="340" t="str">
        <f t="shared" si="254"/>
        <v>1+2806.57321301098i</v>
      </c>
      <c r="X437" s="337">
        <f t="shared" si="278"/>
        <v>2806.5733911641746</v>
      </c>
      <c r="Y437" s="339">
        <f t="shared" si="279"/>
        <v>1.5704400204092139</v>
      </c>
      <c r="Z437" s="337" t="str">
        <f t="shared" si="255"/>
        <v>1+28.2718921301098i</v>
      </c>
      <c r="AA437" s="346">
        <f t="shared" si="280"/>
        <v>28.289572011901566</v>
      </c>
      <c r="AB437" s="347">
        <f t="shared" si="281"/>
        <v>1.5354402467512072</v>
      </c>
      <c r="AC437" s="732" t="str">
        <f t="shared" si="282"/>
        <v>0.0734892552701454-2.09863744314205i</v>
      </c>
      <c r="AD437" s="337">
        <f t="shared" si="283"/>
        <v>2.0999237577583525</v>
      </c>
      <c r="AE437" s="339">
        <f t="shared" si="284"/>
        <v>-1.5357930253507437</v>
      </c>
      <c r="AF437" s="736" t="str">
        <f t="shared" si="256"/>
        <v>-0.108785063547827+0.0489595403882854i</v>
      </c>
      <c r="AG437" s="337">
        <f t="shared" si="285"/>
        <v>-18.467576647302643</v>
      </c>
      <c r="AH437" s="730">
        <f t="shared" si="286"/>
        <v>155.76951211316793</v>
      </c>
      <c r="AI437" s="360">
        <f t="shared" si="257"/>
        <v>-24.230487886832066</v>
      </c>
      <c r="AL437" s="337">
        <f t="shared" si="258"/>
        <v>6.4440705405267495</v>
      </c>
      <c r="AM437" s="730">
        <f t="shared" si="259"/>
        <v>-87.994458558225858</v>
      </c>
      <c r="AN437" s="351"/>
      <c r="AO437" s="337">
        <f t="shared" si="260"/>
        <v>28.360284010910032</v>
      </c>
      <c r="AP437" s="730">
        <f t="shared" si="261"/>
        <v>-116.23602932860615</v>
      </c>
      <c r="AS437" s="351"/>
      <c r="AT437" s="351"/>
      <c r="AV437" s="405">
        <f t="shared" si="262"/>
        <v>0</v>
      </c>
      <c r="AW437" s="405">
        <f t="shared" si="287"/>
        <v>0</v>
      </c>
      <c r="AX437" s="405">
        <f t="shared" si="263"/>
        <v>0</v>
      </c>
      <c r="AY437" s="405">
        <f t="shared" si="264"/>
        <v>0</v>
      </c>
    </row>
    <row r="438" spans="2:51" ht="13.5" thickBot="1" x14ac:dyDescent="0.25">
      <c r="B438" s="345">
        <v>44928.25</v>
      </c>
      <c r="C438" s="728" t="str">
        <f t="shared" si="247"/>
        <v>2.16217503399043</v>
      </c>
      <c r="D438" s="728" t="str">
        <f t="shared" si="248"/>
        <v>1+34.3455899670704i</v>
      </c>
      <c r="E438" s="337">
        <f t="shared" si="266"/>
        <v>34.360144792857426</v>
      </c>
      <c r="F438" s="338">
        <f t="shared" si="267"/>
        <v>1.5416887305178115</v>
      </c>
      <c r="G438" s="338" t="str">
        <f t="shared" si="249"/>
        <v>1+0.141146260138646i</v>
      </c>
      <c r="H438" s="337">
        <f t="shared" si="268"/>
        <v>1.0099120094102882</v>
      </c>
      <c r="I438" s="338">
        <f t="shared" si="269"/>
        <v>0.1402199894152785</v>
      </c>
      <c r="J438" s="340">
        <f t="shared" si="250"/>
        <v>1</v>
      </c>
      <c r="K438" s="338">
        <f t="shared" si="270"/>
        <v>1</v>
      </c>
      <c r="L438" s="339">
        <f t="shared" si="271"/>
        <v>0</v>
      </c>
      <c r="M438" s="731" t="str">
        <f t="shared" si="251"/>
        <v>0.910286771197222+0.663569530192132i</v>
      </c>
      <c r="N438" s="338">
        <f t="shared" si="272"/>
        <v>1.1264752670236797</v>
      </c>
      <c r="O438" s="339">
        <f t="shared" si="273"/>
        <v>0.62990390787498041</v>
      </c>
      <c r="P438" s="732" t="str">
        <f t="shared" si="265"/>
        <v>-0.0250746435101918-0.0505367252166621i</v>
      </c>
      <c r="Q438" s="337">
        <f t="shared" si="274"/>
        <v>5.6415408735447585E-2</v>
      </c>
      <c r="R438" s="339">
        <f t="shared" si="275"/>
        <v>-2.0313726489775137</v>
      </c>
      <c r="S438" s="731" t="str">
        <f t="shared" si="252"/>
        <v>6000</v>
      </c>
      <c r="T438" s="337" t="str">
        <f t="shared" si="253"/>
        <v>1+285115.445480064i</v>
      </c>
      <c r="U438" s="346">
        <f t="shared" si="276"/>
        <v>285115.44548181765</v>
      </c>
      <c r="V438" s="347">
        <f t="shared" si="277"/>
        <v>1.570792819443696</v>
      </c>
      <c r="W438" s="340" t="str">
        <f t="shared" si="254"/>
        <v>1+2822.92520277291i</v>
      </c>
      <c r="X438" s="337">
        <f t="shared" si="278"/>
        <v>2822.92537989414</v>
      </c>
      <c r="Y438" s="339">
        <f t="shared" si="279"/>
        <v>1.5704420843384588</v>
      </c>
      <c r="Z438" s="337" t="str">
        <f t="shared" si="255"/>
        <v>1+28.4366131815753i</v>
      </c>
      <c r="AA438" s="346">
        <f t="shared" si="280"/>
        <v>28.454190714876113</v>
      </c>
      <c r="AB438" s="347">
        <f t="shared" si="281"/>
        <v>1.5356448801387423</v>
      </c>
      <c r="AC438" s="732" t="str">
        <f t="shared" si="282"/>
        <v>0.072641386425534-2.08651075646222i</v>
      </c>
      <c r="AD438" s="337">
        <f t="shared" si="283"/>
        <v>2.0877748700121783</v>
      </c>
      <c r="AE438" s="339">
        <f t="shared" si="284"/>
        <v>-1.5359956152439795</v>
      </c>
      <c r="AF438" s="736" t="str">
        <f t="shared" si="256"/>
        <v>-0.107266877629647+0.0486474556133262i</v>
      </c>
      <c r="AG438" s="337">
        <f t="shared" si="285"/>
        <v>-18.578371904156995</v>
      </c>
      <c r="AH438" s="730">
        <f t="shared" si="286"/>
        <v>155.60485449119804</v>
      </c>
      <c r="AI438" s="360">
        <f t="shared" si="257"/>
        <v>-24.39514550880196</v>
      </c>
      <c r="AL438" s="337">
        <f t="shared" si="258"/>
        <v>6.3936733158882983</v>
      </c>
      <c r="AM438" s="730">
        <f t="shared" si="259"/>
        <v>-88.006066104080276</v>
      </c>
      <c r="AN438" s="351"/>
      <c r="AO438" s="337">
        <f t="shared" si="260"/>
        <v>28.29988597869416</v>
      </c>
      <c r="AP438" s="730">
        <f t="shared" si="261"/>
        <v>-116.38907940472154</v>
      </c>
      <c r="AS438" s="351"/>
      <c r="AT438" s="351"/>
      <c r="AV438" s="405">
        <f t="shared" si="262"/>
        <v>0</v>
      </c>
      <c r="AW438" s="405">
        <f t="shared" si="287"/>
        <v>0</v>
      </c>
      <c r="AX438" s="405">
        <f t="shared" si="263"/>
        <v>0</v>
      </c>
      <c r="AY438" s="405">
        <f t="shared" si="264"/>
        <v>0</v>
      </c>
    </row>
    <row r="439" spans="2:51" ht="13.5" thickBot="1" x14ac:dyDescent="0.25">
      <c r="B439" s="345">
        <v>45188.5</v>
      </c>
      <c r="C439" s="728" t="str">
        <f t="shared" si="247"/>
        <v>2.16217503399043</v>
      </c>
      <c r="D439" s="728" t="str">
        <f t="shared" si="248"/>
        <v>1+34.5445391758407i</v>
      </c>
      <c r="E439" s="337">
        <f t="shared" si="266"/>
        <v>34.559010212550831</v>
      </c>
      <c r="F439" s="338">
        <f t="shared" si="267"/>
        <v>1.5418562733827412</v>
      </c>
      <c r="G439" s="338" t="str">
        <f t="shared" si="249"/>
        <v>1+0.141963859626742i</v>
      </c>
      <c r="H439" s="337">
        <f t="shared" si="268"/>
        <v>1.0100266023427904</v>
      </c>
      <c r="I439" s="338">
        <f t="shared" si="269"/>
        <v>0.1410215277689725</v>
      </c>
      <c r="J439" s="340">
        <f t="shared" si="250"/>
        <v>1</v>
      </c>
      <c r="K439" s="338">
        <f t="shared" si="270"/>
        <v>1</v>
      </c>
      <c r="L439" s="339">
        <f t="shared" si="271"/>
        <v>0</v>
      </c>
      <c r="M439" s="731" t="str">
        <f t="shared" si="251"/>
        <v>0.909244420788889+0.667413302656729i</v>
      </c>
      <c r="N439" s="338">
        <f t="shared" si="272"/>
        <v>1.1279033350863383</v>
      </c>
      <c r="O439" s="339">
        <f t="shared" si="273"/>
        <v>0.6332021626535449</v>
      </c>
      <c r="P439" s="732" t="str">
        <f t="shared" si="265"/>
        <v>-0.0250352402073235-0.050121472087213i</v>
      </c>
      <c r="Q439" s="337">
        <f t="shared" si="274"/>
        <v>5.6026111916031247E-2</v>
      </c>
      <c r="R439" s="339">
        <f t="shared" si="275"/>
        <v>-2.0340369082673129</v>
      </c>
      <c r="S439" s="731" t="str">
        <f t="shared" si="252"/>
        <v>6000</v>
      </c>
      <c r="T439" s="337" t="str">
        <f t="shared" si="253"/>
        <v>1+286766.99644602i</v>
      </c>
      <c r="U439" s="346">
        <f t="shared" si="276"/>
        <v>286766.99644776358</v>
      </c>
      <c r="V439" s="347">
        <f t="shared" si="277"/>
        <v>1.5707928396432635</v>
      </c>
      <c r="W439" s="340" t="str">
        <f t="shared" si="254"/>
        <v>1+2839.27719253485i</v>
      </c>
      <c r="X439" s="337">
        <f t="shared" si="278"/>
        <v>2839.2773686360024</v>
      </c>
      <c r="Y439" s="339">
        <f t="shared" si="279"/>
        <v>1.5704441244945082</v>
      </c>
      <c r="Z439" s="337" t="str">
        <f t="shared" si="255"/>
        <v>1+28.6013342330408i</v>
      </c>
      <c r="AA439" s="346">
        <f t="shared" si="280"/>
        <v>28.618810595657386</v>
      </c>
      <c r="AB439" s="347">
        <f t="shared" si="281"/>
        <v>1.5358471593680776</v>
      </c>
      <c r="AC439" s="732" t="str">
        <f t="shared" si="282"/>
        <v>0.071808100668864-2.0745232401461i</v>
      </c>
      <c r="AD439" s="337">
        <f t="shared" si="283"/>
        <v>2.075765660479993</v>
      </c>
      <c r="AE439" s="339">
        <f t="shared" si="284"/>
        <v>-1.5361958745168327</v>
      </c>
      <c r="AF439" s="736" t="str">
        <f t="shared" si="256"/>
        <v>-0.105775891724334+0.0483370599194224i</v>
      </c>
      <c r="AG439" s="337">
        <f t="shared" si="285"/>
        <v>-18.688623848313252</v>
      </c>
      <c r="AH439" s="730">
        <f t="shared" si="286"/>
        <v>155.44072966722123</v>
      </c>
      <c r="AI439" s="360">
        <f t="shared" si="257"/>
        <v>-24.559270332778766</v>
      </c>
      <c r="AL439" s="337">
        <f t="shared" si="258"/>
        <v>6.3435664622864882</v>
      </c>
      <c r="AM439" s="730">
        <f t="shared" si="259"/>
        <v>-88.017540115223127</v>
      </c>
      <c r="AN439" s="351"/>
      <c r="AO439" s="337">
        <f t="shared" si="260"/>
        <v>28.239740888139696</v>
      </c>
      <c r="AP439" s="730">
        <f t="shared" si="261"/>
        <v>-116.54173021755558</v>
      </c>
      <c r="AS439" s="351"/>
      <c r="AT439" s="351"/>
      <c r="AV439" s="405">
        <f t="shared" si="262"/>
        <v>0</v>
      </c>
      <c r="AW439" s="405">
        <f t="shared" si="287"/>
        <v>0</v>
      </c>
      <c r="AX439" s="405">
        <f t="shared" si="263"/>
        <v>0</v>
      </c>
      <c r="AY439" s="405">
        <f t="shared" si="264"/>
        <v>0</v>
      </c>
    </row>
    <row r="440" spans="2:51" ht="13.5" thickBot="1" x14ac:dyDescent="0.25">
      <c r="B440" s="345">
        <v>45448.75</v>
      </c>
      <c r="C440" s="728" t="str">
        <f t="shared" si="247"/>
        <v>2.16217503399043</v>
      </c>
      <c r="D440" s="728" t="str">
        <f t="shared" si="248"/>
        <v>1+34.7434883846108i</v>
      </c>
      <c r="E440" s="337">
        <f t="shared" si="266"/>
        <v>34.757876591235913</v>
      </c>
      <c r="F440" s="338">
        <f t="shared" si="267"/>
        <v>1.5420218990671026</v>
      </c>
      <c r="G440" s="338" t="str">
        <f t="shared" si="249"/>
        <v>1+0.142781459114839i</v>
      </c>
      <c r="H440" s="337">
        <f t="shared" si="268"/>
        <v>1.0101418440332834</v>
      </c>
      <c r="I440" s="338">
        <f t="shared" si="269"/>
        <v>0.14182288375094826</v>
      </c>
      <c r="J440" s="340">
        <f t="shared" si="250"/>
        <v>1</v>
      </c>
      <c r="K440" s="338">
        <f t="shared" si="270"/>
        <v>1</v>
      </c>
      <c r="L440" s="339">
        <f t="shared" si="271"/>
        <v>0</v>
      </c>
      <c r="M440" s="731" t="str">
        <f t="shared" si="251"/>
        <v>0.908196049930556+0.671257075121325i</v>
      </c>
      <c r="N440" s="338">
        <f t="shared" si="272"/>
        <v>1.1293388003650193</v>
      </c>
      <c r="O440" s="339">
        <f t="shared" si="273"/>
        <v>0.63649520889639521</v>
      </c>
      <c r="P440" s="732" t="str">
        <f t="shared" si="265"/>
        <v>-0.0249953841530017-0.0497107937631958i</v>
      </c>
      <c r="Q440" s="337">
        <f t="shared" si="274"/>
        <v>5.5641102123548156E-2</v>
      </c>
      <c r="R440" s="339">
        <f t="shared" si="275"/>
        <v>-2.0366942242125492</v>
      </c>
      <c r="S440" s="731" t="str">
        <f t="shared" si="252"/>
        <v>6000</v>
      </c>
      <c r="T440" s="337" t="str">
        <f t="shared" si="253"/>
        <v>1+288418.547411975i</v>
      </c>
      <c r="U440" s="346">
        <f t="shared" si="276"/>
        <v>288418.54741370858</v>
      </c>
      <c r="V440" s="347">
        <f t="shared" si="277"/>
        <v>1.5707928596114962</v>
      </c>
      <c r="W440" s="340" t="str">
        <f t="shared" si="254"/>
        <v>1+2855.62918229678i</v>
      </c>
      <c r="X440" s="337">
        <f t="shared" si="278"/>
        <v>2855.6293573895368</v>
      </c>
      <c r="Y440" s="339">
        <f t="shared" si="279"/>
        <v>1.5704461412857547</v>
      </c>
      <c r="Z440" s="337" t="str">
        <f t="shared" si="255"/>
        <v>1+28.7660552845063i</v>
      </c>
      <c r="AA440" s="346">
        <f t="shared" si="280"/>
        <v>28.783431634036841</v>
      </c>
      <c r="AB440" s="347">
        <f t="shared" si="281"/>
        <v>1.5360471248149172</v>
      </c>
      <c r="AC440" s="732" t="str">
        <f t="shared" si="282"/>
        <v>0.0709890656078952-2.06267251498414i</v>
      </c>
      <c r="AD440" s="337">
        <f t="shared" si="283"/>
        <v>2.0638937355171363</v>
      </c>
      <c r="AE440" s="339">
        <f t="shared" si="284"/>
        <v>-1.5363938431406587</v>
      </c>
      <c r="AF440" s="736" t="str">
        <f t="shared" si="256"/>
        <v>-0.104311486958921+0.0480283690939907i</v>
      </c>
      <c r="AG440" s="337">
        <f t="shared" si="285"/>
        <v>-18.798338867290457</v>
      </c>
      <c r="AH440" s="730">
        <f t="shared" si="286"/>
        <v>155.27713391210517</v>
      </c>
      <c r="AI440" s="360">
        <f t="shared" si="257"/>
        <v>-24.722866087894829</v>
      </c>
      <c r="AL440" s="337">
        <f t="shared" si="258"/>
        <v>6.2937466569079037</v>
      </c>
      <c r="AM440" s="730">
        <f t="shared" si="259"/>
        <v>-88.028882881844368</v>
      </c>
      <c r="AN440" s="351"/>
      <c r="AO440" s="337">
        <f t="shared" si="260"/>
        <v>28.179845674541049</v>
      </c>
      <c r="AP440" s="730">
        <f t="shared" si="261"/>
        <v>-116.69398320605048</v>
      </c>
      <c r="AS440" s="351"/>
      <c r="AT440" s="351"/>
      <c r="AV440" s="405">
        <f t="shared" si="262"/>
        <v>0</v>
      </c>
      <c r="AW440" s="405">
        <f t="shared" si="287"/>
        <v>0</v>
      </c>
      <c r="AX440" s="405">
        <f t="shared" si="263"/>
        <v>0</v>
      </c>
      <c r="AY440" s="405">
        <f t="shared" si="264"/>
        <v>0</v>
      </c>
    </row>
    <row r="441" spans="2:51" ht="13.5" thickBot="1" x14ac:dyDescent="0.25">
      <c r="B441" s="345">
        <v>45709</v>
      </c>
      <c r="C441" s="728" t="str">
        <f t="shared" si="247"/>
        <v>2.16217503399043</v>
      </c>
      <c r="D441" s="728" t="str">
        <f t="shared" si="248"/>
        <v>1+34.9424375933811i</v>
      </c>
      <c r="E441" s="337">
        <f t="shared" si="266"/>
        <v>34.956743912546152</v>
      </c>
      <c r="F441" s="338">
        <f t="shared" si="267"/>
        <v>1.5421856402819891</v>
      </c>
      <c r="G441" s="338" t="str">
        <f t="shared" si="249"/>
        <v>1+0.143599058602936i</v>
      </c>
      <c r="H441" s="337">
        <f t="shared" si="268"/>
        <v>1.010257734259753</v>
      </c>
      <c r="I441" s="338">
        <f t="shared" si="269"/>
        <v>0.14262405639457618</v>
      </c>
      <c r="J441" s="340">
        <f t="shared" si="250"/>
        <v>1</v>
      </c>
      <c r="K441" s="338">
        <f t="shared" si="270"/>
        <v>1</v>
      </c>
      <c r="L441" s="339">
        <f t="shared" si="271"/>
        <v>0</v>
      </c>
      <c r="M441" s="731" t="str">
        <f t="shared" si="251"/>
        <v>0.907141658622222+0.675100847585922i</v>
      </c>
      <c r="N441" s="338">
        <f t="shared" si="272"/>
        <v>1.1307816514336915</v>
      </c>
      <c r="O441" s="339">
        <f t="shared" si="273"/>
        <v>0.63978303750510501</v>
      </c>
      <c r="P441" s="732" t="str">
        <f t="shared" si="265"/>
        <v>-0.0249550864686134-0.049304618192121i</v>
      </c>
      <c r="Q441" s="337">
        <f t="shared" si="274"/>
        <v>5.5260308682876548E-2</v>
      </c>
      <c r="R441" s="339">
        <f t="shared" si="275"/>
        <v>-2.0393446213925182</v>
      </c>
      <c r="S441" s="731" t="str">
        <f t="shared" si="252"/>
        <v>6000</v>
      </c>
      <c r="T441" s="337" t="str">
        <f t="shared" si="253"/>
        <v>1+290070.098377931i</v>
      </c>
      <c r="U441" s="346">
        <f t="shared" si="276"/>
        <v>290070.09837965469</v>
      </c>
      <c r="V441" s="347">
        <f t="shared" si="277"/>
        <v>1.5707928793523454</v>
      </c>
      <c r="W441" s="340" t="str">
        <f t="shared" si="254"/>
        <v>1+2871.98117205872i</v>
      </c>
      <c r="X441" s="337">
        <f t="shared" si="278"/>
        <v>2871.9813461545637</v>
      </c>
      <c r="Y441" s="339">
        <f t="shared" si="279"/>
        <v>1.5704481351112893</v>
      </c>
      <c r="Z441" s="337" t="str">
        <f t="shared" si="255"/>
        <v>1+28.9307763359718i</v>
      </c>
      <c r="AA441" s="346">
        <f t="shared" si="280"/>
        <v>28.948053810265478</v>
      </c>
      <c r="AB441" s="347">
        <f t="shared" si="281"/>
        <v>1.5362448159372781</v>
      </c>
      <c r="AC441" s="732" t="str">
        <f t="shared" si="282"/>
        <v>0.0701839582632318-2.05095625562674i</v>
      </c>
      <c r="AD441" s="337">
        <f t="shared" si="283"/>
        <v>2.0521567558283538</v>
      </c>
      <c r="AE441" s="339">
        <f t="shared" si="284"/>
        <v>-1.5365895601783341</v>
      </c>
      <c r="AF441" s="736" t="str">
        <f t="shared" si="256"/>
        <v>-0.102873061859587+0.0477213974371285i</v>
      </c>
      <c r="AG441" s="337">
        <f t="shared" si="285"/>
        <v>-18.907523235482955</v>
      </c>
      <c r="AH441" s="730">
        <f t="shared" si="286"/>
        <v>155.11406357942192</v>
      </c>
      <c r="AI441" s="360">
        <f t="shared" si="257"/>
        <v>-24.885936420578076</v>
      </c>
      <c r="AL441" s="337">
        <f t="shared" si="258"/>
        <v>6.2442106335819991</v>
      </c>
      <c r="AM441" s="730">
        <f t="shared" si="259"/>
        <v>-88.040096642081977</v>
      </c>
      <c r="AN441" s="351"/>
      <c r="AO441" s="337">
        <f t="shared" si="260"/>
        <v>28.120197329674479</v>
      </c>
      <c r="AP441" s="730">
        <f t="shared" si="261"/>
        <v>-116.84583977849599</v>
      </c>
      <c r="AS441" s="351"/>
      <c r="AT441" s="351"/>
      <c r="AV441" s="405">
        <f t="shared" si="262"/>
        <v>0</v>
      </c>
      <c r="AW441" s="405">
        <f t="shared" si="287"/>
        <v>0</v>
      </c>
      <c r="AX441" s="405">
        <f t="shared" si="263"/>
        <v>0</v>
      </c>
      <c r="AY441" s="405">
        <f t="shared" si="264"/>
        <v>0</v>
      </c>
    </row>
    <row r="442" spans="2:51" ht="13.5" thickBot="1" x14ac:dyDescent="0.25">
      <c r="B442" s="345">
        <v>45975.25</v>
      </c>
      <c r="C442" s="728" t="str">
        <f t="shared" si="247"/>
        <v>2.16217503399043</v>
      </c>
      <c r="D442" s="728" t="str">
        <f t="shared" si="248"/>
        <v>1+35.1459735274255i</v>
      </c>
      <c r="E442" s="337">
        <f t="shared" si="266"/>
        <v>35.160197030029479</v>
      </c>
      <c r="F442" s="338">
        <f t="shared" si="267"/>
        <v>1.5423512397065993</v>
      </c>
      <c r="G442" s="338" t="str">
        <f t="shared" si="249"/>
        <v>1+0.144435507646954i</v>
      </c>
      <c r="H442" s="337">
        <f t="shared" si="268"/>
        <v>1.0103769672103742</v>
      </c>
      <c r="I442" s="338">
        <f t="shared" si="269"/>
        <v>0.14344350914339696</v>
      </c>
      <c r="J442" s="340">
        <f t="shared" si="250"/>
        <v>1</v>
      </c>
      <c r="K442" s="338">
        <f t="shared" si="270"/>
        <v>1</v>
      </c>
      <c r="L442" s="339">
        <f t="shared" si="271"/>
        <v>0</v>
      </c>
      <c r="M442" s="731" t="str">
        <f t="shared" si="251"/>
        <v>0.906056728330556+0.67903323728313i</v>
      </c>
      <c r="N442" s="338">
        <f t="shared" si="272"/>
        <v>1.1322653983445217</v>
      </c>
      <c r="O442" s="339">
        <f t="shared" si="273"/>
        <v>0.64314125748879436</v>
      </c>
      <c r="P442" s="732" t="str">
        <f t="shared" si="265"/>
        <v>-0.024913414044956-0.0488936645361457i</v>
      </c>
      <c r="Q442" s="337">
        <f t="shared" si="274"/>
        <v>5.4875027390868449E-2</v>
      </c>
      <c r="R442" s="339">
        <f t="shared" si="275"/>
        <v>-2.042048988051997</v>
      </c>
      <c r="S442" s="731" t="str">
        <f t="shared" si="252"/>
        <v>6000</v>
      </c>
      <c r="T442" s="337" t="str">
        <f t="shared" si="253"/>
        <v>1+291759.725446847i</v>
      </c>
      <c r="U442" s="346">
        <f t="shared" si="276"/>
        <v>291759.72544856078</v>
      </c>
      <c r="V442" s="347">
        <f t="shared" si="277"/>
        <v>1.5707928993170346</v>
      </c>
      <c r="W442" s="340" t="str">
        <f t="shared" si="254"/>
        <v>1+2888.71015293908i</v>
      </c>
      <c r="X442" s="337">
        <f t="shared" si="278"/>
        <v>2888.7103260267072</v>
      </c>
      <c r="Y442" s="339">
        <f t="shared" si="279"/>
        <v>1.5704501515446603</v>
      </c>
      <c r="Z442" s="337" t="str">
        <f t="shared" si="255"/>
        <v>1+29.0992949909293i</v>
      </c>
      <c r="AA442" s="346">
        <f t="shared" si="280"/>
        <v>29.116472467816617</v>
      </c>
      <c r="AB442" s="347">
        <f t="shared" si="281"/>
        <v>1.5364447514118098</v>
      </c>
      <c r="AC442" s="732" t="str">
        <f t="shared" si="282"/>
        <v>0.0693743751680676-2.03910666245266i</v>
      </c>
      <c r="AD442" s="337">
        <f t="shared" si="283"/>
        <v>2.0402864467492763</v>
      </c>
      <c r="AE442" s="339">
        <f t="shared" si="284"/>
        <v>-1.5367874991841843</v>
      </c>
      <c r="AF442" s="736" t="str">
        <f t="shared" si="256"/>
        <v>-0.101427749640052+0.0474091411366392i</v>
      </c>
      <c r="AG442" s="337">
        <f t="shared" si="285"/>
        <v>-19.018682106705903</v>
      </c>
      <c r="AH442" s="730">
        <f t="shared" si="286"/>
        <v>154.94777371394164</v>
      </c>
      <c r="AI442" s="360">
        <f t="shared" si="257"/>
        <v>-25.052226286058357</v>
      </c>
      <c r="AL442" s="337">
        <f t="shared" si="258"/>
        <v>6.1938228927278995</v>
      </c>
      <c r="AM442" s="730">
        <f t="shared" si="259"/>
        <v>-88.051437711718208</v>
      </c>
      <c r="AN442" s="351"/>
      <c r="AO442" s="337">
        <f t="shared" si="260"/>
        <v>28.059426199305651</v>
      </c>
      <c r="AP442" s="730">
        <f t="shared" si="261"/>
        <v>-117.00078857434009</v>
      </c>
      <c r="AS442" s="351"/>
      <c r="AT442" s="351"/>
      <c r="AV442" s="405">
        <f t="shared" si="262"/>
        <v>0</v>
      </c>
      <c r="AW442" s="405">
        <f t="shared" si="287"/>
        <v>0</v>
      </c>
      <c r="AX442" s="405">
        <f t="shared" si="263"/>
        <v>0</v>
      </c>
      <c r="AY442" s="405">
        <f t="shared" si="264"/>
        <v>0</v>
      </c>
    </row>
    <row r="443" spans="2:51" ht="13.5" thickBot="1" x14ac:dyDescent="0.25">
      <c r="B443" s="345">
        <v>46241.5</v>
      </c>
      <c r="C443" s="728" t="str">
        <f t="shared" si="247"/>
        <v>2.16217503399043</v>
      </c>
      <c r="D443" s="728" t="str">
        <f t="shared" si="248"/>
        <v>1+35.34950946147i</v>
      </c>
      <c r="E443" s="337">
        <f t="shared" si="266"/>
        <v>35.363651100622469</v>
      </c>
      <c r="F443" s="338">
        <f t="shared" si="267"/>
        <v>1.54251493368325</v>
      </c>
      <c r="G443" s="338" t="str">
        <f t="shared" si="249"/>
        <v>1+0.145271956690973i</v>
      </c>
      <c r="H443" s="337">
        <f t="shared" si="268"/>
        <v>1.0104968784715882</v>
      </c>
      <c r="I443" s="338">
        <f t="shared" si="269"/>
        <v>0.14426276796047113</v>
      </c>
      <c r="J443" s="340">
        <f t="shared" si="250"/>
        <v>1</v>
      </c>
      <c r="K443" s="338">
        <f t="shared" si="270"/>
        <v>1</v>
      </c>
      <c r="L443" s="339">
        <f t="shared" si="271"/>
        <v>0</v>
      </c>
      <c r="M443" s="731" t="str">
        <f t="shared" si="251"/>
        <v>0.904965496788889+0.682965626980341i</v>
      </c>
      <c r="N443" s="338">
        <f t="shared" si="272"/>
        <v>1.1337568513640883</v>
      </c>
      <c r="O443" s="339">
        <f t="shared" si="273"/>
        <v>0.64649399794104778</v>
      </c>
      <c r="P443" s="732" t="str">
        <f t="shared" si="265"/>
        <v>-0.0248713021450229-0.0484872761212504i</v>
      </c>
      <c r="Q443" s="337">
        <f t="shared" si="274"/>
        <v>5.4494014497441831E-2</v>
      </c>
      <c r="R443" s="339">
        <f t="shared" si="275"/>
        <v>-2.0447461636638269</v>
      </c>
      <c r="S443" s="731" t="str">
        <f t="shared" si="252"/>
        <v>6000</v>
      </c>
      <c r="T443" s="337" t="str">
        <f t="shared" si="253"/>
        <v>1+293449.352515764i</v>
      </c>
      <c r="U443" s="346">
        <f t="shared" si="276"/>
        <v>293449.35251746792</v>
      </c>
      <c r="V443" s="347">
        <f t="shared" si="277"/>
        <v>1.5707929190518179</v>
      </c>
      <c r="W443" s="340" t="str">
        <f t="shared" si="254"/>
        <v>1+2905.43913381945i</v>
      </c>
      <c r="X443" s="337">
        <f t="shared" si="278"/>
        <v>2905.4393059104705</v>
      </c>
      <c r="Y443" s="339">
        <f t="shared" si="279"/>
        <v>1.5704521447575335</v>
      </c>
      <c r="Z443" s="337" t="str">
        <f t="shared" si="255"/>
        <v>1+29.2678136458868i</v>
      </c>
      <c r="AA443" s="346">
        <f t="shared" si="280"/>
        <v>29.284892275887877</v>
      </c>
      <c r="AB443" s="347">
        <f t="shared" si="281"/>
        <v>1.5366423872036685</v>
      </c>
      <c r="AC443" s="732" t="str">
        <f t="shared" si="282"/>
        <v>0.0685787143214436-2.0273930491239i</v>
      </c>
      <c r="AD443" s="337">
        <f t="shared" si="283"/>
        <v>2.028552591305901</v>
      </c>
      <c r="AE443" s="339">
        <f t="shared" si="284"/>
        <v>-1.536983161497953</v>
      </c>
      <c r="AF443" s="736" t="str">
        <f t="shared" si="256"/>
        <v>-0.10000840850378+0.0470987100341356i</v>
      </c>
      <c r="AG443" s="337">
        <f t="shared" si="285"/>
        <v>-19.129298511028903</v>
      </c>
      <c r="AH443" s="730">
        <f t="shared" si="286"/>
        <v>154.78202630998948</v>
      </c>
      <c r="AI443" s="360">
        <f t="shared" si="257"/>
        <v>-25.217973690010524</v>
      </c>
      <c r="AL443" s="337">
        <f t="shared" si="258"/>
        <v>6.143725430039094</v>
      </c>
      <c r="AM443" s="730">
        <f t="shared" si="259"/>
        <v>-88.062648336506911</v>
      </c>
      <c r="AN443" s="351"/>
      <c r="AO443" s="337">
        <f t="shared" si="260"/>
        <v>27.998907257671462</v>
      </c>
      <c r="AP443" s="730">
        <f t="shared" si="261"/>
        <v>-117.1553253535036</v>
      </c>
      <c r="AS443" s="351"/>
      <c r="AT443" s="351"/>
      <c r="AV443" s="405">
        <f t="shared" si="262"/>
        <v>0</v>
      </c>
      <c r="AW443" s="405">
        <f t="shared" si="287"/>
        <v>0</v>
      </c>
      <c r="AX443" s="405">
        <f t="shared" si="263"/>
        <v>0</v>
      </c>
      <c r="AY443" s="405">
        <f t="shared" si="264"/>
        <v>0</v>
      </c>
    </row>
    <row r="444" spans="2:51" ht="13.5" thickBot="1" x14ac:dyDescent="0.25">
      <c r="B444" s="345">
        <v>46507.75</v>
      </c>
      <c r="C444" s="728" t="str">
        <f t="shared" si="247"/>
        <v>2.16217503399043</v>
      </c>
      <c r="D444" s="728" t="str">
        <f t="shared" si="248"/>
        <v>1+35.5530453955144i</v>
      </c>
      <c r="E444" s="337">
        <f t="shared" si="266"/>
        <v>35.567106107968748</v>
      </c>
      <c r="F444" s="338">
        <f t="shared" si="267"/>
        <v>1.5426767549023734</v>
      </c>
      <c r="G444" s="338" t="str">
        <f t="shared" si="249"/>
        <v>1+0.14610840573499i</v>
      </c>
      <c r="H444" s="337">
        <f t="shared" si="268"/>
        <v>1.0106174678019475</v>
      </c>
      <c r="I444" s="338">
        <f t="shared" si="269"/>
        <v>0.14508183181527473</v>
      </c>
      <c r="J444" s="340">
        <f t="shared" si="250"/>
        <v>1</v>
      </c>
      <c r="K444" s="338">
        <f t="shared" si="270"/>
        <v>1</v>
      </c>
      <c r="L444" s="339">
        <f t="shared" si="271"/>
        <v>0</v>
      </c>
      <c r="M444" s="731" t="str">
        <f t="shared" si="251"/>
        <v>0.903867963997222+0.686898016677549i</v>
      </c>
      <c r="N444" s="338">
        <f t="shared" si="272"/>
        <v>1.1352559982911494</v>
      </c>
      <c r="O444" s="339">
        <f t="shared" si="273"/>
        <v>0.64984124985026892</v>
      </c>
      <c r="P444" s="732" t="str">
        <f t="shared" si="265"/>
        <v>-0.0248287618860134-0.0480853808093162i</v>
      </c>
      <c r="Q444" s="337">
        <f t="shared" si="274"/>
        <v>5.4117199339667486E-2</v>
      </c>
      <c r="R444" s="339">
        <f t="shared" si="275"/>
        <v>-2.0474361729373673</v>
      </c>
      <c r="S444" s="731" t="str">
        <f t="shared" si="252"/>
        <v>6000</v>
      </c>
      <c r="T444" s="337" t="str">
        <f t="shared" si="253"/>
        <v>1+295138.979584681i</v>
      </c>
      <c r="U444" s="346">
        <f t="shared" si="276"/>
        <v>295138.97958637512</v>
      </c>
      <c r="V444" s="347">
        <f t="shared" si="277"/>
        <v>1.5707929385606436</v>
      </c>
      <c r="W444" s="340" t="str">
        <f t="shared" si="254"/>
        <v>1+2922.16811469981i</v>
      </c>
      <c r="X444" s="337">
        <f t="shared" si="278"/>
        <v>2922.1682858056347</v>
      </c>
      <c r="Y444" s="339">
        <f t="shared" si="279"/>
        <v>1.5704541151487106</v>
      </c>
      <c r="Z444" s="337" t="str">
        <f t="shared" si="255"/>
        <v>1+29.4363323008443i</v>
      </c>
      <c r="AA444" s="346">
        <f t="shared" si="280"/>
        <v>29.453313214742568</v>
      </c>
      <c r="AB444" s="347">
        <f t="shared" si="281"/>
        <v>1.5368377627476526</v>
      </c>
      <c r="AC444" s="732" t="str">
        <f t="shared" si="282"/>
        <v>0.0677966584408236-2.01581309102545i</v>
      </c>
      <c r="AD444" s="337">
        <f t="shared" si="283"/>
        <v>2.0169528514185253</v>
      </c>
      <c r="AE444" s="339">
        <f t="shared" si="284"/>
        <v>-1.5371765861595856</v>
      </c>
      <c r="AF444" s="736" t="str">
        <f t="shared" si="256"/>
        <v>-0.0986144472114581+0.0467901151050534i</v>
      </c>
      <c r="AG444" s="337">
        <f t="shared" si="285"/>
        <v>-19.239378815920016</v>
      </c>
      <c r="AH444" s="730">
        <f t="shared" si="286"/>
        <v>154.61681771499929</v>
      </c>
      <c r="AI444" s="360">
        <f t="shared" si="257"/>
        <v>-25.383182285000714</v>
      </c>
      <c r="AL444" s="337">
        <f t="shared" si="258"/>
        <v>6.093914924016425</v>
      </c>
      <c r="AM444" s="730">
        <f t="shared" si="259"/>
        <v>-88.073730753272216</v>
      </c>
      <c r="AN444" s="351"/>
      <c r="AO444" s="337">
        <f t="shared" si="260"/>
        <v>27.938637458802994</v>
      </c>
      <c r="AP444" s="730">
        <f t="shared" si="261"/>
        <v>-117.30945153172836</v>
      </c>
      <c r="AS444" s="351"/>
      <c r="AT444" s="351"/>
      <c r="AV444" s="405">
        <f t="shared" si="262"/>
        <v>0</v>
      </c>
      <c r="AW444" s="405">
        <f t="shared" si="287"/>
        <v>0</v>
      </c>
      <c r="AX444" s="405">
        <f t="shared" si="263"/>
        <v>0</v>
      </c>
      <c r="AY444" s="405">
        <f t="shared" si="264"/>
        <v>0</v>
      </c>
    </row>
    <row r="445" spans="2:51" ht="13.5" thickBot="1" x14ac:dyDescent="0.25">
      <c r="B445" s="345">
        <v>46774</v>
      </c>
      <c r="C445" s="728" t="str">
        <f t="shared" si="247"/>
        <v>2.16217503399043</v>
      </c>
      <c r="D445" s="728" t="str">
        <f t="shared" si="248"/>
        <v>1+35.7565813295589i</v>
      </c>
      <c r="E445" s="337">
        <f t="shared" si="266"/>
        <v>35.770562036084364</v>
      </c>
      <c r="F445" s="338">
        <f t="shared" si="267"/>
        <v>1.5428367353110521</v>
      </c>
      <c r="G445" s="338" t="str">
        <f t="shared" si="249"/>
        <v>1+0.146944854779009i</v>
      </c>
      <c r="H445" s="337">
        <f t="shared" si="268"/>
        <v>1.0107387349587549</v>
      </c>
      <c r="I445" s="338">
        <f t="shared" si="269"/>
        <v>0.14590069967882741</v>
      </c>
      <c r="J445" s="340">
        <f t="shared" si="250"/>
        <v>1</v>
      </c>
      <c r="K445" s="338">
        <f t="shared" si="270"/>
        <v>1</v>
      </c>
      <c r="L445" s="339">
        <f t="shared" si="271"/>
        <v>0</v>
      </c>
      <c r="M445" s="731" t="str">
        <f t="shared" si="251"/>
        <v>0.902764129955556+0.69083040637476i</v>
      </c>
      <c r="N445" s="338">
        <f t="shared" si="272"/>
        <v>1.1367628269372325</v>
      </c>
      <c r="O445" s="339">
        <f t="shared" si="273"/>
        <v>0.65318300444814326</v>
      </c>
      <c r="P445" s="732" t="str">
        <f t="shared" si="265"/>
        <v>-0.0247858041345472-0.0476879080575088i</v>
      </c>
      <c r="Q445" s="337">
        <f t="shared" si="274"/>
        <v>5.3744512850127768E-2</v>
      </c>
      <c r="R445" s="339">
        <f t="shared" si="275"/>
        <v>-2.0501190400803679</v>
      </c>
      <c r="S445" s="731" t="str">
        <f t="shared" si="252"/>
        <v>6000</v>
      </c>
      <c r="T445" s="337" t="str">
        <f t="shared" si="253"/>
        <v>1+296828.606653598i</v>
      </c>
      <c r="U445" s="346">
        <f t="shared" si="276"/>
        <v>296828.60665528255</v>
      </c>
      <c r="V445" s="347">
        <f t="shared" si="277"/>
        <v>1.5707929578473707</v>
      </c>
      <c r="W445" s="340" t="str">
        <f t="shared" si="254"/>
        <v>1+2938.89709558018i</v>
      </c>
      <c r="X445" s="337">
        <f t="shared" si="278"/>
        <v>2938.8972657120248</v>
      </c>
      <c r="Y445" s="339">
        <f t="shared" si="279"/>
        <v>1.5704560631079132</v>
      </c>
      <c r="Z445" s="337" t="str">
        <f t="shared" si="255"/>
        <v>1+29.6048509558018i</v>
      </c>
      <c r="AA445" s="346">
        <f t="shared" si="280"/>
        <v>29.621735265092742</v>
      </c>
      <c r="AB445" s="347">
        <f t="shared" si="281"/>
        <v>1.5370309165823919</v>
      </c>
      <c r="AC445" s="732" t="str">
        <f t="shared" si="282"/>
        <v>0.067027899227466-2.00436451616818i</v>
      </c>
      <c r="AD445" s="337">
        <f t="shared" si="283"/>
        <v>2.0054849420898053</v>
      </c>
      <c r="AE445" s="339">
        <f t="shared" si="284"/>
        <v>-1.5373678113218494</v>
      </c>
      <c r="AF445" s="736" t="str">
        <f t="shared" si="256"/>
        <v>-0.0972452911425634+0.0464833660163336i</v>
      </c>
      <c r="AG445" s="337">
        <f t="shared" si="285"/>
        <v>-19.348929275883467</v>
      </c>
      <c r="AH445" s="730">
        <f t="shared" si="286"/>
        <v>154.45214435597663</v>
      </c>
      <c r="AI445" s="360">
        <f t="shared" si="257"/>
        <v>-25.547855644023372</v>
      </c>
      <c r="AL445" s="337">
        <f t="shared" si="258"/>
        <v>6.0443881097803152</v>
      </c>
      <c r="AM445" s="730">
        <f t="shared" si="259"/>
        <v>-88.084687148006623</v>
      </c>
      <c r="AN445" s="351"/>
      <c r="AO445" s="337">
        <f t="shared" si="260"/>
        <v>27.878613813075638</v>
      </c>
      <c r="AP445" s="730">
        <f t="shared" si="261"/>
        <v>-117.46316849601675</v>
      </c>
      <c r="AS445" s="351"/>
      <c r="AT445" s="351"/>
      <c r="AV445" s="405">
        <f t="shared" si="262"/>
        <v>0</v>
      </c>
      <c r="AW445" s="405">
        <f t="shared" si="287"/>
        <v>0</v>
      </c>
      <c r="AX445" s="405">
        <f t="shared" si="263"/>
        <v>0</v>
      </c>
      <c r="AY445" s="405">
        <f t="shared" si="264"/>
        <v>0</v>
      </c>
    </row>
    <row r="446" spans="2:51" ht="13.5" thickBot="1" x14ac:dyDescent="0.25">
      <c r="B446" s="345">
        <v>47046.25</v>
      </c>
      <c r="C446" s="728" t="str">
        <f t="shared" si="247"/>
        <v>2.16217503399043</v>
      </c>
      <c r="D446" s="728" t="str">
        <f t="shared" si="248"/>
        <v>1+35.9647039888776i</v>
      </c>
      <c r="E446" s="337">
        <f t="shared" si="266"/>
        <v>35.978603822377387</v>
      </c>
      <c r="F446" s="338">
        <f t="shared" si="267"/>
        <v>1.5429984499361471</v>
      </c>
      <c r="G446" s="338" t="str">
        <f t="shared" si="249"/>
        <v>1+0.147800153378949i</v>
      </c>
      <c r="H446" s="337">
        <f t="shared" si="268"/>
        <v>1.010863435553409</v>
      </c>
      <c r="I446" s="338">
        <f t="shared" si="269"/>
        <v>0.14673781716620665</v>
      </c>
      <c r="J446" s="340">
        <f t="shared" si="250"/>
        <v>1</v>
      </c>
      <c r="K446" s="338">
        <f t="shared" si="270"/>
        <v>1</v>
      </c>
      <c r="L446" s="339">
        <f t="shared" si="271"/>
        <v>0</v>
      </c>
      <c r="M446" s="731" t="str">
        <f t="shared" si="251"/>
        <v>0.901628904930555+0.694851413304583i</v>
      </c>
      <c r="N446" s="338">
        <f t="shared" si="272"/>
        <v>1.1383115429343795</v>
      </c>
      <c r="O446" s="339">
        <f t="shared" si="273"/>
        <v>0.65659437277823085</v>
      </c>
      <c r="P446" s="732" t="str">
        <f t="shared" si="265"/>
        <v>-0.0247414576768031-0.0472859794818764i</v>
      </c>
      <c r="Q446" s="337">
        <f t="shared" si="274"/>
        <v>5.3367626736941148E-2</v>
      </c>
      <c r="R446" s="339">
        <f t="shared" si="275"/>
        <v>-2.0528550055481705</v>
      </c>
      <c r="S446" s="731" t="str">
        <f t="shared" si="252"/>
        <v>6000</v>
      </c>
      <c r="T446" s="337" t="str">
        <f t="shared" si="253"/>
        <v>1+298556.309825477i</v>
      </c>
      <c r="U446" s="346">
        <f t="shared" si="276"/>
        <v>298556.30982715171</v>
      </c>
      <c r="V446" s="347">
        <f t="shared" si="277"/>
        <v>1.5707929773429941</v>
      </c>
      <c r="W446" s="340" t="str">
        <f t="shared" si="254"/>
        <v>1+2956.00306757898i</v>
      </c>
      <c r="X446" s="337">
        <f t="shared" si="278"/>
        <v>2956.0032367262961</v>
      </c>
      <c r="Y446" s="339">
        <f t="shared" si="279"/>
        <v>1.5704580321656318</v>
      </c>
      <c r="Z446" s="337" t="str">
        <f t="shared" si="255"/>
        <v>1+29.7771672142513i</v>
      </c>
      <c r="AA446" s="346">
        <f t="shared" si="280"/>
        <v>29.793953871641179</v>
      </c>
      <c r="AB446" s="347">
        <f t="shared" si="281"/>
        <v>1.5372261650443964</v>
      </c>
      <c r="AC446" s="732" t="str">
        <f t="shared" si="282"/>
        <v>0.0662552532710238-1.99279148954891i</v>
      </c>
      <c r="AD446" s="337">
        <f t="shared" si="283"/>
        <v>1.9938925947514252</v>
      </c>
      <c r="AE446" s="339">
        <f t="shared" si="284"/>
        <v>-1.5375611102217583</v>
      </c>
      <c r="AF446" s="736" t="str">
        <f t="shared" si="256"/>
        <v>-0.0958703490311386+0.0461716217506276i</v>
      </c>
      <c r="AG446" s="337">
        <f t="shared" si="285"/>
        <v>-19.460406989348655</v>
      </c>
      <c r="AH446" s="730">
        <f t="shared" si="286"/>
        <v>154.2843098706287</v>
      </c>
      <c r="AI446" s="360">
        <f t="shared" si="257"/>
        <v>-25.715690129371296</v>
      </c>
      <c r="AL446" s="337">
        <f t="shared" si="258"/>
        <v>5.9940352082680999</v>
      </c>
      <c r="AM446" s="730">
        <f t="shared" si="259"/>
        <v>-88.095762359155927</v>
      </c>
      <c r="AN446" s="351"/>
      <c r="AO446" s="337">
        <f t="shared" si="260"/>
        <v>27.817489001122677</v>
      </c>
      <c r="AP446" s="730">
        <f t="shared" si="261"/>
        <v>-117.61992777021528</v>
      </c>
      <c r="AS446" s="351"/>
      <c r="AT446" s="351"/>
      <c r="AV446" s="405">
        <f t="shared" si="262"/>
        <v>0</v>
      </c>
      <c r="AW446" s="405">
        <f t="shared" si="287"/>
        <v>0</v>
      </c>
      <c r="AX446" s="405">
        <f t="shared" si="263"/>
        <v>0</v>
      </c>
      <c r="AY446" s="405">
        <f t="shared" si="264"/>
        <v>0</v>
      </c>
    </row>
    <row r="447" spans="2:51" ht="13.5" thickBot="1" x14ac:dyDescent="0.25">
      <c r="B447" s="345">
        <v>47318.5</v>
      </c>
      <c r="C447" s="728" t="str">
        <f t="shared" si="247"/>
        <v>2.16217503399043</v>
      </c>
      <c r="D447" s="728" t="str">
        <f t="shared" si="248"/>
        <v>1+36.1728266481962i</v>
      </c>
      <c r="E447" s="337">
        <f t="shared" si="266"/>
        <v>36.18664653875036</v>
      </c>
      <c r="F447" s="338">
        <f t="shared" si="267"/>
        <v>1.5431583051198079</v>
      </c>
      <c r="G447" s="338" t="str">
        <f t="shared" si="249"/>
        <v>1+0.148655451978889i</v>
      </c>
      <c r="H447" s="337">
        <f t="shared" si="268"/>
        <v>1.0109888443514339</v>
      </c>
      <c r="I447" s="338">
        <f t="shared" si="269"/>
        <v>0.14757472755832815</v>
      </c>
      <c r="J447" s="340">
        <f t="shared" si="250"/>
        <v>1</v>
      </c>
      <c r="K447" s="338">
        <f t="shared" si="270"/>
        <v>1</v>
      </c>
      <c r="L447" s="339">
        <f t="shared" si="271"/>
        <v>0</v>
      </c>
      <c r="M447" s="731" t="str">
        <f t="shared" si="251"/>
        <v>0.900487091455556+0.698872420234405i</v>
      </c>
      <c r="N447" s="338">
        <f t="shared" si="272"/>
        <v>1.13986826503872</v>
      </c>
      <c r="O447" s="339">
        <f t="shared" si="273"/>
        <v>0.65999997546821587</v>
      </c>
      <c r="P447" s="732" t="str">
        <f t="shared" si="265"/>
        <v>-0.0246966969085279-0.0468885307726986i</v>
      </c>
      <c r="Q447" s="337">
        <f t="shared" si="274"/>
        <v>5.29949163242475E-2</v>
      </c>
      <c r="R447" s="339">
        <f t="shared" si="275"/>
        <v>-2.0555835530296953</v>
      </c>
      <c r="S447" s="731" t="str">
        <f t="shared" si="252"/>
        <v>6000</v>
      </c>
      <c r="T447" s="337" t="str">
        <f t="shared" si="253"/>
        <v>1+300284.012997355i</v>
      </c>
      <c r="U447" s="346">
        <f t="shared" si="276"/>
        <v>300284.01299902005</v>
      </c>
      <c r="V447" s="347">
        <f t="shared" si="277"/>
        <v>1.5707929966142786</v>
      </c>
      <c r="W447" s="340" t="str">
        <f t="shared" si="254"/>
        <v>1+2973.10903957777i</v>
      </c>
      <c r="X447" s="337">
        <f t="shared" si="278"/>
        <v>2973.1092077518865</v>
      </c>
      <c r="Y447" s="339">
        <f t="shared" si="279"/>
        <v>1.5704599785651552</v>
      </c>
      <c r="Z447" s="337" t="str">
        <f t="shared" si="255"/>
        <v>1+29.9494834727008i</v>
      </c>
      <c r="AA447" s="346">
        <f t="shared" si="280"/>
        <v>29.966173600938411</v>
      </c>
      <c r="AB447" s="347">
        <f t="shared" si="281"/>
        <v>1.5374191692740515</v>
      </c>
      <c r="AC447" s="732" t="str">
        <f t="shared" si="282"/>
        <v>0.0654958855119654-1.98135119186675i</v>
      </c>
      <c r="AD447" s="337">
        <f t="shared" si="283"/>
        <v>1.9824334179313028</v>
      </c>
      <c r="AE447" s="339">
        <f t="shared" si="284"/>
        <v>-1.537752187323175</v>
      </c>
      <c r="AF447" s="736" t="str">
        <f t="shared" si="256"/>
        <v>-0.0945201783646118+0.0458618240115707i</v>
      </c>
      <c r="AG447" s="337">
        <f t="shared" si="285"/>
        <v>-19.571343584530833</v>
      </c>
      <c r="AH447" s="730">
        <f t="shared" si="286"/>
        <v>154.11702770426351</v>
      </c>
      <c r="AI447" s="360">
        <f t="shared" si="257"/>
        <v>-25.882972295736494</v>
      </c>
      <c r="AL447" s="337">
        <f t="shared" si="258"/>
        <v>5.943972200139723</v>
      </c>
      <c r="AM447" s="730">
        <f t="shared" si="259"/>
        <v>-88.106710270628696</v>
      </c>
      <c r="AN447" s="351"/>
      <c r="AO447" s="337">
        <f t="shared" si="260"/>
        <v>27.756615414068882</v>
      </c>
      <c r="AP447" s="730">
        <f t="shared" si="261"/>
        <v>-117.77626202510784</v>
      </c>
      <c r="AS447" s="351"/>
      <c r="AT447" s="351"/>
      <c r="AV447" s="405">
        <f t="shared" si="262"/>
        <v>0</v>
      </c>
      <c r="AW447" s="405">
        <f t="shared" si="287"/>
        <v>0</v>
      </c>
      <c r="AX447" s="405">
        <f t="shared" si="263"/>
        <v>0</v>
      </c>
      <c r="AY447" s="405">
        <f t="shared" si="264"/>
        <v>0</v>
      </c>
    </row>
    <row r="448" spans="2:51" ht="13.5" thickBot="1" x14ac:dyDescent="0.25">
      <c r="B448" s="345">
        <v>47590.75</v>
      </c>
      <c r="C448" s="728" t="str">
        <f t="shared" si="247"/>
        <v>2.16217503399043</v>
      </c>
      <c r="D448" s="728" t="str">
        <f t="shared" si="248"/>
        <v>1+36.3809493075149i</v>
      </c>
      <c r="E448" s="337">
        <f t="shared" si="266"/>
        <v>36.394690169253664</v>
      </c>
      <c r="F448" s="338">
        <f t="shared" si="267"/>
        <v>1.5433163327412709</v>
      </c>
      <c r="G448" s="338" t="str">
        <f t="shared" si="249"/>
        <v>1+0.149510750578829i</v>
      </c>
      <c r="H448" s="337">
        <f t="shared" si="268"/>
        <v>1.011114961089314</v>
      </c>
      <c r="I448" s="338">
        <f t="shared" si="269"/>
        <v>0.14841142976009339</v>
      </c>
      <c r="J448" s="340">
        <f t="shared" si="250"/>
        <v>1</v>
      </c>
      <c r="K448" s="338">
        <f t="shared" si="270"/>
        <v>1</v>
      </c>
      <c r="L448" s="339">
        <f t="shared" si="271"/>
        <v>0</v>
      </c>
      <c r="M448" s="731" t="str">
        <f t="shared" si="251"/>
        <v>0.899338689530555+0.702893427164228i</v>
      </c>
      <c r="N448" s="338">
        <f t="shared" si="272"/>
        <v>1.1414329802652496</v>
      </c>
      <c r="O448" s="339">
        <f t="shared" si="273"/>
        <v>0.66339980392222353</v>
      </c>
      <c r="P448" s="732" t="str">
        <f t="shared" si="265"/>
        <v>-0.024651532683578-0.0464954913946803i</v>
      </c>
      <c r="Q448" s="337">
        <f t="shared" si="274"/>
        <v>5.2626312655194685E-2</v>
      </c>
      <c r="R448" s="339">
        <f t="shared" si="275"/>
        <v>-2.0583047069034013</v>
      </c>
      <c r="S448" s="731" t="str">
        <f t="shared" si="252"/>
        <v>6000</v>
      </c>
      <c r="T448" s="337" t="str">
        <f t="shared" si="253"/>
        <v>1+302011.716169234i</v>
      </c>
      <c r="U448" s="346">
        <f t="shared" si="276"/>
        <v>302011.71617088962</v>
      </c>
      <c r="V448" s="347">
        <f t="shared" si="277"/>
        <v>1.5707930156650747</v>
      </c>
      <c r="W448" s="340" t="str">
        <f t="shared" si="254"/>
        <v>1+2990.21501157657i</v>
      </c>
      <c r="X448" s="337">
        <f t="shared" si="278"/>
        <v>2990.215178788621</v>
      </c>
      <c r="Y448" s="339">
        <f t="shared" si="279"/>
        <v>1.5704619026953424</v>
      </c>
      <c r="Z448" s="337" t="str">
        <f t="shared" si="255"/>
        <v>1+30.1217997311503i</v>
      </c>
      <c r="AA448" s="346">
        <f t="shared" si="280"/>
        <v>30.138394433737286</v>
      </c>
      <c r="AB448" s="347">
        <f t="shared" si="281"/>
        <v>1.5376099677297297</v>
      </c>
      <c r="AC448" s="732" t="str">
        <f t="shared" si="282"/>
        <v>0.0647494935406146-1.97004135527405i</v>
      </c>
      <c r="AD448" s="337">
        <f t="shared" si="283"/>
        <v>1.9711051312407926</v>
      </c>
      <c r="AE448" s="339">
        <f t="shared" si="284"/>
        <v>-1.5379410806994618</v>
      </c>
      <c r="AF448" s="736" t="str">
        <f t="shared" si="256"/>
        <v>-0.0931942151375705+0.045553979337811i</v>
      </c>
      <c r="AG448" s="337">
        <f t="shared" si="285"/>
        <v>-19.681745398543324</v>
      </c>
      <c r="AH448" s="730">
        <f t="shared" si="286"/>
        <v>153.95029427865524</v>
      </c>
      <c r="AI448" s="360">
        <f t="shared" si="257"/>
        <v>-26.049705721344765</v>
      </c>
      <c r="AL448" s="337">
        <f t="shared" si="258"/>
        <v>5.8941957702171797</v>
      </c>
      <c r="AM448" s="730">
        <f t="shared" si="259"/>
        <v>-88.11753306386791</v>
      </c>
      <c r="AN448" s="351"/>
      <c r="AO448" s="337">
        <f t="shared" si="260"/>
        <v>27.695990029978926</v>
      </c>
      <c r="AP448" s="730">
        <f t="shared" si="261"/>
        <v>-117.93217265747687</v>
      </c>
      <c r="AS448" s="351"/>
      <c r="AT448" s="351"/>
      <c r="AV448" s="405">
        <f t="shared" si="262"/>
        <v>0</v>
      </c>
      <c r="AW448" s="405">
        <f t="shared" si="287"/>
        <v>0</v>
      </c>
      <c r="AX448" s="405">
        <f t="shared" si="263"/>
        <v>0</v>
      </c>
      <c r="AY448" s="405">
        <f t="shared" si="264"/>
        <v>0</v>
      </c>
    </row>
    <row r="449" spans="2:51" ht="13.5" thickBot="1" x14ac:dyDescent="0.25">
      <c r="B449" s="345">
        <v>47863</v>
      </c>
      <c r="C449" s="728" t="str">
        <f t="shared" si="247"/>
        <v>2.16217503399043</v>
      </c>
      <c r="D449" s="728" t="str">
        <f t="shared" si="248"/>
        <v>1+36.5890719668337i</v>
      </c>
      <c r="E449" s="337">
        <f t="shared" si="266"/>
        <v>36.602734698300019</v>
      </c>
      <c r="F449" s="338">
        <f t="shared" si="267"/>
        <v>1.5434725639553548</v>
      </c>
      <c r="G449" s="338" t="str">
        <f t="shared" si="249"/>
        <v>1+0.150366049178769i</v>
      </c>
      <c r="H449" s="337">
        <f t="shared" si="268"/>
        <v>1.0112417855021776</v>
      </c>
      <c r="I449" s="338">
        <f t="shared" si="269"/>
        <v>0.14924792267811446</v>
      </c>
      <c r="J449" s="340">
        <f t="shared" si="250"/>
        <v>1</v>
      </c>
      <c r="K449" s="338">
        <f t="shared" si="270"/>
        <v>1</v>
      </c>
      <c r="L449" s="339">
        <f t="shared" si="271"/>
        <v>0</v>
      </c>
      <c r="M449" s="731" t="str">
        <f t="shared" si="251"/>
        <v>0.898183699155555+0.706914434094052i</v>
      </c>
      <c r="N449" s="338">
        <f t="shared" si="272"/>
        <v>1.1430056756461318</v>
      </c>
      <c r="O449" s="339">
        <f t="shared" si="273"/>
        <v>0.66679384980327017</v>
      </c>
      <c r="P449" s="732" t="str">
        <f t="shared" si="265"/>
        <v>-0.024605975613677-0.0461067923665272i</v>
      </c>
      <c r="Q449" s="337">
        <f t="shared" si="274"/>
        <v>5.2261748327346619E-2</v>
      </c>
      <c r="R449" s="339">
        <f t="shared" si="275"/>
        <v>-2.0610184910805098</v>
      </c>
      <c r="S449" s="731" t="str">
        <f t="shared" si="252"/>
        <v>6000</v>
      </c>
      <c r="T449" s="337" t="str">
        <f t="shared" si="253"/>
        <v>1+303739.419341112i</v>
      </c>
      <c r="U449" s="346">
        <f t="shared" si="276"/>
        <v>303739.41934275819</v>
      </c>
      <c r="V449" s="347">
        <f t="shared" si="277"/>
        <v>1.5707930344991448</v>
      </c>
      <c r="W449" s="340" t="str">
        <f t="shared" si="254"/>
        <v>1+3007.32098357537i</v>
      </c>
      <c r="X449" s="337">
        <f t="shared" si="278"/>
        <v>3007.3211498363012</v>
      </c>
      <c r="Y449" s="339">
        <f t="shared" si="279"/>
        <v>1.5704638049362043</v>
      </c>
      <c r="Z449" s="337" t="str">
        <f t="shared" si="255"/>
        <v>1+30.2941159895999i</v>
      </c>
      <c r="AA449" s="346">
        <f t="shared" si="280"/>
        <v>30.310616351228031</v>
      </c>
      <c r="AB449" s="347">
        <f t="shared" si="281"/>
        <v>1.5377985979963862</v>
      </c>
      <c r="AC449" s="732" t="str">
        <f t="shared" si="282"/>
        <v>0.0640157835046206-1.95885976323979i</v>
      </c>
      <c r="AD449" s="337">
        <f t="shared" si="283"/>
        <v>1.959905506032767</v>
      </c>
      <c r="AE449" s="339">
        <f t="shared" si="284"/>
        <v>-1.5381278275593266</v>
      </c>
      <c r="AF449" s="736" t="str">
        <f t="shared" si="256"/>
        <v>-0.0918919111866467+0.0452480931266633i</v>
      </c>
      <c r="AG449" s="337">
        <f t="shared" si="285"/>
        <v>-19.791618655936368</v>
      </c>
      <c r="AH449" s="730">
        <f t="shared" si="286"/>
        <v>153.78410609188998</v>
      </c>
      <c r="AI449" s="360">
        <f t="shared" si="257"/>
        <v>-26.215893908110019</v>
      </c>
      <c r="AL449" s="337">
        <f t="shared" si="258"/>
        <v>5.844702659804776</v>
      </c>
      <c r="AM449" s="730">
        <f t="shared" si="259"/>
        <v>-88.128232870775491</v>
      </c>
      <c r="AN449" s="351"/>
      <c r="AO449" s="337">
        <f t="shared" si="260"/>
        <v>27.635609882998295</v>
      </c>
      <c r="AP449" s="730">
        <f t="shared" si="261"/>
        <v>-118.08766103733457</v>
      </c>
      <c r="AS449" s="351"/>
      <c r="AT449" s="351"/>
      <c r="AV449" s="405">
        <f t="shared" si="262"/>
        <v>0</v>
      </c>
      <c r="AW449" s="405">
        <f t="shared" si="287"/>
        <v>0</v>
      </c>
      <c r="AX449" s="405">
        <f t="shared" si="263"/>
        <v>0</v>
      </c>
      <c r="AY449" s="405">
        <f t="shared" si="264"/>
        <v>0</v>
      </c>
    </row>
    <row r="450" spans="2:51" ht="13.5" thickBot="1" x14ac:dyDescent="0.25">
      <c r="B450" s="345">
        <v>48141.75</v>
      </c>
      <c r="C450" s="728" t="str">
        <f t="shared" si="247"/>
        <v>2.16217503399043</v>
      </c>
      <c r="D450" s="728" t="str">
        <f t="shared" si="248"/>
        <v>1+36.8021635785328i</v>
      </c>
      <c r="E450" s="337">
        <f t="shared" si="266"/>
        <v>36.81574722942733</v>
      </c>
      <c r="F450" s="338">
        <f t="shared" si="267"/>
        <v>1.5436306957509458</v>
      </c>
      <c r="G450" s="338" t="str">
        <f t="shared" si="249"/>
        <v>1+0.151241768130957i</v>
      </c>
      <c r="H450" s="337">
        <f t="shared" si="268"/>
        <v>1.0113723708048279</v>
      </c>
      <c r="I450" s="338">
        <f t="shared" si="269"/>
        <v>0.15010416898209983</v>
      </c>
      <c r="J450" s="340">
        <f t="shared" si="250"/>
        <v>1</v>
      </c>
      <c r="K450" s="338">
        <f t="shared" si="270"/>
        <v>1</v>
      </c>
      <c r="L450" s="339">
        <f t="shared" si="271"/>
        <v>0</v>
      </c>
      <c r="M450" s="731" t="str">
        <f t="shared" si="251"/>
        <v>0.896994306975+0.711031443025871i</v>
      </c>
      <c r="N450" s="338">
        <f t="shared" si="272"/>
        <v>1.1446241740051679</v>
      </c>
      <c r="O450" s="339">
        <f t="shared" si="273"/>
        <v>0.67026292917226415</v>
      </c>
      <c r="P450" s="732" t="str">
        <f t="shared" si="265"/>
        <v>-0.0245589346733352-0.0457132396768655i</v>
      </c>
      <c r="Q450" s="337">
        <f t="shared" si="274"/>
        <v>5.1892596331689703E-2</v>
      </c>
      <c r="R450" s="339">
        <f t="shared" si="275"/>
        <v>-2.0637894559411092</v>
      </c>
      <c r="S450" s="731" t="str">
        <f t="shared" si="252"/>
        <v>6000</v>
      </c>
      <c r="T450" s="337" t="str">
        <f t="shared" si="253"/>
        <v>1+305508.371624532i</v>
      </c>
      <c r="U450" s="346">
        <f t="shared" si="276"/>
        <v>305508.37162616861</v>
      </c>
      <c r="V450" s="347">
        <f t="shared" si="277"/>
        <v>1.5707930535621708</v>
      </c>
      <c r="W450" s="340" t="str">
        <f t="shared" si="254"/>
        <v>1+3024.83536261913i</v>
      </c>
      <c r="X450" s="337">
        <f t="shared" si="278"/>
        <v>3024.8355279173784</v>
      </c>
      <c r="Y450" s="339">
        <f t="shared" si="279"/>
        <v>1.5704657303016374</v>
      </c>
      <c r="Z450" s="337" t="str">
        <f t="shared" si="255"/>
        <v>1+30.470546318499i</v>
      </c>
      <c r="AA450" s="346">
        <f t="shared" si="280"/>
        <v>30.486951191416189</v>
      </c>
      <c r="AB450" s="347">
        <f t="shared" si="281"/>
        <v>1.5379895237367103</v>
      </c>
      <c r="AC450" s="732" t="str">
        <f t="shared" si="282"/>
        <v>0.0632773975836726-1.94754182087297i</v>
      </c>
      <c r="AD450" s="337">
        <f t="shared" si="283"/>
        <v>1.948569519697505</v>
      </c>
      <c r="AE450" s="339">
        <f t="shared" si="284"/>
        <v>-1.5383168469972439</v>
      </c>
      <c r="AF450" s="736" t="str">
        <f t="shared" si="256"/>
        <v>-0.0905824715118412+0.0449369375105368i</v>
      </c>
      <c r="AG450" s="337">
        <f t="shared" si="285"/>
        <v>-19.903573898699964</v>
      </c>
      <c r="AH450" s="730">
        <f t="shared" si="286"/>
        <v>153.61451148416003</v>
      </c>
      <c r="AI450" s="360">
        <f t="shared" si="257"/>
        <v>-26.385488515839967</v>
      </c>
      <c r="AL450" s="337">
        <f t="shared" si="258"/>
        <v>5.794318097184588</v>
      </c>
      <c r="AM450" s="730">
        <f t="shared" si="259"/>
        <v>-88.139062886814088</v>
      </c>
      <c r="AN450" s="351"/>
      <c r="AO450" s="337">
        <f t="shared" si="260"/>
        <v>27.574039202854873</v>
      </c>
      <c r="AP450" s="730">
        <f t="shared" si="261"/>
        <v>-118.24642562902589</v>
      </c>
      <c r="AS450" s="351"/>
      <c r="AT450" s="351"/>
      <c r="AV450" s="405">
        <f t="shared" si="262"/>
        <v>0</v>
      </c>
      <c r="AW450" s="405">
        <f t="shared" si="287"/>
        <v>0</v>
      </c>
      <c r="AX450" s="405">
        <f t="shared" si="263"/>
        <v>0</v>
      </c>
      <c r="AY450" s="405">
        <f t="shared" si="264"/>
        <v>0</v>
      </c>
    </row>
    <row r="451" spans="2:51" ht="13.5" thickBot="1" x14ac:dyDescent="0.25">
      <c r="B451" s="345">
        <v>48420.5</v>
      </c>
      <c r="C451" s="728" t="str">
        <f t="shared" si="247"/>
        <v>2.16217503399043</v>
      </c>
      <c r="D451" s="728" t="str">
        <f t="shared" si="248"/>
        <v>1+37.0152551902318i</v>
      </c>
      <c r="E451" s="337">
        <f t="shared" si="266"/>
        <v>37.028760670565006</v>
      </c>
      <c r="F451" s="338">
        <f t="shared" si="267"/>
        <v>1.5437870081971636</v>
      </c>
      <c r="G451" s="338" t="str">
        <f t="shared" si="249"/>
        <v>1+0.152117487083144i</v>
      </c>
      <c r="H451" s="337">
        <f t="shared" si="268"/>
        <v>1.0115036974111813</v>
      </c>
      <c r="I451" s="338">
        <f t="shared" si="269"/>
        <v>0.15096019357541782</v>
      </c>
      <c r="J451" s="340">
        <f t="shared" si="250"/>
        <v>1</v>
      </c>
      <c r="K451" s="338">
        <f t="shared" si="270"/>
        <v>1</v>
      </c>
      <c r="L451" s="339">
        <f t="shared" si="271"/>
        <v>0</v>
      </c>
      <c r="M451" s="731" t="str">
        <f t="shared" si="251"/>
        <v>0.895798007988889+0.715148451957691i</v>
      </c>
      <c r="N451" s="338">
        <f t="shared" si="272"/>
        <v>1.1462510106666619</v>
      </c>
      <c r="O451" s="339">
        <f t="shared" si="273"/>
        <v>0.67372592968834166</v>
      </c>
      <c r="P451" s="732" t="str">
        <f t="shared" si="265"/>
        <v>-0.0245115036735519-0.04532409551154i</v>
      </c>
      <c r="Q451" s="337">
        <f t="shared" si="274"/>
        <v>5.1527540658154333E-2</v>
      </c>
      <c r="R451" s="339">
        <f t="shared" si="275"/>
        <v>-2.0665527443100875</v>
      </c>
      <c r="S451" s="731" t="str">
        <f t="shared" si="252"/>
        <v>6000</v>
      </c>
      <c r="T451" s="337" t="str">
        <f t="shared" si="253"/>
        <v>1+307277.323907952i</v>
      </c>
      <c r="U451" s="346">
        <f t="shared" si="276"/>
        <v>307277.32390957919</v>
      </c>
      <c r="V451" s="347">
        <f t="shared" si="277"/>
        <v>1.5707930724057106</v>
      </c>
      <c r="W451" s="340" t="str">
        <f t="shared" si="254"/>
        <v>1+3042.34974166289i</v>
      </c>
      <c r="X451" s="337">
        <f t="shared" si="278"/>
        <v>3042.3499060095396</v>
      </c>
      <c r="Y451" s="339">
        <f t="shared" si="279"/>
        <v>1.5704676334989573</v>
      </c>
      <c r="Z451" s="337" t="str">
        <f t="shared" si="255"/>
        <v>1+30.6469766473981i</v>
      </c>
      <c r="AA451" s="346">
        <f t="shared" si="280"/>
        <v>30.663287130152312</v>
      </c>
      <c r="AB451" s="347">
        <f t="shared" si="281"/>
        <v>1.5381782535633972</v>
      </c>
      <c r="AC451" s="732" t="str">
        <f t="shared" si="282"/>
        <v>0.0625517091875964-1.93635377579168i</v>
      </c>
      <c r="AD451" s="337">
        <f t="shared" si="283"/>
        <v>1.9373638433048619</v>
      </c>
      <c r="AE451" s="339">
        <f t="shared" si="284"/>
        <v>-1.5385036924701505</v>
      </c>
      <c r="AF451" s="736" t="str">
        <f t="shared" si="256"/>
        <v>-0.0892967199276519+0.0446278430469852i</v>
      </c>
      <c r="AG451" s="337">
        <f t="shared" si="285"/>
        <v>-20.01498790075771</v>
      </c>
      <c r="AH451" s="730">
        <f t="shared" si="286"/>
        <v>153.44548126602126</v>
      </c>
      <c r="AI451" s="360">
        <f t="shared" si="257"/>
        <v>-26.554518733978739</v>
      </c>
      <c r="AL451" s="337">
        <f t="shared" si="258"/>
        <v>5.7442238062332063</v>
      </c>
      <c r="AM451" s="730">
        <f t="shared" si="259"/>
        <v>-88.149768343832761</v>
      </c>
      <c r="AN451" s="351"/>
      <c r="AO451" s="337">
        <f t="shared" si="260"/>
        <v>27.512719491748527</v>
      </c>
      <c r="AP451" s="730">
        <f t="shared" si="261"/>
        <v>-118.40475039014584</v>
      </c>
      <c r="AS451" s="351"/>
      <c r="AT451" s="351"/>
      <c r="AV451" s="405">
        <f t="shared" si="262"/>
        <v>0</v>
      </c>
      <c r="AW451" s="405">
        <f t="shared" si="287"/>
        <v>0</v>
      </c>
      <c r="AX451" s="405">
        <f t="shared" si="263"/>
        <v>0</v>
      </c>
      <c r="AY451" s="405">
        <f t="shared" si="264"/>
        <v>0</v>
      </c>
    </row>
    <row r="452" spans="2:51" ht="13.5" thickBot="1" x14ac:dyDescent="0.25">
      <c r="B452" s="345">
        <v>48699.25</v>
      </c>
      <c r="C452" s="728" t="str">
        <f t="shared" si="247"/>
        <v>2.16217503399043</v>
      </c>
      <c r="D452" s="728" t="str">
        <f t="shared" si="248"/>
        <v>1+37.2283468019309i</v>
      </c>
      <c r="E452" s="337">
        <f t="shared" si="266"/>
        <v>37.241775006098173</v>
      </c>
      <c r="F452" s="338">
        <f t="shared" si="267"/>
        <v>1.5439415325050758</v>
      </c>
      <c r="G452" s="338" t="str">
        <f t="shared" si="249"/>
        <v>1+0.152993206035332i</v>
      </c>
      <c r="H452" s="337">
        <f t="shared" si="268"/>
        <v>1.0116357650325385</v>
      </c>
      <c r="I452" s="338">
        <f t="shared" si="269"/>
        <v>0.15181599529010842</v>
      </c>
      <c r="J452" s="340">
        <f t="shared" si="250"/>
        <v>1</v>
      </c>
      <c r="K452" s="338">
        <f t="shared" si="270"/>
        <v>1</v>
      </c>
      <c r="L452" s="339">
        <f t="shared" si="271"/>
        <v>0</v>
      </c>
      <c r="M452" s="731" t="str">
        <f t="shared" si="251"/>
        <v>0.894594802197223+0.71926546088951i</v>
      </c>
      <c r="N452" s="338">
        <f t="shared" si="272"/>
        <v>1.1478861717726581</v>
      </c>
      <c r="O452" s="339">
        <f t="shared" si="273"/>
        <v>0.67718284323461109</v>
      </c>
      <c r="P452" s="732" t="str">
        <f t="shared" si="265"/>
        <v>-0.0244636932620053-0.0449392906100283i</v>
      </c>
      <c r="Q452" s="337">
        <f t="shared" si="274"/>
        <v>5.1166513742388793E-2</v>
      </c>
      <c r="R452" s="339">
        <f t="shared" si="275"/>
        <v>-2.0693083804495789</v>
      </c>
      <c r="S452" s="731" t="str">
        <f t="shared" si="252"/>
        <v>6000</v>
      </c>
      <c r="T452" s="337" t="str">
        <f t="shared" si="253"/>
        <v>1+309046.276191372i</v>
      </c>
      <c r="U452" s="346">
        <f t="shared" si="276"/>
        <v>309046.27619298984</v>
      </c>
      <c r="V452" s="347">
        <f t="shared" si="277"/>
        <v>1.5707930910335333</v>
      </c>
      <c r="W452" s="340" t="str">
        <f t="shared" si="254"/>
        <v>1+3059.86412070665i</v>
      </c>
      <c r="X452" s="337">
        <f t="shared" si="278"/>
        <v>3059.8642841125948</v>
      </c>
      <c r="Y452" s="339">
        <f t="shared" si="279"/>
        <v>1.5704695149088292</v>
      </c>
      <c r="Z452" s="337" t="str">
        <f t="shared" si="255"/>
        <v>1+30.8234069762973i</v>
      </c>
      <c r="AA452" s="346">
        <f t="shared" si="280"/>
        <v>30.839624148592552</v>
      </c>
      <c r="AB452" s="347">
        <f t="shared" si="281"/>
        <v>1.5383648251307445</v>
      </c>
      <c r="AC452" s="732" t="str">
        <f t="shared" si="282"/>
        <v>0.0618384289431996-1.9252934068239i</v>
      </c>
      <c r="AD452" s="337">
        <f t="shared" si="283"/>
        <v>1.9262862439559039</v>
      </c>
      <c r="AE452" s="339">
        <f t="shared" si="284"/>
        <v>-1.5386884012554485</v>
      </c>
      <c r="AF452" s="736" t="str">
        <f t="shared" si="256"/>
        <v>-0.0880341162763014+0.044320812214755i</v>
      </c>
      <c r="AG452" s="337">
        <f t="shared" si="285"/>
        <v>-20.125866993054494</v>
      </c>
      <c r="AH452" s="730">
        <f t="shared" si="286"/>
        <v>153.27701191151817</v>
      </c>
      <c r="AI452" s="360">
        <f t="shared" si="257"/>
        <v>-26.722988088481827</v>
      </c>
      <c r="AL452" s="337">
        <f t="shared" si="258"/>
        <v>5.6944164650496196</v>
      </c>
      <c r="AM452" s="730">
        <f t="shared" si="259"/>
        <v>-88.160351377669315</v>
      </c>
      <c r="AN452" s="351"/>
      <c r="AO452" s="337">
        <f t="shared" si="260"/>
        <v>27.451647740635337</v>
      </c>
      <c r="AP452" s="730">
        <f t="shared" si="261"/>
        <v>-118.5626367108125</v>
      </c>
      <c r="AS452" s="351"/>
      <c r="AT452" s="351"/>
      <c r="AV452" s="405">
        <f t="shared" si="262"/>
        <v>0</v>
      </c>
      <c r="AW452" s="405">
        <f t="shared" si="287"/>
        <v>0</v>
      </c>
      <c r="AX452" s="405">
        <f t="shared" si="263"/>
        <v>0</v>
      </c>
      <c r="AY452" s="405">
        <f t="shared" si="264"/>
        <v>0</v>
      </c>
    </row>
    <row r="453" spans="2:51" ht="13.5" thickBot="1" x14ac:dyDescent="0.25">
      <c r="B453" s="345">
        <v>48978</v>
      </c>
      <c r="C453" s="728" t="str">
        <f t="shared" si="247"/>
        <v>2.16217503399043</v>
      </c>
      <c r="D453" s="728" t="str">
        <f t="shared" si="248"/>
        <v>1+37.4414384136301i</v>
      </c>
      <c r="E453" s="337">
        <f t="shared" si="266"/>
        <v>37.454790220766903</v>
      </c>
      <c r="F453" s="338">
        <f t="shared" si="267"/>
        <v>1.5440942991760735</v>
      </c>
      <c r="G453" s="338" t="str">
        <f t="shared" si="249"/>
        <v>1+0.153868924987521i</v>
      </c>
      <c r="H453" s="337">
        <f t="shared" si="268"/>
        <v>1.0117685733787225</v>
      </c>
      <c r="I453" s="338">
        <f t="shared" si="269"/>
        <v>0.15267157296012371</v>
      </c>
      <c r="J453" s="340">
        <f t="shared" si="250"/>
        <v>1</v>
      </c>
      <c r="K453" s="338">
        <f t="shared" si="270"/>
        <v>1</v>
      </c>
      <c r="L453" s="339">
        <f t="shared" si="271"/>
        <v>0</v>
      </c>
      <c r="M453" s="731" t="str">
        <f t="shared" si="251"/>
        <v>0.8933846896+0.723382469821332i</v>
      </c>
      <c r="N453" s="338">
        <f t="shared" si="272"/>
        <v>1.1495296434875</v>
      </c>
      <c r="O453" s="339">
        <f t="shared" si="273"/>
        <v>0.68063366197054809</v>
      </c>
      <c r="P453" s="732" t="str">
        <f t="shared" si="265"/>
        <v>-0.0244155138507399-0.0445587572335895i</v>
      </c>
      <c r="Q453" s="337">
        <f t="shared" si="274"/>
        <v>5.0809449542360087E-2</v>
      </c>
      <c r="R453" s="339">
        <f t="shared" si="275"/>
        <v>-2.0720563881864962</v>
      </c>
      <c r="S453" s="731" t="str">
        <f t="shared" si="252"/>
        <v>6000</v>
      </c>
      <c r="T453" s="337" t="str">
        <f t="shared" si="253"/>
        <v>1+310815.228474792i</v>
      </c>
      <c r="U453" s="346">
        <f t="shared" si="276"/>
        <v>310815.22847640066</v>
      </c>
      <c r="V453" s="347">
        <f t="shared" si="277"/>
        <v>1.5707931094493215</v>
      </c>
      <c r="W453" s="340" t="str">
        <f t="shared" si="254"/>
        <v>1+3077.37849975042i</v>
      </c>
      <c r="X453" s="337">
        <f t="shared" si="278"/>
        <v>3077.3786622263669</v>
      </c>
      <c r="Y453" s="339">
        <f t="shared" si="279"/>
        <v>1.5704713749032515</v>
      </c>
      <c r="Z453" s="337" t="str">
        <f t="shared" si="255"/>
        <v>1+30.9998373051965i</v>
      </c>
      <c r="AA453" s="346">
        <f t="shared" si="280"/>
        <v>31.015962228321285</v>
      </c>
      <c r="AB453" s="347">
        <f t="shared" si="281"/>
        <v>1.5385492752373386</v>
      </c>
      <c r="AC453" s="732" t="str">
        <f t="shared" si="282"/>
        <v>0.0611372756711568-1.91435854309898i</v>
      </c>
      <c r="AD453" s="337">
        <f t="shared" si="283"/>
        <v>1.9153345394506258</v>
      </c>
      <c r="AE453" s="339">
        <f t="shared" si="284"/>
        <v>-1.5388710097834088</v>
      </c>
      <c r="AF453" s="736" t="str">
        <f t="shared" si="256"/>
        <v>-0.0867941355809412+0.0440158464997613i</v>
      </c>
      <c r="AG453" s="337">
        <f t="shared" si="285"/>
        <v>-20.236217393799215</v>
      </c>
      <c r="AH453" s="730">
        <f t="shared" si="286"/>
        <v>153.10909996816824</v>
      </c>
      <c r="AI453" s="360">
        <f t="shared" si="257"/>
        <v>-26.890900031831762</v>
      </c>
      <c r="AL453" s="337">
        <f t="shared" si="258"/>
        <v>5.6448928083729379</v>
      </c>
      <c r="AM453" s="730">
        <f t="shared" si="259"/>
        <v>-88.170814075624548</v>
      </c>
      <c r="AN453" s="351"/>
      <c r="AO453" s="337">
        <f t="shared" si="260"/>
        <v>27.390820996567268</v>
      </c>
      <c r="AP453" s="730">
        <f t="shared" si="261"/>
        <v>-118.7200859562072</v>
      </c>
      <c r="AS453" s="351"/>
      <c r="AT453" s="351"/>
      <c r="AV453" s="405">
        <f t="shared" si="262"/>
        <v>0</v>
      </c>
      <c r="AW453" s="405">
        <f t="shared" si="287"/>
        <v>0</v>
      </c>
      <c r="AX453" s="405">
        <f t="shared" si="263"/>
        <v>0</v>
      </c>
      <c r="AY453" s="405">
        <f t="shared" si="264"/>
        <v>0</v>
      </c>
    </row>
    <row r="454" spans="2:51" ht="13.5" thickBot="1" x14ac:dyDescent="0.25">
      <c r="B454" s="345">
        <v>49263.25</v>
      </c>
      <c r="C454" s="728" t="str">
        <f t="shared" si="247"/>
        <v>2.16217503399043</v>
      </c>
      <c r="D454" s="728" t="str">
        <f t="shared" si="248"/>
        <v>1+37.6594989777097i</v>
      </c>
      <c r="E454" s="337">
        <f t="shared" si="266"/>
        <v>37.67277350092661</v>
      </c>
      <c r="F454" s="338">
        <f t="shared" si="267"/>
        <v>1.5442488396249734</v>
      </c>
      <c r="G454" s="338" t="str">
        <f t="shared" si="249"/>
        <v>1+0.154765064291957i</v>
      </c>
      <c r="H454" s="337">
        <f t="shared" si="268"/>
        <v>1.0119052451318225</v>
      </c>
      <c r="I454" s="338">
        <f t="shared" si="269"/>
        <v>0.15354686816355642</v>
      </c>
      <c r="J454" s="340">
        <f t="shared" si="250"/>
        <v>1</v>
      </c>
      <c r="K454" s="338">
        <f t="shared" si="270"/>
        <v>1</v>
      </c>
      <c r="L454" s="339">
        <f t="shared" si="271"/>
        <v>0</v>
      </c>
      <c r="M454" s="731" t="str">
        <f t="shared" si="251"/>
        <v>0.892139208863889+0.72759548075515i</v>
      </c>
      <c r="N454" s="338">
        <f t="shared" si="272"/>
        <v>1.1512200274524431</v>
      </c>
      <c r="O454" s="339">
        <f t="shared" si="273"/>
        <v>0.68415863068732286</v>
      </c>
      <c r="P454" s="732" t="str">
        <f t="shared" si="265"/>
        <v>-0.0243658395895479-0.0441737034070012i</v>
      </c>
      <c r="Q454" s="337">
        <f t="shared" si="274"/>
        <v>5.0448094231529593E-2</v>
      </c>
      <c r="R454" s="339">
        <f t="shared" si="275"/>
        <v>-2.0748606021487408</v>
      </c>
      <c r="S454" s="731" t="str">
        <f t="shared" si="252"/>
        <v>6000</v>
      </c>
      <c r="T454" s="337" t="str">
        <f t="shared" si="253"/>
        <v>1+312625.429869754i</v>
      </c>
      <c r="U454" s="346">
        <f t="shared" si="276"/>
        <v>312625.42987135338</v>
      </c>
      <c r="V454" s="347">
        <f t="shared" si="277"/>
        <v>1.5707931280787832</v>
      </c>
      <c r="W454" s="340" t="str">
        <f t="shared" si="254"/>
        <v>1+3095.30128583915i</v>
      </c>
      <c r="X454" s="337">
        <f t="shared" si="278"/>
        <v>3095.3014473743092</v>
      </c>
      <c r="Y454" s="339">
        <f t="shared" si="279"/>
        <v>1.5704732564786779</v>
      </c>
      <c r="Z454" s="337" t="str">
        <f t="shared" si="255"/>
        <v>1+31.1803817045454i</v>
      </c>
      <c r="AA454" s="346">
        <f t="shared" si="280"/>
        <v>31.196413307320274</v>
      </c>
      <c r="AB454" s="347">
        <f t="shared" si="281"/>
        <v>1.5387358677009044</v>
      </c>
      <c r="AC454" s="732" t="str">
        <f t="shared" si="282"/>
        <v>0.0604320420316008-1.90329641167156i</v>
      </c>
      <c r="AD454" s="337">
        <f t="shared" si="283"/>
        <v>1.9042555664579128</v>
      </c>
      <c r="AE454" s="339">
        <f t="shared" si="284"/>
        <v>-1.5390557393010098</v>
      </c>
      <c r="AF454" s="736" t="str">
        <f t="shared" si="256"/>
        <v>-0.0855481286269999+0.043705907957168i</v>
      </c>
      <c r="AG454" s="337">
        <f t="shared" si="285"/>
        <v>-20.348600031959645</v>
      </c>
      <c r="AH454" s="730">
        <f t="shared" si="286"/>
        <v>152.93784612156995</v>
      </c>
      <c r="AI454" s="360">
        <f t="shared" si="257"/>
        <v>-27.062153878430053</v>
      </c>
      <c r="AL454" s="337">
        <f t="shared" si="258"/>
        <v>5.5945046756555321</v>
      </c>
      <c r="AM454" s="730">
        <f t="shared" si="259"/>
        <v>-88.181398297334567</v>
      </c>
      <c r="AN454" s="351"/>
      <c r="AO454" s="337">
        <f t="shared" si="260"/>
        <v>27.328826491124261</v>
      </c>
      <c r="AP454" s="730">
        <f t="shared" si="261"/>
        <v>-118.88075558109537</v>
      </c>
      <c r="AS454" s="351"/>
      <c r="AT454" s="351"/>
      <c r="AV454" s="405">
        <f t="shared" si="262"/>
        <v>0</v>
      </c>
      <c r="AW454" s="405">
        <f t="shared" si="287"/>
        <v>0</v>
      </c>
      <c r="AX454" s="405">
        <f t="shared" si="263"/>
        <v>0</v>
      </c>
      <c r="AY454" s="405">
        <f t="shared" si="264"/>
        <v>0</v>
      </c>
    </row>
    <row r="455" spans="2:51" ht="13.5" thickBot="1" x14ac:dyDescent="0.25">
      <c r="B455" s="345">
        <v>49548.5</v>
      </c>
      <c r="C455" s="728" t="str">
        <f t="shared" si="247"/>
        <v>2.16217503399043</v>
      </c>
      <c r="D455" s="728" t="str">
        <f t="shared" si="248"/>
        <v>1+37.8775595417892i</v>
      </c>
      <c r="E455" s="337">
        <f t="shared" si="266"/>
        <v>37.890757670463472</v>
      </c>
      <c r="F455" s="338">
        <f t="shared" si="267"/>
        <v>1.5444016019461702</v>
      </c>
      <c r="G455" s="338" t="str">
        <f t="shared" si="249"/>
        <v>1+0.155661203596394i</v>
      </c>
      <c r="H455" s="337">
        <f t="shared" si="268"/>
        <v>1.0120426919379826</v>
      </c>
      <c r="I455" s="338">
        <f t="shared" si="269"/>
        <v>0.15442192628734588</v>
      </c>
      <c r="J455" s="340">
        <f t="shared" si="250"/>
        <v>1</v>
      </c>
      <c r="K455" s="338">
        <f t="shared" si="270"/>
        <v>1</v>
      </c>
      <c r="L455" s="339">
        <f t="shared" si="271"/>
        <v>0</v>
      </c>
      <c r="M455" s="731" t="str">
        <f t="shared" si="251"/>
        <v>0.890886495455555+0.731808491688969i</v>
      </c>
      <c r="N455" s="338">
        <f t="shared" si="272"/>
        <v>1.1529190848854762</v>
      </c>
      <c r="O455" s="339">
        <f t="shared" si="273"/>
        <v>0.68767720130235244</v>
      </c>
      <c r="P455" s="732" t="str">
        <f t="shared" si="265"/>
        <v>-0.0243158002539045-0.0437929838109467i</v>
      </c>
      <c r="Q455" s="337">
        <f t="shared" si="274"/>
        <v>5.0090753368796738E-2</v>
      </c>
      <c r="R455" s="339">
        <f t="shared" si="275"/>
        <v>-2.0776568769611767</v>
      </c>
      <c r="S455" s="731" t="str">
        <f t="shared" si="252"/>
        <v>6000</v>
      </c>
      <c r="T455" s="337" t="str">
        <f t="shared" si="253"/>
        <v>1+314435.631264716i</v>
      </c>
      <c r="U455" s="346">
        <f t="shared" si="276"/>
        <v>314435.63126630615</v>
      </c>
      <c r="V455" s="347">
        <f t="shared" si="277"/>
        <v>1.5707931464937457</v>
      </c>
      <c r="W455" s="340" t="str">
        <f t="shared" si="254"/>
        <v>1+3113.22407192788i</v>
      </c>
      <c r="X455" s="337">
        <f t="shared" si="278"/>
        <v>3113.224232533084</v>
      </c>
      <c r="Y455" s="339">
        <f t="shared" si="279"/>
        <v>1.5704751163897013</v>
      </c>
      <c r="Z455" s="337" t="str">
        <f t="shared" si="255"/>
        <v>1+31.3609261038942i</v>
      </c>
      <c r="AA455" s="346">
        <f t="shared" si="280"/>
        <v>31.376865459983616</v>
      </c>
      <c r="AB455" s="347">
        <f t="shared" si="281"/>
        <v>1.5389203139391259</v>
      </c>
      <c r="AC455" s="732" t="str">
        <f t="shared" si="282"/>
        <v>0.0597389368616831-1.8923612625685i</v>
      </c>
      <c r="AD455" s="337">
        <f t="shared" si="283"/>
        <v>1.8933039609759472</v>
      </c>
      <c r="AE455" s="339">
        <f t="shared" si="284"/>
        <v>-1.5392383440431703</v>
      </c>
      <c r="AF455" s="736" t="str">
        <f t="shared" si="256"/>
        <v>-0.0843247461922343+0.0433981321739753i</v>
      </c>
      <c r="AG455" s="337">
        <f t="shared" si="285"/>
        <v>-20.460441859143458</v>
      </c>
      <c r="AH455" s="730">
        <f t="shared" si="286"/>
        <v>152.76716889541379</v>
      </c>
      <c r="AI455" s="360">
        <f t="shared" si="257"/>
        <v>-27.232831104586211</v>
      </c>
      <c r="AL455" s="337">
        <f t="shared" si="258"/>
        <v>5.5444068696333071</v>
      </c>
      <c r="AM455" s="730">
        <f t="shared" si="259"/>
        <v>-88.191860778379436</v>
      </c>
      <c r="AN455" s="351"/>
      <c r="AO455" s="337">
        <f t="shared" si="260"/>
        <v>27.267082469962659</v>
      </c>
      <c r="AP455" s="730">
        <f t="shared" si="261"/>
        <v>-119.04097032620669</v>
      </c>
      <c r="AS455" s="351"/>
      <c r="AT455" s="351"/>
      <c r="AV455" s="405">
        <f t="shared" si="262"/>
        <v>0</v>
      </c>
      <c r="AW455" s="405">
        <f t="shared" si="287"/>
        <v>0</v>
      </c>
      <c r="AX455" s="405">
        <f t="shared" si="263"/>
        <v>0</v>
      </c>
      <c r="AY455" s="405">
        <f t="shared" si="264"/>
        <v>0</v>
      </c>
    </row>
    <row r="456" spans="2:51" ht="13.5" thickBot="1" x14ac:dyDescent="0.25">
      <c r="B456" s="345">
        <v>49833.75</v>
      </c>
      <c r="C456" s="728" t="str">
        <f t="shared" si="247"/>
        <v>2.16217503399043</v>
      </c>
      <c r="D456" s="728" t="str">
        <f t="shared" si="248"/>
        <v>1+38.0956201058688i</v>
      </c>
      <c r="E456" s="337">
        <f t="shared" si="266"/>
        <v>38.108742714115806</v>
      </c>
      <c r="F456" s="338">
        <f t="shared" si="267"/>
        <v>1.5445526166455683</v>
      </c>
      <c r="G456" s="338" t="str">
        <f t="shared" si="249"/>
        <v>1+0.15655734290083i</v>
      </c>
      <c r="H456" s="337">
        <f t="shared" si="268"/>
        <v>1.0121809134814626</v>
      </c>
      <c r="I456" s="338">
        <f t="shared" si="269"/>
        <v>0.15529674608823466</v>
      </c>
      <c r="J456" s="340">
        <f t="shared" si="250"/>
        <v>1</v>
      </c>
      <c r="K456" s="338">
        <f t="shared" si="270"/>
        <v>1</v>
      </c>
      <c r="L456" s="339">
        <f t="shared" si="271"/>
        <v>0</v>
      </c>
      <c r="M456" s="731" t="str">
        <f t="shared" si="251"/>
        <v>0.889626549375+0.736021502622786i</v>
      </c>
      <c r="N456" s="338">
        <f t="shared" si="272"/>
        <v>1.1546268010383152</v>
      </c>
      <c r="O456" s="339">
        <f t="shared" si="273"/>
        <v>0.69118936629872674</v>
      </c>
      <c r="P456" s="732" t="str">
        <f t="shared" si="265"/>
        <v>-0.024265406279563-0.0434165305291005i</v>
      </c>
      <c r="Q456" s="337">
        <f t="shared" si="274"/>
        <v>4.9737360857775435E-2</v>
      </c>
      <c r="R456" s="339">
        <f t="shared" si="275"/>
        <v>-2.0804452368560611</v>
      </c>
      <c r="S456" s="731" t="str">
        <f t="shared" si="252"/>
        <v>6000</v>
      </c>
      <c r="T456" s="337" t="str">
        <f t="shared" si="253"/>
        <v>1+316245.832659678i</v>
      </c>
      <c r="U456" s="346">
        <f t="shared" si="276"/>
        <v>316245.8326612591</v>
      </c>
      <c r="V456" s="347">
        <f t="shared" si="277"/>
        <v>1.5707931646978925</v>
      </c>
      <c r="W456" s="340" t="str">
        <f t="shared" si="254"/>
        <v>1+3131.14685801661i</v>
      </c>
      <c r="X456" s="337">
        <f t="shared" si="278"/>
        <v>3131.1470177025044</v>
      </c>
      <c r="Y456" s="339">
        <f t="shared" si="279"/>
        <v>1.5704769550083448</v>
      </c>
      <c r="Z456" s="337" t="str">
        <f t="shared" si="255"/>
        <v>1+31.541470503243i</v>
      </c>
      <c r="AA456" s="346">
        <f t="shared" si="280"/>
        <v>31.557318667893</v>
      </c>
      <c r="AB456" s="347">
        <f t="shared" si="281"/>
        <v>1.5391026507574199</v>
      </c>
      <c r="AC456" s="732" t="str">
        <f t="shared" si="282"/>
        <v>0.0590576837288594-1.88155092400108i</v>
      </c>
      <c r="AD456" s="337">
        <f t="shared" si="283"/>
        <v>1.8824775402688703</v>
      </c>
      <c r="AE456" s="339">
        <f t="shared" si="284"/>
        <v>-1.5394188604469676</v>
      </c>
      <c r="AF456" s="736" t="str">
        <f t="shared" si="256"/>
        <v>-0.0831234718235609+0.0430925178779814i</v>
      </c>
      <c r="AG456" s="337">
        <f t="shared" si="285"/>
        <v>-20.57174918877136</v>
      </c>
      <c r="AH456" s="730">
        <f t="shared" si="286"/>
        <v>152.59706481360291</v>
      </c>
      <c r="AI456" s="360">
        <f t="shared" si="257"/>
        <v>-27.402935186397087</v>
      </c>
      <c r="AL456" s="337">
        <f t="shared" si="258"/>
        <v>5.4945960672238749</v>
      </c>
      <c r="AM456" s="730">
        <f t="shared" si="259"/>
        <v>-88.202203606449899</v>
      </c>
      <c r="AN456" s="351"/>
      <c r="AO456" s="337">
        <f t="shared" si="260"/>
        <v>27.205585942744182</v>
      </c>
      <c r="AP456" s="730">
        <f t="shared" si="261"/>
        <v>-119.20073157994726</v>
      </c>
      <c r="AS456" s="351"/>
      <c r="AT456" s="351"/>
      <c r="AV456" s="405">
        <f t="shared" si="262"/>
        <v>0</v>
      </c>
      <c r="AW456" s="405">
        <f t="shared" si="287"/>
        <v>0</v>
      </c>
      <c r="AX456" s="405">
        <f t="shared" si="263"/>
        <v>0</v>
      </c>
      <c r="AY456" s="405">
        <f t="shared" si="264"/>
        <v>0</v>
      </c>
    </row>
    <row r="457" spans="2:51" ht="13.5" thickBot="1" x14ac:dyDescent="0.25">
      <c r="B457" s="345">
        <v>50119</v>
      </c>
      <c r="C457" s="728" t="str">
        <f t="shared" si="247"/>
        <v>2.16217503399043</v>
      </c>
      <c r="D457" s="728" t="str">
        <f t="shared" si="248"/>
        <v>1+38.3136806699483i</v>
      </c>
      <c r="E457" s="337">
        <f t="shared" si="266"/>
        <v>38.32672861696873</v>
      </c>
      <c r="F457" s="338">
        <f t="shared" si="267"/>
        <v>1.5447019135353774</v>
      </c>
      <c r="G457" s="338" t="str">
        <f t="shared" si="249"/>
        <v>1+0.157453482205267i</v>
      </c>
      <c r="H457" s="337">
        <f t="shared" si="268"/>
        <v>1.0123199094449167</v>
      </c>
      <c r="I457" s="338">
        <f t="shared" si="269"/>
        <v>0.15617132632510536</v>
      </c>
      <c r="J457" s="340">
        <f t="shared" si="250"/>
        <v>1</v>
      </c>
      <c r="K457" s="338">
        <f t="shared" si="270"/>
        <v>1</v>
      </c>
      <c r="L457" s="339">
        <f t="shared" si="271"/>
        <v>0</v>
      </c>
      <c r="M457" s="731" t="str">
        <f t="shared" si="251"/>
        <v>0.888359370622222+0.740234513556605i</v>
      </c>
      <c r="N457" s="338">
        <f t="shared" si="272"/>
        <v>1.1563431611907833</v>
      </c>
      <c r="O457" s="339">
        <f t="shared" si="273"/>
        <v>0.6946951184532264</v>
      </c>
      <c r="P457" s="732" t="str">
        <f t="shared" si="265"/>
        <v>-0.0242146678730229-0.0430442771321424i</v>
      </c>
      <c r="Q457" s="337">
        <f t="shared" si="274"/>
        <v>4.9387852089653433E-2</v>
      </c>
      <c r="R457" s="339">
        <f t="shared" si="275"/>
        <v>-2.0832257056634997</v>
      </c>
      <c r="S457" s="731" t="str">
        <f t="shared" si="252"/>
        <v>6000</v>
      </c>
      <c r="T457" s="337" t="str">
        <f t="shared" si="253"/>
        <v>1+318056.034054639i</v>
      </c>
      <c r="U457" s="346">
        <f t="shared" si="276"/>
        <v>318056.03405621107</v>
      </c>
      <c r="V457" s="347">
        <f t="shared" si="277"/>
        <v>1.5707931826948234</v>
      </c>
      <c r="W457" s="340" t="str">
        <f t="shared" si="254"/>
        <v>1+3149.06964410534i</v>
      </c>
      <c r="X457" s="337">
        <f t="shared" si="278"/>
        <v>3149.0698028823899</v>
      </c>
      <c r="Y457" s="339">
        <f t="shared" si="279"/>
        <v>1.5704787726981626</v>
      </c>
      <c r="Z457" s="337" t="str">
        <f t="shared" si="255"/>
        <v>1+31.7220149025919i</v>
      </c>
      <c r="AA457" s="346">
        <f t="shared" si="280"/>
        <v>31.737772913048936</v>
      </c>
      <c r="AB457" s="347">
        <f t="shared" si="281"/>
        <v>1.5392829141247006</v>
      </c>
      <c r="AC457" s="732" t="str">
        <f t="shared" si="282"/>
        <v>0.0583880140289347-1.87086327337633i</v>
      </c>
      <c r="AD457" s="337">
        <f t="shared" si="283"/>
        <v>1.8717741711677294</v>
      </c>
      <c r="AE457" s="339">
        <f t="shared" si="284"/>
        <v>-1.5395973241213612</v>
      </c>
      <c r="AF457" s="736" t="str">
        <f t="shared" si="256"/>
        <v>-0.0819438035830339+0.0427890629435874i</v>
      </c>
      <c r="AG457" s="337">
        <f t="shared" si="285"/>
        <v>-20.68252822162188</v>
      </c>
      <c r="AH457" s="730">
        <f t="shared" si="286"/>
        <v>152.42753047052975</v>
      </c>
      <c r="AI457" s="360">
        <f t="shared" si="257"/>
        <v>-27.572469529470254</v>
      </c>
      <c r="AL457" s="337">
        <f t="shared" si="258"/>
        <v>5.4450690020171493</v>
      </c>
      <c r="AM457" s="730">
        <f t="shared" si="259"/>
        <v>-88.212428821789047</v>
      </c>
      <c r="AN457" s="351"/>
      <c r="AO457" s="337">
        <f t="shared" si="260"/>
        <v>27.144333975100402</v>
      </c>
      <c r="AP457" s="730">
        <f t="shared" si="261"/>
        <v>-119.36004070768108</v>
      </c>
      <c r="AS457" s="351"/>
      <c r="AT457" s="351"/>
      <c r="AV457" s="405">
        <f t="shared" si="262"/>
        <v>0</v>
      </c>
      <c r="AW457" s="405">
        <f t="shared" si="287"/>
        <v>0</v>
      </c>
      <c r="AX457" s="405">
        <f t="shared" si="263"/>
        <v>0</v>
      </c>
      <c r="AY457" s="405">
        <f t="shared" si="264"/>
        <v>0</v>
      </c>
    </row>
    <row r="458" spans="2:51" ht="13.5" thickBot="1" x14ac:dyDescent="0.25">
      <c r="B458" s="345">
        <v>50410.75</v>
      </c>
      <c r="C458" s="728" t="str">
        <f t="shared" si="247"/>
        <v>2.16217503399043</v>
      </c>
      <c r="D458" s="728" t="str">
        <f t="shared" si="248"/>
        <v>1+38.5367101864082i</v>
      </c>
      <c r="E458" s="337">
        <f t="shared" si="266"/>
        <v>38.549682644494204</v>
      </c>
      <c r="F458" s="338">
        <f t="shared" si="267"/>
        <v>1.5448528658531671</v>
      </c>
      <c r="G458" s="338" t="str">
        <f t="shared" si="249"/>
        <v>1+0.158370041861951i</v>
      </c>
      <c r="H458" s="337">
        <f t="shared" si="268"/>
        <v>1.0124628734720873</v>
      </c>
      <c r="I458" s="338">
        <f t="shared" si="269"/>
        <v>0.15706558654111652</v>
      </c>
      <c r="J458" s="340">
        <f t="shared" si="250"/>
        <v>1</v>
      </c>
      <c r="K458" s="338">
        <f t="shared" si="270"/>
        <v>1</v>
      </c>
      <c r="L458" s="339">
        <f t="shared" si="271"/>
        <v>0</v>
      </c>
      <c r="M458" s="731" t="str">
        <f t="shared" si="251"/>
        <v>0.887055834863889+0.744543526492419i</v>
      </c>
      <c r="N458" s="338">
        <f t="shared" si="272"/>
        <v>1.1581075584797114</v>
      </c>
      <c r="O458" s="339">
        <f t="shared" si="273"/>
        <v>0.69827411535881323</v>
      </c>
      <c r="P458" s="732" t="str">
        <f t="shared" si="265"/>
        <v>-0.024162427399359-0.0426678179911559i</v>
      </c>
      <c r="Q458" s="337">
        <f t="shared" si="274"/>
        <v>4.9034330728130689E-2</v>
      </c>
      <c r="R458" s="339">
        <f t="shared" si="275"/>
        <v>-2.0860613946708639</v>
      </c>
      <c r="S458" s="731" t="str">
        <f t="shared" si="252"/>
        <v>6000</v>
      </c>
      <c r="T458" s="337" t="str">
        <f t="shared" si="253"/>
        <v>1+319907.484561142i</v>
      </c>
      <c r="U458" s="346">
        <f t="shared" si="276"/>
        <v>319907.48456270492</v>
      </c>
      <c r="V458" s="347">
        <f t="shared" si="277"/>
        <v>1.5707932008911643</v>
      </c>
      <c r="W458" s="340" t="str">
        <f t="shared" si="254"/>
        <v>1+3167.40083723903i</v>
      </c>
      <c r="X458" s="337">
        <f t="shared" si="278"/>
        <v>3167.4009950971645</v>
      </c>
      <c r="Y458" s="339">
        <f t="shared" si="279"/>
        <v>1.5704806105284179</v>
      </c>
      <c r="Z458" s="337" t="str">
        <f t="shared" si="255"/>
        <v>1+31.9066733723903i</v>
      </c>
      <c r="AA458" s="346">
        <f t="shared" si="280"/>
        <v>31.922340228943117</v>
      </c>
      <c r="AB458" s="347">
        <f t="shared" si="281"/>
        <v>1.5394651769358583</v>
      </c>
      <c r="AC458" s="732" t="str">
        <f t="shared" si="282"/>
        <v>0.057714794876521-1.86005683402223i</v>
      </c>
      <c r="AD458" s="337">
        <f t="shared" si="283"/>
        <v>1.8609520206981267</v>
      </c>
      <c r="AE458" s="339">
        <f t="shared" si="284"/>
        <v>-1.5397777672986048</v>
      </c>
      <c r="AF458" s="736" t="str">
        <f t="shared" si="256"/>
        <v>-0.080759095988339+0.0424809238475554i</v>
      </c>
      <c r="AG458" s="337">
        <f t="shared" si="285"/>
        <v>-20.795291435793235</v>
      </c>
      <c r="AH458" s="730">
        <f t="shared" si="286"/>
        <v>152.25471882589815</v>
      </c>
      <c r="AI458" s="360">
        <f t="shared" si="257"/>
        <v>-27.745281174101848</v>
      </c>
      <c r="AL458" s="337">
        <f t="shared" si="258"/>
        <v>5.3947035247898718</v>
      </c>
      <c r="AM458" s="730">
        <f t="shared" si="259"/>
        <v>-88.222767454287037</v>
      </c>
      <c r="AN458" s="351"/>
      <c r="AO458" s="337">
        <f t="shared" si="260"/>
        <v>27.081936238156334</v>
      </c>
      <c r="AP458" s="730">
        <f t="shared" si="261"/>
        <v>-119.52251371981473</v>
      </c>
      <c r="AS458" s="351"/>
      <c r="AT458" s="351"/>
      <c r="AV458" s="405">
        <f t="shared" si="262"/>
        <v>0</v>
      </c>
      <c r="AW458" s="405">
        <f t="shared" si="287"/>
        <v>0</v>
      </c>
      <c r="AX458" s="405">
        <f t="shared" si="263"/>
        <v>0</v>
      </c>
      <c r="AY458" s="405">
        <f t="shared" si="264"/>
        <v>0</v>
      </c>
    </row>
    <row r="459" spans="2:51" ht="13.5" thickBot="1" x14ac:dyDescent="0.25">
      <c r="B459" s="345">
        <v>50702.5</v>
      </c>
      <c r="C459" s="728" t="str">
        <f t="shared" si="247"/>
        <v>2.16217503399043</v>
      </c>
      <c r="D459" s="728" t="str">
        <f t="shared" si="248"/>
        <v>1+38.7597397028682i</v>
      </c>
      <c r="E459" s="337">
        <f t="shared" si="266"/>
        <v>38.772637540333747</v>
      </c>
      <c r="F459" s="338">
        <f t="shared" si="267"/>
        <v>1.5450020821274406</v>
      </c>
      <c r="G459" s="338" t="str">
        <f t="shared" si="249"/>
        <v>1+0.159286601518637i</v>
      </c>
      <c r="H459" s="337">
        <f t="shared" si="268"/>
        <v>1.0126066469381667</v>
      </c>
      <c r="I459" s="338">
        <f t="shared" si="269"/>
        <v>0.15795959353145533</v>
      </c>
      <c r="J459" s="340">
        <f t="shared" si="250"/>
        <v>1</v>
      </c>
      <c r="K459" s="338">
        <f t="shared" si="270"/>
        <v>1</v>
      </c>
      <c r="L459" s="339">
        <f t="shared" si="271"/>
        <v>0</v>
      </c>
      <c r="M459" s="731" t="str">
        <f t="shared" si="251"/>
        <v>0.885744733055555+0.748852539428235i</v>
      </c>
      <c r="N459" s="338">
        <f t="shared" si="272"/>
        <v>1.1598809671443759</v>
      </c>
      <c r="O459" s="339">
        <f t="shared" si="273"/>
        <v>0.70184638947902367</v>
      </c>
      <c r="P459" s="732" t="str">
        <f t="shared" si="265"/>
        <v>-0.0241098475089495-0.0422956163376505i</v>
      </c>
      <c r="Q459" s="337">
        <f t="shared" si="274"/>
        <v>4.8684739994032278E-2</v>
      </c>
      <c r="R459" s="339">
        <f t="shared" si="275"/>
        <v>-2.0888888780750086</v>
      </c>
      <c r="S459" s="731" t="str">
        <f t="shared" si="252"/>
        <v>6000</v>
      </c>
      <c r="T459" s="337" t="str">
        <f t="shared" si="253"/>
        <v>1+321758.935067646i</v>
      </c>
      <c r="U459" s="346">
        <f t="shared" si="276"/>
        <v>321758.93506919988</v>
      </c>
      <c r="V459" s="347">
        <f t="shared" si="277"/>
        <v>1.5707932188780962</v>
      </c>
      <c r="W459" s="340" t="str">
        <f t="shared" si="254"/>
        <v>1+3185.73203037273i</v>
      </c>
      <c r="X459" s="337">
        <f t="shared" si="278"/>
        <v>3185.7321873225251</v>
      </c>
      <c r="Y459" s="339">
        <f t="shared" si="279"/>
        <v>1.5704824272083584</v>
      </c>
      <c r="Z459" s="337" t="str">
        <f t="shared" si="255"/>
        <v>1+32.0913318421889i</v>
      </c>
      <c r="AA459" s="346">
        <f t="shared" si="280"/>
        <v>32.106908593097018</v>
      </c>
      <c r="AB459" s="347">
        <f t="shared" si="281"/>
        <v>1.5396453442569669</v>
      </c>
      <c r="AC459" s="732" t="str">
        <f t="shared" si="282"/>
        <v>0.0570531486446609-1.8493743978794i</v>
      </c>
      <c r="AD459" s="337">
        <f t="shared" si="283"/>
        <v>1.8502542326129301</v>
      </c>
      <c r="AE459" s="339">
        <f t="shared" si="284"/>
        <v>-1.5399561359267047</v>
      </c>
      <c r="AF459" s="736" t="str">
        <f t="shared" si="256"/>
        <v>-0.0795959727111087+0.0421750366338981i</v>
      </c>
      <c r="AG459" s="337">
        <f t="shared" si="285"/>
        <v>-20.907514773577578</v>
      </c>
      <c r="AH459" s="730">
        <f t="shared" si="286"/>
        <v>152.0824961906097</v>
      </c>
      <c r="AI459" s="360">
        <f t="shared" si="257"/>
        <v>-27.917503809390297</v>
      </c>
      <c r="AL459" s="337">
        <f t="shared" si="258"/>
        <v>5.344628127358078</v>
      </c>
      <c r="AM459" s="730">
        <f t="shared" si="259"/>
        <v>-88.232987223874701</v>
      </c>
      <c r="AN459" s="351"/>
      <c r="AO459" s="337">
        <f t="shared" si="260"/>
        <v>27.019788297803778</v>
      </c>
      <c r="AP459" s="730">
        <f t="shared" si="261"/>
        <v>-119.68451658551557</v>
      </c>
      <c r="AS459" s="351"/>
      <c r="AT459" s="351"/>
      <c r="AV459" s="405">
        <f t="shared" si="262"/>
        <v>0</v>
      </c>
      <c r="AW459" s="405">
        <f t="shared" si="287"/>
        <v>0</v>
      </c>
      <c r="AX459" s="405">
        <f t="shared" si="263"/>
        <v>0</v>
      </c>
      <c r="AY459" s="405">
        <f t="shared" si="264"/>
        <v>0</v>
      </c>
    </row>
    <row r="460" spans="2:51" ht="13.5" thickBot="1" x14ac:dyDescent="0.25">
      <c r="B460" s="345">
        <v>50994.25</v>
      </c>
      <c r="C460" s="728" t="str">
        <f t="shared" si="247"/>
        <v>2.16217503399043</v>
      </c>
      <c r="D460" s="728" t="str">
        <f t="shared" si="248"/>
        <v>1+38.9827692193282i</v>
      </c>
      <c r="E460" s="337">
        <f t="shared" si="266"/>
        <v>38.995593289593657</v>
      </c>
      <c r="F460" s="338">
        <f t="shared" si="267"/>
        <v>1.5451495921287741</v>
      </c>
      <c r="G460" s="338" t="str">
        <f t="shared" si="249"/>
        <v>1+0.160203161175321i</v>
      </c>
      <c r="H460" s="337">
        <f t="shared" si="268"/>
        <v>1.0127512294984222</v>
      </c>
      <c r="I460" s="338">
        <f t="shared" si="269"/>
        <v>0.15885334597520229</v>
      </c>
      <c r="J460" s="340">
        <f t="shared" si="250"/>
        <v>1</v>
      </c>
      <c r="K460" s="338">
        <f t="shared" si="270"/>
        <v>1</v>
      </c>
      <c r="L460" s="339">
        <f t="shared" si="271"/>
        <v>0</v>
      </c>
      <c r="M460" s="731" t="str">
        <f t="shared" si="251"/>
        <v>0.884426065197222+0.753161552364051i</v>
      </c>
      <c r="N460" s="338">
        <f t="shared" si="272"/>
        <v>1.1616633715322471</v>
      </c>
      <c r="O460" s="339">
        <f t="shared" si="273"/>
        <v>0.70541193402314661</v>
      </c>
      <c r="P460" s="732" t="str">
        <f t="shared" si="265"/>
        <v>-0.0240569384203552-0.0419276056544151i</v>
      </c>
      <c r="Q460" s="337">
        <f t="shared" si="274"/>
        <v>4.8339015319645302E-2</v>
      </c>
      <c r="R460" s="339">
        <f t="shared" si="275"/>
        <v>-2.0917081801767168</v>
      </c>
      <c r="S460" s="731" t="str">
        <f t="shared" si="252"/>
        <v>6000</v>
      </c>
      <c r="T460" s="337" t="str">
        <f t="shared" si="253"/>
        <v>1+323610.385574149i</v>
      </c>
      <c r="U460" s="346">
        <f t="shared" si="276"/>
        <v>323610.38557569409</v>
      </c>
      <c r="V460" s="347">
        <f t="shared" si="277"/>
        <v>1.5707932366592132</v>
      </c>
      <c r="W460" s="340" t="str">
        <f t="shared" si="254"/>
        <v>1+3204.06322350643i</v>
      </c>
      <c r="X460" s="337">
        <f t="shared" si="278"/>
        <v>3204.0633795582785</v>
      </c>
      <c r="Y460" s="339">
        <f t="shared" si="279"/>
        <v>1.5704842231010012</v>
      </c>
      <c r="Z460" s="337" t="str">
        <f t="shared" si="255"/>
        <v>1+32.2759903119874i</v>
      </c>
      <c r="AA460" s="346">
        <f t="shared" si="280"/>
        <v>32.291477987535721</v>
      </c>
      <c r="AB460" s="347">
        <f t="shared" si="281"/>
        <v>1.5398234520079985</v>
      </c>
      <c r="AC460" s="732" t="str">
        <f t="shared" si="282"/>
        <v>0.0564028116715298-1.83881384476286i</v>
      </c>
      <c r="AD460" s="337">
        <f t="shared" si="283"/>
        <v>1.839678676523709</v>
      </c>
      <c r="AE460" s="339">
        <f t="shared" si="284"/>
        <v>-1.5401324655662101</v>
      </c>
      <c r="AF460" s="736" t="str">
        <f t="shared" si="256"/>
        <v>-0.0784539407222129+0.0418713965843926i</v>
      </c>
      <c r="AG460" s="337">
        <f t="shared" si="285"/>
        <v>-21.019204520326127</v>
      </c>
      <c r="AH460" s="730">
        <f t="shared" si="286"/>
        <v>151.91085913486268</v>
      </c>
      <c r="AI460" s="360">
        <f t="shared" si="257"/>
        <v>-28.089140865137324</v>
      </c>
      <c r="AL460" s="337">
        <f t="shared" si="258"/>
        <v>5.294839490636793</v>
      </c>
      <c r="AM460" s="730">
        <f t="shared" si="259"/>
        <v>-88.243090168021425</v>
      </c>
      <c r="AN460" s="351"/>
      <c r="AO460" s="337">
        <f t="shared" si="260"/>
        <v>26.957887187776528</v>
      </c>
      <c r="AP460" s="730">
        <f t="shared" si="261"/>
        <v>-119.84605069711579</v>
      </c>
      <c r="AS460" s="351"/>
      <c r="AT460" s="351"/>
      <c r="AV460" s="405">
        <f t="shared" si="262"/>
        <v>0</v>
      </c>
      <c r="AW460" s="405">
        <f t="shared" si="287"/>
        <v>0</v>
      </c>
      <c r="AX460" s="405">
        <f t="shared" si="263"/>
        <v>0</v>
      </c>
      <c r="AY460" s="405">
        <f t="shared" si="264"/>
        <v>0</v>
      </c>
    </row>
    <row r="461" spans="2:51" ht="13.5" thickBot="1" x14ac:dyDescent="0.25">
      <c r="B461" s="345">
        <v>51286</v>
      </c>
      <c r="C461" s="728" t="str">
        <f t="shared" ref="C461:C524" si="288">COMPLEX(Am*Afb,0)</f>
        <v>2.16217503399043</v>
      </c>
      <c r="D461" s="728" t="str">
        <f t="shared" ref="D461:D524" si="289">IMSUM(COMPLEX(1,0),IMDIV(COMPLEX(0,2*PI()*B461),COMPLEX(2*PI()*PS_Pole1,0)))</f>
        <v>1+39.2057987357881i</v>
      </c>
      <c r="E461" s="337">
        <f t="shared" si="266"/>
        <v>39.218549877718885</v>
      </c>
      <c r="F461" s="338">
        <f t="shared" si="267"/>
        <v>1.5452954249510646</v>
      </c>
      <c r="G461" s="338" t="str">
        <f t="shared" ref="G461:G524" si="290">IMSUM(COMPLEX(1,0),IMDIV(COMPLEX(0,2*PI()*B461),COMPLEX(2*PI()*PS_Zero1,0)))</f>
        <v>1+0.161119720832006i</v>
      </c>
      <c r="H461" s="337">
        <f t="shared" si="268"/>
        <v>1.0128966208063801</v>
      </c>
      <c r="I461" s="338">
        <f t="shared" si="269"/>
        <v>0.15974684255382343</v>
      </c>
      <c r="J461" s="340">
        <f t="shared" ref="J461:J524" si="291">IF(VIN_nom&gt;Vout, 1,IMSUB(COMPLEX(1,0),IMDIV(COMPLEX(0,2*PI()*B461),COMPLEX(2*PI()*PS_RHPZ,0))))</f>
        <v>1</v>
      </c>
      <c r="K461" s="338">
        <f t="shared" si="270"/>
        <v>1</v>
      </c>
      <c r="L461" s="339">
        <f t="shared" si="271"/>
        <v>0</v>
      </c>
      <c r="M461" s="731" t="str">
        <f t="shared" ref="M461:M524" si="292">IMSUM(COMPLEX(1,0),IMDIV(COMPLEX(0,2*PI()*B461),COMPLEX(Q*(2*PI()*PS_Pole2/2),0)),IMDIV(IMPOWER(COMPLEX(0,2*PI()*B461),2),IMPOWER(COMPLEX(2*PI()*PS_Pole2/2,0),2)))</f>
        <v>0.883099831288889+0.757470565299865i</v>
      </c>
      <c r="N461" s="338">
        <f t="shared" si="272"/>
        <v>1.1634547560254165</v>
      </c>
      <c r="O461" s="339">
        <f t="shared" si="273"/>
        <v>0.70897074251116932</v>
      </c>
      <c r="P461" s="732" t="str">
        <f t="shared" si="265"/>
        <v>-0.0240037101290844-0.0415637208743835i</v>
      </c>
      <c r="Q461" s="337">
        <f t="shared" si="274"/>
        <v>4.7997093587891046E-2</v>
      </c>
      <c r="R461" s="339">
        <f t="shared" si="275"/>
        <v>-2.0945193249084109</v>
      </c>
      <c r="S461" s="731" t="str">
        <f t="shared" ref="S461:S524" si="293">COMPLEX(AEA,0)</f>
        <v>6000</v>
      </c>
      <c r="T461" s="337" t="str">
        <f t="shared" ref="T461:T524" si="294">IMSUM(COMPLEX(1,0),IMDIV(COMPLEX(0,2*PI()*B461),COMPLEX(2*PI()*EA_Pole1,0)))</f>
        <v>1+325461.836080652i</v>
      </c>
      <c r="U461" s="346">
        <f t="shared" si="276"/>
        <v>325461.8360821883</v>
      </c>
      <c r="V461" s="347">
        <f t="shared" si="277"/>
        <v>1.5707932542380278</v>
      </c>
      <c r="W461" s="340" t="str">
        <f t="shared" ref="W461:W524" si="295">IMSUM(COMPLEX(1,0),IMDIV(COMPLEX(0,2*PI()*B461),COMPLEX(2*PI()*EA_Zero1,0)))</f>
        <v>1+3222.39441664012i</v>
      </c>
      <c r="X461" s="337">
        <f t="shared" si="278"/>
        <v>3222.3945718042387</v>
      </c>
      <c r="Y461" s="339">
        <f t="shared" si="279"/>
        <v>1.5704859985611042</v>
      </c>
      <c r="Z461" s="337" t="str">
        <f t="shared" ref="Z461:Z524" si="296">IMSUM(COMPLEX(1,0),IMDIV(COMPLEX(0,2*PI()*B461),COMPLEX(2*PI()*EA_Pole2,0)))</f>
        <v>1+32.4606487817858i</v>
      </c>
      <c r="AA461" s="346">
        <f t="shared" si="280"/>
        <v>32.476048394693152</v>
      </c>
      <c r="AB461" s="347">
        <f t="shared" si="281"/>
        <v>1.539999535292883</v>
      </c>
      <c r="AC461" s="732" t="str">
        <f t="shared" si="282"/>
        <v>0.0557635277590508-1.82837310250205i</v>
      </c>
      <c r="AD461" s="337">
        <f t="shared" si="283"/>
        <v>1.8292232704022506</v>
      </c>
      <c r="AE461" s="339">
        <f t="shared" si="284"/>
        <v>-1.5403067909698067</v>
      </c>
      <c r="AF461" s="736" t="str">
        <f t="shared" ref="AF461:AF524" si="297">IMPRODUCT(P461,AC461)</f>
        <v>-0.0773325208427292+0.0415699982575258i</v>
      </c>
      <c r="AG461" s="337">
        <f t="shared" si="285"/>
        <v>-21.13036684909201</v>
      </c>
      <c r="AH461" s="730">
        <f t="shared" si="286"/>
        <v>151.73980429624822</v>
      </c>
      <c r="AI461" s="360">
        <f t="shared" ref="AI461:AI524" si="298">IF(AH461&gt;0,AH461-180,AH461+180)</f>
        <v>-28.260195703751776</v>
      </c>
      <c r="AL461" s="337">
        <f t="shared" ref="AL461:AL524" si="299">20*LOG10(IMABS(AC461))</f>
        <v>5.2453343521283413</v>
      </c>
      <c r="AM461" s="730">
        <f t="shared" ref="AM461:AM524" si="300">(180/PI())*IMARGUMENT(AC461)</f>
        <v>-88.253078277909424</v>
      </c>
      <c r="AN461" s="351"/>
      <c r="AO461" s="337">
        <f t="shared" ref="AO461:AO524" si="301">20*LOG10(IMABS(IMPRODUCT(COMPLEX(Am/Afb,0),P461)))</f>
        <v>26.896229997519082</v>
      </c>
      <c r="AP461" s="730">
        <f t="shared" ref="AP461:AP524" si="302">180/PI()*IMARGUMENT(IMPRODUCT(COMPLEX(Am/Afb,0),P461))</f>
        <v>-120.00711742584227</v>
      </c>
      <c r="AS461" s="351"/>
      <c r="AT461" s="351"/>
      <c r="AV461" s="405">
        <f t="shared" ref="AV461:AV524" si="303">SUM((AG462&lt;0)*(AG461&gt;0))*B461</f>
        <v>0</v>
      </c>
      <c r="AW461" s="405">
        <f t="shared" si="287"/>
        <v>0</v>
      </c>
      <c r="AX461" s="405">
        <f t="shared" ref="AX461:AX524" si="304">SUM((AL462&lt;0)*(AL461&gt;0))*B461</f>
        <v>0</v>
      </c>
      <c r="AY461" s="405">
        <f t="shared" ref="AY461:AY524" si="305">IF(AX461&gt;0,AM461,0)</f>
        <v>0</v>
      </c>
    </row>
    <row r="462" spans="2:51" ht="13.5" thickBot="1" x14ac:dyDescent="0.25">
      <c r="B462" s="345">
        <v>51584.75</v>
      </c>
      <c r="C462" s="728" t="str">
        <f t="shared" si="288"/>
        <v>2.16217503399043</v>
      </c>
      <c r="D462" s="728" t="str">
        <f t="shared" si="289"/>
        <v>1+39.4341794317347i</v>
      </c>
      <c r="E462" s="337">
        <f t="shared" si="266"/>
        <v>39.446856749990204</v>
      </c>
      <c r="F462" s="338">
        <f t="shared" si="267"/>
        <v>1.5454430484379664</v>
      </c>
      <c r="G462" s="338" t="str">
        <f t="shared" si="290"/>
        <v>1+0.162058271637266i</v>
      </c>
      <c r="H462" s="337">
        <f t="shared" si="268"/>
        <v>1.013046338232392</v>
      </c>
      <c r="I462" s="338">
        <f t="shared" si="269"/>
        <v>0.16066151040317267</v>
      </c>
      <c r="J462" s="340">
        <f t="shared" si="291"/>
        <v>1</v>
      </c>
      <c r="K462" s="338">
        <f t="shared" si="270"/>
        <v>1</v>
      </c>
      <c r="L462" s="339">
        <f t="shared" si="271"/>
        <v>0</v>
      </c>
      <c r="M462" s="731" t="str">
        <f t="shared" si="292"/>
        <v>0.881733936330555+0.761882965007063i</v>
      </c>
      <c r="N462" s="338">
        <f t="shared" si="272"/>
        <v>1.1652984110711422</v>
      </c>
      <c r="O462" s="339">
        <f t="shared" si="273"/>
        <v>0.71260795113770359</v>
      </c>
      <c r="P462" s="732" t="str">
        <f t="shared" ref="P462:P525" si="306">(IMDIV(IMPRODUCT(C462,G462,J462),IMPRODUCT(D462,M462)))</f>
        <v>-0.023948884154438-0.041195314448734i</v>
      </c>
      <c r="Q462" s="337">
        <f t="shared" si="274"/>
        <v>4.7650844533678141E-2</v>
      </c>
      <c r="R462" s="339">
        <f t="shared" si="275"/>
        <v>-2.0973894891724978</v>
      </c>
      <c r="S462" s="731" t="str">
        <f t="shared" si="293"/>
        <v>6000</v>
      </c>
      <c r="T462" s="337" t="str">
        <f t="shared" si="294"/>
        <v>1+327357.708707277i</v>
      </c>
      <c r="U462" s="346">
        <f t="shared" si="276"/>
        <v>327357.70870880439</v>
      </c>
      <c r="V462" s="347">
        <f t="shared" si="277"/>
        <v>1.5707932720325575</v>
      </c>
      <c r="W462" s="340" t="str">
        <f t="shared" si="295"/>
        <v>1+3241.16543274532i</v>
      </c>
      <c r="X462" s="337">
        <f t="shared" si="278"/>
        <v>3241.1655870108143</v>
      </c>
      <c r="Y462" s="339">
        <f t="shared" si="279"/>
        <v>1.5704877958084291</v>
      </c>
      <c r="Z462" s="337" t="str">
        <f t="shared" si="296"/>
        <v>1+32.6497377889917i</v>
      </c>
      <c r="AA462" s="346">
        <f t="shared" si="280"/>
        <v>32.665048257884344</v>
      </c>
      <c r="AB462" s="347">
        <f t="shared" si="281"/>
        <v>1.5401777812958442</v>
      </c>
      <c r="AC462" s="732" t="str">
        <f t="shared" si="282"/>
        <v>0.0551200994151389-1.81780389581231i</v>
      </c>
      <c r="AD462" s="337">
        <f t="shared" si="283"/>
        <v>1.818639389485982</v>
      </c>
      <c r="AE462" s="339">
        <f t="shared" si="284"/>
        <v>-1.5404832575199725</v>
      </c>
      <c r="AF462" s="736" t="str">
        <f t="shared" si="297"/>
        <v>-0.0762050679695961+0.041263685088443i</v>
      </c>
      <c r="AG462" s="337">
        <f t="shared" si="285"/>
        <v>-21.243656093170795</v>
      </c>
      <c r="AH462" s="730">
        <f t="shared" si="286"/>
        <v>151.56524520885705</v>
      </c>
      <c r="AI462" s="360">
        <f t="shared" si="298"/>
        <v>-28.43475479114295</v>
      </c>
      <c r="AL462" s="337">
        <f t="shared" si="299"/>
        <v>5.1949318627186134</v>
      </c>
      <c r="AM462" s="730">
        <f t="shared" si="300"/>
        <v>-88.263189066459162</v>
      </c>
      <c r="AN462" s="351"/>
      <c r="AO462" s="337">
        <f t="shared" si="301"/>
        <v>26.83334324285002</v>
      </c>
      <c r="AP462" s="730">
        <f t="shared" si="302"/>
        <v>-120.17156572468384</v>
      </c>
      <c r="AS462" s="351"/>
      <c r="AT462" s="351"/>
      <c r="AV462" s="405">
        <f t="shared" si="303"/>
        <v>0</v>
      </c>
      <c r="AW462" s="405">
        <f t="shared" si="287"/>
        <v>0</v>
      </c>
      <c r="AX462" s="405">
        <f t="shared" si="304"/>
        <v>0</v>
      </c>
      <c r="AY462" s="405">
        <f t="shared" si="305"/>
        <v>0</v>
      </c>
    </row>
    <row r="463" spans="2:51" ht="13.5" thickBot="1" x14ac:dyDescent="0.25">
      <c r="B463" s="345">
        <v>51883.5</v>
      </c>
      <c r="C463" s="728" t="str">
        <f t="shared" si="288"/>
        <v>2.16217503399043</v>
      </c>
      <c r="D463" s="728" t="str">
        <f t="shared" si="289"/>
        <v>1+39.6625601276813i</v>
      </c>
      <c r="E463" s="337">
        <f t="shared" si="266"/>
        <v>39.675164472021216</v>
      </c>
      <c r="F463" s="338">
        <f t="shared" si="267"/>
        <v>1.5455889729517205</v>
      </c>
      <c r="G463" s="338" t="str">
        <f t="shared" si="290"/>
        <v>1+0.162996822442526i</v>
      </c>
      <c r="H463" s="337">
        <f t="shared" si="268"/>
        <v>1.0131969029395818</v>
      </c>
      <c r="I463" s="338">
        <f t="shared" si="269"/>
        <v>0.16157590717146283</v>
      </c>
      <c r="J463" s="340">
        <f t="shared" si="291"/>
        <v>1</v>
      </c>
      <c r="K463" s="338">
        <f t="shared" si="270"/>
        <v>1</v>
      </c>
      <c r="L463" s="339">
        <f t="shared" si="271"/>
        <v>0</v>
      </c>
      <c r="M463" s="731" t="str">
        <f t="shared" si="292"/>
        <v>0.8803601079+0.766295364714261i</v>
      </c>
      <c r="N463" s="338">
        <f t="shared" si="272"/>
        <v>1.1671514492833661</v>
      </c>
      <c r="O463" s="339">
        <f t="shared" si="273"/>
        <v>0.7162380838261595</v>
      </c>
      <c r="P463" s="732" t="str">
        <f t="shared" si="306"/>
        <v>-0.0238937439998152-0.0408311006814717i</v>
      </c>
      <c r="Q463" s="337">
        <f t="shared" si="274"/>
        <v>4.7308453633459459E-2</v>
      </c>
      <c r="R463" s="339">
        <f t="shared" si="275"/>
        <v>-2.1002511496064149</v>
      </c>
      <c r="S463" s="731" t="str">
        <f t="shared" si="293"/>
        <v>6000</v>
      </c>
      <c r="T463" s="337" t="str">
        <f t="shared" si="294"/>
        <v>1+329253.581333903i</v>
      </c>
      <c r="U463" s="346">
        <f t="shared" si="276"/>
        <v>329253.58133542165</v>
      </c>
      <c r="V463" s="347">
        <f t="shared" si="277"/>
        <v>1.5707932896221619</v>
      </c>
      <c r="W463" s="340" t="str">
        <f t="shared" si="295"/>
        <v>1+3259.93644885052i</v>
      </c>
      <c r="X463" s="337">
        <f t="shared" si="278"/>
        <v>3259.9366022277395</v>
      </c>
      <c r="Y463" s="339">
        <f t="shared" si="279"/>
        <v>1.5704895723583228</v>
      </c>
      <c r="Z463" s="337" t="str">
        <f t="shared" si="296"/>
        <v>1+32.8388267961975i</v>
      </c>
      <c r="AA463" s="346">
        <f t="shared" si="280"/>
        <v>32.854049146956896</v>
      </c>
      <c r="AB463" s="347">
        <f t="shared" si="281"/>
        <v>1.54035397649759</v>
      </c>
      <c r="AC463" s="732" t="str">
        <f t="shared" si="282"/>
        <v>0.0544877400704783-1.80735606899512i</v>
      </c>
      <c r="AD463" s="337">
        <f t="shared" si="283"/>
        <v>1.808177224154613</v>
      </c>
      <c r="AE463" s="339">
        <f t="shared" si="284"/>
        <v>-1.5406576937614296</v>
      </c>
      <c r="AF463" s="736" t="str">
        <f t="shared" si="297"/>
        <v>-0.0750982537327811+0.0409597088283582i</v>
      </c>
      <c r="AG463" s="337">
        <f t="shared" si="285"/>
        <v>-21.356405058012577</v>
      </c>
      <c r="AH463" s="730">
        <f t="shared" si="286"/>
        <v>151.39128968316436</v>
      </c>
      <c r="AI463" s="360">
        <f t="shared" si="298"/>
        <v>-28.608710316835641</v>
      </c>
      <c r="AL463" s="337">
        <f t="shared" si="299"/>
        <v>5.1448198911540812</v>
      </c>
      <c r="AM463" s="730">
        <f t="shared" si="300"/>
        <v>-88.273183526888772</v>
      </c>
      <c r="AN463" s="351"/>
      <c r="AO463" s="337">
        <f t="shared" si="301"/>
        <v>26.770706249572779</v>
      </c>
      <c r="AP463" s="730">
        <f t="shared" si="302"/>
        <v>-120.3355267899469</v>
      </c>
      <c r="AS463" s="351"/>
      <c r="AT463" s="351"/>
      <c r="AV463" s="405">
        <f t="shared" si="303"/>
        <v>0</v>
      </c>
      <c r="AW463" s="405">
        <f t="shared" si="287"/>
        <v>0</v>
      </c>
      <c r="AX463" s="405">
        <f t="shared" si="304"/>
        <v>0</v>
      </c>
      <c r="AY463" s="405">
        <f t="shared" si="305"/>
        <v>0</v>
      </c>
    </row>
    <row r="464" spans="2:51" ht="13.5" thickBot="1" x14ac:dyDescent="0.25">
      <c r="B464" s="345">
        <v>52182.25</v>
      </c>
      <c r="C464" s="728" t="str">
        <f t="shared" si="288"/>
        <v>2.16217503399043</v>
      </c>
      <c r="D464" s="728" t="str">
        <f t="shared" si="289"/>
        <v>1+39.8909408236279i</v>
      </c>
      <c r="E464" s="337">
        <f t="shared" si="266"/>
        <v>39.903473029226198</v>
      </c>
      <c r="F464" s="338">
        <f t="shared" si="267"/>
        <v>1.5457332276481897</v>
      </c>
      <c r="G464" s="338" t="str">
        <f t="shared" si="290"/>
        <v>1+0.163935373247786i</v>
      </c>
      <c r="H464" s="337">
        <f t="shared" si="268"/>
        <v>1.0133483145502789</v>
      </c>
      <c r="I464" s="338">
        <f t="shared" si="269"/>
        <v>0.16249003145077548</v>
      </c>
      <c r="J464" s="340">
        <f t="shared" si="291"/>
        <v>1</v>
      </c>
      <c r="K464" s="338">
        <f t="shared" si="270"/>
        <v>1</v>
      </c>
      <c r="L464" s="339">
        <f t="shared" si="271"/>
        <v>0</v>
      </c>
      <c r="M464" s="731" t="str">
        <f t="shared" si="292"/>
        <v>0.878978345997222+0.770707764421459i</v>
      </c>
      <c r="N464" s="338">
        <f t="shared" si="272"/>
        <v>1.1690138540118058</v>
      </c>
      <c r="O464" s="339">
        <f t="shared" si="273"/>
        <v>0.71986113461363455</v>
      </c>
      <c r="P464" s="732" t="str">
        <f t="shared" si="306"/>
        <v>-0.0238382997113306-0.0404710141719497i</v>
      </c>
      <c r="Q464" s="337">
        <f t="shared" si="274"/>
        <v>4.6969857581574355E-2</v>
      </c>
      <c r="R464" s="339">
        <f t="shared" si="275"/>
        <v>-2.1031043308110502</v>
      </c>
      <c r="S464" s="731" t="str">
        <f t="shared" si="293"/>
        <v>6000</v>
      </c>
      <c r="T464" s="337" t="str">
        <f t="shared" si="294"/>
        <v>1+331149.453960528i</v>
      </c>
      <c r="U464" s="346">
        <f t="shared" si="276"/>
        <v>331149.45396203786</v>
      </c>
      <c r="V464" s="347">
        <f t="shared" si="277"/>
        <v>1.5707933070103612</v>
      </c>
      <c r="W464" s="340" t="str">
        <f t="shared" si="295"/>
        <v>1+3278.70746495572i</v>
      </c>
      <c r="X464" s="337">
        <f t="shared" si="278"/>
        <v>3278.7076174548356</v>
      </c>
      <c r="Y464" s="339">
        <f t="shared" si="279"/>
        <v>1.5704913285662714</v>
      </c>
      <c r="Z464" s="337" t="str">
        <f t="shared" si="296"/>
        <v>1+33.0279158034034i</v>
      </c>
      <c r="AA464" s="346">
        <f t="shared" si="280"/>
        <v>33.043051044307397</v>
      </c>
      <c r="AB464" s="347">
        <f t="shared" si="281"/>
        <v>1.5405281560780244</v>
      </c>
      <c r="AC464" s="732" t="str">
        <f t="shared" si="282"/>
        <v>0.0538661973545078-1.79702754494614i</v>
      </c>
      <c r="AD464" s="337">
        <f t="shared" si="283"/>
        <v>1.7978346877598579</v>
      </c>
      <c r="AE464" s="339">
        <f t="shared" si="284"/>
        <v>-1.540830134522114</v>
      </c>
      <c r="AF464" s="736" t="str">
        <f t="shared" si="297"/>
        <v>-0.0740116057957456+0.0406580615694194i</v>
      </c>
      <c r="AG464" s="337">
        <f t="shared" si="285"/>
        <v>-21.46862002235607</v>
      </c>
      <c r="AH464" s="730">
        <f t="shared" si="286"/>
        <v>151.21793431414949</v>
      </c>
      <c r="AI464" s="360">
        <f t="shared" si="298"/>
        <v>-28.782065685850512</v>
      </c>
      <c r="AL464" s="337">
        <f t="shared" si="299"/>
        <v>5.0949951106322029</v>
      </c>
      <c r="AM464" s="730">
        <f t="shared" si="300"/>
        <v>-88.283063654692015</v>
      </c>
      <c r="AN464" s="351"/>
      <c r="AO464" s="337">
        <f t="shared" si="301"/>
        <v>26.708316065751173</v>
      </c>
      <c r="AP464" s="730">
        <f t="shared" si="302"/>
        <v>-120.49900203115845</v>
      </c>
      <c r="AS464" s="351"/>
      <c r="AT464" s="351"/>
      <c r="AV464" s="405">
        <f t="shared" si="303"/>
        <v>0</v>
      </c>
      <c r="AW464" s="405">
        <f t="shared" si="287"/>
        <v>0</v>
      </c>
      <c r="AX464" s="405">
        <f t="shared" si="304"/>
        <v>0</v>
      </c>
      <c r="AY464" s="405">
        <f t="shared" si="305"/>
        <v>0</v>
      </c>
    </row>
    <row r="465" spans="2:51" ht="13.5" thickBot="1" x14ac:dyDescent="0.25">
      <c r="B465" s="345">
        <v>52481</v>
      </c>
      <c r="C465" s="728" t="str">
        <f t="shared" si="288"/>
        <v>2.16217503399043</v>
      </c>
      <c r="D465" s="728" t="str">
        <f t="shared" si="289"/>
        <v>1+40.1193215195745i</v>
      </c>
      <c r="E465" s="337">
        <f t="shared" ref="E465:E528" si="307">IMABS(D465)</f>
        <v>40.131782407351331</v>
      </c>
      <c r="F465" s="338">
        <f t="shared" ref="F465:F528" si="308">IMARGUMENT(D465)</f>
        <v>1.545875841020049</v>
      </c>
      <c r="G465" s="338" t="str">
        <f t="shared" si="290"/>
        <v>1+0.164873924053046i</v>
      </c>
      <c r="H465" s="337">
        <f t="shared" ref="H465:H528" si="309">IMABS(G465)</f>
        <v>1.0135005726849144</v>
      </c>
      <c r="I465" s="338">
        <f t="shared" ref="I465:I528" si="310">IMARGUMENT(G465)</f>
        <v>0.16340388183585272</v>
      </c>
      <c r="J465" s="340">
        <f t="shared" si="291"/>
        <v>1</v>
      </c>
      <c r="K465" s="338">
        <f t="shared" ref="K465:K528" si="311">IMABS(J465)</f>
        <v>1</v>
      </c>
      <c r="L465" s="339">
        <f t="shared" ref="L465:L528" si="312">IMARGUMENT(J465)</f>
        <v>0</v>
      </c>
      <c r="M465" s="731" t="str">
        <f t="shared" si="292"/>
        <v>0.877588650622222+0.775120164128657i</v>
      </c>
      <c r="N465" s="338">
        <f t="shared" ref="N465:N528" si="313">IMABS(M465)</f>
        <v>1.1708856086483295</v>
      </c>
      <c r="O465" s="339">
        <f t="shared" ref="O465:O528" si="314">IMARGUMENT(M465)</f>
        <v>0.72347709786663761</v>
      </c>
      <c r="P465" s="732" t="str">
        <f t="shared" si="306"/>
        <v>-0.023782561116582-0.0401149909405214i</v>
      </c>
      <c r="Q465" s="337">
        <f t="shared" ref="Q465:Q528" si="315">IMABS(P465)</f>
        <v>4.6634994493642563E-2</v>
      </c>
      <c r="R465" s="339">
        <f t="shared" ref="R465:R528" si="316">IMARGUMENT(P465)</f>
        <v>-2.1059490570508337</v>
      </c>
      <c r="S465" s="731" t="str">
        <f t="shared" si="293"/>
        <v>6000</v>
      </c>
      <c r="T465" s="337" t="str">
        <f t="shared" si="294"/>
        <v>1+333045.326587153i</v>
      </c>
      <c r="U465" s="346">
        <f t="shared" ref="U465:U528" si="317">IMABS(T465)</f>
        <v>333045.32658865437</v>
      </c>
      <c r="V465" s="347">
        <f t="shared" ref="V465:V528" si="318">IMARGUMENT(T465)</f>
        <v>1.5707933242005945</v>
      </c>
      <c r="W465" s="340" t="str">
        <f t="shared" si="295"/>
        <v>1+3297.47848106092i</v>
      </c>
      <c r="X465" s="337">
        <f t="shared" ref="X465:X528" si="319">IMABS(W465)</f>
        <v>3297.4786326919284</v>
      </c>
      <c r="Y465" s="339">
        <f t="shared" ref="Y465:Y528" si="320">IMARGUMENT(W465)</f>
        <v>1.5704930647796667</v>
      </c>
      <c r="Z465" s="337" t="str">
        <f t="shared" si="296"/>
        <v>1+33.2170048106092i</v>
      </c>
      <c r="AA465" s="346">
        <f t="shared" ref="AA465:AA528" si="321">IMABS(Z465)</f>
        <v>33.232053932732391</v>
      </c>
      <c r="AB465" s="347">
        <f t="shared" ref="AB465:AB528" si="322">IMARGUMENT(Z465)</f>
        <v>1.5407003544172213</v>
      </c>
      <c r="AC465" s="732" t="str">
        <f t="shared" ref="AC465:AC528" si="323">IMPRODUCT(S465,IMDIV(W465,IMPRODUCT(T465,Z465)))</f>
        <v>0.0532552260462125-1.78681629364169i</v>
      </c>
      <c r="AD465" s="337">
        <f t="shared" ref="AD465:AD528" si="324">IMABS(AC465)</f>
        <v>1.7876097410577789</v>
      </c>
      <c r="AE465" s="339">
        <f t="shared" ref="AE465:AE528" si="325">IMARGUMENT(AC465)</f>
        <v>-1.5410006138381491</v>
      </c>
      <c r="AF465" s="736" t="str">
        <f t="shared" si="297"/>
        <v>-0.0729446651000339+0.0403587347972588i</v>
      </c>
      <c r="AG465" s="337">
        <f t="shared" ref="AG465:AG528" si="326">20*LOG10(IMABS(AF465))</f>
        <v>-21.58030715247893</v>
      </c>
      <c r="AH465" s="730">
        <f t="shared" ref="AH465:AH528" si="327">(180/PI())*IMARGUMENT(AF465)</f>
        <v>151.0451757614367</v>
      </c>
      <c r="AI465" s="360">
        <f t="shared" si="298"/>
        <v>-28.954824238563305</v>
      </c>
      <c r="AL465" s="337">
        <f t="shared" si="299"/>
        <v>5.0454542511170111</v>
      </c>
      <c r="AM465" s="730">
        <f t="shared" si="300"/>
        <v>-88.292831399995109</v>
      </c>
      <c r="AN465" s="351"/>
      <c r="AO465" s="337">
        <f t="shared" si="301"/>
        <v>26.646169795143493</v>
      </c>
      <c r="AP465" s="730">
        <f t="shared" si="302"/>
        <v>-120.6619928385683</v>
      </c>
      <c r="AS465" s="351"/>
      <c r="AT465" s="351"/>
      <c r="AV465" s="405">
        <f t="shared" si="303"/>
        <v>0</v>
      </c>
      <c r="AW465" s="405">
        <f t="shared" si="287"/>
        <v>0</v>
      </c>
      <c r="AX465" s="405">
        <f t="shared" si="304"/>
        <v>0</v>
      </c>
      <c r="AY465" s="405">
        <f t="shared" si="305"/>
        <v>0</v>
      </c>
    </row>
    <row r="466" spans="2:51" ht="13.5" thickBot="1" x14ac:dyDescent="0.25">
      <c r="B466" s="345">
        <v>52786.5</v>
      </c>
      <c r="C466" s="728" t="str">
        <f t="shared" si="288"/>
        <v>2.16217503399043</v>
      </c>
      <c r="D466" s="728" t="str">
        <f t="shared" si="289"/>
        <v>1+40.3528622814546i</v>
      </c>
      <c r="E466" s="337">
        <f t="shared" si="307"/>
        <v>40.365251074482877</v>
      </c>
      <c r="F466" s="338">
        <f t="shared" si="308"/>
        <v>1.5460200082610247</v>
      </c>
      <c r="G466" s="338" t="str">
        <f t="shared" si="290"/>
        <v>1+0.165833680608718i</v>
      </c>
      <c r="H466" s="337">
        <f t="shared" si="309"/>
        <v>1.0136571459937695</v>
      </c>
      <c r="I466" s="338">
        <f t="shared" si="310"/>
        <v>0.16433809517839268</v>
      </c>
      <c r="J466" s="340">
        <f t="shared" si="291"/>
        <v>1</v>
      </c>
      <c r="K466" s="338">
        <f t="shared" si="311"/>
        <v>1</v>
      </c>
      <c r="L466" s="339">
        <f t="shared" si="312"/>
        <v>0</v>
      </c>
      <c r="M466" s="731" t="str">
        <f t="shared" si="292"/>
        <v>0.876159351900001+0.779632258222543i</v>
      </c>
      <c r="N466" s="338">
        <f t="shared" si="313"/>
        <v>1.172809305890353</v>
      </c>
      <c r="O466" s="339">
        <f t="shared" si="314"/>
        <v>0.72716742563125691</v>
      </c>
      <c r="P466" s="732" t="str">
        <f t="shared" si="306"/>
        <v>-0.0237252688175111-0.0397550604782291i</v>
      </c>
      <c r="Q466" s="337">
        <f t="shared" si="315"/>
        <v>4.6296362860281132E-2</v>
      </c>
      <c r="R466" s="339">
        <f t="shared" si="316"/>
        <v>-2.1088493387138882</v>
      </c>
      <c r="S466" s="731" t="str">
        <f t="shared" si="293"/>
        <v>6000</v>
      </c>
      <c r="T466" s="337" t="str">
        <f t="shared" si="294"/>
        <v>1+334984.034829609i</v>
      </c>
      <c r="U466" s="346">
        <f t="shared" si="317"/>
        <v>334984.0348311016</v>
      </c>
      <c r="V466" s="347">
        <f t="shared" si="318"/>
        <v>1.5707933415780027</v>
      </c>
      <c r="W466" s="340" t="str">
        <f t="shared" si="295"/>
        <v>1+3316.67361217435i</v>
      </c>
      <c r="X466" s="337">
        <f t="shared" si="319"/>
        <v>3316.6737629278</v>
      </c>
      <c r="Y466" s="339">
        <f t="shared" si="320"/>
        <v>1.5704948198977371</v>
      </c>
      <c r="Z466" s="337" t="str">
        <f t="shared" si="296"/>
        <v>1+33.4103661217435i</v>
      </c>
      <c r="AA466" s="346">
        <f t="shared" si="321"/>
        <v>33.425328186705151</v>
      </c>
      <c r="AB466" s="347">
        <f t="shared" si="322"/>
        <v>1.5408744295440842</v>
      </c>
      <c r="AC466" s="732" t="str">
        <f t="shared" si="323"/>
        <v>0.0526411344819125-1.77649353785112i</v>
      </c>
      <c r="AD466" s="337">
        <f t="shared" si="324"/>
        <v>1.777273298923475</v>
      </c>
      <c r="AE466" s="339">
        <f t="shared" si="325"/>
        <v>-1.5411729512243497</v>
      </c>
      <c r="AF466" s="736" t="str">
        <f t="shared" si="297"/>
        <v>-0.0718735331028966+0.0400550352531181i</v>
      </c>
      <c r="AG466" s="337">
        <f t="shared" si="326"/>
        <v>-21.693978209366133</v>
      </c>
      <c r="AH466" s="730">
        <f t="shared" si="327"/>
        <v>150.86912765786292</v>
      </c>
      <c r="AI466" s="360">
        <f t="shared" si="298"/>
        <v>-29.130872342137081</v>
      </c>
      <c r="AL466" s="337">
        <f t="shared" si="299"/>
        <v>4.995084325245057</v>
      </c>
      <c r="AM466" s="730">
        <f t="shared" si="300"/>
        <v>-88.302705604876721</v>
      </c>
      <c r="AN466" s="351"/>
      <c r="AO466" s="337">
        <f t="shared" si="301"/>
        <v>26.582868664128231</v>
      </c>
      <c r="AP466" s="730">
        <f t="shared" si="302"/>
        <v>-120.82816673726046</v>
      </c>
      <c r="AS466" s="351"/>
      <c r="AT466" s="351"/>
      <c r="AV466" s="405">
        <f t="shared" si="303"/>
        <v>0</v>
      </c>
      <c r="AW466" s="405">
        <f t="shared" si="287"/>
        <v>0</v>
      </c>
      <c r="AX466" s="405">
        <f t="shared" si="304"/>
        <v>0</v>
      </c>
      <c r="AY466" s="405">
        <f t="shared" si="305"/>
        <v>0</v>
      </c>
    </row>
    <row r="467" spans="2:51" ht="13.5" thickBot="1" x14ac:dyDescent="0.25">
      <c r="B467" s="345">
        <v>53092</v>
      </c>
      <c r="C467" s="728" t="str">
        <f t="shared" si="288"/>
        <v>2.16217503399043</v>
      </c>
      <c r="D467" s="728" t="str">
        <f t="shared" si="289"/>
        <v>1+40.5864030433348i</v>
      </c>
      <c r="E467" s="337">
        <f t="shared" si="307"/>
        <v>40.598720570924598</v>
      </c>
      <c r="F467" s="338">
        <f t="shared" si="308"/>
        <v>1.5461625173909503</v>
      </c>
      <c r="G467" s="338" t="str">
        <f t="shared" si="290"/>
        <v>1+0.166793437164389i</v>
      </c>
      <c r="H467" s="337">
        <f t="shared" si="309"/>
        <v>1.0138146037028224</v>
      </c>
      <c r="I467" s="338">
        <f t="shared" si="310"/>
        <v>0.16527201914647291</v>
      </c>
      <c r="J467" s="340">
        <f t="shared" si="291"/>
        <v>1</v>
      </c>
      <c r="K467" s="338">
        <f t="shared" si="311"/>
        <v>1</v>
      </c>
      <c r="L467" s="339">
        <f t="shared" si="312"/>
        <v>0</v>
      </c>
      <c r="M467" s="731" t="str">
        <f t="shared" si="292"/>
        <v>0.874721757155555+0.784144352316432i</v>
      </c>
      <c r="N467" s="338">
        <f t="shared" si="313"/>
        <v>1.1747427453323807</v>
      </c>
      <c r="O467" s="339">
        <f t="shared" si="314"/>
        <v>0.73085033109566655</v>
      </c>
      <c r="P467" s="732" t="str">
        <f t="shared" si="306"/>
        <v>-0.0236676888750695-0.0393992480389105i</v>
      </c>
      <c r="Q467" s="337">
        <f t="shared" si="315"/>
        <v>4.5961508272887232E-2</v>
      </c>
      <c r="R467" s="339">
        <f t="shared" si="316"/>
        <v>-2.1117408293401461</v>
      </c>
      <c r="S467" s="731" t="str">
        <f t="shared" si="293"/>
        <v>6000</v>
      </c>
      <c r="T467" s="337" t="str">
        <f t="shared" si="294"/>
        <v>1+336922.743072067i</v>
      </c>
      <c r="U467" s="346">
        <f t="shared" si="317"/>
        <v>336922.74307355093</v>
      </c>
      <c r="V467" s="347">
        <f t="shared" si="318"/>
        <v>1.5707933587554259</v>
      </c>
      <c r="W467" s="340" t="str">
        <f t="shared" si="295"/>
        <v>1+3335.86874328779i</v>
      </c>
      <c r="X467" s="337">
        <f t="shared" si="319"/>
        <v>3335.8688931737797</v>
      </c>
      <c r="Y467" s="339">
        <f t="shared" si="320"/>
        <v>1.5704965548173397</v>
      </c>
      <c r="Z467" s="337" t="str">
        <f t="shared" si="296"/>
        <v>1+33.6037274328779i</v>
      </c>
      <c r="AA467" s="346">
        <f t="shared" si="321"/>
        <v>33.618603441891381</v>
      </c>
      <c r="AB467" s="347">
        <f t="shared" si="322"/>
        <v>1.5410465031405851</v>
      </c>
      <c r="AC467" s="732" t="str">
        <f t="shared" si="323"/>
        <v>0.0520376006308796-1.76628926550835i</v>
      </c>
      <c r="AD467" s="337">
        <f t="shared" si="324"/>
        <v>1.7670556531500208</v>
      </c>
      <c r="AE467" s="339">
        <f t="shared" si="325"/>
        <v>-1.5413433070786715</v>
      </c>
      <c r="AF467" s="736" t="str">
        <f t="shared" si="297"/>
        <v>-0.0708220786217653+0.0397537424648209i</v>
      </c>
      <c r="AG467" s="337">
        <f t="shared" si="326"/>
        <v>-21.807110003616547</v>
      </c>
      <c r="AH467" s="730">
        <f t="shared" si="327"/>
        <v>150.69369677700868</v>
      </c>
      <c r="AI467" s="360">
        <f t="shared" si="298"/>
        <v>-29.306303222991318</v>
      </c>
      <c r="AL467" s="337">
        <f t="shared" si="299"/>
        <v>4.9450045552211623</v>
      </c>
      <c r="AM467" s="730">
        <f t="shared" si="300"/>
        <v>-88.312466276344708</v>
      </c>
      <c r="AN467" s="351"/>
      <c r="AO467" s="337">
        <f t="shared" si="301"/>
        <v>26.519816639901705</v>
      </c>
      <c r="AP467" s="730">
        <f t="shared" si="302"/>
        <v>-120.99383694664667</v>
      </c>
      <c r="AS467" s="351"/>
      <c r="AT467" s="351"/>
      <c r="AV467" s="405">
        <f t="shared" si="303"/>
        <v>0</v>
      </c>
      <c r="AW467" s="405">
        <f t="shared" si="287"/>
        <v>0</v>
      </c>
      <c r="AX467" s="405">
        <f t="shared" si="304"/>
        <v>0</v>
      </c>
      <c r="AY467" s="405">
        <f t="shared" si="305"/>
        <v>0</v>
      </c>
    </row>
    <row r="468" spans="2:51" ht="13.5" thickBot="1" x14ac:dyDescent="0.25">
      <c r="B468" s="345">
        <v>53397.5</v>
      </c>
      <c r="C468" s="728" t="str">
        <f t="shared" si="288"/>
        <v>2.16217503399043</v>
      </c>
      <c r="D468" s="728" t="str">
        <f t="shared" si="289"/>
        <v>1+40.8199438052148i</v>
      </c>
      <c r="E468" s="337">
        <f t="shared" si="307"/>
        <v>40.832190882450753</v>
      </c>
      <c r="F468" s="338">
        <f t="shared" si="308"/>
        <v>1.5463033968462303</v>
      </c>
      <c r="G468" s="338" t="str">
        <f t="shared" si="290"/>
        <v>1+0.167753193720061i</v>
      </c>
      <c r="H468" s="337">
        <f t="shared" si="309"/>
        <v>1.0139729454000634</v>
      </c>
      <c r="I468" s="338">
        <f t="shared" si="310"/>
        <v>0.16620565224612247</v>
      </c>
      <c r="J468" s="340">
        <f t="shared" si="291"/>
        <v>1</v>
      </c>
      <c r="K468" s="338">
        <f t="shared" si="311"/>
        <v>1</v>
      </c>
      <c r="L468" s="339">
        <f t="shared" si="312"/>
        <v>0</v>
      </c>
      <c r="M468" s="731" t="str">
        <f t="shared" si="292"/>
        <v>0.873275866388889+0.788656446410319i</v>
      </c>
      <c r="N468" s="338">
        <f t="shared" si="313"/>
        <v>1.1766859093580653</v>
      </c>
      <c r="O468" s="339">
        <f t="shared" si="314"/>
        <v>0.73452580928414746</v>
      </c>
      <c r="P468" s="732" t="str">
        <f t="shared" si="306"/>
        <v>-0.0236098311283255-0.0390474895602964i</v>
      </c>
      <c r="Q468" s="337">
        <f t="shared" si="315"/>
        <v>4.563036891007461E-2</v>
      </c>
      <c r="R468" s="339">
        <f t="shared" si="316"/>
        <v>-2.1146235538842562</v>
      </c>
      <c r="S468" s="731" t="str">
        <f t="shared" si="293"/>
        <v>6000</v>
      </c>
      <c r="T468" s="337" t="str">
        <f t="shared" si="294"/>
        <v>1+338861.451314523i</v>
      </c>
      <c r="U468" s="346">
        <f t="shared" si="317"/>
        <v>338861.45131599851</v>
      </c>
      <c r="V468" s="347">
        <f t="shared" si="318"/>
        <v>1.5707933757362968</v>
      </c>
      <c r="W468" s="340" t="str">
        <f t="shared" si="295"/>
        <v>1+3355.06387440122i</v>
      </c>
      <c r="X468" s="337">
        <f t="shared" si="319"/>
        <v>3355.0640234296761</v>
      </c>
      <c r="Y468" s="339">
        <f t="shared" si="320"/>
        <v>1.5704982698851557</v>
      </c>
      <c r="Z468" s="337" t="str">
        <f t="shared" si="296"/>
        <v>1+33.7970887440122i</v>
      </c>
      <c r="AA468" s="346">
        <f t="shared" si="321"/>
        <v>33.811879681121489</v>
      </c>
      <c r="AB468" s="347">
        <f t="shared" si="322"/>
        <v>1.5412166095200266</v>
      </c>
      <c r="AC468" s="732" t="str">
        <f t="shared" si="323"/>
        <v>0.0514443839259998-1.75620145011409i</v>
      </c>
      <c r="AD468" s="337">
        <f t="shared" si="324"/>
        <v>1.7569547683478817</v>
      </c>
      <c r="AE468" s="339">
        <f t="shared" si="325"/>
        <v>-1.5415117153711679</v>
      </c>
      <c r="AF468" s="736" t="str">
        <f t="shared" si="297"/>
        <v>-0.0697898510061009+0.0394548456202277i</v>
      </c>
      <c r="AG468" s="337">
        <f t="shared" si="326"/>
        <v>-21.919708780793435</v>
      </c>
      <c r="AH468" s="730">
        <f t="shared" si="327"/>
        <v>150.51887974273731</v>
      </c>
      <c r="AI468" s="360">
        <f t="shared" si="298"/>
        <v>-29.481120257262688</v>
      </c>
      <c r="AL468" s="337">
        <f t="shared" si="299"/>
        <v>4.8952116202328284</v>
      </c>
      <c r="AM468" s="730">
        <f t="shared" si="300"/>
        <v>-88.322115360739758</v>
      </c>
      <c r="AN468" s="351"/>
      <c r="AO468" s="337">
        <f t="shared" si="301"/>
        <v>26.457010797713167</v>
      </c>
      <c r="AP468" s="730">
        <f t="shared" si="302"/>
        <v>-121.15900489652282</v>
      </c>
      <c r="AS468" s="351"/>
      <c r="AT468" s="351"/>
      <c r="AV468" s="405">
        <f t="shared" si="303"/>
        <v>0</v>
      </c>
      <c r="AW468" s="405">
        <f t="shared" si="287"/>
        <v>0</v>
      </c>
      <c r="AX468" s="405">
        <f t="shared" si="304"/>
        <v>0</v>
      </c>
      <c r="AY468" s="405">
        <f t="shared" si="305"/>
        <v>0</v>
      </c>
    </row>
    <row r="469" spans="2:51" ht="13.5" thickBot="1" x14ac:dyDescent="0.25">
      <c r="B469" s="345">
        <v>53703</v>
      </c>
      <c r="C469" s="728" t="str">
        <f t="shared" si="288"/>
        <v>2.16217503399043</v>
      </c>
      <c r="D469" s="728" t="str">
        <f t="shared" si="289"/>
        <v>1+41.0534845670949i</v>
      </c>
      <c r="E469" s="337">
        <f t="shared" si="307"/>
        <v>41.065661995159644</v>
      </c>
      <c r="F469" s="338">
        <f t="shared" si="308"/>
        <v>1.5464426744168522</v>
      </c>
      <c r="G469" s="338" t="str">
        <f t="shared" si="290"/>
        <v>1+0.168712950275732i</v>
      </c>
      <c r="H469" s="337">
        <f t="shared" si="309"/>
        <v>1.0141321706714277</v>
      </c>
      <c r="I469" s="338">
        <f t="shared" si="310"/>
        <v>0.16713899298632529</v>
      </c>
      <c r="J469" s="340">
        <f t="shared" si="291"/>
        <v>1</v>
      </c>
      <c r="K469" s="338">
        <f t="shared" si="311"/>
        <v>1</v>
      </c>
      <c r="L469" s="339">
        <f t="shared" si="312"/>
        <v>0</v>
      </c>
      <c r="M469" s="731" t="str">
        <f t="shared" si="292"/>
        <v>0.8718216796+0.793168540504205i</v>
      </c>
      <c r="N469" s="338">
        <f t="shared" si="313"/>
        <v>1.1786387804014153</v>
      </c>
      <c r="O469" s="339">
        <f t="shared" si="314"/>
        <v>0.73819385556742101</v>
      </c>
      <c r="P469" s="732" t="str">
        <f t="shared" si="306"/>
        <v>-0.0235517052029646-0.0386997223651358i</v>
      </c>
      <c r="Q469" s="337">
        <f t="shared" si="315"/>
        <v>4.5302884335392396E-2</v>
      </c>
      <c r="R469" s="339">
        <f t="shared" si="316"/>
        <v>-2.1174975369979467</v>
      </c>
      <c r="S469" s="731" t="str">
        <f t="shared" si="293"/>
        <v>6000</v>
      </c>
      <c r="T469" s="337" t="str">
        <f t="shared" si="294"/>
        <v>1+340800.15955698i</v>
      </c>
      <c r="U469" s="346">
        <f t="shared" si="317"/>
        <v>340800.15955844714</v>
      </c>
      <c r="V469" s="347">
        <f t="shared" si="318"/>
        <v>1.5707933925239699</v>
      </c>
      <c r="W469" s="340" t="str">
        <f t="shared" si="295"/>
        <v>1+3374.25900551465i</v>
      </c>
      <c r="X469" s="337">
        <f t="shared" si="319"/>
        <v>3374.2591536953291</v>
      </c>
      <c r="Y469" s="339">
        <f t="shared" si="320"/>
        <v>1.5704999654399772</v>
      </c>
      <c r="Z469" s="337" t="str">
        <f t="shared" si="296"/>
        <v>1+33.9904500551465i</v>
      </c>
      <c r="AA469" s="346">
        <f t="shared" si="321"/>
        <v>34.005156887616451</v>
      </c>
      <c r="AB469" s="347">
        <f t="shared" si="322"/>
        <v>1.5413847822160578</v>
      </c>
      <c r="AC469" s="732" t="str">
        <f t="shared" si="323"/>
        <v>0.0508612506112944-1.74622811108114i</v>
      </c>
      <c r="AD469" s="337">
        <f t="shared" si="324"/>
        <v>1.7469686553409454</v>
      </c>
      <c r="AE469" s="339">
        <f t="shared" si="325"/>
        <v>-1.5416782093000505</v>
      </c>
      <c r="AF469" s="736" t="str">
        <f t="shared" si="297"/>
        <v>-0.0687764122656869+0.039158333411512i</v>
      </c>
      <c r="AG469" s="337">
        <f t="shared" si="326"/>
        <v>-22.031780674471637</v>
      </c>
      <c r="AH469" s="730">
        <f t="shared" si="327"/>
        <v>150.34467324049149</v>
      </c>
      <c r="AI469" s="360">
        <f t="shared" si="298"/>
        <v>-29.655326759508512</v>
      </c>
      <c r="AL469" s="337">
        <f t="shared" si="299"/>
        <v>4.845702256102963</v>
      </c>
      <c r="AM469" s="730">
        <f t="shared" si="300"/>
        <v>-88.331654760179276</v>
      </c>
      <c r="AN469" s="351"/>
      <c r="AO469" s="337">
        <f t="shared" si="301"/>
        <v>26.394448268164822</v>
      </c>
      <c r="AP469" s="730">
        <f t="shared" si="302"/>
        <v>-121.32367199932918</v>
      </c>
      <c r="AS469" s="351"/>
      <c r="AT469" s="351"/>
      <c r="AV469" s="405">
        <f t="shared" si="303"/>
        <v>0</v>
      </c>
      <c r="AW469" s="405">
        <f t="shared" si="287"/>
        <v>0</v>
      </c>
      <c r="AX469" s="405">
        <f t="shared" si="304"/>
        <v>0</v>
      </c>
      <c r="AY469" s="405">
        <f t="shared" si="305"/>
        <v>0</v>
      </c>
    </row>
    <row r="470" spans="2:51" ht="13.5" thickBot="1" x14ac:dyDescent="0.25">
      <c r="B470" s="345">
        <v>54015.75</v>
      </c>
      <c r="C470" s="728" t="str">
        <f t="shared" si="288"/>
        <v>2.16217503399043</v>
      </c>
      <c r="D470" s="728" t="str">
        <f t="shared" si="289"/>
        <v>1+41.2925676220148i</v>
      </c>
      <c r="E470" s="337">
        <f t="shared" si="307"/>
        <v>41.304674563766568</v>
      </c>
      <c r="F470" s="338">
        <f t="shared" si="308"/>
        <v>1.5465836262618389</v>
      </c>
      <c r="G470" s="338" t="str">
        <f t="shared" si="290"/>
        <v>1+0.169695483378143i</v>
      </c>
      <c r="H470" s="337">
        <f t="shared" si="309"/>
        <v>1.0142960894526518</v>
      </c>
      <c r="I470" s="338">
        <f t="shared" si="310"/>
        <v>0.16809417898141957</v>
      </c>
      <c r="J470" s="340">
        <f t="shared" si="291"/>
        <v>1</v>
      </c>
      <c r="K470" s="338">
        <f t="shared" si="311"/>
        <v>1</v>
      </c>
      <c r="L470" s="339">
        <f t="shared" si="312"/>
        <v>0</v>
      </c>
      <c r="M470" s="731" t="str">
        <f t="shared" si="292"/>
        <v>0.870324388975+0.797787713754168i</v>
      </c>
      <c r="N470" s="338">
        <f t="shared" si="313"/>
        <v>1.1806480331842379</v>
      </c>
      <c r="O470" s="339">
        <f t="shared" si="314"/>
        <v>0.74194124738474199</v>
      </c>
      <c r="P470" s="732" t="str">
        <f t="shared" si="306"/>
        <v>-0.023491931888519-0.0383477725626847i</v>
      </c>
      <c r="Q470" s="337">
        <f t="shared" si="315"/>
        <v>4.4971352263126457E-2</v>
      </c>
      <c r="R470" s="339">
        <f t="shared" si="316"/>
        <v>-2.1204306946651608</v>
      </c>
      <c r="S470" s="731" t="str">
        <f t="shared" si="293"/>
        <v>6000</v>
      </c>
      <c r="T470" s="337" t="str">
        <f t="shared" si="294"/>
        <v>1+342784.876423849i</v>
      </c>
      <c r="U470" s="346">
        <f t="shared" si="317"/>
        <v>342784.87642530765</v>
      </c>
      <c r="V470" s="347">
        <f t="shared" si="318"/>
        <v>1.5707934095133338</v>
      </c>
      <c r="W470" s="340" t="str">
        <f t="shared" si="295"/>
        <v>1+3393.90966756286i</v>
      </c>
      <c r="X470" s="337">
        <f t="shared" si="319"/>
        <v>3393.9098148855755</v>
      </c>
      <c r="Y470" s="339">
        <f t="shared" si="320"/>
        <v>1.5705016813655799</v>
      </c>
      <c r="Z470" s="337" t="str">
        <f t="shared" si="296"/>
        <v>1+34.1884001371671i</v>
      </c>
      <c r="AA470" s="346">
        <f t="shared" si="321"/>
        <v>34.203021853910037</v>
      </c>
      <c r="AB470" s="347">
        <f t="shared" si="322"/>
        <v>1.5415549770711301</v>
      </c>
      <c r="AC470" s="732" t="str">
        <f t="shared" si="323"/>
        <v>0.0502744866415781-1.7361346515144i</v>
      </c>
      <c r="AD470" s="337">
        <f t="shared" si="324"/>
        <v>1.73686241602382</v>
      </c>
      <c r="AE470" s="339">
        <f t="shared" si="325"/>
        <v>-1.5418467052188838</v>
      </c>
      <c r="AF470" s="736" t="str">
        <f t="shared" si="297"/>
        <v>-0.0677579415703843+0.038857242403237i</v>
      </c>
      <c r="AG470" s="337">
        <f t="shared" si="326"/>
        <v>-22.145972713579457</v>
      </c>
      <c r="AH470" s="730">
        <f t="shared" si="327"/>
        <v>150.16696158049936</v>
      </c>
      <c r="AI470" s="360">
        <f t="shared" si="298"/>
        <v>-29.833038419500639</v>
      </c>
      <c r="AL470" s="337">
        <f t="shared" si="299"/>
        <v>4.7953083513462396</v>
      </c>
      <c r="AM470" s="730">
        <f t="shared" si="300"/>
        <v>-88.341308865193596</v>
      </c>
      <c r="AN470" s="351"/>
      <c r="AO470" s="337">
        <f t="shared" si="301"/>
        <v>26.33065013381373</v>
      </c>
      <c r="AP470" s="730">
        <f t="shared" si="302"/>
        <v>-121.49172955430708</v>
      </c>
      <c r="AS470" s="351"/>
      <c r="AT470" s="351"/>
      <c r="AV470" s="405">
        <f t="shared" si="303"/>
        <v>0</v>
      </c>
      <c r="AW470" s="405">
        <f t="shared" si="287"/>
        <v>0</v>
      </c>
      <c r="AX470" s="405">
        <f t="shared" si="304"/>
        <v>0</v>
      </c>
      <c r="AY470" s="405">
        <f t="shared" si="305"/>
        <v>0</v>
      </c>
    </row>
    <row r="471" spans="2:51" ht="13.5" thickBot="1" x14ac:dyDescent="0.25">
      <c r="B471" s="345">
        <v>54328.5</v>
      </c>
      <c r="C471" s="728" t="str">
        <f t="shared" si="288"/>
        <v>2.16217503399043</v>
      </c>
      <c r="D471" s="728" t="str">
        <f t="shared" si="289"/>
        <v>1+41.5316506769346i</v>
      </c>
      <c r="E471" s="337">
        <f t="shared" si="307"/>
        <v>41.543687943548321</v>
      </c>
      <c r="F471" s="338">
        <f t="shared" si="308"/>
        <v>1.5467229562325253</v>
      </c>
      <c r="G471" s="338" t="str">
        <f t="shared" si="290"/>
        <v>1+0.170678016480553i</v>
      </c>
      <c r="H471" s="337">
        <f t="shared" si="309"/>
        <v>1.0144609333580745</v>
      </c>
      <c r="I471" s="338">
        <f t="shared" si="310"/>
        <v>0.16904905542333135</v>
      </c>
      <c r="J471" s="340">
        <f t="shared" si="291"/>
        <v>1</v>
      </c>
      <c r="K471" s="338">
        <f t="shared" si="311"/>
        <v>1</v>
      </c>
      <c r="L471" s="339">
        <f t="shared" si="312"/>
        <v>0</v>
      </c>
      <c r="M471" s="731" t="str">
        <f t="shared" si="292"/>
        <v>0.8688184039+0.802406887004129i</v>
      </c>
      <c r="N471" s="338">
        <f t="shared" si="313"/>
        <v>1.1826674220874609</v>
      </c>
      <c r="O471" s="339">
        <f t="shared" si="314"/>
        <v>0.7456808416483367</v>
      </c>
      <c r="P471" s="732" t="str">
        <f t="shared" si="306"/>
        <v>-0.0234318972710656-0.0379998770765869i</v>
      </c>
      <c r="Q471" s="337">
        <f t="shared" si="315"/>
        <v>4.4643526603052833E-2</v>
      </c>
      <c r="R471" s="339">
        <f t="shared" si="316"/>
        <v>-2.1233547424575301</v>
      </c>
      <c r="S471" s="731" t="str">
        <f t="shared" si="293"/>
        <v>6000</v>
      </c>
      <c r="T471" s="337" t="str">
        <f t="shared" si="294"/>
        <v>1+344769.593290717i</v>
      </c>
      <c r="U471" s="346">
        <f t="shared" si="317"/>
        <v>344769.59329216724</v>
      </c>
      <c r="V471" s="347">
        <f t="shared" si="318"/>
        <v>1.5707934263070942</v>
      </c>
      <c r="W471" s="340" t="str">
        <f t="shared" si="295"/>
        <v>1+3413.56032961106i</v>
      </c>
      <c r="X471" s="337">
        <f t="shared" si="319"/>
        <v>3413.5604760856904</v>
      </c>
      <c r="Y471" s="339">
        <f t="shared" si="320"/>
        <v>1.570503377535228</v>
      </c>
      <c r="Z471" s="337" t="str">
        <f t="shared" si="296"/>
        <v>1+34.3863502191875i</v>
      </c>
      <c r="AA471" s="346">
        <f t="shared" si="321"/>
        <v>34.400887799541103</v>
      </c>
      <c r="AB471" s="347">
        <f t="shared" si="322"/>
        <v>1.5417232140881885</v>
      </c>
      <c r="AC471" s="732" t="str">
        <f t="shared" si="323"/>
        <v>0.0496978154385154-1.72615710740588i</v>
      </c>
      <c r="AD471" s="337">
        <f t="shared" si="324"/>
        <v>1.7268723844879783</v>
      </c>
      <c r="AE471" s="339">
        <f t="shared" si="325"/>
        <v>-1.5420132628600545</v>
      </c>
      <c r="AF471" s="736" t="str">
        <f t="shared" si="297"/>
        <v>-0.0667582720022519+0.0385586251368158i</v>
      </c>
      <c r="AG471" s="337">
        <f t="shared" si="326"/>
        <v>-22.259625225236665</v>
      </c>
      <c r="AH471" s="730">
        <f t="shared" si="327"/>
        <v>149.98988293301736</v>
      </c>
      <c r="AI471" s="360">
        <f t="shared" si="298"/>
        <v>-30.010117066982644</v>
      </c>
      <c r="AL471" s="337">
        <f t="shared" si="299"/>
        <v>4.7452048896179733</v>
      </c>
      <c r="AM471" s="730">
        <f t="shared" si="300"/>
        <v>-88.350851915078337</v>
      </c>
      <c r="AN471" s="351"/>
      <c r="AO471" s="337">
        <f t="shared" si="301"/>
        <v>26.26710108388481</v>
      </c>
      <c r="AP471" s="730">
        <f t="shared" si="302"/>
        <v>-121.65926515190424</v>
      </c>
      <c r="AS471" s="351"/>
      <c r="AT471" s="351"/>
      <c r="AV471" s="405">
        <f t="shared" si="303"/>
        <v>0</v>
      </c>
      <c r="AW471" s="405">
        <f t="shared" si="287"/>
        <v>0</v>
      </c>
      <c r="AX471" s="405">
        <f t="shared" si="304"/>
        <v>0</v>
      </c>
      <c r="AY471" s="405">
        <f t="shared" si="305"/>
        <v>0</v>
      </c>
    </row>
    <row r="472" spans="2:51" ht="13.5" thickBot="1" x14ac:dyDescent="0.25">
      <c r="B472" s="345">
        <v>54641.25</v>
      </c>
      <c r="C472" s="728" t="str">
        <f t="shared" si="288"/>
        <v>2.16217503399043</v>
      </c>
      <c r="D472" s="728" t="str">
        <f t="shared" si="289"/>
        <v>1+41.7707337318545i</v>
      </c>
      <c r="E472" s="337">
        <f t="shared" si="307"/>
        <v>41.782702120584389</v>
      </c>
      <c r="F472" s="338">
        <f t="shared" si="308"/>
        <v>1.5468606921568115</v>
      </c>
      <c r="G472" s="338" t="str">
        <f t="shared" si="290"/>
        <v>1+0.171660549582963i</v>
      </c>
      <c r="H472" s="337">
        <f t="shared" si="309"/>
        <v>1.0146267019367885</v>
      </c>
      <c r="I472" s="338">
        <f t="shared" si="310"/>
        <v>0.17000362072207312</v>
      </c>
      <c r="J472" s="340">
        <f t="shared" si="291"/>
        <v>1</v>
      </c>
      <c r="K472" s="338">
        <f t="shared" si="311"/>
        <v>1</v>
      </c>
      <c r="L472" s="339">
        <f t="shared" si="312"/>
        <v>0</v>
      </c>
      <c r="M472" s="731" t="str">
        <f t="shared" si="292"/>
        <v>0.867303724375+0.807026060254092i</v>
      </c>
      <c r="N472" s="338">
        <f t="shared" si="313"/>
        <v>1.1846969284352802</v>
      </c>
      <c r="O472" s="339">
        <f t="shared" si="314"/>
        <v>0.74941263449672968</v>
      </c>
      <c r="P472" s="732" t="str">
        <f t="shared" si="306"/>
        <v>-0.0233716110205737-0.0376559729200861i</v>
      </c>
      <c r="Q472" s="337">
        <f t="shared" si="315"/>
        <v>4.4319346771531501E-2</v>
      </c>
      <c r="R472" s="339">
        <f t="shared" si="316"/>
        <v>-2.1262697059314668</v>
      </c>
      <c r="S472" s="731" t="str">
        <f t="shared" si="293"/>
        <v>6000</v>
      </c>
      <c r="T472" s="337" t="str">
        <f t="shared" si="294"/>
        <v>1+346754.310157586i</v>
      </c>
      <c r="U472" s="346">
        <f t="shared" si="317"/>
        <v>346754.31015902798</v>
      </c>
      <c r="V472" s="347">
        <f t="shared" si="318"/>
        <v>1.5707934429086097</v>
      </c>
      <c r="W472" s="340" t="str">
        <f t="shared" si="295"/>
        <v>1+3433.21099165927i</v>
      </c>
      <c r="X472" s="337">
        <f t="shared" si="319"/>
        <v>3433.2111372955242</v>
      </c>
      <c r="Y472" s="339">
        <f t="shared" si="320"/>
        <v>1.5705050542881531</v>
      </c>
      <c r="Z472" s="337" t="str">
        <f t="shared" si="296"/>
        <v>1+34.5843003012081i</v>
      </c>
      <c r="AA472" s="346">
        <f t="shared" si="321"/>
        <v>34.598754707707947</v>
      </c>
      <c r="AB472" s="347">
        <f t="shared" si="322"/>
        <v>1.5418895268476818</v>
      </c>
      <c r="AC472" s="732" t="str">
        <f t="shared" si="323"/>
        <v>0.0491310069155837-1.71629349501332i</v>
      </c>
      <c r="AD472" s="337">
        <f t="shared" si="324"/>
        <v>1.7169965686819457</v>
      </c>
      <c r="AE472" s="339">
        <f t="shared" si="325"/>
        <v>-1.5421779154681383</v>
      </c>
      <c r="AF472" s="736" t="str">
        <f t="shared" si="297"/>
        <v>-0.0657769721538216+0.0382624680966425i</v>
      </c>
      <c r="AG472" s="337">
        <f t="shared" si="326"/>
        <v>-22.372744442088152</v>
      </c>
      <c r="AH472" s="730">
        <f t="shared" si="327"/>
        <v>149.81343392899689</v>
      </c>
      <c r="AI472" s="360">
        <f t="shared" si="298"/>
        <v>-30.186566071003114</v>
      </c>
      <c r="AL472" s="337">
        <f t="shared" si="299"/>
        <v>4.6953885449890267</v>
      </c>
      <c r="AM472" s="730">
        <f t="shared" si="300"/>
        <v>-88.360285814607366</v>
      </c>
      <c r="AN472" s="351"/>
      <c r="AO472" s="337">
        <f t="shared" si="301"/>
        <v>26.203798211662242</v>
      </c>
      <c r="AP472" s="730">
        <f t="shared" si="302"/>
        <v>-121.82628025639569</v>
      </c>
      <c r="AS472" s="351"/>
      <c r="AT472" s="351"/>
      <c r="AV472" s="405">
        <f t="shared" si="303"/>
        <v>0</v>
      </c>
      <c r="AW472" s="405">
        <f t="shared" si="287"/>
        <v>0</v>
      </c>
      <c r="AX472" s="405">
        <f t="shared" si="304"/>
        <v>0</v>
      </c>
      <c r="AY472" s="405">
        <f t="shared" si="305"/>
        <v>0</v>
      </c>
    </row>
    <row r="473" spans="2:51" ht="13.5" thickBot="1" x14ac:dyDescent="0.25">
      <c r="B473" s="345">
        <v>54954</v>
      </c>
      <c r="C473" s="728" t="str">
        <f t="shared" si="288"/>
        <v>2.16217503399043</v>
      </c>
      <c r="D473" s="728" t="str">
        <f t="shared" si="289"/>
        <v>1+42.0098167867742i</v>
      </c>
      <c r="E473" s="337">
        <f t="shared" si="307"/>
        <v>42.021717081270438</v>
      </c>
      <c r="F473" s="338">
        <f t="shared" si="308"/>
        <v>1.5469968612297147</v>
      </c>
      <c r="G473" s="338" t="str">
        <f t="shared" si="290"/>
        <v>1+0.172643082685373i</v>
      </c>
      <c r="H473" s="337">
        <f t="shared" si="309"/>
        <v>1.014793394735652</v>
      </c>
      <c r="I473" s="338">
        <f t="shared" si="310"/>
        <v>0.17095787329096054</v>
      </c>
      <c r="J473" s="340">
        <f t="shared" si="291"/>
        <v>1</v>
      </c>
      <c r="K473" s="338">
        <f t="shared" si="311"/>
        <v>1</v>
      </c>
      <c r="L473" s="339">
        <f t="shared" si="312"/>
        <v>0</v>
      </c>
      <c r="M473" s="731" t="str">
        <f t="shared" si="292"/>
        <v>0.8657803504+0.811645233504052i</v>
      </c>
      <c r="N473" s="338">
        <f t="shared" si="313"/>
        <v>1.1867365336116495</v>
      </c>
      <c r="O473" s="339">
        <f t="shared" si="314"/>
        <v>0.75313662243337642</v>
      </c>
      <c r="P473" s="732" t="str">
        <f t="shared" si="306"/>
        <v>-0.02331108259723-0.0373159984626282i</v>
      </c>
      <c r="Q473" s="337">
        <f t="shared" si="315"/>
        <v>4.3998753540501E-2</v>
      </c>
      <c r="R473" s="339">
        <f t="shared" si="316"/>
        <v>-2.1291756103721298</v>
      </c>
      <c r="S473" s="731" t="str">
        <f t="shared" si="293"/>
        <v>6000</v>
      </c>
      <c r="T473" s="337" t="str">
        <f t="shared" si="294"/>
        <v>1+348739.027024454i</v>
      </c>
      <c r="U473" s="346">
        <f t="shared" si="317"/>
        <v>348739.02702588768</v>
      </c>
      <c r="V473" s="347">
        <f t="shared" si="318"/>
        <v>1.5707934593211628</v>
      </c>
      <c r="W473" s="340" t="str">
        <f t="shared" si="295"/>
        <v>1+3452.86165370747i</v>
      </c>
      <c r="X473" s="337">
        <f t="shared" si="319"/>
        <v>3452.8617985148908</v>
      </c>
      <c r="Y473" s="339">
        <f t="shared" si="320"/>
        <v>1.5705067119558638</v>
      </c>
      <c r="Z473" s="337" t="str">
        <f t="shared" si="296"/>
        <v>1+34.7822503832286i</v>
      </c>
      <c r="AA473" s="346">
        <f t="shared" si="321"/>
        <v>34.796622561990212</v>
      </c>
      <c r="AB473" s="347">
        <f t="shared" si="322"/>
        <v>1.5420539481666811</v>
      </c>
      <c r="AC473" s="732" t="str">
        <f t="shared" si="323"/>
        <v>0.0485738375039506-1.70654187556601i</v>
      </c>
      <c r="AD473" s="337">
        <f t="shared" si="324"/>
        <v>1.7072330218075726</v>
      </c>
      <c r="AE473" s="339">
        <f t="shared" si="325"/>
        <v>-1.5423406955319801</v>
      </c>
      <c r="AF473" s="736" t="str">
        <f t="shared" si="297"/>
        <v>-0.0648136227431509+0.0379687573713297i</v>
      </c>
      <c r="AG473" s="337">
        <f t="shared" si="326"/>
        <v>-22.485336484784892</v>
      </c>
      <c r="AH473" s="730">
        <f t="shared" si="327"/>
        <v>149.6376112582316</v>
      </c>
      <c r="AI473" s="360">
        <f t="shared" si="298"/>
        <v>-30.362388741768399</v>
      </c>
      <c r="AL473" s="337">
        <f t="shared" si="299"/>
        <v>4.645856048286837</v>
      </c>
      <c r="AM473" s="730">
        <f t="shared" si="300"/>
        <v>-88.36961242525436</v>
      </c>
      <c r="AN473" s="351"/>
      <c r="AO473" s="337">
        <f t="shared" si="301"/>
        <v>26.140738665667698</v>
      </c>
      <c r="AP473" s="730">
        <f t="shared" si="302"/>
        <v>-121.99277631651415</v>
      </c>
      <c r="AS473" s="351"/>
      <c r="AT473" s="351"/>
      <c r="AV473" s="405">
        <f t="shared" si="303"/>
        <v>0</v>
      </c>
      <c r="AW473" s="405">
        <f t="shared" si="287"/>
        <v>0</v>
      </c>
      <c r="AX473" s="405">
        <f t="shared" si="304"/>
        <v>0</v>
      </c>
      <c r="AY473" s="405">
        <f t="shared" si="305"/>
        <v>0</v>
      </c>
    </row>
    <row r="474" spans="2:51" ht="13.5" thickBot="1" x14ac:dyDescent="0.25">
      <c r="B474" s="345">
        <v>55274</v>
      </c>
      <c r="C474" s="728" t="str">
        <f t="shared" si="288"/>
        <v>2.16217503399043</v>
      </c>
      <c r="D474" s="728" t="str">
        <f t="shared" si="289"/>
        <v>1+42.2544421347337i</v>
      </c>
      <c r="E474" s="337">
        <f t="shared" si="307"/>
        <v>42.266273553716076</v>
      </c>
      <c r="F474" s="338">
        <f t="shared" si="308"/>
        <v>1.5471345928649689</v>
      </c>
      <c r="G474" s="338" t="str">
        <f t="shared" si="290"/>
        <v>1+0.173648392334522i</v>
      </c>
      <c r="H474" s="337">
        <f t="shared" si="309"/>
        <v>1.0149649078467513</v>
      </c>
      <c r="I474" s="338">
        <f t="shared" si="310"/>
        <v>0.17193392148300229</v>
      </c>
      <c r="J474" s="340">
        <f t="shared" si="291"/>
        <v>1</v>
      </c>
      <c r="K474" s="338">
        <f t="shared" si="311"/>
        <v>1</v>
      </c>
      <c r="L474" s="339">
        <f t="shared" si="312"/>
        <v>0</v>
      </c>
      <c r="M474" s="731" t="str">
        <f t="shared" si="292"/>
        <v>0.86421266328889+0.816371485910087i</v>
      </c>
      <c r="N474" s="338">
        <f t="shared" si="313"/>
        <v>1.1888338531501867</v>
      </c>
      <c r="O474" s="339">
        <f t="shared" si="314"/>
        <v>0.75693885615719059</v>
      </c>
      <c r="P474" s="732" t="str">
        <f t="shared" si="306"/>
        <v>-0.0232489100313845-0.0369721474011688i</v>
      </c>
      <c r="Q474" s="337">
        <f t="shared" si="315"/>
        <v>4.3674380374553269E-2</v>
      </c>
      <c r="R474" s="339">
        <f t="shared" si="316"/>
        <v>-2.1321395275391577</v>
      </c>
      <c r="S474" s="731" t="str">
        <f t="shared" si="293"/>
        <v>6000</v>
      </c>
      <c r="T474" s="337" t="str">
        <f t="shared" si="294"/>
        <v>1+350769.752515735i</v>
      </c>
      <c r="U474" s="346">
        <f t="shared" si="317"/>
        <v>350769.75251716049</v>
      </c>
      <c r="V474" s="347">
        <f t="shared" si="318"/>
        <v>1.5707934759219442</v>
      </c>
      <c r="W474" s="340" t="str">
        <f t="shared" si="295"/>
        <v>1+3472.96784669044i</v>
      </c>
      <c r="X474" s="337">
        <f t="shared" si="319"/>
        <v>3472.9679906595211</v>
      </c>
      <c r="Y474" s="339">
        <f t="shared" si="320"/>
        <v>1.5705083886346523</v>
      </c>
      <c r="Z474" s="337" t="str">
        <f t="shared" si="296"/>
        <v>1+34.9847892361352i</v>
      </c>
      <c r="AA474" s="346">
        <f t="shared" si="321"/>
        <v>34.999078243530946</v>
      </c>
      <c r="AB474" s="347">
        <f t="shared" si="322"/>
        <v>1.5422202567441978</v>
      </c>
      <c r="AC474" s="732" t="str">
        <f t="shared" si="323"/>
        <v>0.0480135023834753-1.69667814030013i</v>
      </c>
      <c r="AD474" s="337">
        <f t="shared" si="324"/>
        <v>1.697357360187723</v>
      </c>
      <c r="AE474" s="339">
        <f t="shared" si="325"/>
        <v>-1.5425053440314898</v>
      </c>
      <c r="AF474" s="736" t="str">
        <f t="shared" si="297"/>
        <v>-0.0638460958927225+0.0376707551486863i</v>
      </c>
      <c r="AG474" s="337">
        <f t="shared" si="326"/>
        <v>-22.599999197354951</v>
      </c>
      <c r="AH474" s="730">
        <f t="shared" si="327"/>
        <v>149.45835764960944</v>
      </c>
      <c r="AI474" s="360">
        <f t="shared" si="298"/>
        <v>-30.541642350390561</v>
      </c>
      <c r="AL474" s="337">
        <f t="shared" si="299"/>
        <v>4.5954657587712093</v>
      </c>
      <c r="AM474" s="730">
        <f t="shared" si="300"/>
        <v>-88.379046089379429</v>
      </c>
      <c r="AN474" s="351"/>
      <c r="AO474" s="337">
        <f t="shared" si="301"/>
        <v>26.076466242613293</v>
      </c>
      <c r="AP474" s="730">
        <f t="shared" si="302"/>
        <v>-122.16259626101115</v>
      </c>
      <c r="AS474" s="351"/>
      <c r="AT474" s="351"/>
      <c r="AV474" s="405">
        <f t="shared" si="303"/>
        <v>0</v>
      </c>
      <c r="AW474" s="405">
        <f t="shared" ref="AW474:AW537" si="328">IF(AV474&gt;0,AI474,0)</f>
        <v>0</v>
      </c>
      <c r="AX474" s="405">
        <f t="shared" si="304"/>
        <v>0</v>
      </c>
      <c r="AY474" s="405">
        <f t="shared" si="305"/>
        <v>0</v>
      </c>
    </row>
    <row r="475" spans="2:51" ht="13.5" thickBot="1" x14ac:dyDescent="0.25">
      <c r="B475" s="345">
        <v>55594</v>
      </c>
      <c r="C475" s="728" t="str">
        <f t="shared" si="288"/>
        <v>2.16217503399043</v>
      </c>
      <c r="D475" s="728" t="str">
        <f t="shared" si="289"/>
        <v>1+42.4990674826933i</v>
      </c>
      <c r="E475" s="337">
        <f t="shared" si="307"/>
        <v>42.510830818728053</v>
      </c>
      <c r="F475" s="338">
        <f t="shared" si="308"/>
        <v>1.5472707398114742</v>
      </c>
      <c r="G475" s="338" t="str">
        <f t="shared" si="290"/>
        <v>1+0.174653701983671i</v>
      </c>
      <c r="H475" s="337">
        <f t="shared" si="309"/>
        <v>1.0151373875572709</v>
      </c>
      <c r="I475" s="338">
        <f t="shared" si="310"/>
        <v>0.17290963892801189</v>
      </c>
      <c r="J475" s="340">
        <f t="shared" si="291"/>
        <v>1</v>
      </c>
      <c r="K475" s="338">
        <f t="shared" si="311"/>
        <v>1</v>
      </c>
      <c r="L475" s="339">
        <f t="shared" si="312"/>
        <v>0</v>
      </c>
      <c r="M475" s="731" t="str">
        <f t="shared" si="292"/>
        <v>0.862635873955555+0.821097738316124i</v>
      </c>
      <c r="N475" s="338">
        <f t="shared" si="313"/>
        <v>1.1909417059213763</v>
      </c>
      <c r="O475" s="339">
        <f t="shared" si="314"/>
        <v>0.76073291266363319</v>
      </c>
      <c r="P475" s="732" t="str">
        <f t="shared" si="306"/>
        <v>-0.0231865033236017-0.0366322839893875i</v>
      </c>
      <c r="Q475" s="337">
        <f t="shared" si="315"/>
        <v>4.3353640754318759E-2</v>
      </c>
      <c r="R475" s="339">
        <f t="shared" si="316"/>
        <v>-2.1350940135470955</v>
      </c>
      <c r="S475" s="731" t="str">
        <f t="shared" si="293"/>
        <v>6000</v>
      </c>
      <c r="T475" s="337" t="str">
        <f t="shared" si="294"/>
        <v>1+352800.478007015i</v>
      </c>
      <c r="U475" s="346">
        <f t="shared" si="317"/>
        <v>352800.47800843231</v>
      </c>
      <c r="V475" s="347">
        <f t="shared" si="318"/>
        <v>1.5707934923316169</v>
      </c>
      <c r="W475" s="340" t="str">
        <f t="shared" si="295"/>
        <v>1+3493.07403967342i</v>
      </c>
      <c r="X475" s="337">
        <f t="shared" si="319"/>
        <v>3493.074182813813</v>
      </c>
      <c r="Y475" s="339">
        <f t="shared" si="320"/>
        <v>1.5705100460114596</v>
      </c>
      <c r="Z475" s="337" t="str">
        <f t="shared" si="296"/>
        <v>1+35.1873280890419i</v>
      </c>
      <c r="AA475" s="346">
        <f t="shared" si="321"/>
        <v>35.201534881960427</v>
      </c>
      <c r="AB475" s="347">
        <f t="shared" si="322"/>
        <v>1.542384652325796</v>
      </c>
      <c r="AC475" s="732" t="str">
        <f t="shared" si="323"/>
        <v>0.0474628048724026-1.68692768279273i</v>
      </c>
      <c r="AD475" s="337">
        <f t="shared" si="324"/>
        <v>1.6875952491100481</v>
      </c>
      <c r="AE475" s="339">
        <f t="shared" si="325"/>
        <v>-1.5426680986459531</v>
      </c>
      <c r="AF475" s="736" t="str">
        <f t="shared" si="297"/>
        <v>-0.0628965104285441+0.0373752833767306i</v>
      </c>
      <c r="AG475" s="337">
        <f t="shared" si="326"/>
        <v>-22.714122627170088</v>
      </c>
      <c r="AH475" s="730">
        <f t="shared" si="327"/>
        <v>149.27975291821917</v>
      </c>
      <c r="AI475" s="360">
        <f t="shared" si="298"/>
        <v>-30.720247081780826</v>
      </c>
      <c r="AL475" s="337">
        <f t="shared" si="299"/>
        <v>4.5453658818598868</v>
      </c>
      <c r="AM475" s="730">
        <f t="shared" si="300"/>
        <v>-88.388371241884457</v>
      </c>
      <c r="AN475" s="351"/>
      <c r="AO475" s="337">
        <f t="shared" si="301"/>
        <v>26.012442689709459</v>
      </c>
      <c r="AP475" s="730">
        <f t="shared" si="302"/>
        <v>-122.33187583989638</v>
      </c>
      <c r="AS475" s="351"/>
      <c r="AT475" s="351"/>
      <c r="AV475" s="405">
        <f t="shared" si="303"/>
        <v>0</v>
      </c>
      <c r="AW475" s="405">
        <f t="shared" si="328"/>
        <v>0</v>
      </c>
      <c r="AX475" s="405">
        <f t="shared" si="304"/>
        <v>0</v>
      </c>
      <c r="AY475" s="405">
        <f t="shared" si="305"/>
        <v>0</v>
      </c>
    </row>
    <row r="476" spans="2:51" ht="13.5" thickBot="1" x14ac:dyDescent="0.25">
      <c r="B476" s="345">
        <v>55914</v>
      </c>
      <c r="C476" s="728" t="str">
        <f t="shared" si="288"/>
        <v>2.16217503399043</v>
      </c>
      <c r="D476" s="728" t="str">
        <f t="shared" si="289"/>
        <v>1+42.7436928306528i</v>
      </c>
      <c r="E476" s="337">
        <f t="shared" si="307"/>
        <v>42.755388862705942</v>
      </c>
      <c r="F476" s="338">
        <f t="shared" si="308"/>
        <v>1.5474053292570895</v>
      </c>
      <c r="G476" s="338" t="str">
        <f t="shared" si="290"/>
        <v>1+0.17565901163282i</v>
      </c>
      <c r="H476" s="337">
        <f t="shared" si="309"/>
        <v>1.0153108333745973</v>
      </c>
      <c r="I476" s="338">
        <f t="shared" si="310"/>
        <v>0.17388502393721153</v>
      </c>
      <c r="J476" s="340">
        <f t="shared" si="291"/>
        <v>1</v>
      </c>
      <c r="K476" s="338">
        <f t="shared" si="311"/>
        <v>1</v>
      </c>
      <c r="L476" s="339">
        <f t="shared" si="312"/>
        <v>0</v>
      </c>
      <c r="M476" s="731" t="str">
        <f t="shared" si="292"/>
        <v>0.8610499824+0.825823990722159i</v>
      </c>
      <c r="N476" s="338">
        <f t="shared" si="313"/>
        <v>1.1930600721855178</v>
      </c>
      <c r="O476" s="339">
        <f t="shared" si="314"/>
        <v>0.76451878936773565</v>
      </c>
      <c r="P476" s="732" t="str">
        <f t="shared" si="306"/>
        <v>-0.0231238719615092-0.0362963463739271i</v>
      </c>
      <c r="Q476" s="337">
        <f t="shared" si="315"/>
        <v>4.3036475396904451E-2</v>
      </c>
      <c r="R476" s="339">
        <f t="shared" si="316"/>
        <v>-2.1380390946876133</v>
      </c>
      <c r="S476" s="731" t="str">
        <f t="shared" si="293"/>
        <v>6000</v>
      </c>
      <c r="T476" s="337" t="str">
        <f t="shared" si="294"/>
        <v>1+354831.203498295i</v>
      </c>
      <c r="U476" s="346">
        <f t="shared" si="317"/>
        <v>354831.20349970413</v>
      </c>
      <c r="V476" s="347">
        <f t="shared" si="318"/>
        <v>1.5707935085534619</v>
      </c>
      <c r="W476" s="340" t="str">
        <f t="shared" si="295"/>
        <v>1+3513.18023265639i</v>
      </c>
      <c r="X476" s="337">
        <f t="shared" si="319"/>
        <v>3513.18037497758</v>
      </c>
      <c r="Y476" s="339">
        <f t="shared" si="320"/>
        <v>1.5705116844176858</v>
      </c>
      <c r="Z476" s="337" t="str">
        <f t="shared" si="296"/>
        <v>1+35.3898669419485i</v>
      </c>
      <c r="AA476" s="346">
        <f t="shared" si="321"/>
        <v>35.403992460862646</v>
      </c>
      <c r="AB476" s="347">
        <f t="shared" si="322"/>
        <v>1.5425471677208891</v>
      </c>
      <c r="AC476" s="732" t="str">
        <f t="shared" si="323"/>
        <v>0.0469215252704963-1.67728856436056i</v>
      </c>
      <c r="AD476" s="337">
        <f t="shared" si="324"/>
        <v>1.6779447421379581</v>
      </c>
      <c r="AE476" s="339">
        <f t="shared" si="325"/>
        <v>-1.5428289918566651</v>
      </c>
      <c r="AF476" s="736" t="str">
        <f t="shared" si="297"/>
        <v>-0.0619644540436515+0.0370823260711663i</v>
      </c>
      <c r="AG476" s="337">
        <f t="shared" si="326"/>
        <v>-22.827712983110402</v>
      </c>
      <c r="AH476" s="730">
        <f t="shared" si="327"/>
        <v>149.10179369661779</v>
      </c>
      <c r="AI476" s="360">
        <f t="shared" si="298"/>
        <v>-30.89820630338221</v>
      </c>
      <c r="AL476" s="337">
        <f t="shared" si="299"/>
        <v>4.4955530919547639</v>
      </c>
      <c r="AM476" s="730">
        <f t="shared" si="300"/>
        <v>-88.39758974381057</v>
      </c>
      <c r="AN476" s="351"/>
      <c r="AO476" s="337">
        <f t="shared" si="301"/>
        <v>25.948665123674278</v>
      </c>
      <c r="AP476" s="730">
        <f t="shared" si="302"/>
        <v>-122.50061655957168</v>
      </c>
      <c r="AS476" s="351"/>
      <c r="AT476" s="351"/>
      <c r="AV476" s="405">
        <f t="shared" si="303"/>
        <v>0</v>
      </c>
      <c r="AW476" s="405">
        <f t="shared" si="328"/>
        <v>0</v>
      </c>
      <c r="AX476" s="405">
        <f t="shared" si="304"/>
        <v>0</v>
      </c>
      <c r="AY476" s="405">
        <f t="shared" si="305"/>
        <v>0</v>
      </c>
    </row>
    <row r="477" spans="2:51" ht="13.5" thickBot="1" x14ac:dyDescent="0.25">
      <c r="B477" s="345">
        <v>56234</v>
      </c>
      <c r="C477" s="728" t="str">
        <f t="shared" si="288"/>
        <v>2.16217503399043</v>
      </c>
      <c r="D477" s="728" t="str">
        <f t="shared" si="289"/>
        <v>1+42.9883181786123i</v>
      </c>
      <c r="E477" s="337">
        <f t="shared" si="307"/>
        <v>42.999947672358964</v>
      </c>
      <c r="F477" s="338">
        <f t="shared" si="308"/>
        <v>1.5475383877713866</v>
      </c>
      <c r="G477" s="338" t="str">
        <f t="shared" si="290"/>
        <v>1+0.176664321281968i</v>
      </c>
      <c r="H477" s="337">
        <f t="shared" si="309"/>
        <v>1.015485244803694</v>
      </c>
      <c r="I477" s="338">
        <f t="shared" si="310"/>
        <v>0.17486007482550317</v>
      </c>
      <c r="J477" s="340">
        <f t="shared" si="291"/>
        <v>1</v>
      </c>
      <c r="K477" s="338">
        <f t="shared" si="311"/>
        <v>1</v>
      </c>
      <c r="L477" s="339">
        <f t="shared" si="312"/>
        <v>0</v>
      </c>
      <c r="M477" s="731" t="str">
        <f t="shared" si="292"/>
        <v>0.859454988622222+0.830550243128196i</v>
      </c>
      <c r="N477" s="338">
        <f t="shared" si="313"/>
        <v>1.1951889322730234</v>
      </c>
      <c r="O477" s="339">
        <f t="shared" si="314"/>
        <v>0.76829648406701634</v>
      </c>
      <c r="P477" s="732" t="str">
        <f t="shared" si="306"/>
        <v>-0.0230610252264623-0.0359642740267955i</v>
      </c>
      <c r="Q477" s="337">
        <f t="shared" si="315"/>
        <v>4.2722826343419368E-2</v>
      </c>
      <c r="R477" s="339">
        <f t="shared" si="316"/>
        <v>-2.1409747970129001</v>
      </c>
      <c r="S477" s="731" t="str">
        <f t="shared" si="293"/>
        <v>6000</v>
      </c>
      <c r="T477" s="337" t="str">
        <f t="shared" si="294"/>
        <v>1+356861.928989576i</v>
      </c>
      <c r="U477" s="346">
        <f t="shared" si="317"/>
        <v>356861.92899097712</v>
      </c>
      <c r="V477" s="347">
        <f t="shared" si="318"/>
        <v>1.5707935245906861</v>
      </c>
      <c r="W477" s="340" t="str">
        <f t="shared" si="295"/>
        <v>1+3533.28642563937i</v>
      </c>
      <c r="X477" s="337">
        <f t="shared" si="319"/>
        <v>3533.2865671506797</v>
      </c>
      <c r="Y477" s="339">
        <f t="shared" si="320"/>
        <v>1.5705133041771879</v>
      </c>
      <c r="Z477" s="337" t="str">
        <f t="shared" si="296"/>
        <v>1+35.5924057948552i</v>
      </c>
      <c r="AA477" s="346">
        <f t="shared" si="321"/>
        <v>35.606450964195275</v>
      </c>
      <c r="AB477" s="347">
        <f t="shared" si="322"/>
        <v>1.5427078349930756</v>
      </c>
      <c r="AC477" s="732" t="str">
        <f t="shared" si="323"/>
        <v>0.0463894501007925-1.66775889027391i</v>
      </c>
      <c r="AD477" s="337">
        <f t="shared" si="324"/>
        <v>1.668403937051312</v>
      </c>
      <c r="AE477" s="339">
        <f t="shared" si="325"/>
        <v>-1.542988055406574</v>
      </c>
      <c r="AF477" s="736" t="str">
        <f t="shared" si="297"/>
        <v>-0.0610495260194514+0.0367918669448861i</v>
      </c>
      <c r="AG477" s="337">
        <f t="shared" si="326"/>
        <v>-22.940776362324527</v>
      </c>
      <c r="AH477" s="730">
        <f t="shared" si="327"/>
        <v>148.92447667338803</v>
      </c>
      <c r="AI477" s="360">
        <f t="shared" si="298"/>
        <v>-31.075523326611972</v>
      </c>
      <c r="AL477" s="337">
        <f t="shared" si="299"/>
        <v>4.4460241202109794</v>
      </c>
      <c r="AM477" s="730">
        <f t="shared" si="300"/>
        <v>-88.406703413894718</v>
      </c>
      <c r="AN477" s="351"/>
      <c r="AO477" s="337">
        <f t="shared" si="301"/>
        <v>25.885130716203935</v>
      </c>
      <c r="AP477" s="730">
        <f t="shared" si="302"/>
        <v>-122.66881991271741</v>
      </c>
      <c r="AS477" s="351"/>
      <c r="AT477" s="351"/>
      <c r="AV477" s="405">
        <f t="shared" si="303"/>
        <v>0</v>
      </c>
      <c r="AW477" s="405">
        <f t="shared" si="328"/>
        <v>0</v>
      </c>
      <c r="AX477" s="405">
        <f t="shared" si="304"/>
        <v>0</v>
      </c>
      <c r="AY477" s="405">
        <f t="shared" si="305"/>
        <v>0</v>
      </c>
    </row>
    <row r="478" spans="2:51" ht="13.5" thickBot="1" x14ac:dyDescent="0.25">
      <c r="B478" s="345">
        <v>56561.5</v>
      </c>
      <c r="C478" s="728" t="str">
        <f t="shared" si="288"/>
        <v>2.16217503399043</v>
      </c>
      <c r="D478" s="728" t="str">
        <f t="shared" si="289"/>
        <v>1+43.2386769331646i</v>
      </c>
      <c r="E478" s="337">
        <f t="shared" si="307"/>
        <v>43.250239108363097</v>
      </c>
      <c r="F478" s="338">
        <f t="shared" si="308"/>
        <v>1.5476730067663425</v>
      </c>
      <c r="G478" s="338" t="str">
        <f t="shared" si="290"/>
        <v>1+0.177693192876019i</v>
      </c>
      <c r="H478" s="337">
        <f t="shared" si="309"/>
        <v>1.0156647433058184</v>
      </c>
      <c r="I478" s="338">
        <f t="shared" si="310"/>
        <v>0.17585763075532224</v>
      </c>
      <c r="J478" s="340">
        <f t="shared" si="291"/>
        <v>1</v>
      </c>
      <c r="K478" s="338">
        <f t="shared" si="311"/>
        <v>1</v>
      </c>
      <c r="L478" s="339">
        <f t="shared" si="312"/>
        <v>0</v>
      </c>
      <c r="M478" s="731" t="str">
        <f t="shared" si="292"/>
        <v>0.857813187455556+0.835387267074998i</v>
      </c>
      <c r="N478" s="338">
        <f t="shared" si="313"/>
        <v>1.197378532697031</v>
      </c>
      <c r="O478" s="339">
        <f t="shared" si="314"/>
        <v>0.77215424468358662</v>
      </c>
      <c r="P478" s="732" t="str">
        <f t="shared" si="306"/>
        <v>-0.02299649199175-0.0356283591419591i</v>
      </c>
      <c r="Q478" s="337">
        <f t="shared" si="315"/>
        <v>4.2405407898934808E-2</v>
      </c>
      <c r="R478" s="339">
        <f t="shared" si="316"/>
        <v>-2.1439696206946084</v>
      </c>
      <c r="S478" s="731" t="str">
        <f t="shared" si="293"/>
        <v>6000</v>
      </c>
      <c r="T478" s="337" t="str">
        <f t="shared" si="294"/>
        <v>1+358940.249609558i</v>
      </c>
      <c r="U478" s="346">
        <f t="shared" si="317"/>
        <v>358940.24961095105</v>
      </c>
      <c r="V478" s="347">
        <f t="shared" si="318"/>
        <v>1.5707935408158902</v>
      </c>
      <c r="W478" s="340" t="str">
        <f t="shared" si="295"/>
        <v>1+3553.86385752038i</v>
      </c>
      <c r="X478" s="337">
        <f t="shared" si="319"/>
        <v>3553.8639982123168</v>
      </c>
      <c r="Y478" s="339">
        <f t="shared" si="320"/>
        <v>1.5705149429226666</v>
      </c>
      <c r="Z478" s="337" t="str">
        <f t="shared" si="296"/>
        <v>1+35.7996916521269i</v>
      </c>
      <c r="AA478" s="346">
        <f t="shared" si="321"/>
        <v>35.813655529523437</v>
      </c>
      <c r="AB478" s="347">
        <f t="shared" si="322"/>
        <v>1.5428703869992664</v>
      </c>
      <c r="AC478" s="732" t="str">
        <f t="shared" si="323"/>
        <v>0.0458542185157979-1.65811725415032i</v>
      </c>
      <c r="AD478" s="337">
        <f t="shared" si="324"/>
        <v>1.6587511681583502</v>
      </c>
      <c r="AE478" s="339">
        <f t="shared" si="325"/>
        <v>-1.5431489848924898</v>
      </c>
      <c r="AF478" s="736" t="str">
        <f t="shared" si="297"/>
        <v>-0.0601304831992332+0.0364971695909956i</v>
      </c>
      <c r="AG478" s="337">
        <f t="shared" si="326"/>
        <v>-23.0559502644522</v>
      </c>
      <c r="AH478" s="730">
        <f t="shared" si="327"/>
        <v>148.74366533569807</v>
      </c>
      <c r="AI478" s="360">
        <f t="shared" si="298"/>
        <v>-31.256334664301932</v>
      </c>
      <c r="AL478" s="337">
        <f t="shared" si="299"/>
        <v>4.3956248343999142</v>
      </c>
      <c r="AM478" s="730">
        <f t="shared" si="300"/>
        <v>-88.415923994236891</v>
      </c>
      <c r="AN478" s="351"/>
      <c r="AO478" s="337">
        <f t="shared" si="301"/>
        <v>25.820356099887331</v>
      </c>
      <c r="AP478" s="730">
        <f t="shared" si="302"/>
        <v>-122.8404106700651</v>
      </c>
      <c r="AS478" s="351"/>
      <c r="AT478" s="351"/>
      <c r="AV478" s="405">
        <f t="shared" si="303"/>
        <v>0</v>
      </c>
      <c r="AW478" s="405">
        <f t="shared" si="328"/>
        <v>0</v>
      </c>
      <c r="AX478" s="405">
        <f t="shared" si="304"/>
        <v>0</v>
      </c>
      <c r="AY478" s="405">
        <f t="shared" si="305"/>
        <v>0</v>
      </c>
    </row>
    <row r="479" spans="2:51" ht="13.5" thickBot="1" x14ac:dyDescent="0.25">
      <c r="B479" s="345">
        <v>56889</v>
      </c>
      <c r="C479" s="728" t="str">
        <f t="shared" si="288"/>
        <v>2.16217503399043</v>
      </c>
      <c r="D479" s="728" t="str">
        <f t="shared" si="289"/>
        <v>1+43.4890356877169i</v>
      </c>
      <c r="E479" s="337">
        <f t="shared" si="307"/>
        <v>43.500531319140393</v>
      </c>
      <c r="F479" s="338">
        <f t="shared" si="308"/>
        <v>1.5478060766292354</v>
      </c>
      <c r="G479" s="338" t="str">
        <f t="shared" si="290"/>
        <v>1+0.17872206447007i</v>
      </c>
      <c r="H479" s="337">
        <f t="shared" si="309"/>
        <v>1.015845252156274</v>
      </c>
      <c r="I479" s="338">
        <f t="shared" si="310"/>
        <v>0.17685483315925962</v>
      </c>
      <c r="J479" s="340">
        <f t="shared" si="291"/>
        <v>1</v>
      </c>
      <c r="K479" s="338">
        <f t="shared" si="311"/>
        <v>1</v>
      </c>
      <c r="L479" s="339">
        <f t="shared" si="312"/>
        <v>0</v>
      </c>
      <c r="M479" s="731" t="str">
        <f t="shared" si="292"/>
        <v>0.8561618524+0.8402242910218i</v>
      </c>
      <c r="N479" s="338">
        <f t="shared" si="313"/>
        <v>1.1995790831487876</v>
      </c>
      <c r="O479" s="339">
        <f t="shared" si="314"/>
        <v>0.77600343180937748</v>
      </c>
      <c r="P479" s="732" t="str">
        <f t="shared" si="306"/>
        <v>-0.0229317522025097-0.0352963686428076i</v>
      </c>
      <c r="Q479" s="337">
        <f t="shared" si="315"/>
        <v>4.2091553766121302E-2</v>
      </c>
      <c r="R479" s="339">
        <f t="shared" si="316"/>
        <v>-2.1469546752793542</v>
      </c>
      <c r="S479" s="731" t="str">
        <f t="shared" si="293"/>
        <v>6000</v>
      </c>
      <c r="T479" s="337" t="str">
        <f t="shared" si="294"/>
        <v>1+361018.57022954i</v>
      </c>
      <c r="U479" s="346">
        <f t="shared" si="317"/>
        <v>361018.57023092493</v>
      </c>
      <c r="V479" s="347">
        <f t="shared" si="318"/>
        <v>1.5707935568542828</v>
      </c>
      <c r="W479" s="340" t="str">
        <f t="shared" si="295"/>
        <v>1+3574.44128940139i</v>
      </c>
      <c r="X479" s="337">
        <f t="shared" si="319"/>
        <v>3574.4414292833881</v>
      </c>
      <c r="Y479" s="339">
        <f t="shared" si="320"/>
        <v>1.5705165628002058</v>
      </c>
      <c r="Z479" s="337" t="str">
        <f t="shared" si="296"/>
        <v>1+36.0069775093985i</v>
      </c>
      <c r="AA479" s="346">
        <f t="shared" si="321"/>
        <v>36.020861030274247</v>
      </c>
      <c r="AB479" s="347">
        <f t="shared" si="322"/>
        <v>1.5430310688894664</v>
      </c>
      <c r="AC479" s="732" t="str">
        <f t="shared" si="323"/>
        <v>0.045328194501958-1.64858637272852i</v>
      </c>
      <c r="AD479" s="337">
        <f t="shared" si="324"/>
        <v>1.6492094086449378</v>
      </c>
      <c r="AE479" s="339">
        <f t="shared" si="325"/>
        <v>-1.5433080629435434</v>
      </c>
      <c r="AF479" s="736" t="str">
        <f t="shared" si="297"/>
        <v>-0.0592285672754409+0.0362050535207907i</v>
      </c>
      <c r="AG479" s="337">
        <f t="shared" si="326"/>
        <v>-23.17058477327063</v>
      </c>
      <c r="AH479" s="730">
        <f t="shared" si="327"/>
        <v>148.56351980543744</v>
      </c>
      <c r="AI479" s="360">
        <f t="shared" si="298"/>
        <v>-31.436480194562563</v>
      </c>
      <c r="AL479" s="337">
        <f t="shared" si="299"/>
        <v>4.3455160752291908</v>
      </c>
      <c r="AM479" s="730">
        <f t="shared" si="300"/>
        <v>-88.425038495175443</v>
      </c>
      <c r="AN479" s="351"/>
      <c r="AO479" s="337">
        <f t="shared" si="301"/>
        <v>25.755830350239638</v>
      </c>
      <c r="AP479" s="730">
        <f t="shared" si="302"/>
        <v>-123.01144169938719</v>
      </c>
      <c r="AS479" s="351"/>
      <c r="AT479" s="351"/>
      <c r="AV479" s="405">
        <f t="shared" si="303"/>
        <v>0</v>
      </c>
      <c r="AW479" s="405">
        <f t="shared" si="328"/>
        <v>0</v>
      </c>
      <c r="AX479" s="405">
        <f t="shared" si="304"/>
        <v>0</v>
      </c>
      <c r="AY479" s="405">
        <f t="shared" si="305"/>
        <v>0</v>
      </c>
    </row>
    <row r="480" spans="2:51" ht="13.5" thickBot="1" x14ac:dyDescent="0.25">
      <c r="B480" s="345">
        <v>57216.5</v>
      </c>
      <c r="C480" s="728" t="str">
        <f t="shared" si="288"/>
        <v>2.16217503399043</v>
      </c>
      <c r="D480" s="728" t="str">
        <f t="shared" si="289"/>
        <v>1+43.7393944422693i</v>
      </c>
      <c r="E480" s="337">
        <f t="shared" si="307"/>
        <v>43.750824291393862</v>
      </c>
      <c r="F480" s="338">
        <f t="shared" si="308"/>
        <v>1.547937623942482</v>
      </c>
      <c r="G480" s="338" t="str">
        <f t="shared" si="290"/>
        <v>1+0.17975093606412i</v>
      </c>
      <c r="H480" s="337">
        <f t="shared" si="309"/>
        <v>1.0160267708165605</v>
      </c>
      <c r="I480" s="338">
        <f t="shared" si="310"/>
        <v>0.17785168024300765</v>
      </c>
      <c r="J480" s="340">
        <f t="shared" si="291"/>
        <v>1</v>
      </c>
      <c r="K480" s="338">
        <f t="shared" si="311"/>
        <v>1</v>
      </c>
      <c r="L480" s="339">
        <f t="shared" si="312"/>
        <v>0</v>
      </c>
      <c r="M480" s="731" t="str">
        <f t="shared" si="292"/>
        <v>0.854500983455556+0.845061314968603i</v>
      </c>
      <c r="N480" s="338">
        <f t="shared" si="313"/>
        <v>1.2017905627782974</v>
      </c>
      <c r="O480" s="339">
        <f t="shared" si="314"/>
        <v>0.77984404429879017</v>
      </c>
      <c r="P480" s="732" t="str">
        <f t="shared" si="306"/>
        <v>-0.0228668151717993-0.034968241717696i</v>
      </c>
      <c r="Q480" s="337">
        <f t="shared" si="315"/>
        <v>4.1781205881693331E-2</v>
      </c>
      <c r="R480" s="339">
        <f t="shared" si="316"/>
        <v>-2.1499299879982638</v>
      </c>
      <c r="S480" s="731" t="str">
        <f t="shared" si="293"/>
        <v>6000</v>
      </c>
      <c r="T480" s="337" t="str">
        <f t="shared" si="294"/>
        <v>1+363096.890849523i</v>
      </c>
      <c r="U480" s="346">
        <f t="shared" si="317"/>
        <v>363096.89085090009</v>
      </c>
      <c r="V480" s="347">
        <f t="shared" si="318"/>
        <v>1.5707935727090721</v>
      </c>
      <c r="W480" s="340" t="str">
        <f t="shared" si="295"/>
        <v>1+3595.01872128241i</v>
      </c>
      <c r="X480" s="337">
        <f t="shared" si="319"/>
        <v>3595.0188603637416</v>
      </c>
      <c r="Y480" s="339">
        <f t="shared" si="320"/>
        <v>1.5705181641337989</v>
      </c>
      <c r="Z480" s="337" t="str">
        <f t="shared" si="296"/>
        <v>1+36.2142633666703i</v>
      </c>
      <c r="AA480" s="346">
        <f t="shared" si="321"/>
        <v>36.22806745039761</v>
      </c>
      <c r="AB480" s="347">
        <f t="shared" si="322"/>
        <v>1.5431899127436901</v>
      </c>
      <c r="AC480" s="732" t="str">
        <f t="shared" si="323"/>
        <v>0.0448111681203957-1.63916434996801i</v>
      </c>
      <c r="AD480" s="337">
        <f t="shared" si="324"/>
        <v>1.6397767552305293</v>
      </c>
      <c r="AE480" s="339">
        <f t="shared" si="325"/>
        <v>-1.5434653213189635</v>
      </c>
      <c r="AF480" s="736" t="str">
        <f t="shared" si="297"/>
        <v>-0.0583433839037529+0.0359155004684347i</v>
      </c>
      <c r="AG480" s="337">
        <f t="shared" si="326"/>
        <v>-23.284686077936875</v>
      </c>
      <c r="AH480" s="730">
        <f t="shared" si="327"/>
        <v>148.38403670270765</v>
      </c>
      <c r="AI480" s="360">
        <f t="shared" si="298"/>
        <v>-31.615963297292353</v>
      </c>
      <c r="AL480" s="337">
        <f t="shared" si="299"/>
        <v>4.29569451496595</v>
      </c>
      <c r="AM480" s="730">
        <f t="shared" si="300"/>
        <v>-88.434048736380092</v>
      </c>
      <c r="AN480" s="351"/>
      <c r="AO480" s="337">
        <f t="shared" si="301"/>
        <v>25.691550605836618</v>
      </c>
      <c r="AP480" s="730">
        <f t="shared" si="302"/>
        <v>-123.1819145609122</v>
      </c>
      <c r="AS480" s="351"/>
      <c r="AT480" s="351"/>
      <c r="AV480" s="405">
        <f t="shared" si="303"/>
        <v>0</v>
      </c>
      <c r="AW480" s="405">
        <f t="shared" si="328"/>
        <v>0</v>
      </c>
      <c r="AX480" s="405">
        <f t="shared" si="304"/>
        <v>0</v>
      </c>
      <c r="AY480" s="405">
        <f t="shared" si="305"/>
        <v>0</v>
      </c>
    </row>
    <row r="481" spans="2:51" ht="13.5" thickBot="1" x14ac:dyDescent="0.25">
      <c r="B481" s="345">
        <v>57544</v>
      </c>
      <c r="C481" s="728" t="str">
        <f t="shared" si="288"/>
        <v>2.16217503399043</v>
      </c>
      <c r="D481" s="728" t="str">
        <f t="shared" si="289"/>
        <v>1+43.9897531968216i</v>
      </c>
      <c r="E481" s="337">
        <f t="shared" si="307"/>
        <v>44.0011180121287</v>
      </c>
      <c r="F481" s="338">
        <f t="shared" si="308"/>
        <v>1.5480676746838717</v>
      </c>
      <c r="G481" s="338" t="str">
        <f t="shared" si="290"/>
        <v>1+0.180779807658171i</v>
      </c>
      <c r="H481" s="337">
        <f t="shared" si="309"/>
        <v>1.0162092987455513</v>
      </c>
      <c r="I481" s="338">
        <f t="shared" si="310"/>
        <v>0.17884817021636468</v>
      </c>
      <c r="J481" s="340">
        <f t="shared" si="291"/>
        <v>1</v>
      </c>
      <c r="K481" s="338">
        <f t="shared" si="311"/>
        <v>1</v>
      </c>
      <c r="L481" s="339">
        <f t="shared" si="312"/>
        <v>0</v>
      </c>
      <c r="M481" s="731" t="str">
        <f t="shared" si="292"/>
        <v>0.852830580622223+0.849898338915405i</v>
      </c>
      <c r="N481" s="338">
        <f t="shared" si="313"/>
        <v>1.2040129508172255</v>
      </c>
      <c r="O481" s="339">
        <f t="shared" si="314"/>
        <v>0.78367608140624812</v>
      </c>
      <c r="P481" s="732" t="str">
        <f t="shared" si="306"/>
        <v>-0.0228016900091877-0.0346439188518106i</v>
      </c>
      <c r="Q481" s="337">
        <f t="shared" si="315"/>
        <v>4.1474307476869671E-2</v>
      </c>
      <c r="R481" s="339">
        <f t="shared" si="316"/>
        <v>-2.1528955858737548</v>
      </c>
      <c r="S481" s="731" t="str">
        <f t="shared" si="293"/>
        <v>6000</v>
      </c>
      <c r="T481" s="337" t="str">
        <f t="shared" si="294"/>
        <v>1+365175.211469505i</v>
      </c>
      <c r="U481" s="346">
        <f t="shared" si="317"/>
        <v>365175.2114708742</v>
      </c>
      <c r="V481" s="347">
        <f t="shared" si="318"/>
        <v>1.5707935883833928</v>
      </c>
      <c r="W481" s="340" t="str">
        <f t="shared" si="295"/>
        <v>1+3615.59615316342i</v>
      </c>
      <c r="X481" s="337">
        <f t="shared" si="319"/>
        <v>3615.5962914531979</v>
      </c>
      <c r="Y481" s="339">
        <f t="shared" si="320"/>
        <v>1.5705197472400627</v>
      </c>
      <c r="Z481" s="337" t="str">
        <f t="shared" si="296"/>
        <v>1+36.4215492239419i</v>
      </c>
      <c r="AA481" s="346">
        <f t="shared" si="321"/>
        <v>36.435274774207791</v>
      </c>
      <c r="AB481" s="347">
        <f t="shared" si="322"/>
        <v>1.5433469499125714</v>
      </c>
      <c r="AC481" s="732" t="str">
        <f t="shared" si="323"/>
        <v>0.0443029353802507-1.62984933282863i</v>
      </c>
      <c r="AD481" s="337">
        <f t="shared" si="324"/>
        <v>1.6304513478804687</v>
      </c>
      <c r="AE481" s="339">
        <f t="shared" si="325"/>
        <v>-1.5436207910559014</v>
      </c>
      <c r="AF481" s="736" t="str">
        <f t="shared" si="297"/>
        <v>-0.0574745498262303+0.0356284919506294i</v>
      </c>
      <c r="AG481" s="337">
        <f t="shared" si="326"/>
        <v>-23.39826025605246</v>
      </c>
      <c r="AH481" s="730">
        <f t="shared" si="327"/>
        <v>148.20521270094051</v>
      </c>
      <c r="AI481" s="360">
        <f t="shared" si="298"/>
        <v>-31.794787299059493</v>
      </c>
      <c r="AL481" s="337">
        <f t="shared" si="299"/>
        <v>4.2461568826826497</v>
      </c>
      <c r="AM481" s="730">
        <f t="shared" si="300"/>
        <v>-88.442956496148653</v>
      </c>
      <c r="AN481" s="351"/>
      <c r="AO481" s="337">
        <f t="shared" si="301"/>
        <v>25.627514060004316</v>
      </c>
      <c r="AP481" s="730">
        <f t="shared" si="302"/>
        <v>-123.35183080291073</v>
      </c>
      <c r="AS481" s="351"/>
      <c r="AT481" s="351"/>
      <c r="AV481" s="405">
        <f t="shared" si="303"/>
        <v>0</v>
      </c>
      <c r="AW481" s="405">
        <f t="shared" si="328"/>
        <v>0</v>
      </c>
      <c r="AX481" s="405">
        <f t="shared" si="304"/>
        <v>0</v>
      </c>
      <c r="AY481" s="405">
        <f t="shared" si="305"/>
        <v>0</v>
      </c>
    </row>
    <row r="482" spans="2:51" ht="13.5" thickBot="1" x14ac:dyDescent="0.25">
      <c r="B482" s="345">
        <v>57879</v>
      </c>
      <c r="C482" s="728" t="str">
        <f t="shared" si="288"/>
        <v>2.16217503399043</v>
      </c>
      <c r="D482" s="728" t="str">
        <f t="shared" si="289"/>
        <v>1+44.2458453579667i</v>
      </c>
      <c r="E482" s="337">
        <f t="shared" si="307"/>
        <v>44.257144411282383</v>
      </c>
      <c r="F482" s="338">
        <f t="shared" si="308"/>
        <v>1.5481991817794623</v>
      </c>
      <c r="G482" s="338" t="str">
        <f t="shared" si="290"/>
        <v>1+0.181832241197124i</v>
      </c>
      <c r="H482" s="337">
        <f t="shared" si="309"/>
        <v>1.016397050339467</v>
      </c>
      <c r="I482" s="338">
        <f t="shared" si="310"/>
        <v>0.17986710923761756</v>
      </c>
      <c r="J482" s="340">
        <f t="shared" si="291"/>
        <v>1</v>
      </c>
      <c r="K482" s="338">
        <f t="shared" si="311"/>
        <v>1</v>
      </c>
      <c r="L482" s="339">
        <f t="shared" si="312"/>
        <v>0</v>
      </c>
      <c r="M482" s="731" t="str">
        <f t="shared" si="292"/>
        <v>0.8511120604+0.854846134402974i</v>
      </c>
      <c r="N482" s="338">
        <f t="shared" si="313"/>
        <v>1.2062974976605236</v>
      </c>
      <c r="O482" s="339">
        <f t="shared" si="314"/>
        <v>0.78758700252082814</v>
      </c>
      <c r="P482" s="732" t="str">
        <f t="shared" si="306"/>
        <v>-0.0227348880758604-0.0343160437517322i</v>
      </c>
      <c r="Q482" s="337">
        <f t="shared" si="315"/>
        <v>4.1163891878595468E-2</v>
      </c>
      <c r="R482" s="339">
        <f t="shared" si="316"/>
        <v>-2.1559190750626724</v>
      </c>
      <c r="S482" s="731" t="str">
        <f t="shared" si="293"/>
        <v>6000</v>
      </c>
      <c r="T482" s="337" t="str">
        <f t="shared" si="294"/>
        <v>1+367301.12721819i</v>
      </c>
      <c r="U482" s="346">
        <f t="shared" si="317"/>
        <v>367301.12721955124</v>
      </c>
      <c r="V482" s="347">
        <f t="shared" si="318"/>
        <v>1.5707936042331458</v>
      </c>
      <c r="W482" s="340" t="str">
        <f t="shared" si="295"/>
        <v>1+3636.64482394247i</v>
      </c>
      <c r="X482" s="337">
        <f t="shared" si="319"/>
        <v>3636.6449614318353</v>
      </c>
      <c r="Y482" s="339">
        <f t="shared" si="320"/>
        <v>1.5705213480649938</v>
      </c>
      <c r="Z482" s="337" t="str">
        <f t="shared" si="296"/>
        <v>1+36.6335820855786i</v>
      </c>
      <c r="AA482" s="346">
        <f t="shared" si="321"/>
        <v>36.647228222893283</v>
      </c>
      <c r="AB482" s="347">
        <f t="shared" si="322"/>
        <v>1.5435057460720385</v>
      </c>
      <c r="AC482" s="732" t="str">
        <f t="shared" si="323"/>
        <v>0.0437919551032617-1.62042981612652i</v>
      </c>
      <c r="AD482" s="337">
        <f t="shared" si="324"/>
        <v>1.6210214447451317</v>
      </c>
      <c r="AE482" s="339">
        <f t="shared" si="325"/>
        <v>-1.5437780022401906</v>
      </c>
      <c r="AF482" s="736" t="str">
        <f t="shared" si="297"/>
        <v>-0.0566023456647048+0.0353375238571261i</v>
      </c>
      <c r="AG482" s="337">
        <f t="shared" si="326"/>
        <v>-23.513896219104822</v>
      </c>
      <c r="AH482" s="730">
        <f t="shared" si="327"/>
        <v>148.02297199366006</v>
      </c>
      <c r="AI482" s="360">
        <f t="shared" si="298"/>
        <v>-31.977028006339935</v>
      </c>
      <c r="AL482" s="337">
        <f t="shared" si="299"/>
        <v>4.1957752047170285</v>
      </c>
      <c r="AM482" s="730">
        <f t="shared" si="300"/>
        <v>-88.451964033500673</v>
      </c>
      <c r="AN482" s="351"/>
      <c r="AO482" s="337">
        <f t="shared" si="301"/>
        <v>25.562259774917564</v>
      </c>
      <c r="AP482" s="730">
        <f t="shared" si="302"/>
        <v>-123.52506397283923</v>
      </c>
      <c r="AS482" s="351"/>
      <c r="AT482" s="351"/>
      <c r="AV482" s="405">
        <f t="shared" si="303"/>
        <v>0</v>
      </c>
      <c r="AW482" s="405">
        <f t="shared" si="328"/>
        <v>0</v>
      </c>
      <c r="AX482" s="405">
        <f t="shared" si="304"/>
        <v>0</v>
      </c>
      <c r="AY482" s="405">
        <f t="shared" si="305"/>
        <v>0</v>
      </c>
    </row>
    <row r="483" spans="2:51" ht="13.5" thickBot="1" x14ac:dyDescent="0.25">
      <c r="B483" s="345">
        <v>58214</v>
      </c>
      <c r="C483" s="728" t="str">
        <f t="shared" si="288"/>
        <v>2.16217503399043</v>
      </c>
      <c r="D483" s="728" t="str">
        <f t="shared" si="289"/>
        <v>1+44.5019375191118i</v>
      </c>
      <c r="E483" s="337">
        <f t="shared" si="307"/>
        <v>44.51317156701969</v>
      </c>
      <c r="F483" s="338">
        <f t="shared" si="308"/>
        <v>1.5483291760941431</v>
      </c>
      <c r="G483" s="338" t="str">
        <f t="shared" si="290"/>
        <v>1+0.182884674736076i</v>
      </c>
      <c r="H483" s="337">
        <f t="shared" si="309"/>
        <v>1.0165858568037036</v>
      </c>
      <c r="I483" s="338">
        <f t="shared" si="310"/>
        <v>0.18088567082903476</v>
      </c>
      <c r="J483" s="340">
        <f t="shared" si="291"/>
        <v>1</v>
      </c>
      <c r="K483" s="338">
        <f t="shared" si="311"/>
        <v>1</v>
      </c>
      <c r="L483" s="339">
        <f t="shared" si="312"/>
        <v>0</v>
      </c>
      <c r="M483" s="731" t="str">
        <f t="shared" si="292"/>
        <v>0.849383564622223+0.859793929890542i</v>
      </c>
      <c r="N483" s="338">
        <f t="shared" si="313"/>
        <v>1.2085934145637962</v>
      </c>
      <c r="O483" s="339">
        <f t="shared" si="314"/>
        <v>0.79148895067256886</v>
      </c>
      <c r="P483" s="732" t="str">
        <f t="shared" si="306"/>
        <v>-0.0226679079472351-0.0339920269664436i</v>
      </c>
      <c r="Q483" s="337">
        <f t="shared" si="315"/>
        <v>4.0856969393137238E-2</v>
      </c>
      <c r="R483" s="339">
        <f t="shared" si="316"/>
        <v>-2.1589324559376761</v>
      </c>
      <c r="S483" s="731" t="str">
        <f t="shared" si="293"/>
        <v>6000</v>
      </c>
      <c r="T483" s="337" t="str">
        <f t="shared" si="294"/>
        <v>1+369427.042966874i</v>
      </c>
      <c r="U483" s="346">
        <f t="shared" si="317"/>
        <v>369427.04296822753</v>
      </c>
      <c r="V483" s="347">
        <f t="shared" si="318"/>
        <v>1.5707936199004799</v>
      </c>
      <c r="W483" s="340" t="str">
        <f t="shared" si="295"/>
        <v>1+3657.69349472152i</v>
      </c>
      <c r="X483" s="337">
        <f t="shared" si="319"/>
        <v>3657.6936314196851</v>
      </c>
      <c r="Y483" s="339">
        <f t="shared" si="320"/>
        <v>1.5705229304656176</v>
      </c>
      <c r="Z483" s="337" t="str">
        <f t="shared" si="296"/>
        <v>1+36.8456149472152i</v>
      </c>
      <c r="AA483" s="346">
        <f t="shared" si="321"/>
        <v>36.859182585055358</v>
      </c>
      <c r="AB483" s="347">
        <f t="shared" si="322"/>
        <v>1.5436627159584262</v>
      </c>
      <c r="AC483" s="732" t="str">
        <f t="shared" si="323"/>
        <v>0.0432897622683601-1.6111184725879i</v>
      </c>
      <c r="AD483" s="337">
        <f t="shared" si="324"/>
        <v>1.61169995229609</v>
      </c>
      <c r="AE483" s="339">
        <f t="shared" si="325"/>
        <v>-1.5439334053932887</v>
      </c>
      <c r="AF483" s="736" t="str">
        <f t="shared" si="297"/>
        <v>-0.0557464709125002+0.0350491784623155i</v>
      </c>
      <c r="AG483" s="337">
        <f t="shared" si="326"/>
        <v>-23.628993153636561</v>
      </c>
      <c r="AH483" s="730">
        <f t="shared" si="327"/>
        <v>147.84141404266137</v>
      </c>
      <c r="AI483" s="360">
        <f t="shared" si="298"/>
        <v>-32.15858595733863</v>
      </c>
      <c r="AL483" s="337">
        <f t="shared" si="299"/>
        <v>4.1456838611546107</v>
      </c>
      <c r="AM483" s="730">
        <f t="shared" si="300"/>
        <v>-88.460867978296221</v>
      </c>
      <c r="AN483" s="351"/>
      <c r="AO483" s="337">
        <f t="shared" si="301"/>
        <v>25.497254183948282</v>
      </c>
      <c r="AP483" s="730">
        <f t="shared" si="302"/>
        <v>-123.69771797904244</v>
      </c>
      <c r="AS483" s="351"/>
      <c r="AT483" s="351"/>
      <c r="AV483" s="405">
        <f t="shared" si="303"/>
        <v>0</v>
      </c>
      <c r="AW483" s="405">
        <f t="shared" si="328"/>
        <v>0</v>
      </c>
      <c r="AX483" s="405">
        <f t="shared" si="304"/>
        <v>0</v>
      </c>
      <c r="AY483" s="405">
        <f t="shared" si="305"/>
        <v>0</v>
      </c>
    </row>
    <row r="484" spans="2:51" ht="13.5" thickBot="1" x14ac:dyDescent="0.25">
      <c r="B484" s="345">
        <v>58549</v>
      </c>
      <c r="C484" s="728" t="str">
        <f t="shared" si="288"/>
        <v>2.16217503399043</v>
      </c>
      <c r="D484" s="728" t="str">
        <f t="shared" si="289"/>
        <v>1+44.7580296802571i</v>
      </c>
      <c r="E484" s="337">
        <f t="shared" si="307"/>
        <v>44.769199466360533</v>
      </c>
      <c r="F484" s="338">
        <f t="shared" si="308"/>
        <v>1.5484576835775401</v>
      </c>
      <c r="G484" s="338" t="str">
        <f t="shared" si="290"/>
        <v>1+0.183937108275029i</v>
      </c>
      <c r="H484" s="337">
        <f t="shared" si="309"/>
        <v>1.0167757175506207</v>
      </c>
      <c r="I484" s="338">
        <f t="shared" si="310"/>
        <v>0.18190385308801618</v>
      </c>
      <c r="J484" s="340">
        <f t="shared" si="291"/>
        <v>1</v>
      </c>
      <c r="K484" s="338">
        <f t="shared" si="311"/>
        <v>1</v>
      </c>
      <c r="L484" s="339">
        <f t="shared" si="312"/>
        <v>0</v>
      </c>
      <c r="M484" s="731" t="str">
        <f t="shared" si="292"/>
        <v>0.847645093288888+0.864741725378113i</v>
      </c>
      <c r="N484" s="338">
        <f t="shared" si="313"/>
        <v>1.2109006795714681</v>
      </c>
      <c r="O484" s="339">
        <f t="shared" si="314"/>
        <v>0.79538192633027727</v>
      </c>
      <c r="P484" s="732" t="str">
        <f t="shared" si="306"/>
        <v>-0.0226007587458983-0.0336718087762653i</v>
      </c>
      <c r="Q484" s="337">
        <f t="shared" si="315"/>
        <v>4.0553483230860395E-2</v>
      </c>
      <c r="R484" s="339">
        <f t="shared" si="316"/>
        <v>-2.1619357568198008</v>
      </c>
      <c r="S484" s="731" t="str">
        <f t="shared" si="293"/>
        <v>6000</v>
      </c>
      <c r="T484" s="337" t="str">
        <f t="shared" si="294"/>
        <v>1+371552.958715559i</v>
      </c>
      <c r="U484" s="346">
        <f t="shared" si="317"/>
        <v>371552.95871690474</v>
      </c>
      <c r="V484" s="347">
        <f t="shared" si="318"/>
        <v>1.5707936353885263</v>
      </c>
      <c r="W484" s="340" t="str">
        <f t="shared" si="295"/>
        <v>1+3678.74216550058i</v>
      </c>
      <c r="X484" s="337">
        <f t="shared" si="319"/>
        <v>3678.7423014165988</v>
      </c>
      <c r="Y484" s="339">
        <f t="shared" si="320"/>
        <v>1.5705244947581893</v>
      </c>
      <c r="Z484" s="337" t="str">
        <f t="shared" si="296"/>
        <v>1+37.057647808852i</v>
      </c>
      <c r="AA484" s="346">
        <f t="shared" si="321"/>
        <v>37.07113784502593</v>
      </c>
      <c r="AB484" s="347">
        <f t="shared" si="322"/>
        <v>1.5438178908892333</v>
      </c>
      <c r="AC484" s="732" t="str">
        <f t="shared" si="323"/>
        <v>0.0427961565801224-1.60191345081354i</v>
      </c>
      <c r="AD484" s="337">
        <f t="shared" si="324"/>
        <v>1.6024850123840078</v>
      </c>
      <c r="AE484" s="339">
        <f t="shared" si="325"/>
        <v>-1.5440870315195703</v>
      </c>
      <c r="AF484" s="736" t="str">
        <f t="shared" si="297"/>
        <v>-0.0549065490020398+0.0347634354329212i</v>
      </c>
      <c r="AG484" s="337">
        <f t="shared" si="326"/>
        <v>-23.743557218826975</v>
      </c>
      <c r="AH484" s="730">
        <f t="shared" si="327"/>
        <v>147.66053544884886</v>
      </c>
      <c r="AI484" s="360">
        <f t="shared" si="298"/>
        <v>-32.339464551151138</v>
      </c>
      <c r="AL484" s="337">
        <f t="shared" si="299"/>
        <v>4.0958795273820199</v>
      </c>
      <c r="AM484" s="730">
        <f t="shared" si="300"/>
        <v>-88.469670106955093</v>
      </c>
      <c r="AN484" s="351"/>
      <c r="AO484" s="337">
        <f t="shared" si="301"/>
        <v>25.432494452530442</v>
      </c>
      <c r="AP484" s="730">
        <f t="shared" si="302"/>
        <v>-123.86979444419619</v>
      </c>
      <c r="AS484" s="351"/>
      <c r="AT484" s="351"/>
      <c r="AV484" s="405">
        <f t="shared" si="303"/>
        <v>0</v>
      </c>
      <c r="AW484" s="405">
        <f t="shared" si="328"/>
        <v>0</v>
      </c>
      <c r="AX484" s="405">
        <f t="shared" si="304"/>
        <v>0</v>
      </c>
      <c r="AY484" s="405">
        <f t="shared" si="305"/>
        <v>0</v>
      </c>
    </row>
    <row r="485" spans="2:51" ht="13.5" thickBot="1" x14ac:dyDescent="0.25">
      <c r="B485" s="345">
        <v>58884</v>
      </c>
      <c r="C485" s="728" t="str">
        <f t="shared" si="288"/>
        <v>2.16217503399043</v>
      </c>
      <c r="D485" s="728" t="str">
        <f t="shared" si="289"/>
        <v>1+45.0141218414022i</v>
      </c>
      <c r="E485" s="337">
        <f t="shared" si="307"/>
        <v>45.025228096619372</v>
      </c>
      <c r="F485" s="338">
        <f t="shared" si="308"/>
        <v>1.5485847295892439</v>
      </c>
      <c r="G485" s="338" t="str">
        <f t="shared" si="290"/>
        <v>1+0.184989541813981i</v>
      </c>
      <c r="H485" s="337">
        <f t="shared" si="309"/>
        <v>1.0169666319897357</v>
      </c>
      <c r="I485" s="338">
        <f t="shared" si="310"/>
        <v>0.18292165411652087</v>
      </c>
      <c r="J485" s="340">
        <f t="shared" si="291"/>
        <v>1</v>
      </c>
      <c r="K485" s="338">
        <f t="shared" si="311"/>
        <v>1</v>
      </c>
      <c r="L485" s="339">
        <f t="shared" si="312"/>
        <v>0</v>
      </c>
      <c r="M485" s="731" t="str">
        <f t="shared" si="292"/>
        <v>0.8458966464+0.869689520865681i</v>
      </c>
      <c r="N485" s="338">
        <f t="shared" si="313"/>
        <v>1.2132192708221974</v>
      </c>
      <c r="O485" s="339">
        <f t="shared" si="314"/>
        <v>0.79926593037888516</v>
      </c>
      <c r="P485" s="732" t="str">
        <f t="shared" si="306"/>
        <v>-0.0225334493936627-0.0333553307281394i</v>
      </c>
      <c r="Q485" s="337">
        <f t="shared" si="315"/>
        <v>4.0253377865221679E-2</v>
      </c>
      <c r="R485" s="339">
        <f t="shared" si="316"/>
        <v>-2.164929005851608</v>
      </c>
      <c r="S485" s="731" t="str">
        <f t="shared" si="293"/>
        <v>6000</v>
      </c>
      <c r="T485" s="337" t="str">
        <f t="shared" si="294"/>
        <v>1+373678.874464243i</v>
      </c>
      <c r="U485" s="346">
        <f t="shared" si="317"/>
        <v>373678.87446558103</v>
      </c>
      <c r="V485" s="347">
        <f t="shared" si="318"/>
        <v>1.570793650700345</v>
      </c>
      <c r="W485" s="340" t="str">
        <f t="shared" si="295"/>
        <v>1+3699.79083627963i</v>
      </c>
      <c r="X485" s="337">
        <f t="shared" si="319"/>
        <v>3699.790971422402</v>
      </c>
      <c r="Y485" s="339">
        <f t="shared" si="320"/>
        <v>1.5705260412517674</v>
      </c>
      <c r="Z485" s="337" t="str">
        <f t="shared" si="296"/>
        <v>1+37.2696806704886i</v>
      </c>
      <c r="AA485" s="346">
        <f t="shared" si="321"/>
        <v>37.283093987492393</v>
      </c>
      <c r="AB485" s="347">
        <f t="shared" si="322"/>
        <v>1.5439713014701424</v>
      </c>
      <c r="AC485" s="732" t="str">
        <f t="shared" si="323"/>
        <v>0.0423109434161777-1.59281294138356i</v>
      </c>
      <c r="AD485" s="337">
        <f t="shared" si="324"/>
        <v>1.5933748090677584</v>
      </c>
      <c r="AE485" s="339">
        <f t="shared" si="325"/>
        <v>-1.5442389109187202</v>
      </c>
      <c r="AF485" s="736" t="str">
        <f t="shared" si="297"/>
        <v>-0.0540822139501757+0.0344802742971713i</v>
      </c>
      <c r="AG485" s="337">
        <f t="shared" si="326"/>
        <v>-23.857594462733708</v>
      </c>
      <c r="AH485" s="730">
        <f t="shared" si="327"/>
        <v>147.48033286372836</v>
      </c>
      <c r="AI485" s="360">
        <f t="shared" si="298"/>
        <v>-32.519667136271636</v>
      </c>
      <c r="AL485" s="337">
        <f t="shared" si="299"/>
        <v>4.0463589355247214</v>
      </c>
      <c r="AM485" s="730">
        <f t="shared" si="300"/>
        <v>-88.47837215552137</v>
      </c>
      <c r="AN485" s="351"/>
      <c r="AO485" s="337">
        <f t="shared" si="301"/>
        <v>25.367977800481011</v>
      </c>
      <c r="AP485" s="730">
        <f t="shared" si="302"/>
        <v>-124.04129498075032</v>
      </c>
      <c r="AS485" s="351"/>
      <c r="AT485" s="351"/>
      <c r="AV485" s="405">
        <f t="shared" si="303"/>
        <v>0</v>
      </c>
      <c r="AW485" s="405">
        <f t="shared" si="328"/>
        <v>0</v>
      </c>
      <c r="AX485" s="405">
        <f t="shared" si="304"/>
        <v>0</v>
      </c>
      <c r="AY485" s="405">
        <f t="shared" si="305"/>
        <v>0</v>
      </c>
    </row>
    <row r="486" spans="2:51" ht="13.5" thickBot="1" x14ac:dyDescent="0.25">
      <c r="B486" s="345">
        <v>59227</v>
      </c>
      <c r="C486" s="728" t="str">
        <f t="shared" si="288"/>
        <v>2.16217503399043</v>
      </c>
      <c r="D486" s="728" t="str">
        <f t="shared" si="289"/>
        <v>1+45.2763296362462i</v>
      </c>
      <c r="E486" s="337">
        <f t="shared" si="307"/>
        <v>45.287371587784008</v>
      </c>
      <c r="F486" s="338">
        <f t="shared" si="308"/>
        <v>1.5487133211780071</v>
      </c>
      <c r="G486" s="338" t="str">
        <f t="shared" si="290"/>
        <v>1+0.186067108094163i</v>
      </c>
      <c r="H486" s="337">
        <f t="shared" si="309"/>
        <v>1.0171631966968353</v>
      </c>
      <c r="I486" s="338">
        <f t="shared" si="310"/>
        <v>0.18396336386862067</v>
      </c>
      <c r="J486" s="340">
        <f t="shared" si="291"/>
        <v>1</v>
      </c>
      <c r="K486" s="338">
        <f t="shared" si="311"/>
        <v>1</v>
      </c>
      <c r="L486" s="339">
        <f t="shared" si="312"/>
        <v>0</v>
      </c>
      <c r="M486" s="731" t="str">
        <f t="shared" si="292"/>
        <v>0.844096109822222+0.8747554726634i</v>
      </c>
      <c r="N486" s="338">
        <f t="shared" si="313"/>
        <v>1.2156049438742742</v>
      </c>
      <c r="O486" s="339">
        <f t="shared" si="314"/>
        <v>0.80323339258022408</v>
      </c>
      <c r="P486" s="732" t="str">
        <f t="shared" si="306"/>
        <v>-0.0224643758325481-0.0330351104266418i</v>
      </c>
      <c r="Q486" s="337">
        <f t="shared" si="315"/>
        <v>3.9949551968030739E-2</v>
      </c>
      <c r="R486" s="339">
        <f t="shared" si="316"/>
        <v>-2.1679833498896097</v>
      </c>
      <c r="S486" s="731" t="str">
        <f t="shared" si="293"/>
        <v>6000</v>
      </c>
      <c r="T486" s="337" t="str">
        <f t="shared" si="294"/>
        <v>1+375855.558350208i</v>
      </c>
      <c r="U486" s="346">
        <f t="shared" si="317"/>
        <v>375855.55835153826</v>
      </c>
      <c r="V486" s="347">
        <f t="shared" si="318"/>
        <v>1.5707936661983515</v>
      </c>
      <c r="W486" s="340" t="str">
        <f t="shared" si="295"/>
        <v>1+3721.34216188325i</v>
      </c>
      <c r="X486" s="337">
        <f t="shared" si="319"/>
        <v>3721.3422962433733</v>
      </c>
      <c r="Y486" s="339">
        <f t="shared" si="320"/>
        <v>1.5705276065503104</v>
      </c>
      <c r="Z486" s="337" t="str">
        <f t="shared" si="296"/>
        <v>1+37.4867770034479i</v>
      </c>
      <c r="AA486" s="346">
        <f t="shared" si="321"/>
        <v>37.500112667913818</v>
      </c>
      <c r="AB486" s="347">
        <f t="shared" si="322"/>
        <v>1.5441265787702831</v>
      </c>
      <c r="AC486" s="732" t="str">
        <f t="shared" si="323"/>
        <v>0.0418226411204347-1.5836015454071i</v>
      </c>
      <c r="AD486" s="337">
        <f t="shared" si="324"/>
        <v>1.5841537134779706</v>
      </c>
      <c r="AE486" s="339">
        <f t="shared" si="325"/>
        <v>-1.544392638418324</v>
      </c>
      <c r="AF486" s="736" t="str">
        <f t="shared" si="297"/>
        <v>-0.0532539714527634+0.0341930047172817i</v>
      </c>
      <c r="AG486" s="337">
        <f t="shared" si="326"/>
        <v>-23.973815343696398</v>
      </c>
      <c r="AH486" s="730">
        <f t="shared" si="327"/>
        <v>147.29652390424755</v>
      </c>
      <c r="AI486" s="360">
        <f t="shared" si="298"/>
        <v>-32.70347609575245</v>
      </c>
      <c r="AL486" s="337">
        <f t="shared" si="299"/>
        <v>3.9959463945189406</v>
      </c>
      <c r="AM486" s="730">
        <f t="shared" si="300"/>
        <v>-88.487180092443765</v>
      </c>
      <c r="AN486" s="351"/>
      <c r="AO486" s="337">
        <f t="shared" si="301"/>
        <v>25.302169460524091</v>
      </c>
      <c r="AP486" s="730">
        <f t="shared" si="302"/>
        <v>-124.21629600330884</v>
      </c>
      <c r="AS486" s="351"/>
      <c r="AT486" s="351"/>
      <c r="AV486" s="405">
        <f t="shared" si="303"/>
        <v>0</v>
      </c>
      <c r="AW486" s="405">
        <f t="shared" si="328"/>
        <v>0</v>
      </c>
      <c r="AX486" s="405">
        <f t="shared" si="304"/>
        <v>0</v>
      </c>
      <c r="AY486" s="405">
        <f t="shared" si="305"/>
        <v>0</v>
      </c>
    </row>
    <row r="487" spans="2:51" ht="13.5" thickBot="1" x14ac:dyDescent="0.25">
      <c r="B487" s="345">
        <v>59570</v>
      </c>
      <c r="C487" s="728" t="str">
        <f t="shared" si="288"/>
        <v>2.16217503399043</v>
      </c>
      <c r="D487" s="728" t="str">
        <f t="shared" si="289"/>
        <v>1+45.5385374310904i</v>
      </c>
      <c r="E487" s="337">
        <f t="shared" si="307"/>
        <v>45.549515819191996</v>
      </c>
      <c r="F487" s="338">
        <f t="shared" si="308"/>
        <v>1.5488404326414527</v>
      </c>
      <c r="G487" s="338" t="str">
        <f t="shared" si="290"/>
        <v>1+0.187144674374344i</v>
      </c>
      <c r="H487" s="337">
        <f t="shared" si="309"/>
        <v>1.0173608647607195</v>
      </c>
      <c r="I487" s="338">
        <f t="shared" si="310"/>
        <v>0.18500466995247866</v>
      </c>
      <c r="J487" s="340">
        <f t="shared" si="291"/>
        <v>1</v>
      </c>
      <c r="K487" s="338">
        <f t="shared" si="311"/>
        <v>1</v>
      </c>
      <c r="L487" s="339">
        <f t="shared" si="312"/>
        <v>0</v>
      </c>
      <c r="M487" s="731" t="str">
        <f t="shared" si="292"/>
        <v>0.842285115555555+0.87982142446112i</v>
      </c>
      <c r="N487" s="338">
        <f t="shared" si="313"/>
        <v>1.2180024445079036</v>
      </c>
      <c r="O487" s="339">
        <f t="shared" si="314"/>
        <v>0.80719145275194815</v>
      </c>
      <c r="P487" s="732" t="str">
        <f t="shared" si="306"/>
        <v>-0.0223951526863743-0.0327186909308771i</v>
      </c>
      <c r="Q487" s="337">
        <f t="shared" si="315"/>
        <v>3.9649156360208694E-2</v>
      </c>
      <c r="R487" s="339">
        <f t="shared" si="316"/>
        <v>-2.1710272154409216</v>
      </c>
      <c r="S487" s="731" t="str">
        <f t="shared" si="293"/>
        <v>6000</v>
      </c>
      <c r="T487" s="337" t="str">
        <f t="shared" si="294"/>
        <v>1+378032.242236175i</v>
      </c>
      <c r="U487" s="346">
        <f t="shared" si="317"/>
        <v>378032.24223749764</v>
      </c>
      <c r="V487" s="347">
        <f t="shared" si="318"/>
        <v>1.5707936815178851</v>
      </c>
      <c r="W487" s="340" t="str">
        <f t="shared" si="295"/>
        <v>1+3742.89348748688i</v>
      </c>
      <c r="X487" s="337">
        <f t="shared" si="319"/>
        <v>3742.8936210733668</v>
      </c>
      <c r="Y487" s="339">
        <f t="shared" si="320"/>
        <v>1.5705291538230903</v>
      </c>
      <c r="Z487" s="337" t="str">
        <f t="shared" si="296"/>
        <v>1+37.7038733364073i</v>
      </c>
      <c r="AA487" s="346">
        <f t="shared" si="321"/>
        <v>37.717132242097165</v>
      </c>
      <c r="AB487" s="347">
        <f t="shared" si="322"/>
        <v>1.5442800691824803</v>
      </c>
      <c r="AC487" s="732" t="str">
        <f t="shared" si="323"/>
        <v>0.0413427414458192-1.57449600375301i</v>
      </c>
      <c r="AD487" s="337">
        <f t="shared" si="324"/>
        <v>1.575038694161021</v>
      </c>
      <c r="AE487" s="339">
        <f t="shared" si="325"/>
        <v>-1.5445445968772753</v>
      </c>
      <c r="AF487" s="736" t="str">
        <f t="shared" si="297"/>
        <v>-0.0524413251258483+0.0339083980285339i</v>
      </c>
      <c r="AG487" s="337">
        <f t="shared" si="326"/>
        <v>-24.089496427637439</v>
      </c>
      <c r="AH487" s="730">
        <f t="shared" si="327"/>
        <v>147.11341667639292</v>
      </c>
      <c r="AI487" s="360">
        <f t="shared" si="298"/>
        <v>-32.886583323607084</v>
      </c>
      <c r="AL487" s="337">
        <f t="shared" si="299"/>
        <v>3.9458245524068696</v>
      </c>
      <c r="AM487" s="730">
        <f t="shared" si="300"/>
        <v>-88.495886670802989</v>
      </c>
      <c r="AN487" s="351"/>
      <c r="AO487" s="337">
        <f t="shared" si="301"/>
        <v>25.236610218695134</v>
      </c>
      <c r="AP487" s="730">
        <f t="shared" si="302"/>
        <v>-124.39069665280425</v>
      </c>
      <c r="AS487" s="351"/>
      <c r="AT487" s="351"/>
      <c r="AV487" s="405">
        <f t="shared" si="303"/>
        <v>0</v>
      </c>
      <c r="AW487" s="405">
        <f t="shared" si="328"/>
        <v>0</v>
      </c>
      <c r="AX487" s="405">
        <f t="shared" si="304"/>
        <v>0</v>
      </c>
      <c r="AY487" s="405">
        <f t="shared" si="305"/>
        <v>0</v>
      </c>
    </row>
    <row r="488" spans="2:51" ht="13.5" thickBot="1" x14ac:dyDescent="0.25">
      <c r="B488" s="345">
        <v>59913</v>
      </c>
      <c r="C488" s="728" t="str">
        <f t="shared" si="288"/>
        <v>2.16217503399043</v>
      </c>
      <c r="D488" s="728" t="str">
        <f t="shared" si="289"/>
        <v>1+45.8007452259345i</v>
      </c>
      <c r="E488" s="337">
        <f t="shared" si="307"/>
        <v>45.811660778135533</v>
      </c>
      <c r="F488" s="338">
        <f t="shared" si="308"/>
        <v>1.5489660893842991</v>
      </c>
      <c r="G488" s="338" t="str">
        <f t="shared" si="290"/>
        <v>1+0.188222240654526i</v>
      </c>
      <c r="H488" s="337">
        <f t="shared" si="309"/>
        <v>1.0175596355383847</v>
      </c>
      <c r="I488" s="338">
        <f t="shared" si="310"/>
        <v>0.18604557034578906</v>
      </c>
      <c r="J488" s="340">
        <f t="shared" si="291"/>
        <v>1</v>
      </c>
      <c r="K488" s="338">
        <f t="shared" si="311"/>
        <v>1</v>
      </c>
      <c r="L488" s="339">
        <f t="shared" si="312"/>
        <v>0</v>
      </c>
      <c r="M488" s="731" t="str">
        <f t="shared" si="292"/>
        <v>0.8404636636+0.884887376258841i</v>
      </c>
      <c r="N488" s="338">
        <f t="shared" si="313"/>
        <v>1.2204117495723277</v>
      </c>
      <c r="O488" s="339">
        <f t="shared" si="314"/>
        <v>0.81114011316390389</v>
      </c>
      <c r="P488" s="732" t="str">
        <f t="shared" si="306"/>
        <v>-0.022325788909863-0.0324060133985891i</v>
      </c>
      <c r="Q488" s="337">
        <f t="shared" si="315"/>
        <v>3.935213532754351E-2</v>
      </c>
      <c r="R488" s="339">
        <f t="shared" si="316"/>
        <v>-2.174060632202413</v>
      </c>
      <c r="S488" s="731" t="str">
        <f t="shared" si="293"/>
        <v>6000</v>
      </c>
      <c r="T488" s="337" t="str">
        <f t="shared" si="294"/>
        <v>1+380208.926122142i</v>
      </c>
      <c r="U488" s="346">
        <f t="shared" si="317"/>
        <v>380208.92612345709</v>
      </c>
      <c r="V488" s="347">
        <f t="shared" si="318"/>
        <v>1.5707936966620111</v>
      </c>
      <c r="W488" s="340" t="str">
        <f t="shared" si="295"/>
        <v>1+3764.44481309051i</v>
      </c>
      <c r="X488" s="337">
        <f t="shared" si="319"/>
        <v>3764.4449459122179</v>
      </c>
      <c r="Y488" s="339">
        <f t="shared" si="320"/>
        <v>1.5705306833796975</v>
      </c>
      <c r="Z488" s="337" t="str">
        <f t="shared" si="296"/>
        <v>1+37.9209696693666i</v>
      </c>
      <c r="AA488" s="346">
        <f t="shared" si="321"/>
        <v>37.934152694702711</v>
      </c>
      <c r="AB488" s="347">
        <f t="shared" si="322"/>
        <v>1.5444318033676789</v>
      </c>
      <c r="AC488" s="732" t="str">
        <f t="shared" si="323"/>
        <v>0.0408710527487815-1.56549450343728i</v>
      </c>
      <c r="AD488" s="337">
        <f t="shared" si="324"/>
        <v>1.5660279318215016</v>
      </c>
      <c r="AE488" s="339">
        <f t="shared" si="325"/>
        <v>-1.5446948166499923</v>
      </c>
      <c r="AF488" s="736" t="str">
        <f t="shared" si="297"/>
        <v>-0.0516439143499993+0.0336264319403001i</v>
      </c>
      <c r="AG488" s="337">
        <f t="shared" si="326"/>
        <v>-24.204643860966115</v>
      </c>
      <c r="AH488" s="730">
        <f t="shared" si="327"/>
        <v>146.9310077394791</v>
      </c>
      <c r="AI488" s="360">
        <f t="shared" si="298"/>
        <v>-33.068992260520901</v>
      </c>
      <c r="AL488" s="337">
        <f t="shared" si="299"/>
        <v>3.8959900781647421</v>
      </c>
      <c r="AM488" s="730">
        <f t="shared" si="300"/>
        <v>-88.504493629779091</v>
      </c>
      <c r="AN488" s="351"/>
      <c r="AO488" s="337">
        <f t="shared" si="301"/>
        <v>25.171297259608536</v>
      </c>
      <c r="AP488" s="730">
        <f t="shared" si="302"/>
        <v>-124.56449863074177</v>
      </c>
      <c r="AS488" s="351"/>
      <c r="AT488" s="351"/>
      <c r="AV488" s="405">
        <f t="shared" si="303"/>
        <v>0</v>
      </c>
      <c r="AW488" s="405">
        <f t="shared" si="328"/>
        <v>0</v>
      </c>
      <c r="AX488" s="405">
        <f t="shared" si="304"/>
        <v>0</v>
      </c>
      <c r="AY488" s="405">
        <f t="shared" si="305"/>
        <v>0</v>
      </c>
    </row>
    <row r="489" spans="2:51" ht="13.5" thickBot="1" x14ac:dyDescent="0.25">
      <c r="B489" s="345">
        <v>60256</v>
      </c>
      <c r="C489" s="728" t="str">
        <f t="shared" si="288"/>
        <v>2.16217503399043</v>
      </c>
      <c r="D489" s="728" t="str">
        <f t="shared" si="289"/>
        <v>1+46.0629530207786i</v>
      </c>
      <c r="E489" s="337">
        <f t="shared" si="307"/>
        <v>46.073806452196422</v>
      </c>
      <c r="F489" s="338">
        <f t="shared" si="308"/>
        <v>1.5490903162332716</v>
      </c>
      <c r="G489" s="338" t="str">
        <f t="shared" si="290"/>
        <v>1+0.189299806934706i</v>
      </c>
      <c r="H489" s="337">
        <f t="shared" si="309"/>
        <v>1.0177595083837423</v>
      </c>
      <c r="I489" s="338">
        <f t="shared" si="310"/>
        <v>0.18708606303133321</v>
      </c>
      <c r="J489" s="340">
        <f t="shared" si="291"/>
        <v>1</v>
      </c>
      <c r="K489" s="338">
        <f t="shared" si="311"/>
        <v>1</v>
      </c>
      <c r="L489" s="339">
        <f t="shared" si="312"/>
        <v>0</v>
      </c>
      <c r="M489" s="731" t="str">
        <f t="shared" si="292"/>
        <v>0.838631753955555+0.889953328056559i</v>
      </c>
      <c r="N489" s="338">
        <f t="shared" si="313"/>
        <v>1.2228328360252336</v>
      </c>
      <c r="O489" s="339">
        <f t="shared" si="314"/>
        <v>0.81507937651899265</v>
      </c>
      <c r="P489" s="732" t="str">
        <f t="shared" si="306"/>
        <v>-0.0222562932584572-0.0320970202297717i</v>
      </c>
      <c r="Q489" s="337">
        <f t="shared" si="315"/>
        <v>3.9058434393058061E-2</v>
      </c>
      <c r="R489" s="339">
        <f t="shared" si="316"/>
        <v>-2.1770836297209306</v>
      </c>
      <c r="S489" s="731" t="str">
        <f t="shared" si="293"/>
        <v>6000</v>
      </c>
      <c r="T489" s="337" t="str">
        <f t="shared" si="294"/>
        <v>1+382385.610008107i</v>
      </c>
      <c r="U489" s="346">
        <f t="shared" si="317"/>
        <v>382385.61000941455</v>
      </c>
      <c r="V489" s="347">
        <f t="shared" si="318"/>
        <v>1.5707937116337247</v>
      </c>
      <c r="W489" s="340" t="str">
        <f t="shared" si="295"/>
        <v>1+3785.99613869413i</v>
      </c>
      <c r="X489" s="337">
        <f t="shared" si="319"/>
        <v>3785.9962707597665</v>
      </c>
      <c r="Y489" s="339">
        <f t="shared" si="320"/>
        <v>1.5705321955226736</v>
      </c>
      <c r="Z489" s="337" t="str">
        <f t="shared" si="296"/>
        <v>1+38.1380660023259i</v>
      </c>
      <c r="AA489" s="346">
        <f t="shared" si="321"/>
        <v>38.15117401074005</v>
      </c>
      <c r="AB489" s="347">
        <f t="shared" si="322"/>
        <v>1.5445818112894971</v>
      </c>
      <c r="AC489" s="732" t="str">
        <f t="shared" si="323"/>
        <v>0.0404073888171986-1.55659527261424i</v>
      </c>
      <c r="AD489" s="337">
        <f t="shared" si="324"/>
        <v>1.55711964851646</v>
      </c>
      <c r="AE489" s="339">
        <f t="shared" si="325"/>
        <v>-1.5448433274005482</v>
      </c>
      <c r="AF489" s="736" t="str">
        <f t="shared" si="297"/>
        <v>-0.0508613886499903+0.0333470840957328i</v>
      </c>
      <c r="AG489" s="337">
        <f t="shared" si="326"/>
        <v>-24.319263679006795</v>
      </c>
      <c r="AH489" s="730">
        <f t="shared" si="327"/>
        <v>146.74929370097033</v>
      </c>
      <c r="AI489" s="360">
        <f t="shared" si="298"/>
        <v>-33.250706299029673</v>
      </c>
      <c r="AL489" s="337">
        <f t="shared" si="299"/>
        <v>3.8464396976567934</v>
      </c>
      <c r="AM489" s="730">
        <f t="shared" si="300"/>
        <v>-88.513002668998254</v>
      </c>
      <c r="AN489" s="351"/>
      <c r="AO489" s="337">
        <f t="shared" si="301"/>
        <v>25.106227822075837</v>
      </c>
      <c r="AP489" s="730">
        <f t="shared" si="302"/>
        <v>-124.73770363003135</v>
      </c>
      <c r="AS489" s="351"/>
      <c r="AT489" s="351"/>
      <c r="AV489" s="405">
        <f t="shared" si="303"/>
        <v>0</v>
      </c>
      <c r="AW489" s="405">
        <f t="shared" si="328"/>
        <v>0</v>
      </c>
      <c r="AX489" s="405">
        <f t="shared" si="304"/>
        <v>0</v>
      </c>
      <c r="AY489" s="405">
        <f t="shared" si="305"/>
        <v>0</v>
      </c>
    </row>
    <row r="490" spans="2:51" ht="13.5" thickBot="1" x14ac:dyDescent="0.25">
      <c r="B490" s="345">
        <v>60607</v>
      </c>
      <c r="C490" s="728" t="str">
        <f t="shared" si="288"/>
        <v>2.16217503399043</v>
      </c>
      <c r="D490" s="728" t="str">
        <f t="shared" si="289"/>
        <v>1+46.3312764493217i</v>
      </c>
      <c r="E490" s="337">
        <f t="shared" si="307"/>
        <v>46.342067038744311</v>
      </c>
      <c r="F490" s="338">
        <f t="shared" si="308"/>
        <v>1.5492159855057817</v>
      </c>
      <c r="G490" s="338" t="str">
        <f t="shared" si="290"/>
        <v>1+0.190402505956117i</v>
      </c>
      <c r="H490" s="337">
        <f t="shared" si="309"/>
        <v>1.0179651832328889</v>
      </c>
      <c r="I490" s="338">
        <f t="shared" si="310"/>
        <v>0.18815039958615706</v>
      </c>
      <c r="J490" s="340">
        <f t="shared" si="291"/>
        <v>1</v>
      </c>
      <c r="K490" s="338">
        <f t="shared" si="311"/>
        <v>1</v>
      </c>
      <c r="L490" s="339">
        <f t="shared" si="312"/>
        <v>0</v>
      </c>
      <c r="M490" s="731" t="str">
        <f t="shared" si="292"/>
        <v>0.836746291155556+0.89513743616443i</v>
      </c>
      <c r="N490" s="338">
        <f t="shared" si="313"/>
        <v>1.2253225638115082</v>
      </c>
      <c r="O490" s="339">
        <f t="shared" si="314"/>
        <v>0.81910079263173641</v>
      </c>
      <c r="P490" s="732" t="str">
        <f t="shared" si="306"/>
        <v>-0.0221850491234483-0.0317845756604048i</v>
      </c>
      <c r="Q490" s="337">
        <f t="shared" si="315"/>
        <v>3.8761264872573642E-2</v>
      </c>
      <c r="R490" s="339">
        <f t="shared" si="316"/>
        <v>-2.1801663785513621</v>
      </c>
      <c r="S490" s="731" t="str">
        <f t="shared" si="293"/>
        <v>6000</v>
      </c>
      <c r="T490" s="337" t="str">
        <f t="shared" si="294"/>
        <v>1+384613.062031355i</v>
      </c>
      <c r="U490" s="346">
        <f t="shared" si="317"/>
        <v>384613.06203265494</v>
      </c>
      <c r="V490" s="347">
        <f t="shared" si="318"/>
        <v>1.5707937267791958</v>
      </c>
      <c r="W490" s="340" t="str">
        <f t="shared" si="295"/>
        <v>1+3808.05011912233i</v>
      </c>
      <c r="X490" s="337">
        <f t="shared" si="319"/>
        <v>3808.0502504231213</v>
      </c>
      <c r="Y490" s="339">
        <f t="shared" si="320"/>
        <v>1.5705337252151559</v>
      </c>
      <c r="Z490" s="337" t="str">
        <f t="shared" si="296"/>
        <v>1+38.3602258066079i</v>
      </c>
      <c r="AA490" s="346">
        <f t="shared" si="321"/>
        <v>38.373257927024476</v>
      </c>
      <c r="AB490" s="347">
        <f t="shared" si="322"/>
        <v>1.544733561361618</v>
      </c>
      <c r="AC490" s="732" t="str">
        <f t="shared" si="323"/>
        <v>0.0399410294943482-1.5475925481778i</v>
      </c>
      <c r="AD490" s="337">
        <f t="shared" si="324"/>
        <v>1.5481078712455809</v>
      </c>
      <c r="AE490" s="339">
        <f t="shared" si="325"/>
        <v>-1.5449935629256581</v>
      </c>
      <c r="AF490" s="736" t="str">
        <f t="shared" si="297"/>
        <v>-0.0500756661404092+0.0330639080304894i</v>
      </c>
      <c r="AG490" s="337">
        <f t="shared" si="326"/>
        <v>-24.436016810789827</v>
      </c>
      <c r="AH490" s="730">
        <f t="shared" si="327"/>
        <v>146.56405734216605</v>
      </c>
      <c r="AI490" s="360">
        <f t="shared" si="298"/>
        <v>-33.435942657833948</v>
      </c>
      <c r="AL490" s="337">
        <f t="shared" si="299"/>
        <v>3.7960243757037206</v>
      </c>
      <c r="AM490" s="730">
        <f t="shared" si="300"/>
        <v>-88.521610530519993</v>
      </c>
      <c r="AN490" s="351"/>
      <c r="AO490" s="337">
        <f t="shared" si="301"/>
        <v>25.039890012245877</v>
      </c>
      <c r="AP490" s="730">
        <f t="shared" si="302"/>
        <v>-124.9143321273142</v>
      </c>
      <c r="AS490" s="351"/>
      <c r="AT490" s="351"/>
      <c r="AV490" s="405">
        <f t="shared" si="303"/>
        <v>0</v>
      </c>
      <c r="AW490" s="405">
        <f t="shared" si="328"/>
        <v>0</v>
      </c>
      <c r="AX490" s="405">
        <f t="shared" si="304"/>
        <v>0</v>
      </c>
      <c r="AY490" s="405">
        <f t="shared" si="305"/>
        <v>0</v>
      </c>
    </row>
    <row r="491" spans="2:51" ht="13.5" thickBot="1" x14ac:dyDescent="0.25">
      <c r="B491" s="345">
        <v>60958</v>
      </c>
      <c r="C491" s="728" t="str">
        <f t="shared" si="288"/>
        <v>2.16217503399043</v>
      </c>
      <c r="D491" s="728" t="str">
        <f t="shared" si="289"/>
        <v>1+46.5995998778648i</v>
      </c>
      <c r="E491" s="337">
        <f t="shared" si="307"/>
        <v>46.61032834873722</v>
      </c>
      <c r="F491" s="338">
        <f t="shared" si="308"/>
        <v>1.5493402082251531</v>
      </c>
      <c r="G491" s="338" t="str">
        <f t="shared" si="290"/>
        <v>1+0.191505204977527i</v>
      </c>
      <c r="H491" s="337">
        <f t="shared" si="309"/>
        <v>1.0181720107788685</v>
      </c>
      <c r="I491" s="338">
        <f t="shared" si="310"/>
        <v>0.18921430493531025</v>
      </c>
      <c r="J491" s="340">
        <f t="shared" si="291"/>
        <v>1</v>
      </c>
      <c r="K491" s="338">
        <f t="shared" si="311"/>
        <v>1</v>
      </c>
      <c r="L491" s="339">
        <f t="shared" si="312"/>
        <v>0</v>
      </c>
      <c r="M491" s="731" t="str">
        <f t="shared" si="292"/>
        <v>0.834849877155555+0.9003215442723i</v>
      </c>
      <c r="N491" s="338">
        <f t="shared" si="313"/>
        <v>1.2278245804949111</v>
      </c>
      <c r="O491" s="339">
        <f t="shared" si="314"/>
        <v>0.82311237531856096</v>
      </c>
      <c r="P491" s="732" t="str">
        <f t="shared" si="306"/>
        <v>-0.0221136848232766-0.03147587111663i</v>
      </c>
      <c r="Q491" s="337">
        <f t="shared" si="315"/>
        <v>3.8467460522029741E-2</v>
      </c>
      <c r="R491" s="339">
        <f t="shared" si="316"/>
        <v>-2.1832382786084041</v>
      </c>
      <c r="S491" s="731" t="str">
        <f t="shared" si="293"/>
        <v>6000</v>
      </c>
      <c r="T491" s="337" t="str">
        <f t="shared" si="294"/>
        <v>1+386840.514054604i</v>
      </c>
      <c r="U491" s="346">
        <f t="shared" si="317"/>
        <v>386840.51405589655</v>
      </c>
      <c r="V491" s="347">
        <f t="shared" si="318"/>
        <v>1.5707937417502498</v>
      </c>
      <c r="W491" s="340" t="str">
        <f t="shared" si="295"/>
        <v>1+3830.10409955053i</v>
      </c>
      <c r="X491" s="337">
        <f t="shared" si="319"/>
        <v>3830.1042300952822</v>
      </c>
      <c r="Y491" s="339">
        <f t="shared" si="320"/>
        <v>1.5705352372915082</v>
      </c>
      <c r="Z491" s="337" t="str">
        <f t="shared" si="296"/>
        <v>1+38.5823856108899i</v>
      </c>
      <c r="AA491" s="346">
        <f t="shared" si="321"/>
        <v>38.595342716802037</v>
      </c>
      <c r="AB491" s="347">
        <f t="shared" si="322"/>
        <v>1.5448835650408079</v>
      </c>
      <c r="AC491" s="732" t="str">
        <f t="shared" si="323"/>
        <v>0.0394826957236374-1.53869329223845i</v>
      </c>
      <c r="AD491" s="337">
        <f t="shared" si="324"/>
        <v>1.5391997696339503</v>
      </c>
      <c r="AE491" s="339">
        <f t="shared" si="325"/>
        <v>-1.5451420694995495</v>
      </c>
      <c r="AF491" s="736" t="str">
        <f t="shared" si="297"/>
        <v>-0.0493048196437264+0.0327834262623166i</v>
      </c>
      <c r="AG491" s="337">
        <f t="shared" si="326"/>
        <v>-24.552229871015943</v>
      </c>
      <c r="AH491" s="730">
        <f t="shared" si="327"/>
        <v>146.37954163389756</v>
      </c>
      <c r="AI491" s="360">
        <f t="shared" si="298"/>
        <v>-33.62045836610244</v>
      </c>
      <c r="AL491" s="337">
        <f t="shared" si="299"/>
        <v>3.7458997938914953</v>
      </c>
      <c r="AM491" s="730">
        <f t="shared" si="300"/>
        <v>-88.530119330433905</v>
      </c>
      <c r="AN491" s="351"/>
      <c r="AO491" s="337">
        <f t="shared" si="301"/>
        <v>24.973801533831978</v>
      </c>
      <c r="AP491" s="730">
        <f t="shared" si="302"/>
        <v>-125.09033903566846</v>
      </c>
      <c r="AS491" s="351"/>
      <c r="AT491" s="351"/>
      <c r="AV491" s="405">
        <f t="shared" si="303"/>
        <v>0</v>
      </c>
      <c r="AW491" s="405">
        <f t="shared" si="328"/>
        <v>0</v>
      </c>
      <c r="AX491" s="405">
        <f t="shared" si="304"/>
        <v>0</v>
      </c>
      <c r="AY491" s="405">
        <f t="shared" si="305"/>
        <v>0</v>
      </c>
    </row>
    <row r="492" spans="2:51" ht="13.5" thickBot="1" x14ac:dyDescent="0.25">
      <c r="B492" s="345">
        <v>61309</v>
      </c>
      <c r="C492" s="728" t="str">
        <f t="shared" si="288"/>
        <v>2.16217503399043</v>
      </c>
      <c r="D492" s="728" t="str">
        <f t="shared" si="289"/>
        <v>1+46.8679233064079i</v>
      </c>
      <c r="E492" s="337">
        <f t="shared" si="307"/>
        <v>46.8785903697555</v>
      </c>
      <c r="F492" s="338">
        <f t="shared" si="308"/>
        <v>1.5494630092211534</v>
      </c>
      <c r="G492" s="338" t="str">
        <f t="shared" si="290"/>
        <v>1+0.192607903998936i</v>
      </c>
      <c r="H492" s="337">
        <f t="shared" si="309"/>
        <v>1.0183799903193618</v>
      </c>
      <c r="I492" s="338">
        <f t="shared" si="310"/>
        <v>0.19027777693379888</v>
      </c>
      <c r="J492" s="340">
        <f t="shared" si="291"/>
        <v>1</v>
      </c>
      <c r="K492" s="338">
        <f t="shared" si="311"/>
        <v>1</v>
      </c>
      <c r="L492" s="339">
        <f t="shared" si="312"/>
        <v>0</v>
      </c>
      <c r="M492" s="731" t="str">
        <f t="shared" si="292"/>
        <v>0.832942511955556+0.905505652380171i</v>
      </c>
      <c r="N492" s="338">
        <f t="shared" si="313"/>
        <v>1.2303388617430853</v>
      </c>
      <c r="O492" s="339">
        <f t="shared" si="314"/>
        <v>0.82711412884447744</v>
      </c>
      <c r="P492" s="732" t="str">
        <f t="shared" si="306"/>
        <v>-0.022042209123947-0.0311708486909693i</v>
      </c>
      <c r="Q492" s="337">
        <f t="shared" si="315"/>
        <v>3.8176966762422535E-2</v>
      </c>
      <c r="R492" s="339">
        <f t="shared" si="316"/>
        <v>-2.186299361131832</v>
      </c>
      <c r="S492" s="731" t="str">
        <f t="shared" si="293"/>
        <v>6000</v>
      </c>
      <c r="T492" s="337" t="str">
        <f t="shared" si="294"/>
        <v>1+389067.966077852i</v>
      </c>
      <c r="U492" s="346">
        <f t="shared" si="317"/>
        <v>389067.96607913717</v>
      </c>
      <c r="V492" s="347">
        <f t="shared" si="318"/>
        <v>1.5707937565498824</v>
      </c>
      <c r="W492" s="340" t="str">
        <f t="shared" si="295"/>
        <v>1+3852.15807997873i</v>
      </c>
      <c r="X492" s="337">
        <f t="shared" si="319"/>
        <v>3852.1582097761011</v>
      </c>
      <c r="Y492" s="339">
        <f t="shared" si="320"/>
        <v>1.5705367320542929</v>
      </c>
      <c r="Z492" s="337" t="str">
        <f t="shared" si="296"/>
        <v>1+38.8045454151719i</v>
      </c>
      <c r="AA492" s="346">
        <f t="shared" si="321"/>
        <v>38.817428365080268</v>
      </c>
      <c r="AB492" s="347">
        <f t="shared" si="322"/>
        <v>1.5450318522951032</v>
      </c>
      <c r="AC492" s="732" t="str">
        <f t="shared" si="323"/>
        <v>0.0390322044478118-1.52989573241192i</v>
      </c>
      <c r="AD492" s="337">
        <f t="shared" si="324"/>
        <v>1.5303935654060563</v>
      </c>
      <c r="AE492" s="339">
        <f t="shared" si="325"/>
        <v>-1.5452888767906929</v>
      </c>
      <c r="AF492" s="736" t="str">
        <f t="shared" si="297"/>
        <v>-0.0485485044009789+0.0325056147327399i</v>
      </c>
      <c r="AG492" s="337">
        <f t="shared" si="326"/>
        <v>-24.667908982681922</v>
      </c>
      <c r="AH492" s="730">
        <f t="shared" si="327"/>
        <v>146.19574308637959</v>
      </c>
      <c r="AI492" s="360">
        <f t="shared" si="298"/>
        <v>-33.804256913620407</v>
      </c>
      <c r="AL492" s="337">
        <f t="shared" si="299"/>
        <v>3.696062620330975</v>
      </c>
      <c r="AM492" s="730">
        <f t="shared" si="300"/>
        <v>-88.538530768618173</v>
      </c>
      <c r="AN492" s="351"/>
      <c r="AO492" s="337">
        <f t="shared" si="301"/>
        <v>24.90795959572656</v>
      </c>
      <c r="AP492" s="730">
        <f t="shared" si="302"/>
        <v>-125.26572614500222</v>
      </c>
      <c r="AS492" s="351"/>
      <c r="AT492" s="351"/>
      <c r="AV492" s="405">
        <f t="shared" si="303"/>
        <v>0</v>
      </c>
      <c r="AW492" s="405">
        <f t="shared" si="328"/>
        <v>0</v>
      </c>
      <c r="AX492" s="405">
        <f t="shared" si="304"/>
        <v>0</v>
      </c>
      <c r="AY492" s="405">
        <f t="shared" si="305"/>
        <v>0</v>
      </c>
    </row>
    <row r="493" spans="2:51" ht="13.5" thickBot="1" x14ac:dyDescent="0.25">
      <c r="B493" s="345">
        <v>61660</v>
      </c>
      <c r="C493" s="728" t="str">
        <f t="shared" si="288"/>
        <v>2.16217503399043</v>
      </c>
      <c r="D493" s="728" t="str">
        <f t="shared" si="289"/>
        <v>1+47.136246734951i</v>
      </c>
      <c r="E493" s="337">
        <f t="shared" si="307"/>
        <v>47.146853089662073</v>
      </c>
      <c r="F493" s="338">
        <f t="shared" si="308"/>
        <v>1.5495844127586051</v>
      </c>
      <c r="G493" s="338" t="str">
        <f t="shared" si="290"/>
        <v>1+0.193710603020346i</v>
      </c>
      <c r="H493" s="337">
        <f t="shared" si="309"/>
        <v>1.0185891211487124</v>
      </c>
      <c r="I493" s="338">
        <f t="shared" si="310"/>
        <v>0.19134081344229897</v>
      </c>
      <c r="J493" s="340">
        <f t="shared" si="291"/>
        <v>1</v>
      </c>
      <c r="K493" s="338">
        <f t="shared" si="311"/>
        <v>1</v>
      </c>
      <c r="L493" s="339">
        <f t="shared" si="312"/>
        <v>0</v>
      </c>
      <c r="M493" s="731" t="str">
        <f t="shared" si="292"/>
        <v>0.831024195555556+0.910689760488041i</v>
      </c>
      <c r="N493" s="338">
        <f t="shared" si="313"/>
        <v>1.2328653833474783</v>
      </c>
      <c r="O493" s="339">
        <f t="shared" si="314"/>
        <v>0.8311060579225229</v>
      </c>
      <c r="P493" s="732" t="str">
        <f t="shared" si="306"/>
        <v>-0.0219706305937071-0.0308694516920556i</v>
      </c>
      <c r="Q493" s="337">
        <f t="shared" si="315"/>
        <v>3.7889730224076455E-2</v>
      </c>
      <c r="R493" s="339">
        <f t="shared" si="316"/>
        <v>-2.1893496572388313</v>
      </c>
      <c r="S493" s="731" t="str">
        <f t="shared" si="293"/>
        <v>6000</v>
      </c>
      <c r="T493" s="337" t="str">
        <f t="shared" si="294"/>
        <v>1+391295.4181011i</v>
      </c>
      <c r="U493" s="346">
        <f t="shared" si="317"/>
        <v>391295.41810237785</v>
      </c>
      <c r="V493" s="347">
        <f t="shared" si="318"/>
        <v>1.5707937711810209</v>
      </c>
      <c r="W493" s="340" t="str">
        <f t="shared" si="295"/>
        <v>1+3874.21206040693i</v>
      </c>
      <c r="X493" s="337">
        <f t="shared" si="319"/>
        <v>3874.2121894654292</v>
      </c>
      <c r="Y493" s="339">
        <f t="shared" si="320"/>
        <v>1.5705382097991825</v>
      </c>
      <c r="Z493" s="337" t="str">
        <f t="shared" si="296"/>
        <v>1+39.0267052194539i</v>
      </c>
      <c r="AA493" s="346">
        <f t="shared" si="321"/>
        <v>39.039514857207827</v>
      </c>
      <c r="AB493" s="347">
        <f t="shared" si="322"/>
        <v>1.5451784524109224</v>
      </c>
      <c r="AC493" s="732" t="str">
        <f t="shared" si="323"/>
        <v>0.0385893777981404-1.52119813653823i</v>
      </c>
      <c r="AD493" s="337">
        <f t="shared" si="324"/>
        <v>1.5216875207105538</v>
      </c>
      <c r="AE493" s="339">
        <f t="shared" si="325"/>
        <v>-1.5454340137927609</v>
      </c>
      <c r="AF493" s="736" t="str">
        <f t="shared" si="297"/>
        <v>-0.0478063853543558+0.0322304493839509i</v>
      </c>
      <c r="AG493" s="337">
        <f t="shared" si="326"/>
        <v>-24.783060158009281</v>
      </c>
      <c r="AH493" s="730">
        <f t="shared" si="327"/>
        <v>146.01265825551368</v>
      </c>
      <c r="AI493" s="360">
        <f t="shared" si="298"/>
        <v>-33.987341744486315</v>
      </c>
      <c r="AL493" s="337">
        <f t="shared" si="299"/>
        <v>3.6465095800443299</v>
      </c>
      <c r="AM493" s="730">
        <f t="shared" si="300"/>
        <v>-88.546846506287849</v>
      </c>
      <c r="AN493" s="351"/>
      <c r="AO493" s="337">
        <f t="shared" si="301"/>
        <v>24.842361460685844</v>
      </c>
      <c r="AP493" s="730">
        <f t="shared" si="302"/>
        <v>-125.44049523819837</v>
      </c>
      <c r="AS493" s="351"/>
      <c r="AT493" s="351"/>
      <c r="AV493" s="405">
        <f t="shared" si="303"/>
        <v>0</v>
      </c>
      <c r="AW493" s="405">
        <f t="shared" si="328"/>
        <v>0</v>
      </c>
      <c r="AX493" s="405">
        <f t="shared" si="304"/>
        <v>0</v>
      </c>
      <c r="AY493" s="405">
        <f t="shared" si="305"/>
        <v>0</v>
      </c>
    </row>
    <row r="494" spans="2:51" ht="13.5" thickBot="1" x14ac:dyDescent="0.25">
      <c r="B494" s="345">
        <v>62019</v>
      </c>
      <c r="C494" s="728" t="str">
        <f t="shared" si="288"/>
        <v>2.16217503399043</v>
      </c>
      <c r="D494" s="728" t="str">
        <f t="shared" si="289"/>
        <v>1+47.4106857971931i</v>
      </c>
      <c r="E494" s="337">
        <f t="shared" si="307"/>
        <v>47.421230770195834</v>
      </c>
      <c r="F494" s="338">
        <f t="shared" si="308"/>
        <v>1.5497071624463741</v>
      </c>
      <c r="G494" s="338" t="str">
        <f t="shared" si="290"/>
        <v>1+0.194838434782986i</v>
      </c>
      <c r="H494" s="337">
        <f t="shared" si="309"/>
        <v>1.0188042087018898</v>
      </c>
      <c r="I494" s="338">
        <f t="shared" si="310"/>
        <v>0.19242762598761035</v>
      </c>
      <c r="J494" s="340">
        <f t="shared" si="291"/>
        <v>1</v>
      </c>
      <c r="K494" s="338">
        <f t="shared" si="311"/>
        <v>1</v>
      </c>
      <c r="L494" s="339">
        <f t="shared" si="312"/>
        <v>0</v>
      </c>
      <c r="M494" s="731" t="str">
        <f t="shared" si="292"/>
        <v>0.8290508284+0.915992024906064i</v>
      </c>
      <c r="N494" s="338">
        <f t="shared" si="313"/>
        <v>1.2354621263973402</v>
      </c>
      <c r="O494" s="339">
        <f t="shared" si="314"/>
        <v>0.83517881363587676</v>
      </c>
      <c r="P494" s="732" t="str">
        <f t="shared" si="306"/>
        <v>-0.0218973229992738-0.0305648777098409i</v>
      </c>
      <c r="Q494" s="337">
        <f t="shared" si="315"/>
        <v>3.7599262013396674E-2</v>
      </c>
      <c r="R494" s="339">
        <f t="shared" si="316"/>
        <v>-2.1924583500946402</v>
      </c>
      <c r="S494" s="731" t="str">
        <f t="shared" si="293"/>
        <v>6000</v>
      </c>
      <c r="T494" s="337" t="str">
        <f t="shared" si="294"/>
        <v>1+393573.638261631i</v>
      </c>
      <c r="U494" s="346">
        <f t="shared" si="317"/>
        <v>393573.6382629014</v>
      </c>
      <c r="V494" s="347">
        <f t="shared" si="318"/>
        <v>1.5707937859743162</v>
      </c>
      <c r="W494" s="340" t="str">
        <f t="shared" si="295"/>
        <v>1+3896.76869565971i</v>
      </c>
      <c r="X494" s="337">
        <f t="shared" si="319"/>
        <v>3896.768823971147</v>
      </c>
      <c r="Y494" s="339">
        <f t="shared" si="320"/>
        <v>1.5705397039219091</v>
      </c>
      <c r="Z494" s="337" t="str">
        <f t="shared" si="296"/>
        <v>1+39.2539284950587i</v>
      </c>
      <c r="AA494" s="346">
        <f t="shared" si="321"/>
        <v>39.266664007720109</v>
      </c>
      <c r="AB494" s="347">
        <f t="shared" si="322"/>
        <v>1.5453266784144988</v>
      </c>
      <c r="AC494" s="732" t="str">
        <f t="shared" si="323"/>
        <v>0.0381442067491654-1.51240394787835i</v>
      </c>
      <c r="AD494" s="337">
        <f t="shared" si="324"/>
        <v>1.5128848872490406</v>
      </c>
      <c r="AE494" s="339">
        <f t="shared" si="325"/>
        <v>-1.5455807604669061</v>
      </c>
      <c r="AF494" s="736" t="str">
        <f t="shared" si="297"/>
        <v>-0.0470616977305199+0.031951724737442i</v>
      </c>
      <c r="AG494" s="337">
        <f t="shared" si="326"/>
        <v>-24.900295892174551</v>
      </c>
      <c r="AH494" s="730">
        <f t="shared" si="327"/>
        <v>145.82613530998725</v>
      </c>
      <c r="AI494" s="360">
        <f t="shared" si="298"/>
        <v>-34.173864690012749</v>
      </c>
      <c r="AL494" s="337">
        <f t="shared" si="299"/>
        <v>3.5961176915354658</v>
      </c>
      <c r="AM494" s="730">
        <f t="shared" si="300"/>
        <v>-88.555254471373956</v>
      </c>
      <c r="AN494" s="351"/>
      <c r="AO494" s="337">
        <f t="shared" si="301"/>
        <v>24.775517615029436</v>
      </c>
      <c r="AP494" s="730">
        <f t="shared" si="302"/>
        <v>-125.61861021863868</v>
      </c>
      <c r="AS494" s="351"/>
      <c r="AT494" s="351"/>
      <c r="AV494" s="405">
        <f t="shared" si="303"/>
        <v>0</v>
      </c>
      <c r="AW494" s="405">
        <f t="shared" si="328"/>
        <v>0</v>
      </c>
      <c r="AX494" s="405">
        <f t="shared" si="304"/>
        <v>0</v>
      </c>
      <c r="AY494" s="405">
        <f t="shared" si="305"/>
        <v>0</v>
      </c>
    </row>
    <row r="495" spans="2:51" ht="13.5" thickBot="1" x14ac:dyDescent="0.25">
      <c r="B495" s="345">
        <v>62378</v>
      </c>
      <c r="C495" s="728" t="str">
        <f t="shared" si="288"/>
        <v>2.16217503399043</v>
      </c>
      <c r="D495" s="728" t="str">
        <f t="shared" si="289"/>
        <v>1+47.6851248594352i</v>
      </c>
      <c r="E495" s="337">
        <f t="shared" si="307"/>
        <v>47.695609157027491</v>
      </c>
      <c r="F495" s="338">
        <f t="shared" si="308"/>
        <v>1.549828499852437</v>
      </c>
      <c r="G495" s="338" t="str">
        <f t="shared" si="290"/>
        <v>1+0.195966266545624i</v>
      </c>
      <c r="H495" s="337">
        <f t="shared" si="309"/>
        <v>1.0190204991185559</v>
      </c>
      <c r="I495" s="338">
        <f t="shared" si="310"/>
        <v>0.19351397845662668</v>
      </c>
      <c r="J495" s="340">
        <f t="shared" si="291"/>
        <v>1</v>
      </c>
      <c r="K495" s="338">
        <f t="shared" si="311"/>
        <v>1</v>
      </c>
      <c r="L495" s="339">
        <f t="shared" si="312"/>
        <v>0</v>
      </c>
      <c r="M495" s="731" t="str">
        <f t="shared" si="292"/>
        <v>0.827066005155556+0.921294289324085i</v>
      </c>
      <c r="N495" s="338">
        <f t="shared" si="313"/>
        <v>1.2380716233017945</v>
      </c>
      <c r="O495" s="339">
        <f t="shared" si="314"/>
        <v>0.83924130333852176</v>
      </c>
      <c r="P495" s="732" t="str">
        <f t="shared" si="306"/>
        <v>-0.0218239253511323-0.0302639800875051i</v>
      </c>
      <c r="Q495" s="337">
        <f t="shared" si="315"/>
        <v>3.7312091987299512E-2</v>
      </c>
      <c r="R495" s="339">
        <f t="shared" si="316"/>
        <v>-2.1955558247343316</v>
      </c>
      <c r="S495" s="731" t="str">
        <f t="shared" si="293"/>
        <v>6000</v>
      </c>
      <c r="T495" s="337" t="str">
        <f t="shared" si="294"/>
        <v>1+395851.858422161i</v>
      </c>
      <c r="U495" s="346">
        <f t="shared" si="317"/>
        <v>395851.85842342407</v>
      </c>
      <c r="V495" s="347">
        <f t="shared" si="318"/>
        <v>1.5707938005973339</v>
      </c>
      <c r="W495" s="340" t="str">
        <f t="shared" si="295"/>
        <v>1+3919.32533091248i</v>
      </c>
      <c r="X495" s="337">
        <f t="shared" si="319"/>
        <v>3919.3254584854549</v>
      </c>
      <c r="Y495" s="339">
        <f t="shared" si="320"/>
        <v>1.5705411808465843</v>
      </c>
      <c r="Z495" s="337" t="str">
        <f t="shared" si="296"/>
        <v>1+39.4811517706633i</v>
      </c>
      <c r="AA495" s="346">
        <f t="shared" si="321"/>
        <v>39.493814011034061</v>
      </c>
      <c r="AB495" s="347">
        <f t="shared" si="322"/>
        <v>1.5454731993675457</v>
      </c>
      <c r="AC495" s="732" t="str">
        <f t="shared" si="323"/>
        <v>0.0377066931813342-1.50371079049681i</v>
      </c>
      <c r="AD495" s="337">
        <f t="shared" si="324"/>
        <v>1.5041834782257155</v>
      </c>
      <c r="AE495" s="339">
        <f t="shared" si="325"/>
        <v>-1.5457258191182952</v>
      </c>
      <c r="AF495" s="736" t="str">
        <f t="shared" si="297"/>
        <v>-0.0463311814781895+0.031675717429889i</v>
      </c>
      <c r="AG495" s="337">
        <f t="shared" si="326"/>
        <v>-25.016991728801337</v>
      </c>
      <c r="AH495" s="730">
        <f t="shared" si="327"/>
        <v>145.64035183747768</v>
      </c>
      <c r="AI495" s="360">
        <f t="shared" si="298"/>
        <v>-34.359648162522319</v>
      </c>
      <c r="AL495" s="337">
        <f t="shared" si="299"/>
        <v>3.5460162825716894</v>
      </c>
      <c r="AM495" s="730">
        <f t="shared" si="300"/>
        <v>-88.563565719880415</v>
      </c>
      <c r="AN495" s="351"/>
      <c r="AO495" s="337">
        <f t="shared" si="301"/>
        <v>24.708923187366373</v>
      </c>
      <c r="AP495" s="730">
        <f t="shared" si="302"/>
        <v>-125.79608244264186</v>
      </c>
      <c r="AS495" s="351"/>
      <c r="AT495" s="351"/>
      <c r="AV495" s="405">
        <f t="shared" si="303"/>
        <v>0</v>
      </c>
      <c r="AW495" s="405">
        <f t="shared" si="328"/>
        <v>0</v>
      </c>
      <c r="AX495" s="405">
        <f t="shared" si="304"/>
        <v>0</v>
      </c>
      <c r="AY495" s="405">
        <f t="shared" si="305"/>
        <v>0</v>
      </c>
    </row>
    <row r="496" spans="2:51" ht="13.5" thickBot="1" x14ac:dyDescent="0.25">
      <c r="B496" s="345">
        <v>62737</v>
      </c>
      <c r="C496" s="728" t="str">
        <f t="shared" si="288"/>
        <v>2.16217503399043</v>
      </c>
      <c r="D496" s="728" t="str">
        <f t="shared" si="289"/>
        <v>1+47.9595639216773i</v>
      </c>
      <c r="E496" s="337">
        <f t="shared" si="307"/>
        <v>47.969988238037452</v>
      </c>
      <c r="F496" s="338">
        <f t="shared" si="308"/>
        <v>1.5499484492071274</v>
      </c>
      <c r="G496" s="338" t="str">
        <f t="shared" si="290"/>
        <v>1+0.197094098308263i</v>
      </c>
      <c r="H496" s="337">
        <f t="shared" si="309"/>
        <v>1.019237991632939</v>
      </c>
      <c r="I496" s="338">
        <f t="shared" si="310"/>
        <v>0.19459986857892292</v>
      </c>
      <c r="J496" s="340">
        <f t="shared" si="291"/>
        <v>1</v>
      </c>
      <c r="K496" s="338">
        <f t="shared" si="311"/>
        <v>1</v>
      </c>
      <c r="L496" s="339">
        <f t="shared" si="312"/>
        <v>0</v>
      </c>
      <c r="M496" s="731" t="str">
        <f t="shared" si="292"/>
        <v>0.825069725822222+0.926596553742107i</v>
      </c>
      <c r="N496" s="338">
        <f t="shared" si="313"/>
        <v>1.2406938485682542</v>
      </c>
      <c r="O496" s="339">
        <f t="shared" si="314"/>
        <v>0.8432935334837125</v>
      </c>
      <c r="P496" s="732" t="str">
        <f t="shared" si="306"/>
        <v>-0.021750446205627-0.0299667018995806i</v>
      </c>
      <c r="Q496" s="337">
        <f t="shared" si="315"/>
        <v>3.70281667502214E-2</v>
      </c>
      <c r="R496" s="339">
        <f t="shared" si="316"/>
        <v>-2.1986421141119172</v>
      </c>
      <c r="S496" s="731" t="str">
        <f t="shared" si="293"/>
        <v>6000</v>
      </c>
      <c r="T496" s="337" t="str">
        <f t="shared" si="294"/>
        <v>1+398130.078582691i</v>
      </c>
      <c r="U496" s="346">
        <f t="shared" si="317"/>
        <v>398130.07858394686</v>
      </c>
      <c r="V496" s="347">
        <f t="shared" si="318"/>
        <v>1.5707938150529968</v>
      </c>
      <c r="W496" s="340" t="str">
        <f t="shared" si="295"/>
        <v>1+3941.88196616526i</v>
      </c>
      <c r="X496" s="337">
        <f t="shared" si="319"/>
        <v>3941.8820930082243</v>
      </c>
      <c r="Y496" s="339">
        <f t="shared" si="320"/>
        <v>1.5705426408684455</v>
      </c>
      <c r="Z496" s="337" t="str">
        <f t="shared" si="296"/>
        <v>1+39.708375046268i</v>
      </c>
      <c r="AA496" s="346">
        <f t="shared" si="321"/>
        <v>39.720964852519373</v>
      </c>
      <c r="AB496" s="347">
        <f t="shared" si="322"/>
        <v>1.5456180445155496</v>
      </c>
      <c r="AC496" s="732" t="str">
        <f t="shared" si="323"/>
        <v>0.0372766625091564-1.49511693439615i</v>
      </c>
      <c r="AD496" s="337">
        <f t="shared" si="324"/>
        <v>1.4955815581525345</v>
      </c>
      <c r="AE496" s="339">
        <f t="shared" si="325"/>
        <v>-1.5458692187001009</v>
      </c>
      <c r="AF496" s="736" t="str">
        <f t="shared" si="297"/>
        <v>-0.045614507520695+0.0314024018194823i</v>
      </c>
      <c r="AG496" s="337">
        <f t="shared" si="326"/>
        <v>-25.133153757721587</v>
      </c>
      <c r="AH496" s="730">
        <f t="shared" si="327"/>
        <v>145.45530429096459</v>
      </c>
      <c r="AI496" s="360">
        <f t="shared" si="298"/>
        <v>-34.544695709035409</v>
      </c>
      <c r="AL496" s="337">
        <f t="shared" si="299"/>
        <v>3.496202025578778</v>
      </c>
      <c r="AM496" s="730">
        <f t="shared" si="300"/>
        <v>-88.571781910701816</v>
      </c>
      <c r="AN496" s="351"/>
      <c r="AO496" s="337">
        <f t="shared" si="301"/>
        <v>24.642575415439065</v>
      </c>
      <c r="AP496" s="730">
        <f t="shared" si="302"/>
        <v>-125.97291379833352</v>
      </c>
      <c r="AS496" s="351"/>
      <c r="AT496" s="351"/>
      <c r="AV496" s="405">
        <f t="shared" si="303"/>
        <v>0</v>
      </c>
      <c r="AW496" s="405">
        <f t="shared" si="328"/>
        <v>0</v>
      </c>
      <c r="AX496" s="405">
        <f t="shared" si="304"/>
        <v>0</v>
      </c>
      <c r="AY496" s="405">
        <f t="shared" si="305"/>
        <v>0</v>
      </c>
    </row>
    <row r="497" spans="2:51" ht="13.5" thickBot="1" x14ac:dyDescent="0.25">
      <c r="B497" s="345">
        <v>63096</v>
      </c>
      <c r="C497" s="728" t="str">
        <f t="shared" si="288"/>
        <v>2.16217503399043</v>
      </c>
      <c r="D497" s="728" t="str">
        <f t="shared" si="289"/>
        <v>1+48.2340029839194i</v>
      </c>
      <c r="E497" s="337">
        <f t="shared" si="307"/>
        <v>48.244368001381737</v>
      </c>
      <c r="F497" s="338">
        <f t="shared" si="308"/>
        <v>1.5500670341897198</v>
      </c>
      <c r="G497" s="338" t="str">
        <f t="shared" si="290"/>
        <v>1+0.198221930070901i</v>
      </c>
      <c r="H497" s="337">
        <f t="shared" si="309"/>
        <v>1.019456685475667</v>
      </c>
      <c r="I497" s="338">
        <f t="shared" si="310"/>
        <v>0.19568529409036275</v>
      </c>
      <c r="J497" s="340">
        <f t="shared" si="291"/>
        <v>1</v>
      </c>
      <c r="K497" s="338">
        <f t="shared" si="311"/>
        <v>1</v>
      </c>
      <c r="L497" s="339">
        <f t="shared" si="312"/>
        <v>0</v>
      </c>
      <c r="M497" s="731" t="str">
        <f t="shared" si="292"/>
        <v>0.823061990400001+0.931898818160128i</v>
      </c>
      <c r="N497" s="338">
        <f t="shared" si="313"/>
        <v>1.2433287768444252</v>
      </c>
      <c r="O497" s="339">
        <f t="shared" si="314"/>
        <v>0.84733551098544435</v>
      </c>
      <c r="P497" s="732" t="str">
        <f t="shared" si="306"/>
        <v>-0.0216768939228965-0.0296729874091821i</v>
      </c>
      <c r="Q497" s="337">
        <f t="shared" si="315"/>
        <v>3.6747434086341138E-2</v>
      </c>
      <c r="R497" s="339">
        <f t="shared" si="316"/>
        <v>-2.2017172510848018</v>
      </c>
      <c r="S497" s="731" t="str">
        <f t="shared" si="293"/>
        <v>6000</v>
      </c>
      <c r="T497" s="337" t="str">
        <f t="shared" si="294"/>
        <v>1+400408.298743221i</v>
      </c>
      <c r="U497" s="346">
        <f t="shared" si="317"/>
        <v>400408.29874446971</v>
      </c>
      <c r="V497" s="347">
        <f t="shared" si="318"/>
        <v>1.5707938293441617</v>
      </c>
      <c r="W497" s="340" t="str">
        <f t="shared" si="295"/>
        <v>1+3964.43860141803i</v>
      </c>
      <c r="X497" s="337">
        <f t="shared" si="319"/>
        <v>3964.4387275392901</v>
      </c>
      <c r="Y497" s="339">
        <f t="shared" si="320"/>
        <v>1.5705440842760106</v>
      </c>
      <c r="Z497" s="337" t="str">
        <f t="shared" si="296"/>
        <v>1+39.9355983218726i</v>
      </c>
      <c r="AA497" s="346">
        <f t="shared" si="321"/>
        <v>39.948116517877949</v>
      </c>
      <c r="AB497" s="347">
        <f t="shared" si="322"/>
        <v>1.5457612424391025</v>
      </c>
      <c r="AC497" s="732" t="str">
        <f t="shared" si="323"/>
        <v>0.036853945093441-1.48662068882797i</v>
      </c>
      <c r="AD497" s="337">
        <f t="shared" si="324"/>
        <v>1.4870774309767123</v>
      </c>
      <c r="AE497" s="339">
        <f t="shared" si="325"/>
        <v>-1.5460109875072536</v>
      </c>
      <c r="AF497" s="736" t="str">
        <f t="shared" si="297"/>
        <v>-0.0449113560402527+0.0311317523265709i</v>
      </c>
      <c r="AG497" s="337">
        <f t="shared" si="326"/>
        <v>-25.248787958557365</v>
      </c>
      <c r="AH497" s="730">
        <f t="shared" si="327"/>
        <v>145.27098916667717</v>
      </c>
      <c r="AI497" s="360">
        <f t="shared" si="298"/>
        <v>-34.729010833322832</v>
      </c>
      <c r="AL497" s="337">
        <f t="shared" si="299"/>
        <v>3.4466716497990211</v>
      </c>
      <c r="AM497" s="730">
        <f t="shared" si="300"/>
        <v>-88.579904665018276</v>
      </c>
      <c r="AN497" s="351"/>
      <c r="AO497" s="337">
        <f t="shared" si="301"/>
        <v>24.576471590383054</v>
      </c>
      <c r="AP497" s="730">
        <f t="shared" si="302"/>
        <v>-126.14910616830448</v>
      </c>
      <c r="AS497" s="351"/>
      <c r="AT497" s="351"/>
      <c r="AV497" s="405">
        <f t="shared" si="303"/>
        <v>0</v>
      </c>
      <c r="AW497" s="405">
        <f t="shared" si="328"/>
        <v>0</v>
      </c>
      <c r="AX497" s="405">
        <f t="shared" si="304"/>
        <v>0</v>
      </c>
      <c r="AY497" s="405">
        <f t="shared" si="305"/>
        <v>0</v>
      </c>
    </row>
    <row r="498" spans="2:51" ht="13.5" thickBot="1" x14ac:dyDescent="0.25">
      <c r="B498" s="345">
        <v>63463.25</v>
      </c>
      <c r="C498" s="728" t="str">
        <f t="shared" si="288"/>
        <v>2.16217503399043</v>
      </c>
      <c r="D498" s="728" t="str">
        <f t="shared" si="289"/>
        <v>1+48.5147487934136i</v>
      </c>
      <c r="E498" s="337">
        <f t="shared" si="307"/>
        <v>48.525053843226459</v>
      </c>
      <c r="F498" s="338">
        <f t="shared" si="308"/>
        <v>1.5501869566793707</v>
      </c>
      <c r="G498" s="338" t="str">
        <f t="shared" si="290"/>
        <v>1+0.199375679972933i</v>
      </c>
      <c r="H498" s="337">
        <f t="shared" si="309"/>
        <v>1.0196816472628452</v>
      </c>
      <c r="I498" s="338">
        <f t="shared" si="310"/>
        <v>0.19679518012115824</v>
      </c>
      <c r="J498" s="340">
        <f t="shared" si="291"/>
        <v>1</v>
      </c>
      <c r="K498" s="338">
        <f t="shared" si="311"/>
        <v>1</v>
      </c>
      <c r="L498" s="339">
        <f t="shared" si="312"/>
        <v>0</v>
      </c>
      <c r="M498" s="731" t="str">
        <f t="shared" si="292"/>
        <v>0.820996262197222+0.937322931272993i</v>
      </c>
      <c r="N498" s="338">
        <f t="shared" si="313"/>
        <v>1.246037375054218</v>
      </c>
      <c r="O498" s="339">
        <f t="shared" si="314"/>
        <v>0.85145977407412443</v>
      </c>
      <c r="P498" s="732" t="str">
        <f t="shared" si="306"/>
        <v>-0.0216015842101715-0.0293761537914242i</v>
      </c>
      <c r="Q498" s="337">
        <f t="shared" si="315"/>
        <v>3.6463500270359904E-2</v>
      </c>
      <c r="R498" s="339">
        <f t="shared" si="316"/>
        <v>-2.2048515506323358</v>
      </c>
      <c r="S498" s="731" t="str">
        <f t="shared" si="293"/>
        <v>6000</v>
      </c>
      <c r="T498" s="337" t="str">
        <f t="shared" si="294"/>
        <v>1+402738.873545324i</v>
      </c>
      <c r="U498" s="346">
        <f t="shared" si="317"/>
        <v>402738.87354656553</v>
      </c>
      <c r="V498" s="347">
        <f t="shared" si="318"/>
        <v>1.5707938437964435</v>
      </c>
      <c r="W498" s="340" t="str">
        <f t="shared" si="295"/>
        <v>1+3987.51359945865i</v>
      </c>
      <c r="X498" s="337">
        <f t="shared" si="319"/>
        <v>3987.51372485007</v>
      </c>
      <c r="Y498" s="339">
        <f t="shared" si="320"/>
        <v>1.5705455439563951</v>
      </c>
      <c r="Z498" s="337" t="str">
        <f t="shared" si="296"/>
        <v>1+40.1680433022788i</v>
      </c>
      <c r="AA498" s="346">
        <f t="shared" si="321"/>
        <v>40.18048908032037</v>
      </c>
      <c r="AB498" s="347">
        <f t="shared" si="322"/>
        <v>1.5459060558046831</v>
      </c>
      <c r="AC498" s="732" t="str">
        <f t="shared" si="323"/>
        <v>0.0364289088352285-1.4780284734079i</v>
      </c>
      <c r="AD498" s="337">
        <f t="shared" si="324"/>
        <v>1.4784773361818613</v>
      </c>
      <c r="AE498" s="339">
        <f t="shared" si="325"/>
        <v>-1.5461543556447317</v>
      </c>
      <c r="AF498" s="736" t="str">
        <f t="shared" si="297"/>
        <v>-0.0442057138848233+0.0308576153049545i</v>
      </c>
      <c r="AG498" s="337">
        <f t="shared" si="326"/>
        <v>-25.36653945109245</v>
      </c>
      <c r="AH498" s="730">
        <f t="shared" si="327"/>
        <v>145.08319264167966</v>
      </c>
      <c r="AI498" s="360">
        <f t="shared" si="298"/>
        <v>-34.916807358320341</v>
      </c>
      <c r="AL498" s="337">
        <f t="shared" si="299"/>
        <v>3.3962934308565695</v>
      </c>
      <c r="AM498" s="730">
        <f t="shared" si="300"/>
        <v>-88.588119054212413</v>
      </c>
      <c r="AN498" s="351"/>
      <c r="AO498" s="337">
        <f t="shared" si="301"/>
        <v>24.509098316790414</v>
      </c>
      <c r="AP498" s="730">
        <f t="shared" si="302"/>
        <v>-126.32868830410796</v>
      </c>
      <c r="AS498" s="351"/>
      <c r="AT498" s="351"/>
      <c r="AV498" s="405">
        <f t="shared" si="303"/>
        <v>0</v>
      </c>
      <c r="AW498" s="405">
        <f t="shared" si="328"/>
        <v>0</v>
      </c>
      <c r="AX498" s="405">
        <f t="shared" si="304"/>
        <v>0</v>
      </c>
      <c r="AY498" s="405">
        <f t="shared" si="305"/>
        <v>0</v>
      </c>
    </row>
    <row r="499" spans="2:51" ht="13.5" thickBot="1" x14ac:dyDescent="0.25">
      <c r="B499" s="345">
        <v>63830.5</v>
      </c>
      <c r="C499" s="728" t="str">
        <f t="shared" si="288"/>
        <v>2.16217503399043</v>
      </c>
      <c r="D499" s="728" t="str">
        <f t="shared" si="289"/>
        <v>1+48.7954946029078i</v>
      </c>
      <c r="E499" s="337">
        <f t="shared" si="307"/>
        <v>48.805740374902669</v>
      </c>
      <c r="F499" s="338">
        <f t="shared" si="308"/>
        <v>1.5503054997990449</v>
      </c>
      <c r="G499" s="338" t="str">
        <f t="shared" si="290"/>
        <v>1+0.200529429874963i</v>
      </c>
      <c r="H499" s="337">
        <f t="shared" si="309"/>
        <v>1.0199078645867858</v>
      </c>
      <c r="I499" s="338">
        <f t="shared" si="310"/>
        <v>0.19790457516877996</v>
      </c>
      <c r="J499" s="340">
        <f t="shared" si="291"/>
        <v>1</v>
      </c>
      <c r="K499" s="338">
        <f t="shared" si="311"/>
        <v>1</v>
      </c>
      <c r="L499" s="339">
        <f t="shared" si="312"/>
        <v>0</v>
      </c>
      <c r="M499" s="731" t="str">
        <f t="shared" si="292"/>
        <v>0.818918545322221+0.942747044385859i</v>
      </c>
      <c r="N499" s="338">
        <f t="shared" si="313"/>
        <v>1.2487592136080259</v>
      </c>
      <c r="O499" s="339">
        <f t="shared" si="314"/>
        <v>0.85557332396476071</v>
      </c>
      <c r="P499" s="732" t="str">
        <f t="shared" si="306"/>
        <v>-0.0215262150501349-0.0290829352154488i</v>
      </c>
      <c r="Q499" s="337">
        <f t="shared" si="315"/>
        <v>3.618280054294646E-2</v>
      </c>
      <c r="R499" s="339">
        <f t="shared" si="316"/>
        <v>-2.2079742485950238</v>
      </c>
      <c r="S499" s="731" t="str">
        <f t="shared" si="293"/>
        <v>6000</v>
      </c>
      <c r="T499" s="337" t="str">
        <f t="shared" si="294"/>
        <v>1+405069.448347426i</v>
      </c>
      <c r="U499" s="346">
        <f t="shared" si="317"/>
        <v>405069.44834866043</v>
      </c>
      <c r="V499" s="347">
        <f t="shared" si="318"/>
        <v>1.5707938580824226</v>
      </c>
      <c r="W499" s="340" t="str">
        <f t="shared" si="295"/>
        <v>1+4010.58859749927i</v>
      </c>
      <c r="X499" s="337">
        <f t="shared" si="319"/>
        <v>4010.5887221692478</v>
      </c>
      <c r="Y499" s="339">
        <f t="shared" si="320"/>
        <v>1.5705469868401827</v>
      </c>
      <c r="Z499" s="337" t="str">
        <f t="shared" si="296"/>
        <v>1+40.400488282685i</v>
      </c>
      <c r="AA499" s="346">
        <f t="shared" si="321"/>
        <v>40.412862475694148</v>
      </c>
      <c r="AB499" s="347">
        <f t="shared" si="322"/>
        <v>1.5460492038235736</v>
      </c>
      <c r="AC499" s="732" t="str">
        <f t="shared" si="323"/>
        <v>0.0360111818248698-1.46953494801905i</v>
      </c>
      <c r="AD499" s="337">
        <f t="shared" si="324"/>
        <v>1.4699761115969796</v>
      </c>
      <c r="AE499" s="339">
        <f t="shared" si="325"/>
        <v>-1.5462960750658137</v>
      </c>
      <c r="AF499" s="736" t="str">
        <f t="shared" si="297"/>
        <v>-0.0435135741342476+0.0305862144467024i</v>
      </c>
      <c r="AG499" s="337">
        <f t="shared" si="326"/>
        <v>-25.48375089426915</v>
      </c>
      <c r="AH499" s="730">
        <f t="shared" si="327"/>
        <v>144.89615530302049</v>
      </c>
      <c r="AI499" s="360">
        <f t="shared" si="298"/>
        <v>-35.103844696979507</v>
      </c>
      <c r="AL499" s="337">
        <f t="shared" si="299"/>
        <v>3.346205542774257</v>
      </c>
      <c r="AM499" s="730">
        <f t="shared" si="300"/>
        <v>-88.596238978915451</v>
      </c>
      <c r="AN499" s="351"/>
      <c r="AO499" s="337">
        <f t="shared" si="301"/>
        <v>24.441974761696017</v>
      </c>
      <c r="AP499" s="730">
        <f t="shared" si="302"/>
        <v>-126.50760571806417</v>
      </c>
      <c r="AS499" s="351"/>
      <c r="AT499" s="351"/>
      <c r="AV499" s="405">
        <f t="shared" si="303"/>
        <v>0</v>
      </c>
      <c r="AW499" s="405">
        <f t="shared" si="328"/>
        <v>0</v>
      </c>
      <c r="AX499" s="405">
        <f t="shared" si="304"/>
        <v>0</v>
      </c>
      <c r="AY499" s="405">
        <f t="shared" si="305"/>
        <v>0</v>
      </c>
    </row>
    <row r="500" spans="2:51" ht="13.5" thickBot="1" x14ac:dyDescent="0.25">
      <c r="B500" s="345">
        <v>64197.75</v>
      </c>
      <c r="C500" s="728" t="str">
        <f t="shared" si="288"/>
        <v>2.16217503399043</v>
      </c>
      <c r="D500" s="728" t="str">
        <f t="shared" si="289"/>
        <v>1+49.0762404124019i</v>
      </c>
      <c r="E500" s="337">
        <f t="shared" si="307"/>
        <v>49.086427584576469</v>
      </c>
      <c r="F500" s="338">
        <f t="shared" si="308"/>
        <v>1.5504226872080227</v>
      </c>
      <c r="G500" s="338" t="str">
        <f t="shared" si="290"/>
        <v>1+0.201683179776994i</v>
      </c>
      <c r="H500" s="337">
        <f t="shared" si="309"/>
        <v>1.0201353366122357</v>
      </c>
      <c r="I500" s="338">
        <f t="shared" si="310"/>
        <v>0.19901347682998063</v>
      </c>
      <c r="J500" s="340">
        <f t="shared" si="291"/>
        <v>1</v>
      </c>
      <c r="K500" s="338">
        <f t="shared" si="311"/>
        <v>1</v>
      </c>
      <c r="L500" s="339">
        <f t="shared" si="312"/>
        <v>0</v>
      </c>
      <c r="M500" s="731" t="str">
        <f t="shared" si="292"/>
        <v>0.816828839775+0.948171157498721i</v>
      </c>
      <c r="N500" s="338">
        <f t="shared" si="313"/>
        <v>1.2514942658281087</v>
      </c>
      <c r="O500" s="339">
        <f t="shared" si="314"/>
        <v>0.85967616950763048</v>
      </c>
      <c r="P500" s="732" t="str">
        <f t="shared" si="306"/>
        <v>-0.0214507947852942-0.0287932756628719i</v>
      </c>
      <c r="Q500" s="337">
        <f t="shared" si="315"/>
        <v>3.5905282624133956E-2</v>
      </c>
      <c r="R500" s="339">
        <f t="shared" si="316"/>
        <v>-2.2110853798856729</v>
      </c>
      <c r="S500" s="731" t="str">
        <f t="shared" si="293"/>
        <v>6000</v>
      </c>
      <c r="T500" s="337" t="str">
        <f t="shared" si="294"/>
        <v>1+407400.023149528i</v>
      </c>
      <c r="U500" s="346">
        <f t="shared" si="317"/>
        <v>407400.02315075533</v>
      </c>
      <c r="V500" s="347">
        <f t="shared" si="318"/>
        <v>1.5707938722049526</v>
      </c>
      <c r="W500" s="340" t="str">
        <f t="shared" si="295"/>
        <v>1+4033.66359553988i</v>
      </c>
      <c r="X500" s="337">
        <f t="shared" si="319"/>
        <v>4033.6637194966702</v>
      </c>
      <c r="Y500" s="339">
        <f t="shared" si="320"/>
        <v>1.5705484132156338</v>
      </c>
      <c r="Z500" s="337" t="str">
        <f t="shared" si="296"/>
        <v>1+40.6329332630911i</v>
      </c>
      <c r="AA500" s="346">
        <f t="shared" si="321"/>
        <v>40.645236689713279</v>
      </c>
      <c r="AB500" s="347">
        <f t="shared" si="322"/>
        <v>1.5461907150528811</v>
      </c>
      <c r="AC500" s="732" t="str">
        <f t="shared" si="323"/>
        <v>0.0356005974576301-1.46113842306145i</v>
      </c>
      <c r="AD500" s="337">
        <f t="shared" si="324"/>
        <v>1.4615720625018256</v>
      </c>
      <c r="AE500" s="339">
        <f t="shared" si="325"/>
        <v>-1.5464361740422001</v>
      </c>
      <c r="AF500" s="736" t="str">
        <f t="shared" si="297"/>
        <v>-0.0428346225071198+0.0303175226496391i</v>
      </c>
      <c r="AG500" s="337">
        <f t="shared" si="326"/>
        <v>-25.600428348145691</v>
      </c>
      <c r="AH500" s="730">
        <f t="shared" si="327"/>
        <v>144.70987353049412</v>
      </c>
      <c r="AI500" s="360">
        <f t="shared" si="298"/>
        <v>-35.290126469505879</v>
      </c>
      <c r="AL500" s="337">
        <f t="shared" si="299"/>
        <v>3.2964046603809405</v>
      </c>
      <c r="AM500" s="730">
        <f t="shared" si="300"/>
        <v>-88.604266058976506</v>
      </c>
      <c r="AN500" s="351"/>
      <c r="AO500" s="337">
        <f t="shared" si="301"/>
        <v>24.375098190212775</v>
      </c>
      <c r="AP500" s="730">
        <f t="shared" si="302"/>
        <v>-126.68586041052943</v>
      </c>
      <c r="AS500" s="351"/>
      <c r="AT500" s="351"/>
      <c r="AV500" s="405">
        <f t="shared" si="303"/>
        <v>0</v>
      </c>
      <c r="AW500" s="405">
        <f t="shared" si="328"/>
        <v>0</v>
      </c>
      <c r="AX500" s="405">
        <f t="shared" si="304"/>
        <v>0</v>
      </c>
      <c r="AY500" s="405">
        <f t="shared" si="305"/>
        <v>0</v>
      </c>
    </row>
    <row r="501" spans="2:51" ht="13.5" thickBot="1" x14ac:dyDescent="0.25">
      <c r="B501" s="345">
        <v>64565</v>
      </c>
      <c r="C501" s="728" t="str">
        <f t="shared" si="288"/>
        <v>2.16217503399043</v>
      </c>
      <c r="D501" s="728" t="str">
        <f t="shared" si="289"/>
        <v>1+49.3569862218961i</v>
      </c>
      <c r="E501" s="337">
        <f t="shared" si="307"/>
        <v>49.367115460683358</v>
      </c>
      <c r="F501" s="338">
        <f t="shared" si="308"/>
        <v>1.5505385420276556</v>
      </c>
      <c r="G501" s="338" t="str">
        <f t="shared" si="290"/>
        <v>1+0.202836929679025i</v>
      </c>
      <c r="H501" s="337">
        <f t="shared" si="309"/>
        <v>1.0203640625000538</v>
      </c>
      <c r="I501" s="338">
        <f t="shared" si="310"/>
        <v>0.20012188270849976</v>
      </c>
      <c r="J501" s="340">
        <f t="shared" si="291"/>
        <v>1</v>
      </c>
      <c r="K501" s="338">
        <f t="shared" si="311"/>
        <v>1</v>
      </c>
      <c r="L501" s="339">
        <f t="shared" si="312"/>
        <v>0</v>
      </c>
      <c r="M501" s="731" t="str">
        <f t="shared" si="292"/>
        <v>0.814727145555555+0.953595270611587i</v>
      </c>
      <c r="N501" s="338">
        <f t="shared" si="313"/>
        <v>1.2542425051950234</v>
      </c>
      <c r="O501" s="339">
        <f t="shared" si="314"/>
        <v>0.86376832002523174</v>
      </c>
      <c r="P501" s="732" t="str">
        <f t="shared" si="306"/>
        <v>-0.0213753315630198-0.0285071202784425i</v>
      </c>
      <c r="Q501" s="337">
        <f t="shared" si="315"/>
        <v>3.5630895385867278E-2</v>
      </c>
      <c r="R501" s="339">
        <f t="shared" si="316"/>
        <v>-2.2141849793443873</v>
      </c>
      <c r="S501" s="731" t="str">
        <f t="shared" si="293"/>
        <v>6000</v>
      </c>
      <c r="T501" s="337" t="str">
        <f t="shared" si="294"/>
        <v>1+409730.597951631i</v>
      </c>
      <c r="U501" s="346">
        <f t="shared" si="317"/>
        <v>409730.59795285127</v>
      </c>
      <c r="V501" s="347">
        <f t="shared" si="318"/>
        <v>1.5707938861668229</v>
      </c>
      <c r="W501" s="340" t="str">
        <f t="shared" si="295"/>
        <v>1+4056.7385935805i</v>
      </c>
      <c r="X501" s="337">
        <f t="shared" si="319"/>
        <v>4056.7387168322157</v>
      </c>
      <c r="Y501" s="339">
        <f t="shared" si="320"/>
        <v>1.5705498233644493</v>
      </c>
      <c r="Z501" s="337" t="str">
        <f t="shared" si="296"/>
        <v>1+40.8653782434973i</v>
      </c>
      <c r="AA501" s="346">
        <f t="shared" si="321"/>
        <v>40.8776117084169</v>
      </c>
      <c r="AB501" s="347">
        <f t="shared" si="322"/>
        <v>1.5463306174006293</v>
      </c>
      <c r="AC501" s="732" t="str">
        <f t="shared" si="323"/>
        <v>0.0351969938478473-1.45283724726187i</v>
      </c>
      <c r="AD501" s="337">
        <f t="shared" si="324"/>
        <v>1.4532635326764973</v>
      </c>
      <c r="AE501" s="339">
        <f t="shared" si="325"/>
        <v>-1.5465746802030029</v>
      </c>
      <c r="AF501" s="736" t="str">
        <f t="shared" si="297"/>
        <v>-0.0421685535662147+0.0300515129302673i</v>
      </c>
      <c r="AG501" s="337">
        <f t="shared" si="326"/>
        <v>-25.716577763077634</v>
      </c>
      <c r="AH501" s="730">
        <f t="shared" si="327"/>
        <v>144.52434374487814</v>
      </c>
      <c r="AI501" s="360">
        <f t="shared" si="298"/>
        <v>-35.475656255121862</v>
      </c>
      <c r="AL501" s="337">
        <f t="shared" si="299"/>
        <v>3.24688751527093</v>
      </c>
      <c r="AM501" s="730">
        <f t="shared" si="300"/>
        <v>-88.612201877427054</v>
      </c>
      <c r="AN501" s="351"/>
      <c r="AO501" s="337">
        <f t="shared" si="301"/>
        <v>24.308465920390873</v>
      </c>
      <c r="AP501" s="730">
        <f t="shared" si="302"/>
        <v>-126.86345437769475</v>
      </c>
      <c r="AS501" s="351"/>
      <c r="AT501" s="351"/>
      <c r="AV501" s="405">
        <f t="shared" si="303"/>
        <v>0</v>
      </c>
      <c r="AW501" s="405">
        <f t="shared" si="328"/>
        <v>0</v>
      </c>
      <c r="AX501" s="405">
        <f t="shared" si="304"/>
        <v>0</v>
      </c>
      <c r="AY501" s="405">
        <f t="shared" si="305"/>
        <v>0</v>
      </c>
    </row>
    <row r="502" spans="2:51" ht="13.5" thickBot="1" x14ac:dyDescent="0.25">
      <c r="B502" s="345">
        <v>64941</v>
      </c>
      <c r="C502" s="728" t="str">
        <f t="shared" si="288"/>
        <v>2.16217503399043</v>
      </c>
      <c r="D502" s="728" t="str">
        <f t="shared" si="289"/>
        <v>1+49.6444210057485i</v>
      </c>
      <c r="E502" s="337">
        <f t="shared" si="307"/>
        <v>49.654491609480836</v>
      </c>
      <c r="F502" s="338">
        <f t="shared" si="308"/>
        <v>1.5506558001761377</v>
      </c>
      <c r="G502" s="338" t="str">
        <f t="shared" si="290"/>
        <v>1+0.204018168516774i</v>
      </c>
      <c r="H502" s="337">
        <f t="shared" si="309"/>
        <v>1.0205995360987281</v>
      </c>
      <c r="I502" s="338">
        <f t="shared" si="310"/>
        <v>0.20125618103128984</v>
      </c>
      <c r="J502" s="340">
        <f t="shared" si="291"/>
        <v>1</v>
      </c>
      <c r="K502" s="338">
        <f t="shared" si="311"/>
        <v>1</v>
      </c>
      <c r="L502" s="339">
        <f t="shared" si="312"/>
        <v>0</v>
      </c>
      <c r="M502" s="731" t="str">
        <f t="shared" si="292"/>
        <v>0.8125629564+0.959148617188678i</v>
      </c>
      <c r="N502" s="338">
        <f t="shared" si="313"/>
        <v>1.257069858030357</v>
      </c>
      <c r="O502" s="339">
        <f t="shared" si="314"/>
        <v>0.86794689895998867</v>
      </c>
      <c r="P502" s="732" t="str">
        <f t="shared" si="306"/>
        <v>-0.0212980341771369-0.0282177213347383i</v>
      </c>
      <c r="Q502" s="337">
        <f t="shared" si="315"/>
        <v>3.5353161911425075E-2</v>
      </c>
      <c r="R502" s="339">
        <f t="shared" si="316"/>
        <v>-2.2173465181048368</v>
      </c>
      <c r="S502" s="731" t="str">
        <f t="shared" si="293"/>
        <v>6000</v>
      </c>
      <c r="T502" s="337" t="str">
        <f t="shared" si="294"/>
        <v>1+412116.700403885i</v>
      </c>
      <c r="U502" s="346">
        <f t="shared" si="317"/>
        <v>412116.70040509821</v>
      </c>
      <c r="V502" s="347">
        <f t="shared" si="318"/>
        <v>1.5707939002977442</v>
      </c>
      <c r="W502" s="340" t="str">
        <f t="shared" si="295"/>
        <v>1+4080.36337033549i</v>
      </c>
      <c r="X502" s="337">
        <f t="shared" si="319"/>
        <v>4080.3634928735942</v>
      </c>
      <c r="Y502" s="339">
        <f t="shared" si="320"/>
        <v>1.5705512505874075</v>
      </c>
      <c r="Z502" s="337" t="str">
        <f t="shared" si="296"/>
        <v>1+41.1033613956626i</v>
      </c>
      <c r="AA502" s="346">
        <f t="shared" si="321"/>
        <v>41.115524051414532</v>
      </c>
      <c r="AB502" s="347">
        <f t="shared" si="322"/>
        <v>1.5464722146672789</v>
      </c>
      <c r="AC502" s="732" t="str">
        <f t="shared" si="323"/>
        <v>0.0347908420478059-1.4444353885192i</v>
      </c>
      <c r="AD502" s="337">
        <f t="shared" si="324"/>
        <v>1.4448543159422711</v>
      </c>
      <c r="AE502" s="339">
        <f t="shared" si="325"/>
        <v>-1.5467148643776156</v>
      </c>
      <c r="AF502" s="736" t="str">
        <f t="shared" si="297"/>
        <v>-0.0414996518222548+0.0297819159854421i</v>
      </c>
      <c r="AG502" s="337">
        <f t="shared" si="326"/>
        <v>-25.834953563775834</v>
      </c>
      <c r="AH502" s="730">
        <f t="shared" si="327"/>
        <v>144.33516895557753</v>
      </c>
      <c r="AI502" s="360">
        <f t="shared" si="298"/>
        <v>-35.664831044422471</v>
      </c>
      <c r="AL502" s="337">
        <f t="shared" si="299"/>
        <v>3.1964811913738438</v>
      </c>
      <c r="AM502" s="730">
        <f t="shared" si="300"/>
        <v>-88.620233838986891</v>
      </c>
      <c r="AN502" s="351"/>
      <c r="AO502" s="337">
        <f t="shared" si="301"/>
        <v>24.240496443589734</v>
      </c>
      <c r="AP502" s="730">
        <f t="shared" si="302"/>
        <v>-127.04459720543564</v>
      </c>
      <c r="AS502" s="351"/>
      <c r="AT502" s="351"/>
      <c r="AV502" s="405">
        <f t="shared" si="303"/>
        <v>0</v>
      </c>
      <c r="AW502" s="405">
        <f t="shared" si="328"/>
        <v>0</v>
      </c>
      <c r="AX502" s="405">
        <f t="shared" si="304"/>
        <v>0</v>
      </c>
      <c r="AY502" s="405">
        <f t="shared" si="305"/>
        <v>0</v>
      </c>
    </row>
    <row r="503" spans="2:51" ht="13.5" thickBot="1" x14ac:dyDescent="0.25">
      <c r="B503" s="345">
        <v>65317</v>
      </c>
      <c r="C503" s="728" t="str">
        <f t="shared" si="288"/>
        <v>2.16217503399043</v>
      </c>
      <c r="D503" s="728" t="str">
        <f t="shared" si="289"/>
        <v>1+49.931855789601i</v>
      </c>
      <c r="E503" s="337">
        <f t="shared" si="307"/>
        <v>49.941868433144457</v>
      </c>
      <c r="F503" s="338">
        <f t="shared" si="308"/>
        <v>1.5507717088663033</v>
      </c>
      <c r="G503" s="338" t="str">
        <f t="shared" si="290"/>
        <v>1+0.205199407354524i</v>
      </c>
      <c r="H503" s="337">
        <f t="shared" si="309"/>
        <v>1.0208363222273431</v>
      </c>
      <c r="I503" s="338">
        <f t="shared" si="310"/>
        <v>0.20238995460429043</v>
      </c>
      <c r="J503" s="340">
        <f t="shared" si="291"/>
        <v>1</v>
      </c>
      <c r="K503" s="338">
        <f t="shared" si="311"/>
        <v>1</v>
      </c>
      <c r="L503" s="339">
        <f t="shared" si="312"/>
        <v>0</v>
      </c>
      <c r="M503" s="731" t="str">
        <f t="shared" si="292"/>
        <v>0.810386200488889+0.964701963765771i</v>
      </c>
      <c r="N503" s="338">
        <f t="shared" si="313"/>
        <v>1.2599109781394688</v>
      </c>
      <c r="O503" s="339">
        <f t="shared" si="314"/>
        <v>0.8721142884233708</v>
      </c>
      <c r="P503" s="732" t="str">
        <f t="shared" si="306"/>
        <v>-0.0212207084393093-0.0279318827548141i</v>
      </c>
      <c r="Q503" s="337">
        <f t="shared" si="315"/>
        <v>3.5078605173165793E-2</v>
      </c>
      <c r="R503" s="339">
        <f t="shared" si="316"/>
        <v>-2.2204960426853839</v>
      </c>
      <c r="S503" s="731" t="str">
        <f t="shared" si="293"/>
        <v>6000</v>
      </c>
      <c r="T503" s="337" t="str">
        <f t="shared" si="294"/>
        <v>1+414502.80285614i</v>
      </c>
      <c r="U503" s="346">
        <f t="shared" si="317"/>
        <v>414502.80285734625</v>
      </c>
      <c r="V503" s="347">
        <f t="shared" si="318"/>
        <v>1.570793914265975</v>
      </c>
      <c r="W503" s="340" t="str">
        <f t="shared" si="295"/>
        <v>1+4103.98814709049i</v>
      </c>
      <c r="X503" s="337">
        <f t="shared" si="319"/>
        <v>4103.9882689231999</v>
      </c>
      <c r="Y503" s="339">
        <f t="shared" si="320"/>
        <v>1.5705526613786311</v>
      </c>
      <c r="Z503" s="337" t="str">
        <f t="shared" si="296"/>
        <v>1+41.341344547828i</v>
      </c>
      <c r="AA503" s="346">
        <f t="shared" si="321"/>
        <v>41.353437209284408</v>
      </c>
      <c r="AB503" s="347">
        <f t="shared" si="322"/>
        <v>1.5466121826717607</v>
      </c>
      <c r="AC503" s="732" t="str">
        <f t="shared" si="323"/>
        <v>0.0343916786596439-1.4361300920266i</v>
      </c>
      <c r="AD503" s="337">
        <f t="shared" si="324"/>
        <v>1.43654182980704</v>
      </c>
      <c r="AE503" s="339">
        <f t="shared" si="325"/>
        <v>-1.5468534355591044</v>
      </c>
      <c r="AF503" s="736" t="str">
        <f t="shared" si="297"/>
        <v>-0.0408436331367221+0.0295150736277525i</v>
      </c>
      <c r="AG503" s="337">
        <f t="shared" si="326"/>
        <v>-25.952788145860918</v>
      </c>
      <c r="AH503" s="730">
        <f t="shared" si="327"/>
        <v>144.14677494577808</v>
      </c>
      <c r="AI503" s="360">
        <f t="shared" si="298"/>
        <v>-35.853225054221923</v>
      </c>
      <c r="AL503" s="337">
        <f t="shared" si="299"/>
        <v>3.1463655294954189</v>
      </c>
      <c r="AM503" s="730">
        <f t="shared" si="300"/>
        <v>-88.628173382848345</v>
      </c>
      <c r="AN503" s="351"/>
      <c r="AO503" s="337">
        <f t="shared" si="301"/>
        <v>24.172777523383079</v>
      </c>
      <c r="AP503" s="730">
        <f t="shared" si="302"/>
        <v>-127.22505167137369</v>
      </c>
      <c r="AS503" s="351"/>
      <c r="AT503" s="351"/>
      <c r="AV503" s="405">
        <f t="shared" si="303"/>
        <v>0</v>
      </c>
      <c r="AW503" s="405">
        <f t="shared" si="328"/>
        <v>0</v>
      </c>
      <c r="AX503" s="405">
        <f t="shared" si="304"/>
        <v>0</v>
      </c>
      <c r="AY503" s="405">
        <f t="shared" si="305"/>
        <v>0</v>
      </c>
    </row>
    <row r="504" spans="2:51" ht="13.5" thickBot="1" x14ac:dyDescent="0.25">
      <c r="B504" s="345">
        <v>65693</v>
      </c>
      <c r="C504" s="728" t="str">
        <f t="shared" si="288"/>
        <v>2.16217503399043</v>
      </c>
      <c r="D504" s="728" t="str">
        <f t="shared" si="289"/>
        <v>1+50.2192905734535i</v>
      </c>
      <c r="E504" s="337">
        <f t="shared" si="307"/>
        <v>50.229245920090769</v>
      </c>
      <c r="F504" s="338">
        <f t="shared" si="308"/>
        <v>1.5508862912570518</v>
      </c>
      <c r="G504" s="338" t="str">
        <f t="shared" si="290"/>
        <v>1+0.206380646192275i</v>
      </c>
      <c r="H504" s="337">
        <f t="shared" si="309"/>
        <v>1.0210744199727761</v>
      </c>
      <c r="I504" s="338">
        <f t="shared" si="310"/>
        <v>0.203523200878785</v>
      </c>
      <c r="J504" s="340">
        <f t="shared" si="291"/>
        <v>1</v>
      </c>
      <c r="K504" s="338">
        <f t="shared" si="311"/>
        <v>1</v>
      </c>
      <c r="L504" s="339">
        <f t="shared" si="312"/>
        <v>0</v>
      </c>
      <c r="M504" s="731" t="str">
        <f t="shared" si="292"/>
        <v>0.808196877822222+0.970255310342864i</v>
      </c>
      <c r="N504" s="338">
        <f t="shared" si="313"/>
        <v>1.262765837584354</v>
      </c>
      <c r="O504" s="339">
        <f t="shared" si="314"/>
        <v>0.87627049990586547</v>
      </c>
      <c r="P504" s="732" t="str">
        <f t="shared" si="306"/>
        <v>-0.0211433624870264-0.0276495492515349i</v>
      </c>
      <c r="Q504" s="337">
        <f t="shared" si="315"/>
        <v>3.4807173844925265E-2</v>
      </c>
      <c r="R504" s="339">
        <f t="shared" si="316"/>
        <v>-2.2236335902841331</v>
      </c>
      <c r="S504" s="731" t="str">
        <f t="shared" si="293"/>
        <v>6000</v>
      </c>
      <c r="T504" s="337" t="str">
        <f t="shared" si="294"/>
        <v>1+416888.905308395i</v>
      </c>
      <c r="U504" s="346">
        <f t="shared" si="317"/>
        <v>416888.90530959429</v>
      </c>
      <c r="V504" s="347">
        <f t="shared" si="318"/>
        <v>1.5707939280743088</v>
      </c>
      <c r="W504" s="340" t="str">
        <f t="shared" si="295"/>
        <v>1+4127.61292384549i</v>
      </c>
      <c r="X504" s="337">
        <f t="shared" si="319"/>
        <v>4127.613044980877</v>
      </c>
      <c r="Y504" s="339">
        <f t="shared" si="320"/>
        <v>1.5705540560202662</v>
      </c>
      <c r="Z504" s="337" t="str">
        <f t="shared" si="296"/>
        <v>1+41.5793276999934i</v>
      </c>
      <c r="AA504" s="346">
        <f t="shared" si="321"/>
        <v>41.5913511680426</v>
      </c>
      <c r="AB504" s="347">
        <f t="shared" si="322"/>
        <v>1.5467505493680245</v>
      </c>
      <c r="AC504" s="732" t="str">
        <f t="shared" si="323"/>
        <v>0.0339993443014297-1.42791970356819i</v>
      </c>
      <c r="AD504" s="337">
        <f t="shared" si="324"/>
        <v>1.4283244152681824</v>
      </c>
      <c r="AE504" s="339">
        <f t="shared" si="325"/>
        <v>-1.5469904214220671</v>
      </c>
      <c r="AF504" s="736" t="str">
        <f t="shared" si="297"/>
        <v>-0.0402001966319321+0.0292509573501273i</v>
      </c>
      <c r="AG504" s="337">
        <f t="shared" si="326"/>
        <v>-26.07008755449618</v>
      </c>
      <c r="AH504" s="730">
        <f t="shared" si="327"/>
        <v>143.95915799854754</v>
      </c>
      <c r="AI504" s="360">
        <f t="shared" si="298"/>
        <v>-36.040842001452461</v>
      </c>
      <c r="AL504" s="337">
        <f t="shared" si="299"/>
        <v>3.0965371986523444</v>
      </c>
      <c r="AM504" s="730">
        <f t="shared" si="300"/>
        <v>-88.636022094649064</v>
      </c>
      <c r="AN504" s="351"/>
      <c r="AO504" s="337">
        <f t="shared" si="301"/>
        <v>24.105306445590912</v>
      </c>
      <c r="AP504" s="730">
        <f t="shared" si="302"/>
        <v>-127.40481990680333</v>
      </c>
      <c r="AS504" s="351"/>
      <c r="AT504" s="351"/>
      <c r="AV504" s="405">
        <f t="shared" si="303"/>
        <v>0</v>
      </c>
      <c r="AW504" s="405">
        <f t="shared" si="328"/>
        <v>0</v>
      </c>
      <c r="AX504" s="405">
        <f t="shared" si="304"/>
        <v>0</v>
      </c>
      <c r="AY504" s="405">
        <f t="shared" si="305"/>
        <v>0</v>
      </c>
    </row>
    <row r="505" spans="2:51" ht="13.5" thickBot="1" x14ac:dyDescent="0.25">
      <c r="B505" s="345">
        <v>66069</v>
      </c>
      <c r="C505" s="728" t="str">
        <f t="shared" si="288"/>
        <v>2.16217503399043</v>
      </c>
      <c r="D505" s="728" t="str">
        <f t="shared" si="289"/>
        <v>1+50.5067253573058i</v>
      </c>
      <c r="E505" s="337">
        <f t="shared" si="307"/>
        <v>50.516624058999795</v>
      </c>
      <c r="F505" s="338">
        <f t="shared" si="308"/>
        <v>1.5509995699804386</v>
      </c>
      <c r="G505" s="338" t="str">
        <f t="shared" si="290"/>
        <v>1+0.207561885030024i</v>
      </c>
      <c r="H505" s="337">
        <f t="shared" si="309"/>
        <v>1.021313828417699</v>
      </c>
      <c r="I505" s="338">
        <f t="shared" si="310"/>
        <v>0.20465591731384172</v>
      </c>
      <c r="J505" s="340">
        <f t="shared" si="291"/>
        <v>1</v>
      </c>
      <c r="K505" s="338">
        <f t="shared" si="311"/>
        <v>1</v>
      </c>
      <c r="L505" s="339">
        <f t="shared" si="312"/>
        <v>0</v>
      </c>
      <c r="M505" s="731" t="str">
        <f t="shared" si="292"/>
        <v>0.8059949884+0.975808656919955i</v>
      </c>
      <c r="N505" s="338">
        <f t="shared" si="313"/>
        <v>1.2656344086053612</v>
      </c>
      <c r="O505" s="339">
        <f t="shared" si="314"/>
        <v>0.88041554538134037</v>
      </c>
      <c r="P505" s="732" t="str">
        <f t="shared" si="306"/>
        <v>-0.0210660042627903-0.027370666680344i</v>
      </c>
      <c r="Q505" s="337">
        <f t="shared" si="315"/>
        <v>3.4538817729134738E-2</v>
      </c>
      <c r="R505" s="339">
        <f t="shared" si="316"/>
        <v>-2.2267591980479366</v>
      </c>
      <c r="S505" s="731" t="str">
        <f t="shared" si="293"/>
        <v>6000</v>
      </c>
      <c r="T505" s="337" t="str">
        <f t="shared" si="294"/>
        <v>1+419275.007760648i</v>
      </c>
      <c r="U505" s="346">
        <f t="shared" si="317"/>
        <v>419275.00776184053</v>
      </c>
      <c r="V505" s="347">
        <f t="shared" si="318"/>
        <v>1.5707939417254757</v>
      </c>
      <c r="W505" s="340" t="str">
        <f t="shared" si="295"/>
        <v>1+4151.23770060048i</v>
      </c>
      <c r="X505" s="337">
        <f t="shared" si="319"/>
        <v>4151.237821046484</v>
      </c>
      <c r="Y505" s="339">
        <f t="shared" si="320"/>
        <v>1.5705554347880351</v>
      </c>
      <c r="Z505" s="337" t="str">
        <f t="shared" si="296"/>
        <v>1+41.8173108521587i</v>
      </c>
      <c r="AA505" s="346">
        <f t="shared" si="321"/>
        <v>41.829265914023274</v>
      </c>
      <c r="AB505" s="347">
        <f t="shared" si="322"/>
        <v>1.5468873420742877</v>
      </c>
      <c r="AC505" s="732" t="str">
        <f t="shared" si="323"/>
        <v>0.0336136841083032-1.41980260647677i</v>
      </c>
      <c r="AD505" s="337">
        <f t="shared" si="324"/>
        <v>1.4202004510341355</v>
      </c>
      <c r="AE505" s="339">
        <f t="shared" si="325"/>
        <v>-1.5471258490117281</v>
      </c>
      <c r="AF505" s="736" t="str">
        <f t="shared" si="297"/>
        <v>-0.0395690499064729+0.0289895388167337i</v>
      </c>
      <c r="AG505" s="337">
        <f t="shared" si="326"/>
        <v>-26.186857725317282</v>
      </c>
      <c r="AH505" s="730">
        <f t="shared" si="327"/>
        <v>143.7723144359511</v>
      </c>
      <c r="AI505" s="360">
        <f t="shared" si="298"/>
        <v>-36.227685564048898</v>
      </c>
      <c r="AL505" s="337">
        <f t="shared" si="299"/>
        <v>3.0469929247618515</v>
      </c>
      <c r="AM505" s="730">
        <f t="shared" si="300"/>
        <v>-88.643781523966268</v>
      </c>
      <c r="AN505" s="351"/>
      <c r="AO505" s="337">
        <f t="shared" si="301"/>
        <v>24.038080548660311</v>
      </c>
      <c r="AP505" s="730">
        <f t="shared" si="302"/>
        <v>-127.58390404008254</v>
      </c>
      <c r="AS505" s="351"/>
      <c r="AT505" s="351"/>
      <c r="AV505" s="405">
        <f t="shared" si="303"/>
        <v>0</v>
      </c>
      <c r="AW505" s="405">
        <f t="shared" si="328"/>
        <v>0</v>
      </c>
      <c r="AX505" s="405">
        <f t="shared" si="304"/>
        <v>0</v>
      </c>
      <c r="AY505" s="405">
        <f t="shared" si="305"/>
        <v>0</v>
      </c>
    </row>
    <row r="506" spans="2:51" ht="13.5" thickBot="1" x14ac:dyDescent="0.25">
      <c r="B506" s="345">
        <v>66453.75</v>
      </c>
      <c r="C506" s="728" t="str">
        <f t="shared" si="288"/>
        <v>2.16217503399043</v>
      </c>
      <c r="D506" s="728" t="str">
        <f t="shared" si="289"/>
        <v>1+50.8008491155165i</v>
      </c>
      <c r="E506" s="337">
        <f t="shared" si="307"/>
        <v>50.810690517424327</v>
      </c>
      <c r="F506" s="338">
        <f t="shared" si="308"/>
        <v>1.5511141583897909</v>
      </c>
      <c r="G506" s="338" t="str">
        <f t="shared" si="290"/>
        <v>1+0.208770612803492i</v>
      </c>
      <c r="H506" s="337">
        <f t="shared" si="309"/>
        <v>1.0215601640482783</v>
      </c>
      <c r="I506" s="338">
        <f t="shared" si="310"/>
        <v>0.20581444238588187</v>
      </c>
      <c r="J506" s="340">
        <f t="shared" si="291"/>
        <v>1</v>
      </c>
      <c r="K506" s="338">
        <f t="shared" si="311"/>
        <v>1</v>
      </c>
      <c r="L506" s="339">
        <f t="shared" si="312"/>
        <v>0</v>
      </c>
      <c r="M506" s="731" t="str">
        <f t="shared" si="292"/>
        <v>0.803728849375001+0.981491236961274i</v>
      </c>
      <c r="N506" s="338">
        <f t="shared" si="313"/>
        <v>1.268583900082858</v>
      </c>
      <c r="O506" s="339">
        <f t="shared" si="314"/>
        <v>0.88464550554435906</v>
      </c>
      <c r="P506" s="732" t="str">
        <f t="shared" si="306"/>
        <v>-0.0209868411961239-0.0270888111654067i</v>
      </c>
      <c r="Q506" s="337">
        <f t="shared" si="315"/>
        <v>3.4267348799496965E-2</v>
      </c>
      <c r="R506" s="339">
        <f t="shared" si="316"/>
        <v>-2.2299452215482676</v>
      </c>
      <c r="S506" s="731" t="str">
        <f t="shared" si="293"/>
        <v>6000</v>
      </c>
      <c r="T506" s="337" t="str">
        <f t="shared" si="294"/>
        <v>1+421716.637863055i</v>
      </c>
      <c r="U506" s="346">
        <f t="shared" si="317"/>
        <v>421716.63786424068</v>
      </c>
      <c r="V506" s="347">
        <f t="shared" si="318"/>
        <v>1.5707939555344097</v>
      </c>
      <c r="W506" s="340" t="str">
        <f t="shared" si="295"/>
        <v>1+4175.41225606985i</v>
      </c>
      <c r="X506" s="337">
        <f t="shared" si="319"/>
        <v>4175.4123758185024</v>
      </c>
      <c r="Y506" s="339">
        <f t="shared" si="320"/>
        <v>1.5705568294903067</v>
      </c>
      <c r="Z506" s="337" t="str">
        <f t="shared" si="296"/>
        <v>1+42.0608321760831i</v>
      </c>
      <c r="AA506" s="346">
        <f t="shared" si="321"/>
        <v>42.072718040847178</v>
      </c>
      <c r="AB506" s="347">
        <f t="shared" si="322"/>
        <v>1.5470257166125716</v>
      </c>
      <c r="AC506" s="732" t="str">
        <f t="shared" si="323"/>
        <v>0.0332258010794297-1.41159153907906i</v>
      </c>
      <c r="AD506" s="337">
        <f t="shared" si="324"/>
        <v>1.4119825165549889</v>
      </c>
      <c r="AE506" s="339">
        <f t="shared" si="325"/>
        <v>-1.5472628426566748</v>
      </c>
      <c r="AF506" s="736" t="str">
        <f t="shared" si="297"/>
        <v>-0.0389356412556665+0.0287248000131843i</v>
      </c>
      <c r="AG506" s="337">
        <f t="shared" si="326"/>
        <v>-26.305803511808442</v>
      </c>
      <c r="AH506" s="730">
        <f t="shared" si="327"/>
        <v>143.58191957827717</v>
      </c>
      <c r="AI506" s="360">
        <f t="shared" si="298"/>
        <v>-36.418080421722834</v>
      </c>
      <c r="AL506" s="337">
        <f t="shared" si="299"/>
        <v>2.9965863845890479</v>
      </c>
      <c r="AM506" s="730">
        <f t="shared" si="300"/>
        <v>-88.651630681641819</v>
      </c>
      <c r="AN506" s="351"/>
      <c r="AO506" s="337">
        <f t="shared" si="301"/>
        <v>23.969541302341945</v>
      </c>
      <c r="AP506" s="730">
        <f t="shared" si="302"/>
        <v>-127.766449740081</v>
      </c>
      <c r="AS506" s="351"/>
      <c r="AT506" s="351"/>
      <c r="AV506" s="405">
        <f t="shared" si="303"/>
        <v>0</v>
      </c>
      <c r="AW506" s="405">
        <f t="shared" si="328"/>
        <v>0</v>
      </c>
      <c r="AX506" s="405">
        <f t="shared" si="304"/>
        <v>0</v>
      </c>
      <c r="AY506" s="405">
        <f t="shared" si="305"/>
        <v>0</v>
      </c>
    </row>
    <row r="507" spans="2:51" ht="13.5" thickBot="1" x14ac:dyDescent="0.25">
      <c r="B507" s="345">
        <v>66838.5</v>
      </c>
      <c r="C507" s="728" t="str">
        <f t="shared" si="288"/>
        <v>2.16217503399043</v>
      </c>
      <c r="D507" s="728" t="str">
        <f t="shared" si="289"/>
        <v>1+51.0949728737273i</v>
      </c>
      <c r="E507" s="337">
        <f t="shared" si="307"/>
        <v>51.104757635340853</v>
      </c>
      <c r="F507" s="338">
        <f t="shared" si="308"/>
        <v>1.5512274280708211</v>
      </c>
      <c r="G507" s="338" t="str">
        <f t="shared" si="290"/>
        <v>1+0.209979340576961i</v>
      </c>
      <c r="H507" s="337">
        <f t="shared" si="309"/>
        <v>1.0218078701346625</v>
      </c>
      <c r="I507" s="338">
        <f t="shared" si="310"/>
        <v>0.20697240731350805</v>
      </c>
      <c r="J507" s="340">
        <f t="shared" si="291"/>
        <v>1</v>
      </c>
      <c r="K507" s="338">
        <f t="shared" si="311"/>
        <v>1</v>
      </c>
      <c r="L507" s="339">
        <f t="shared" si="312"/>
        <v>0</v>
      </c>
      <c r="M507" s="731" t="str">
        <f t="shared" si="292"/>
        <v>0.8014495519+0.987173817002595i</v>
      </c>
      <c r="N507" s="338">
        <f t="shared" si="313"/>
        <v>1.2715476905001182</v>
      </c>
      <c r="O507" s="339">
        <f t="shared" si="314"/>
        <v>0.88886380083809113</v>
      </c>
      <c r="P507" s="732" t="str">
        <f t="shared" si="306"/>
        <v>-0.0209076815002626-0.0268104578892586i</v>
      </c>
      <c r="Q507" s="337">
        <f t="shared" si="315"/>
        <v>3.3998997013855156E-2</v>
      </c>
      <c r="R507" s="339">
        <f t="shared" si="316"/>
        <v>-2.233118821595403</v>
      </c>
      <c r="S507" s="731" t="str">
        <f t="shared" si="293"/>
        <v>6000</v>
      </c>
      <c r="T507" s="337" t="str">
        <f t="shared" si="294"/>
        <v>1+424158.267965462i</v>
      </c>
      <c r="U507" s="346">
        <f t="shared" si="317"/>
        <v>424158.26796664076</v>
      </c>
      <c r="V507" s="347">
        <f t="shared" si="318"/>
        <v>1.5707939691843642</v>
      </c>
      <c r="W507" s="340" t="str">
        <f t="shared" si="295"/>
        <v>1+4199.58681153923i</v>
      </c>
      <c r="X507" s="337">
        <f t="shared" si="319"/>
        <v>4199.5869305985607</v>
      </c>
      <c r="Y507" s="339">
        <f t="shared" si="320"/>
        <v>1.5705582081356151</v>
      </c>
      <c r="Z507" s="337" t="str">
        <f t="shared" si="296"/>
        <v>1+42.3043535000077i</v>
      </c>
      <c r="AA507" s="346">
        <f t="shared" si="321"/>
        <v>42.316170963989805</v>
      </c>
      <c r="AB507" s="347">
        <f t="shared" si="322"/>
        <v>1.5471624989637469</v>
      </c>
      <c r="AC507" s="732" t="str">
        <f t="shared" si="323"/>
        <v>0.0328445922091681-1.4034748465039i</v>
      </c>
      <c r="AD507" s="337">
        <f t="shared" si="324"/>
        <v>1.4038591140162646</v>
      </c>
      <c r="AE507" s="339">
        <f t="shared" si="325"/>
        <v>-1.547398260012496</v>
      </c>
      <c r="AF507" s="736" t="str">
        <f t="shared" si="297"/>
        <v>-0.0383145075437418+0.0284628265280197i</v>
      </c>
      <c r="AG507" s="337">
        <f t="shared" si="326"/>
        <v>-26.424207376514204</v>
      </c>
      <c r="AH507" s="730">
        <f t="shared" si="327"/>
        <v>143.39232684675238</v>
      </c>
      <c r="AI507" s="360">
        <f t="shared" si="298"/>
        <v>-36.607673153247617</v>
      </c>
      <c r="AL507" s="337">
        <f t="shared" si="299"/>
        <v>2.9464705166248892</v>
      </c>
      <c r="AM507" s="730">
        <f t="shared" si="300"/>
        <v>-88.659389524603199</v>
      </c>
      <c r="AN507" s="351"/>
      <c r="AO507" s="337">
        <f t="shared" si="301"/>
        <v>23.901253305600328</v>
      </c>
      <c r="AP507" s="730">
        <f t="shared" si="302"/>
        <v>-127.94828362864446</v>
      </c>
      <c r="AS507" s="351"/>
      <c r="AT507" s="351"/>
      <c r="AV507" s="405">
        <f t="shared" si="303"/>
        <v>0</v>
      </c>
      <c r="AW507" s="405">
        <f t="shared" si="328"/>
        <v>0</v>
      </c>
      <c r="AX507" s="405">
        <f t="shared" si="304"/>
        <v>0</v>
      </c>
      <c r="AY507" s="405">
        <f t="shared" si="305"/>
        <v>0</v>
      </c>
    </row>
    <row r="508" spans="2:51" ht="13.5" thickBot="1" x14ac:dyDescent="0.25">
      <c r="B508" s="345">
        <v>67223.25</v>
      </c>
      <c r="C508" s="728" t="str">
        <f t="shared" si="288"/>
        <v>2.16217503399043</v>
      </c>
      <c r="D508" s="728" t="str">
        <f t="shared" si="289"/>
        <v>1+51.389096631938i</v>
      </c>
      <c r="E508" s="337">
        <f t="shared" si="307"/>
        <v>51.398825401429761</v>
      </c>
      <c r="F508" s="338">
        <f t="shared" si="308"/>
        <v>1.5513394016550925</v>
      </c>
      <c r="G508" s="338" t="str">
        <f t="shared" si="290"/>
        <v>1+0.21118806835043i</v>
      </c>
      <c r="H508" s="337">
        <f t="shared" si="309"/>
        <v>1.0220569456804185</v>
      </c>
      <c r="I508" s="338">
        <f t="shared" si="310"/>
        <v>0.2081298093997328</v>
      </c>
      <c r="J508" s="340">
        <f t="shared" si="291"/>
        <v>1</v>
      </c>
      <c r="K508" s="338">
        <f t="shared" si="311"/>
        <v>1</v>
      </c>
      <c r="L508" s="339">
        <f t="shared" si="312"/>
        <v>0</v>
      </c>
      <c r="M508" s="731" t="str">
        <f t="shared" si="292"/>
        <v>0.799157095975+0.992856397043914i</v>
      </c>
      <c r="N508" s="338">
        <f t="shared" si="313"/>
        <v>1.2745257507003211</v>
      </c>
      <c r="O508" s="339">
        <f t="shared" si="314"/>
        <v>0.89307044560623405</v>
      </c>
      <c r="P508" s="732" t="str">
        <f t="shared" si="306"/>
        <v>-0.0208285330802564-0.0265355523527546i</v>
      </c>
      <c r="Q508" s="337">
        <f t="shared" si="315"/>
        <v>3.373371205398415E-2</v>
      </c>
      <c r="R508" s="339">
        <f t="shared" si="316"/>
        <v>-2.2362800378615946</v>
      </c>
      <c r="S508" s="731" t="str">
        <f t="shared" si="293"/>
        <v>6000</v>
      </c>
      <c r="T508" s="337" t="str">
        <f t="shared" si="294"/>
        <v>1+426599.898067869i</v>
      </c>
      <c r="U508" s="346">
        <f t="shared" si="317"/>
        <v>426599.89806904114</v>
      </c>
      <c r="V508" s="347">
        <f t="shared" si="318"/>
        <v>1.5707939826780684</v>
      </c>
      <c r="W508" s="340" t="str">
        <f t="shared" si="295"/>
        <v>1+4223.7613670086i</v>
      </c>
      <c r="X508" s="337">
        <f t="shared" si="319"/>
        <v>4223.761485386498</v>
      </c>
      <c r="Y508" s="339">
        <f t="shared" si="320"/>
        <v>1.5705595709996647</v>
      </c>
      <c r="Z508" s="337" t="str">
        <f t="shared" si="296"/>
        <v>1+42.5478748239322i</v>
      </c>
      <c r="AA508" s="346">
        <f t="shared" si="321"/>
        <v>42.559624669785364</v>
      </c>
      <c r="AB508" s="347">
        <f t="shared" si="322"/>
        <v>1.5472977164460018</v>
      </c>
      <c r="AC508" s="732" t="str">
        <f t="shared" si="323"/>
        <v>0.0324699052793576-1.39545091187555i</v>
      </c>
      <c r="AD508" s="337">
        <f t="shared" si="324"/>
        <v>1.3958286220747711</v>
      </c>
      <c r="AE508" s="339">
        <f t="shared" si="325"/>
        <v>-1.5475321281244052</v>
      </c>
      <c r="AF508" s="736" t="str">
        <f t="shared" si="297"/>
        <v>-0.0377053612239967+0.0282035886084445i</v>
      </c>
      <c r="AG508" s="337">
        <f t="shared" si="326"/>
        <v>-26.542075339698876</v>
      </c>
      <c r="AH508" s="730">
        <f t="shared" si="327"/>
        <v>143.20353241874767</v>
      </c>
      <c r="AI508" s="360">
        <f t="shared" si="298"/>
        <v>-36.79646758125233</v>
      </c>
      <c r="AL508" s="337">
        <f t="shared" si="299"/>
        <v>2.8966419895798974</v>
      </c>
      <c r="AM508" s="730">
        <f t="shared" si="300"/>
        <v>-88.667059602426988</v>
      </c>
      <c r="AN508" s="351"/>
      <c r="AO508" s="337">
        <f t="shared" si="301"/>
        <v>23.833213869460668</v>
      </c>
      <c r="AP508" s="730">
        <f t="shared" si="302"/>
        <v>-128.12940797882527</v>
      </c>
      <c r="AS508" s="351"/>
      <c r="AT508" s="351"/>
      <c r="AV508" s="405">
        <f t="shared" si="303"/>
        <v>0</v>
      </c>
      <c r="AW508" s="405">
        <f t="shared" si="328"/>
        <v>0</v>
      </c>
      <c r="AX508" s="405">
        <f t="shared" si="304"/>
        <v>0</v>
      </c>
      <c r="AY508" s="405">
        <f t="shared" si="305"/>
        <v>0</v>
      </c>
    </row>
    <row r="509" spans="2:51" ht="13.5" thickBot="1" x14ac:dyDescent="0.25">
      <c r="B509" s="345">
        <v>67608</v>
      </c>
      <c r="C509" s="728" t="str">
        <f t="shared" si="288"/>
        <v>2.16217503399043</v>
      </c>
      <c r="D509" s="728" t="str">
        <f t="shared" si="289"/>
        <v>1+51.6832203901486i</v>
      </c>
      <c r="E509" s="337">
        <f t="shared" si="307"/>
        <v>51.692893804629193</v>
      </c>
      <c r="F509" s="338">
        <f t="shared" si="308"/>
        <v>1.5514501012593189</v>
      </c>
      <c r="G509" s="338" t="str">
        <f t="shared" si="290"/>
        <v>1+0.212396796123899i</v>
      </c>
      <c r="H509" s="337">
        <f t="shared" si="309"/>
        <v>1.0223073896845787</v>
      </c>
      <c r="I509" s="338">
        <f t="shared" si="310"/>
        <v>0.20928664595622257</v>
      </c>
      <c r="J509" s="340">
        <f t="shared" si="291"/>
        <v>1</v>
      </c>
      <c r="K509" s="338">
        <f t="shared" si="311"/>
        <v>1</v>
      </c>
      <c r="L509" s="339">
        <f t="shared" si="312"/>
        <v>0</v>
      </c>
      <c r="M509" s="731" t="str">
        <f t="shared" si="292"/>
        <v>0.7968514816+0.998538977085233i</v>
      </c>
      <c r="N509" s="338">
        <f t="shared" si="313"/>
        <v>1.2775180517262912</v>
      </c>
      <c r="O509" s="339">
        <f t="shared" si="314"/>
        <v>0.89726545468383734</v>
      </c>
      <c r="P509" s="732" t="str">
        <f t="shared" si="306"/>
        <v>-0.0207494036465236-0.0262640411773177i</v>
      </c>
      <c r="Q509" s="337">
        <f t="shared" si="315"/>
        <v>3.3471444705154375E-2</v>
      </c>
      <c r="R509" s="339">
        <f t="shared" si="316"/>
        <v>-2.2394289099869322</v>
      </c>
      <c r="S509" s="731" t="str">
        <f t="shared" si="293"/>
        <v>6000</v>
      </c>
      <c r="T509" s="337" t="str">
        <f t="shared" si="294"/>
        <v>1+429041.528170275i</v>
      </c>
      <c r="U509" s="346">
        <f t="shared" si="317"/>
        <v>429041.52817144035</v>
      </c>
      <c r="V509" s="347">
        <f t="shared" si="318"/>
        <v>1.57079399601819</v>
      </c>
      <c r="W509" s="340" t="str">
        <f t="shared" si="295"/>
        <v>1+4247.93592247797i</v>
      </c>
      <c r="X509" s="337">
        <f t="shared" si="319"/>
        <v>4247.9360401821923</v>
      </c>
      <c r="Y509" s="339">
        <f t="shared" si="320"/>
        <v>1.570560918351884</v>
      </c>
      <c r="Z509" s="337" t="str">
        <f t="shared" si="296"/>
        <v>1+42.7913961478566i</v>
      </c>
      <c r="AA509" s="346">
        <f t="shared" si="321"/>
        <v>42.803079144879248</v>
      </c>
      <c r="AB509" s="347">
        <f t="shared" si="322"/>
        <v>1.5474313957562367</v>
      </c>
      <c r="AC509" s="732" t="str">
        <f t="shared" si="323"/>
        <v>0.032101592386008-1.38751815502331i</v>
      </c>
      <c r="AD509" s="337">
        <f t="shared" si="324"/>
        <v>1.3878894562439068</v>
      </c>
      <c r="AE509" s="339">
        <f t="shared" si="325"/>
        <v>-1.5476644734225424</v>
      </c>
      <c r="AF509" s="736" t="str">
        <f t="shared" si="297"/>
        <v>-0.0371079228559215+0.0279470567211748i</v>
      </c>
      <c r="AG509" s="337">
        <f t="shared" si="326"/>
        <v>-26.659413312544082</v>
      </c>
      <c r="AH509" s="730">
        <f t="shared" si="327"/>
        <v>143.01553250871777</v>
      </c>
      <c r="AI509" s="360">
        <f t="shared" si="298"/>
        <v>-36.984467491282231</v>
      </c>
      <c r="AL509" s="337">
        <f t="shared" si="299"/>
        <v>2.8470975290749752</v>
      </c>
      <c r="AM509" s="730">
        <f t="shared" si="300"/>
        <v>-88.674642429448653</v>
      </c>
      <c r="AN509" s="351"/>
      <c r="AO509" s="337">
        <f t="shared" si="301"/>
        <v>23.765420357120362</v>
      </c>
      <c r="AP509" s="730">
        <f t="shared" si="302"/>
        <v>-128.30982506183366</v>
      </c>
      <c r="AS509" s="351"/>
      <c r="AT509" s="351"/>
      <c r="AV509" s="405">
        <f t="shared" si="303"/>
        <v>0</v>
      </c>
      <c r="AW509" s="405">
        <f t="shared" si="328"/>
        <v>0</v>
      </c>
      <c r="AX509" s="405">
        <f t="shared" si="304"/>
        <v>0</v>
      </c>
      <c r="AY509" s="405">
        <f t="shared" si="305"/>
        <v>0</v>
      </c>
    </row>
    <row r="510" spans="2:51" ht="13.5" thickBot="1" x14ac:dyDescent="0.25">
      <c r="B510" s="345">
        <v>68001.75</v>
      </c>
      <c r="C510" s="728" t="str">
        <f t="shared" si="288"/>
        <v>2.16217503399043</v>
      </c>
      <c r="D510" s="728" t="str">
        <f t="shared" si="289"/>
        <v>1+51.9842242362707i</v>
      </c>
      <c r="E510" s="337">
        <f t="shared" si="307"/>
        <v>51.99384164924605</v>
      </c>
      <c r="F510" s="338">
        <f t="shared" si="308"/>
        <v>1.5515620938506558</v>
      </c>
      <c r="G510" s="338" t="str">
        <f t="shared" si="290"/>
        <v>1+0.21363379823125i</v>
      </c>
      <c r="H510" s="337">
        <f t="shared" si="309"/>
        <v>1.0225651078277169</v>
      </c>
      <c r="I510" s="338">
        <f t="shared" si="310"/>
        <v>0.2104699546933633</v>
      </c>
      <c r="J510" s="340">
        <f t="shared" si="291"/>
        <v>1</v>
      </c>
      <c r="K510" s="338">
        <f t="shared" si="311"/>
        <v>1</v>
      </c>
      <c r="L510" s="339">
        <f t="shared" si="312"/>
        <v>0</v>
      </c>
      <c r="M510" s="731" t="str">
        <f t="shared" si="292"/>
        <v>0.794478310975+1.00435448297547i</v>
      </c>
      <c r="N510" s="338">
        <f t="shared" si="313"/>
        <v>1.2805950624934537</v>
      </c>
      <c r="O510" s="339">
        <f t="shared" si="314"/>
        <v>0.90154656146997303</v>
      </c>
      <c r="P510" s="732" t="str">
        <f t="shared" si="306"/>
        <v>-0.0206684507352962-0.0259896387001578i</v>
      </c>
      <c r="Q510" s="337">
        <f t="shared" si="315"/>
        <v>3.3206116538404579E-2</v>
      </c>
      <c r="R510" s="339">
        <f t="shared" si="316"/>
        <v>-2.2426387006272654</v>
      </c>
      <c r="S510" s="731" t="str">
        <f t="shared" si="293"/>
        <v>6000</v>
      </c>
      <c r="T510" s="337" t="str">
        <f t="shared" si="294"/>
        <v>1+431540.272427124i</v>
      </c>
      <c r="U510" s="346">
        <f t="shared" si="317"/>
        <v>431540.27242828265</v>
      </c>
      <c r="V510" s="347">
        <f t="shared" si="318"/>
        <v>1.5707940095140682</v>
      </c>
      <c r="W510" s="340" t="str">
        <f t="shared" si="295"/>
        <v>1+4272.67596462499i</v>
      </c>
      <c r="X510" s="337">
        <f t="shared" si="319"/>
        <v>4272.6760816476708</v>
      </c>
      <c r="Y510" s="339">
        <f t="shared" si="320"/>
        <v>1.5705622814354965</v>
      </c>
      <c r="Z510" s="337" t="str">
        <f t="shared" si="296"/>
        <v>1+43.0406138770191i</v>
      </c>
      <c r="AA510" s="346">
        <f t="shared" si="321"/>
        <v>43.052229244380001</v>
      </c>
      <c r="AB510" s="347">
        <f t="shared" si="322"/>
        <v>1.5475666367269976</v>
      </c>
      <c r="AC510" s="732" t="str">
        <f t="shared" si="323"/>
        <v>0.0317311134630971-1.37949262717645i</v>
      </c>
      <c r="AD510" s="337">
        <f t="shared" si="324"/>
        <v>1.3798575187300288</v>
      </c>
      <c r="AE510" s="339">
        <f t="shared" si="325"/>
        <v>-1.5477983648055693</v>
      </c>
      <c r="AF510" s="736" t="str">
        <f t="shared" si="297"/>
        <v>-0.0365083479252355+0.0276872952300412i</v>
      </c>
      <c r="AG510" s="337">
        <f t="shared" si="326"/>
        <v>-26.778953357971371</v>
      </c>
      <c r="AH510" s="730">
        <f t="shared" si="327"/>
        <v>142.82395364074546</v>
      </c>
      <c r="AI510" s="360">
        <f t="shared" si="298"/>
        <v>-37.176046359254542</v>
      </c>
      <c r="AL510" s="337">
        <f t="shared" si="299"/>
        <v>2.7966848870978622</v>
      </c>
      <c r="AM510" s="730">
        <f t="shared" si="300"/>
        <v>-88.682313840609254</v>
      </c>
      <c r="AN510" s="351"/>
      <c r="AO510" s="337">
        <f t="shared" si="301"/>
        <v>23.696292953670209</v>
      </c>
      <c r="AP510" s="730">
        <f t="shared" si="302"/>
        <v>-128.4937325186452</v>
      </c>
      <c r="AS510" s="351"/>
      <c r="AT510" s="351"/>
      <c r="AV510" s="405">
        <f t="shared" si="303"/>
        <v>0</v>
      </c>
      <c r="AW510" s="405">
        <f t="shared" si="328"/>
        <v>0</v>
      </c>
      <c r="AX510" s="405">
        <f t="shared" si="304"/>
        <v>0</v>
      </c>
      <c r="AY510" s="405">
        <f t="shared" si="305"/>
        <v>0</v>
      </c>
    </row>
    <row r="511" spans="2:51" ht="13.5" thickBot="1" x14ac:dyDescent="0.25">
      <c r="B511" s="345">
        <v>68395.5</v>
      </c>
      <c r="C511" s="728" t="str">
        <f t="shared" si="288"/>
        <v>2.16217503399043</v>
      </c>
      <c r="D511" s="728" t="str">
        <f t="shared" si="289"/>
        <v>1+52.2852280823928i</v>
      </c>
      <c r="E511" s="337">
        <f t="shared" si="307"/>
        <v>52.294790138481638</v>
      </c>
      <c r="F511" s="338">
        <f t="shared" si="308"/>
        <v>1.5516727974430264</v>
      </c>
      <c r="G511" s="338" t="str">
        <f t="shared" si="290"/>
        <v>1+0.214870800338601i</v>
      </c>
      <c r="H511" s="337">
        <f t="shared" si="309"/>
        <v>1.0228242570638177</v>
      </c>
      <c r="I511" s="338">
        <f t="shared" si="310"/>
        <v>0.21165266546465913</v>
      </c>
      <c r="J511" s="340">
        <f t="shared" si="291"/>
        <v>1</v>
      </c>
      <c r="K511" s="338">
        <f t="shared" si="311"/>
        <v>1</v>
      </c>
      <c r="L511" s="339">
        <f t="shared" si="312"/>
        <v>0</v>
      </c>
      <c r="M511" s="731" t="str">
        <f t="shared" si="292"/>
        <v>0.7920913591+1.01016998886571i</v>
      </c>
      <c r="N511" s="338">
        <f t="shared" si="313"/>
        <v>1.2836869273953966</v>
      </c>
      <c r="O511" s="339">
        <f t="shared" si="314"/>
        <v>0.90581551481178146</v>
      </c>
      <c r="P511" s="732" t="str">
        <f t="shared" si="306"/>
        <v>-0.0205875334434045-0.0257186815878061i</v>
      </c>
      <c r="Q511" s="337">
        <f t="shared" si="315"/>
        <v>3.2943847921854168E-2</v>
      </c>
      <c r="R511" s="339">
        <f t="shared" si="316"/>
        <v>-2.2458356467901468</v>
      </c>
      <c r="S511" s="731" t="str">
        <f t="shared" si="293"/>
        <v>6000</v>
      </c>
      <c r="T511" s="337" t="str">
        <f t="shared" si="294"/>
        <v>1+434039.016683973i</v>
      </c>
      <c r="U511" s="346">
        <f t="shared" si="317"/>
        <v>434039.01668512501</v>
      </c>
      <c r="V511" s="347">
        <f t="shared" si="318"/>
        <v>1.5707940228545558</v>
      </c>
      <c r="W511" s="340" t="str">
        <f t="shared" si="295"/>
        <v>1+4297.41600677201i</v>
      </c>
      <c r="X511" s="337">
        <f t="shared" si="319"/>
        <v>4297.4161231209964</v>
      </c>
      <c r="Y511" s="339">
        <f t="shared" si="320"/>
        <v>1.5705636288246805</v>
      </c>
      <c r="Z511" s="337" t="str">
        <f t="shared" si="296"/>
        <v>1+43.2898316061817i</v>
      </c>
      <c r="AA511" s="346">
        <f t="shared" si="321"/>
        <v>43.301380122249775</v>
      </c>
      <c r="AB511" s="347">
        <f t="shared" si="322"/>
        <v>1.5477003213799663</v>
      </c>
      <c r="AC511" s="732" t="str">
        <f t="shared" si="323"/>
        <v>0.0313670100487982-1.37155935730333i</v>
      </c>
      <c r="AD511" s="337">
        <f t="shared" si="324"/>
        <v>1.3719179858598416</v>
      </c>
      <c r="AE511" s="339">
        <f t="shared" si="325"/>
        <v>-1.5479307154098416</v>
      </c>
      <c r="AF511" s="736" t="str">
        <f t="shared" si="297"/>
        <v>-0.0359204677576596+0.0274303059942901i</v>
      </c>
      <c r="AG511" s="337">
        <f t="shared" si="326"/>
        <v>-26.897950516096717</v>
      </c>
      <c r="AH511" s="730">
        <f t="shared" si="327"/>
        <v>142.63319898724112</v>
      </c>
      <c r="AI511" s="360">
        <f t="shared" si="298"/>
        <v>-37.366801012758884</v>
      </c>
      <c r="AL511" s="337">
        <f t="shared" si="299"/>
        <v>2.7465629948617458</v>
      </c>
      <c r="AM511" s="730">
        <f t="shared" si="300"/>
        <v>-88.689896971650072</v>
      </c>
      <c r="AN511" s="351"/>
      <c r="AO511" s="337">
        <f t="shared" si="301"/>
        <v>23.627417687780969</v>
      </c>
      <c r="AP511" s="730">
        <f t="shared" si="302"/>
        <v>-128.67690404110888</v>
      </c>
      <c r="AS511" s="351"/>
      <c r="AT511" s="351"/>
      <c r="AV511" s="405">
        <f t="shared" si="303"/>
        <v>0</v>
      </c>
      <c r="AW511" s="405">
        <f t="shared" si="328"/>
        <v>0</v>
      </c>
      <c r="AX511" s="405">
        <f t="shared" si="304"/>
        <v>0</v>
      </c>
      <c r="AY511" s="405">
        <f t="shared" si="305"/>
        <v>0</v>
      </c>
    </row>
    <row r="512" spans="2:51" ht="13.5" thickBot="1" x14ac:dyDescent="0.25">
      <c r="B512" s="345">
        <v>68789.25</v>
      </c>
      <c r="C512" s="728" t="str">
        <f t="shared" si="288"/>
        <v>2.16217503399043</v>
      </c>
      <c r="D512" s="728" t="str">
        <f t="shared" si="289"/>
        <v>1+52.5862319285149i</v>
      </c>
      <c r="E512" s="337">
        <f t="shared" si="307"/>
        <v>52.59573926127058</v>
      </c>
      <c r="F512" s="338">
        <f t="shared" si="308"/>
        <v>1.5517822341603784</v>
      </c>
      <c r="G512" s="338" t="str">
        <f t="shared" si="290"/>
        <v>1+0.216107802445952i</v>
      </c>
      <c r="H512" s="337">
        <f t="shared" si="309"/>
        <v>1.0230848363053862</v>
      </c>
      <c r="I512" s="338">
        <f t="shared" si="310"/>
        <v>0.21283477541700696</v>
      </c>
      <c r="J512" s="340">
        <f t="shared" si="291"/>
        <v>1</v>
      </c>
      <c r="K512" s="338">
        <f t="shared" si="311"/>
        <v>1</v>
      </c>
      <c r="L512" s="339">
        <f t="shared" si="312"/>
        <v>0</v>
      </c>
      <c r="M512" s="731" t="str">
        <f t="shared" si="292"/>
        <v>0.789690625975+1.01598549475595i</v>
      </c>
      <c r="N512" s="338">
        <f t="shared" si="313"/>
        <v>1.286793616050095</v>
      </c>
      <c r="O512" s="339">
        <f t="shared" si="314"/>
        <v>0.91007233214581684</v>
      </c>
      <c r="P512" s="732" t="str">
        <f t="shared" si="306"/>
        <v>-0.0205066594307341-0.0254511160763858i</v>
      </c>
      <c r="Q512" s="337">
        <f t="shared" si="315"/>
        <v>3.2684589496302069E-2</v>
      </c>
      <c r="R512" s="339">
        <f t="shared" si="316"/>
        <v>-2.2490197908891871</v>
      </c>
      <c r="S512" s="731" t="str">
        <f t="shared" si="293"/>
        <v>6000</v>
      </c>
      <c r="T512" s="337" t="str">
        <f t="shared" si="294"/>
        <v>1+436537.760940822i</v>
      </c>
      <c r="U512" s="346">
        <f t="shared" si="317"/>
        <v>436537.76094196737</v>
      </c>
      <c r="V512" s="347">
        <f t="shared" si="318"/>
        <v>1.5707940360423216</v>
      </c>
      <c r="W512" s="340" t="str">
        <f t="shared" si="295"/>
        <v>1+4322.15604891903i</v>
      </c>
      <c r="X512" s="337">
        <f t="shared" si="319"/>
        <v>4322.1561646020336</v>
      </c>
      <c r="Y512" s="339">
        <f t="shared" si="320"/>
        <v>1.5705649607889407</v>
      </c>
      <c r="Z512" s="337" t="str">
        <f t="shared" si="296"/>
        <v>1+43.5390493353442i</v>
      </c>
      <c r="AA512" s="346">
        <f t="shared" si="321"/>
        <v>43.5505317651293</v>
      </c>
      <c r="AB512" s="347">
        <f t="shared" si="322"/>
        <v>1.5478324764213032</v>
      </c>
      <c r="AC512" s="732" t="str">
        <f t="shared" si="323"/>
        <v>0.0310091367165838-1.36371676448886i</v>
      </c>
      <c r="AD512" s="337">
        <f t="shared" si="324"/>
        <v>1.3640692725473558</v>
      </c>
      <c r="AE512" s="339">
        <f t="shared" si="325"/>
        <v>-1.5480615516746841</v>
      </c>
      <c r="AF512" s="736" t="str">
        <f t="shared" si="297"/>
        <v>-0.0353440074742073+0.0271760581113534i</v>
      </c>
      <c r="AG512" s="337">
        <f t="shared" si="326"/>
        <v>-27.016410784508817</v>
      </c>
      <c r="AH512" s="730">
        <f t="shared" si="327"/>
        <v>142.44326460322182</v>
      </c>
      <c r="AI512" s="360">
        <f t="shared" si="298"/>
        <v>-37.55673539677818</v>
      </c>
      <c r="AL512" s="337">
        <f t="shared" si="299"/>
        <v>2.6967285196224653</v>
      </c>
      <c r="AM512" s="730">
        <f t="shared" si="300"/>
        <v>-88.6973933374328</v>
      </c>
      <c r="AN512" s="351"/>
      <c r="AO512" s="337">
        <f t="shared" si="301"/>
        <v>23.558791894608156</v>
      </c>
      <c r="AP512" s="730">
        <f t="shared" si="302"/>
        <v>-128.85934205934529</v>
      </c>
      <c r="AS512" s="351"/>
      <c r="AT512" s="351"/>
      <c r="AV512" s="405">
        <f t="shared" si="303"/>
        <v>0</v>
      </c>
      <c r="AW512" s="405">
        <f t="shared" si="328"/>
        <v>0</v>
      </c>
      <c r="AX512" s="405">
        <f t="shared" si="304"/>
        <v>0</v>
      </c>
      <c r="AY512" s="405">
        <f t="shared" si="305"/>
        <v>0</v>
      </c>
    </row>
    <row r="513" spans="2:51" ht="13.5" thickBot="1" x14ac:dyDescent="0.25">
      <c r="B513" s="345">
        <v>69183</v>
      </c>
      <c r="C513" s="728" t="str">
        <f t="shared" si="288"/>
        <v>2.16217503399043</v>
      </c>
      <c r="D513" s="728" t="str">
        <f t="shared" si="289"/>
        <v>1+52.8872357746369i</v>
      </c>
      <c r="E513" s="337">
        <f t="shared" si="307"/>
        <v>52.896689006799221</v>
      </c>
      <c r="F513" s="338">
        <f t="shared" si="308"/>
        <v>1.5518904256232955</v>
      </c>
      <c r="G513" s="338" t="str">
        <f t="shared" si="290"/>
        <v>1+0.217344804553302i</v>
      </c>
      <c r="H513" s="337">
        <f t="shared" si="309"/>
        <v>1.023346844460036</v>
      </c>
      <c r="I513" s="338">
        <f t="shared" si="310"/>
        <v>0.21401628170691725</v>
      </c>
      <c r="J513" s="340">
        <f t="shared" si="291"/>
        <v>1</v>
      </c>
      <c r="K513" s="338">
        <f t="shared" si="311"/>
        <v>1</v>
      </c>
      <c r="L513" s="339">
        <f t="shared" si="312"/>
        <v>0</v>
      </c>
      <c r="M513" s="731" t="str">
        <f t="shared" si="292"/>
        <v>0.7872761116+1.02180100064619i</v>
      </c>
      <c r="N513" s="338">
        <f t="shared" si="313"/>
        <v>1.2899150982981673</v>
      </c>
      <c r="O513" s="339">
        <f t="shared" si="314"/>
        <v>0.91431703140568787</v>
      </c>
      <c r="P513" s="732" t="str">
        <f t="shared" si="306"/>
        <v>-0.0204258361626396-0.0251868895021999i</v>
      </c>
      <c r="Q513" s="337">
        <f t="shared" si="315"/>
        <v>3.2428292982194164E-2</v>
      </c>
      <c r="R513" s="339">
        <f t="shared" si="316"/>
        <v>-2.252191175322066</v>
      </c>
      <c r="S513" s="731" t="str">
        <f t="shared" si="293"/>
        <v>6000</v>
      </c>
      <c r="T513" s="337" t="str">
        <f t="shared" si="294"/>
        <v>1+439036.505197671i</v>
      </c>
      <c r="U513" s="346">
        <f t="shared" si="317"/>
        <v>439036.50519880984</v>
      </c>
      <c r="V513" s="347">
        <f t="shared" si="318"/>
        <v>1.5707940490799728</v>
      </c>
      <c r="W513" s="340" t="str">
        <f t="shared" si="295"/>
        <v>1+4346.89609106605i</v>
      </c>
      <c r="X513" s="337">
        <f t="shared" si="319"/>
        <v>4346.8962060906515</v>
      </c>
      <c r="Y513" s="339">
        <f t="shared" si="320"/>
        <v>1.5705662775916469</v>
      </c>
      <c r="Z513" s="337" t="str">
        <f t="shared" si="296"/>
        <v>1+43.7882670645067i</v>
      </c>
      <c r="AA513" s="346">
        <f t="shared" si="321"/>
        <v>43.799684159963554</v>
      </c>
      <c r="AB513" s="347">
        <f t="shared" si="322"/>
        <v>1.547963127949719</v>
      </c>
      <c r="AC513" s="732" t="str">
        <f t="shared" si="323"/>
        <v>0.0306573521621961-1.3559633037144i</v>
      </c>
      <c r="AD513" s="337">
        <f t="shared" si="324"/>
        <v>1.3563098297445417</v>
      </c>
      <c r="AE513" s="339">
        <f t="shared" si="325"/>
        <v>-1.5481908994380449</v>
      </c>
      <c r="AF513" s="736" t="str">
        <f t="shared" si="297"/>
        <v>-0.0347786999521379+0.0269245209428826i</v>
      </c>
      <c r="AG513" s="337">
        <f t="shared" si="326"/>
        <v>-27.134340052136864</v>
      </c>
      <c r="AH513" s="730">
        <f t="shared" si="327"/>
        <v>142.25414657907436</v>
      </c>
      <c r="AI513" s="360">
        <f t="shared" si="298"/>
        <v>-37.745853420925641</v>
      </c>
      <c r="AL513" s="337">
        <f t="shared" si="299"/>
        <v>2.6471781855818737</v>
      </c>
      <c r="AM513" s="730">
        <f t="shared" si="300"/>
        <v>-88.704804418362826</v>
      </c>
      <c r="AN513" s="351"/>
      <c r="AO513" s="337">
        <f t="shared" si="301"/>
        <v>23.490412961020709</v>
      </c>
      <c r="AP513" s="730">
        <f t="shared" si="302"/>
        <v>-129.04104900256272</v>
      </c>
      <c r="AS513" s="351"/>
      <c r="AT513" s="351"/>
      <c r="AV513" s="405">
        <f t="shared" si="303"/>
        <v>0</v>
      </c>
      <c r="AW513" s="405">
        <f t="shared" si="328"/>
        <v>0</v>
      </c>
      <c r="AX513" s="405">
        <f t="shared" si="304"/>
        <v>0</v>
      </c>
      <c r="AY513" s="405">
        <f t="shared" si="305"/>
        <v>0</v>
      </c>
    </row>
    <row r="514" spans="2:51" ht="13.5" thickBot="1" x14ac:dyDescent="0.25">
      <c r="B514" s="345">
        <v>69586</v>
      </c>
      <c r="C514" s="728" t="str">
        <f t="shared" si="288"/>
        <v>2.16217503399043</v>
      </c>
      <c r="D514" s="728" t="str">
        <f t="shared" si="289"/>
        <v>1+53.1953108222236i</v>
      </c>
      <c r="E514" s="337">
        <f t="shared" si="307"/>
        <v>53.204709316685289</v>
      </c>
      <c r="F514" s="338">
        <f t="shared" si="308"/>
        <v>1.551999891298822</v>
      </c>
      <c r="G514" s="338" t="str">
        <f t="shared" si="290"/>
        <v>1+0.218610866392699i</v>
      </c>
      <c r="H514" s="337">
        <f t="shared" si="309"/>
        <v>1.0236164862412906</v>
      </c>
      <c r="I514" s="338">
        <f t="shared" si="310"/>
        <v>0.21522491595927828</v>
      </c>
      <c r="J514" s="340">
        <f t="shared" si="291"/>
        <v>1</v>
      </c>
      <c r="K514" s="338">
        <f t="shared" si="311"/>
        <v>1</v>
      </c>
      <c r="L514" s="339">
        <f t="shared" si="312"/>
        <v>0</v>
      </c>
      <c r="M514" s="731" t="str">
        <f t="shared" si="292"/>
        <v>0.784790604622222+1.02775312477004i</v>
      </c>
      <c r="N514" s="338">
        <f t="shared" si="313"/>
        <v>1.2931251983384648</v>
      </c>
      <c r="O514" s="339">
        <f t="shared" si="314"/>
        <v>0.91864891820100036</v>
      </c>
      <c r="P514" s="732" t="str">
        <f t="shared" si="306"/>
        <v>-0.0203431743274075-0.0249198593792927i</v>
      </c>
      <c r="Q514" s="337">
        <f t="shared" si="315"/>
        <v>3.2168993350725386E-2</v>
      </c>
      <c r="R514" s="339">
        <f t="shared" si="316"/>
        <v>-2.2554238935405442</v>
      </c>
      <c r="S514" s="731" t="str">
        <f t="shared" si="293"/>
        <v>6000</v>
      </c>
      <c r="T514" s="337" t="str">
        <f t="shared" si="294"/>
        <v>1+441593.950113253i</v>
      </c>
      <c r="U514" s="346">
        <f t="shared" si="317"/>
        <v>441593.95011438534</v>
      </c>
      <c r="V514" s="347">
        <f t="shared" si="318"/>
        <v>1.5707940622711192</v>
      </c>
      <c r="W514" s="340" t="str">
        <f t="shared" si="295"/>
        <v>1+4372.21732785399i</v>
      </c>
      <c r="X514" s="337">
        <f t="shared" si="319"/>
        <v>4372.217442212439</v>
      </c>
      <c r="Y514" s="339">
        <f t="shared" si="320"/>
        <v>1.5705676098973644</v>
      </c>
      <c r="Z514" s="337" t="str">
        <f t="shared" si="296"/>
        <v>1+44.0433394323861i</v>
      </c>
      <c r="AA514" s="346">
        <f t="shared" si="321"/>
        <v>44.054690424021551</v>
      </c>
      <c r="AB514" s="347">
        <f t="shared" si="322"/>
        <v>1.5480953184610506</v>
      </c>
      <c r="AC514" s="732" t="str">
        <f t="shared" si="323"/>
        <v>0.0303034651896188-1.34811841982339i</v>
      </c>
      <c r="AD514" s="337">
        <f t="shared" si="324"/>
        <v>1.3484589626197796</v>
      </c>
      <c r="AE514" s="339">
        <f t="shared" si="325"/>
        <v>-1.5483217708348054</v>
      </c>
      <c r="AF514" s="736" t="str">
        <f t="shared" si="297"/>
        <v>-0.0342113901237101+0.0266698499372258i</v>
      </c>
      <c r="AG514" s="337">
        <f t="shared" si="326"/>
        <v>-27.25449589732392</v>
      </c>
      <c r="AH514" s="730">
        <f t="shared" si="327"/>
        <v>142.06142709010709</v>
      </c>
      <c r="AI514" s="360">
        <f t="shared" si="298"/>
        <v>-37.938572909892912</v>
      </c>
      <c r="AL514" s="337">
        <f t="shared" si="299"/>
        <v>2.5967546838691149</v>
      </c>
      <c r="AM514" s="730">
        <f t="shared" si="300"/>
        <v>-88.712302797056182</v>
      </c>
      <c r="AN514" s="351"/>
      <c r="AO514" s="337">
        <f t="shared" si="301"/>
        <v>23.420680617546381</v>
      </c>
      <c r="AP514" s="730">
        <f t="shared" si="302"/>
        <v>-129.22627011283672</v>
      </c>
      <c r="AS514" s="351"/>
      <c r="AT514" s="351"/>
      <c r="AV514" s="405">
        <f t="shared" si="303"/>
        <v>0</v>
      </c>
      <c r="AW514" s="405">
        <f t="shared" si="328"/>
        <v>0</v>
      </c>
      <c r="AX514" s="405">
        <f t="shared" si="304"/>
        <v>0</v>
      </c>
      <c r="AY514" s="405">
        <f t="shared" si="305"/>
        <v>0</v>
      </c>
    </row>
    <row r="515" spans="2:51" ht="13.5" thickBot="1" x14ac:dyDescent="0.25">
      <c r="B515" s="345">
        <v>69989</v>
      </c>
      <c r="C515" s="728" t="str">
        <f t="shared" si="288"/>
        <v>2.16217503399043</v>
      </c>
      <c r="D515" s="728" t="str">
        <f t="shared" si="289"/>
        <v>1+53.50338586981i</v>
      </c>
      <c r="E515" s="337">
        <f t="shared" si="307"/>
        <v>53.512730256769593</v>
      </c>
      <c r="F515" s="338">
        <f t="shared" si="308"/>
        <v>1.5521080967999654</v>
      </c>
      <c r="G515" s="338" t="str">
        <f t="shared" si="290"/>
        <v>1+0.219876928232096i</v>
      </c>
      <c r="H515" s="337">
        <f t="shared" si="309"/>
        <v>1.0238876225293392</v>
      </c>
      <c r="I515" s="338">
        <f t="shared" si="310"/>
        <v>0.21643291185719388</v>
      </c>
      <c r="J515" s="340">
        <f t="shared" si="291"/>
        <v>1</v>
      </c>
      <c r="K515" s="338">
        <f t="shared" si="311"/>
        <v>1</v>
      </c>
      <c r="L515" s="339">
        <f t="shared" si="312"/>
        <v>0</v>
      </c>
      <c r="M515" s="731" t="str">
        <f t="shared" si="292"/>
        <v>0.782290661288889+1.0337052488939i</v>
      </c>
      <c r="N515" s="338">
        <f t="shared" si="313"/>
        <v>1.2963507319898451</v>
      </c>
      <c r="O515" s="339">
        <f t="shared" si="314"/>
        <v>0.92296815044116209</v>
      </c>
      <c r="P515" s="732" t="str">
        <f t="shared" si="306"/>
        <v>-0.0202605808679419-0.0246562186854793i</v>
      </c>
      <c r="Q515" s="337">
        <f t="shared" si="315"/>
        <v>3.1912697425516882E-2</v>
      </c>
      <c r="R515" s="339">
        <f t="shared" si="316"/>
        <v>-2.2586433353839332</v>
      </c>
      <c r="S515" s="731" t="str">
        <f t="shared" si="293"/>
        <v>6000</v>
      </c>
      <c r="T515" s="337" t="str">
        <f t="shared" si="294"/>
        <v>1+444151.395028834i</v>
      </c>
      <c r="U515" s="346">
        <f t="shared" si="317"/>
        <v>444151.39502995973</v>
      </c>
      <c r="V515" s="347">
        <f t="shared" si="318"/>
        <v>1.5707940753103551</v>
      </c>
      <c r="W515" s="340" t="str">
        <f t="shared" si="295"/>
        <v>1+4397.53856464192i</v>
      </c>
      <c r="X515" s="337">
        <f t="shared" si="319"/>
        <v>4397.5386783418871</v>
      </c>
      <c r="Y515" s="339">
        <f t="shared" si="320"/>
        <v>1.5705689268601233</v>
      </c>
      <c r="Z515" s="337" t="str">
        <f t="shared" si="296"/>
        <v>1+44.2984118002654i</v>
      </c>
      <c r="AA515" s="346">
        <f t="shared" si="321"/>
        <v>44.309697449044869</v>
      </c>
      <c r="AB515" s="347">
        <f t="shared" si="322"/>
        <v>1.5482259874337181</v>
      </c>
      <c r="AC515" s="732" t="str">
        <f t="shared" si="323"/>
        <v>0.0299556695429206-1.34036374085707i</v>
      </c>
      <c r="AD515" s="337">
        <f t="shared" si="324"/>
        <v>1.3406984373609614</v>
      </c>
      <c r="AE515" s="339">
        <f t="shared" si="325"/>
        <v>-1.5484511358839499</v>
      </c>
      <c r="AF515" s="736" t="str">
        <f t="shared" si="297"/>
        <v>-0.0336552207778867+0.0264179544249716i</v>
      </c>
      <c r="AG515" s="337">
        <f t="shared" si="326"/>
        <v>-27.374107645135179</v>
      </c>
      <c r="AH515" s="730">
        <f t="shared" si="327"/>
        <v>141.86955458876062</v>
      </c>
      <c r="AI515" s="360">
        <f t="shared" si="298"/>
        <v>-38.130445411239378</v>
      </c>
      <c r="AL515" s="337">
        <f t="shared" si="299"/>
        <v>2.5466220638455694</v>
      </c>
      <c r="AM515" s="730">
        <f t="shared" si="300"/>
        <v>-88.719714868388664</v>
      </c>
      <c r="AN515" s="351"/>
      <c r="AO515" s="337">
        <f t="shared" si="301"/>
        <v>23.351201489758683</v>
      </c>
      <c r="AP515" s="730">
        <f t="shared" si="302"/>
        <v>-129.4107305428507</v>
      </c>
      <c r="AS515" s="351"/>
      <c r="AT515" s="351"/>
      <c r="AV515" s="405">
        <f t="shared" si="303"/>
        <v>0</v>
      </c>
      <c r="AW515" s="405">
        <f t="shared" si="328"/>
        <v>0</v>
      </c>
      <c r="AX515" s="405">
        <f t="shared" si="304"/>
        <v>0</v>
      </c>
      <c r="AY515" s="405">
        <f t="shared" si="305"/>
        <v>0</v>
      </c>
    </row>
    <row r="516" spans="2:51" ht="13.5" thickBot="1" x14ac:dyDescent="0.25">
      <c r="B516" s="345">
        <v>70392</v>
      </c>
      <c r="C516" s="728" t="str">
        <f t="shared" si="288"/>
        <v>2.16217503399043</v>
      </c>
      <c r="D516" s="728" t="str">
        <f t="shared" si="289"/>
        <v>1+53.8114609173965i</v>
      </c>
      <c r="E516" s="337">
        <f t="shared" si="307"/>
        <v>53.82075181623248</v>
      </c>
      <c r="F516" s="338">
        <f t="shared" si="308"/>
        <v>1.5522150637604828</v>
      </c>
      <c r="G516" s="338" t="str">
        <f t="shared" si="290"/>
        <v>1+0.221142990071492i</v>
      </c>
      <c r="H516" s="337">
        <f t="shared" si="309"/>
        <v>1.0241602521372131</v>
      </c>
      <c r="I516" s="338">
        <f t="shared" si="310"/>
        <v>0.21764026638351688</v>
      </c>
      <c r="J516" s="340">
        <f t="shared" si="291"/>
        <v>1</v>
      </c>
      <c r="K516" s="338">
        <f t="shared" si="311"/>
        <v>1</v>
      </c>
      <c r="L516" s="339">
        <f t="shared" si="312"/>
        <v>0</v>
      </c>
      <c r="M516" s="731" t="str">
        <f t="shared" si="292"/>
        <v>0.7797762816+1.03965737301775i</v>
      </c>
      <c r="N516" s="338">
        <f t="shared" si="313"/>
        <v>1.2995916676464541</v>
      </c>
      <c r="O516" s="339">
        <f t="shared" si="314"/>
        <v>0.92727474890349926</v>
      </c>
      <c r="P516" s="732" t="str">
        <f t="shared" si="306"/>
        <v>-0.0201780631837419-0.0243959143460173i</v>
      </c>
      <c r="Q516" s="337">
        <f t="shared" si="315"/>
        <v>3.165935676265854E-2</v>
      </c>
      <c r="R516" s="339">
        <f t="shared" si="316"/>
        <v>-2.2618495462804673</v>
      </c>
      <c r="S516" s="731" t="str">
        <f t="shared" si="293"/>
        <v>6000</v>
      </c>
      <c r="T516" s="337" t="str">
        <f t="shared" si="294"/>
        <v>1+446708.839944415i</v>
      </c>
      <c r="U516" s="346">
        <f t="shared" si="317"/>
        <v>446708.8399455343</v>
      </c>
      <c r="V516" s="347">
        <f t="shared" si="318"/>
        <v>1.5707940882002895</v>
      </c>
      <c r="W516" s="340" t="str">
        <f t="shared" si="295"/>
        <v>1+4422.85980142985i</v>
      </c>
      <c r="X516" s="337">
        <f t="shared" si="319"/>
        <v>4422.8599144788768</v>
      </c>
      <c r="Y516" s="339">
        <f t="shared" si="320"/>
        <v>1.570570228743442</v>
      </c>
      <c r="Z516" s="337" t="str">
        <f t="shared" si="296"/>
        <v>1+44.5534841681447i</v>
      </c>
      <c r="AA516" s="346">
        <f t="shared" si="321"/>
        <v>44.564705221970449</v>
      </c>
      <c r="AB516" s="347">
        <f t="shared" si="322"/>
        <v>1.548355160982827</v>
      </c>
      <c r="AC516" s="732" t="str">
        <f t="shared" si="323"/>
        <v>0.0296138262462194-1.33269772064284i</v>
      </c>
      <c r="AD516" s="337">
        <f t="shared" si="324"/>
        <v>1.3330267039003993</v>
      </c>
      <c r="AE516" s="339">
        <f t="shared" si="325"/>
        <v>-1.5485790204396745</v>
      </c>
      <c r="AF516" s="736" t="str">
        <f t="shared" si="297"/>
        <v>-0.0331099290990438+0.0261688024433994i</v>
      </c>
      <c r="AG516" s="337">
        <f t="shared" si="326"/>
        <v>-27.493181272409327</v>
      </c>
      <c r="AH516" s="730">
        <f t="shared" si="327"/>
        <v>141.67852499085251</v>
      </c>
      <c r="AI516" s="360">
        <f t="shared" si="298"/>
        <v>-38.321475009147491</v>
      </c>
      <c r="AL516" s="337">
        <f t="shared" si="299"/>
        <v>2.4967769903840971</v>
      </c>
      <c r="AM516" s="730">
        <f t="shared" si="300"/>
        <v>-88.727042113696598</v>
      </c>
      <c r="AN516" s="351"/>
      <c r="AO516" s="337">
        <f t="shared" si="301"/>
        <v>23.281972935946005</v>
      </c>
      <c r="AP516" s="730">
        <f t="shared" si="302"/>
        <v>-129.59443289545104</v>
      </c>
      <c r="AS516" s="351"/>
      <c r="AT516" s="351"/>
      <c r="AV516" s="405">
        <f t="shared" si="303"/>
        <v>0</v>
      </c>
      <c r="AW516" s="405">
        <f t="shared" si="328"/>
        <v>0</v>
      </c>
      <c r="AX516" s="405">
        <f t="shared" si="304"/>
        <v>0</v>
      </c>
      <c r="AY516" s="405">
        <f t="shared" si="305"/>
        <v>0</v>
      </c>
    </row>
    <row r="517" spans="2:51" ht="13.5" thickBot="1" x14ac:dyDescent="0.25">
      <c r="B517" s="345">
        <v>70795</v>
      </c>
      <c r="C517" s="728" t="str">
        <f t="shared" si="288"/>
        <v>2.16217503399043</v>
      </c>
      <c r="D517" s="728" t="str">
        <f t="shared" si="289"/>
        <v>1+54.1195359649831i</v>
      </c>
      <c r="E517" s="337">
        <f t="shared" si="307"/>
        <v>54.128773984500135</v>
      </c>
      <c r="F517" s="338">
        <f t="shared" si="308"/>
        <v>1.5523208133218149</v>
      </c>
      <c r="G517" s="338" t="str">
        <f t="shared" si="290"/>
        <v>1+0.222409051910889i</v>
      </c>
      <c r="H517" s="337">
        <f t="shared" si="309"/>
        <v>1.0244343738726756</v>
      </c>
      <c r="I517" s="338">
        <f t="shared" si="310"/>
        <v>0.21884697653178553</v>
      </c>
      <c r="J517" s="340">
        <f t="shared" si="291"/>
        <v>1</v>
      </c>
      <c r="K517" s="338">
        <f t="shared" si="311"/>
        <v>1</v>
      </c>
      <c r="L517" s="339">
        <f t="shared" si="312"/>
        <v>0</v>
      </c>
      <c r="M517" s="731" t="str">
        <f t="shared" si="292"/>
        <v>0.777247465555555+1.0456094971416i</v>
      </c>
      <c r="N517" s="338">
        <f t="shared" si="313"/>
        <v>1.3028479739498553</v>
      </c>
      <c r="O517" s="339">
        <f t="shared" si="314"/>
        <v>0.93156873486548086</v>
      </c>
      <c r="P517" s="732" t="str">
        <f t="shared" si="306"/>
        <v>-0.0200956284796994-0.0241388943674545i</v>
      </c>
      <c r="Q517" s="337">
        <f t="shared" si="315"/>
        <v>3.1408923975157634E-2</v>
      </c>
      <c r="R517" s="339">
        <f t="shared" si="316"/>
        <v>-2.265042571655512</v>
      </c>
      <c r="S517" s="731" t="str">
        <f t="shared" si="293"/>
        <v>6000</v>
      </c>
      <c r="T517" s="337" t="str">
        <f t="shared" si="294"/>
        <v>1+449266.284859997i</v>
      </c>
      <c r="U517" s="346">
        <f t="shared" si="317"/>
        <v>449266.28486110986</v>
      </c>
      <c r="V517" s="347">
        <f t="shared" si="318"/>
        <v>1.5707941009434725</v>
      </c>
      <c r="W517" s="340" t="str">
        <f t="shared" si="295"/>
        <v>1+4448.18103821779i</v>
      </c>
      <c r="X517" s="337">
        <f t="shared" si="319"/>
        <v>4448.1811506232862</v>
      </c>
      <c r="Y517" s="339">
        <f t="shared" si="320"/>
        <v>1.5705715158048399</v>
      </c>
      <c r="Z517" s="337" t="str">
        <f t="shared" si="296"/>
        <v>1+44.8085565360241i</v>
      </c>
      <c r="AA517" s="346">
        <f t="shared" si="321"/>
        <v>44.819713730032547</v>
      </c>
      <c r="AB517" s="347">
        <f t="shared" si="322"/>
        <v>1.548482864629342</v>
      </c>
      <c r="AC517" s="732" t="str">
        <f t="shared" si="323"/>
        <v>0.0292778002639774-1.3251188481265i</v>
      </c>
      <c r="AD517" s="337">
        <f t="shared" si="324"/>
        <v>1.3254422474209879</v>
      </c>
      <c r="AE517" s="339">
        <f t="shared" si="325"/>
        <v>-1.5487054497679744</v>
      </c>
      <c r="AF517" s="736" t="str">
        <f t="shared" si="297"/>
        <v>-0.0325752596960563+0.0259223623355138i</v>
      </c>
      <c r="AG517" s="337">
        <f t="shared" si="326"/>
        <v>-27.611722647736062</v>
      </c>
      <c r="AH517" s="730">
        <f t="shared" si="327"/>
        <v>141.48833424606593</v>
      </c>
      <c r="AI517" s="360">
        <f t="shared" si="298"/>
        <v>-38.511665753934068</v>
      </c>
      <c r="AL517" s="337">
        <f t="shared" si="299"/>
        <v>2.447216185361047</v>
      </c>
      <c r="AM517" s="730">
        <f t="shared" si="300"/>
        <v>-88.734285980614857</v>
      </c>
      <c r="AN517" s="351"/>
      <c r="AO517" s="337">
        <f t="shared" si="301"/>
        <v>23.212992365642307</v>
      </c>
      <c r="AP517" s="730">
        <f t="shared" si="302"/>
        <v>-129.77737977331924</v>
      </c>
      <c r="AS517" s="351"/>
      <c r="AT517" s="351"/>
      <c r="AV517" s="405">
        <f t="shared" si="303"/>
        <v>0</v>
      </c>
      <c r="AW517" s="405">
        <f t="shared" si="328"/>
        <v>0</v>
      </c>
      <c r="AX517" s="405">
        <f t="shared" si="304"/>
        <v>0</v>
      </c>
      <c r="AY517" s="405">
        <f t="shared" si="305"/>
        <v>0</v>
      </c>
    </row>
    <row r="518" spans="2:51" ht="13.5" thickBot="1" x14ac:dyDescent="0.25">
      <c r="B518" s="345">
        <v>71207.25</v>
      </c>
      <c r="C518" s="728" t="str">
        <f t="shared" si="288"/>
        <v>2.16217503399043</v>
      </c>
      <c r="D518" s="728" t="str">
        <f t="shared" si="289"/>
        <v>1+54.4346822140341i</v>
      </c>
      <c r="E518" s="337">
        <f t="shared" si="307"/>
        <v>54.443866759653282</v>
      </c>
      <c r="F518" s="338">
        <f t="shared" si="308"/>
        <v>1.5524277520439844</v>
      </c>
      <c r="G518" s="338" t="str">
        <f t="shared" si="290"/>
        <v>1+0.223704173482332i</v>
      </c>
      <c r="H518" s="337">
        <f t="shared" si="309"/>
        <v>1.0247163301291793</v>
      </c>
      <c r="I518" s="338">
        <f t="shared" si="310"/>
        <v>0.22008071426482403</v>
      </c>
      <c r="J518" s="340">
        <f t="shared" si="291"/>
        <v>1</v>
      </c>
      <c r="K518" s="338">
        <f t="shared" si="311"/>
        <v>1</v>
      </c>
      <c r="L518" s="339">
        <f t="shared" si="312"/>
        <v>0</v>
      </c>
      <c r="M518" s="731" t="str">
        <f t="shared" si="292"/>
        <v>0.774645668775+1.05169823949906i</v>
      </c>
      <c r="N518" s="338">
        <f t="shared" si="313"/>
        <v>1.3061948932365679</v>
      </c>
      <c r="O518" s="339">
        <f t="shared" si="314"/>
        <v>0.93594825269333515</v>
      </c>
      <c r="P518" s="732" t="str">
        <f t="shared" si="306"/>
        <v>-0.0200113948354127-0.0238793202454325i</v>
      </c>
      <c r="Q518" s="337">
        <f t="shared" si="315"/>
        <v>3.1155703468910861E-2</v>
      </c>
      <c r="R518" s="339">
        <f t="shared" si="316"/>
        <v>-2.268295290472496</v>
      </c>
      <c r="S518" s="731" t="str">
        <f t="shared" si="293"/>
        <v>6000</v>
      </c>
      <c r="T518" s="337" t="str">
        <f t="shared" si="294"/>
        <v>1+451882.430434311i</v>
      </c>
      <c r="U518" s="346">
        <f t="shared" si="317"/>
        <v>451882.43043541751</v>
      </c>
      <c r="V518" s="347">
        <f t="shared" si="318"/>
        <v>1.5707941138299024</v>
      </c>
      <c r="W518" s="340" t="str">
        <f t="shared" si="295"/>
        <v>1+4474.08346964664i</v>
      </c>
      <c r="X518" s="337">
        <f t="shared" si="319"/>
        <v>4474.0835814013717</v>
      </c>
      <c r="Y518" s="339">
        <f t="shared" si="320"/>
        <v>1.5705728173342144</v>
      </c>
      <c r="Z518" s="337" t="str">
        <f t="shared" si="296"/>
        <v>1+45.0694835426203i</v>
      </c>
      <c r="AA518" s="346">
        <f t="shared" si="321"/>
        <v>45.080576158679719</v>
      </c>
      <c r="AB518" s="347">
        <f t="shared" si="322"/>
        <v>1.5486120045445506</v>
      </c>
      <c r="AC518" s="732" t="str">
        <f t="shared" si="323"/>
        <v>0.0289399438614982-1.31745465028771i</v>
      </c>
      <c r="AD518" s="337">
        <f t="shared" si="324"/>
        <v>1.3177724674295708</v>
      </c>
      <c r="AE518" s="339">
        <f t="shared" si="325"/>
        <v>-1.5488333010402386</v>
      </c>
      <c r="AF518" s="736" t="str">
        <f t="shared" si="297"/>
        <v>-0.0320390501461816+0.0256730389973044i</v>
      </c>
      <c r="AG518" s="337">
        <f t="shared" si="326"/>
        <v>-27.732440176549066</v>
      </c>
      <c r="AH518" s="730">
        <f t="shared" si="327"/>
        <v>141.29464184760383</v>
      </c>
      <c r="AI518" s="360">
        <f t="shared" si="298"/>
        <v>-38.705358152396172</v>
      </c>
      <c r="AL518" s="337">
        <f t="shared" si="299"/>
        <v>2.396808589525206</v>
      </c>
      <c r="AM518" s="730">
        <f t="shared" si="300"/>
        <v>-88.741611318920974</v>
      </c>
      <c r="AN518" s="351"/>
      <c r="AO518" s="337">
        <f t="shared" si="301"/>
        <v>23.142682432665175</v>
      </c>
      <c r="AP518" s="730">
        <f t="shared" si="302"/>
        <v>-129.96374683347508</v>
      </c>
      <c r="AS518" s="351"/>
      <c r="AT518" s="351"/>
      <c r="AV518" s="405">
        <f t="shared" si="303"/>
        <v>0</v>
      </c>
      <c r="AW518" s="405">
        <f t="shared" si="328"/>
        <v>0</v>
      </c>
      <c r="AX518" s="405">
        <f t="shared" si="304"/>
        <v>0</v>
      </c>
      <c r="AY518" s="405">
        <f t="shared" si="305"/>
        <v>0</v>
      </c>
    </row>
    <row r="519" spans="2:51" ht="13.5" thickBot="1" x14ac:dyDescent="0.25">
      <c r="B519" s="345">
        <v>71619.5</v>
      </c>
      <c r="C519" s="728" t="str">
        <f t="shared" si="288"/>
        <v>2.16217503399043</v>
      </c>
      <c r="D519" s="728" t="str">
        <f t="shared" si="289"/>
        <v>1+54.749828463085i</v>
      </c>
      <c r="E519" s="337">
        <f t="shared" si="307"/>
        <v>54.758960150255156</v>
      </c>
      <c r="F519" s="338">
        <f t="shared" si="308"/>
        <v>1.5525334600761742</v>
      </c>
      <c r="G519" s="338" t="str">
        <f t="shared" si="290"/>
        <v>1+0.224999295053774i</v>
      </c>
      <c r="H519" s="337">
        <f t="shared" si="309"/>
        <v>1.0249998452559372</v>
      </c>
      <c r="I519" s="338">
        <f t="shared" si="310"/>
        <v>0.22131377136972355</v>
      </c>
      <c r="J519" s="340">
        <f t="shared" si="291"/>
        <v>1</v>
      </c>
      <c r="K519" s="338">
        <f t="shared" si="311"/>
        <v>1</v>
      </c>
      <c r="L519" s="339">
        <f t="shared" si="312"/>
        <v>0</v>
      </c>
      <c r="M519" s="731" t="str">
        <f t="shared" si="292"/>
        <v>0.772028765322223+1.05778698185652i</v>
      </c>
      <c r="N519" s="338">
        <f t="shared" si="313"/>
        <v>1.3095578312812619</v>
      </c>
      <c r="O519" s="339">
        <f t="shared" si="314"/>
        <v>0.94031461898665214</v>
      </c>
      <c r="P519" s="732" t="str">
        <f t="shared" si="306"/>
        <v>-0.0199272626716366-0.0236230762610424i</v>
      </c>
      <c r="Q519" s="337">
        <f t="shared" si="315"/>
        <v>3.0905428804975776E-2</v>
      </c>
      <c r="R519" s="339">
        <f t="shared" si="316"/>
        <v>-2.2715343076931038</v>
      </c>
      <c r="S519" s="731" t="str">
        <f t="shared" si="293"/>
        <v>6000</v>
      </c>
      <c r="T519" s="337" t="str">
        <f t="shared" si="294"/>
        <v>1+454498.576008624i</v>
      </c>
      <c r="U519" s="346">
        <f t="shared" si="317"/>
        <v>454498.57600972411</v>
      </c>
      <c r="V519" s="347">
        <f t="shared" si="318"/>
        <v>1.570794126567981</v>
      </c>
      <c r="W519" s="340" t="str">
        <f t="shared" si="295"/>
        <v>1+4499.98590107548i</v>
      </c>
      <c r="X519" s="337">
        <f t="shared" si="319"/>
        <v>4499.9860121869378</v>
      </c>
      <c r="Y519" s="339">
        <f t="shared" si="320"/>
        <v>1.5705741038800871</v>
      </c>
      <c r="Z519" s="337" t="str">
        <f t="shared" si="296"/>
        <v>1+45.3304105492164i</v>
      </c>
      <c r="AA519" s="346">
        <f t="shared" si="321"/>
        <v>45.341439330490047</v>
      </c>
      <c r="AB519" s="347">
        <f t="shared" si="322"/>
        <v>1.5487396584989874</v>
      </c>
      <c r="AC519" s="732" t="str">
        <f t="shared" si="323"/>
        <v>0.0286079010874807-1.3098785561905i</v>
      </c>
      <c r="AD519" s="337">
        <f t="shared" si="324"/>
        <v>1.3101909189016461</v>
      </c>
      <c r="AE519" s="339">
        <f t="shared" si="325"/>
        <v>-1.5489596811868815</v>
      </c>
      <c r="AF519" s="736" t="str">
        <f t="shared" si="297"/>
        <v>-0.0315134381850467+0.0254264874280943i</v>
      </c>
      <c r="AG519" s="337">
        <f t="shared" si="326"/>
        <v>-27.852612826962755</v>
      </c>
      <c r="AH519" s="730">
        <f t="shared" si="327"/>
        <v>141.10181878207595</v>
      </c>
      <c r="AI519" s="360">
        <f t="shared" si="298"/>
        <v>-38.898181217924048</v>
      </c>
      <c r="AL519" s="337">
        <f t="shared" si="299"/>
        <v>2.3466916991314801</v>
      </c>
      <c r="AM519" s="730">
        <f t="shared" si="300"/>
        <v>-88.748852367937857</v>
      </c>
      <c r="AN519" s="351"/>
      <c r="AO519" s="337">
        <f t="shared" si="301"/>
        <v>23.072626672645193</v>
      </c>
      <c r="AP519" s="730">
        <f t="shared" si="302"/>
        <v>-130.1493288499862</v>
      </c>
      <c r="AS519" s="351"/>
      <c r="AT519" s="351"/>
      <c r="AV519" s="405">
        <f t="shared" si="303"/>
        <v>0</v>
      </c>
      <c r="AW519" s="405">
        <f t="shared" si="328"/>
        <v>0</v>
      </c>
      <c r="AX519" s="405">
        <f t="shared" si="304"/>
        <v>0</v>
      </c>
      <c r="AY519" s="405">
        <f t="shared" si="305"/>
        <v>0</v>
      </c>
    </row>
    <row r="520" spans="2:51" ht="13.5" thickBot="1" x14ac:dyDescent="0.25">
      <c r="B520" s="345">
        <v>72031.75</v>
      </c>
      <c r="C520" s="728" t="str">
        <f t="shared" si="288"/>
        <v>2.16217503399043</v>
      </c>
      <c r="D520" s="728" t="str">
        <f t="shared" si="289"/>
        <v>1+55.064974712136i</v>
      </c>
      <c r="E520" s="337">
        <f t="shared" si="307"/>
        <v>55.074054145742508</v>
      </c>
      <c r="F520" s="338">
        <f t="shared" si="308"/>
        <v>1.5526379585393613</v>
      </c>
      <c r="G520" s="338" t="str">
        <f t="shared" si="290"/>
        <v>1+0.226294416625216i</v>
      </c>
      <c r="H520" s="337">
        <f t="shared" si="309"/>
        <v>1.0252849179597576</v>
      </c>
      <c r="I520" s="338">
        <f t="shared" si="310"/>
        <v>0.22254614466312148</v>
      </c>
      <c r="J520" s="340">
        <f t="shared" si="291"/>
        <v>1</v>
      </c>
      <c r="K520" s="338">
        <f t="shared" si="311"/>
        <v>1</v>
      </c>
      <c r="L520" s="339">
        <f t="shared" si="312"/>
        <v>0</v>
      </c>
      <c r="M520" s="731" t="str">
        <f t="shared" si="292"/>
        <v>0.769396755197223+1.06387572421399i</v>
      </c>
      <c r="N520" s="338">
        <f t="shared" si="313"/>
        <v>1.3129367553236742</v>
      </c>
      <c r="O520" s="339">
        <f t="shared" si="314"/>
        <v>0.94466785807375153</v>
      </c>
      <c r="P520" s="732" t="str">
        <f t="shared" si="306"/>
        <v>-0.0198432390972124-0.0233701100830411i</v>
      </c>
      <c r="Q520" s="337">
        <f t="shared" si="315"/>
        <v>3.0658052501139045E-2</v>
      </c>
      <c r="R520" s="339">
        <f t="shared" si="316"/>
        <v>-2.2747596719499903</v>
      </c>
      <c r="S520" s="731" t="str">
        <f t="shared" si="293"/>
        <v>6000</v>
      </c>
      <c r="T520" s="337" t="str">
        <f t="shared" si="294"/>
        <v>1+457114.721582937i</v>
      </c>
      <c r="U520" s="346">
        <f t="shared" si="317"/>
        <v>457114.72158403078</v>
      </c>
      <c r="V520" s="347">
        <f t="shared" si="318"/>
        <v>1.5707941391602553</v>
      </c>
      <c r="W520" s="340" t="str">
        <f t="shared" si="295"/>
        <v>1+4525.88833250433i</v>
      </c>
      <c r="X520" s="337">
        <f t="shared" si="319"/>
        <v>4525.8884429798782</v>
      </c>
      <c r="Y520" s="339">
        <f t="shared" si="320"/>
        <v>1.5705753756997172</v>
      </c>
      <c r="Z520" s="337" t="str">
        <f t="shared" si="296"/>
        <v>1+45.5913375558125i</v>
      </c>
      <c r="AA520" s="346">
        <f t="shared" si="321"/>
        <v>45.602303232710071</v>
      </c>
      <c r="AB520" s="347">
        <f t="shared" si="322"/>
        <v>1.5488658519893737</v>
      </c>
      <c r="AC520" s="732" t="str">
        <f t="shared" si="323"/>
        <v>0.0282815393409381-1.30238905604511i</v>
      </c>
      <c r="AD520" s="337">
        <f t="shared" si="324"/>
        <v>1.3026960884157002</v>
      </c>
      <c r="AE520" s="339">
        <f t="shared" si="325"/>
        <v>-1.5490846154499118</v>
      </c>
      <c r="AF520" s="736" t="str">
        <f t="shared" si="297"/>
        <v>-0.0309981729579017+0.0251826747489803i</v>
      </c>
      <c r="AG520" s="337">
        <f t="shared" si="326"/>
        <v>-27.972246546010201</v>
      </c>
      <c r="AH520" s="730">
        <f t="shared" si="327"/>
        <v>140.90986081677585</v>
      </c>
      <c r="AI520" s="360">
        <f t="shared" si="298"/>
        <v>-39.090139183224153</v>
      </c>
      <c r="AL520" s="337">
        <f t="shared" si="299"/>
        <v>2.2968621819604698</v>
      </c>
      <c r="AM520" s="730">
        <f t="shared" si="300"/>
        <v>-88.756010573926062</v>
      </c>
      <c r="AN520" s="351"/>
      <c r="AO520" s="337">
        <f t="shared" si="301"/>
        <v>23.00282247076877</v>
      </c>
      <c r="AP520" s="730">
        <f t="shared" si="302"/>
        <v>-130.33412860929806</v>
      </c>
      <c r="AS520" s="351"/>
      <c r="AT520" s="351"/>
      <c r="AV520" s="405">
        <f t="shared" si="303"/>
        <v>0</v>
      </c>
      <c r="AW520" s="405">
        <f t="shared" si="328"/>
        <v>0</v>
      </c>
      <c r="AX520" s="405">
        <f t="shared" si="304"/>
        <v>0</v>
      </c>
      <c r="AY520" s="405">
        <f t="shared" si="305"/>
        <v>0</v>
      </c>
    </row>
    <row r="521" spans="2:51" ht="13.5" thickBot="1" x14ac:dyDescent="0.25">
      <c r="B521" s="345">
        <v>72444</v>
      </c>
      <c r="C521" s="728" t="str">
        <f t="shared" si="288"/>
        <v>2.16217503399043</v>
      </c>
      <c r="D521" s="728" t="str">
        <f t="shared" si="289"/>
        <v>1+55.380120961187i</v>
      </c>
      <c r="E521" s="337">
        <f t="shared" si="307"/>
        <v>55.389148735792133</v>
      </c>
      <c r="F521" s="338">
        <f t="shared" si="308"/>
        <v>1.5527412680740229</v>
      </c>
      <c r="G521" s="338" t="str">
        <f t="shared" si="290"/>
        <v>1+0.227589538196659i</v>
      </c>
      <c r="H521" s="337">
        <f t="shared" si="309"/>
        <v>1.0255715469417863</v>
      </c>
      <c r="I521" s="338">
        <f t="shared" si="310"/>
        <v>0.2237778309734933</v>
      </c>
      <c r="J521" s="340">
        <f t="shared" si="291"/>
        <v>1</v>
      </c>
      <c r="K521" s="338">
        <f t="shared" si="311"/>
        <v>1</v>
      </c>
      <c r="L521" s="339">
        <f t="shared" si="312"/>
        <v>0</v>
      </c>
      <c r="M521" s="731" t="str">
        <f t="shared" si="292"/>
        <v>0.7667496384+1.06996446657145i</v>
      </c>
      <c r="N521" s="338">
        <f t="shared" si="313"/>
        <v>1.3163316328767833</v>
      </c>
      <c r="O521" s="339">
        <f t="shared" si="314"/>
        <v>0.94900799478193543</v>
      </c>
      <c r="P521" s="732" t="str">
        <f t="shared" si="306"/>
        <v>-0.0197593310266693-0.023120370441436i</v>
      </c>
      <c r="Q521" s="337">
        <f t="shared" si="315"/>
        <v>3.0413528107911512E-2</v>
      </c>
      <c r="R521" s="339">
        <f t="shared" si="316"/>
        <v>-2.2779714318824662</v>
      </c>
      <c r="S521" s="731" t="str">
        <f t="shared" si="293"/>
        <v>6000</v>
      </c>
      <c r="T521" s="337" t="str">
        <f t="shared" si="294"/>
        <v>1+459730.867157251i</v>
      </c>
      <c r="U521" s="346">
        <f t="shared" si="317"/>
        <v>459730.86715833854</v>
      </c>
      <c r="V521" s="347">
        <f t="shared" si="318"/>
        <v>1.5707941516092143</v>
      </c>
      <c r="W521" s="340" t="str">
        <f t="shared" si="295"/>
        <v>1+4551.79076393318i</v>
      </c>
      <c r="X521" s="337">
        <f t="shared" si="319"/>
        <v>4551.7908737800553</v>
      </c>
      <c r="Y521" s="339">
        <f t="shared" si="320"/>
        <v>1.5705766330445083</v>
      </c>
      <c r="Z521" s="337" t="str">
        <f t="shared" si="296"/>
        <v>1+45.8522645624087i</v>
      </c>
      <c r="AA521" s="346">
        <f t="shared" si="321"/>
        <v>45.863167852876458</v>
      </c>
      <c r="AB521" s="347">
        <f t="shared" si="322"/>
        <v>1.548990609932529</v>
      </c>
      <c r="AC521" s="732" t="str">
        <f t="shared" si="323"/>
        <v>0.0279607297794047-1.29498467434622i</v>
      </c>
      <c r="AD521" s="337">
        <f t="shared" si="324"/>
        <v>1.2952864969578672</v>
      </c>
      <c r="AE521" s="339">
        <f t="shared" si="325"/>
        <v>-1.549208128497235</v>
      </c>
      <c r="AF521" s="736" t="str">
        <f t="shared" si="297"/>
        <v>-0.0304930107023255+0.0249415684245578i</v>
      </c>
      <c r="AG521" s="337">
        <f t="shared" si="326"/>
        <v>-28.091347173141521</v>
      </c>
      <c r="AH521" s="730">
        <f t="shared" si="327"/>
        <v>140.71876375150933</v>
      </c>
      <c r="AI521" s="360">
        <f t="shared" si="298"/>
        <v>-39.281236248490671</v>
      </c>
      <c r="AL521" s="337">
        <f t="shared" si="299"/>
        <v>2.2473167627322854</v>
      </c>
      <c r="AM521" s="730">
        <f t="shared" si="300"/>
        <v>-88.763087350252476</v>
      </c>
      <c r="AN521" s="351"/>
      <c r="AO521" s="337">
        <f t="shared" si="301"/>
        <v>22.933267262865602</v>
      </c>
      <c r="AP521" s="730">
        <f t="shared" si="302"/>
        <v>-130.51814889823828</v>
      </c>
      <c r="AS521" s="351"/>
      <c r="AT521" s="351"/>
      <c r="AV521" s="405">
        <f t="shared" si="303"/>
        <v>0</v>
      </c>
      <c r="AW521" s="405">
        <f t="shared" si="328"/>
        <v>0</v>
      </c>
      <c r="AX521" s="405">
        <f t="shared" si="304"/>
        <v>0</v>
      </c>
      <c r="AY521" s="405">
        <f t="shared" si="305"/>
        <v>0</v>
      </c>
    </row>
    <row r="522" spans="2:51" ht="13.5" thickBot="1" x14ac:dyDescent="0.25">
      <c r="B522" s="345">
        <v>72865.75</v>
      </c>
      <c r="C522" s="728" t="str">
        <f t="shared" si="288"/>
        <v>2.16217503399043</v>
      </c>
      <c r="D522" s="728" t="str">
        <f t="shared" si="289"/>
        <v>1+55.7025295252556i</v>
      </c>
      <c r="E522" s="337">
        <f t="shared" si="307"/>
        <v>55.711505055167656</v>
      </c>
      <c r="F522" s="338">
        <f t="shared" si="308"/>
        <v>1.5528457489940897</v>
      </c>
      <c r="G522" s="338" t="str">
        <f t="shared" si="290"/>
        <v>1+0.228914504898311i</v>
      </c>
      <c r="H522" s="337">
        <f t="shared" si="309"/>
        <v>1.0258663902052931</v>
      </c>
      <c r="I522" s="338">
        <f t="shared" si="310"/>
        <v>0.22503718638811632</v>
      </c>
      <c r="J522" s="340">
        <f t="shared" si="291"/>
        <v>1</v>
      </c>
      <c r="K522" s="338">
        <f t="shared" si="311"/>
        <v>1</v>
      </c>
      <c r="L522" s="339">
        <f t="shared" si="312"/>
        <v>0</v>
      </c>
      <c r="M522" s="731" t="str">
        <f t="shared" si="292"/>
        <v>0.764025887863889+1.07619351954722i</v>
      </c>
      <c r="N522" s="338">
        <f t="shared" si="313"/>
        <v>1.3198212185147036</v>
      </c>
      <c r="O522" s="339">
        <f t="shared" si="314"/>
        <v>0.95343461440924804</v>
      </c>
      <c r="P522" s="732" t="str">
        <f t="shared" si="306"/>
        <v>-0.0196736158942617-0.0228681622748353i</v>
      </c>
      <c r="Q522" s="337">
        <f t="shared" si="315"/>
        <v>3.0166272692912315E-2</v>
      </c>
      <c r="R522" s="339">
        <f t="shared" si="316"/>
        <v>-2.2812431770152228</v>
      </c>
      <c r="S522" s="731" t="str">
        <f t="shared" si="293"/>
        <v>6000</v>
      </c>
      <c r="T522" s="337" t="str">
        <f t="shared" si="294"/>
        <v>1+462407.299894587i</v>
      </c>
      <c r="U522" s="346">
        <f t="shared" si="317"/>
        <v>462407.2998956684</v>
      </c>
      <c r="V522" s="347">
        <f t="shared" si="318"/>
        <v>1.5707941641992798</v>
      </c>
      <c r="W522" s="340" t="str">
        <f t="shared" si="295"/>
        <v>1+4578.29009796621i</v>
      </c>
      <c r="X522" s="337">
        <f t="shared" si="319"/>
        <v>4578.2902071772869</v>
      </c>
      <c r="Y522" s="339">
        <f t="shared" si="320"/>
        <v>1.5705779046410577</v>
      </c>
      <c r="Z522" s="337" t="str">
        <f t="shared" si="296"/>
        <v>1+46.1192044412006i</v>
      </c>
      <c r="AA522" s="346">
        <f t="shared" si="321"/>
        <v>46.130044637841586</v>
      </c>
      <c r="AB522" s="347">
        <f t="shared" si="322"/>
        <v>1.5491167826730734</v>
      </c>
      <c r="AC522" s="732" t="str">
        <f t="shared" si="323"/>
        <v>0.0276381424277847-1.28749624367695i</v>
      </c>
      <c r="AD522" s="337">
        <f t="shared" si="324"/>
        <v>1.2877928577217359</v>
      </c>
      <c r="AE522" s="339">
        <f t="shared" si="325"/>
        <v>-1.5493330422312954</v>
      </c>
      <c r="AF522" s="736" t="str">
        <f t="shared" si="297"/>
        <v>-0.0299864152268005+0.0246976730373915i</v>
      </c>
      <c r="AG522" s="337">
        <f t="shared" si="326"/>
        <v>-28.212646705806122</v>
      </c>
      <c r="AH522" s="730">
        <f t="shared" si="327"/>
        <v>140.52414953399497</v>
      </c>
      <c r="AI522" s="360">
        <f t="shared" si="298"/>
        <v>-39.475850466005028</v>
      </c>
      <c r="AL522" s="337">
        <f t="shared" si="299"/>
        <v>2.1969202421039387</v>
      </c>
      <c r="AM522" s="730">
        <f t="shared" si="300"/>
        <v>-88.77024438001736</v>
      </c>
      <c r="AN522" s="351"/>
      <c r="AO522" s="337">
        <f t="shared" si="301"/>
        <v>22.862364250829359</v>
      </c>
      <c r="AP522" s="730">
        <f t="shared" si="302"/>
        <v>-130.70560608598771</v>
      </c>
      <c r="AS522" s="351"/>
      <c r="AT522" s="351"/>
      <c r="AV522" s="405">
        <f t="shared" si="303"/>
        <v>0</v>
      </c>
      <c r="AW522" s="405">
        <f t="shared" si="328"/>
        <v>0</v>
      </c>
      <c r="AX522" s="405">
        <f t="shared" si="304"/>
        <v>0</v>
      </c>
      <c r="AY522" s="405">
        <f t="shared" si="305"/>
        <v>0</v>
      </c>
    </row>
    <row r="523" spans="2:51" ht="13.5" thickBot="1" x14ac:dyDescent="0.25">
      <c r="B523" s="345">
        <v>73287.5</v>
      </c>
      <c r="C523" s="728" t="str">
        <f t="shared" si="288"/>
        <v>2.16217503399043</v>
      </c>
      <c r="D523" s="728" t="str">
        <f t="shared" si="289"/>
        <v>1+56.0249380893241i</v>
      </c>
      <c r="E523" s="337">
        <f t="shared" si="307"/>
        <v>56.033861975707133</v>
      </c>
      <c r="F523" s="338">
        <f t="shared" si="308"/>
        <v>1.552949027779762</v>
      </c>
      <c r="G523" s="338" t="str">
        <f t="shared" si="290"/>
        <v>1+0.230239471599962i</v>
      </c>
      <c r="H523" s="337">
        <f t="shared" si="309"/>
        <v>1.0261628595318726</v>
      </c>
      <c r="I523" s="338">
        <f t="shared" si="310"/>
        <v>0.2262958161156815</v>
      </c>
      <c r="J523" s="340">
        <f t="shared" si="291"/>
        <v>1</v>
      </c>
      <c r="K523" s="338">
        <f t="shared" si="311"/>
        <v>1</v>
      </c>
      <c r="L523" s="339">
        <f t="shared" si="312"/>
        <v>0</v>
      </c>
      <c r="M523" s="731" t="str">
        <f t="shared" si="292"/>
        <v>0.761286326388889+1.08242257252299i</v>
      </c>
      <c r="N523" s="338">
        <f t="shared" si="313"/>
        <v>1.3233274335001062</v>
      </c>
      <c r="O523" s="339">
        <f t="shared" si="314"/>
        <v>0.95784757494631001</v>
      </c>
      <c r="P523" s="732" t="str">
        <f t="shared" si="306"/>
        <v>-0.0195880356872233-0.0226192257868712i</v>
      </c>
      <c r="Q523" s="337">
        <f t="shared" si="315"/>
        <v>2.9921906979358658E-2</v>
      </c>
      <c r="R523" s="339">
        <f t="shared" si="316"/>
        <v>-2.2845007866103888</v>
      </c>
      <c r="S523" s="731" t="str">
        <f t="shared" si="293"/>
        <v>6000</v>
      </c>
      <c r="T523" s="337" t="str">
        <f t="shared" si="294"/>
        <v>1+465083.732631923i</v>
      </c>
      <c r="U523" s="346">
        <f t="shared" si="317"/>
        <v>465083.73263299803</v>
      </c>
      <c r="V523" s="347">
        <f t="shared" si="318"/>
        <v>1.5707941766444402</v>
      </c>
      <c r="W523" s="340" t="str">
        <f t="shared" si="295"/>
        <v>1+4604.78943199924i</v>
      </c>
      <c r="X523" s="337">
        <f t="shared" si="319"/>
        <v>4604.7895405818372</v>
      </c>
      <c r="Y523" s="339">
        <f t="shared" si="320"/>
        <v>1.5705791616022104</v>
      </c>
      <c r="Z523" s="337" t="str">
        <f t="shared" si="296"/>
        <v>1+46.3861443199924i</v>
      </c>
      <c r="AA523" s="346">
        <f t="shared" si="321"/>
        <v>46.396922148728393</v>
      </c>
      <c r="AB523" s="347">
        <f t="shared" si="322"/>
        <v>1.5492415039112439</v>
      </c>
      <c r="AC523" s="732" t="str">
        <f t="shared" si="323"/>
        <v>0.0273211047987607-1.28009388120523i</v>
      </c>
      <c r="AD523" s="337">
        <f t="shared" si="324"/>
        <v>1.280385405831578</v>
      </c>
      <c r="AE523" s="339">
        <f t="shared" si="325"/>
        <v>-1.5494565189534737</v>
      </c>
      <c r="AF523" s="736" t="str">
        <f t="shared" si="297"/>
        <v>-0.0294898993031859+0.0244565423898543i</v>
      </c>
      <c r="AG523" s="337">
        <f t="shared" si="326"/>
        <v>-28.333400324482724</v>
      </c>
      <c r="AH523" s="730">
        <f t="shared" si="327"/>
        <v>140.33042755784174</v>
      </c>
      <c r="AI523" s="360">
        <f t="shared" si="298"/>
        <v>-39.669572442158255</v>
      </c>
      <c r="AL523" s="337">
        <f t="shared" si="299"/>
        <v>2.146814305959615</v>
      </c>
      <c r="AM523" s="730">
        <f t="shared" si="300"/>
        <v>-88.777319075066288</v>
      </c>
      <c r="AN523" s="351"/>
      <c r="AO523" s="337">
        <f t="shared" si="301"/>
        <v>22.791716568297105</v>
      </c>
      <c r="AP523" s="730">
        <f t="shared" si="302"/>
        <v>-130.89225336709188</v>
      </c>
      <c r="AS523" s="351"/>
      <c r="AT523" s="351"/>
      <c r="AV523" s="405">
        <f t="shared" si="303"/>
        <v>0</v>
      </c>
      <c r="AW523" s="405">
        <f t="shared" si="328"/>
        <v>0</v>
      </c>
      <c r="AX523" s="405">
        <f t="shared" si="304"/>
        <v>0</v>
      </c>
      <c r="AY523" s="405">
        <f t="shared" si="305"/>
        <v>0</v>
      </c>
    </row>
    <row r="524" spans="2:51" ht="13.5" thickBot="1" x14ac:dyDescent="0.25">
      <c r="B524" s="345">
        <v>73709.25</v>
      </c>
      <c r="C524" s="728" t="str">
        <f t="shared" si="288"/>
        <v>2.16217503399043</v>
      </c>
      <c r="D524" s="728" t="str">
        <f t="shared" si="289"/>
        <v>1+56.3473466533926i</v>
      </c>
      <c r="E524" s="337">
        <f t="shared" si="307"/>
        <v>56.356219487094705</v>
      </c>
      <c r="F524" s="338">
        <f t="shared" si="308"/>
        <v>1.5530511250574397</v>
      </c>
      <c r="G524" s="338" t="str">
        <f t="shared" si="290"/>
        <v>1+0.231564438301613i</v>
      </c>
      <c r="H524" s="337">
        <f t="shared" si="309"/>
        <v>1.0264609535125735</v>
      </c>
      <c r="I524" s="338">
        <f t="shared" si="310"/>
        <v>0.22755371679900424</v>
      </c>
      <c r="J524" s="340">
        <f t="shared" si="291"/>
        <v>1</v>
      </c>
      <c r="K524" s="338">
        <f t="shared" si="311"/>
        <v>1</v>
      </c>
      <c r="L524" s="339">
        <f t="shared" si="312"/>
        <v>0</v>
      </c>
      <c r="M524" s="731" t="str">
        <f t="shared" si="292"/>
        <v>0.758530953975+1.08865162549876i</v>
      </c>
      <c r="N524" s="338">
        <f t="shared" si="313"/>
        <v>1.3268502439383714</v>
      </c>
      <c r="O524" s="339">
        <f t="shared" si="314"/>
        <v>0.96224690452019956</v>
      </c>
      <c r="P524" s="732" t="str">
        <f t="shared" si="306"/>
        <v>-0.0195025972062994-0.0223735093466591i</v>
      </c>
      <c r="Q524" s="337">
        <f t="shared" si="315"/>
        <v>2.9680384402433188E-2</v>
      </c>
      <c r="R524" s="339">
        <f t="shared" si="316"/>
        <v>-2.2877443127786341</v>
      </c>
      <c r="S524" s="731" t="str">
        <f t="shared" si="293"/>
        <v>6000</v>
      </c>
      <c r="T524" s="337" t="str">
        <f t="shared" si="294"/>
        <v>1+467760.165369259i</v>
      </c>
      <c r="U524" s="346">
        <f t="shared" si="317"/>
        <v>467760.165370328</v>
      </c>
      <c r="V524" s="347">
        <f t="shared" si="318"/>
        <v>1.570794188947183</v>
      </c>
      <c r="W524" s="340" t="str">
        <f t="shared" si="295"/>
        <v>1+4631.28876603227i</v>
      </c>
      <c r="X524" s="337">
        <f t="shared" si="319"/>
        <v>4631.2888739935788</v>
      </c>
      <c r="Y524" s="339">
        <f t="shared" si="320"/>
        <v>1.5705804041791889</v>
      </c>
      <c r="Z524" s="337" t="str">
        <f t="shared" si="296"/>
        <v>1+46.6530841987842i</v>
      </c>
      <c r="AA524" s="346">
        <f t="shared" si="321"/>
        <v>46.663800373082012</v>
      </c>
      <c r="AB524" s="347">
        <f t="shared" si="322"/>
        <v>1.5493647985472949</v>
      </c>
      <c r="AC524" s="732" t="str">
        <f t="shared" si="323"/>
        <v>0.0270094903361923-1.27277611224729i</v>
      </c>
      <c r="AD524" s="337">
        <f t="shared" si="324"/>
        <v>1.2730626632163662</v>
      </c>
      <c r="AE524" s="339">
        <f t="shared" si="325"/>
        <v>-1.5495785833152891</v>
      </c>
      <c r="AF524" s="736" t="str">
        <f t="shared" si="297"/>
        <v>-0.0290032234543434+0.0242181427664733i</v>
      </c>
      <c r="AG524" s="337">
        <f t="shared" si="326"/>
        <v>-28.453613948685135</v>
      </c>
      <c r="AH524" s="730">
        <f t="shared" si="327"/>
        <v>140.13759342490013</v>
      </c>
      <c r="AI524" s="360">
        <f t="shared" si="298"/>
        <v>-39.862406575099868</v>
      </c>
      <c r="AL524" s="337">
        <f t="shared" si="299"/>
        <v>2.096995624044022</v>
      </c>
      <c r="AM524" s="730">
        <f t="shared" si="300"/>
        <v>-88.784312847827266</v>
      </c>
      <c r="AN524" s="351"/>
      <c r="AO524" s="337">
        <f t="shared" si="301"/>
        <v>22.721321626010287</v>
      </c>
      <c r="AP524" s="730">
        <f t="shared" si="302"/>
        <v>-131.07809372727257</v>
      </c>
      <c r="AS524" s="351"/>
      <c r="AT524" s="351"/>
      <c r="AV524" s="405">
        <f t="shared" si="303"/>
        <v>0</v>
      </c>
      <c r="AW524" s="405">
        <f t="shared" si="328"/>
        <v>0</v>
      </c>
      <c r="AX524" s="405">
        <f t="shared" si="304"/>
        <v>0</v>
      </c>
      <c r="AY524" s="405">
        <f t="shared" si="305"/>
        <v>0</v>
      </c>
    </row>
    <row r="525" spans="2:51" ht="13.5" thickBot="1" x14ac:dyDescent="0.25">
      <c r="B525" s="345">
        <v>74131</v>
      </c>
      <c r="C525" s="728" t="str">
        <f t="shared" ref="C525:C588" si="329">COMPLEX(Am*Afb,0)</f>
        <v>2.16217503399043</v>
      </c>
      <c r="D525" s="728" t="str">
        <f t="shared" ref="D525:D588" si="330">IMSUM(COMPLEX(1,0),IMDIV(COMPLEX(0,2*PI()*B525),COMPLEX(2*PI()*PS_Pole1,0)))</f>
        <v>1+56.6697552174612i</v>
      </c>
      <c r="E525" s="337">
        <f t="shared" si="307"/>
        <v>56.678577579249207</v>
      </c>
      <c r="F525" s="338">
        <f t="shared" si="308"/>
        <v>1.5531520609843736</v>
      </c>
      <c r="G525" s="338" t="str">
        <f t="shared" ref="G525:G588" si="331">IMSUM(COMPLEX(1,0),IMDIV(COMPLEX(0,2*PI()*B525),COMPLEX(2*PI()*PS_Zero1,0)))</f>
        <v>1+0.232889405003265i</v>
      </c>
      <c r="H525" s="337">
        <f t="shared" si="309"/>
        <v>1.0267606707323644</v>
      </c>
      <c r="I525" s="338">
        <f t="shared" si="310"/>
        <v>0.22881088509401648</v>
      </c>
      <c r="J525" s="340">
        <f t="shared" ref="J525:J588" si="332">IF(VIN_nom&gt;Vout, 1,IMSUB(COMPLEX(1,0),IMDIV(COMPLEX(0,2*PI()*B525),COMPLEX(2*PI()*PS_RHPZ,0))))</f>
        <v>1</v>
      </c>
      <c r="K525" s="338">
        <f t="shared" si="311"/>
        <v>1</v>
      </c>
      <c r="L525" s="339">
        <f t="shared" si="312"/>
        <v>0</v>
      </c>
      <c r="M525" s="731" t="str">
        <f t="shared" ref="M525:M588" si="333">IMSUM(COMPLEX(1,0),IMDIV(COMPLEX(0,2*PI()*B525),COMPLEX(Q*(2*PI()*PS_Pole2/2),0)),IMDIV(IMPOWER(COMPLEX(0,2*PI()*B525),2),IMPOWER(COMPLEX(2*PI()*PS_Pole2/2,0),2)))</f>
        <v>0.755759770622222+1.09488067847452i</v>
      </c>
      <c r="N525" s="338">
        <f t="shared" si="313"/>
        <v>1.3303896162357021</v>
      </c>
      <c r="O525" s="339">
        <f t="shared" si="314"/>
        <v>0.96663263175255243</v>
      </c>
      <c r="P525" s="732" t="str">
        <f t="shared" si="306"/>
        <v>-0.0194173070581708-0.0221309623660786i</v>
      </c>
      <c r="Q525" s="337">
        <f t="shared" si="315"/>
        <v>2.9441659407038811E-2</v>
      </c>
      <c r="R525" s="339">
        <f t="shared" si="316"/>
        <v>-2.2909738076429078</v>
      </c>
      <c r="S525" s="731" t="str">
        <f t="shared" ref="S525:S588" si="334">COMPLEX(AEA,0)</f>
        <v>6000</v>
      </c>
      <c r="T525" s="337" t="str">
        <f t="shared" ref="T525:T588" si="335">IMSUM(COMPLEX(1,0),IMDIV(COMPLEX(0,2*PI()*B525),COMPLEX(2*PI()*EA_Pole1,0)))</f>
        <v>1+470436.598106595i</v>
      </c>
      <c r="U525" s="346">
        <f t="shared" si="317"/>
        <v>470436.59810765786</v>
      </c>
      <c r="V525" s="347">
        <f t="shared" si="318"/>
        <v>1.5707942011099392</v>
      </c>
      <c r="W525" s="340" t="str">
        <f t="shared" ref="W525:W588" si="336">IMSUM(COMPLEX(1,0),IMDIV(COMPLEX(0,2*PI()*B525),COMPLEX(2*PI()*EA_Zero1,0)))</f>
        <v>1+4657.7881000653i</v>
      </c>
      <c r="X525" s="337">
        <f t="shared" si="319"/>
        <v>4657.7882074123891</v>
      </c>
      <c r="Y525" s="339">
        <f t="shared" si="320"/>
        <v>1.5705816326174991</v>
      </c>
      <c r="Z525" s="337" t="str">
        <f t="shared" ref="Z525:Z588" si="337">IMSUM(COMPLEX(1,0),IMDIV(COMPLEX(0,2*PI()*B525),COMPLEX(2*PI()*EA_Pole2,0)))</f>
        <v>1+46.9200240775761i</v>
      </c>
      <c r="AA525" s="346">
        <f t="shared" si="321"/>
        <v>46.930679298730816</v>
      </c>
      <c r="AB525" s="347">
        <f t="shared" si="322"/>
        <v>1.5494866909152589</v>
      </c>
      <c r="AC525" s="732" t="str">
        <f t="shared" si="323"/>
        <v>0.0267031760704302-1.2655414956023i</v>
      </c>
      <c r="AD525" s="337">
        <f t="shared" si="324"/>
        <v>1.2658231854029038</v>
      </c>
      <c r="AE525" s="339">
        <f t="shared" si="325"/>
        <v>-1.549699259407699</v>
      </c>
      <c r="AF525" s="736" t="str">
        <f t="shared" ref="AF525:AF588" si="338">IMPRODUCT(P525,AC525)</f>
        <v>-0.0285261549810733+0.0239824408302971i</v>
      </c>
      <c r="AG525" s="337">
        <f t="shared" si="326"/>
        <v>-28.573293390994099</v>
      </c>
      <c r="AH525" s="730">
        <f t="shared" si="327"/>
        <v>139.94564276843482</v>
      </c>
      <c r="AI525" s="360">
        <f t="shared" ref="AI525:AI588" si="339">IF(AH525&gt;0,AH525-180,AH525+180)</f>
        <v>-40.054357231565177</v>
      </c>
      <c r="AL525" s="337">
        <f t="shared" ref="AL525:AL588" si="340">20*LOG10(IMABS(AC525))</f>
        <v>2.0474609229994121</v>
      </c>
      <c r="AM525" s="730">
        <f t="shared" ref="AM525:AM588" si="341">(180/PI())*IMARGUMENT(AC525)</f>
        <v>-88.79122707861049</v>
      </c>
      <c r="AN525" s="351"/>
      <c r="AO525" s="337">
        <f t="shared" ref="AO525:AO588" si="342">20*LOG10(IMABS(IMPRODUCT(COMPLEX(Am/Afb,0),P525)))</f>
        <v>22.651176884745926</v>
      </c>
      <c r="AP525" s="730">
        <f t="shared" ref="AP525:AP588" si="343">180/PI()*IMARGUMENT(IMPRODUCT(COMPLEX(Am/Afb,0),P525))</f>
        <v>-131.26313015295466</v>
      </c>
      <c r="AS525" s="351"/>
      <c r="AT525" s="351"/>
      <c r="AV525" s="405">
        <f t="shared" ref="AV525:AV588" si="344">SUM((AG526&lt;0)*(AG525&gt;0))*B525</f>
        <v>0</v>
      </c>
      <c r="AW525" s="405">
        <f t="shared" si="328"/>
        <v>0</v>
      </c>
      <c r="AX525" s="405">
        <f t="shared" ref="AX525:AX588" si="345">SUM((AL526&lt;0)*(AL525&gt;0))*B525</f>
        <v>0</v>
      </c>
      <c r="AY525" s="405">
        <f t="shared" ref="AY525:AY588" si="346">IF(AX525&gt;0,AM525,0)</f>
        <v>0</v>
      </c>
    </row>
    <row r="526" spans="2:51" ht="13.5" thickBot="1" x14ac:dyDescent="0.25">
      <c r="B526" s="345">
        <v>74562.75</v>
      </c>
      <c r="C526" s="728" t="str">
        <f t="shared" si="329"/>
        <v>2.16217503399043</v>
      </c>
      <c r="D526" s="728" t="str">
        <f t="shared" si="330"/>
        <v>1+56.9998083236534i</v>
      </c>
      <c r="E526" s="337">
        <f t="shared" si="307"/>
        <v>57.008579608101343</v>
      </c>
      <c r="F526" s="338">
        <f t="shared" si="308"/>
        <v>1.5532542077599585</v>
      </c>
      <c r="G526" s="338" t="str">
        <f t="shared" si="331"/>
        <v>1+0.234245787631452i</v>
      </c>
      <c r="H526" s="337">
        <f t="shared" si="309"/>
        <v>1.0270691744099223</v>
      </c>
      <c r="I526" s="338">
        <f t="shared" si="310"/>
        <v>0.23009709964602543</v>
      </c>
      <c r="J526" s="340">
        <f t="shared" si="332"/>
        <v>1</v>
      </c>
      <c r="K526" s="338">
        <f t="shared" si="311"/>
        <v>1</v>
      </c>
      <c r="L526" s="339">
        <f t="shared" si="312"/>
        <v>0</v>
      </c>
      <c r="M526" s="731" t="str">
        <f t="shared" si="333"/>
        <v>0.752906502775+1.10125742683798i</v>
      </c>
      <c r="N526" s="338">
        <f t="shared" si="313"/>
        <v>1.3340300304291093</v>
      </c>
      <c r="O526" s="339">
        <f t="shared" si="314"/>
        <v>0.97110828821585915</v>
      </c>
      <c r="P526" s="732" t="str">
        <f t="shared" ref="P526:P589" si="347">(IMDIV(IMPRODUCT(C526,G526,J526),IMPRODUCT(D526,M526)))</f>
        <v>-0.0193301549670189-0.0218858957457389i</v>
      </c>
      <c r="Q526" s="337">
        <f t="shared" si="315"/>
        <v>2.920012540456492E-2</v>
      </c>
      <c r="R526" s="339">
        <f t="shared" si="316"/>
        <v>-2.2942653963297932</v>
      </c>
      <c r="S526" s="731" t="str">
        <f t="shared" si="334"/>
        <v>6000</v>
      </c>
      <c r="T526" s="337" t="str">
        <f t="shared" si="335"/>
        <v>1+473176.491015534i</v>
      </c>
      <c r="U526" s="346">
        <f t="shared" si="317"/>
        <v>473176.49101659073</v>
      </c>
      <c r="V526" s="347">
        <f t="shared" si="318"/>
        <v>1.5707942134185582</v>
      </c>
      <c r="W526" s="340" t="str">
        <f t="shared" si="336"/>
        <v>1+4684.91575262905i</v>
      </c>
      <c r="X526" s="337">
        <f t="shared" si="319"/>
        <v>4684.9158593545544</v>
      </c>
      <c r="Y526" s="339">
        <f t="shared" si="320"/>
        <v>1.5705828757879599</v>
      </c>
      <c r="Z526" s="337" t="str">
        <f t="shared" si="337"/>
        <v>1+47.1932932955213i</v>
      </c>
      <c r="AA526" s="346">
        <f t="shared" si="321"/>
        <v>47.203886832305415</v>
      </c>
      <c r="AB526" s="347">
        <f t="shared" si="322"/>
        <v>1.5496100457324613</v>
      </c>
      <c r="AC526" s="732" t="str">
        <f t="shared" si="323"/>
        <v>0.0263949643182491-1.25822000351709i</v>
      </c>
      <c r="AD526" s="337">
        <f t="shared" si="324"/>
        <v>1.2584968301080093</v>
      </c>
      <c r="AE526" s="339">
        <f t="shared" si="325"/>
        <v>-1.5498213833630599</v>
      </c>
      <c r="AF526" s="736" t="str">
        <f t="shared" si="338"/>
        <v>-0.028047490572799+0.0237439102133067i</v>
      </c>
      <c r="AG526" s="337">
        <f t="shared" si="326"/>
        <v>-28.695263148258139</v>
      </c>
      <c r="AH526" s="730">
        <f t="shared" si="327"/>
        <v>139.7500514415637</v>
      </c>
      <c r="AI526" s="360">
        <f t="shared" si="339"/>
        <v>-40.249948558436301</v>
      </c>
      <c r="AL526" s="337">
        <f t="shared" si="340"/>
        <v>1.9970425197641728</v>
      </c>
      <c r="AM526" s="730">
        <f t="shared" si="341"/>
        <v>-88.798224265830115</v>
      </c>
      <c r="AN526" s="351"/>
      <c r="AO526" s="337">
        <f t="shared" si="342"/>
        <v>22.579625530717131</v>
      </c>
      <c r="AP526" s="730">
        <f t="shared" si="343"/>
        <v>-131.4517242926062</v>
      </c>
      <c r="AS526" s="351"/>
      <c r="AT526" s="351"/>
      <c r="AV526" s="405">
        <f t="shared" si="344"/>
        <v>0</v>
      </c>
      <c r="AW526" s="405">
        <f t="shared" si="328"/>
        <v>0</v>
      </c>
      <c r="AX526" s="405">
        <f t="shared" si="345"/>
        <v>0</v>
      </c>
      <c r="AY526" s="405">
        <f t="shared" si="346"/>
        <v>0</v>
      </c>
    </row>
    <row r="527" spans="2:51" ht="13.5" thickBot="1" x14ac:dyDescent="0.25">
      <c r="B527" s="345">
        <v>74994.5</v>
      </c>
      <c r="C527" s="728" t="str">
        <f t="shared" si="329"/>
        <v>2.16217503399043</v>
      </c>
      <c r="D527" s="728" t="str">
        <f t="shared" si="330"/>
        <v>1+57.3298614298456i</v>
      </c>
      <c r="E527" s="337">
        <f t="shared" si="307"/>
        <v>57.338582224932097</v>
      </c>
      <c r="F527" s="338">
        <f t="shared" si="308"/>
        <v>1.5533551787592328</v>
      </c>
      <c r="G527" s="338" t="str">
        <f t="shared" si="331"/>
        <v>1+0.23560217025964i</v>
      </c>
      <c r="H527" s="337">
        <f t="shared" si="309"/>
        <v>1.0273793761951096</v>
      </c>
      <c r="I527" s="338">
        <f t="shared" si="310"/>
        <v>0.2313825396171682</v>
      </c>
      <c r="J527" s="340">
        <f t="shared" si="332"/>
        <v>1</v>
      </c>
      <c r="K527" s="338">
        <f t="shared" si="311"/>
        <v>1</v>
      </c>
      <c r="L527" s="339">
        <f t="shared" si="312"/>
        <v>0</v>
      </c>
      <c r="M527" s="731" t="str">
        <f t="shared" si="333"/>
        <v>0.750036665322222+1.10763417520143i</v>
      </c>
      <c r="N527" s="338">
        <f t="shared" si="313"/>
        <v>1.3376877309005384</v>
      </c>
      <c r="O527" s="339">
        <f t="shared" si="314"/>
        <v>0.9755697518817501</v>
      </c>
      <c r="P527" s="732" t="str">
        <f t="shared" si="347"/>
        <v>-0.0192431717336905-0.0216440466084031i</v>
      </c>
      <c r="Q527" s="337">
        <f t="shared" si="315"/>
        <v>2.8961429729193803E-2</v>
      </c>
      <c r="R527" s="339">
        <f t="shared" si="316"/>
        <v>-2.2975423910238146</v>
      </c>
      <c r="S527" s="731" t="str">
        <f t="shared" si="334"/>
        <v>6000</v>
      </c>
      <c r="T527" s="337" t="str">
        <f t="shared" si="335"/>
        <v>1+475916.383924472i</v>
      </c>
      <c r="U527" s="346">
        <f t="shared" si="317"/>
        <v>475916.38392552256</v>
      </c>
      <c r="V527" s="347">
        <f t="shared" si="318"/>
        <v>1.5707942255854537</v>
      </c>
      <c r="W527" s="340" t="str">
        <f t="shared" si="336"/>
        <v>1+4712.04340519279i</v>
      </c>
      <c r="X527" s="337">
        <f t="shared" si="319"/>
        <v>4712.0435113038657</v>
      </c>
      <c r="Y527" s="339">
        <f t="shared" si="320"/>
        <v>1.5705841046443356</v>
      </c>
      <c r="Z527" s="337" t="str">
        <f t="shared" si="337"/>
        <v>1+47.4665625134664i</v>
      </c>
      <c r="AA527" s="346">
        <f t="shared" si="321"/>
        <v>47.477095075887007</v>
      </c>
      <c r="AB527" s="347">
        <f t="shared" si="322"/>
        <v>1.549731980854155</v>
      </c>
      <c r="AC527" s="732" t="str">
        <f t="shared" si="323"/>
        <v>0.026092057286637-1.25098270063594i</v>
      </c>
      <c r="AD527" s="337">
        <f t="shared" si="324"/>
        <v>1.2512547753131009</v>
      </c>
      <c r="AE527" s="339">
        <f t="shared" si="325"/>
        <v>-1.549942101795273</v>
      </c>
      <c r="AF527" s="736" t="str">
        <f t="shared" si="338"/>
        <v>-0.0275784218181223+0.0235081372401922i</v>
      </c>
      <c r="AG527" s="337">
        <f t="shared" si="326"/>
        <v>-28.816685086701913</v>
      </c>
      <c r="AH527" s="730">
        <f t="shared" si="327"/>
        <v>139.55537681943423</v>
      </c>
      <c r="AI527" s="360">
        <f t="shared" si="339"/>
        <v>-40.44462318056577</v>
      </c>
      <c r="AL527" s="337">
        <f t="shared" si="340"/>
        <v>1.9469149588091861</v>
      </c>
      <c r="AM527" s="730">
        <f t="shared" si="341"/>
        <v>-88.805140922505359</v>
      </c>
      <c r="AN527" s="351"/>
      <c r="AO527" s="337">
        <f t="shared" si="342"/>
        <v>22.508331153228337</v>
      </c>
      <c r="AP527" s="730">
        <f t="shared" si="343"/>
        <v>-131.63948225806044</v>
      </c>
      <c r="AS527" s="351"/>
      <c r="AT527" s="351"/>
      <c r="AV527" s="405">
        <f t="shared" si="344"/>
        <v>0</v>
      </c>
      <c r="AW527" s="405">
        <f t="shared" si="328"/>
        <v>0</v>
      </c>
      <c r="AX527" s="405">
        <f t="shared" si="345"/>
        <v>0</v>
      </c>
      <c r="AY527" s="405">
        <f t="shared" si="346"/>
        <v>0</v>
      </c>
    </row>
    <row r="528" spans="2:51" ht="13.5" thickBot="1" x14ac:dyDescent="0.25">
      <c r="B528" s="345">
        <v>75426.25</v>
      </c>
      <c r="C528" s="728" t="str">
        <f t="shared" si="329"/>
        <v>2.16217503399043</v>
      </c>
      <c r="D528" s="728" t="str">
        <f t="shared" si="330"/>
        <v>1+57.6599145360379i</v>
      </c>
      <c r="E528" s="337">
        <f t="shared" si="307"/>
        <v>57.668585419647634</v>
      </c>
      <c r="F528" s="338">
        <f t="shared" si="308"/>
        <v>1.5534549941649365</v>
      </c>
      <c r="G528" s="338" t="str">
        <f t="shared" si="331"/>
        <v>1+0.236958552887827i</v>
      </c>
      <c r="H528" s="337">
        <f t="shared" si="309"/>
        <v>1.0276912745502382</v>
      </c>
      <c r="I528" s="338">
        <f t="shared" si="310"/>
        <v>0.23266720146277148</v>
      </c>
      <c r="J528" s="340">
        <f t="shared" si="332"/>
        <v>1</v>
      </c>
      <c r="K528" s="338">
        <f t="shared" si="311"/>
        <v>1</v>
      </c>
      <c r="L528" s="339">
        <f t="shared" si="312"/>
        <v>0</v>
      </c>
      <c r="M528" s="731" t="str">
        <f t="shared" si="333"/>
        <v>0.74715025826389+1.11401092356489i</v>
      </c>
      <c r="N528" s="338">
        <f t="shared" si="313"/>
        <v>1.3413626825902443</v>
      </c>
      <c r="O528" s="339">
        <f t="shared" si="314"/>
        <v>0.98001705498389191</v>
      </c>
      <c r="P528" s="732" t="str">
        <f t="shared" si="347"/>
        <v>-0.019156363842665-0.0214053638990383i</v>
      </c>
      <c r="Q528" s="337">
        <f t="shared" si="315"/>
        <v>2.8725526615239187E-2</v>
      </c>
      <c r="R528" s="339">
        <f t="shared" si="316"/>
        <v>-2.3008048476860559</v>
      </c>
      <c r="S528" s="731" t="str">
        <f t="shared" si="334"/>
        <v>6000</v>
      </c>
      <c r="T528" s="337" t="str">
        <f t="shared" si="335"/>
        <v>1+478656.276833411i</v>
      </c>
      <c r="U528" s="346">
        <f t="shared" si="317"/>
        <v>478656.27683445555</v>
      </c>
      <c r="V528" s="347">
        <f t="shared" si="318"/>
        <v>1.570794237613059</v>
      </c>
      <c r="W528" s="340" t="str">
        <f t="shared" si="336"/>
        <v>1+4739.17105775654i</v>
      </c>
      <c r="X528" s="337">
        <f t="shared" si="319"/>
        <v>4739.1711632602219</v>
      </c>
      <c r="Y528" s="339">
        <f t="shared" si="320"/>
        <v>1.5705853194324335</v>
      </c>
      <c r="Z528" s="337" t="str">
        <f t="shared" si="337"/>
        <v>1+47.7398317314116i</v>
      </c>
      <c r="AA528" s="346">
        <f t="shared" si="321"/>
        <v>47.750304017288663</v>
      </c>
      <c r="AB528" s="347">
        <f t="shared" si="322"/>
        <v>1.5498525206455436</v>
      </c>
      <c r="AC528" s="732" t="str">
        <f t="shared" si="323"/>
        <v>0.0257943339532012-1.2438281437629i</v>
      </c>
      <c r="AD528" s="337">
        <f t="shared" si="324"/>
        <v>1.2440955746568472</v>
      </c>
      <c r="AE528" s="339">
        <f t="shared" si="325"/>
        <v>-1.5500614388261689</v>
      </c>
      <c r="AF528" s="736" t="str">
        <f t="shared" si="338"/>
        <v>-0.0271187196913969+0.0232750873748671i</v>
      </c>
      <c r="AG528" s="337">
        <f t="shared" si="326"/>
        <v>-28.937565110540149</v>
      </c>
      <c r="AH528" s="730">
        <f t="shared" si="327"/>
        <v>139.36161431363351</v>
      </c>
      <c r="AI528" s="360">
        <f t="shared" si="339"/>
        <v>-40.63838568636649</v>
      </c>
      <c r="AL528" s="337">
        <f t="shared" si="340"/>
        <v>1.8970749053545009</v>
      </c>
      <c r="AM528" s="730">
        <f t="shared" si="341"/>
        <v>-88.811978430715314</v>
      </c>
      <c r="AN528" s="351"/>
      <c r="AO528" s="337">
        <f t="shared" si="342"/>
        <v>22.437291182844792</v>
      </c>
      <c r="AP528" s="730">
        <f t="shared" si="343"/>
        <v>-131.82640725565122</v>
      </c>
      <c r="AS528" s="351"/>
      <c r="AT528" s="351"/>
      <c r="AV528" s="405">
        <f t="shared" si="344"/>
        <v>0</v>
      </c>
      <c r="AW528" s="405">
        <f t="shared" si="328"/>
        <v>0</v>
      </c>
      <c r="AX528" s="405">
        <f t="shared" si="345"/>
        <v>0</v>
      </c>
      <c r="AY528" s="405">
        <f t="shared" si="346"/>
        <v>0</v>
      </c>
    </row>
    <row r="529" spans="2:51" ht="13.5" thickBot="1" x14ac:dyDescent="0.25">
      <c r="B529" s="345">
        <v>75858</v>
      </c>
      <c r="C529" s="728" t="str">
        <f t="shared" si="329"/>
        <v>2.16217503399043</v>
      </c>
      <c r="D529" s="728" t="str">
        <f t="shared" si="330"/>
        <v>1+57.9899676422302i</v>
      </c>
      <c r="E529" s="337">
        <f t="shared" ref="E529:E592" si="348">IMABS(D529)</f>
        <v>57.998589182383611</v>
      </c>
      <c r="F529" s="338">
        <f t="shared" ref="F529:F592" si="349">IMARGUMENT(D529)</f>
        <v>1.5535536737005549</v>
      </c>
      <c r="G529" s="338" t="str">
        <f t="shared" si="331"/>
        <v>1+0.238314935516014i</v>
      </c>
      <c r="H529" s="337">
        <f t="shared" ref="H529:H592" si="350">IMABS(G529)</f>
        <v>1.0280048679310823</v>
      </c>
      <c r="I529" s="338">
        <f t="shared" ref="I529:I592" si="351">IMARGUMENT(G529)</f>
        <v>0.23395108165272832</v>
      </c>
      <c r="J529" s="340">
        <f t="shared" si="332"/>
        <v>1</v>
      </c>
      <c r="K529" s="338">
        <f t="shared" ref="K529:K592" si="352">IMABS(J529)</f>
        <v>1</v>
      </c>
      <c r="L529" s="339">
        <f t="shared" ref="L529:L592" si="353">IMARGUMENT(J529)</f>
        <v>0</v>
      </c>
      <c r="M529" s="731" t="str">
        <f t="shared" si="333"/>
        <v>0.7442472816+1.12038767192835i</v>
      </c>
      <c r="N529" s="338">
        <f t="shared" ref="N529:N592" si="354">IMABS(M529)</f>
        <v>1.3450548507692979</v>
      </c>
      <c r="O529" s="339">
        <f t="shared" ref="O529:O592" si="355">IMARGUMENT(M529)</f>
        <v>0.98445023024351275</v>
      </c>
      <c r="P529" s="732" t="str">
        <f t="shared" si="347"/>
        <v>-0.0190697375841997-0.0211697975906733i</v>
      </c>
      <c r="Q529" s="337">
        <f t="shared" ref="Q529:Q592" si="356">IMABS(P529)</f>
        <v>2.8492371287071133E-2</v>
      </c>
      <c r="R529" s="339">
        <f t="shared" ref="R529:R592" si="357">IMARGUMENT(P529)</f>
        <v>-2.3040528222913377</v>
      </c>
      <c r="S529" s="731" t="str">
        <f t="shared" si="334"/>
        <v>6000</v>
      </c>
      <c r="T529" s="337" t="str">
        <f t="shared" si="335"/>
        <v>1+481396.169742349i</v>
      </c>
      <c r="U529" s="346">
        <f t="shared" ref="U529:U592" si="358">IMABS(T529)</f>
        <v>481396.16974338767</v>
      </c>
      <c r="V529" s="347">
        <f t="shared" ref="V529:V592" si="359">IMARGUMENT(T529)</f>
        <v>1.570794249503753</v>
      </c>
      <c r="W529" s="340" t="str">
        <f t="shared" si="336"/>
        <v>1+4766.29871032029i</v>
      </c>
      <c r="X529" s="337">
        <f t="shared" ref="X529:X592" si="360">IMABS(W529)</f>
        <v>4766.2988152234921</v>
      </c>
      <c r="Y529" s="339">
        <f t="shared" ref="Y529:Y592" si="361">IMARGUMENT(W529)</f>
        <v>1.5705865203924649</v>
      </c>
      <c r="Z529" s="337" t="str">
        <f t="shared" si="337"/>
        <v>1+48.0131009493568i</v>
      </c>
      <c r="AA529" s="346">
        <f t="shared" ref="AA529:AA592" si="362">IMABS(Z529)</f>
        <v>48.02351364460047</v>
      </c>
      <c r="AB529" s="347">
        <f t="shared" ref="AB529:AB592" si="363">IMARGUMENT(Z529)</f>
        <v>1.5499716889175326</v>
      </c>
      <c r="AC529" s="732" t="str">
        <f t="shared" ref="AC529:AC592" si="364">IMPRODUCT(S529,IMDIV(W529,IMPRODUCT(T529,Z529)))</f>
        <v>0.0255016767267441-1.23675492248669i</v>
      </c>
      <c r="AD529" s="337">
        <f t="shared" ref="AD529:AD592" si="365">IMABS(AC529)</f>
        <v>1.2370178146699966</v>
      </c>
      <c r="AE529" s="339">
        <f t="shared" ref="AE529:AE592" si="366">IMARGUMENT(AC529)</f>
        <v>-1.5501794180288206</v>
      </c>
      <c r="AF529" s="736" t="str">
        <f t="shared" si="338"/>
        <v>-0.0266681616614482+0.0230447264932605i</v>
      </c>
      <c r="AG529" s="337">
        <f t="shared" ref="AG529:AG592" si="367">20*LOG10(IMABS(AF529))</f>
        <v>-29.057909017452186</v>
      </c>
      <c r="AH529" s="730">
        <f t="shared" ref="AH529:AH592" si="368">(180/PI())*IMARGUMENT(AF529)</f>
        <v>139.16875936640284</v>
      </c>
      <c r="AI529" s="360">
        <f t="shared" si="339"/>
        <v>-40.831240633597162</v>
      </c>
      <c r="AL529" s="337">
        <f t="shared" si="340"/>
        <v>1.8475190816230935</v>
      </c>
      <c r="AM529" s="730">
        <f t="shared" si="341"/>
        <v>-88.818738141097583</v>
      </c>
      <c r="AN529" s="351"/>
      <c r="AO529" s="337">
        <f t="shared" si="342"/>
        <v>22.366503099664143</v>
      </c>
      <c r="AP529" s="730">
        <f t="shared" si="343"/>
        <v>-132.01250249249952</v>
      </c>
      <c r="AS529" s="351"/>
      <c r="AT529" s="351"/>
      <c r="AV529" s="405">
        <f t="shared" si="344"/>
        <v>0</v>
      </c>
      <c r="AW529" s="405">
        <f t="shared" si="328"/>
        <v>0</v>
      </c>
      <c r="AX529" s="405">
        <f t="shared" si="345"/>
        <v>0</v>
      </c>
      <c r="AY529" s="405">
        <f t="shared" si="346"/>
        <v>0</v>
      </c>
    </row>
    <row r="530" spans="2:51" ht="13.5" thickBot="1" x14ac:dyDescent="0.25">
      <c r="B530" s="345">
        <v>76299.75</v>
      </c>
      <c r="C530" s="728" t="str">
        <f t="shared" si="329"/>
        <v>2.16217503399043</v>
      </c>
      <c r="D530" s="728" t="str">
        <f t="shared" si="330"/>
        <v>1+58.3276652905462i</v>
      </c>
      <c r="E530" s="337">
        <f t="shared" si="348"/>
        <v>58.336236922225183</v>
      </c>
      <c r="F530" s="338">
        <f t="shared" si="349"/>
        <v>1.553653483273354</v>
      </c>
      <c r="G530" s="338" t="str">
        <f t="shared" si="331"/>
        <v>1+0.239702734070738i</v>
      </c>
      <c r="H530" s="337">
        <f t="shared" si="350"/>
        <v>1.0283274773733253</v>
      </c>
      <c r="I530" s="338">
        <f t="shared" si="351"/>
        <v>0.23526388581180696</v>
      </c>
      <c r="J530" s="340">
        <f t="shared" si="332"/>
        <v>1</v>
      </c>
      <c r="K530" s="338">
        <f t="shared" si="352"/>
        <v>1</v>
      </c>
      <c r="L530" s="339">
        <f t="shared" si="353"/>
        <v>0</v>
      </c>
      <c r="M530" s="731" t="str">
        <f t="shared" si="333"/>
        <v>0.741259917774999+1.12691211567949i</v>
      </c>
      <c r="N530" s="338">
        <f t="shared" si="354"/>
        <v>1.3488503186658714</v>
      </c>
      <c r="O530" s="339">
        <f t="shared" si="355"/>
        <v>0.98897149688094332</v>
      </c>
      <c r="P530" s="732" t="str">
        <f t="shared" si="347"/>
        <v>-0.0189812992804887-0.0209319495806245i</v>
      </c>
      <c r="Q530" s="337">
        <f t="shared" si="356"/>
        <v>2.8256614015505943E-2</v>
      </c>
      <c r="R530" s="339">
        <f t="shared" si="357"/>
        <v>-2.3073610943424923</v>
      </c>
      <c r="S530" s="731" t="str">
        <f t="shared" si="334"/>
        <v>6000</v>
      </c>
      <c r="T530" s="337" t="str">
        <f t="shared" si="335"/>
        <v>1+484199.522822891i</v>
      </c>
      <c r="U530" s="346">
        <f t="shared" si="358"/>
        <v>484199.52282392356</v>
      </c>
      <c r="V530" s="347">
        <f t="shared" si="359"/>
        <v>1.570794261530573</v>
      </c>
      <c r="W530" s="340" t="str">
        <f t="shared" si="336"/>
        <v>1+4794.05468141476i</v>
      </c>
      <c r="X530" s="337">
        <f t="shared" si="360"/>
        <v>4794.0547857106067</v>
      </c>
      <c r="Y530" s="339">
        <f t="shared" si="361"/>
        <v>1.5705877351012363</v>
      </c>
      <c r="Z530" s="337" t="str">
        <f t="shared" si="337"/>
        <v>1+48.2926995064553i</v>
      </c>
      <c r="AA530" s="346">
        <f t="shared" si="362"/>
        <v>48.303051928638915</v>
      </c>
      <c r="AB530" s="347">
        <f t="shared" si="363"/>
        <v>1.5500922220444118</v>
      </c>
      <c r="AC530" s="732" t="str">
        <f t="shared" si="364"/>
        <v>0.0252073654083566-1.22960061998713i</v>
      </c>
      <c r="AD530" s="337">
        <f t="shared" si="365"/>
        <v>1.2298589740061929</v>
      </c>
      <c r="AE530" s="339">
        <f t="shared" si="366"/>
        <v>-1.5502987484737485</v>
      </c>
      <c r="AF530" s="736" t="str">
        <f t="shared" si="338"/>
        <v>-0.0262164067287639+0.0228117780616621i</v>
      </c>
      <c r="AG530" s="337">
        <f t="shared" si="367"/>
        <v>-29.180491327250561</v>
      </c>
      <c r="AH530" s="730">
        <f t="shared" si="368"/>
        <v>138.97237220952883</v>
      </c>
      <c r="AI530" s="360">
        <f t="shared" si="339"/>
        <v>-41.027627790471172</v>
      </c>
      <c r="AL530" s="337">
        <f t="shared" si="340"/>
        <v>1.7971062885876521</v>
      </c>
      <c r="AM530" s="730">
        <f t="shared" si="341"/>
        <v>-88.825575271959366</v>
      </c>
      <c r="AN530" s="351"/>
      <c r="AO530" s="337">
        <f t="shared" si="342"/>
        <v>22.29433358290121</v>
      </c>
      <c r="AP530" s="730">
        <f t="shared" si="343"/>
        <v>-132.20205251851178</v>
      </c>
      <c r="AS530" s="351"/>
      <c r="AT530" s="351"/>
      <c r="AV530" s="405">
        <f t="shared" si="344"/>
        <v>0</v>
      </c>
      <c r="AW530" s="405">
        <f t="shared" si="328"/>
        <v>0</v>
      </c>
      <c r="AX530" s="405">
        <f t="shared" si="345"/>
        <v>0</v>
      </c>
      <c r="AY530" s="405">
        <f t="shared" si="346"/>
        <v>0</v>
      </c>
    </row>
    <row r="531" spans="2:51" ht="13.5" thickBot="1" x14ac:dyDescent="0.25">
      <c r="B531" s="345">
        <v>76741.5</v>
      </c>
      <c r="C531" s="728" t="str">
        <f t="shared" si="329"/>
        <v>2.16217503399043</v>
      </c>
      <c r="D531" s="728" t="str">
        <f t="shared" si="330"/>
        <v>1+58.6653629388622i</v>
      </c>
      <c r="E531" s="337">
        <f t="shared" si="348"/>
        <v>58.673885236520924</v>
      </c>
      <c r="F531" s="338">
        <f t="shared" si="349"/>
        <v>1.5537521441066309</v>
      </c>
      <c r="G531" s="338" t="str">
        <f t="shared" si="331"/>
        <v>1+0.241090532625461i</v>
      </c>
      <c r="H531" s="337">
        <f t="shared" si="350"/>
        <v>1.0286518579780179</v>
      </c>
      <c r="I531" s="338">
        <f t="shared" si="351"/>
        <v>0.23657586425739821</v>
      </c>
      <c r="J531" s="340">
        <f t="shared" si="332"/>
        <v>1</v>
      </c>
      <c r="K531" s="338">
        <f t="shared" si="352"/>
        <v>1</v>
      </c>
      <c r="L531" s="339">
        <f t="shared" si="353"/>
        <v>0</v>
      </c>
      <c r="M531" s="731" t="str">
        <f t="shared" si="333"/>
        <v>0.7382552079+1.13343655943064i</v>
      </c>
      <c r="N531" s="338">
        <f t="shared" si="354"/>
        <v>1.352663737314429</v>
      </c>
      <c r="O531" s="339">
        <f t="shared" si="355"/>
        <v>0.99347804445842836</v>
      </c>
      <c r="P531" s="732" t="str">
        <f t="shared" si="347"/>
        <v>-0.0188930638396421-0.0206972612288589i</v>
      </c>
      <c r="Q531" s="337">
        <f t="shared" si="356"/>
        <v>2.8023641512558956E-2</v>
      </c>
      <c r="R531" s="339">
        <f t="shared" si="357"/>
        <v>-2.3106543243076594</v>
      </c>
      <c r="S531" s="731" t="str">
        <f t="shared" si="334"/>
        <v>6000</v>
      </c>
      <c r="T531" s="337" t="str">
        <f t="shared" si="335"/>
        <v>1+487002.875903431i</v>
      </c>
      <c r="U531" s="346">
        <f t="shared" si="358"/>
        <v>487002.87590445764</v>
      </c>
      <c r="V531" s="347">
        <f t="shared" si="359"/>
        <v>1.5707942734189322</v>
      </c>
      <c r="W531" s="340" t="str">
        <f t="shared" si="336"/>
        <v>1+4821.81065250922i</v>
      </c>
      <c r="X531" s="337">
        <f t="shared" si="360"/>
        <v>4821.8107562047044</v>
      </c>
      <c r="Y531" s="339">
        <f t="shared" si="361"/>
        <v>1.5705889358254601</v>
      </c>
      <c r="Z531" s="337" t="str">
        <f t="shared" si="337"/>
        <v>1+48.5722980635538i</v>
      </c>
      <c r="AA531" s="346">
        <f t="shared" si="362"/>
        <v>48.582590906359783</v>
      </c>
      <c r="AB531" s="347">
        <f t="shared" si="363"/>
        <v>1.5502113681038334</v>
      </c>
      <c r="AC531" s="732" t="str">
        <f t="shared" si="364"/>
        <v>0.0249181190425803-1.22252857837544i</v>
      </c>
      <c r="AD531" s="337">
        <f t="shared" si="365"/>
        <v>1.2227824980761275</v>
      </c>
      <c r="AE531" s="339">
        <f t="shared" si="366"/>
        <v>-1.5504167056973055</v>
      </c>
      <c r="AF531" s="736" t="str">
        <f t="shared" si="338"/>
        <v>-0.0257737729602173+0.022581573657878i</v>
      </c>
      <c r="AG531" s="337">
        <f t="shared" si="367"/>
        <v>-29.302524346650291</v>
      </c>
      <c r="AH531" s="730">
        <f t="shared" si="368"/>
        <v>138.77692558048591</v>
      </c>
      <c r="AI531" s="360">
        <f t="shared" si="339"/>
        <v>-41.223074419514091</v>
      </c>
      <c r="AL531" s="337">
        <f t="shared" si="340"/>
        <v>1.7469842791419097</v>
      </c>
      <c r="AM531" s="730">
        <f t="shared" si="341"/>
        <v>-88.832333723032264</v>
      </c>
      <c r="AN531" s="351"/>
      <c r="AO531" s="337">
        <f t="shared" si="342"/>
        <v>22.222422572947224</v>
      </c>
      <c r="AP531" s="730">
        <f t="shared" si="343"/>
        <v>-132.39074069648186</v>
      </c>
      <c r="AS531" s="351"/>
      <c r="AT531" s="351"/>
      <c r="AV531" s="405">
        <f t="shared" si="344"/>
        <v>0</v>
      </c>
      <c r="AW531" s="405">
        <f t="shared" si="328"/>
        <v>0</v>
      </c>
      <c r="AX531" s="405">
        <f t="shared" si="345"/>
        <v>0</v>
      </c>
      <c r="AY531" s="405">
        <f t="shared" si="346"/>
        <v>0</v>
      </c>
    </row>
    <row r="532" spans="2:51" ht="13.5" thickBot="1" x14ac:dyDescent="0.25">
      <c r="B532" s="345">
        <v>77183.25</v>
      </c>
      <c r="C532" s="728" t="str">
        <f t="shared" si="329"/>
        <v>2.16217503399043</v>
      </c>
      <c r="D532" s="728" t="str">
        <f t="shared" si="330"/>
        <v>1+59.0030605871782i</v>
      </c>
      <c r="E532" s="337">
        <f t="shared" si="348"/>
        <v>59.011534115410186</v>
      </c>
      <c r="F532" s="338">
        <f t="shared" si="349"/>
        <v>1.5538496759168277</v>
      </c>
      <c r="G532" s="338" t="str">
        <f t="shared" si="331"/>
        <v>1+0.242478331180184i</v>
      </c>
      <c r="H532" s="337">
        <f t="shared" si="350"/>
        <v>1.0289780080701079</v>
      </c>
      <c r="I532" s="338">
        <f t="shared" si="351"/>
        <v>0.23788701325597023</v>
      </c>
      <c r="J532" s="340">
        <f t="shared" si="332"/>
        <v>1</v>
      </c>
      <c r="K532" s="338">
        <f t="shared" si="352"/>
        <v>1</v>
      </c>
      <c r="L532" s="339">
        <f t="shared" si="353"/>
        <v>0</v>
      </c>
      <c r="M532" s="731" t="str">
        <f t="shared" si="333"/>
        <v>0.735233151975+1.13996100318178i</v>
      </c>
      <c r="N532" s="338">
        <f t="shared" si="354"/>
        <v>1.3564950705912291</v>
      </c>
      <c r="O532" s="339">
        <f t="shared" si="355"/>
        <v>0.99796990952036946</v>
      </c>
      <c r="P532" s="732" t="str">
        <f t="shared" si="347"/>
        <v>-0.0188050373967032-0.0204656821185868i</v>
      </c>
      <c r="Q532" s="337">
        <f t="shared" si="356"/>
        <v>2.7793408860203695E-2</v>
      </c>
      <c r="R532" s="339">
        <f t="shared" si="357"/>
        <v>-2.3139325721812258</v>
      </c>
      <c r="S532" s="731" t="str">
        <f t="shared" si="334"/>
        <v>6000</v>
      </c>
      <c r="T532" s="337" t="str">
        <f t="shared" si="335"/>
        <v>1+489806.228983973i</v>
      </c>
      <c r="U532" s="346">
        <f t="shared" si="358"/>
        <v>489806.22898499377</v>
      </c>
      <c r="V532" s="347">
        <f t="shared" si="359"/>
        <v>1.5707942851712078</v>
      </c>
      <c r="W532" s="340" t="str">
        <f t="shared" si="336"/>
        <v>1+4849.56662360369i</v>
      </c>
      <c r="X532" s="337">
        <f t="shared" si="360"/>
        <v>4849.5667267056851</v>
      </c>
      <c r="Y532" s="339">
        <f t="shared" si="361"/>
        <v>1.5705901228052537</v>
      </c>
      <c r="Z532" s="337" t="str">
        <f t="shared" si="337"/>
        <v>1+48.8518966206523i</v>
      </c>
      <c r="AA532" s="346">
        <f t="shared" si="362"/>
        <v>48.862130565857434</v>
      </c>
      <c r="AB532" s="347">
        <f t="shared" si="363"/>
        <v>1.5503291508985739</v>
      </c>
      <c r="AC532" s="732" t="str">
        <f t="shared" si="364"/>
        <v>0.0246338220882313-1.2155373875828i</v>
      </c>
      <c r="AD532" s="337">
        <f t="shared" si="365"/>
        <v>1.215786973857794</v>
      </c>
      <c r="AE532" s="339">
        <f t="shared" si="366"/>
        <v>-1.550533313264528</v>
      </c>
      <c r="AF532" s="736" t="str">
        <f t="shared" si="338"/>
        <v>-0.0253400417231199+0.0223540780583619i</v>
      </c>
      <c r="AG532" s="337">
        <f t="shared" si="367"/>
        <v>-29.424013955774999</v>
      </c>
      <c r="AH532" s="730">
        <f t="shared" si="368"/>
        <v>138.5824146916716</v>
      </c>
      <c r="AI532" s="360">
        <f t="shared" si="339"/>
        <v>-41.417585308328398</v>
      </c>
      <c r="AL532" s="337">
        <f t="shared" si="340"/>
        <v>1.6971497194124918</v>
      </c>
      <c r="AM532" s="730">
        <f t="shared" si="341"/>
        <v>-88.839014844493406</v>
      </c>
      <c r="AN532" s="351"/>
      <c r="AO532" s="337">
        <f t="shared" si="342"/>
        <v>22.150767523551949</v>
      </c>
      <c r="AP532" s="730">
        <f t="shared" si="343"/>
        <v>-132.57857046383495</v>
      </c>
      <c r="AS532" s="351"/>
      <c r="AT532" s="351"/>
      <c r="AV532" s="405">
        <f t="shared" si="344"/>
        <v>0</v>
      </c>
      <c r="AW532" s="405">
        <f t="shared" si="328"/>
        <v>0</v>
      </c>
      <c r="AX532" s="405">
        <f t="shared" si="345"/>
        <v>0</v>
      </c>
      <c r="AY532" s="405">
        <f t="shared" si="346"/>
        <v>0</v>
      </c>
    </row>
    <row r="533" spans="2:51" ht="13.5" thickBot="1" x14ac:dyDescent="0.25">
      <c r="B533" s="345">
        <v>77625</v>
      </c>
      <c r="C533" s="728" t="str">
        <f t="shared" si="329"/>
        <v>2.16217503399043</v>
      </c>
      <c r="D533" s="728" t="str">
        <f t="shared" si="330"/>
        <v>1+59.3407582354942i</v>
      </c>
      <c r="E533" s="337">
        <f t="shared" si="348"/>
        <v>59.349183549256793</v>
      </c>
      <c r="F533" s="338">
        <f t="shared" si="349"/>
        <v>1.5539460979717907</v>
      </c>
      <c r="G533" s="338" t="str">
        <f t="shared" si="331"/>
        <v>1+0.243866129734908i</v>
      </c>
      <c r="H533" s="337">
        <f t="shared" si="350"/>
        <v>1.0293059259675341</v>
      </c>
      <c r="I533" s="338">
        <f t="shared" si="351"/>
        <v>0.23919732909011779</v>
      </c>
      <c r="J533" s="340">
        <f t="shared" si="332"/>
        <v>1</v>
      </c>
      <c r="K533" s="338">
        <f t="shared" si="352"/>
        <v>1</v>
      </c>
      <c r="L533" s="339">
        <f t="shared" si="353"/>
        <v>0</v>
      </c>
      <c r="M533" s="731" t="str">
        <f t="shared" si="333"/>
        <v>0.73219375+1.14648544693293i</v>
      </c>
      <c r="N533" s="338">
        <f t="shared" si="354"/>
        <v>1.3603442827343608</v>
      </c>
      <c r="O533" s="339">
        <f t="shared" si="355"/>
        <v>1.0024471290865224</v>
      </c>
      <c r="P533" s="732" t="str">
        <f t="shared" si="347"/>
        <v>-0.0187172258929233-0.0202371628452051i</v>
      </c>
      <c r="Q533" s="337">
        <f t="shared" si="356"/>
        <v>2.7565872109368648E-2</v>
      </c>
      <c r="R533" s="339">
        <f t="shared" si="357"/>
        <v>-2.3171958979681948</v>
      </c>
      <c r="S533" s="731" t="str">
        <f t="shared" si="334"/>
        <v>6000</v>
      </c>
      <c r="T533" s="337" t="str">
        <f t="shared" si="335"/>
        <v>1+492609.582064513i</v>
      </c>
      <c r="U533" s="346">
        <f t="shared" si="358"/>
        <v>492609.58206552808</v>
      </c>
      <c r="V533" s="347">
        <f t="shared" si="359"/>
        <v>1.5707942967897233</v>
      </c>
      <c r="W533" s="340" t="str">
        <f t="shared" si="336"/>
        <v>1+4877.32259469815i</v>
      </c>
      <c r="X533" s="337">
        <f t="shared" si="360"/>
        <v>4877.3226972134107</v>
      </c>
      <c r="Y533" s="339">
        <f t="shared" si="361"/>
        <v>1.5705912962752679</v>
      </c>
      <c r="Z533" s="337" t="str">
        <f t="shared" si="337"/>
        <v>1+49.1314951777507i</v>
      </c>
      <c r="AA533" s="346">
        <f t="shared" si="362"/>
        <v>49.141670895497036</v>
      </c>
      <c r="AB533" s="347">
        <f t="shared" si="363"/>
        <v>1.5504455936899588</v>
      </c>
      <c r="AC533" s="732" t="str">
        <f t="shared" si="364"/>
        <v>0.0243543622796259-1.20862566957155i</v>
      </c>
      <c r="AD533" s="337">
        <f t="shared" si="365"/>
        <v>1.2088710204605475</v>
      </c>
      <c r="AE533" s="339">
        <f t="shared" si="366"/>
        <v>-1.5506485942044141</v>
      </c>
      <c r="AF533" s="736" t="str">
        <f t="shared" si="338"/>
        <v>-0.0249150005942804+0.0221292564819125i</v>
      </c>
      <c r="AG533" s="337">
        <f t="shared" si="367"/>
        <v>-29.544965928865345</v>
      </c>
      <c r="AH533" s="730">
        <f t="shared" si="368"/>
        <v>138.38883478558833</v>
      </c>
      <c r="AI533" s="360">
        <f t="shared" si="339"/>
        <v>-41.61116521441167</v>
      </c>
      <c r="AL533" s="337">
        <f t="shared" si="340"/>
        <v>1.6475993325107241</v>
      </c>
      <c r="AM533" s="730">
        <f t="shared" si="341"/>
        <v>-88.84561995580718</v>
      </c>
      <c r="AN533" s="351"/>
      <c r="AO533" s="337">
        <f t="shared" si="342"/>
        <v>22.079365937363356</v>
      </c>
      <c r="AP533" s="730">
        <f t="shared" si="343"/>
        <v>-132.7655452586045</v>
      </c>
      <c r="AS533" s="351"/>
      <c r="AT533" s="351"/>
      <c r="AV533" s="405">
        <f t="shared" si="344"/>
        <v>0</v>
      </c>
      <c r="AW533" s="405">
        <f t="shared" si="328"/>
        <v>0</v>
      </c>
      <c r="AX533" s="405">
        <f t="shared" si="345"/>
        <v>0</v>
      </c>
      <c r="AY533" s="405">
        <f t="shared" si="346"/>
        <v>0</v>
      </c>
    </row>
    <row r="534" spans="2:51" ht="13.5" thickBot="1" x14ac:dyDescent="0.25">
      <c r="B534" s="345">
        <v>78077</v>
      </c>
      <c r="C534" s="728" t="str">
        <f t="shared" si="329"/>
        <v>2.16217503399043</v>
      </c>
      <c r="D534" s="728" t="str">
        <f t="shared" si="330"/>
        <v>1+59.6862915394871i</v>
      </c>
      <c r="E534" s="337">
        <f t="shared" si="348"/>
        <v>59.694668084650992</v>
      </c>
      <c r="F534" s="338">
        <f t="shared" si="349"/>
        <v>1.5540436282859103</v>
      </c>
      <c r="G534" s="338" t="str">
        <f t="shared" si="331"/>
        <v>1+0.24528612961433i</v>
      </c>
      <c r="H534" s="337">
        <f t="shared" si="350"/>
        <v>1.0296432806468354</v>
      </c>
      <c r="I534" s="338">
        <f t="shared" si="351"/>
        <v>0.24053718215690664</v>
      </c>
      <c r="J534" s="340">
        <f t="shared" si="332"/>
        <v>1</v>
      </c>
      <c r="K534" s="338">
        <f t="shared" si="352"/>
        <v>1</v>
      </c>
      <c r="L534" s="339">
        <f t="shared" si="353"/>
        <v>0</v>
      </c>
      <c r="M534" s="731" t="str">
        <f t="shared" si="333"/>
        <v>0.729065869822221+1.15316127845645i</v>
      </c>
      <c r="N534" s="338">
        <f t="shared" si="354"/>
        <v>1.3643012778235406</v>
      </c>
      <c r="O534" s="339">
        <f t="shared" si="355"/>
        <v>1.0070131142628116</v>
      </c>
      <c r="P534" s="732" t="str">
        <f t="shared" si="347"/>
        <v>-0.0186276053605278-0.0200064578589026i</v>
      </c>
      <c r="Q534" s="337">
        <f t="shared" si="356"/>
        <v>2.7335801388062683E-2</v>
      </c>
      <c r="R534" s="339">
        <f t="shared" si="357"/>
        <v>-2.3205195603918147</v>
      </c>
      <c r="S534" s="731" t="str">
        <f t="shared" si="334"/>
        <v>6000</v>
      </c>
      <c r="T534" s="337" t="str">
        <f t="shared" si="335"/>
        <v>1+495477.981820948i</v>
      </c>
      <c r="U534" s="346">
        <f t="shared" si="358"/>
        <v>495477.9818219571</v>
      </c>
      <c r="V534" s="347">
        <f t="shared" si="359"/>
        <v>1.5707943085417417</v>
      </c>
      <c r="W534" s="340" t="str">
        <f t="shared" si="336"/>
        <v>1+4905.72259228661i</v>
      </c>
      <c r="X534" s="337">
        <f t="shared" si="360"/>
        <v>4905.7226942083944</v>
      </c>
      <c r="Y534" s="339">
        <f t="shared" si="361"/>
        <v>1.5705924832290739</v>
      </c>
      <c r="Z534" s="337" t="str">
        <f t="shared" si="337"/>
        <v>1+49.4175813074815i</v>
      </c>
      <c r="AA534" s="346">
        <f t="shared" si="362"/>
        <v>49.427698128494164</v>
      </c>
      <c r="AB534" s="347">
        <f t="shared" si="363"/>
        <v>1.5505633750320658</v>
      </c>
      <c r="AC534" s="732" t="str">
        <f t="shared" si="364"/>
        <v>0.0240733111389623-1.20163443325237i</v>
      </c>
      <c r="AD534" s="337">
        <f t="shared" si="365"/>
        <v>1.201875549084404</v>
      </c>
      <c r="AE534" s="339">
        <f t="shared" si="366"/>
        <v>-1.5507652003447336</v>
      </c>
      <c r="AF534" s="736" t="str">
        <f t="shared" si="338"/>
        <v>-0.0244888767902876+0.0219019503254207i</v>
      </c>
      <c r="AG534" s="337">
        <f t="shared" si="367"/>
        <v>-29.668173792599344</v>
      </c>
      <c r="AH534" s="730">
        <f t="shared" si="368"/>
        <v>138.19172191648309</v>
      </c>
      <c r="AI534" s="360">
        <f t="shared" si="339"/>
        <v>-41.80827808351691</v>
      </c>
      <c r="AL534" s="337">
        <f t="shared" si="340"/>
        <v>1.5971899998553205</v>
      </c>
      <c r="AM534" s="730">
        <f t="shared" si="341"/>
        <v>-88.852300995512792</v>
      </c>
      <c r="AN534" s="351"/>
      <c r="AO534" s="337">
        <f t="shared" si="342"/>
        <v>22.006567406284777</v>
      </c>
      <c r="AP534" s="730">
        <f t="shared" si="343"/>
        <v>-132.95597708800412</v>
      </c>
      <c r="AS534" s="351"/>
      <c r="AT534" s="351"/>
      <c r="AV534" s="405">
        <f t="shared" si="344"/>
        <v>0</v>
      </c>
      <c r="AW534" s="405">
        <f t="shared" si="328"/>
        <v>0</v>
      </c>
      <c r="AX534" s="405">
        <f t="shared" si="345"/>
        <v>0</v>
      </c>
      <c r="AY534" s="405">
        <f t="shared" si="346"/>
        <v>0</v>
      </c>
    </row>
    <row r="535" spans="2:51" ht="13.5" thickBot="1" x14ac:dyDescent="0.25">
      <c r="B535" s="345">
        <v>78529</v>
      </c>
      <c r="C535" s="728" t="str">
        <f t="shared" si="329"/>
        <v>2.16217503399043</v>
      </c>
      <c r="D535" s="728" t="str">
        <f t="shared" si="330"/>
        <v>1+60.0318248434799i</v>
      </c>
      <c r="E535" s="337">
        <f t="shared" si="348"/>
        <v>60.040153181335668</v>
      </c>
      <c r="F535" s="338">
        <f t="shared" si="349"/>
        <v>1.5541400361764199</v>
      </c>
      <c r="G535" s="338" t="str">
        <f t="shared" si="331"/>
        <v>1+0.246706129493753i</v>
      </c>
      <c r="H535" s="337">
        <f t="shared" si="350"/>
        <v>1.0299824825354014</v>
      </c>
      <c r="I535" s="338">
        <f t="shared" si="351"/>
        <v>0.24187615512432623</v>
      </c>
      <c r="J535" s="340">
        <f t="shared" si="332"/>
        <v>1</v>
      </c>
      <c r="K535" s="338">
        <f t="shared" si="352"/>
        <v>1</v>
      </c>
      <c r="L535" s="339">
        <f t="shared" si="353"/>
        <v>0</v>
      </c>
      <c r="M535" s="731" t="str">
        <f t="shared" si="333"/>
        <v>0.725919829288888+1.15983710997998i</v>
      </c>
      <c r="N535" s="338">
        <f t="shared" si="354"/>
        <v>1.3682769165053981</v>
      </c>
      <c r="O535" s="339">
        <f t="shared" si="355"/>
        <v>1.0115638462913186</v>
      </c>
      <c r="P535" s="732" t="str">
        <f t="shared" si="347"/>
        <v>-0.0185382218402236-0.0197788548364175i</v>
      </c>
      <c r="Q535" s="337">
        <f t="shared" si="356"/>
        <v>2.7108463026099788E-2</v>
      </c>
      <c r="R535" s="339">
        <f t="shared" si="357"/>
        <v>-2.3238277273434136</v>
      </c>
      <c r="S535" s="731" t="str">
        <f t="shared" si="334"/>
        <v>6000</v>
      </c>
      <c r="T535" s="337" t="str">
        <f t="shared" si="335"/>
        <v>1+498346.381577381i</v>
      </c>
      <c r="U535" s="346">
        <f t="shared" si="358"/>
        <v>498346.38157838432</v>
      </c>
      <c r="V535" s="347">
        <f t="shared" si="359"/>
        <v>1.5707943201584746</v>
      </c>
      <c r="W535" s="340" t="str">
        <f t="shared" si="336"/>
        <v>1+4934.12258987506i</v>
      </c>
      <c r="X535" s="337">
        <f t="shared" si="360"/>
        <v>4934.1226912101984</v>
      </c>
      <c r="Y535" s="339">
        <f t="shared" si="361"/>
        <v>1.5705936565190586</v>
      </c>
      <c r="Z535" s="337" t="str">
        <f t="shared" si="337"/>
        <v>1+49.7036674372122i</v>
      </c>
      <c r="AA535" s="346">
        <f t="shared" si="362"/>
        <v>49.713726039284033</v>
      </c>
      <c r="AB535" s="347">
        <f t="shared" si="363"/>
        <v>1.5506798010659253</v>
      </c>
      <c r="AC535" s="732" t="str">
        <f t="shared" si="364"/>
        <v>0.0237970964522018-1.19472358043884i</v>
      </c>
      <c r="AD535" s="337">
        <f t="shared" si="365"/>
        <v>1.1949605581173617</v>
      </c>
      <c r="AE535" s="339">
        <f t="shared" si="366"/>
        <v>-1.5508804647053414</v>
      </c>
      <c r="AF535" s="736" t="str">
        <f t="shared" si="338"/>
        <v>-0.0240714201203289+0.0216773714556651i</v>
      </c>
      <c r="AG535" s="337">
        <f t="shared" si="367"/>
        <v>-29.790830683468972</v>
      </c>
      <c r="AH535" s="730">
        <f t="shared" si="368"/>
        <v>137.99557375084075</v>
      </c>
      <c r="AI535" s="360">
        <f t="shared" si="339"/>
        <v>-42.004426249159252</v>
      </c>
      <c r="AL535" s="337">
        <f t="shared" si="340"/>
        <v>1.5470714165672099</v>
      </c>
      <c r="AM535" s="730">
        <f t="shared" si="341"/>
        <v>-88.858905156903887</v>
      </c>
      <c r="AN535" s="351"/>
      <c r="AO535" s="337">
        <f t="shared" si="342"/>
        <v>21.934029098703256</v>
      </c>
      <c r="AP535" s="730">
        <f t="shared" si="343"/>
        <v>-133.14552109225542</v>
      </c>
      <c r="AS535" s="351"/>
      <c r="AT535" s="351"/>
      <c r="AV535" s="405">
        <f t="shared" si="344"/>
        <v>0</v>
      </c>
      <c r="AW535" s="405">
        <f t="shared" si="328"/>
        <v>0</v>
      </c>
      <c r="AX535" s="405">
        <f t="shared" si="345"/>
        <v>0</v>
      </c>
      <c r="AY535" s="405">
        <f t="shared" si="346"/>
        <v>0</v>
      </c>
    </row>
    <row r="536" spans="2:51" ht="13.5" thickBot="1" x14ac:dyDescent="0.25">
      <c r="B536" s="345">
        <v>78981</v>
      </c>
      <c r="C536" s="728" t="str">
        <f t="shared" si="329"/>
        <v>2.16217503399043</v>
      </c>
      <c r="D536" s="728" t="str">
        <f t="shared" si="330"/>
        <v>1+60.3773581474727i</v>
      </c>
      <c r="E536" s="337">
        <f t="shared" si="348"/>
        <v>60.38563882967695</v>
      </c>
      <c r="F536" s="338">
        <f t="shared" si="349"/>
        <v>1.5542353409067506</v>
      </c>
      <c r="G536" s="338" t="str">
        <f t="shared" si="331"/>
        <v>1+0.248126129373175i</v>
      </c>
      <c r="H536" s="337">
        <f t="shared" si="350"/>
        <v>1.0303235298088234</v>
      </c>
      <c r="I536" s="338">
        <f t="shared" si="351"/>
        <v>0.24321424406283892</v>
      </c>
      <c r="J536" s="340">
        <f t="shared" si="332"/>
        <v>1</v>
      </c>
      <c r="K536" s="338">
        <f t="shared" si="352"/>
        <v>1</v>
      </c>
      <c r="L536" s="339">
        <f t="shared" si="353"/>
        <v>0</v>
      </c>
      <c r="M536" s="731" t="str">
        <f t="shared" si="333"/>
        <v>0.7227556284+1.1665129415035i</v>
      </c>
      <c r="N536" s="338">
        <f t="shared" si="354"/>
        <v>1.3722711616437282</v>
      </c>
      <c r="O536" s="339">
        <f t="shared" si="355"/>
        <v>1.0160993662808557</v>
      </c>
      <c r="P536" s="732" t="str">
        <f t="shared" si="347"/>
        <v>-0.0184490810956027-0.0195543039739412i</v>
      </c>
      <c r="Q536" s="337">
        <f t="shared" si="356"/>
        <v>2.6883812921113283E-2</v>
      </c>
      <c r="R536" s="339">
        <f t="shared" si="357"/>
        <v>-2.3271204631247664</v>
      </c>
      <c r="S536" s="731" t="str">
        <f t="shared" si="334"/>
        <v>6000</v>
      </c>
      <c r="T536" s="337" t="str">
        <f t="shared" si="335"/>
        <v>1+501214.781333815i</v>
      </c>
      <c r="U536" s="346">
        <f t="shared" si="358"/>
        <v>501214.78133481264</v>
      </c>
      <c r="V536" s="347">
        <f t="shared" si="359"/>
        <v>1.570794331642245</v>
      </c>
      <c r="W536" s="340" t="str">
        <f t="shared" si="336"/>
        <v>1+4962.52258746351i</v>
      </c>
      <c r="X536" s="337">
        <f t="shared" si="360"/>
        <v>4962.5226882187171</v>
      </c>
      <c r="Y536" s="339">
        <f t="shared" si="361"/>
        <v>1.5705948163798125</v>
      </c>
      <c r="Z536" s="337" t="str">
        <f t="shared" si="337"/>
        <v>1+49.9897535669428i</v>
      </c>
      <c r="AA536" s="346">
        <f t="shared" si="362"/>
        <v>49.999754616234569</v>
      </c>
      <c r="AB536" s="347">
        <f t="shared" si="363"/>
        <v>1.5507948950478814</v>
      </c>
      <c r="AC536" s="732" t="str">
        <f t="shared" si="364"/>
        <v>0.0235256078967092-1.18789173325868i</v>
      </c>
      <c r="AD536" s="337">
        <f t="shared" si="365"/>
        <v>1.1881246669315559</v>
      </c>
      <c r="AE536" s="339">
        <f t="shared" si="366"/>
        <v>-1.5509944103103142</v>
      </c>
      <c r="AF536" s="736" t="str">
        <f t="shared" si="338"/>
        <v>-0.0236624218881818+0.0214554840317014i</v>
      </c>
      <c r="AG536" s="337">
        <f t="shared" si="367"/>
        <v>-29.912942459257476</v>
      </c>
      <c r="AH536" s="730">
        <f t="shared" si="368"/>
        <v>137.80038528525844</v>
      </c>
      <c r="AI536" s="360">
        <f t="shared" si="339"/>
        <v>-42.199614714741557</v>
      </c>
      <c r="AL536" s="337">
        <f t="shared" si="340"/>
        <v>1.4972402492646206</v>
      </c>
      <c r="AM536" s="730">
        <f t="shared" si="341"/>
        <v>-88.865433759162897</v>
      </c>
      <c r="AN536" s="351"/>
      <c r="AO536" s="337">
        <f t="shared" si="342"/>
        <v>21.861748490217352</v>
      </c>
      <c r="AP536" s="730">
        <f t="shared" si="343"/>
        <v>-133.33418095557866</v>
      </c>
      <c r="AS536" s="351"/>
      <c r="AT536" s="351"/>
      <c r="AV536" s="405">
        <f t="shared" si="344"/>
        <v>0</v>
      </c>
      <c r="AW536" s="405">
        <f t="shared" si="328"/>
        <v>0</v>
      </c>
      <c r="AX536" s="405">
        <f t="shared" si="345"/>
        <v>0</v>
      </c>
      <c r="AY536" s="405">
        <f t="shared" si="346"/>
        <v>0</v>
      </c>
    </row>
    <row r="537" spans="2:51" ht="13.5" thickBot="1" x14ac:dyDescent="0.25">
      <c r="B537" s="345">
        <v>79433</v>
      </c>
      <c r="C537" s="728" t="str">
        <f t="shared" si="329"/>
        <v>2.16217503399043</v>
      </c>
      <c r="D537" s="728" t="str">
        <f t="shared" si="330"/>
        <v>1+60.7228914514655i</v>
      </c>
      <c r="E537" s="337">
        <f t="shared" si="348"/>
        <v>60.731125020260095</v>
      </c>
      <c r="F537" s="338">
        <f t="shared" si="349"/>
        <v>1.5543295613020729</v>
      </c>
      <c r="G537" s="338" t="str">
        <f t="shared" si="331"/>
        <v>1+0.249546129252598i</v>
      </c>
      <c r="H537" s="337">
        <f t="shared" si="350"/>
        <v>1.0306664206351899</v>
      </c>
      <c r="I537" s="338">
        <f t="shared" si="351"/>
        <v>0.24455144506076065</v>
      </c>
      <c r="J537" s="340">
        <f t="shared" si="332"/>
        <v>1</v>
      </c>
      <c r="K537" s="338">
        <f t="shared" si="352"/>
        <v>1</v>
      </c>
      <c r="L537" s="339">
        <f t="shared" si="353"/>
        <v>0</v>
      </c>
      <c r="M537" s="731" t="str">
        <f t="shared" si="333"/>
        <v>0.719573267155556+1.17318877302703i</v>
      </c>
      <c r="N537" s="338">
        <f t="shared" si="354"/>
        <v>1.3762839764967074</v>
      </c>
      <c r="O537" s="339">
        <f t="shared" si="355"/>
        <v>1.0206197157989514</v>
      </c>
      <c r="P537" s="732" t="str">
        <f t="shared" si="347"/>
        <v>-0.0183601886971019-0.0193327564652078i</v>
      </c>
      <c r="Q537" s="337">
        <f t="shared" si="356"/>
        <v>2.6661807919498303E-2</v>
      </c>
      <c r="R537" s="339">
        <f t="shared" si="357"/>
        <v>-2.3303978320402652</v>
      </c>
      <c r="S537" s="731" t="str">
        <f t="shared" si="334"/>
        <v>6000</v>
      </c>
      <c r="T537" s="337" t="str">
        <f t="shared" si="335"/>
        <v>1+504083.181090248i</v>
      </c>
      <c r="U537" s="346">
        <f t="shared" si="358"/>
        <v>504083.18109123991</v>
      </c>
      <c r="V537" s="347">
        <f t="shared" si="359"/>
        <v>1.5707943429953224</v>
      </c>
      <c r="W537" s="340" t="str">
        <f t="shared" si="336"/>
        <v>1+4990.92258505196i</v>
      </c>
      <c r="X537" s="337">
        <f t="shared" si="360"/>
        <v>4990.922685233837</v>
      </c>
      <c r="Y537" s="339">
        <f t="shared" si="361"/>
        <v>1.5705959630405852</v>
      </c>
      <c r="Z537" s="337" t="str">
        <f t="shared" si="337"/>
        <v>1+50.2758396966735i</v>
      </c>
      <c r="AA537" s="346">
        <f t="shared" si="362"/>
        <v>50.285783847978458</v>
      </c>
      <c r="AB537" s="347">
        <f t="shared" si="363"/>
        <v>1.5509086797052858</v>
      </c>
      <c r="AC537" s="732" t="str">
        <f t="shared" si="364"/>
        <v>0.023258738277256-1.1811375451396i</v>
      </c>
      <c r="AD537" s="337">
        <f t="shared" si="365"/>
        <v>1.1813665262926027</v>
      </c>
      <c r="AE537" s="339">
        <f t="shared" si="366"/>
        <v>-1.5511070596600229</v>
      </c>
      <c r="AF537" s="736" t="str">
        <f t="shared" si="338"/>
        <v>-0.0232616793357242+0.0212362526831926i</v>
      </c>
      <c r="AG537" s="337">
        <f t="shared" si="367"/>
        <v>-30.034514872520582</v>
      </c>
      <c r="AH537" s="730">
        <f t="shared" si="368"/>
        <v>137.60615154618978</v>
      </c>
      <c r="AI537" s="360">
        <f t="shared" si="339"/>
        <v>-42.393848453810222</v>
      </c>
      <c r="AL537" s="337">
        <f t="shared" si="340"/>
        <v>1.4476932215412659</v>
      </c>
      <c r="AM537" s="730">
        <f t="shared" si="341"/>
        <v>-88.871888091466104</v>
      </c>
      <c r="AN537" s="351"/>
      <c r="AO537" s="337">
        <f t="shared" si="342"/>
        <v>21.789723104677581</v>
      </c>
      <c r="AP537" s="730">
        <f t="shared" si="343"/>
        <v>-133.52196036234412</v>
      </c>
      <c r="AS537" s="351"/>
      <c r="AT537" s="351"/>
      <c r="AV537" s="405">
        <f t="shared" si="344"/>
        <v>0</v>
      </c>
      <c r="AW537" s="405">
        <f t="shared" si="328"/>
        <v>0</v>
      </c>
      <c r="AX537" s="405">
        <f t="shared" si="345"/>
        <v>0</v>
      </c>
      <c r="AY537" s="405">
        <f t="shared" si="346"/>
        <v>0</v>
      </c>
    </row>
    <row r="538" spans="2:51" ht="13.5" thickBot="1" x14ac:dyDescent="0.25">
      <c r="B538" s="345">
        <v>79895.5</v>
      </c>
      <c r="C538" s="728" t="str">
        <f t="shared" si="329"/>
        <v>2.16217503399043</v>
      </c>
      <c r="D538" s="728" t="str">
        <f t="shared" si="330"/>
        <v>1+61.0764515246883i</v>
      </c>
      <c r="E538" s="337">
        <f t="shared" si="348"/>
        <v>61.08463743730988</v>
      </c>
      <c r="F538" s="338">
        <f t="shared" si="349"/>
        <v>1.5544248672244831</v>
      </c>
      <c r="G538" s="338" t="str">
        <f t="shared" si="331"/>
        <v>1+0.250999115854883i</v>
      </c>
      <c r="H538" s="337">
        <f t="shared" si="350"/>
        <v>1.0310191832162643</v>
      </c>
      <c r="I538" s="338">
        <f t="shared" si="351"/>
        <v>0.24591878617399124</v>
      </c>
      <c r="J538" s="340">
        <f t="shared" si="332"/>
        <v>1</v>
      </c>
      <c r="K538" s="338">
        <f t="shared" si="352"/>
        <v>1</v>
      </c>
      <c r="L538" s="339">
        <f t="shared" si="353"/>
        <v>0</v>
      </c>
      <c r="M538" s="731" t="str">
        <f t="shared" si="333"/>
        <v>0.716298181322222+1.18001968470763i</v>
      </c>
      <c r="N538" s="338">
        <f t="shared" si="354"/>
        <v>1.3804091932695237</v>
      </c>
      <c r="O538" s="339">
        <f t="shared" si="355"/>
        <v>1.0252294140802063</v>
      </c>
      <c r="P538" s="732" t="str">
        <f t="shared" si="347"/>
        <v>-0.0182694939999475-0.0191091213125562i</v>
      </c>
      <c r="Q538" s="337">
        <f t="shared" si="356"/>
        <v>2.6437339661019361E-2</v>
      </c>
      <c r="R538" s="339">
        <f t="shared" si="357"/>
        <v>-2.3337354951306981</v>
      </c>
      <c r="S538" s="731" t="str">
        <f t="shared" si="334"/>
        <v>6000</v>
      </c>
      <c r="T538" s="337" t="str">
        <f t="shared" si="335"/>
        <v>1+507018.214026865i</v>
      </c>
      <c r="U538" s="346">
        <f t="shared" si="358"/>
        <v>507018.21402785124</v>
      </c>
      <c r="V538" s="347">
        <f t="shared" si="359"/>
        <v>1.5707943544791645</v>
      </c>
      <c r="W538" s="340" t="str">
        <f t="shared" si="336"/>
        <v>1+5019.98231709767i</v>
      </c>
      <c r="X538" s="337">
        <f t="shared" si="360"/>
        <v>5019.9824166996132</v>
      </c>
      <c r="Y538" s="339">
        <f t="shared" si="361"/>
        <v>1.5705971229085867</v>
      </c>
      <c r="Z538" s="337" t="str">
        <f t="shared" si="337"/>
        <v>1+50.5685716325152i</v>
      </c>
      <c r="AA538" s="346">
        <f t="shared" si="362"/>
        <v>50.578458230286351</v>
      </c>
      <c r="AB538" s="347">
        <f t="shared" si="363"/>
        <v>1.5510237754572667</v>
      </c>
      <c r="AC538" s="732" t="str">
        <f t="shared" si="364"/>
        <v>0.0229903417338623-1.17430546994632i</v>
      </c>
      <c r="AD538" s="337">
        <f t="shared" si="365"/>
        <v>1.174530498777655</v>
      </c>
      <c r="AE538" s="339">
        <f t="shared" si="366"/>
        <v>-1.5512210070278445</v>
      </c>
      <c r="AF538" s="736" t="str">
        <f t="shared" si="338"/>
        <v>-0.0228599675935661+0.0210146415080803i</v>
      </c>
      <c r="AG538" s="337">
        <f t="shared" si="367"/>
        <v>-30.158359014428409</v>
      </c>
      <c r="AH538" s="730">
        <f t="shared" si="368"/>
        <v>137.40838883440864</v>
      </c>
      <c r="AI538" s="360">
        <f t="shared" si="339"/>
        <v>-42.59161116559136</v>
      </c>
      <c r="AL538" s="337">
        <f t="shared" si="340"/>
        <v>1.3972859698053666</v>
      </c>
      <c r="AM538" s="730">
        <f t="shared" si="341"/>
        <v>-88.878416794728906</v>
      </c>
      <c r="AN538" s="351"/>
      <c r="AO538" s="337">
        <f t="shared" si="342"/>
        <v>21.716286214505661</v>
      </c>
      <c r="AP538" s="730">
        <f t="shared" si="343"/>
        <v>-133.71319437086254</v>
      </c>
      <c r="AS538" s="351"/>
      <c r="AT538" s="351"/>
      <c r="AV538" s="405">
        <f t="shared" si="344"/>
        <v>0</v>
      </c>
      <c r="AW538" s="405">
        <f t="shared" ref="AW538:AW601" si="369">IF(AV538&gt;0,AI538,0)</f>
        <v>0</v>
      </c>
      <c r="AX538" s="405">
        <f t="shared" si="345"/>
        <v>0</v>
      </c>
      <c r="AY538" s="405">
        <f t="shared" si="346"/>
        <v>0</v>
      </c>
    </row>
    <row r="539" spans="2:51" ht="13.5" thickBot="1" x14ac:dyDescent="0.25">
      <c r="B539" s="345">
        <v>80358</v>
      </c>
      <c r="C539" s="728" t="str">
        <f t="shared" si="329"/>
        <v>2.16217503399043</v>
      </c>
      <c r="D539" s="728" t="str">
        <f t="shared" si="330"/>
        <v>1+61.430011597911i</v>
      </c>
      <c r="E539" s="337">
        <f t="shared" si="348"/>
        <v>61.438150402819574</v>
      </c>
      <c r="F539" s="338">
        <f t="shared" si="349"/>
        <v>1.5545190763738621</v>
      </c>
      <c r="G539" s="338" t="str">
        <f t="shared" si="331"/>
        <v>1+0.252452102457169i</v>
      </c>
      <c r="H539" s="337">
        <f t="shared" si="350"/>
        <v>1.0313738720924848</v>
      </c>
      <c r="I539" s="338">
        <f t="shared" si="351"/>
        <v>0.24728518938478836</v>
      </c>
      <c r="J539" s="340">
        <f t="shared" si="332"/>
        <v>1</v>
      </c>
      <c r="K539" s="338">
        <f t="shared" si="352"/>
        <v>1</v>
      </c>
      <c r="L539" s="339">
        <f t="shared" si="353"/>
        <v>0</v>
      </c>
      <c r="M539" s="731" t="str">
        <f t="shared" si="333"/>
        <v>0.7130040816+1.18685059638823i</v>
      </c>
      <c r="N539" s="338">
        <f t="shared" si="354"/>
        <v>1.384553775960095</v>
      </c>
      <c r="O539" s="339">
        <f t="shared" si="355"/>
        <v>1.0298233183397731</v>
      </c>
      <c r="P539" s="732" t="str">
        <f t="shared" si="347"/>
        <v>-0.0181790705213618-0.0188885303707909i</v>
      </c>
      <c r="Q539" s="337">
        <f t="shared" si="356"/>
        <v>2.6215552341862562E-2</v>
      </c>
      <c r="R539" s="339">
        <f t="shared" si="357"/>
        <v>-2.3370572053288492</v>
      </c>
      <c r="S539" s="731" t="str">
        <f t="shared" si="334"/>
        <v>6000</v>
      </c>
      <c r="T539" s="337" t="str">
        <f t="shared" si="335"/>
        <v>1+509953.24696348i</v>
      </c>
      <c r="U539" s="346">
        <f t="shared" si="358"/>
        <v>509953.24696446053</v>
      </c>
      <c r="V539" s="347">
        <f t="shared" si="359"/>
        <v>1.5707943658308161</v>
      </c>
      <c r="W539" s="340" t="str">
        <f t="shared" si="336"/>
        <v>1+5049.04204914337i</v>
      </c>
      <c r="X539" s="337">
        <f t="shared" si="360"/>
        <v>5049.042148172055</v>
      </c>
      <c r="Y539" s="339">
        <f t="shared" si="361"/>
        <v>1.5705982694253617</v>
      </c>
      <c r="Z539" s="337" t="str">
        <f t="shared" si="337"/>
        <v>1+50.8613035683568i</v>
      </c>
      <c r="AA539" s="346">
        <f t="shared" si="362"/>
        <v>50.871133274899073</v>
      </c>
      <c r="AB539" s="347">
        <f t="shared" si="363"/>
        <v>1.5511375468583157</v>
      </c>
      <c r="AC539" s="732" t="str">
        <f t="shared" si="364"/>
        <v>0.0227265637178205-1.16755194788461i</v>
      </c>
      <c r="AD539" s="337">
        <f t="shared" si="365"/>
        <v>1.1677731148247792</v>
      </c>
      <c r="AE539" s="339">
        <f t="shared" si="366"/>
        <v>-1.5513336432637703</v>
      </c>
      <c r="AF539" s="736" t="str">
        <f t="shared" si="338"/>
        <v>-0.022466488231629+0.0207957378089399i</v>
      </c>
      <c r="AG539" s="337">
        <f t="shared" si="367"/>
        <v>-30.281650303120891</v>
      </c>
      <c r="AH539" s="730">
        <f t="shared" si="368"/>
        <v>137.21161527835019</v>
      </c>
      <c r="AI539" s="360">
        <f t="shared" si="339"/>
        <v>-42.788384721649805</v>
      </c>
      <c r="AL539" s="337">
        <f t="shared" si="340"/>
        <v>1.347169448830301</v>
      </c>
      <c r="AM539" s="730">
        <f t="shared" si="341"/>
        <v>-88.884870375667688</v>
      </c>
      <c r="AN539" s="351"/>
      <c r="AO539" s="337">
        <f t="shared" si="342"/>
        <v>21.64311144678824</v>
      </c>
      <c r="AP539" s="730">
        <f t="shared" si="343"/>
        <v>-133.90351434598207</v>
      </c>
      <c r="AS539" s="351"/>
      <c r="AT539" s="351"/>
      <c r="AV539" s="405">
        <f t="shared" si="344"/>
        <v>0</v>
      </c>
      <c r="AW539" s="405">
        <f t="shared" si="369"/>
        <v>0</v>
      </c>
      <c r="AX539" s="405">
        <f t="shared" si="345"/>
        <v>0</v>
      </c>
      <c r="AY539" s="405">
        <f t="shared" si="346"/>
        <v>0</v>
      </c>
    </row>
    <row r="540" spans="2:51" ht="13.5" thickBot="1" x14ac:dyDescent="0.25">
      <c r="B540" s="345">
        <v>80820.5</v>
      </c>
      <c r="C540" s="728" t="str">
        <f t="shared" si="329"/>
        <v>2.16217503399043</v>
      </c>
      <c r="D540" s="728" t="str">
        <f t="shared" si="330"/>
        <v>1+61.7835716711338i</v>
      </c>
      <c r="E540" s="337">
        <f t="shared" si="348"/>
        <v>61.791663907376112</v>
      </c>
      <c r="F540" s="338">
        <f t="shared" si="349"/>
        <v>1.5546122075726194</v>
      </c>
      <c r="G540" s="338" t="str">
        <f t="shared" si="331"/>
        <v>1+0.253905089059454i</v>
      </c>
      <c r="H540" s="337">
        <f t="shared" si="350"/>
        <v>1.031730485277182</v>
      </c>
      <c r="I540" s="338">
        <f t="shared" si="351"/>
        <v>0.24865065056078189</v>
      </c>
      <c r="J540" s="340">
        <f t="shared" si="332"/>
        <v>1</v>
      </c>
      <c r="K540" s="338">
        <f t="shared" si="352"/>
        <v>1</v>
      </c>
      <c r="L540" s="339">
        <f t="shared" si="353"/>
        <v>0</v>
      </c>
      <c r="M540" s="731" t="str">
        <f t="shared" si="333"/>
        <v>0.709690967988889+1.19368150806883i</v>
      </c>
      <c r="N540" s="338">
        <f t="shared" si="354"/>
        <v>1.3887176864829232</v>
      </c>
      <c r="O540" s="339">
        <f t="shared" si="355"/>
        <v>1.0344014745028636</v>
      </c>
      <c r="P540" s="732" t="str">
        <f t="shared" si="347"/>
        <v>-0.0180889236305523-0.0186709344293445i</v>
      </c>
      <c r="Q540" s="337">
        <f t="shared" si="356"/>
        <v>2.5996402646843952E-2</v>
      </c>
      <c r="R540" s="339">
        <f t="shared" si="357"/>
        <v>-2.3403630315147019</v>
      </c>
      <c r="S540" s="731" t="str">
        <f t="shared" si="334"/>
        <v>6000</v>
      </c>
      <c r="T540" s="337" t="str">
        <f t="shared" si="335"/>
        <v>1+512888.279900097i</v>
      </c>
      <c r="U540" s="346">
        <f t="shared" si="358"/>
        <v>512888.27990107186</v>
      </c>
      <c r="V540" s="347">
        <f t="shared" si="359"/>
        <v>1.570794377052547</v>
      </c>
      <c r="W540" s="340" t="str">
        <f t="shared" si="336"/>
        <v>1+5078.10178118908i</v>
      </c>
      <c r="X540" s="337">
        <f t="shared" si="360"/>
        <v>5078.1018796510671</v>
      </c>
      <c r="Y540" s="339">
        <f t="shared" si="361"/>
        <v>1.5705994028201196</v>
      </c>
      <c r="Z540" s="337" t="str">
        <f t="shared" si="337"/>
        <v>1+51.1540355041985i</v>
      </c>
      <c r="AA540" s="346">
        <f t="shared" si="362"/>
        <v>51.16380897045098</v>
      </c>
      <c r="AB540" s="347">
        <f t="shared" si="363"/>
        <v>1.5512500166327767</v>
      </c>
      <c r="AC540" s="732" t="str">
        <f t="shared" si="364"/>
        <v>0.0224672988805528-1.16087563243936i</v>
      </c>
      <c r="AD540" s="337">
        <f t="shared" si="365"/>
        <v>1.1610930253474407</v>
      </c>
      <c r="AE540" s="339">
        <f t="shared" si="366"/>
        <v>-1.5514449908652042</v>
      </c>
      <c r="AF540" s="736" t="str">
        <f t="shared" si="338"/>
        <v>-0.0220810420675342+0.0205795051955614i</v>
      </c>
      <c r="AG540" s="337">
        <f t="shared" si="367"/>
        <v>-30.404394575671596</v>
      </c>
      <c r="AH540" s="730">
        <f t="shared" si="368"/>
        <v>137.0158256424759</v>
      </c>
      <c r="AI540" s="360">
        <f t="shared" si="339"/>
        <v>-42.984174357524097</v>
      </c>
      <c r="AL540" s="337">
        <f t="shared" si="340"/>
        <v>1.2973403254624745</v>
      </c>
      <c r="AM540" s="730">
        <f t="shared" si="341"/>
        <v>-88.891250123288756</v>
      </c>
      <c r="AN540" s="351"/>
      <c r="AO540" s="337">
        <f t="shared" si="342"/>
        <v>21.570196297605374</v>
      </c>
      <c r="AP540" s="730">
        <f t="shared" si="343"/>
        <v>-134.09292423423531</v>
      </c>
      <c r="AS540" s="351"/>
      <c r="AT540" s="351"/>
      <c r="AV540" s="405">
        <f t="shared" si="344"/>
        <v>0</v>
      </c>
      <c r="AW540" s="405">
        <f t="shared" si="369"/>
        <v>0</v>
      </c>
      <c r="AX540" s="405">
        <f t="shared" si="345"/>
        <v>0</v>
      </c>
      <c r="AY540" s="405">
        <f t="shared" si="346"/>
        <v>0</v>
      </c>
    </row>
    <row r="541" spans="2:51" ht="13.5" thickBot="1" x14ac:dyDescent="0.25">
      <c r="B541" s="345">
        <v>81283</v>
      </c>
      <c r="C541" s="728" t="str">
        <f t="shared" si="329"/>
        <v>2.16217503399043</v>
      </c>
      <c r="D541" s="728" t="str">
        <f t="shared" si="330"/>
        <v>1+62.1371317443565i</v>
      </c>
      <c r="E541" s="337">
        <f t="shared" si="348"/>
        <v>62.145177941780133</v>
      </c>
      <c r="F541" s="338">
        <f t="shared" si="349"/>
        <v>1.5547042792149537</v>
      </c>
      <c r="G541" s="338" t="str">
        <f t="shared" si="331"/>
        <v>1+0.255358075661739i</v>
      </c>
      <c r="H541" s="337">
        <f t="shared" si="350"/>
        <v>1.0320890207756628</v>
      </c>
      <c r="I541" s="338">
        <f t="shared" si="351"/>
        <v>0.2500151655893515</v>
      </c>
      <c r="J541" s="340">
        <f t="shared" si="332"/>
        <v>1</v>
      </c>
      <c r="K541" s="338">
        <f t="shared" si="352"/>
        <v>1</v>
      </c>
      <c r="L541" s="339">
        <f t="shared" si="353"/>
        <v>0</v>
      </c>
      <c r="M541" s="731" t="str">
        <f t="shared" si="333"/>
        <v>0.706358840488889+1.20051241974942i</v>
      </c>
      <c r="N541" s="338">
        <f t="shared" si="354"/>
        <v>1.3929008871809276</v>
      </c>
      <c r="O541" s="339">
        <f t="shared" si="355"/>
        <v>1.0389639289319903</v>
      </c>
      <c r="P541" s="732" t="str">
        <f t="shared" si="347"/>
        <v>-0.0179990585044963-0.0184562852616782i</v>
      </c>
      <c r="Q541" s="337">
        <f t="shared" si="356"/>
        <v>2.5779848190179873E-2</v>
      </c>
      <c r="R541" s="339">
        <f t="shared" si="357"/>
        <v>-2.3436530425575928</v>
      </c>
      <c r="S541" s="731" t="str">
        <f t="shared" si="334"/>
        <v>6000</v>
      </c>
      <c r="T541" s="337" t="str">
        <f t="shared" si="335"/>
        <v>1+515823.312836713i</v>
      </c>
      <c r="U541" s="346">
        <f t="shared" si="358"/>
        <v>515823.31283768232</v>
      </c>
      <c r="V541" s="347">
        <f t="shared" si="359"/>
        <v>1.5707943881465745</v>
      </c>
      <c r="W541" s="340" t="str">
        <f t="shared" si="336"/>
        <v>1+5107.16151323478i</v>
      </c>
      <c r="X541" s="337">
        <f t="shared" si="360"/>
        <v>5107.1616111365192</v>
      </c>
      <c r="Y541" s="339">
        <f t="shared" si="361"/>
        <v>1.5706005233168534</v>
      </c>
      <c r="Z541" s="337" t="str">
        <f t="shared" si="337"/>
        <v>1+51.4467674400401i</v>
      </c>
      <c r="AA541" s="346">
        <f t="shared" si="362"/>
        <v>51.456485305834583</v>
      </c>
      <c r="AB541" s="347">
        <f t="shared" si="363"/>
        <v>1.5513612069881173</v>
      </c>
      <c r="AC541" s="732" t="str">
        <f t="shared" si="364"/>
        <v>0.0222124448598181-1.15427520768407i</v>
      </c>
      <c r="AD541" s="337">
        <f t="shared" si="365"/>
        <v>1.1544889119349537</v>
      </c>
      <c r="AE541" s="339">
        <f t="shared" si="366"/>
        <v>-1.5515550718178384</v>
      </c>
      <c r="AF541" s="736" t="str">
        <f t="shared" si="338"/>
        <v>-0.0217034355980598+0.0203659077747031i</v>
      </c>
      <c r="AG541" s="337">
        <f t="shared" si="367"/>
        <v>-30.526597564588933</v>
      </c>
      <c r="AH541" s="730">
        <f t="shared" si="368"/>
        <v>136.82101472117614</v>
      </c>
      <c r="AI541" s="360">
        <f t="shared" si="339"/>
        <v>-43.178985278823859</v>
      </c>
      <c r="AL541" s="337">
        <f t="shared" si="340"/>
        <v>1.2477953235205645</v>
      </c>
      <c r="AM541" s="730">
        <f t="shared" si="341"/>
        <v>-88.897557297279477</v>
      </c>
      <c r="AN541" s="351"/>
      <c r="AO541" s="337">
        <f t="shared" si="342"/>
        <v>21.497538310629935</v>
      </c>
      <c r="AP541" s="730">
        <f t="shared" si="343"/>
        <v>-134.28142798154437</v>
      </c>
      <c r="AS541" s="351"/>
      <c r="AT541" s="351"/>
      <c r="AV541" s="405">
        <f t="shared" si="344"/>
        <v>0</v>
      </c>
      <c r="AW541" s="405">
        <f t="shared" si="369"/>
        <v>0</v>
      </c>
      <c r="AX541" s="405">
        <f t="shared" si="345"/>
        <v>0</v>
      </c>
      <c r="AY541" s="405">
        <f t="shared" si="346"/>
        <v>0</v>
      </c>
    </row>
    <row r="542" spans="2:51" ht="13.5" thickBot="1" x14ac:dyDescent="0.25">
      <c r="B542" s="345">
        <v>81756.25</v>
      </c>
      <c r="C542" s="728" t="str">
        <f t="shared" si="329"/>
        <v>2.16217503399043</v>
      </c>
      <c r="D542" s="728" t="str">
        <f t="shared" si="330"/>
        <v>1+62.4989097003623i</v>
      </c>
      <c r="E542" s="337">
        <f t="shared" si="348"/>
        <v>62.506909327961814</v>
      </c>
      <c r="F542" s="338">
        <f t="shared" si="349"/>
        <v>1.5547974128684148</v>
      </c>
      <c r="G542" s="338" t="str">
        <f t="shared" si="331"/>
        <v>1+0.256844834385051i</v>
      </c>
      <c r="H542" s="337">
        <f t="shared" si="350"/>
        <v>1.032457877567063</v>
      </c>
      <c r="I542" s="338">
        <f t="shared" si="351"/>
        <v>0.25141041271300035</v>
      </c>
      <c r="J542" s="340">
        <f t="shared" si="332"/>
        <v>1</v>
      </c>
      <c r="K542" s="338">
        <f t="shared" si="352"/>
        <v>1</v>
      </c>
      <c r="L542" s="339">
        <f t="shared" si="353"/>
        <v>0</v>
      </c>
      <c r="M542" s="731" t="str">
        <f t="shared" si="333"/>
        <v>0.702929581597222+1.20750210397179i</v>
      </c>
      <c r="N542" s="338">
        <f t="shared" si="354"/>
        <v>1.3972012481316873</v>
      </c>
      <c r="O542" s="339">
        <f t="shared" si="355"/>
        <v>1.0436162249903749</v>
      </c>
      <c r="P542" s="732" t="str">
        <f t="shared" si="347"/>
        <v>-0.0179074014895916-0.0182396479577547i</v>
      </c>
      <c r="Q542" s="337">
        <f t="shared" si="356"/>
        <v>2.5560903460798343E-2</v>
      </c>
      <c r="R542" s="339">
        <f t="shared" si="357"/>
        <v>-2.3470032251457895</v>
      </c>
      <c r="S542" s="731" t="str">
        <f t="shared" si="334"/>
        <v>6000</v>
      </c>
      <c r="T542" s="337" t="str">
        <f t="shared" si="335"/>
        <v>1+518826.565457802i</v>
      </c>
      <c r="U542" s="346">
        <f t="shared" si="358"/>
        <v>518826.56545876578</v>
      </c>
      <c r="V542" s="347">
        <f t="shared" si="359"/>
        <v>1.5707943993685338</v>
      </c>
      <c r="W542" s="340" t="str">
        <f t="shared" si="336"/>
        <v>1+5136.89668770101i</v>
      </c>
      <c r="X542" s="337">
        <f t="shared" si="360"/>
        <v>5136.8967850360405</v>
      </c>
      <c r="Y542" s="339">
        <f t="shared" si="361"/>
        <v>1.5706016567347099</v>
      </c>
      <c r="Z542" s="337" t="str">
        <f t="shared" si="337"/>
        <v>1+51.7463034154717i</v>
      </c>
      <c r="AA542" s="346">
        <f t="shared" si="362"/>
        <v>51.755965039462431</v>
      </c>
      <c r="AB542" s="347">
        <f t="shared" si="363"/>
        <v>1.5514736800353499</v>
      </c>
      <c r="AC542" s="732" t="str">
        <f t="shared" si="364"/>
        <v>0.0219561292427983-1.14759858322808i</v>
      </c>
      <c r="AD542" s="337">
        <f t="shared" si="365"/>
        <v>1.1478085989564735</v>
      </c>
      <c r="AE542" s="339">
        <f t="shared" si="366"/>
        <v>-1.5516664226691739</v>
      </c>
      <c r="AF542" s="736" t="str">
        <f t="shared" si="338"/>
        <v>-0.0213249713764064+0.0201500365108481i</v>
      </c>
      <c r="AG542" s="337">
        <f t="shared" si="367"/>
        <v>-30.65108651852605</v>
      </c>
      <c r="AH542" s="730">
        <f t="shared" si="368"/>
        <v>136.62268346444759</v>
      </c>
      <c r="AI542" s="360">
        <f t="shared" si="339"/>
        <v>-43.37731653555241</v>
      </c>
      <c r="AL542" s="337">
        <f t="shared" si="340"/>
        <v>1.1973894799274123</v>
      </c>
      <c r="AM542" s="730">
        <f t="shared" si="341"/>
        <v>-88.903937231106184</v>
      </c>
      <c r="AN542" s="351"/>
      <c r="AO542" s="337">
        <f t="shared" si="342"/>
        <v>21.423455200285968</v>
      </c>
      <c r="AP542" s="730">
        <f t="shared" si="343"/>
        <v>-134.47337930444627</v>
      </c>
      <c r="AS542" s="351"/>
      <c r="AT542" s="351"/>
      <c r="AV542" s="405">
        <f t="shared" si="344"/>
        <v>0</v>
      </c>
      <c r="AW542" s="405">
        <f t="shared" si="369"/>
        <v>0</v>
      </c>
      <c r="AX542" s="405">
        <f t="shared" si="345"/>
        <v>0</v>
      </c>
      <c r="AY542" s="405">
        <f t="shared" si="346"/>
        <v>0</v>
      </c>
    </row>
    <row r="543" spans="2:51" ht="13.5" thickBot="1" x14ac:dyDescent="0.25">
      <c r="B543" s="345">
        <v>82229.5</v>
      </c>
      <c r="C543" s="728" t="str">
        <f t="shared" si="329"/>
        <v>2.16217503399043</v>
      </c>
      <c r="D543" s="728" t="str">
        <f t="shared" si="330"/>
        <v>1+62.8606876563681i</v>
      </c>
      <c r="E543" s="337">
        <f t="shared" si="348"/>
        <v>62.868641250081659</v>
      </c>
      <c r="F543" s="338">
        <f t="shared" si="349"/>
        <v>1.5548894747827717</v>
      </c>
      <c r="G543" s="338" t="str">
        <f t="shared" si="331"/>
        <v>1+0.258331593108362i</v>
      </c>
      <c r="H543" s="337">
        <f t="shared" si="350"/>
        <v>1.0328287428213374</v>
      </c>
      <c r="I543" s="338">
        <f t="shared" si="351"/>
        <v>0.25280466054636636</v>
      </c>
      <c r="J543" s="340">
        <f t="shared" si="332"/>
        <v>1</v>
      </c>
      <c r="K543" s="338">
        <f t="shared" si="352"/>
        <v>1</v>
      </c>
      <c r="L543" s="339">
        <f t="shared" si="353"/>
        <v>0</v>
      </c>
      <c r="M543" s="731" t="str">
        <f t="shared" si="333"/>
        <v>0.699480414655555+1.21449178819415i</v>
      </c>
      <c r="N543" s="338">
        <f t="shared" si="354"/>
        <v>1.401521728007715</v>
      </c>
      <c r="O543" s="339">
        <f t="shared" si="355"/>
        <v>1.0482521804614546</v>
      </c>
      <c r="P543" s="732" t="str">
        <f t="shared" si="347"/>
        <v>-0.0178160498602464-0.0180259968887089i</v>
      </c>
      <c r="Q543" s="337">
        <f t="shared" si="356"/>
        <v>2.5344589096186365E-2</v>
      </c>
      <c r="R543" s="339">
        <f t="shared" si="357"/>
        <v>-2.3503369946978609</v>
      </c>
      <c r="S543" s="731" t="str">
        <f t="shared" si="334"/>
        <v>6000</v>
      </c>
      <c r="T543" s="337" t="str">
        <f t="shared" si="335"/>
        <v>1+521829.818078891i</v>
      </c>
      <c r="U543" s="346">
        <f t="shared" si="358"/>
        <v>521829.81807984924</v>
      </c>
      <c r="V543" s="347">
        <f t="shared" si="359"/>
        <v>1.5707944104613232</v>
      </c>
      <c r="W543" s="340" t="str">
        <f t="shared" si="336"/>
        <v>1+5166.63186216724i</v>
      </c>
      <c r="X543" s="337">
        <f t="shared" si="360"/>
        <v>5166.6319589420837</v>
      </c>
      <c r="Y543" s="339">
        <f t="shared" si="361"/>
        <v>1.5706027771063973</v>
      </c>
      <c r="Z543" s="337" t="str">
        <f t="shared" si="337"/>
        <v>1+52.0458393909032i</v>
      </c>
      <c r="AA543" s="346">
        <f t="shared" si="362"/>
        <v>52.055445420279426</v>
      </c>
      <c r="AB543" s="347">
        <f t="shared" si="363"/>
        <v>1.5515848589457446</v>
      </c>
      <c r="AC543" s="732" t="str">
        <f t="shared" si="364"/>
        <v>0.0217042241700094-1.14099872509856i</v>
      </c>
      <c r="AD543" s="337">
        <f t="shared" si="365"/>
        <v>1.1412051366968874</v>
      </c>
      <c r="AE543" s="339">
        <f t="shared" si="366"/>
        <v>-1.5517764923006703</v>
      </c>
      <c r="AF543" s="736" t="str">
        <f t="shared" si="338"/>
        <v>-0.0209543230086383+0.0199368498994731i</v>
      </c>
      <c r="AG543" s="337">
        <f t="shared" si="367"/>
        <v>-30.775020553266835</v>
      </c>
      <c r="AH543" s="730">
        <f t="shared" si="368"/>
        <v>136.42536601390728</v>
      </c>
      <c r="AI543" s="360">
        <f t="shared" si="339"/>
        <v>-43.574633986092721</v>
      </c>
      <c r="AL543" s="337">
        <f t="shared" si="340"/>
        <v>1.1472743559870135</v>
      </c>
      <c r="AM543" s="730">
        <f t="shared" si="341"/>
        <v>-88.910243756443492</v>
      </c>
      <c r="AN543" s="351"/>
      <c r="AO543" s="337">
        <f t="shared" si="342"/>
        <v>21.349636289485588</v>
      </c>
      <c r="AP543" s="730">
        <f t="shared" si="343"/>
        <v>-134.66439022964917</v>
      </c>
      <c r="AS543" s="351"/>
      <c r="AT543" s="351"/>
      <c r="AV543" s="405">
        <f t="shared" si="344"/>
        <v>0</v>
      </c>
      <c r="AW543" s="405">
        <f t="shared" si="369"/>
        <v>0</v>
      </c>
      <c r="AX543" s="405">
        <f t="shared" si="345"/>
        <v>0</v>
      </c>
      <c r="AY543" s="405">
        <f t="shared" si="346"/>
        <v>0</v>
      </c>
    </row>
    <row r="544" spans="2:51" ht="13.5" thickBot="1" x14ac:dyDescent="0.25">
      <c r="B544" s="345">
        <v>82702.75</v>
      </c>
      <c r="C544" s="728" t="str">
        <f t="shared" si="329"/>
        <v>2.16217503399043</v>
      </c>
      <c r="D544" s="728" t="str">
        <f t="shared" si="330"/>
        <v>1+63.2224656123739i</v>
      </c>
      <c r="E544" s="337">
        <f t="shared" si="348"/>
        <v>63.23037369894157</v>
      </c>
      <c r="F544" s="338">
        <f t="shared" si="349"/>
        <v>1.5549804833502758</v>
      </c>
      <c r="G544" s="338" t="str">
        <f t="shared" si="331"/>
        <v>1+0.259818351831674i</v>
      </c>
      <c r="H544" s="337">
        <f t="shared" si="350"/>
        <v>1.0332016143756877</v>
      </c>
      <c r="I544" s="338">
        <f t="shared" si="351"/>
        <v>0.25419790474782755</v>
      </c>
      <c r="J544" s="340">
        <f t="shared" si="332"/>
        <v>1</v>
      </c>
      <c r="K544" s="338">
        <f t="shared" si="352"/>
        <v>1</v>
      </c>
      <c r="L544" s="339">
        <f t="shared" si="353"/>
        <v>0</v>
      </c>
      <c r="M544" s="731" t="str">
        <f t="shared" si="333"/>
        <v>0.696011339663888+1.22148147241652i</v>
      </c>
      <c r="N544" s="338">
        <f t="shared" si="354"/>
        <v>1.4058622878495421</v>
      </c>
      <c r="O544" s="339">
        <f t="shared" si="355"/>
        <v>1.0528718463351772</v>
      </c>
      <c r="P544" s="732" t="str">
        <f t="shared" si="347"/>
        <v>-0.0177250085677682-0.0178152834227451i</v>
      </c>
      <c r="Q544" s="337">
        <f t="shared" si="356"/>
        <v>2.5130862543100117E-2</v>
      </c>
      <c r="R544" s="339">
        <f t="shared" si="357"/>
        <v>-2.3536544249376234</v>
      </c>
      <c r="S544" s="731" t="str">
        <f t="shared" si="334"/>
        <v>6000</v>
      </c>
      <c r="T544" s="337" t="str">
        <f t="shared" si="335"/>
        <v>1+524833.07069998i</v>
      </c>
      <c r="U544" s="346">
        <f t="shared" si="358"/>
        <v>524833.07070093264</v>
      </c>
      <c r="V544" s="347">
        <f t="shared" si="359"/>
        <v>1.5707944214271601</v>
      </c>
      <c r="W544" s="340" t="str">
        <f t="shared" si="336"/>
        <v>1+5196.36703663347i</v>
      </c>
      <c r="X544" s="337">
        <f t="shared" si="360"/>
        <v>5196.3671328545406</v>
      </c>
      <c r="Y544" s="339">
        <f t="shared" si="361"/>
        <v>1.5706038846558781</v>
      </c>
      <c r="Z544" s="337" t="str">
        <f t="shared" si="337"/>
        <v>1+52.3453753663347i</v>
      </c>
      <c r="AA544" s="346">
        <f t="shared" si="362"/>
        <v>52.354926437179522</v>
      </c>
      <c r="AB544" s="347">
        <f t="shared" si="363"/>
        <v>1.5516947659247211</v>
      </c>
      <c r="AC544" s="732" t="str">
        <f t="shared" si="364"/>
        <v>0.0214566290385784-1.13447431737743i</v>
      </c>
      <c r="AD544" s="337">
        <f t="shared" si="365"/>
        <v>1.1346772068384405</v>
      </c>
      <c r="AE544" s="339">
        <f t="shared" si="366"/>
        <v>-1.5518853026960031</v>
      </c>
      <c r="AF544" s="736" t="str">
        <f t="shared" si="338"/>
        <v>-0.0205913004334484+0.019726311067809i</v>
      </c>
      <c r="AG544" s="337">
        <f t="shared" si="367"/>
        <v>-30.898405486713383</v>
      </c>
      <c r="AH544" s="730">
        <f t="shared" si="368"/>
        <v>136.22905688592004</v>
      </c>
      <c r="AI544" s="360">
        <f t="shared" si="339"/>
        <v>-43.770943114079955</v>
      </c>
      <c r="AL544" s="337">
        <f t="shared" si="340"/>
        <v>1.097446618649395</v>
      </c>
      <c r="AM544" s="730">
        <f t="shared" si="341"/>
        <v>-88.916478132863219</v>
      </c>
      <c r="AN544" s="351"/>
      <c r="AO544" s="337">
        <f t="shared" si="342"/>
        <v>21.276079093376644</v>
      </c>
      <c r="AP544" s="730">
        <f t="shared" si="343"/>
        <v>-134.85446498121664</v>
      </c>
      <c r="AS544" s="351"/>
      <c r="AT544" s="351"/>
      <c r="AV544" s="405">
        <f t="shared" si="344"/>
        <v>0</v>
      </c>
      <c r="AW544" s="405">
        <f t="shared" si="369"/>
        <v>0</v>
      </c>
      <c r="AX544" s="405">
        <f t="shared" si="345"/>
        <v>0</v>
      </c>
      <c r="AY544" s="405">
        <f t="shared" si="346"/>
        <v>0</v>
      </c>
    </row>
    <row r="545" spans="2:51" ht="13.5" thickBot="1" x14ac:dyDescent="0.25">
      <c r="B545" s="345">
        <v>83176</v>
      </c>
      <c r="C545" s="728" t="str">
        <f t="shared" si="329"/>
        <v>2.16217503399043</v>
      </c>
      <c r="D545" s="728" t="str">
        <f t="shared" si="330"/>
        <v>1+63.5842435683796i</v>
      </c>
      <c r="E545" s="337">
        <f t="shared" si="348"/>
        <v>63.59210666555262</v>
      </c>
      <c r="F545" s="338">
        <f t="shared" si="349"/>
        <v>1.5550704565447639</v>
      </c>
      <c r="G545" s="338" t="str">
        <f t="shared" si="331"/>
        <v>1+0.261305110554985i</v>
      </c>
      <c r="H545" s="337">
        <f t="shared" si="350"/>
        <v>1.0335764900587441</v>
      </c>
      <c r="I545" s="338">
        <f t="shared" si="351"/>
        <v>0.25559014099759197</v>
      </c>
      <c r="J545" s="340">
        <f t="shared" si="332"/>
        <v>1</v>
      </c>
      <c r="K545" s="338">
        <f t="shared" si="352"/>
        <v>1</v>
      </c>
      <c r="L545" s="339">
        <f t="shared" si="353"/>
        <v>0</v>
      </c>
      <c r="M545" s="731" t="str">
        <f t="shared" si="333"/>
        <v>0.692522356622222+1.22847115663888i</v>
      </c>
      <c r="N545" s="338">
        <f t="shared" si="354"/>
        <v>1.4102228891615907</v>
      </c>
      <c r="O545" s="339">
        <f t="shared" si="355"/>
        <v>1.0574752740123061</v>
      </c>
      <c r="P545" s="732" t="str">
        <f t="shared" si="347"/>
        <v>-0.0176342823725278-0.0176074598996086i</v>
      </c>
      <c r="Q545" s="337">
        <f t="shared" si="356"/>
        <v>2.491968215909604E-2</v>
      </c>
      <c r="R545" s="339">
        <f t="shared" si="357"/>
        <v>-2.3569555895594791</v>
      </c>
      <c r="S545" s="731" t="str">
        <f t="shared" si="334"/>
        <v>6000</v>
      </c>
      <c r="T545" s="337" t="str">
        <f t="shared" si="335"/>
        <v>1+527836.323321069i</v>
      </c>
      <c r="U545" s="346">
        <f t="shared" si="358"/>
        <v>527836.32332201628</v>
      </c>
      <c r="V545" s="347">
        <f t="shared" si="359"/>
        <v>1.5707944322682112</v>
      </c>
      <c r="W545" s="340" t="str">
        <f t="shared" si="336"/>
        <v>1+5226.10221109969i</v>
      </c>
      <c r="X545" s="337">
        <f t="shared" si="360"/>
        <v>5226.1023067732867</v>
      </c>
      <c r="Y545" s="339">
        <f t="shared" si="361"/>
        <v>1.5706049796020172</v>
      </c>
      <c r="Z545" s="337" t="str">
        <f t="shared" si="337"/>
        <v>1+52.6449113417661i</v>
      </c>
      <c r="AA545" s="346">
        <f t="shared" si="362"/>
        <v>52.654408079309107</v>
      </c>
      <c r="AB545" s="347">
        <f t="shared" si="363"/>
        <v>1.5518034226726336</v>
      </c>
      <c r="AC545" s="732" t="str">
        <f t="shared" si="364"/>
        <v>0.0212132460974121-1.12802407404134i</v>
      </c>
      <c r="AD545" s="337">
        <f t="shared" si="365"/>
        <v>1.1282235210395199</v>
      </c>
      <c r="AE545" s="339">
        <f t="shared" si="366"/>
        <v>-1.5519928753388279</v>
      </c>
      <c r="AF545" s="736" t="str">
        <f t="shared" si="338"/>
        <v>-0.0202357190211957+0.0195183836646535i</v>
      </c>
      <c r="AG545" s="337">
        <f t="shared" si="367"/>
        <v>-31.021247032876168</v>
      </c>
      <c r="AH545" s="730">
        <f t="shared" si="368"/>
        <v>136.03375062718499</v>
      </c>
      <c r="AI545" s="360">
        <f t="shared" si="339"/>
        <v>-43.966249372815014</v>
      </c>
      <c r="AL545" s="337">
        <f t="shared" si="340"/>
        <v>1.0479029918362543</v>
      </c>
      <c r="AM545" s="730">
        <f t="shared" si="341"/>
        <v>-88.922641591288141</v>
      </c>
      <c r="AN545" s="351"/>
      <c r="AO545" s="337">
        <f t="shared" si="342"/>
        <v>21.202781174027002</v>
      </c>
      <c r="AP545" s="730">
        <f t="shared" si="343"/>
        <v>-135.04360778152687</v>
      </c>
      <c r="AS545" s="351"/>
      <c r="AT545" s="351"/>
      <c r="AV545" s="405">
        <f t="shared" si="344"/>
        <v>0</v>
      </c>
      <c r="AW545" s="405">
        <f t="shared" si="369"/>
        <v>0</v>
      </c>
      <c r="AX545" s="405">
        <f t="shared" si="345"/>
        <v>0</v>
      </c>
      <c r="AY545" s="405">
        <f t="shared" si="346"/>
        <v>0</v>
      </c>
    </row>
    <row r="546" spans="2:51" ht="13.5" thickBot="1" x14ac:dyDescent="0.25">
      <c r="B546" s="345">
        <v>83660.5</v>
      </c>
      <c r="C546" s="728" t="str">
        <f t="shared" si="329"/>
        <v>2.16217503399043</v>
      </c>
      <c r="D546" s="728" t="str">
        <f t="shared" si="330"/>
        <v>1+63.9546216342746i</v>
      </c>
      <c r="E546" s="337">
        <f t="shared" si="348"/>
        <v>63.962439199761803</v>
      </c>
      <c r="F546" s="338">
        <f t="shared" si="349"/>
        <v>1.5551615143190067</v>
      </c>
      <c r="G546" s="338" t="str">
        <f t="shared" si="331"/>
        <v>1+0.262827212195649i</v>
      </c>
      <c r="H546" s="337">
        <f t="shared" si="350"/>
        <v>1.0339623510895051</v>
      </c>
      <c r="I546" s="338">
        <f t="shared" si="351"/>
        <v>0.25701442453099976</v>
      </c>
      <c r="J546" s="340">
        <f t="shared" si="332"/>
        <v>1</v>
      </c>
      <c r="K546" s="338">
        <f t="shared" si="352"/>
        <v>1</v>
      </c>
      <c r="L546" s="339">
        <f t="shared" si="353"/>
        <v>0</v>
      </c>
      <c r="M546" s="731" t="str">
        <f t="shared" si="333"/>
        <v>0.688929810655555+1.2356269981724i</v>
      </c>
      <c r="N546" s="338">
        <f t="shared" si="354"/>
        <v>1.4147078718316495</v>
      </c>
      <c r="O546" s="339">
        <f t="shared" si="355"/>
        <v>1.0621713656920875</v>
      </c>
      <c r="P546" s="732" t="str">
        <f t="shared" si="347"/>
        <v>-0.0175417306500094-0.0173976410769825i</v>
      </c>
      <c r="Q546" s="337">
        <f t="shared" si="356"/>
        <v>2.4706076767487546E-2</v>
      </c>
      <c r="R546" s="339">
        <f t="shared" si="357"/>
        <v>-2.360318455480094</v>
      </c>
      <c r="S546" s="731" t="str">
        <f t="shared" si="334"/>
        <v>6000</v>
      </c>
      <c r="T546" s="337" t="str">
        <f t="shared" si="335"/>
        <v>1+530910.968635211i</v>
      </c>
      <c r="U546" s="346">
        <f t="shared" si="358"/>
        <v>530910.9686361528</v>
      </c>
      <c r="V546" s="347">
        <f t="shared" si="359"/>
        <v>1.5707944432399146</v>
      </c>
      <c r="W546" s="340" t="str">
        <f t="shared" si="336"/>
        <v>1+5256.54424391298i</v>
      </c>
      <c r="X546" s="337">
        <f t="shared" si="360"/>
        <v>5256.5443390325054</v>
      </c>
      <c r="Y546" s="339">
        <f t="shared" si="361"/>
        <v>1.5706060877440042</v>
      </c>
      <c r="Z546" s="337" t="str">
        <f t="shared" si="337"/>
        <v>1+52.9515678237452i</v>
      </c>
      <c r="AA546" s="346">
        <f t="shared" si="362"/>
        <v>52.961009573012177</v>
      </c>
      <c r="AB546" s="347">
        <f t="shared" si="363"/>
        <v>1.5519133893643349</v>
      </c>
      <c r="AC546" s="732" t="str">
        <f t="shared" si="364"/>
        <v>0.0209683419121625-1.12149601445027i</v>
      </c>
      <c r="AD546" s="337">
        <f t="shared" si="365"/>
        <v>1.1216920173516369</v>
      </c>
      <c r="AE546" s="339">
        <f t="shared" si="366"/>
        <v>-1.5521017448602454</v>
      </c>
      <c r="AF546" s="736" t="str">
        <f t="shared" si="338"/>
        <v>-0.0198792061346726+0.0193081813239784i</v>
      </c>
      <c r="AG546" s="337">
        <f t="shared" si="367"/>
        <v>-31.146451685639672</v>
      </c>
      <c r="AH546" s="730">
        <f t="shared" si="368"/>
        <v>135.83483483877058</v>
      </c>
      <c r="AI546" s="360">
        <f t="shared" si="339"/>
        <v>-44.165165161229424</v>
      </c>
      <c r="AL546" s="337">
        <f t="shared" si="340"/>
        <v>0.99747258357961066</v>
      </c>
      <c r="AM546" s="730">
        <f t="shared" si="341"/>
        <v>-88.928879355382975</v>
      </c>
      <c r="AN546" s="351"/>
      <c r="AO546" s="337">
        <f t="shared" si="342"/>
        <v>21.128006929520158</v>
      </c>
      <c r="AP546" s="730">
        <f t="shared" si="343"/>
        <v>-135.23628580584648</v>
      </c>
      <c r="AS546" s="351"/>
      <c r="AT546" s="351"/>
      <c r="AV546" s="405">
        <f t="shared" si="344"/>
        <v>0</v>
      </c>
      <c r="AW546" s="405">
        <f t="shared" si="369"/>
        <v>0</v>
      </c>
      <c r="AX546" s="405">
        <f t="shared" si="345"/>
        <v>0</v>
      </c>
      <c r="AY546" s="405">
        <f t="shared" si="346"/>
        <v>0</v>
      </c>
    </row>
    <row r="547" spans="2:51" ht="13.5" thickBot="1" x14ac:dyDescent="0.25">
      <c r="B547" s="345">
        <v>84145</v>
      </c>
      <c r="C547" s="728" t="str">
        <f t="shared" si="329"/>
        <v>2.16217503399043</v>
      </c>
      <c r="D547" s="728" t="str">
        <f t="shared" si="330"/>
        <v>1+64.3249997001695i</v>
      </c>
      <c r="E547" s="337">
        <f t="shared" si="348"/>
        <v>64.332772258210724</v>
      </c>
      <c r="F547" s="338">
        <f t="shared" si="349"/>
        <v>1.5552515237417153</v>
      </c>
      <c r="G547" s="338" t="str">
        <f t="shared" si="331"/>
        <v>1+0.264349313836313i</v>
      </c>
      <c r="H547" s="337">
        <f t="shared" si="350"/>
        <v>1.0343503080319207</v>
      </c>
      <c r="I547" s="338">
        <f t="shared" si="351"/>
        <v>0.25843764252893775</v>
      </c>
      <c r="J547" s="340">
        <f t="shared" si="332"/>
        <v>1</v>
      </c>
      <c r="K547" s="338">
        <f t="shared" si="352"/>
        <v>1</v>
      </c>
      <c r="L547" s="339">
        <f t="shared" si="353"/>
        <v>0</v>
      </c>
      <c r="M547" s="731" t="str">
        <f t="shared" si="333"/>
        <v>0.685316398888889+1.24278283970591i</v>
      </c>
      <c r="N547" s="338">
        <f t="shared" si="354"/>
        <v>1.4192137799688673</v>
      </c>
      <c r="O547" s="339">
        <f t="shared" si="355"/>
        <v>1.0668505482530526</v>
      </c>
      <c r="P547" s="732" t="str">
        <f t="shared" si="347"/>
        <v>-0.017449518688071-0.0171907531479824i</v>
      </c>
      <c r="Q547" s="337">
        <f t="shared" si="356"/>
        <v>2.4495054526173357E-2</v>
      </c>
      <c r="R547" s="339">
        <f t="shared" si="357"/>
        <v>-2.3636644294658282</v>
      </c>
      <c r="S547" s="731" t="str">
        <f t="shared" si="334"/>
        <v>6000</v>
      </c>
      <c r="T547" s="337" t="str">
        <f t="shared" si="335"/>
        <v>1+533985.613949352i</v>
      </c>
      <c r="U547" s="346">
        <f t="shared" si="358"/>
        <v>533985.61395028827</v>
      </c>
      <c r="V547" s="347">
        <f t="shared" si="359"/>
        <v>1.5707944540852694</v>
      </c>
      <c r="W547" s="340" t="str">
        <f t="shared" si="336"/>
        <v>1+5286.98627672626i</v>
      </c>
      <c r="X547" s="337">
        <f t="shared" si="360"/>
        <v>5286.9863712980959</v>
      </c>
      <c r="Y547" s="339">
        <f t="shared" si="361"/>
        <v>1.5706071831248105</v>
      </c>
      <c r="Z547" s="337" t="str">
        <f t="shared" si="337"/>
        <v>1+53.2582243057242i</v>
      </c>
      <c r="AA547" s="346">
        <f t="shared" si="362"/>
        <v>53.267611699782748</v>
      </c>
      <c r="AB547" s="347">
        <f t="shared" si="363"/>
        <v>1.5520220901465727</v>
      </c>
      <c r="AC547" s="732" t="str">
        <f t="shared" si="364"/>
        <v>0.0207276539625605-1.11504305175545i</v>
      </c>
      <c r="AD547" s="337">
        <f t="shared" si="365"/>
        <v>1.11523568939794</v>
      </c>
      <c r="AE547" s="339">
        <f t="shared" si="366"/>
        <v>-1.5522093611070316</v>
      </c>
      <c r="AF547" s="736" t="str">
        <f t="shared" si="338"/>
        <v>-0.0195301174372805+0.0191006405870033i</v>
      </c>
      <c r="AG547" s="337">
        <f t="shared" si="367"/>
        <v>-31.271098606827469</v>
      </c>
      <c r="AH547" s="730">
        <f t="shared" si="368"/>
        <v>135.63695869427951</v>
      </c>
      <c r="AI547" s="360">
        <f t="shared" si="339"/>
        <v>-44.363041305720486</v>
      </c>
      <c r="AL547" s="337">
        <f t="shared" si="340"/>
        <v>0.94733318244914555</v>
      </c>
      <c r="AM547" s="730">
        <f t="shared" si="341"/>
        <v>-88.935045312130853</v>
      </c>
      <c r="AN547" s="351"/>
      <c r="AO547" s="337">
        <f t="shared" si="342"/>
        <v>21.053499409462798</v>
      </c>
      <c r="AP547" s="730">
        <f t="shared" si="343"/>
        <v>-135.4279959935896</v>
      </c>
      <c r="AS547" s="351"/>
      <c r="AT547" s="351"/>
      <c r="AV547" s="405">
        <f t="shared" si="344"/>
        <v>0</v>
      </c>
      <c r="AW547" s="405">
        <f t="shared" si="369"/>
        <v>0</v>
      </c>
      <c r="AX547" s="405">
        <f t="shared" si="345"/>
        <v>0</v>
      </c>
      <c r="AY547" s="405">
        <f t="shared" si="346"/>
        <v>0</v>
      </c>
    </row>
    <row r="548" spans="2:51" ht="13.5" thickBot="1" x14ac:dyDescent="0.25">
      <c r="B548" s="345">
        <v>84629.5</v>
      </c>
      <c r="C548" s="728" t="str">
        <f t="shared" si="329"/>
        <v>2.16217503399043</v>
      </c>
      <c r="D548" s="728" t="str">
        <f t="shared" si="330"/>
        <v>1+64.6953777660645i</v>
      </c>
      <c r="E548" s="337">
        <f t="shared" si="348"/>
        <v>64.703105831897986</v>
      </c>
      <c r="F548" s="338">
        <f t="shared" si="349"/>
        <v>1.5553405028123981</v>
      </c>
      <c r="G548" s="338" t="str">
        <f t="shared" si="331"/>
        <v>1+0.265871415476977i</v>
      </c>
      <c r="H548" s="337">
        <f t="shared" si="350"/>
        <v>1.0347403585285206</v>
      </c>
      <c r="I548" s="338">
        <f t="shared" si="351"/>
        <v>0.25985979042757268</v>
      </c>
      <c r="J548" s="340">
        <f t="shared" si="332"/>
        <v>1</v>
      </c>
      <c r="K548" s="338">
        <f t="shared" si="352"/>
        <v>1</v>
      </c>
      <c r="L548" s="339">
        <f t="shared" si="353"/>
        <v>0</v>
      </c>
      <c r="M548" s="731" t="str">
        <f t="shared" si="333"/>
        <v>0.681682121322222+1.24993868123942i</v>
      </c>
      <c r="N548" s="338">
        <f t="shared" si="354"/>
        <v>1.4237405737664797</v>
      </c>
      <c r="O548" s="339">
        <f t="shared" si="355"/>
        <v>1.0715128780800927</v>
      </c>
      <c r="P548" s="732" t="str">
        <f t="shared" si="347"/>
        <v>-0.0173576510032113-0.0169867479764099i</v>
      </c>
      <c r="Q548" s="337">
        <f t="shared" si="356"/>
        <v>2.4286573557489498E-2</v>
      </c>
      <c r="R548" s="339">
        <f t="shared" si="357"/>
        <v>-2.3669935904649195</v>
      </c>
      <c r="S548" s="731" t="str">
        <f t="shared" si="334"/>
        <v>6000</v>
      </c>
      <c r="T548" s="337" t="str">
        <f t="shared" si="335"/>
        <v>1+537060.259263495i</v>
      </c>
      <c r="U548" s="346">
        <f t="shared" si="358"/>
        <v>537060.25926442596</v>
      </c>
      <c r="V548" s="347">
        <f t="shared" si="359"/>
        <v>1.570794464806446</v>
      </c>
      <c r="W548" s="340" t="str">
        <f t="shared" si="336"/>
        <v>1+5317.42830953955i</v>
      </c>
      <c r="X548" s="337">
        <f t="shared" si="360"/>
        <v>5317.4284035699666</v>
      </c>
      <c r="Y548" s="339">
        <f t="shared" si="361"/>
        <v>1.5706082659636078</v>
      </c>
      <c r="Z548" s="337" t="str">
        <f t="shared" si="337"/>
        <v>1+53.5648807877032i</v>
      </c>
      <c r="AA548" s="346">
        <f t="shared" si="362"/>
        <v>53.574214448751889</v>
      </c>
      <c r="AB548" s="347">
        <f t="shared" si="363"/>
        <v>1.5521295467509795</v>
      </c>
      <c r="AC548" s="732" t="str">
        <f t="shared" si="364"/>
        <v>0.0204910860307243-1.10866389797432i</v>
      </c>
      <c r="AD548" s="337">
        <f t="shared" si="365"/>
        <v>1.1088532469530545</v>
      </c>
      <c r="AE548" s="339">
        <f t="shared" si="366"/>
        <v>-1.5523157455938179</v>
      </c>
      <c r="AF548" s="736" t="str">
        <f t="shared" si="338"/>
        <v>-0.0191882713454321+0.0188957241067313i</v>
      </c>
      <c r="AG548" s="337">
        <f t="shared" si="367"/>
        <v>-31.395193605548034</v>
      </c>
      <c r="AH548" s="730">
        <f t="shared" si="368"/>
        <v>135.44011643761348</v>
      </c>
      <c r="AI548" s="360">
        <f t="shared" si="339"/>
        <v>-44.559883562386517</v>
      </c>
      <c r="AL548" s="337">
        <f t="shared" si="340"/>
        <v>0.89748145038087324</v>
      </c>
      <c r="AM548" s="730">
        <f t="shared" si="341"/>
        <v>-88.941140694229389</v>
      </c>
      <c r="AN548" s="351"/>
      <c r="AO548" s="337">
        <f t="shared" si="342"/>
        <v>20.97925614281051</v>
      </c>
      <c r="AP548" s="730">
        <f t="shared" si="343"/>
        <v>-135.61874286815711</v>
      </c>
      <c r="AS548" s="351"/>
      <c r="AT548" s="351"/>
      <c r="AV548" s="405">
        <f t="shared" si="344"/>
        <v>0</v>
      </c>
      <c r="AW548" s="405">
        <f t="shared" si="369"/>
        <v>0</v>
      </c>
      <c r="AX548" s="405">
        <f t="shared" si="345"/>
        <v>0</v>
      </c>
      <c r="AY548" s="405">
        <f t="shared" si="346"/>
        <v>0</v>
      </c>
    </row>
    <row r="549" spans="2:51" ht="13.5" thickBot="1" x14ac:dyDescent="0.25">
      <c r="B549" s="345">
        <v>85114</v>
      </c>
      <c r="C549" s="728" t="str">
        <f t="shared" si="329"/>
        <v>2.16217503399043</v>
      </c>
      <c r="D549" s="728" t="str">
        <f t="shared" si="330"/>
        <v>1+65.0657558319594i</v>
      </c>
      <c r="E549" s="337">
        <f t="shared" si="348"/>
        <v>65.073439912026771</v>
      </c>
      <c r="F549" s="338">
        <f t="shared" si="349"/>
        <v>1.5554284691208884</v>
      </c>
      <c r="G549" s="338" t="str">
        <f t="shared" si="331"/>
        <v>1+0.267393517117642i</v>
      </c>
      <c r="H549" s="337">
        <f t="shared" si="350"/>
        <v>1.0351325002126746</v>
      </c>
      <c r="I549" s="338">
        <f t="shared" si="351"/>
        <v>0.26128086368724679</v>
      </c>
      <c r="J549" s="340">
        <f t="shared" si="332"/>
        <v>1</v>
      </c>
      <c r="K549" s="338">
        <f t="shared" si="352"/>
        <v>1</v>
      </c>
      <c r="L549" s="339">
        <f t="shared" si="353"/>
        <v>0</v>
      </c>
      <c r="M549" s="731" t="str">
        <f t="shared" si="333"/>
        <v>0.678026977955556+1.25709452277294i</v>
      </c>
      <c r="N549" s="338">
        <f t="shared" si="354"/>
        <v>1.4282882139194699</v>
      </c>
      <c r="O549" s="339">
        <f t="shared" si="355"/>
        <v>1.0761584119378438</v>
      </c>
      <c r="P549" s="732" t="str">
        <f t="shared" si="347"/>
        <v>-0.0172661319223448-0.0167855783880059i</v>
      </c>
      <c r="Q549" s="337">
        <f t="shared" si="356"/>
        <v>2.4080592878492523E-2</v>
      </c>
      <c r="R549" s="339">
        <f t="shared" si="357"/>
        <v>-2.3703060173714872</v>
      </c>
      <c r="S549" s="731" t="str">
        <f t="shared" si="334"/>
        <v>6000</v>
      </c>
      <c r="T549" s="337" t="str">
        <f t="shared" si="335"/>
        <v>1+540134.904577636i</v>
      </c>
      <c r="U549" s="346">
        <f t="shared" si="358"/>
        <v>540134.90457856166</v>
      </c>
      <c r="V549" s="347">
        <f t="shared" si="359"/>
        <v>1.5707944754055649</v>
      </c>
      <c r="W549" s="340" t="str">
        <f t="shared" si="336"/>
        <v>1+5347.87034235283i</v>
      </c>
      <c r="X549" s="337">
        <f t="shared" si="360"/>
        <v>5347.8704358479908</v>
      </c>
      <c r="Y549" s="339">
        <f t="shared" si="361"/>
        <v>1.570609336474577</v>
      </c>
      <c r="Z549" s="337" t="str">
        <f t="shared" si="337"/>
        <v>1+53.8715372696822i</v>
      </c>
      <c r="AA549" s="346">
        <f t="shared" si="362"/>
        <v>53.880817809297945</v>
      </c>
      <c r="AB549" s="347">
        <f t="shared" si="363"/>
        <v>1.552235780414658</v>
      </c>
      <c r="AC549" s="732" t="str">
        <f t="shared" si="364"/>
        <v>0.0202585446275946-1.10235729440034i</v>
      </c>
      <c r="AD549" s="337">
        <f t="shared" si="365"/>
        <v>1.1025434291437533</v>
      </c>
      <c r="AE549" s="339">
        <f t="shared" si="366"/>
        <v>-1.552420919345646</v>
      </c>
      <c r="AF549" s="736" t="str">
        <f t="shared" si="338"/>
        <v>-0.0188534914808418+0.0186933950818019i</v>
      </c>
      <c r="AG549" s="337">
        <f t="shared" si="367"/>
        <v>-31.518742387493557</v>
      </c>
      <c r="AH549" s="730">
        <f t="shared" si="368"/>
        <v>135.2443023438264</v>
      </c>
      <c r="AI549" s="360">
        <f t="shared" si="339"/>
        <v>-44.755697656173595</v>
      </c>
      <c r="AL549" s="337">
        <f t="shared" si="340"/>
        <v>0.84791410639866882</v>
      </c>
      <c r="AM549" s="730">
        <f t="shared" si="341"/>
        <v>-88.947166706324694</v>
      </c>
      <c r="AN549" s="351"/>
      <c r="AO549" s="337">
        <f t="shared" si="342"/>
        <v>20.905274704847209</v>
      </c>
      <c r="AP549" s="730">
        <f t="shared" si="343"/>
        <v>-135.808530949849</v>
      </c>
      <c r="AS549" s="351"/>
      <c r="AT549" s="351"/>
      <c r="AV549" s="405">
        <f t="shared" si="344"/>
        <v>0</v>
      </c>
      <c r="AW549" s="405">
        <f t="shared" si="369"/>
        <v>0</v>
      </c>
      <c r="AX549" s="405">
        <f t="shared" si="345"/>
        <v>0</v>
      </c>
      <c r="AY549" s="405">
        <f t="shared" si="346"/>
        <v>0</v>
      </c>
    </row>
    <row r="550" spans="2:51" ht="13.5" thickBot="1" x14ac:dyDescent="0.25">
      <c r="B550" s="345">
        <v>85609.5</v>
      </c>
      <c r="C550" s="728" t="str">
        <f t="shared" si="329"/>
        <v>2.16217503399043</v>
      </c>
      <c r="D550" s="728" t="str">
        <f t="shared" si="330"/>
        <v>1+65.4445428941906i</v>
      </c>
      <c r="E550" s="337">
        <f t="shared" si="348"/>
        <v>65.452182504707622</v>
      </c>
      <c r="F550" s="338">
        <f t="shared" si="349"/>
        <v>1.5555174030008254</v>
      </c>
      <c r="G550" s="338" t="str">
        <f t="shared" si="331"/>
        <v>1+0.268950176277496i</v>
      </c>
      <c r="H550" s="337">
        <f t="shared" si="350"/>
        <v>1.0355357054779406</v>
      </c>
      <c r="I550" s="338">
        <f t="shared" si="351"/>
        <v>0.26273308451697464</v>
      </c>
      <c r="J550" s="340">
        <f t="shared" si="332"/>
        <v>1</v>
      </c>
      <c r="K550" s="338">
        <f t="shared" si="352"/>
        <v>1</v>
      </c>
      <c r="L550" s="339">
        <f t="shared" si="353"/>
        <v>0</v>
      </c>
      <c r="M550" s="731" t="str">
        <f t="shared" si="333"/>
        <v>0.674267267099999+1.26441282923291i</v>
      </c>
      <c r="N550" s="338">
        <f t="shared" si="354"/>
        <v>1.4329606240965846</v>
      </c>
      <c r="O550" s="339">
        <f t="shared" si="355"/>
        <v>1.080892104392041</v>
      </c>
      <c r="P550" s="732" t="str">
        <f t="shared" si="347"/>
        <v>-0.0171728998903015-0.0165827261837947i</v>
      </c>
      <c r="Q550" s="337">
        <f t="shared" si="356"/>
        <v>2.3872479936718507E-2</v>
      </c>
      <c r="R550" s="339">
        <f t="shared" si="357"/>
        <v>-2.3736764228758922</v>
      </c>
      <c r="S550" s="731" t="str">
        <f t="shared" si="334"/>
        <v>6000</v>
      </c>
      <c r="T550" s="337" t="str">
        <f t="shared" si="335"/>
        <v>1+543279.356080541i</v>
      </c>
      <c r="U550" s="346">
        <f t="shared" si="358"/>
        <v>543279.35608146142</v>
      </c>
      <c r="V550" s="347">
        <f t="shared" si="359"/>
        <v>1.570794486121238</v>
      </c>
      <c r="W550" s="340" t="str">
        <f t="shared" si="336"/>
        <v>1+5379.00352554991i</v>
      </c>
      <c r="X550" s="337">
        <f t="shared" si="360"/>
        <v>5379.003618503928</v>
      </c>
      <c r="Y550" s="339">
        <f t="shared" si="361"/>
        <v>1.5706104187575196</v>
      </c>
      <c r="Z550" s="337" t="str">
        <f t="shared" si="337"/>
        <v>1+54.1851560247299i</v>
      </c>
      <c r="AA550" s="346">
        <f t="shared" si="362"/>
        <v>54.194382858598203</v>
      </c>
      <c r="AB550" s="347">
        <f t="shared" si="363"/>
        <v>1.5523431827125702</v>
      </c>
      <c r="AC550" s="732" t="str">
        <f t="shared" si="364"/>
        <v>0.0200247936734919-1.09598126456275i</v>
      </c>
      <c r="AD550" s="337">
        <f t="shared" si="365"/>
        <v>1.0961641868963932</v>
      </c>
      <c r="AE550" s="339">
        <f t="shared" si="366"/>
        <v>-1.5525272500762888</v>
      </c>
      <c r="AF550" s="736" t="str">
        <f t="shared" si="338"/>
        <v>-0.018518240989892+0.0184891108676076i</v>
      </c>
      <c r="AG550" s="337">
        <f t="shared" si="367"/>
        <v>-31.644537079577717</v>
      </c>
      <c r="AH550" s="730">
        <f t="shared" si="368"/>
        <v>135.04510003107799</v>
      </c>
      <c r="AI550" s="360">
        <f t="shared" si="339"/>
        <v>-44.954899968922007</v>
      </c>
      <c r="AL550" s="337">
        <f t="shared" si="340"/>
        <v>0.79751218009584313</v>
      </c>
      <c r="AM550" s="730">
        <f t="shared" si="341"/>
        <v>-88.953259008423061</v>
      </c>
      <c r="AN550" s="351"/>
      <c r="AO550" s="337">
        <f t="shared" si="342"/>
        <v>20.829881939065878</v>
      </c>
      <c r="AP550" s="730">
        <f t="shared" si="343"/>
        <v>-136.00164096049909</v>
      </c>
      <c r="AS550" s="351"/>
      <c r="AT550" s="351"/>
      <c r="AV550" s="405">
        <f t="shared" si="344"/>
        <v>0</v>
      </c>
      <c r="AW550" s="405">
        <f t="shared" si="369"/>
        <v>0</v>
      </c>
      <c r="AX550" s="405">
        <f t="shared" si="345"/>
        <v>0</v>
      </c>
      <c r="AY550" s="405">
        <f t="shared" si="346"/>
        <v>0</v>
      </c>
    </row>
    <row r="551" spans="2:51" ht="13.5" thickBot="1" x14ac:dyDescent="0.25">
      <c r="B551" s="345">
        <v>86105</v>
      </c>
      <c r="C551" s="728" t="str">
        <f t="shared" si="329"/>
        <v>2.16217503399043</v>
      </c>
      <c r="D551" s="728" t="str">
        <f t="shared" si="330"/>
        <v>1+65.8233299564216i</v>
      </c>
      <c r="E551" s="337">
        <f t="shared" si="348"/>
        <v>65.830925609108277</v>
      </c>
      <c r="F551" s="338">
        <f t="shared" si="349"/>
        <v>1.5556053135601635</v>
      </c>
      <c r="G551" s="338" t="str">
        <f t="shared" si="331"/>
        <v>1+0.270506835437349i</v>
      </c>
      <c r="H551" s="337">
        <f t="shared" si="350"/>
        <v>1.0359410929287094</v>
      </c>
      <c r="I551" s="338">
        <f t="shared" si="351"/>
        <v>0.26418417183050308</v>
      </c>
      <c r="J551" s="340">
        <f t="shared" si="332"/>
        <v>1</v>
      </c>
      <c r="K551" s="338">
        <f t="shared" si="352"/>
        <v>1</v>
      </c>
      <c r="L551" s="339">
        <f t="shared" si="353"/>
        <v>0</v>
      </c>
      <c r="M551" s="731" t="str">
        <f t="shared" si="333"/>
        <v>0.670485732222223+1.27173113569288i</v>
      </c>
      <c r="N551" s="338">
        <f t="shared" si="354"/>
        <v>1.4376547564016449</v>
      </c>
      <c r="O551" s="339">
        <f t="shared" si="355"/>
        <v>1.0856083507868164</v>
      </c>
      <c r="P551" s="732" t="str">
        <f t="shared" si="347"/>
        <v>-0.017080041038776-0.0163827429551601i</v>
      </c>
      <c r="Q551" s="337">
        <f t="shared" si="356"/>
        <v>2.3666898162224812E-2</v>
      </c>
      <c r="R551" s="339">
        <f t="shared" si="357"/>
        <v>-2.3770294925164768</v>
      </c>
      <c r="S551" s="731" t="str">
        <f t="shared" si="334"/>
        <v>6000</v>
      </c>
      <c r="T551" s="337" t="str">
        <f t="shared" si="335"/>
        <v>1+546423.807583445i</v>
      </c>
      <c r="U551" s="346">
        <f t="shared" si="358"/>
        <v>546423.80758436001</v>
      </c>
      <c r="V551" s="347">
        <f t="shared" si="359"/>
        <v>1.5707944967135823</v>
      </c>
      <c r="W551" s="340" t="str">
        <f t="shared" si="336"/>
        <v>1+5410.13670874698i</v>
      </c>
      <c r="X551" s="337">
        <f t="shared" si="360"/>
        <v>5410.1368011660852</v>
      </c>
      <c r="Y551" s="339">
        <f t="shared" si="361"/>
        <v>1.5706114885842475</v>
      </c>
      <c r="Z551" s="337" t="str">
        <f t="shared" si="337"/>
        <v>1+54.4987747797775i</v>
      </c>
      <c r="AA551" s="346">
        <f t="shared" si="362"/>
        <v>54.507948525851816</v>
      </c>
      <c r="AB551" s="347">
        <f t="shared" si="363"/>
        <v>1.552449349313999</v>
      </c>
      <c r="AC551" s="732" t="str">
        <f t="shared" si="364"/>
        <v>0.0197950647170988-1.08967854395278i</v>
      </c>
      <c r="AD551" s="337">
        <f t="shared" si="365"/>
        <v>1.0898583273702158</v>
      </c>
      <c r="AE551" s="339">
        <f t="shared" si="366"/>
        <v>-1.5526323574433336</v>
      </c>
      <c r="AF551" s="736" t="str">
        <f t="shared" si="338"/>
        <v>-0.0181900240070648+0.0182874567927462i</v>
      </c>
      <c r="AG551" s="337">
        <f t="shared" si="367"/>
        <v>-31.769772221485468</v>
      </c>
      <c r="AH551" s="730">
        <f t="shared" si="368"/>
        <v>134.84696108373146</v>
      </c>
      <c r="AI551" s="360">
        <f t="shared" si="339"/>
        <v>-45.153038916268542</v>
      </c>
      <c r="AL551" s="337">
        <f t="shared" si="340"/>
        <v>0.7474009378909553</v>
      </c>
      <c r="AM551" s="730">
        <f t="shared" si="341"/>
        <v>-88.959281216950458</v>
      </c>
      <c r="AN551" s="351"/>
      <c r="AO551" s="337">
        <f t="shared" si="342"/>
        <v>20.754758039363004</v>
      </c>
      <c r="AP551" s="730">
        <f t="shared" si="343"/>
        <v>-136.19375769931801</v>
      </c>
      <c r="AS551" s="351"/>
      <c r="AT551" s="351"/>
      <c r="AV551" s="405">
        <f t="shared" si="344"/>
        <v>0</v>
      </c>
      <c r="AW551" s="405">
        <f t="shared" si="369"/>
        <v>0</v>
      </c>
      <c r="AX551" s="405">
        <f t="shared" si="345"/>
        <v>0</v>
      </c>
      <c r="AY551" s="405">
        <f t="shared" si="346"/>
        <v>0</v>
      </c>
    </row>
    <row r="552" spans="2:51" ht="13.5" thickBot="1" x14ac:dyDescent="0.25">
      <c r="B552" s="345">
        <v>86600.5</v>
      </c>
      <c r="C552" s="728" t="str">
        <f t="shared" si="329"/>
        <v>2.16217503399043</v>
      </c>
      <c r="D552" s="728" t="str">
        <f t="shared" si="330"/>
        <v>1+66.2021170186527i</v>
      </c>
      <c r="E552" s="337">
        <f t="shared" si="348"/>
        <v>66.209669216447423</v>
      </c>
      <c r="F552" s="338">
        <f t="shared" si="349"/>
        <v>1.5556922183588406</v>
      </c>
      <c r="G552" s="338" t="str">
        <f t="shared" si="331"/>
        <v>1+0.272063494597203i</v>
      </c>
      <c r="H552" s="337">
        <f t="shared" si="350"/>
        <v>1.0363486600041718</v>
      </c>
      <c r="I552" s="338">
        <f t="shared" si="351"/>
        <v>0.26563412085064525</v>
      </c>
      <c r="J552" s="340">
        <f t="shared" si="332"/>
        <v>1</v>
      </c>
      <c r="K552" s="338">
        <f t="shared" si="352"/>
        <v>1</v>
      </c>
      <c r="L552" s="339">
        <f t="shared" si="353"/>
        <v>0</v>
      </c>
      <c r="M552" s="731" t="str">
        <f t="shared" si="333"/>
        <v>0.666682373322222+1.27904944215285i</v>
      </c>
      <c r="N552" s="338">
        <f t="shared" si="354"/>
        <v>1.442370570404869</v>
      </c>
      <c r="O552" s="339">
        <f t="shared" si="355"/>
        <v>1.090307212962625</v>
      </c>
      <c r="P552" s="732" t="str">
        <f t="shared" si="347"/>
        <v>-0.016987559411773-0.0161855812062175i</v>
      </c>
      <c r="Q552" s="337">
        <f t="shared" si="356"/>
        <v>2.3463806463393327E-2</v>
      </c>
      <c r="R552" s="339">
        <f t="shared" si="357"/>
        <v>-2.3803653104708196</v>
      </c>
      <c r="S552" s="731" t="str">
        <f t="shared" si="334"/>
        <v>6000</v>
      </c>
      <c r="T552" s="337" t="str">
        <f t="shared" si="335"/>
        <v>1+549568.25908635i</v>
      </c>
      <c r="U552" s="346">
        <f t="shared" si="358"/>
        <v>549568.25908725988</v>
      </c>
      <c r="V552" s="347">
        <f t="shared" si="359"/>
        <v>1.5707945071847145</v>
      </c>
      <c r="W552" s="340" t="str">
        <f t="shared" si="336"/>
        <v>1+5441.26989194406i</v>
      </c>
      <c r="X552" s="337">
        <f t="shared" si="360"/>
        <v>5441.2699838343733</v>
      </c>
      <c r="Y552" s="339">
        <f t="shared" si="361"/>
        <v>1.5706125461685723</v>
      </c>
      <c r="Z552" s="337" t="str">
        <f t="shared" si="337"/>
        <v>1+54.8123935348252i</v>
      </c>
      <c r="AA552" s="346">
        <f t="shared" si="362"/>
        <v>54.821514800455375</v>
      </c>
      <c r="AB552" s="347">
        <f t="shared" si="363"/>
        <v>1.5525543014202174</v>
      </c>
      <c r="AC552" s="732" t="str">
        <f t="shared" si="364"/>
        <v>0.0195692660231917-1.08344787588913i</v>
      </c>
      <c r="AD552" s="337">
        <f t="shared" si="365"/>
        <v>1.0836245917942957</v>
      </c>
      <c r="AE552" s="339">
        <f t="shared" si="366"/>
        <v>-1.5527362624363599</v>
      </c>
      <c r="AF552" s="736" t="str">
        <f t="shared" si="338"/>
        <v>-0.0178686676471211+0.0180883952168614i</v>
      </c>
      <c r="AG552" s="337">
        <f t="shared" si="367"/>
        <v>-31.894453596930575</v>
      </c>
      <c r="AH552" s="730">
        <f t="shared" si="368"/>
        <v>134.64987947615293</v>
      </c>
      <c r="AI552" s="360">
        <f t="shared" si="339"/>
        <v>-45.350120523847067</v>
      </c>
      <c r="AL552" s="337">
        <f t="shared" si="340"/>
        <v>0.6975770471815429</v>
      </c>
      <c r="AM552" s="730">
        <f t="shared" si="341"/>
        <v>-88.965234534521201</v>
      </c>
      <c r="AN552" s="351"/>
      <c r="AO552" s="337">
        <f t="shared" si="342"/>
        <v>20.679900554627327</v>
      </c>
      <c r="AP552" s="730">
        <f t="shared" si="343"/>
        <v>-136.38488598932582</v>
      </c>
      <c r="AS552" s="351"/>
      <c r="AT552" s="351"/>
      <c r="AV552" s="405">
        <f t="shared" si="344"/>
        <v>0</v>
      </c>
      <c r="AW552" s="405">
        <f t="shared" si="369"/>
        <v>0</v>
      </c>
      <c r="AX552" s="405">
        <f t="shared" si="345"/>
        <v>0</v>
      </c>
      <c r="AY552" s="405">
        <f t="shared" si="346"/>
        <v>0</v>
      </c>
    </row>
    <row r="553" spans="2:51" ht="13.5" thickBot="1" x14ac:dyDescent="0.25">
      <c r="B553" s="345">
        <v>87096</v>
      </c>
      <c r="C553" s="728" t="str">
        <f t="shared" si="329"/>
        <v>2.16217503399043</v>
      </c>
      <c r="D553" s="728" t="str">
        <f t="shared" si="330"/>
        <v>1+66.5809040808838i</v>
      </c>
      <c r="E553" s="337">
        <f t="shared" si="348"/>
        <v>66.58841331814304</v>
      </c>
      <c r="F553" s="338">
        <f t="shared" si="349"/>
        <v>1.5557781345573434</v>
      </c>
      <c r="G553" s="338" t="str">
        <f t="shared" si="331"/>
        <v>1+0.273620153757057i</v>
      </c>
      <c r="H553" s="337">
        <f t="shared" si="350"/>
        <v>1.0367584041337865</v>
      </c>
      <c r="I553" s="338">
        <f t="shared" si="351"/>
        <v>0.26708292682684798</v>
      </c>
      <c r="J553" s="340">
        <f t="shared" si="332"/>
        <v>1</v>
      </c>
      <c r="K553" s="338">
        <f t="shared" si="352"/>
        <v>1</v>
      </c>
      <c r="L553" s="339">
        <f t="shared" si="353"/>
        <v>0</v>
      </c>
      <c r="M553" s="731" t="str">
        <f t="shared" si="333"/>
        <v>0.6628571904+1.28636774861282i</v>
      </c>
      <c r="N553" s="338">
        <f t="shared" si="354"/>
        <v>1.4471080262151119</v>
      </c>
      <c r="O553" s="339">
        <f t="shared" si="355"/>
        <v>1.0949887531013762</v>
      </c>
      <c r="P553" s="732" t="str">
        <f t="shared" si="347"/>
        <v>-0.0168954588663661-0.0159911943902804i</v>
      </c>
      <c r="Q553" s="337">
        <f t="shared" si="356"/>
        <v>2.3263164624203737E-2</v>
      </c>
      <c r="R553" s="339">
        <f t="shared" si="357"/>
        <v>-2.3836839608318714</v>
      </c>
      <c r="S553" s="731" t="str">
        <f t="shared" si="334"/>
        <v>6000</v>
      </c>
      <c r="T553" s="337" t="str">
        <f t="shared" si="335"/>
        <v>1+552712.710589254i</v>
      </c>
      <c r="U553" s="346">
        <f t="shared" si="358"/>
        <v>552712.71059015871</v>
      </c>
      <c r="V553" s="347">
        <f t="shared" si="359"/>
        <v>1.5707945175367037</v>
      </c>
      <c r="W553" s="340" t="str">
        <f t="shared" si="336"/>
        <v>1+5472.40307514113i</v>
      </c>
      <c r="X553" s="337">
        <f t="shared" si="360"/>
        <v>5472.4031665086677</v>
      </c>
      <c r="Y553" s="339">
        <f t="shared" si="361"/>
        <v>1.5706135917194393</v>
      </c>
      <c r="Z553" s="337" t="str">
        <f t="shared" si="337"/>
        <v>1+55.1260122898729i</v>
      </c>
      <c r="AA553" s="346">
        <f t="shared" si="362"/>
        <v>55.135081672046319</v>
      </c>
      <c r="AB553" s="347">
        <f t="shared" si="363"/>
        <v>1.5526580597502988</v>
      </c>
      <c r="AC553" s="732" t="str">
        <f t="shared" si="364"/>
        <v>0.0193473084568419-1.07728803224097i</v>
      </c>
      <c r="AD553" s="337">
        <f t="shared" si="365"/>
        <v>1.0774617500190644</v>
      </c>
      <c r="AE553" s="339">
        <f t="shared" si="366"/>
        <v>-1.5528389855675635</v>
      </c>
      <c r="AF553" s="736" t="str">
        <f t="shared" si="338"/>
        <v>-0.0175540039920955+0.0178918890654937i</v>
      </c>
      <c r="AG553" s="337">
        <f t="shared" si="367"/>
        <v>-32.018586887127675</v>
      </c>
      <c r="AH553" s="730">
        <f t="shared" si="368"/>
        <v>134.45384921490887</v>
      </c>
      <c r="AI553" s="360">
        <f t="shared" si="339"/>
        <v>-45.546150785091129</v>
      </c>
      <c r="AL553" s="337">
        <f t="shared" si="340"/>
        <v>0.64803723233038957</v>
      </c>
      <c r="AM553" s="730">
        <f t="shared" si="341"/>
        <v>-88.971120136397545</v>
      </c>
      <c r="AN553" s="351"/>
      <c r="AO553" s="337">
        <f t="shared" si="342"/>
        <v>20.60530707928136</v>
      </c>
      <c r="AP553" s="730">
        <f t="shared" si="343"/>
        <v>-136.57503064869366</v>
      </c>
      <c r="AS553" s="351"/>
      <c r="AT553" s="351"/>
      <c r="AV553" s="405">
        <f t="shared" si="344"/>
        <v>0</v>
      </c>
      <c r="AW553" s="405">
        <f t="shared" si="369"/>
        <v>0</v>
      </c>
      <c r="AX553" s="405">
        <f t="shared" si="345"/>
        <v>0</v>
      </c>
      <c r="AY553" s="405">
        <f t="shared" si="346"/>
        <v>0</v>
      </c>
    </row>
    <row r="554" spans="2:51" ht="13.5" thickBot="1" x14ac:dyDescent="0.25">
      <c r="B554" s="345">
        <v>87603.25</v>
      </c>
      <c r="C554" s="728" t="str">
        <f t="shared" si="329"/>
        <v>2.16217503399043</v>
      </c>
      <c r="D554" s="728" t="str">
        <f t="shared" si="330"/>
        <v>1+66.9686734801102i</v>
      </c>
      <c r="E554" s="337">
        <f t="shared" si="348"/>
        <v>66.976139241416519</v>
      </c>
      <c r="F554" s="338">
        <f t="shared" si="349"/>
        <v>1.5558650815886639</v>
      </c>
      <c r="G554" s="338" t="str">
        <f t="shared" si="331"/>
        <v>1+0.27521372663059i</v>
      </c>
      <c r="H554" s="337">
        <f t="shared" si="350"/>
        <v>1.0371801171088353</v>
      </c>
      <c r="I554" s="338">
        <f t="shared" si="351"/>
        <v>0.26856489999351779</v>
      </c>
      <c r="J554" s="340">
        <f t="shared" si="332"/>
        <v>1</v>
      </c>
      <c r="K554" s="338">
        <f t="shared" si="352"/>
        <v>1</v>
      </c>
      <c r="L554" s="339">
        <f t="shared" si="353"/>
        <v>0</v>
      </c>
      <c r="M554" s="731" t="str">
        <f t="shared" si="333"/>
        <v>0.658918692863889+1.29385959715333i</v>
      </c>
      <c r="N554" s="338">
        <f t="shared" si="354"/>
        <v>1.4519801999170765</v>
      </c>
      <c r="O554" s="339">
        <f t="shared" si="355"/>
        <v>1.099763430777106</v>
      </c>
      <c r="P554" s="732" t="str">
        <f t="shared" si="347"/>
        <v>-0.0168015728815857-0.0157950247909386i</v>
      </c>
      <c r="Q554" s="337">
        <f t="shared" si="356"/>
        <v>2.3060261478170647E-2</v>
      </c>
      <c r="R554" s="339">
        <f t="shared" si="357"/>
        <v>-2.3870636123722493</v>
      </c>
      <c r="S554" s="731" t="str">
        <f t="shared" si="334"/>
        <v>6000</v>
      </c>
      <c r="T554" s="337" t="str">
        <f t="shared" si="335"/>
        <v>1+555931.727793792i</v>
      </c>
      <c r="U554" s="346">
        <f t="shared" si="358"/>
        <v>555931.72779469145</v>
      </c>
      <c r="V554" s="347">
        <f t="shared" si="359"/>
        <v>1.5707945280128699</v>
      </c>
      <c r="W554" s="340" t="str">
        <f t="shared" si="336"/>
        <v>1+5504.2745326118i</v>
      </c>
      <c r="X554" s="337">
        <f t="shared" si="360"/>
        <v>5504.2746234502911</v>
      </c>
      <c r="Y554" s="339">
        <f t="shared" si="361"/>
        <v>1.5706146498122038</v>
      </c>
      <c r="Z554" s="337" t="str">
        <f t="shared" si="337"/>
        <v>1+55.4470680184257i</v>
      </c>
      <c r="AA554" s="346">
        <f t="shared" si="362"/>
        <v>55.45608489462564</v>
      </c>
      <c r="AB554" s="347">
        <f t="shared" si="363"/>
        <v>1.5527630631102503</v>
      </c>
      <c r="AC554" s="732" t="str">
        <f t="shared" si="364"/>
        <v>0.0191239759320434-1.0710542281084i</v>
      </c>
      <c r="AD554" s="337">
        <f t="shared" si="365"/>
        <v>1.0712249465001875</v>
      </c>
      <c r="AE554" s="339">
        <f t="shared" si="366"/>
        <v>-1.5529429413109164</v>
      </c>
      <c r="AF554" s="736" t="str">
        <f t="shared" si="338"/>
        <v>-0.0172386409608197+0.0176933319997459i</v>
      </c>
      <c r="AG554" s="337">
        <f t="shared" si="367"/>
        <v>-32.145101893848164</v>
      </c>
      <c r="AH554" s="730">
        <f t="shared" si="368"/>
        <v>134.2542532200699</v>
      </c>
      <c r="AI554" s="360">
        <f t="shared" si="339"/>
        <v>-45.745746779930101</v>
      </c>
      <c r="AL554" s="337">
        <f t="shared" si="340"/>
        <v>0.59761355792112769</v>
      </c>
      <c r="AM554" s="730">
        <f t="shared" si="341"/>
        <v>-88.977076361747805</v>
      </c>
      <c r="AN554" s="351"/>
      <c r="AO554" s="337">
        <f t="shared" si="342"/>
        <v>20.529215746970131</v>
      </c>
      <c r="AP554" s="730">
        <f t="shared" si="343"/>
        <v>-136.76867041818221</v>
      </c>
      <c r="AS554" s="351"/>
      <c r="AT554" s="351"/>
      <c r="AV554" s="405">
        <f t="shared" si="344"/>
        <v>0</v>
      </c>
      <c r="AW554" s="405">
        <f t="shared" si="369"/>
        <v>0</v>
      </c>
      <c r="AX554" s="405">
        <f t="shared" si="345"/>
        <v>0</v>
      </c>
      <c r="AY554" s="405">
        <f t="shared" si="346"/>
        <v>0</v>
      </c>
    </row>
    <row r="555" spans="2:51" ht="13.5" thickBot="1" x14ac:dyDescent="0.25">
      <c r="B555" s="345">
        <v>88110.5</v>
      </c>
      <c r="C555" s="728" t="str">
        <f t="shared" si="329"/>
        <v>2.16217503399043</v>
      </c>
      <c r="D555" s="728" t="str">
        <f t="shared" si="330"/>
        <v>1+67.3564428793367i</v>
      </c>
      <c r="E555" s="337">
        <f t="shared" si="348"/>
        <v>67.363865665186907</v>
      </c>
      <c r="F555" s="338">
        <f t="shared" si="349"/>
        <v>1.5559510277379982</v>
      </c>
      <c r="G555" s="338" t="str">
        <f t="shared" si="331"/>
        <v>1+0.276807299504124i</v>
      </c>
      <c r="H555" s="337">
        <f t="shared" si="350"/>
        <v>1.037604106130448</v>
      </c>
      <c r="I555" s="338">
        <f t="shared" si="351"/>
        <v>0.27004566527311963</v>
      </c>
      <c r="J555" s="340">
        <f t="shared" si="332"/>
        <v>1</v>
      </c>
      <c r="K555" s="338">
        <f t="shared" si="352"/>
        <v>1</v>
      </c>
      <c r="L555" s="339">
        <f t="shared" si="353"/>
        <v>0</v>
      </c>
      <c r="M555" s="731" t="str">
        <f t="shared" si="333"/>
        <v>0.654957323988889+1.30135144569383i</v>
      </c>
      <c r="N555" s="338">
        <f t="shared" si="354"/>
        <v>1.456874971113207</v>
      </c>
      <c r="O555" s="339">
        <f t="shared" si="355"/>
        <v>1.1045200880430555</v>
      </c>
      <c r="P555" s="732" t="str">
        <f t="shared" si="347"/>
        <v>-0.0167080938670886-0.0156016675186455i</v>
      </c>
      <c r="Q555" s="337">
        <f t="shared" si="356"/>
        <v>2.2859843176054415E-2</v>
      </c>
      <c r="R555" s="339">
        <f t="shared" si="357"/>
        <v>-2.3904254505079363</v>
      </c>
      <c r="S555" s="731" t="str">
        <f t="shared" si="334"/>
        <v>6000</v>
      </c>
      <c r="T555" s="337" t="str">
        <f t="shared" si="335"/>
        <v>1+559150.74499833i</v>
      </c>
      <c r="U555" s="346">
        <f t="shared" si="358"/>
        <v>559150.7449992242</v>
      </c>
      <c r="V555" s="347">
        <f t="shared" si="359"/>
        <v>1.5707945383684143</v>
      </c>
      <c r="W555" s="340" t="str">
        <f t="shared" si="336"/>
        <v>1+5536.14599008247i</v>
      </c>
      <c r="X555" s="337">
        <f t="shared" si="360"/>
        <v>5536.1460803980062</v>
      </c>
      <c r="Y555" s="339">
        <f t="shared" si="361"/>
        <v>1.5706156957221402</v>
      </c>
      <c r="Z555" s="337" t="str">
        <f t="shared" si="337"/>
        <v>1+55.7681237469786i</v>
      </c>
      <c r="AA555" s="346">
        <f t="shared" si="362"/>
        <v>55.777088721609687</v>
      </c>
      <c r="AB555" s="347">
        <f t="shared" si="363"/>
        <v>1.5528668578575058</v>
      </c>
      <c r="AC555" s="732" t="str">
        <f t="shared" si="364"/>
        <v>0.0189044878003014-1.06489213075736i</v>
      </c>
      <c r="AD555" s="337">
        <f t="shared" si="365"/>
        <v>1.0650599184120777</v>
      </c>
      <c r="AE555" s="339">
        <f t="shared" si="366"/>
        <v>-1.5530457005037797</v>
      </c>
      <c r="AF555" s="736" t="str">
        <f t="shared" si="338"/>
        <v>-0.016929950923975+0.0174973761457474i</v>
      </c>
      <c r="AG555" s="337">
        <f t="shared" si="367"/>
        <v>-32.271054243641274</v>
      </c>
      <c r="AH555" s="730">
        <f t="shared" si="368"/>
        <v>134.05574641543177</v>
      </c>
      <c r="AI555" s="360">
        <f t="shared" si="339"/>
        <v>-45.94425358456823</v>
      </c>
      <c r="AL555" s="337">
        <f t="shared" si="340"/>
        <v>0.54748082223190508</v>
      </c>
      <c r="AM555" s="730">
        <f t="shared" si="341"/>
        <v>-88.982964029805046</v>
      </c>
      <c r="AN555" s="351"/>
      <c r="AO555" s="337">
        <f t="shared" si="342"/>
        <v>20.453396132866235</v>
      </c>
      <c r="AP555" s="730">
        <f t="shared" si="343"/>
        <v>-136.9612895547632</v>
      </c>
      <c r="AS555" s="351"/>
      <c r="AT555" s="351"/>
      <c r="AV555" s="405">
        <f t="shared" si="344"/>
        <v>0</v>
      </c>
      <c r="AW555" s="405">
        <f t="shared" si="369"/>
        <v>0</v>
      </c>
      <c r="AX555" s="405">
        <f t="shared" si="345"/>
        <v>0</v>
      </c>
      <c r="AY555" s="405">
        <f t="shared" si="346"/>
        <v>0</v>
      </c>
    </row>
    <row r="556" spans="2:51" ht="13.5" thickBot="1" x14ac:dyDescent="0.25">
      <c r="B556" s="345">
        <v>88617.75</v>
      </c>
      <c r="C556" s="728" t="str">
        <f t="shared" si="329"/>
        <v>2.16217503399043</v>
      </c>
      <c r="D556" s="728" t="str">
        <f t="shared" si="330"/>
        <v>1+67.7442122785632i</v>
      </c>
      <c r="E556" s="337">
        <f t="shared" si="348"/>
        <v>67.751592580861384</v>
      </c>
      <c r="F556" s="338">
        <f t="shared" si="349"/>
        <v>1.5560359901875238</v>
      </c>
      <c r="G556" s="338" t="str">
        <f t="shared" si="331"/>
        <v>1+0.278400872377657i</v>
      </c>
      <c r="H556" s="337">
        <f t="shared" si="350"/>
        <v>1.0380303684096339</v>
      </c>
      <c r="I556" s="338">
        <f t="shared" si="351"/>
        <v>0.27152521765610144</v>
      </c>
      <c r="J556" s="340">
        <f t="shared" si="332"/>
        <v>1</v>
      </c>
      <c r="K556" s="338">
        <f t="shared" si="352"/>
        <v>1</v>
      </c>
      <c r="L556" s="339">
        <f t="shared" si="353"/>
        <v>0</v>
      </c>
      <c r="M556" s="731" t="str">
        <f t="shared" si="333"/>
        <v>0.650973083774999+1.30884329423434i</v>
      </c>
      <c r="N556" s="338">
        <f t="shared" si="354"/>
        <v>1.4617922987421061</v>
      </c>
      <c r="O556" s="339">
        <f t="shared" si="355"/>
        <v>1.1092587926075119</v>
      </c>
      <c r="P556" s="732" t="str">
        <f t="shared" si="347"/>
        <v>-0.0166150253836148-0.0154110755731789i</v>
      </c>
      <c r="Q556" s="337">
        <f t="shared" si="356"/>
        <v>2.2661869270216777E-2</v>
      </c>
      <c r="R556" s="339">
        <f t="shared" si="357"/>
        <v>-2.3937695651389341</v>
      </c>
      <c r="S556" s="731" t="str">
        <f t="shared" si="334"/>
        <v>6000</v>
      </c>
      <c r="T556" s="337" t="str">
        <f t="shared" si="335"/>
        <v>1+562369.762202867i</v>
      </c>
      <c r="U556" s="346">
        <f t="shared" si="358"/>
        <v>562369.76220375602</v>
      </c>
      <c r="V556" s="347">
        <f t="shared" si="359"/>
        <v>1.5707945486054078</v>
      </c>
      <c r="W556" s="340" t="str">
        <f t="shared" si="336"/>
        <v>1+5568.01744755314i</v>
      </c>
      <c r="X556" s="337">
        <f t="shared" si="360"/>
        <v>5568.0175373517086</v>
      </c>
      <c r="Y556" s="339">
        <f t="shared" si="361"/>
        <v>1.570616729658453</v>
      </c>
      <c r="Z556" s="337" t="str">
        <f t="shared" si="337"/>
        <v>1+56.0891794755314i</v>
      </c>
      <c r="AA556" s="346">
        <f t="shared" si="362"/>
        <v>56.098093142622709</v>
      </c>
      <c r="AB556" s="347">
        <f t="shared" si="363"/>
        <v>1.5529694647375749</v>
      </c>
      <c r="AC556" s="732" t="str">
        <f t="shared" si="364"/>
        <v>0.0186887563392051-1.05880051039811i</v>
      </c>
      <c r="AD556" s="337">
        <f t="shared" si="365"/>
        <v>1.0589654340122743</v>
      </c>
      <c r="AE556" s="339">
        <f t="shared" si="366"/>
        <v>-1.5531472836845295</v>
      </c>
      <c r="AF556" s="736" t="str">
        <f t="shared" si="338"/>
        <v>-0.0166277688436297+0.0173039835201367i</v>
      </c>
      <c r="AG556" s="337">
        <f t="shared" si="367"/>
        <v>-32.396449713805431</v>
      </c>
      <c r="AH556" s="730">
        <f t="shared" si="368"/>
        <v>133.85832247334105</v>
      </c>
      <c r="AI556" s="360">
        <f t="shared" si="339"/>
        <v>-46.141677526658953</v>
      </c>
      <c r="AL556" s="337">
        <f t="shared" si="340"/>
        <v>0.49763568821711024</v>
      </c>
      <c r="AM556" s="730">
        <f t="shared" si="341"/>
        <v>-88.988784317331522</v>
      </c>
      <c r="AN556" s="351"/>
      <c r="AO556" s="337">
        <f t="shared" si="342"/>
        <v>20.377845796716905</v>
      </c>
      <c r="AP556" s="730">
        <f t="shared" si="343"/>
        <v>-137.15289320932735</v>
      </c>
      <c r="AS556" s="351"/>
      <c r="AT556" s="351"/>
      <c r="AV556" s="405">
        <f t="shared" si="344"/>
        <v>0</v>
      </c>
      <c r="AW556" s="405">
        <f t="shared" si="369"/>
        <v>0</v>
      </c>
      <c r="AX556" s="405">
        <f t="shared" si="345"/>
        <v>0</v>
      </c>
      <c r="AY556" s="405">
        <f t="shared" si="346"/>
        <v>0</v>
      </c>
    </row>
    <row r="557" spans="2:51" ht="13.5" thickBot="1" x14ac:dyDescent="0.25">
      <c r="B557" s="345">
        <v>89125</v>
      </c>
      <c r="C557" s="728" t="str">
        <f t="shared" si="329"/>
        <v>2.16217503399043</v>
      </c>
      <c r="D557" s="728" t="str">
        <f t="shared" si="330"/>
        <v>1+68.1319816777897i</v>
      </c>
      <c r="E557" s="337">
        <f t="shared" si="348"/>
        <v>68.139319980042885</v>
      </c>
      <c r="F557" s="338">
        <f t="shared" si="349"/>
        <v>1.5561199857283941</v>
      </c>
      <c r="G557" s="338" t="str">
        <f t="shared" si="331"/>
        <v>1+0.27999444525119i</v>
      </c>
      <c r="H557" s="337">
        <f t="shared" si="350"/>
        <v>1.0384589011470418</v>
      </c>
      <c r="I557" s="338">
        <f t="shared" si="351"/>
        <v>0.27300355216235844</v>
      </c>
      <c r="J557" s="340">
        <f t="shared" si="332"/>
        <v>1</v>
      </c>
      <c r="K557" s="338">
        <f t="shared" si="352"/>
        <v>1</v>
      </c>
      <c r="L557" s="339">
        <f t="shared" si="353"/>
        <v>0</v>
      </c>
      <c r="M557" s="731" t="str">
        <f t="shared" si="333"/>
        <v>0.646965972222221+1.31633514277484i</v>
      </c>
      <c r="N557" s="338">
        <f t="shared" si="354"/>
        <v>1.4667321423209836</v>
      </c>
      <c r="O557" s="339">
        <f t="shared" si="355"/>
        <v>1.1139796124774364</v>
      </c>
      <c r="P557" s="732" t="str">
        <f t="shared" si="347"/>
        <v>-0.0165223708074569-0.0152232028953391i</v>
      </c>
      <c r="Q557" s="337">
        <f t="shared" si="356"/>
        <v>2.2466300173632613E-2</v>
      </c>
      <c r="R557" s="339">
        <f t="shared" si="357"/>
        <v>-2.3970960460434707</v>
      </c>
      <c r="S557" s="731" t="str">
        <f t="shared" si="334"/>
        <v>6000</v>
      </c>
      <c r="T557" s="337" t="str">
        <f t="shared" si="335"/>
        <v>1+565588.779407405i</v>
      </c>
      <c r="U557" s="346">
        <f t="shared" si="358"/>
        <v>565588.77940828912</v>
      </c>
      <c r="V557" s="347">
        <f t="shared" si="359"/>
        <v>1.5707945587258747</v>
      </c>
      <c r="W557" s="340" t="str">
        <f t="shared" si="336"/>
        <v>1+5599.88890502381i</v>
      </c>
      <c r="X557" s="337">
        <f t="shared" si="360"/>
        <v>5599.8889943112945</v>
      </c>
      <c r="Y557" s="339">
        <f t="shared" si="361"/>
        <v>1.5706177518255837</v>
      </c>
      <c r="Z557" s="337" t="str">
        <f t="shared" si="337"/>
        <v>1+56.4102352040843i</v>
      </c>
      <c r="AA557" s="346">
        <f t="shared" si="362"/>
        <v>56.419098147525467</v>
      </c>
      <c r="AB557" s="347">
        <f t="shared" si="363"/>
        <v>1.553070904023929</v>
      </c>
      <c r="AC557" s="732" t="str">
        <f t="shared" si="364"/>
        <v>0.0184766963139778-1.05277816519397i</v>
      </c>
      <c r="AD557" s="337">
        <f t="shared" si="365"/>
        <v>1.0529402895776478</v>
      </c>
      <c r="AE557" s="339">
        <f t="shared" si="366"/>
        <v>-1.5532477109242202</v>
      </c>
      <c r="AF557" s="736" t="str">
        <f t="shared" si="338"/>
        <v>-0.0163319344403269+0.0171131167265056i</v>
      </c>
      <c r="AG557" s="337">
        <f t="shared" si="367"/>
        <v>-32.521293979657209</v>
      </c>
      <c r="AH557" s="730">
        <f t="shared" si="368"/>
        <v>133.66197509989792</v>
      </c>
      <c r="AI557" s="360">
        <f t="shared" si="339"/>
        <v>-46.338024900102084</v>
      </c>
      <c r="AL557" s="337">
        <f t="shared" si="340"/>
        <v>0.44807487589961553</v>
      </c>
      <c r="AM557" s="730">
        <f t="shared" si="341"/>
        <v>-88.994538374313947</v>
      </c>
      <c r="AN557" s="351"/>
      <c r="AO557" s="337">
        <f t="shared" si="342"/>
        <v>20.302562343182629</v>
      </c>
      <c r="AP557" s="730">
        <f t="shared" si="343"/>
        <v>-137.34348652578817</v>
      </c>
      <c r="AS557" s="351"/>
      <c r="AT557" s="351"/>
      <c r="AV557" s="405">
        <f t="shared" si="344"/>
        <v>0</v>
      </c>
      <c r="AW557" s="405">
        <f t="shared" si="369"/>
        <v>0</v>
      </c>
      <c r="AX557" s="405">
        <f t="shared" si="345"/>
        <v>0</v>
      </c>
      <c r="AY557" s="405">
        <f t="shared" si="346"/>
        <v>0</v>
      </c>
    </row>
    <row r="558" spans="2:51" ht="13.5" thickBot="1" x14ac:dyDescent="0.25">
      <c r="B558" s="345">
        <v>89644</v>
      </c>
      <c r="C558" s="728" t="str">
        <f t="shared" si="329"/>
        <v>2.16217503399043</v>
      </c>
      <c r="D558" s="728" t="str">
        <f t="shared" si="330"/>
        <v>1+68.5287334140115i</v>
      </c>
      <c r="E558" s="337">
        <f t="shared" si="348"/>
        <v>68.536029235203415</v>
      </c>
      <c r="F558" s="338">
        <f t="shared" si="349"/>
        <v>1.5562049433023564</v>
      </c>
      <c r="G558" s="338" t="str">
        <f t="shared" si="331"/>
        <v>1+0.281624931838404i</v>
      </c>
      <c r="H558" s="337">
        <f t="shared" si="350"/>
        <v>1.0388997074948985</v>
      </c>
      <c r="I558" s="338">
        <f t="shared" si="351"/>
        <v>0.27451486530352071</v>
      </c>
      <c r="J558" s="340">
        <f t="shared" si="332"/>
        <v>1</v>
      </c>
      <c r="K558" s="338">
        <f t="shared" si="352"/>
        <v>1</v>
      </c>
      <c r="L558" s="339">
        <f t="shared" si="353"/>
        <v>0</v>
      </c>
      <c r="M558" s="731" t="str">
        <f t="shared" si="333"/>
        <v>0.642842367288888+1.32400053339588i</v>
      </c>
      <c r="N558" s="338">
        <f t="shared" si="354"/>
        <v>1.4718096757441692</v>
      </c>
      <c r="O558" s="339">
        <f t="shared" si="355"/>
        <v>1.1187913462947245</v>
      </c>
      <c r="P558" s="732" t="str">
        <f t="shared" si="347"/>
        <v>-0.0164280017028432-0.0150337457157865i</v>
      </c>
      <c r="Q558" s="337">
        <f t="shared" si="356"/>
        <v>2.2268649491955009E-2</v>
      </c>
      <c r="R558" s="339">
        <f t="shared" si="357"/>
        <v>-2.4004814242935608</v>
      </c>
      <c r="S558" s="731" t="str">
        <f t="shared" si="334"/>
        <v>6000</v>
      </c>
      <c r="T558" s="337" t="str">
        <f t="shared" si="335"/>
        <v>1+568882.362313575i</v>
      </c>
      <c r="U558" s="346">
        <f t="shared" si="358"/>
        <v>568882.36231445393</v>
      </c>
      <c r="V558" s="347">
        <f t="shared" si="359"/>
        <v>1.5707945689622298</v>
      </c>
      <c r="W558" s="340" t="str">
        <f t="shared" si="336"/>
        <v>1+5632.49863676807i</v>
      </c>
      <c r="X558" s="337">
        <f t="shared" si="360"/>
        <v>5632.4987255386186</v>
      </c>
      <c r="Y558" s="339">
        <f t="shared" si="361"/>
        <v>1.5706187856974225</v>
      </c>
      <c r="Z558" s="337" t="str">
        <f t="shared" si="337"/>
        <v>1+56.7387279061423i</v>
      </c>
      <c r="AA558" s="346">
        <f t="shared" si="362"/>
        <v>56.747539544963985</v>
      </c>
      <c r="AB558" s="347">
        <f t="shared" si="363"/>
        <v>1.5531735052499562</v>
      </c>
      <c r="AC558" s="732" t="str">
        <f t="shared" si="364"/>
        <v>0.0182634377146221-1.04668679341808i</v>
      </c>
      <c r="AD558" s="337">
        <f t="shared" si="365"/>
        <v>1.0468461189081124</v>
      </c>
      <c r="AE558" s="339">
        <f t="shared" si="366"/>
        <v>-1.5533492885147637</v>
      </c>
      <c r="AF558" s="736" t="str">
        <f t="shared" si="338"/>
        <v>-0.016035654882195+0.016920404546118i</v>
      </c>
      <c r="AG558" s="337">
        <f t="shared" si="367"/>
        <v>-32.648465463682449</v>
      </c>
      <c r="AH558" s="730">
        <f t="shared" si="368"/>
        <v>133.46218724688117</v>
      </c>
      <c r="AI558" s="360">
        <f t="shared" si="339"/>
        <v>-46.537812753118828</v>
      </c>
      <c r="AL558" s="337">
        <f t="shared" si="340"/>
        <v>0.39765694550329911</v>
      </c>
      <c r="AM558" s="730">
        <f t="shared" si="341"/>
        <v>-89.000358341545208</v>
      </c>
      <c r="AN558" s="351"/>
      <c r="AO558" s="337">
        <f t="shared" si="342"/>
        <v>20.225808789553664</v>
      </c>
      <c r="AP558" s="730">
        <f t="shared" si="343"/>
        <v>-137.53745441157369</v>
      </c>
      <c r="AS558" s="351"/>
      <c r="AT558" s="351"/>
      <c r="AV558" s="405">
        <f t="shared" si="344"/>
        <v>0</v>
      </c>
      <c r="AW558" s="405">
        <f t="shared" si="369"/>
        <v>0</v>
      </c>
      <c r="AX558" s="405">
        <f t="shared" si="345"/>
        <v>0</v>
      </c>
      <c r="AY558" s="405">
        <f t="shared" si="346"/>
        <v>0</v>
      </c>
    </row>
    <row r="559" spans="2:51" ht="13.5" thickBot="1" x14ac:dyDescent="0.25">
      <c r="B559" s="345">
        <v>90163</v>
      </c>
      <c r="C559" s="728" t="str">
        <f t="shared" si="329"/>
        <v>2.16217503399043</v>
      </c>
      <c r="D559" s="728" t="str">
        <f t="shared" si="330"/>
        <v>1+68.9254851502334i</v>
      </c>
      <c r="E559" s="337">
        <f t="shared" si="348"/>
        <v>68.932738979348869</v>
      </c>
      <c r="F559" s="338">
        <f t="shared" si="349"/>
        <v>1.5562889230107284</v>
      </c>
      <c r="G559" s="338" t="str">
        <f t="shared" si="331"/>
        <v>1+0.283255418425617i</v>
      </c>
      <c r="H559" s="337">
        <f t="shared" si="350"/>
        <v>1.0393428847437556</v>
      </c>
      <c r="I559" s="338">
        <f t="shared" si="351"/>
        <v>0.27602489303919964</v>
      </c>
      <c r="J559" s="340">
        <f t="shared" si="332"/>
        <v>1</v>
      </c>
      <c r="K559" s="338">
        <f t="shared" si="352"/>
        <v>1</v>
      </c>
      <c r="L559" s="339">
        <f t="shared" si="353"/>
        <v>0</v>
      </c>
      <c r="M559" s="731" t="str">
        <f t="shared" si="333"/>
        <v>0.638694819155556+1.33166592401692i</v>
      </c>
      <c r="N559" s="338">
        <f t="shared" si="354"/>
        <v>1.476910696421414</v>
      </c>
      <c r="O559" s="339">
        <f t="shared" si="355"/>
        <v>1.1235845021712323</v>
      </c>
      <c r="P559" s="732" t="str">
        <f t="shared" si="347"/>
        <v>-0.0163340724841187-0.0148470406050661i</v>
      </c>
      <c r="Q559" s="337">
        <f t="shared" si="356"/>
        <v>2.2073435134679995E-2</v>
      </c>
      <c r="R559" s="339">
        <f t="shared" si="357"/>
        <v>-2.403848532142761</v>
      </c>
      <c r="S559" s="731" t="str">
        <f t="shared" si="334"/>
        <v>6000</v>
      </c>
      <c r="T559" s="337" t="str">
        <f t="shared" si="335"/>
        <v>1+572175.945219745i</v>
      </c>
      <c r="U559" s="346">
        <f t="shared" si="358"/>
        <v>572175.94522061886</v>
      </c>
      <c r="V559" s="347">
        <f t="shared" si="359"/>
        <v>1.5707945790807392</v>
      </c>
      <c r="W559" s="340" t="str">
        <f t="shared" si="336"/>
        <v>1+5665.10836851233i</v>
      </c>
      <c r="X559" s="337">
        <f t="shared" si="360"/>
        <v>5665.1084567718945</v>
      </c>
      <c r="Y559" s="339">
        <f t="shared" si="361"/>
        <v>1.5706198076668298</v>
      </c>
      <c r="Z559" s="337" t="str">
        <f t="shared" si="337"/>
        <v>1+57.0672206082002i</v>
      </c>
      <c r="AA559" s="346">
        <f t="shared" si="362"/>
        <v>57.075981532909175</v>
      </c>
      <c r="AB559" s="347">
        <f t="shared" si="363"/>
        <v>1.5532749256458145</v>
      </c>
      <c r="AC559" s="732" t="str">
        <f t="shared" si="364"/>
        <v>0.0180538497024047-1.04066548413554i</v>
      </c>
      <c r="AD559" s="337">
        <f t="shared" si="365"/>
        <v>1.040822074785184</v>
      </c>
      <c r="AE559" s="339">
        <f t="shared" si="366"/>
        <v>-1.5534496970597238</v>
      </c>
      <c r="AF559" s="736" t="str">
        <f t="shared" si="338"/>
        <v>-0.0157456955889076+0.016730259209981i</v>
      </c>
      <c r="AG559" s="337">
        <f t="shared" si="367"/>
        <v>-32.77507161521028</v>
      </c>
      <c r="AH559" s="730">
        <f t="shared" si="368"/>
        <v>133.26351319210337</v>
      </c>
      <c r="AI559" s="360">
        <f t="shared" si="339"/>
        <v>-46.736486807896625</v>
      </c>
      <c r="AL559" s="337">
        <f t="shared" si="340"/>
        <v>0.34752989197238454</v>
      </c>
      <c r="AM559" s="730">
        <f t="shared" si="341"/>
        <v>-89.006111327398457</v>
      </c>
      <c r="AN559" s="351"/>
      <c r="AO559" s="337">
        <f t="shared" si="342"/>
        <v>20.14932969155678</v>
      </c>
      <c r="AP559" s="730">
        <f t="shared" si="343"/>
        <v>-137.73037548049825</v>
      </c>
      <c r="AS559" s="351"/>
      <c r="AT559" s="351"/>
      <c r="AV559" s="405">
        <f t="shared" si="344"/>
        <v>0</v>
      </c>
      <c r="AW559" s="405">
        <f t="shared" si="369"/>
        <v>0</v>
      </c>
      <c r="AX559" s="405">
        <f t="shared" si="345"/>
        <v>0</v>
      </c>
      <c r="AY559" s="405">
        <f t="shared" si="346"/>
        <v>0</v>
      </c>
    </row>
    <row r="560" spans="2:51" ht="13.5" thickBot="1" x14ac:dyDescent="0.25">
      <c r="B560" s="345">
        <v>90682</v>
      </c>
      <c r="C560" s="728" t="str">
        <f t="shared" si="329"/>
        <v>2.16217503399043</v>
      </c>
      <c r="D560" s="728" t="str">
        <f t="shared" si="330"/>
        <v>1+69.3222368864552i</v>
      </c>
      <c r="E560" s="337">
        <f t="shared" si="348"/>
        <v>69.329449204085066</v>
      </c>
      <c r="F560" s="338">
        <f t="shared" si="349"/>
        <v>1.5563719416386577</v>
      </c>
      <c r="G560" s="338" t="str">
        <f t="shared" si="331"/>
        <v>1+0.28488590501283i</v>
      </c>
      <c r="H560" s="337">
        <f t="shared" si="350"/>
        <v>1.0397884298620461</v>
      </c>
      <c r="I560" s="338">
        <f t="shared" si="351"/>
        <v>0.27753363013112459</v>
      </c>
      <c r="J560" s="340">
        <f t="shared" si="332"/>
        <v>1</v>
      </c>
      <c r="K560" s="338">
        <f t="shared" si="352"/>
        <v>1</v>
      </c>
      <c r="L560" s="339">
        <f t="shared" si="353"/>
        <v>0</v>
      </c>
      <c r="M560" s="731" t="str">
        <f t="shared" si="333"/>
        <v>0.634523327822222+1.33933131463796i</v>
      </c>
      <c r="N560" s="338">
        <f t="shared" si="354"/>
        <v>1.4820351628488555</v>
      </c>
      <c r="O560" s="339">
        <f t="shared" si="355"/>
        <v>1.1283591538031399</v>
      </c>
      <c r="P560" s="732" t="str">
        <f t="shared" si="347"/>
        <v>-0.0162405862001537-0.0146630411356502i</v>
      </c>
      <c r="Q560" s="337">
        <f t="shared" si="356"/>
        <v>2.188061734664707E-2</v>
      </c>
      <c r="R560" s="339">
        <f t="shared" si="357"/>
        <v>-2.4071974653106736</v>
      </c>
      <c r="S560" s="731" t="str">
        <f t="shared" si="334"/>
        <v>6000</v>
      </c>
      <c r="T560" s="337" t="str">
        <f t="shared" si="335"/>
        <v>1+575469.528125916i</v>
      </c>
      <c r="U560" s="346">
        <f t="shared" si="358"/>
        <v>575469.52812678495</v>
      </c>
      <c r="V560" s="347">
        <f t="shared" si="359"/>
        <v>1.5707945890834261</v>
      </c>
      <c r="W560" s="340" t="str">
        <f t="shared" si="336"/>
        <v>1+5697.71810025659i</v>
      </c>
      <c r="X560" s="337">
        <f t="shared" si="360"/>
        <v>5697.7181880110184</v>
      </c>
      <c r="Y560" s="339">
        <f t="shared" si="361"/>
        <v>1.5706208179381691</v>
      </c>
      <c r="Z560" s="337" t="str">
        <f t="shared" si="337"/>
        <v>1+57.3957133102582i</v>
      </c>
      <c r="AA560" s="346">
        <f t="shared" si="362"/>
        <v>57.40442410122543</v>
      </c>
      <c r="AB560" s="347">
        <f t="shared" si="363"/>
        <v>1.5533751854779529</v>
      </c>
      <c r="AC560" s="732" t="str">
        <f t="shared" si="364"/>
        <v>0.0178478485294466-1.03471303584016i</v>
      </c>
      <c r="AD560" s="337">
        <f t="shared" si="365"/>
        <v>1.0348669538808792</v>
      </c>
      <c r="AE560" s="339">
        <f t="shared" si="366"/>
        <v>-1.5535489566232101</v>
      </c>
      <c r="AF560" s="736" t="str">
        <f t="shared" si="338"/>
        <v>-0.0154618993306475+0.0165426425138147i</v>
      </c>
      <c r="AG560" s="337">
        <f t="shared" si="367"/>
        <v>-32.901118197631668</v>
      </c>
      <c r="AH560" s="730">
        <f t="shared" si="368"/>
        <v>133.06594630164645</v>
      </c>
      <c r="AI560" s="360">
        <f t="shared" si="339"/>
        <v>-46.934053698353551</v>
      </c>
      <c r="AL560" s="337">
        <f t="shared" si="340"/>
        <v>0.29769037925022829</v>
      </c>
      <c r="AM560" s="730">
        <f t="shared" si="341"/>
        <v>-89.011798481462534</v>
      </c>
      <c r="AN560" s="351"/>
      <c r="AO560" s="337">
        <f t="shared" si="342"/>
        <v>20.073122621857546</v>
      </c>
      <c r="AP560" s="730">
        <f t="shared" si="343"/>
        <v>-137.92225521689093</v>
      </c>
      <c r="AS560" s="351"/>
      <c r="AT560" s="351"/>
      <c r="AV560" s="405">
        <f t="shared" si="344"/>
        <v>0</v>
      </c>
      <c r="AW560" s="405">
        <f t="shared" si="369"/>
        <v>0</v>
      </c>
      <c r="AX560" s="405">
        <f t="shared" si="345"/>
        <v>0</v>
      </c>
      <c r="AY560" s="405">
        <f t="shared" si="346"/>
        <v>0</v>
      </c>
    </row>
    <row r="561" spans="2:51" ht="13.5" thickBot="1" x14ac:dyDescent="0.25">
      <c r="B561" s="345">
        <v>91201</v>
      </c>
      <c r="C561" s="728" t="str">
        <f t="shared" si="329"/>
        <v>2.16217503399043</v>
      </c>
      <c r="D561" s="728" t="str">
        <f t="shared" si="330"/>
        <v>1+69.718988622677i</v>
      </c>
      <c r="E561" s="337">
        <f t="shared" si="348"/>
        <v>69.726159901209002</v>
      </c>
      <c r="F561" s="338">
        <f t="shared" si="349"/>
        <v>1.5564540155893445</v>
      </c>
      <c r="G561" s="338" t="str">
        <f t="shared" si="331"/>
        <v>1+0.286516391600042i</v>
      </c>
      <c r="H561" s="337">
        <f t="shared" si="350"/>
        <v>1.0402363398072134</v>
      </c>
      <c r="I561" s="338">
        <f t="shared" si="351"/>
        <v>0.27904107137347667</v>
      </c>
      <c r="J561" s="340">
        <f t="shared" si="332"/>
        <v>1</v>
      </c>
      <c r="K561" s="338">
        <f t="shared" si="352"/>
        <v>1</v>
      </c>
      <c r="L561" s="339">
        <f t="shared" si="353"/>
        <v>0</v>
      </c>
      <c r="M561" s="731" t="str">
        <f t="shared" si="333"/>
        <v>0.630327893288889+1.346996705259i</v>
      </c>
      <c r="N561" s="338">
        <f t="shared" si="354"/>
        <v>1.4871830341409258</v>
      </c>
      <c r="O561" s="339">
        <f t="shared" si="355"/>
        <v>1.133115375135793</v>
      </c>
      <c r="P561" s="732" t="str">
        <f t="shared" si="347"/>
        <v>-0.0161475457188829-0.0144817018115455i</v>
      </c>
      <c r="Q561" s="337">
        <f t="shared" si="356"/>
        <v>2.1690157217086597E-2</v>
      </c>
      <c r="R561" s="339">
        <f t="shared" si="357"/>
        <v>-2.4105283193516587</v>
      </c>
      <c r="S561" s="731" t="str">
        <f t="shared" si="334"/>
        <v>6000</v>
      </c>
      <c r="T561" s="337" t="str">
        <f t="shared" si="335"/>
        <v>1+578763.111032086i</v>
      </c>
      <c r="U561" s="346">
        <f t="shared" si="358"/>
        <v>578763.11103294976</v>
      </c>
      <c r="V561" s="347">
        <f t="shared" si="359"/>
        <v>1.5707945989722678</v>
      </c>
      <c r="W561" s="340" t="str">
        <f t="shared" si="336"/>
        <v>1+5730.32783200085i</v>
      </c>
      <c r="X561" s="337">
        <f t="shared" si="360"/>
        <v>5730.3279192558921</v>
      </c>
      <c r="Y561" s="339">
        <f t="shared" si="361"/>
        <v>1.5706218167111516</v>
      </c>
      <c r="Z561" s="337" t="str">
        <f t="shared" si="337"/>
        <v>1+57.7242060123162i</v>
      </c>
      <c r="AA561" s="346">
        <f t="shared" si="362"/>
        <v>57.732867240007415</v>
      </c>
      <c r="AB561" s="347">
        <f t="shared" si="363"/>
        <v>1.5534743045517316</v>
      </c>
      <c r="AC561" s="732" t="str">
        <f t="shared" si="364"/>
        <v>0.0176453528225619-1.02882827433435i</v>
      </c>
      <c r="AD561" s="337">
        <f t="shared" si="365"/>
        <v>1.0289795802376398</v>
      </c>
      <c r="AE561" s="339">
        <f t="shared" si="366"/>
        <v>-1.5536470868128478</v>
      </c>
      <c r="AF561" s="736" t="str">
        <f t="shared" si="338"/>
        <v>-0.0151841134256251+0.0163575168587575i</v>
      </c>
      <c r="AG561" s="337">
        <f t="shared" si="367"/>
        <v>-33.026610873098704</v>
      </c>
      <c r="AH561" s="730">
        <f t="shared" si="368"/>
        <v>132.86947997721478</v>
      </c>
      <c r="AI561" s="360">
        <f t="shared" si="339"/>
        <v>-47.13052002278522</v>
      </c>
      <c r="AL561" s="337">
        <f t="shared" si="340"/>
        <v>0.24813512832723217</v>
      </c>
      <c r="AM561" s="730">
        <f t="shared" si="341"/>
        <v>-89.017420927171599</v>
      </c>
      <c r="AN561" s="351"/>
      <c r="AO561" s="337">
        <f t="shared" si="342"/>
        <v>19.997185197313488</v>
      </c>
      <c r="AP561" s="730">
        <f t="shared" si="343"/>
        <v>-138.11309909561351</v>
      </c>
      <c r="AS561" s="351"/>
      <c r="AT561" s="351"/>
      <c r="AV561" s="405">
        <f t="shared" si="344"/>
        <v>0</v>
      </c>
      <c r="AW561" s="405">
        <f t="shared" si="369"/>
        <v>0</v>
      </c>
      <c r="AX561" s="405">
        <f t="shared" si="345"/>
        <v>0</v>
      </c>
      <c r="AY561" s="405">
        <f t="shared" si="346"/>
        <v>0</v>
      </c>
    </row>
    <row r="562" spans="2:51" ht="13.5" thickBot="1" x14ac:dyDescent="0.25">
      <c r="B562" s="345">
        <v>91732</v>
      </c>
      <c r="C562" s="728" t="str">
        <f t="shared" si="329"/>
        <v>2.16217503399043</v>
      </c>
      <c r="D562" s="728" t="str">
        <f t="shared" si="330"/>
        <v>1+70.1249138094474i</v>
      </c>
      <c r="E562" s="337">
        <f t="shared" si="348"/>
        <v>70.132043580537612</v>
      </c>
      <c r="F562" s="338">
        <f t="shared" si="349"/>
        <v>1.5565370262285643</v>
      </c>
      <c r="G562" s="338" t="str">
        <f t="shared" si="331"/>
        <v>1+0.288184577299099i</v>
      </c>
      <c r="H562" s="337">
        <f t="shared" si="350"/>
        <v>1.0406970503432114</v>
      </c>
      <c r="I562" s="338">
        <f t="shared" si="351"/>
        <v>0.28058202021469486</v>
      </c>
      <c r="J562" s="340">
        <f t="shared" si="332"/>
        <v>1</v>
      </c>
      <c r="K562" s="338">
        <f t="shared" si="352"/>
        <v>1</v>
      </c>
      <c r="L562" s="339">
        <f t="shared" si="353"/>
        <v>0</v>
      </c>
      <c r="M562" s="731" t="str">
        <f t="shared" si="333"/>
        <v>0.626010674488889+1.35483933034527i</v>
      </c>
      <c r="N562" s="338">
        <f t="shared" si="354"/>
        <v>1.4924741122124878</v>
      </c>
      <c r="O562" s="339">
        <f t="shared" si="355"/>
        <v>1.1379625698383586</v>
      </c>
      <c r="P562" s="732" t="str">
        <f t="shared" si="347"/>
        <v>-0.0160528182023947-0.0142988762901432i</v>
      </c>
      <c r="Q562" s="337">
        <f t="shared" si="356"/>
        <v>2.1497693722814876E-2</v>
      </c>
      <c r="R562" s="339">
        <f t="shared" si="357"/>
        <v>-2.4139175758522304</v>
      </c>
      <c r="S562" s="731" t="str">
        <f t="shared" si="334"/>
        <v>6000</v>
      </c>
      <c r="T562" s="337" t="str">
        <f t="shared" si="335"/>
        <v>1+582132.84614418i</v>
      </c>
      <c r="U562" s="346">
        <f t="shared" si="358"/>
        <v>582132.84614503896</v>
      </c>
      <c r="V562" s="347">
        <f t="shared" si="359"/>
        <v>1.5707946089739446</v>
      </c>
      <c r="W562" s="340" t="str">
        <f t="shared" si="336"/>
        <v>1+5763.69154598198i</v>
      </c>
      <c r="X562" s="337">
        <f t="shared" si="360"/>
        <v>5763.6916327319377</v>
      </c>
      <c r="Y562" s="339">
        <f t="shared" si="361"/>
        <v>1.5706228268804776</v>
      </c>
      <c r="Z562" s="337" t="str">
        <f t="shared" si="337"/>
        <v>1+58.0602939213583i</v>
      </c>
      <c r="AA562" s="346">
        <f t="shared" si="362"/>
        <v>58.068905020109653</v>
      </c>
      <c r="AB562" s="347">
        <f t="shared" si="363"/>
        <v>1.5535745549544417</v>
      </c>
      <c r="AC562" s="732" t="str">
        <f t="shared" si="364"/>
        <v>0.0174417206540518-1.02287630461148i</v>
      </c>
      <c r="AD562" s="337">
        <f t="shared" si="365"/>
        <v>1.0230249987928013</v>
      </c>
      <c r="AE562" s="339">
        <f t="shared" si="366"/>
        <v>-1.5537463370479085</v>
      </c>
      <c r="AF562" s="736" t="str">
        <f t="shared" si="338"/>
        <v>-0.0149059705105548+0.0161706503555459i</v>
      </c>
      <c r="AG562" s="337">
        <f t="shared" si="367"/>
        <v>-33.154437649265638</v>
      </c>
      <c r="AH562" s="730">
        <f t="shared" si="368"/>
        <v>132.66960326446008</v>
      </c>
      <c r="AI562" s="360">
        <f t="shared" si="339"/>
        <v>-47.330396735539921</v>
      </c>
      <c r="AL562" s="337">
        <f t="shared" si="340"/>
        <v>0.19772492654265772</v>
      </c>
      <c r="AM562" s="730">
        <f t="shared" si="341"/>
        <v>-89.023107546756265</v>
      </c>
      <c r="AN562" s="351"/>
      <c r="AO562" s="337">
        <f t="shared" si="342"/>
        <v>19.919768622931137</v>
      </c>
      <c r="AP562" s="730">
        <f t="shared" si="343"/>
        <v>-138.30728918878356</v>
      </c>
      <c r="AS562" s="351"/>
      <c r="AT562" s="351"/>
      <c r="AV562" s="405">
        <f t="shared" si="344"/>
        <v>0</v>
      </c>
      <c r="AW562" s="405">
        <f t="shared" si="369"/>
        <v>0</v>
      </c>
      <c r="AX562" s="405">
        <f t="shared" si="345"/>
        <v>0</v>
      </c>
      <c r="AY562" s="405">
        <f t="shared" si="346"/>
        <v>0</v>
      </c>
    </row>
    <row r="563" spans="2:51" ht="13.5" thickBot="1" x14ac:dyDescent="0.25">
      <c r="B563" s="345">
        <v>92263</v>
      </c>
      <c r="C563" s="728" t="str">
        <f t="shared" si="329"/>
        <v>2.16217503399043</v>
      </c>
      <c r="D563" s="728" t="str">
        <f t="shared" si="330"/>
        <v>1+70.5308389962177i</v>
      </c>
      <c r="E563" s="337">
        <f t="shared" si="348"/>
        <v>70.53792773756814</v>
      </c>
      <c r="F563" s="338">
        <f t="shared" si="349"/>
        <v>1.5566190815609116</v>
      </c>
      <c r="G563" s="338" t="str">
        <f t="shared" si="331"/>
        <v>1+0.289852762998155i</v>
      </c>
      <c r="H563" s="337">
        <f t="shared" si="350"/>
        <v>1.0411602298482519</v>
      </c>
      <c r="I563" s="338">
        <f t="shared" si="351"/>
        <v>0.28212160166944006</v>
      </c>
      <c r="J563" s="340">
        <f t="shared" si="332"/>
        <v>1</v>
      </c>
      <c r="K563" s="338">
        <f t="shared" si="352"/>
        <v>1</v>
      </c>
      <c r="L563" s="339">
        <f t="shared" si="353"/>
        <v>0</v>
      </c>
      <c r="M563" s="731" t="str">
        <f t="shared" si="333"/>
        <v>0.621668392488888+1.36268195543153i</v>
      </c>
      <c r="N563" s="338">
        <f t="shared" si="354"/>
        <v>1.4977896053446278</v>
      </c>
      <c r="O563" s="339">
        <f t="shared" si="355"/>
        <v>1.1427906294379917</v>
      </c>
      <c r="P563" s="732" t="str">
        <f t="shared" si="347"/>
        <v>-0.0159585628572993-0.0141187418857074i</v>
      </c>
      <c r="Q563" s="337">
        <f t="shared" si="356"/>
        <v>2.1307618377134536E-2</v>
      </c>
      <c r="R563" s="339">
        <f t="shared" si="357"/>
        <v>-2.4172881093294647</v>
      </c>
      <c r="S563" s="731" t="str">
        <f t="shared" si="334"/>
        <v>6000</v>
      </c>
      <c r="T563" s="337" t="str">
        <f t="shared" si="335"/>
        <v>1+585502.581256273i</v>
      </c>
      <c r="U563" s="346">
        <f t="shared" si="358"/>
        <v>585502.58125712688</v>
      </c>
      <c r="V563" s="347">
        <f t="shared" si="359"/>
        <v>1.5707946188604962</v>
      </c>
      <c r="W563" s="340" t="str">
        <f t="shared" si="336"/>
        <v>1+5797.0552599631i</v>
      </c>
      <c r="X563" s="337">
        <f t="shared" si="360"/>
        <v>5797.0553462137877</v>
      </c>
      <c r="Y563" s="339">
        <f t="shared" si="361"/>
        <v>1.570623825422176</v>
      </c>
      <c r="Z563" s="337" t="str">
        <f t="shared" si="337"/>
        <v>1+58.3963818304003i</v>
      </c>
      <c r="AA563" s="346">
        <f t="shared" si="362"/>
        <v>58.404943377097005</v>
      </c>
      <c r="AB563" s="347">
        <f t="shared" si="363"/>
        <v>1.5536736517578205</v>
      </c>
      <c r="AC563" s="732" t="str">
        <f t="shared" si="364"/>
        <v>0.0172415928684151-1.01699278546061i</v>
      </c>
      <c r="AD563" s="337">
        <f t="shared" si="365"/>
        <v>1.0171389276807621</v>
      </c>
      <c r="AE563" s="339">
        <f t="shared" si="366"/>
        <v>-1.5538444451961411</v>
      </c>
      <c r="AF563" s="736" t="str">
        <f t="shared" si="338"/>
        <v>-0.0146338096810955+0.0159863136927854i</v>
      </c>
      <c r="AG563" s="337">
        <f t="shared" si="367"/>
        <v>-33.281696285276247</v>
      </c>
      <c r="AH563" s="730">
        <f t="shared" si="368"/>
        <v>132.47086473867756</v>
      </c>
      <c r="AI563" s="360">
        <f t="shared" si="339"/>
        <v>-47.529135261322438</v>
      </c>
      <c r="AL563" s="337">
        <f t="shared" si="340"/>
        <v>0.14760551675253036</v>
      </c>
      <c r="AM563" s="730">
        <f t="shared" si="341"/>
        <v>-89.028728729585822</v>
      </c>
      <c r="AN563" s="351"/>
      <c r="AO563" s="337">
        <f t="shared" si="342"/>
        <v>19.842629396710674</v>
      </c>
      <c r="AP563" s="730">
        <f t="shared" si="343"/>
        <v>-138.50040653173664</v>
      </c>
      <c r="AS563" s="351"/>
      <c r="AT563" s="351"/>
      <c r="AV563" s="405">
        <f t="shared" si="344"/>
        <v>0</v>
      </c>
      <c r="AW563" s="405">
        <f t="shared" si="369"/>
        <v>0</v>
      </c>
      <c r="AX563" s="405">
        <f t="shared" si="345"/>
        <v>0</v>
      </c>
      <c r="AY563" s="405">
        <f t="shared" si="346"/>
        <v>0</v>
      </c>
    </row>
    <row r="564" spans="2:51" ht="13.5" thickBot="1" x14ac:dyDescent="0.25">
      <c r="B564" s="345">
        <v>92794</v>
      </c>
      <c r="C564" s="728" t="str">
        <f t="shared" si="329"/>
        <v>2.16217503399043</v>
      </c>
      <c r="D564" s="728" t="str">
        <f t="shared" si="330"/>
        <v>1+70.9367641829881i</v>
      </c>
      <c r="E564" s="337">
        <f t="shared" si="348"/>
        <v>70.94381236410166</v>
      </c>
      <c r="F564" s="338">
        <f t="shared" si="349"/>
        <v>1.5567001979818125</v>
      </c>
      <c r="G564" s="338" t="str">
        <f t="shared" si="331"/>
        <v>1+0.291520948697212i</v>
      </c>
      <c r="H564" s="337">
        <f t="shared" si="350"/>
        <v>1.0416258750287084</v>
      </c>
      <c r="I564" s="338">
        <f t="shared" si="351"/>
        <v>0.28365981026813197</v>
      </c>
      <c r="J564" s="340">
        <f t="shared" si="332"/>
        <v>1</v>
      </c>
      <c r="K564" s="338">
        <f t="shared" si="352"/>
        <v>1</v>
      </c>
      <c r="L564" s="339">
        <f t="shared" si="353"/>
        <v>0</v>
      </c>
      <c r="M564" s="731" t="str">
        <f t="shared" si="333"/>
        <v>0.617301047288888+1.3705245805178i</v>
      </c>
      <c r="N564" s="338">
        <f t="shared" si="354"/>
        <v>1.5031294717313775</v>
      </c>
      <c r="O564" s="339">
        <f t="shared" si="355"/>
        <v>1.1475996338183423</v>
      </c>
      <c r="P564" s="732" t="str">
        <f t="shared" si="347"/>
        <v>-0.0158647821995775-0.0139412527512616i</v>
      </c>
      <c r="Q564" s="337">
        <f t="shared" si="356"/>
        <v>2.1119892104709964E-2</v>
      </c>
      <c r="R564" s="339">
        <f t="shared" si="357"/>
        <v>-2.4206400215320247</v>
      </c>
      <c r="S564" s="731" t="str">
        <f t="shared" si="334"/>
        <v>6000</v>
      </c>
      <c r="T564" s="337" t="str">
        <f t="shared" si="335"/>
        <v>1+588872.316368367i</v>
      </c>
      <c r="U564" s="346">
        <f t="shared" si="358"/>
        <v>588872.31636921619</v>
      </c>
      <c r="V564" s="347">
        <f t="shared" si="359"/>
        <v>1.5707946286338994</v>
      </c>
      <c r="W564" s="340" t="str">
        <f t="shared" si="336"/>
        <v>1+5830.41897394423i</v>
      </c>
      <c r="X564" s="337">
        <f t="shared" si="360"/>
        <v>5830.4190597013603</v>
      </c>
      <c r="Y564" s="339">
        <f t="shared" si="361"/>
        <v>1.5706248125358591</v>
      </c>
      <c r="Z564" s="337" t="str">
        <f t="shared" si="337"/>
        <v>1+58.7324697394423i</v>
      </c>
      <c r="AA564" s="346">
        <f t="shared" si="362"/>
        <v>58.740982301069025</v>
      </c>
      <c r="AB564" s="347">
        <f t="shared" si="363"/>
        <v>1.553771614758056</v>
      </c>
      <c r="AC564" s="732" t="str">
        <f t="shared" si="364"/>
        <v>0.0170448895211989-1.01117654314793i</v>
      </c>
      <c r="AD564" s="337">
        <f t="shared" si="365"/>
        <v>1.0113201914682548</v>
      </c>
      <c r="AE564" s="339">
        <f t="shared" si="366"/>
        <v>-1.5539414308560962</v>
      </c>
      <c r="AF564" s="736" t="str">
        <f t="shared" si="338"/>
        <v>-0.014367481224042+0.0158044685094312i</v>
      </c>
      <c r="AG564" s="337">
        <f t="shared" si="367"/>
        <v>-33.408392532008811</v>
      </c>
      <c r="AH564" s="730">
        <f t="shared" si="368"/>
        <v>132.27325744718385</v>
      </c>
      <c r="AI564" s="360">
        <f t="shared" si="339"/>
        <v>-47.726742552816148</v>
      </c>
      <c r="AL564" s="337">
        <f t="shared" si="340"/>
        <v>9.7773564286731118E-2</v>
      </c>
      <c r="AM564" s="730">
        <f t="shared" si="341"/>
        <v>-89.034285598574542</v>
      </c>
      <c r="AN564" s="351"/>
      <c r="AO564" s="337">
        <f t="shared" si="342"/>
        <v>19.765765102443883</v>
      </c>
      <c r="AP564" s="730">
        <f t="shared" si="343"/>
        <v>-138.69245695424175</v>
      </c>
      <c r="AS564" s="351"/>
      <c r="AT564" s="351"/>
      <c r="AV564" s="405">
        <f t="shared" si="344"/>
        <v>0</v>
      </c>
      <c r="AW564" s="405">
        <f t="shared" si="369"/>
        <v>0</v>
      </c>
      <c r="AX564" s="405">
        <f t="shared" si="345"/>
        <v>0</v>
      </c>
      <c r="AY564" s="405">
        <f t="shared" si="346"/>
        <v>0</v>
      </c>
    </row>
    <row r="565" spans="2:51" ht="13.5" thickBot="1" x14ac:dyDescent="0.25">
      <c r="B565" s="345">
        <v>93325</v>
      </c>
      <c r="C565" s="728" t="str">
        <f t="shared" si="329"/>
        <v>2.16217503399043</v>
      </c>
      <c r="D565" s="728" t="str">
        <f t="shared" si="330"/>
        <v>1+71.3426893697584i</v>
      </c>
      <c r="E565" s="337">
        <f t="shared" si="348"/>
        <v>71.349697452125469</v>
      </c>
      <c r="F565" s="338">
        <f t="shared" si="349"/>
        <v>1.5567803915136709</v>
      </c>
      <c r="G565" s="338" t="str">
        <f t="shared" si="331"/>
        <v>1+0.293189134396267i</v>
      </c>
      <c r="H565" s="337">
        <f t="shared" si="350"/>
        <v>1.0420939825793221</v>
      </c>
      <c r="I565" s="338">
        <f t="shared" si="351"/>
        <v>0.28519664057692173</v>
      </c>
      <c r="J565" s="340">
        <f t="shared" si="332"/>
        <v>1</v>
      </c>
      <c r="K565" s="338">
        <f t="shared" si="352"/>
        <v>1</v>
      </c>
      <c r="L565" s="339">
        <f t="shared" si="353"/>
        <v>0</v>
      </c>
      <c r="M565" s="731" t="str">
        <f t="shared" si="333"/>
        <v>0.612908638888889+1.37836720560406i</v>
      </c>
      <c r="N565" s="338">
        <f t="shared" si="354"/>
        <v>1.5084936702251603</v>
      </c>
      <c r="O565" s="339">
        <f t="shared" si="355"/>
        <v>1.152389663056544</v>
      </c>
      <c r="P565" s="732" t="str">
        <f t="shared" si="347"/>
        <v>-0.0157714785684845-0.0137663639623988i</v>
      </c>
      <c r="Q565" s="337">
        <f t="shared" si="356"/>
        <v>2.0934476658884937E-2</v>
      </c>
      <c r="R565" s="339">
        <f t="shared" si="357"/>
        <v>-2.4239734139932905</v>
      </c>
      <c r="S565" s="731" t="str">
        <f t="shared" si="334"/>
        <v>6000</v>
      </c>
      <c r="T565" s="337" t="str">
        <f t="shared" si="335"/>
        <v>1+592242.05148046i</v>
      </c>
      <c r="U565" s="346">
        <f t="shared" si="358"/>
        <v>592242.05148130422</v>
      </c>
      <c r="V565" s="347">
        <f t="shared" si="359"/>
        <v>1.5707946382960851</v>
      </c>
      <c r="W565" s="340" t="str">
        <f t="shared" si="336"/>
        <v>1+5863.78268792535i</v>
      </c>
      <c r="X565" s="337">
        <f t="shared" si="360"/>
        <v>5863.782773194539</v>
      </c>
      <c r="Y565" s="339">
        <f t="shared" si="361"/>
        <v>1.5706257884165962</v>
      </c>
      <c r="Z565" s="337" t="str">
        <f t="shared" si="337"/>
        <v>1+59.0685576484843i</v>
      </c>
      <c r="AA565" s="346">
        <f t="shared" si="362"/>
        <v>59.077021782350478</v>
      </c>
      <c r="AB565" s="347">
        <f t="shared" si="363"/>
        <v>1.5538684633010085</v>
      </c>
      <c r="AC565" s="732" t="str">
        <f t="shared" si="364"/>
        <v>0.0168515329344866-1.00542643061449i</v>
      </c>
      <c r="AD565" s="337">
        <f t="shared" si="365"/>
        <v>1.0055676414545349</v>
      </c>
      <c r="AE565" s="339">
        <f t="shared" si="366"/>
        <v>-1.5540373131804976</v>
      </c>
      <c r="AF565" s="736" t="str">
        <f t="shared" si="338"/>
        <v>-0.0141068397717769+0.0156250770669238i</v>
      </c>
      <c r="AG565" s="337">
        <f t="shared" si="367"/>
        <v>-33.534532039858547</v>
      </c>
      <c r="AH565" s="730">
        <f t="shared" si="368"/>
        <v>132.07677447517429</v>
      </c>
      <c r="AI565" s="360">
        <f t="shared" si="339"/>
        <v>-47.92322552482571</v>
      </c>
      <c r="AL565" s="337">
        <f t="shared" si="340"/>
        <v>4.822579149267027E-2</v>
      </c>
      <c r="AM565" s="730">
        <f t="shared" si="341"/>
        <v>-89.039779251092654</v>
      </c>
      <c r="AN565" s="351"/>
      <c r="AO565" s="337">
        <f t="shared" si="342"/>
        <v>19.689173367388225</v>
      </c>
      <c r="AP565" s="730">
        <f t="shared" si="343"/>
        <v>-138.88344627373297</v>
      </c>
      <c r="AS565" s="351"/>
      <c r="AT565" s="351"/>
      <c r="AV565" s="405">
        <f t="shared" si="344"/>
        <v>0</v>
      </c>
      <c r="AW565" s="405">
        <f t="shared" si="369"/>
        <v>0</v>
      </c>
      <c r="AX565" s="405">
        <f t="shared" si="345"/>
        <v>93325</v>
      </c>
      <c r="AY565" s="405">
        <f t="shared" si="346"/>
        <v>-89.039779251092654</v>
      </c>
    </row>
    <row r="566" spans="2:51" ht="13.5" thickBot="1" x14ac:dyDescent="0.25">
      <c r="B566" s="345">
        <v>93868.5</v>
      </c>
      <c r="C566" s="728" t="str">
        <f t="shared" si="329"/>
        <v>2.16217503399043</v>
      </c>
      <c r="D566" s="728" t="str">
        <f t="shared" si="330"/>
        <v>1+71.7581702341834i</v>
      </c>
      <c r="E566" s="337">
        <f t="shared" si="348"/>
        <v>71.76513774360113</v>
      </c>
      <c r="F566" s="338">
        <f t="shared" si="349"/>
        <v>1.5568615334502001</v>
      </c>
      <c r="G566" s="338" t="str">
        <f t="shared" si="331"/>
        <v>1+0.294896590003493i</v>
      </c>
      <c r="H566" s="337">
        <f t="shared" si="350"/>
        <v>1.0425756561495614</v>
      </c>
      <c r="I566" s="338">
        <f t="shared" si="351"/>
        <v>0.28676821564963578</v>
      </c>
      <c r="J566" s="340">
        <f t="shared" si="332"/>
        <v>1</v>
      </c>
      <c r="K566" s="338">
        <f t="shared" si="352"/>
        <v>1</v>
      </c>
      <c r="L566" s="339">
        <f t="shared" si="353"/>
        <v>0</v>
      </c>
      <c r="M566" s="731" t="str">
        <f t="shared" si="333"/>
        <v>0.6083868759+1.38639444992494i</v>
      </c>
      <c r="N566" s="338">
        <f t="shared" si="354"/>
        <v>1.5140093003512363</v>
      </c>
      <c r="O566" s="339">
        <f t="shared" si="355"/>
        <v>1.1572728852633478</v>
      </c>
      <c r="P566" s="732" t="str">
        <f t="shared" si="347"/>
        <v>-0.0156764747885636-0.0135900051482098i</v>
      </c>
      <c r="Q566" s="337">
        <f t="shared" si="356"/>
        <v>2.0747050434334974E-2</v>
      </c>
      <c r="R566" s="339">
        <f t="shared" si="357"/>
        <v>-2.4273662030639138</v>
      </c>
      <c r="S566" s="731" t="str">
        <f t="shared" si="334"/>
        <v>6000</v>
      </c>
      <c r="T566" s="337" t="str">
        <f t="shared" si="335"/>
        <v>1+595691.111807057i</v>
      </c>
      <c r="U566" s="346">
        <f t="shared" si="358"/>
        <v>595691.11180789641</v>
      </c>
      <c r="V566" s="347">
        <f t="shared" si="359"/>
        <v>1.5707946480725181</v>
      </c>
      <c r="W566" s="340" t="str">
        <f t="shared" si="336"/>
        <v>1+5897.93180006987i</v>
      </c>
      <c r="X566" s="337">
        <f t="shared" si="360"/>
        <v>5897.9318848453495</v>
      </c>
      <c r="Y566" s="339">
        <f t="shared" si="361"/>
        <v>1.5706267758363037</v>
      </c>
      <c r="Z566" s="337" t="str">
        <f t="shared" si="337"/>
        <v>1+59.4125572314679i</v>
      </c>
      <c r="AA566" s="346">
        <f t="shared" si="362"/>
        <v>59.420972364834689</v>
      </c>
      <c r="AB566" s="347">
        <f t="shared" si="363"/>
        <v>1.5539664573198961</v>
      </c>
      <c r="AC566" s="732" t="str">
        <f t="shared" si="364"/>
        <v>0.016657011728595-0.999608270818824i</v>
      </c>
      <c r="AD566" s="337">
        <f t="shared" si="365"/>
        <v>0.99974704357108557</v>
      </c>
      <c r="AE566" s="339">
        <f t="shared" si="366"/>
        <v>-1.5541343295561105</v>
      </c>
      <c r="AF566" s="736" t="str">
        <f t="shared" si="338"/>
        <v>-0.013845804771037+0.0154439649807856i</v>
      </c>
      <c r="AG566" s="337">
        <f t="shared" si="367"/>
        <v>-33.663070175970084</v>
      </c>
      <c r="AH566" s="730">
        <f t="shared" si="368"/>
        <v>131.87682335178306</v>
      </c>
      <c r="AI566" s="360">
        <f t="shared" si="339"/>
        <v>-48.123176648216941</v>
      </c>
      <c r="AL566" s="337">
        <f t="shared" si="340"/>
        <v>-2.1974295634760877E-3</v>
      </c>
      <c r="AM566" s="730">
        <f t="shared" si="341"/>
        <v>-89.045337879958922</v>
      </c>
      <c r="AN566" s="351"/>
      <c r="AO566" s="337">
        <f t="shared" si="342"/>
        <v>19.61105845233282</v>
      </c>
      <c r="AP566" s="730">
        <f t="shared" si="343"/>
        <v>-139.07783876825781</v>
      </c>
      <c r="AS566" s="351"/>
      <c r="AT566" s="351"/>
      <c r="AV566" s="405">
        <f t="shared" si="344"/>
        <v>0</v>
      </c>
      <c r="AW566" s="405">
        <f t="shared" si="369"/>
        <v>0</v>
      </c>
      <c r="AX566" s="405">
        <f t="shared" si="345"/>
        <v>0</v>
      </c>
      <c r="AY566" s="405">
        <f t="shared" si="346"/>
        <v>0</v>
      </c>
    </row>
    <row r="567" spans="2:51" ht="13.5" thickBot="1" x14ac:dyDescent="0.25">
      <c r="B567" s="345">
        <v>94412</v>
      </c>
      <c r="C567" s="728" t="str">
        <f t="shared" si="329"/>
        <v>2.16217503399043</v>
      </c>
      <c r="D567" s="728" t="str">
        <f t="shared" si="330"/>
        <v>1+72.1736510986084i</v>
      </c>
      <c r="E567" s="337">
        <f t="shared" si="348"/>
        <v>72.180578502140435</v>
      </c>
      <c r="F567" s="338">
        <f t="shared" si="349"/>
        <v>1.5569417413501925</v>
      </c>
      <c r="G567" s="338" t="str">
        <f t="shared" si="331"/>
        <v>1+0.296604045610719i</v>
      </c>
      <c r="H567" s="337">
        <f t="shared" si="350"/>
        <v>1.0430599023414933</v>
      </c>
      <c r="I567" s="338">
        <f t="shared" si="351"/>
        <v>0.28833833537288711</v>
      </c>
      <c r="J567" s="340">
        <f t="shared" si="332"/>
        <v>1</v>
      </c>
      <c r="K567" s="338">
        <f t="shared" si="352"/>
        <v>1</v>
      </c>
      <c r="L567" s="339">
        <f t="shared" si="353"/>
        <v>0</v>
      </c>
      <c r="M567" s="731" t="str">
        <f t="shared" si="333"/>
        <v>0.603838855822222+1.39442169424582i</v>
      </c>
      <c r="N567" s="338">
        <f t="shared" si="354"/>
        <v>1.5195503365088219</v>
      </c>
      <c r="O567" s="339">
        <f t="shared" si="355"/>
        <v>1.1621363987427966</v>
      </c>
      <c r="P567" s="732" t="str">
        <f t="shared" si="347"/>
        <v>-0.0155819751723539-0.0134162781734178i</v>
      </c>
      <c r="Q567" s="337">
        <f t="shared" si="356"/>
        <v>2.0561966596081713E-2</v>
      </c>
      <c r="R567" s="339">
        <f t="shared" si="357"/>
        <v>-2.4307398047201034</v>
      </c>
      <c r="S567" s="731" t="str">
        <f t="shared" si="334"/>
        <v>6000</v>
      </c>
      <c r="T567" s="337" t="str">
        <f t="shared" si="335"/>
        <v>1+599140.172133653i</v>
      </c>
      <c r="U567" s="346">
        <f t="shared" si="358"/>
        <v>599140.17213448754</v>
      </c>
      <c r="V567" s="347">
        <f t="shared" si="359"/>
        <v>1.5707946577363916</v>
      </c>
      <c r="W567" s="340" t="str">
        <f t="shared" si="336"/>
        <v>1+5932.08091221439i</v>
      </c>
      <c r="X567" s="337">
        <f t="shared" si="360"/>
        <v>5932.0809965018443</v>
      </c>
      <c r="Y567" s="339">
        <f t="shared" si="361"/>
        <v>1.5706277518874863</v>
      </c>
      <c r="Z567" s="337" t="str">
        <f t="shared" si="337"/>
        <v>1+59.7565568144516i</v>
      </c>
      <c r="AA567" s="346">
        <f t="shared" si="362"/>
        <v>59.764923511360593</v>
      </c>
      <c r="AB567" s="347">
        <f t="shared" si="363"/>
        <v>1.554063323415392</v>
      </c>
      <c r="AC567" s="732" t="str">
        <f t="shared" si="364"/>
        <v>0.0164658389808569-0.993857041596894i</v>
      </c>
      <c r="AD567" s="337">
        <f t="shared" si="365"/>
        <v>0.993993432063348</v>
      </c>
      <c r="AE567" s="339">
        <f t="shared" si="366"/>
        <v>-1.5542302292642973</v>
      </c>
      <c r="AF567" s="736" t="str">
        <f t="shared" si="338"/>
        <v>-0.0135904328288657+0.015265345470906i</v>
      </c>
      <c r="AG567" s="337">
        <f t="shared" si="367"/>
        <v>-33.791036719342607</v>
      </c>
      <c r="AH567" s="730">
        <f t="shared" si="368"/>
        <v>131.67803556658964</v>
      </c>
      <c r="AI567" s="360">
        <f t="shared" si="339"/>
        <v>-48.321964433410358</v>
      </c>
      <c r="AL567" s="337">
        <f t="shared" si="340"/>
        <v>-5.232970497263293E-2</v>
      </c>
      <c r="AM567" s="730">
        <f t="shared" si="341"/>
        <v>-89.050832528494567</v>
      </c>
      <c r="AN567" s="351"/>
      <c r="AO567" s="337">
        <f t="shared" si="342"/>
        <v>19.533224184369463</v>
      </c>
      <c r="AP567" s="730">
        <f t="shared" si="343"/>
        <v>-139.27113190491582</v>
      </c>
      <c r="AS567" s="351"/>
      <c r="AT567" s="351"/>
      <c r="AV567" s="405">
        <f t="shared" si="344"/>
        <v>0</v>
      </c>
      <c r="AW567" s="405">
        <f t="shared" si="369"/>
        <v>0</v>
      </c>
      <c r="AX567" s="405">
        <f t="shared" si="345"/>
        <v>0</v>
      </c>
      <c r="AY567" s="405">
        <f t="shared" si="346"/>
        <v>0</v>
      </c>
    </row>
    <row r="568" spans="2:51" ht="13.5" thickBot="1" x14ac:dyDescent="0.25">
      <c r="B568" s="345">
        <v>94955.5</v>
      </c>
      <c r="C568" s="728" t="str">
        <f t="shared" si="329"/>
        <v>2.16217503399043</v>
      </c>
      <c r="D568" s="728" t="str">
        <f t="shared" si="330"/>
        <v>1+72.5891319630334i</v>
      </c>
      <c r="E568" s="337">
        <f t="shared" si="348"/>
        <v>72.596019719724822</v>
      </c>
      <c r="F568" s="338">
        <f t="shared" si="349"/>
        <v>1.5570210312480846</v>
      </c>
      <c r="G568" s="338" t="str">
        <f t="shared" si="331"/>
        <v>1+0.298311501217945i</v>
      </c>
      <c r="H568" s="337">
        <f t="shared" si="350"/>
        <v>1.043546717573729</v>
      </c>
      <c r="I568" s="338">
        <f t="shared" si="351"/>
        <v>0.28990699403654219</v>
      </c>
      <c r="J568" s="340">
        <f t="shared" si="332"/>
        <v>1</v>
      </c>
      <c r="K568" s="338">
        <f t="shared" si="352"/>
        <v>1</v>
      </c>
      <c r="L568" s="339">
        <f t="shared" si="353"/>
        <v>0</v>
      </c>
      <c r="M568" s="731" t="str">
        <f t="shared" si="333"/>
        <v>0.599264578655556+1.40244893856669i</v>
      </c>
      <c r="N568" s="338">
        <f t="shared" si="354"/>
        <v>1.5251167366854435</v>
      </c>
      <c r="O568" s="339">
        <f t="shared" si="355"/>
        <v>1.1669802898692818</v>
      </c>
      <c r="P568" s="732" t="str">
        <f t="shared" si="347"/>
        <v>-0.0154879816860911-0.0132451377212434i</v>
      </c>
      <c r="Q568" s="337">
        <f t="shared" si="356"/>
        <v>2.0379186685523003E-2</v>
      </c>
      <c r="R568" s="339">
        <f t="shared" si="357"/>
        <v>-2.434094327080822</v>
      </c>
      <c r="S568" s="731" t="str">
        <f t="shared" si="334"/>
        <v>6000</v>
      </c>
      <c r="T568" s="337" t="str">
        <f t="shared" si="335"/>
        <v>1+602589.23246025i</v>
      </c>
      <c r="U568" s="346">
        <f t="shared" si="358"/>
        <v>602589.23246107984</v>
      </c>
      <c r="V568" s="347">
        <f t="shared" si="359"/>
        <v>1.570794667289638</v>
      </c>
      <c r="W568" s="340" t="str">
        <f t="shared" si="336"/>
        <v>1+5966.23002435891i</v>
      </c>
      <c r="X568" s="337">
        <f t="shared" si="360"/>
        <v>5966.2301081639253</v>
      </c>
      <c r="Y568" s="339">
        <f t="shared" si="361"/>
        <v>1.570628716765355</v>
      </c>
      <c r="Z568" s="337" t="str">
        <f t="shared" si="337"/>
        <v>1+60.1005563974353i</v>
      </c>
      <c r="AA568" s="346">
        <f t="shared" si="362"/>
        <v>60.108875212245493</v>
      </c>
      <c r="AB568" s="347">
        <f t="shared" si="363"/>
        <v>1.5541590809480861</v>
      </c>
      <c r="AC568" s="732" t="str">
        <f t="shared" si="364"/>
        <v>0.0162779382838307-0.988171594941672i</v>
      </c>
      <c r="AD568" s="337">
        <f t="shared" si="365"/>
        <v>0.98830565733701037</v>
      </c>
      <c r="AE568" s="339">
        <f t="shared" si="366"/>
        <v>-1.5543250314723693</v>
      </c>
      <c r="AF568" s="736" t="str">
        <f t="shared" si="338"/>
        <v>-0.0133405812772505+0.0150891800307848i</v>
      </c>
      <c r="AG568" s="337">
        <f t="shared" si="367"/>
        <v>-33.918437417596941</v>
      </c>
      <c r="AH568" s="730">
        <f t="shared" si="368"/>
        <v>131.4804038266272</v>
      </c>
      <c r="AI568" s="360">
        <f t="shared" si="339"/>
        <v>-48.519596173372804</v>
      </c>
      <c r="AL568" s="337">
        <f t="shared" si="340"/>
        <v>-0.10217437210654857</v>
      </c>
      <c r="AM568" s="730">
        <f t="shared" si="341"/>
        <v>-89.056264294905617</v>
      </c>
      <c r="AN568" s="351"/>
      <c r="AO568" s="337">
        <f t="shared" si="342"/>
        <v>19.455668153249039</v>
      </c>
      <c r="AP568" s="730">
        <f t="shared" si="343"/>
        <v>-139.46333187846727</v>
      </c>
      <c r="AS568" s="351"/>
      <c r="AT568" s="351"/>
      <c r="AV568" s="405">
        <f t="shared" si="344"/>
        <v>0</v>
      </c>
      <c r="AW568" s="405">
        <f t="shared" si="369"/>
        <v>0</v>
      </c>
      <c r="AX568" s="405">
        <f t="shared" si="345"/>
        <v>0</v>
      </c>
      <c r="AY568" s="405">
        <f t="shared" si="346"/>
        <v>0</v>
      </c>
    </row>
    <row r="569" spans="2:51" ht="13.5" thickBot="1" x14ac:dyDescent="0.25">
      <c r="B569" s="345">
        <v>95499</v>
      </c>
      <c r="C569" s="728" t="str">
        <f t="shared" si="329"/>
        <v>2.16217503399043</v>
      </c>
      <c r="D569" s="728" t="str">
        <f t="shared" si="330"/>
        <v>1+73.0046128274584i</v>
      </c>
      <c r="E569" s="337">
        <f t="shared" si="348"/>
        <v>73.011461388518342</v>
      </c>
      <c r="F569" s="338">
        <f t="shared" si="349"/>
        <v>1.5570994188134097</v>
      </c>
      <c r="G569" s="338" t="str">
        <f t="shared" si="331"/>
        <v>1+0.300018956825171i</v>
      </c>
      <c r="H569" s="337">
        <f t="shared" si="350"/>
        <v>1.0440360982525765</v>
      </c>
      <c r="I569" s="338">
        <f t="shared" si="351"/>
        <v>0.29147418596985136</v>
      </c>
      <c r="J569" s="340">
        <f t="shared" si="332"/>
        <v>1</v>
      </c>
      <c r="K569" s="338">
        <f t="shared" si="352"/>
        <v>1</v>
      </c>
      <c r="L569" s="339">
        <f t="shared" si="353"/>
        <v>0</v>
      </c>
      <c r="M569" s="731" t="str">
        <f t="shared" si="333"/>
        <v>0.594664044400001+1.41047618288757i</v>
      </c>
      <c r="N569" s="338">
        <f t="shared" si="354"/>
        <v>1.5307084595687244</v>
      </c>
      <c r="O569" s="339">
        <f t="shared" si="355"/>
        <v>1.171804645149028</v>
      </c>
      <c r="P569" s="732" t="str">
        <f t="shared" si="347"/>
        <v>-0.0153944961239246-0.0130765393905894i</v>
      </c>
      <c r="Q569" s="337">
        <f t="shared" si="356"/>
        <v>2.0198673058970131E-2</v>
      </c>
      <c r="R569" s="339">
        <f t="shared" si="357"/>
        <v>-2.4374298779925856</v>
      </c>
      <c r="S569" s="731" t="str">
        <f t="shared" si="334"/>
        <v>6000</v>
      </c>
      <c r="T569" s="337" t="str">
        <f t="shared" si="335"/>
        <v>1+606038.292786847i</v>
      </c>
      <c r="U569" s="346">
        <f t="shared" si="358"/>
        <v>606038.29278767202</v>
      </c>
      <c r="V569" s="347">
        <f t="shared" si="359"/>
        <v>1.5707946767341465</v>
      </c>
      <c r="W569" s="340" t="str">
        <f t="shared" si="336"/>
        <v>1+6000.37913650343i</v>
      </c>
      <c r="X569" s="337">
        <f t="shared" si="360"/>
        <v>6000.3792198314977</v>
      </c>
      <c r="Y569" s="339">
        <f t="shared" si="361"/>
        <v>1.570629670660677</v>
      </c>
      <c r="Z569" s="337" t="str">
        <f t="shared" si="337"/>
        <v>1+60.4445559804189i</v>
      </c>
      <c r="AA569" s="346">
        <f t="shared" si="362"/>
        <v>60.452827458027095</v>
      </c>
      <c r="AB569" s="347">
        <f t="shared" si="363"/>
        <v>1.5542537488380352</v>
      </c>
      <c r="AC569" s="732" t="str">
        <f t="shared" si="364"/>
        <v>0.0160932353969075-0.982550808944256i</v>
      </c>
      <c r="AD569" s="337">
        <f t="shared" si="365"/>
        <v>0.98268259594975627</v>
      </c>
      <c r="AE569" s="339">
        <f t="shared" si="366"/>
        <v>-1.5544187549115047</v>
      </c>
      <c r="AF569" s="736" t="str">
        <f t="shared" si="338"/>
        <v>-0.0130961116063541+0.0149154307932616i</v>
      </c>
      <c r="AG569" s="337">
        <f t="shared" si="367"/>
        <v>-34.045277918458765</v>
      </c>
      <c r="AH569" s="730">
        <f t="shared" si="368"/>
        <v>131.28392087952813</v>
      </c>
      <c r="AI569" s="360">
        <f t="shared" si="339"/>
        <v>-48.716079120471875</v>
      </c>
      <c r="AL569" s="337">
        <f t="shared" si="340"/>
        <v>-0.15173471125658466</v>
      </c>
      <c r="AM569" s="730">
        <f t="shared" si="341"/>
        <v>-89.061634252409519</v>
      </c>
      <c r="AN569" s="351"/>
      <c r="AO569" s="337">
        <f t="shared" si="342"/>
        <v>19.378387991537277</v>
      </c>
      <c r="AP569" s="730">
        <f t="shared" si="343"/>
        <v>-139.65444486806231</v>
      </c>
      <c r="AS569" s="351"/>
      <c r="AT569" s="351"/>
      <c r="AV569" s="405">
        <f t="shared" si="344"/>
        <v>0</v>
      </c>
      <c r="AW569" s="405">
        <f t="shared" si="369"/>
        <v>0</v>
      </c>
      <c r="AX569" s="405">
        <f t="shared" si="345"/>
        <v>0</v>
      </c>
      <c r="AY569" s="405">
        <f t="shared" si="346"/>
        <v>0</v>
      </c>
    </row>
    <row r="570" spans="2:51" ht="13.5" thickBot="1" x14ac:dyDescent="0.25">
      <c r="B570" s="345">
        <v>96611.5</v>
      </c>
      <c r="C570" s="728" t="str">
        <f t="shared" si="329"/>
        <v>2.16217503399043</v>
      </c>
      <c r="D570" s="728" t="str">
        <f t="shared" si="330"/>
        <v>1+73.855068138724i</v>
      </c>
      <c r="E570" s="337">
        <f t="shared" si="348"/>
        <v>73.861837844556533</v>
      </c>
      <c r="F570" s="338">
        <f t="shared" si="349"/>
        <v>1.5572571219563178</v>
      </c>
      <c r="G570" s="338" t="str">
        <f t="shared" si="331"/>
        <v>1+0.30351397865229i</v>
      </c>
      <c r="H570" s="337">
        <f t="shared" si="350"/>
        <v>1.0450458053297678</v>
      </c>
      <c r="I570" s="338">
        <f t="shared" si="351"/>
        <v>0.29467750204930693</v>
      </c>
      <c r="J570" s="340">
        <f t="shared" si="332"/>
        <v>1</v>
      </c>
      <c r="K570" s="338">
        <f t="shared" si="352"/>
        <v>1</v>
      </c>
      <c r="L570" s="339">
        <f t="shared" si="353"/>
        <v>0</v>
      </c>
      <c r="M570" s="731" t="str">
        <f t="shared" si="333"/>
        <v>0.585165247455555+1.42690729476793i</v>
      </c>
      <c r="N570" s="338">
        <f t="shared" si="354"/>
        <v>1.5422330545970195</v>
      </c>
      <c r="O570" s="339">
        <f t="shared" si="355"/>
        <v>1.181619149376488</v>
      </c>
      <c r="P570" s="732" t="str">
        <f t="shared" si="347"/>
        <v>-0.0152047294080462-0.0127391776902693i</v>
      </c>
      <c r="Q570" s="337">
        <f t="shared" si="356"/>
        <v>1.983608944817904E-2</v>
      </c>
      <c r="R570" s="339">
        <f t="shared" si="357"/>
        <v>-2.4441987692834961</v>
      </c>
      <c r="S570" s="731" t="str">
        <f t="shared" si="334"/>
        <v>6000</v>
      </c>
      <c r="T570" s="337" t="str">
        <f t="shared" si="335"/>
        <v>1+613098.236877627i</v>
      </c>
      <c r="U570" s="346">
        <f t="shared" si="358"/>
        <v>613098.23687844246</v>
      </c>
      <c r="V570" s="347">
        <f t="shared" si="359"/>
        <v>1.5707946957349133</v>
      </c>
      <c r="W570" s="340" t="str">
        <f t="shared" si="336"/>
        <v>1+6070.27957304581i</v>
      </c>
      <c r="X570" s="337">
        <f t="shared" si="360"/>
        <v>6070.2796554143388</v>
      </c>
      <c r="Y570" s="339">
        <f t="shared" si="361"/>
        <v>1.570631589738074</v>
      </c>
      <c r="Z570" s="337" t="str">
        <f t="shared" si="337"/>
        <v>1+61.1486949612273i</v>
      </c>
      <c r="AA570" s="346">
        <f t="shared" si="362"/>
        <v>61.156871203988388</v>
      </c>
      <c r="AB570" s="347">
        <f t="shared" si="363"/>
        <v>1.5544442056511314</v>
      </c>
      <c r="AC570" s="732" t="str">
        <f t="shared" si="364"/>
        <v>0.0157248344788651-0.971242572111186i</v>
      </c>
      <c r="AD570" s="337">
        <f t="shared" si="365"/>
        <v>0.97136985968298406</v>
      </c>
      <c r="AE570" s="339">
        <f t="shared" si="366"/>
        <v>-1.5546073116479706</v>
      </c>
      <c r="AF570" s="736" t="str">
        <f t="shared" si="338"/>
        <v>-0.0126119235597161+0.014567159037949i</v>
      </c>
      <c r="AG570" s="337">
        <f t="shared" si="367"/>
        <v>-34.303186364379741</v>
      </c>
      <c r="AH570" s="730">
        <f t="shared" si="368"/>
        <v>130.88528847137803</v>
      </c>
      <c r="AI570" s="360">
        <f t="shared" si="339"/>
        <v>-49.114711528621967</v>
      </c>
      <c r="AL570" s="337">
        <f t="shared" si="340"/>
        <v>-0.25230752470128076</v>
      </c>
      <c r="AM570" s="730">
        <f t="shared" si="341"/>
        <v>-89.072437757607787</v>
      </c>
      <c r="AN570" s="351"/>
      <c r="AO570" s="337">
        <f t="shared" si="342"/>
        <v>19.221052359060977</v>
      </c>
      <c r="AP570" s="730">
        <f t="shared" si="343"/>
        <v>-140.04227377101438</v>
      </c>
      <c r="AS570" s="351"/>
      <c r="AT570" s="351"/>
      <c r="AV570" s="405">
        <f t="shared" si="344"/>
        <v>0</v>
      </c>
      <c r="AW570" s="405">
        <f t="shared" si="369"/>
        <v>0</v>
      </c>
      <c r="AX570" s="405">
        <f t="shared" si="345"/>
        <v>0</v>
      </c>
      <c r="AY570" s="405">
        <f t="shared" si="346"/>
        <v>0</v>
      </c>
    </row>
    <row r="571" spans="2:51" ht="13.5" thickBot="1" x14ac:dyDescent="0.25">
      <c r="B571" s="345">
        <v>97724</v>
      </c>
      <c r="C571" s="728" t="str">
        <f t="shared" si="329"/>
        <v>2.16217503399043</v>
      </c>
      <c r="D571" s="728" t="str">
        <f t="shared" si="330"/>
        <v>1+74.7055234499895i</v>
      </c>
      <c r="E571" s="337">
        <f t="shared" si="348"/>
        <v>74.712216095742534</v>
      </c>
      <c r="F571" s="338">
        <f t="shared" si="349"/>
        <v>1.5574112351325671</v>
      </c>
      <c r="G571" s="338" t="str">
        <f t="shared" si="331"/>
        <v>1+0.307009000479409i</v>
      </c>
      <c r="H571" s="337">
        <f t="shared" si="350"/>
        <v>1.0460662151008251</v>
      </c>
      <c r="I571" s="338">
        <f t="shared" si="351"/>
        <v>0.2978746013826063</v>
      </c>
      <c r="J571" s="340">
        <f t="shared" si="332"/>
        <v>1</v>
      </c>
      <c r="K571" s="338">
        <f t="shared" si="352"/>
        <v>1</v>
      </c>
      <c r="L571" s="339">
        <f t="shared" si="353"/>
        <v>0</v>
      </c>
      <c r="M571" s="731" t="str">
        <f t="shared" si="333"/>
        <v>0.575556436622222+1.44333840664829i</v>
      </c>
      <c r="N571" s="338">
        <f t="shared" si="354"/>
        <v>1.5538632397490115</v>
      </c>
      <c r="O571" s="339">
        <f t="shared" si="355"/>
        <v>1.1913529078818343</v>
      </c>
      <c r="P571" s="732" t="str">
        <f t="shared" si="347"/>
        <v>-0.0150171093427771-0.0124119239346441i</v>
      </c>
      <c r="Q571" s="337">
        <f t="shared" si="356"/>
        <v>1.948254164046145E-2</v>
      </c>
      <c r="R571" s="339">
        <f t="shared" si="357"/>
        <v>-2.4508895416317942</v>
      </c>
      <c r="S571" s="731" t="str">
        <f t="shared" si="334"/>
        <v>6000</v>
      </c>
      <c r="T571" s="337" t="str">
        <f t="shared" si="335"/>
        <v>1+620158.180968406i</v>
      </c>
      <c r="U571" s="346">
        <f t="shared" si="358"/>
        <v>620158.18096921232</v>
      </c>
      <c r="V571" s="347">
        <f t="shared" si="359"/>
        <v>1.5707947143030667</v>
      </c>
      <c r="W571" s="340" t="str">
        <f t="shared" si="336"/>
        <v>1+6140.18000958818i</v>
      </c>
      <c r="X571" s="337">
        <f t="shared" si="360"/>
        <v>6140.1800910190168</v>
      </c>
      <c r="Y571" s="339">
        <f t="shared" si="361"/>
        <v>1.5706334651215259</v>
      </c>
      <c r="Z571" s="337" t="str">
        <f t="shared" si="337"/>
        <v>1+61.8528339420357i</v>
      </c>
      <c r="AA571" s="346">
        <f t="shared" si="362"/>
        <v>61.860917117846256</v>
      </c>
      <c r="AB571" s="347">
        <f t="shared" si="363"/>
        <v>1.5546303272509008</v>
      </c>
      <c r="AC571" s="732" t="str">
        <f t="shared" si="364"/>
        <v>0.0153689391636905-0.96019160134197i</v>
      </c>
      <c r="AD571" s="337">
        <f t="shared" si="365"/>
        <v>0.96031459198466518</v>
      </c>
      <c r="AE571" s="339">
        <f t="shared" si="366"/>
        <v>-1.5547915764324416</v>
      </c>
      <c r="AF571" s="736" t="str">
        <f t="shared" si="338"/>
        <v>-0.0121486221584443+0.0142285441635127i</v>
      </c>
      <c r="AG571" s="337">
        <f t="shared" si="367"/>
        <v>-34.558817176802407</v>
      </c>
      <c r="AH571" s="730">
        <f t="shared" si="368"/>
        <v>130.49137785967451</v>
      </c>
      <c r="AI571" s="360">
        <f t="shared" si="339"/>
        <v>-49.508622140325485</v>
      </c>
      <c r="AL571" s="337">
        <f t="shared" si="340"/>
        <v>-0.35172943958815073</v>
      </c>
      <c r="AM571" s="730">
        <f t="shared" si="341"/>
        <v>-89.082995352070853</v>
      </c>
      <c r="AN571" s="351"/>
      <c r="AO571" s="337">
        <f t="shared" si="342"/>
        <v>19.064843461525168</v>
      </c>
      <c r="AP571" s="730">
        <f t="shared" si="343"/>
        <v>-140.42562678825465</v>
      </c>
      <c r="AS571" s="351"/>
      <c r="AT571" s="351"/>
      <c r="AV571" s="405">
        <f t="shared" si="344"/>
        <v>0</v>
      </c>
      <c r="AW571" s="405">
        <f t="shared" si="369"/>
        <v>0</v>
      </c>
      <c r="AX571" s="405">
        <f t="shared" si="345"/>
        <v>0</v>
      </c>
      <c r="AY571" s="405">
        <f t="shared" si="346"/>
        <v>0</v>
      </c>
    </row>
    <row r="572" spans="2:51" ht="13.5" thickBot="1" x14ac:dyDescent="0.25">
      <c r="B572" s="345">
        <v>98862</v>
      </c>
      <c r="C572" s="728" t="str">
        <f t="shared" si="329"/>
        <v>2.16217503399043</v>
      </c>
      <c r="D572" s="728" t="str">
        <f t="shared" si="330"/>
        <v>1+75.5754723436706i</v>
      </c>
      <c r="E572" s="337">
        <f t="shared" si="348"/>
        <v>75.582087957193409</v>
      </c>
      <c r="F572" s="338">
        <f t="shared" si="349"/>
        <v>1.5575652927716965</v>
      </c>
      <c r="G572" s="338" t="str">
        <f t="shared" si="331"/>
        <v>1+0.310584132919194i</v>
      </c>
      <c r="H572" s="337">
        <f t="shared" si="350"/>
        <v>1.0471210549029981</v>
      </c>
      <c r="I572" s="338">
        <f t="shared" si="351"/>
        <v>0.30113850133350162</v>
      </c>
      <c r="J572" s="340">
        <f t="shared" si="332"/>
        <v>1</v>
      </c>
      <c r="K572" s="338">
        <f t="shared" si="352"/>
        <v>1</v>
      </c>
      <c r="L572" s="339">
        <f t="shared" si="353"/>
        <v>0</v>
      </c>
      <c r="M572" s="731" t="str">
        <f t="shared" si="333"/>
        <v>0.565613553600001+1.46014614176725i</v>
      </c>
      <c r="N572" s="338">
        <f t="shared" si="354"/>
        <v>1.5658689112865762</v>
      </c>
      <c r="O572" s="339">
        <f t="shared" si="355"/>
        <v>1.2012270108300922</v>
      </c>
      <c r="P572" s="732" t="str">
        <f t="shared" si="347"/>
        <v>-0.0148274193778432-0.0120872651653032i</v>
      </c>
      <c r="Q572" s="337">
        <f t="shared" si="356"/>
        <v>1.9129933209052045E-2</v>
      </c>
      <c r="R572" s="339">
        <f t="shared" si="357"/>
        <v>-2.4576538022682888</v>
      </c>
      <c r="S572" s="731" t="str">
        <f t="shared" si="334"/>
        <v>6000</v>
      </c>
      <c r="T572" s="337" t="str">
        <f t="shared" si="335"/>
        <v>1+627379.948496772i</v>
      </c>
      <c r="U572" s="346">
        <f t="shared" si="358"/>
        <v>627379.94849756896</v>
      </c>
      <c r="V572" s="347">
        <f t="shared" si="359"/>
        <v>1.5707947328644525</v>
      </c>
      <c r="W572" s="340" t="str">
        <f t="shared" si="336"/>
        <v>1+6211.68265838388i</v>
      </c>
      <c r="X572" s="337">
        <f t="shared" si="360"/>
        <v>6211.6827388773672</v>
      </c>
      <c r="Y572" s="339">
        <f t="shared" si="361"/>
        <v>1.5706353398214215</v>
      </c>
      <c r="Z572" s="337" t="str">
        <f t="shared" si="337"/>
        <v>1+62.573112737685i</v>
      </c>
      <c r="AA572" s="346">
        <f t="shared" si="362"/>
        <v>62.581102880047084</v>
      </c>
      <c r="AB572" s="347">
        <f t="shared" si="363"/>
        <v>1.5548163821308225</v>
      </c>
      <c r="AC572" s="732" t="str">
        <f t="shared" si="364"/>
        <v>0.015017241850952-0.949144461076692i</v>
      </c>
      <c r="AD572" s="337">
        <f t="shared" si="365"/>
        <v>0.94926325407938028</v>
      </c>
      <c r="AE572" s="339">
        <f t="shared" si="366"/>
        <v>-1.5549757751738533</v>
      </c>
      <c r="AF572" s="736" t="str">
        <f t="shared" si="338"/>
        <v>-0.0116952277240353+0.0138918455902371i</v>
      </c>
      <c r="AG572" s="337">
        <f t="shared" si="367"/>
        <v>-34.817997531896829</v>
      </c>
      <c r="AH572" s="730">
        <f t="shared" si="368"/>
        <v>130.09326046320231</v>
      </c>
      <c r="AI572" s="360">
        <f t="shared" si="339"/>
        <v>-49.906739536797687</v>
      </c>
      <c r="AL572" s="337">
        <f t="shared" si="340"/>
        <v>-0.45226660626312776</v>
      </c>
      <c r="AM572" s="730">
        <f t="shared" si="341"/>
        <v>-89.093549162545372</v>
      </c>
      <c r="AN572" s="351"/>
      <c r="AO572" s="337">
        <f t="shared" si="342"/>
        <v>18.90620027310576</v>
      </c>
      <c r="AP572" s="730">
        <f t="shared" si="343"/>
        <v>-140.81319037425226</v>
      </c>
      <c r="AS572" s="351"/>
      <c r="AT572" s="351"/>
      <c r="AV572" s="405">
        <f t="shared" si="344"/>
        <v>0</v>
      </c>
      <c r="AW572" s="405">
        <f t="shared" si="369"/>
        <v>0</v>
      </c>
      <c r="AX572" s="405">
        <f t="shared" si="345"/>
        <v>0</v>
      </c>
      <c r="AY572" s="405">
        <f t="shared" si="346"/>
        <v>0</v>
      </c>
    </row>
    <row r="573" spans="2:51" ht="13.5" thickBot="1" x14ac:dyDescent="0.25">
      <c r="B573" s="345">
        <v>100000</v>
      </c>
      <c r="C573" s="728" t="str">
        <f t="shared" si="329"/>
        <v>2.16217503399043</v>
      </c>
      <c r="D573" s="728" t="str">
        <f t="shared" si="330"/>
        <v>1+76.4454212373517i</v>
      </c>
      <c r="E573" s="337">
        <f t="shared" si="348"/>
        <v>76.451961571670225</v>
      </c>
      <c r="F573" s="338">
        <f t="shared" si="349"/>
        <v>1.5577158446658164</v>
      </c>
      <c r="G573" s="338" t="str">
        <f t="shared" si="331"/>
        <v>1+0.31415926535898i</v>
      </c>
      <c r="H573" s="337">
        <f t="shared" si="350"/>
        <v>1.0481870272097886</v>
      </c>
      <c r="I573" s="338">
        <f t="shared" si="351"/>
        <v>0.30439579736461569</v>
      </c>
      <c r="J573" s="340">
        <f t="shared" si="332"/>
        <v>1</v>
      </c>
      <c r="K573" s="338">
        <f t="shared" si="352"/>
        <v>1</v>
      </c>
      <c r="L573" s="339">
        <f t="shared" si="353"/>
        <v>0</v>
      </c>
      <c r="M573" s="731" t="str">
        <f t="shared" si="333"/>
        <v>0.555555555555555+1.47695387688622i</v>
      </c>
      <c r="N573" s="338">
        <f t="shared" si="354"/>
        <v>1.5779843883124691</v>
      </c>
      <c r="O573" s="339">
        <f t="shared" si="355"/>
        <v>1.2110182014516779</v>
      </c>
      <c r="P573" s="732" t="str">
        <f t="shared" si="347"/>
        <v>-0.0146399923741631-0.011772462816285i</v>
      </c>
      <c r="Q573" s="337">
        <f t="shared" si="356"/>
        <v>1.8786171975055662E-2</v>
      </c>
      <c r="R573" s="339">
        <f t="shared" si="357"/>
        <v>-2.4643382487528775</v>
      </c>
      <c r="S573" s="731" t="str">
        <f t="shared" si="334"/>
        <v>6000</v>
      </c>
      <c r="T573" s="337" t="str">
        <f t="shared" si="335"/>
        <v>1+634601.716025139i</v>
      </c>
      <c r="U573" s="346">
        <f t="shared" si="358"/>
        <v>634601.71602592699</v>
      </c>
      <c r="V573" s="347">
        <f t="shared" si="359"/>
        <v>1.5707947510033808</v>
      </c>
      <c r="W573" s="340" t="str">
        <f t="shared" si="336"/>
        <v>1+6283.18530717959i</v>
      </c>
      <c r="X573" s="337">
        <f t="shared" si="360"/>
        <v>6283.1853867570608</v>
      </c>
      <c r="Y573" s="339">
        <f t="shared" si="361"/>
        <v>1.5706371718531484</v>
      </c>
      <c r="Z573" s="337" t="str">
        <f t="shared" si="337"/>
        <v>1+63.2933915333344i</v>
      </c>
      <c r="AA573" s="346">
        <f t="shared" si="362"/>
        <v>63.301290759288364</v>
      </c>
      <c r="AB573" s="347">
        <f t="shared" si="363"/>
        <v>1.5549982034707222</v>
      </c>
      <c r="AC573" s="732" t="str">
        <f t="shared" si="364"/>
        <v>0.0146774790375869-0.938348565165666i</v>
      </c>
      <c r="AD573" s="337">
        <f t="shared" si="365"/>
        <v>0.9384633493852399</v>
      </c>
      <c r="AE573" s="339">
        <f t="shared" si="366"/>
        <v>-1.5551557826209546</v>
      </c>
      <c r="AF573" s="736" t="str">
        <f t="shared" si="338"/>
        <v>-0.0112615517733094+0.0135646257621254i</v>
      </c>
      <c r="AG573" s="337">
        <f t="shared" si="367"/>
        <v>-35.074887797747763</v>
      </c>
      <c r="AH573" s="730">
        <f t="shared" si="368"/>
        <v>129.69995622425461</v>
      </c>
      <c r="AI573" s="360">
        <f t="shared" si="339"/>
        <v>-50.300043775745394</v>
      </c>
      <c r="AL573" s="337">
        <f t="shared" si="340"/>
        <v>-0.5516536717329934</v>
      </c>
      <c r="AM573" s="730">
        <f t="shared" si="341"/>
        <v>-89.103862829545193</v>
      </c>
      <c r="AN573" s="351"/>
      <c r="AO573" s="337">
        <f t="shared" si="342"/>
        <v>18.748697072724678</v>
      </c>
      <c r="AP573" s="730">
        <f t="shared" si="343"/>
        <v>-141.19618094620029</v>
      </c>
      <c r="AS573" s="351"/>
      <c r="AT573" s="351"/>
      <c r="AV573" s="405">
        <f t="shared" si="344"/>
        <v>0</v>
      </c>
      <c r="AW573" s="405">
        <f t="shared" si="369"/>
        <v>0</v>
      </c>
      <c r="AX573" s="405">
        <f t="shared" si="345"/>
        <v>0</v>
      </c>
      <c r="AY573" s="405">
        <f t="shared" si="346"/>
        <v>0</v>
      </c>
    </row>
    <row r="574" spans="2:51" ht="13.5" thickBot="1" x14ac:dyDescent="0.25">
      <c r="B574" s="345">
        <v>101165</v>
      </c>
      <c r="C574" s="728" t="str">
        <f t="shared" si="329"/>
        <v>2.16217503399043</v>
      </c>
      <c r="D574" s="728" t="str">
        <f t="shared" si="330"/>
        <v>1+77.3360103947668i</v>
      </c>
      <c r="E574" s="337">
        <f t="shared" si="348"/>
        <v>77.342475417971187</v>
      </c>
      <c r="F574" s="338">
        <f t="shared" si="349"/>
        <v>1.557866460525259</v>
      </c>
      <c r="G574" s="338" t="str">
        <f t="shared" si="331"/>
        <v>1+0.317819220800411i</v>
      </c>
      <c r="H574" s="337">
        <f t="shared" si="350"/>
        <v>1.0492897870036573</v>
      </c>
      <c r="I574" s="338">
        <f t="shared" si="351"/>
        <v>0.30772348362373253</v>
      </c>
      <c r="J574" s="340">
        <f t="shared" si="332"/>
        <v>1</v>
      </c>
      <c r="K574" s="338">
        <f t="shared" si="352"/>
        <v>1</v>
      </c>
      <c r="L574" s="339">
        <f t="shared" si="353"/>
        <v>0</v>
      </c>
      <c r="M574" s="731" t="str">
        <f t="shared" si="333"/>
        <v>0.545139678888888+1.49416038955194i</v>
      </c>
      <c r="N574" s="338">
        <f t="shared" si="354"/>
        <v>1.590500719649345</v>
      </c>
      <c r="O574" s="339">
        <f t="shared" si="355"/>
        <v>1.2209566426774874</v>
      </c>
      <c r="P574" s="732" t="str">
        <f t="shared" si="347"/>
        <v>-0.0144504674175612-0.0114600440989946i</v>
      </c>
      <c r="Q574" s="337">
        <f t="shared" si="356"/>
        <v>1.8443118481886376E-2</v>
      </c>
      <c r="R574" s="339">
        <f t="shared" si="357"/>
        <v>-2.4710996195790114</v>
      </c>
      <c r="S574" s="731" t="str">
        <f t="shared" si="334"/>
        <v>6000</v>
      </c>
      <c r="T574" s="337" t="str">
        <f t="shared" si="335"/>
        <v>1+641994.826016831i</v>
      </c>
      <c r="U574" s="346">
        <f t="shared" si="358"/>
        <v>641994.82601760991</v>
      </c>
      <c r="V574" s="347">
        <f t="shared" si="359"/>
        <v>1.5707947691499446</v>
      </c>
      <c r="W574" s="340" t="str">
        <f t="shared" si="336"/>
        <v>1+6356.38441600823i</v>
      </c>
      <c r="X574" s="337">
        <f t="shared" si="360"/>
        <v>6356.3844946692998</v>
      </c>
      <c r="Y574" s="339">
        <f t="shared" si="361"/>
        <v>1.5706390046560355</v>
      </c>
      <c r="Z574" s="337" t="str">
        <f t="shared" si="337"/>
        <v>1+64.0307595446977i</v>
      </c>
      <c r="AA574" s="346">
        <f t="shared" si="362"/>
        <v>64.038567815582013</v>
      </c>
      <c r="AB574" s="347">
        <f t="shared" si="363"/>
        <v>1.5551801023901426</v>
      </c>
      <c r="AC574" s="732" t="str">
        <f t="shared" si="364"/>
        <v>0.0143414604283742-0.927547940557932i</v>
      </c>
      <c r="AD574" s="337">
        <f t="shared" si="365"/>
        <v>0.92765880555324842</v>
      </c>
      <c r="AE574" s="339">
        <f t="shared" si="366"/>
        <v>-1.5553358668840518</v>
      </c>
      <c r="AF574" s="736" t="str">
        <f t="shared" si="338"/>
        <v>-0.010836981109366+0.0132391475243052i</v>
      </c>
      <c r="AG574" s="337">
        <f t="shared" si="367"/>
        <v>-35.335547447881353</v>
      </c>
      <c r="AH574" s="730">
        <f t="shared" si="368"/>
        <v>129.30224014396208</v>
      </c>
      <c r="AI574" s="360">
        <f t="shared" si="339"/>
        <v>-50.697759856037919</v>
      </c>
      <c r="AL574" s="337">
        <f t="shared" si="340"/>
        <v>-0.65223457287181419</v>
      </c>
      <c r="AM574" s="730">
        <f t="shared" si="341"/>
        <v>-89.114180897777388</v>
      </c>
      <c r="AN574" s="351"/>
      <c r="AO574" s="337">
        <f t="shared" si="342"/>
        <v>18.588618323729893</v>
      </c>
      <c r="AP574" s="730">
        <f t="shared" si="343"/>
        <v>-141.5835789582606</v>
      </c>
      <c r="AS574" s="351"/>
      <c r="AT574" s="351"/>
      <c r="AV574" s="405">
        <f t="shared" si="344"/>
        <v>0</v>
      </c>
      <c r="AW574" s="405">
        <f t="shared" si="369"/>
        <v>0</v>
      </c>
      <c r="AX574" s="405">
        <f t="shared" si="345"/>
        <v>0</v>
      </c>
      <c r="AY574" s="405">
        <f t="shared" si="346"/>
        <v>0</v>
      </c>
    </row>
    <row r="575" spans="2:51" ht="13.5" thickBot="1" x14ac:dyDescent="0.25">
      <c r="B575" s="345">
        <v>102330</v>
      </c>
      <c r="C575" s="728" t="str">
        <f t="shared" si="329"/>
        <v>2.16217503399043</v>
      </c>
      <c r="D575" s="728" t="str">
        <f t="shared" si="330"/>
        <v>1+78.2265995521819i</v>
      </c>
      <c r="E575" s="337">
        <f t="shared" si="348"/>
        <v>78.23299097885382</v>
      </c>
      <c r="F575" s="338">
        <f t="shared" si="349"/>
        <v>1.5580136475080417</v>
      </c>
      <c r="G575" s="338" t="str">
        <f t="shared" si="331"/>
        <v>1+0.321479176241844i</v>
      </c>
      <c r="H575" s="337">
        <f t="shared" si="350"/>
        <v>1.0504041416317504</v>
      </c>
      <c r="I575" s="338">
        <f t="shared" si="351"/>
        <v>0.31104414602598385</v>
      </c>
      <c r="J575" s="340">
        <f t="shared" si="332"/>
        <v>1</v>
      </c>
      <c r="K575" s="338">
        <f t="shared" si="352"/>
        <v>1</v>
      </c>
      <c r="L575" s="339">
        <f t="shared" si="353"/>
        <v>0</v>
      </c>
      <c r="M575" s="731" t="str">
        <f t="shared" si="333"/>
        <v>0.53460316+1.51136690221767i</v>
      </c>
      <c r="N575" s="338">
        <f t="shared" si="354"/>
        <v>1.603131451815796</v>
      </c>
      <c r="O575" s="339">
        <f t="shared" si="355"/>
        <v>1.2308098815674764</v>
      </c>
      <c r="P575" s="732" t="str">
        <f t="shared" si="347"/>
        <v>-0.0142633212001782-0.0111572438239285i</v>
      </c>
      <c r="Q575" s="337">
        <f t="shared" si="356"/>
        <v>1.8108738813237202E-2</v>
      </c>
      <c r="R575" s="339">
        <f t="shared" si="357"/>
        <v>-2.477779383049536</v>
      </c>
      <c r="S575" s="731" t="str">
        <f t="shared" si="334"/>
        <v>6000</v>
      </c>
      <c r="T575" s="337" t="str">
        <f t="shared" si="335"/>
        <v>1+649387.936008524i</v>
      </c>
      <c r="U575" s="346">
        <f t="shared" si="358"/>
        <v>649387.936009294</v>
      </c>
      <c r="V575" s="347">
        <f t="shared" si="359"/>
        <v>1.5707947868833205</v>
      </c>
      <c r="W575" s="340" t="str">
        <f t="shared" si="336"/>
        <v>1+6429.58352483687i</v>
      </c>
      <c r="X575" s="337">
        <f t="shared" si="360"/>
        <v>6429.5836026024035</v>
      </c>
      <c r="Y575" s="339">
        <f t="shared" si="361"/>
        <v>1.5706407957269708</v>
      </c>
      <c r="Z575" s="337" t="str">
        <f t="shared" si="337"/>
        <v>1+64.768127556061i</v>
      </c>
      <c r="AA575" s="346">
        <f t="shared" si="362"/>
        <v>64.775846942500024</v>
      </c>
      <c r="AB575" s="347">
        <f t="shared" si="363"/>
        <v>1.5553578605658775</v>
      </c>
      <c r="AC575" s="732" t="str">
        <f t="shared" si="364"/>
        <v>0.014016849166903-0.916993064336652i</v>
      </c>
      <c r="AD575" s="337">
        <f t="shared" si="365"/>
        <v>0.91710018651295167</v>
      </c>
      <c r="AE575" s="339">
        <f t="shared" si="366"/>
        <v>-1.5555118517222275</v>
      </c>
      <c r="AF575" s="736" t="str">
        <f t="shared" si="338"/>
        <v>-0.0104310420255374+0.012922977211171i</v>
      </c>
      <c r="AG575" s="337">
        <f t="shared" si="367"/>
        <v>-35.593900267801985</v>
      </c>
      <c r="AH575" s="730">
        <f t="shared" si="368"/>
        <v>128.90943470046955</v>
      </c>
      <c r="AI575" s="360">
        <f t="shared" si="339"/>
        <v>-51.090565299530454</v>
      </c>
      <c r="AL575" s="337">
        <f t="shared" si="340"/>
        <v>-0.75166436461376152</v>
      </c>
      <c r="AM575" s="730">
        <f t="shared" si="341"/>
        <v>-89.124264086263153</v>
      </c>
      <c r="AN575" s="351"/>
      <c r="AO575" s="337">
        <f t="shared" si="342"/>
        <v>18.429695295551195</v>
      </c>
      <c r="AP575" s="730">
        <f t="shared" si="343"/>
        <v>-141.96630121326737</v>
      </c>
      <c r="AS575" s="351"/>
      <c r="AT575" s="351"/>
      <c r="AV575" s="405">
        <f t="shared" si="344"/>
        <v>0</v>
      </c>
      <c r="AW575" s="405">
        <f t="shared" si="369"/>
        <v>0</v>
      </c>
      <c r="AX575" s="405">
        <f t="shared" si="345"/>
        <v>0</v>
      </c>
      <c r="AY575" s="405">
        <f t="shared" si="346"/>
        <v>0</v>
      </c>
    </row>
    <row r="576" spans="2:51" ht="13.5" thickBot="1" x14ac:dyDescent="0.25">
      <c r="B576" s="345">
        <v>103520</v>
      </c>
      <c r="C576" s="728" t="str">
        <f t="shared" si="329"/>
        <v>2.16217503399043</v>
      </c>
      <c r="D576" s="728" t="str">
        <f t="shared" si="330"/>
        <v>1+79.1363000649064i</v>
      </c>
      <c r="E576" s="337">
        <f t="shared" si="348"/>
        <v>79.142618025706625</v>
      </c>
      <c r="F576" s="338">
        <f t="shared" si="349"/>
        <v>1.5581605733181982</v>
      </c>
      <c r="G576" s="338" t="str">
        <f t="shared" si="331"/>
        <v>1+0.325217671499616i</v>
      </c>
      <c r="H576" s="337">
        <f t="shared" si="350"/>
        <v>1.0515543418462177</v>
      </c>
      <c r="I576" s="338">
        <f t="shared" si="351"/>
        <v>0.31442876291250743</v>
      </c>
      <c r="J576" s="340">
        <f t="shared" si="332"/>
        <v>1</v>
      </c>
      <c r="K576" s="338">
        <f t="shared" si="352"/>
        <v>1</v>
      </c>
      <c r="L576" s="339">
        <f t="shared" si="353"/>
        <v>0</v>
      </c>
      <c r="M576" s="731" t="str">
        <f t="shared" si="333"/>
        <v>0.523715982222222+1.52894265335261i</v>
      </c>
      <c r="N576" s="338">
        <f t="shared" si="354"/>
        <v>1.6161510038594495</v>
      </c>
      <c r="O576" s="339">
        <f t="shared" si="355"/>
        <v>1.2407874863274633</v>
      </c>
      <c r="P576" s="732" t="str">
        <f t="shared" si="347"/>
        <v>-0.0140746146798689-0.0108575244499419i</v>
      </c>
      <c r="Q576" s="337">
        <f t="shared" si="356"/>
        <v>1.7775843596517925E-2</v>
      </c>
      <c r="R576" s="339">
        <f t="shared" si="357"/>
        <v>-2.4845192967331515</v>
      </c>
      <c r="S576" s="731" t="str">
        <f t="shared" si="334"/>
        <v>6000</v>
      </c>
      <c r="T576" s="337" t="str">
        <f t="shared" si="335"/>
        <v>1+656939.696429223i</v>
      </c>
      <c r="U576" s="346">
        <f t="shared" si="358"/>
        <v>656939.69642998418</v>
      </c>
      <c r="V576" s="347">
        <f t="shared" si="359"/>
        <v>1.5707948045851634</v>
      </c>
      <c r="W576" s="340" t="str">
        <f t="shared" si="336"/>
        <v>1+6504.35342999231i</v>
      </c>
      <c r="X576" s="337">
        <f t="shared" si="360"/>
        <v>6504.3535068639012</v>
      </c>
      <c r="Y576" s="339">
        <f t="shared" si="361"/>
        <v>1.5706425836130593</v>
      </c>
      <c r="Z576" s="337" t="str">
        <f t="shared" si="337"/>
        <v>1+65.5213189153077i</v>
      </c>
      <c r="AA576" s="346">
        <f t="shared" si="362"/>
        <v>65.528949574989056</v>
      </c>
      <c r="AB576" s="347">
        <f t="shared" si="363"/>
        <v>1.5555353036286139</v>
      </c>
      <c r="AC576" s="732" t="str">
        <f t="shared" si="364"/>
        <v>0.0136965184722161-0.906456784945404i</v>
      </c>
      <c r="AD576" s="337">
        <f t="shared" si="365"/>
        <v>0.90656025590791167</v>
      </c>
      <c r="AE576" s="339">
        <f t="shared" si="366"/>
        <v>-1.5556875246007182</v>
      </c>
      <c r="AF576" s="736" t="str">
        <f t="shared" si="338"/>
        <v>-0.0100346499253126+0.0126093196878682i</v>
      </c>
      <c r="AG576" s="337">
        <f t="shared" si="367"/>
        <v>-35.85546208315882</v>
      </c>
      <c r="AH576" s="730">
        <f t="shared" si="368"/>
        <v>128.51320077760337</v>
      </c>
      <c r="AI576" s="360">
        <f t="shared" si="339"/>
        <v>-51.486799222396627</v>
      </c>
      <c r="AL576" s="337">
        <f t="shared" si="340"/>
        <v>-0.85206649130074708</v>
      </c>
      <c r="AM576" s="730">
        <f t="shared" si="341"/>
        <v>-89.134329400775584</v>
      </c>
      <c r="AN576" s="351"/>
      <c r="AO576" s="337">
        <f t="shared" si="342"/>
        <v>18.268535606881354</v>
      </c>
      <c r="AP576" s="730">
        <f t="shared" si="343"/>
        <v>-142.35246982162101</v>
      </c>
      <c r="AS576" s="351"/>
      <c r="AT576" s="351"/>
      <c r="AV576" s="405">
        <f t="shared" si="344"/>
        <v>0</v>
      </c>
      <c r="AW576" s="405">
        <f t="shared" si="369"/>
        <v>0</v>
      </c>
      <c r="AX576" s="405">
        <f t="shared" si="345"/>
        <v>0</v>
      </c>
      <c r="AY576" s="405">
        <f t="shared" si="346"/>
        <v>0</v>
      </c>
    </row>
    <row r="577" spans="2:51" ht="13.5" thickBot="1" x14ac:dyDescent="0.25">
      <c r="B577" s="345">
        <v>104710</v>
      </c>
      <c r="C577" s="728" t="str">
        <f t="shared" si="329"/>
        <v>2.16217503399043</v>
      </c>
      <c r="D577" s="728" t="str">
        <f t="shared" si="330"/>
        <v>1+80.0460005776308i</v>
      </c>
      <c r="E577" s="337">
        <f t="shared" si="348"/>
        <v>80.052246742200012</v>
      </c>
      <c r="F577" s="338">
        <f t="shared" si="349"/>
        <v>1.5583041601136529</v>
      </c>
      <c r="G577" s="338" t="str">
        <f t="shared" si="331"/>
        <v>1+0.328956166757387i</v>
      </c>
      <c r="H577" s="337">
        <f t="shared" si="350"/>
        <v>1.0527165618758516</v>
      </c>
      <c r="I577" s="338">
        <f t="shared" si="351"/>
        <v>0.3178059450471904</v>
      </c>
      <c r="J577" s="340">
        <f t="shared" si="332"/>
        <v>1</v>
      </c>
      <c r="K577" s="338">
        <f t="shared" si="352"/>
        <v>1</v>
      </c>
      <c r="L577" s="339">
        <f t="shared" si="353"/>
        <v>0</v>
      </c>
      <c r="M577" s="731" t="str">
        <f t="shared" si="333"/>
        <v>0.51270292888889+1.54651840448756i</v>
      </c>
      <c r="N577" s="338">
        <f t="shared" si="354"/>
        <v>1.629289252622135</v>
      </c>
      <c r="O577" s="339">
        <f t="shared" si="355"/>
        <v>1.2506779907616237</v>
      </c>
      <c r="P577" s="732" t="str">
        <f t="shared" si="347"/>
        <v>-0.0138883873505743-0.0105671423523374i</v>
      </c>
      <c r="Q577" s="337">
        <f t="shared" si="356"/>
        <v>1.7451412570166205E-2</v>
      </c>
      <c r="R577" s="339">
        <f t="shared" si="357"/>
        <v>-2.4911762058280846</v>
      </c>
      <c r="S577" s="731" t="str">
        <f t="shared" si="334"/>
        <v>6000</v>
      </c>
      <c r="T577" s="337" t="str">
        <f t="shared" si="335"/>
        <v>1+664491.456849922i</v>
      </c>
      <c r="U577" s="346">
        <f t="shared" si="358"/>
        <v>664491.45685067447</v>
      </c>
      <c r="V577" s="347">
        <f t="shared" si="359"/>
        <v>1.5707948218846532</v>
      </c>
      <c r="W577" s="340" t="str">
        <f t="shared" si="336"/>
        <v>1+6579.12333514774i</v>
      </c>
      <c r="X577" s="337">
        <f t="shared" si="360"/>
        <v>6579.1234111457079</v>
      </c>
      <c r="Y577" s="339">
        <f t="shared" si="361"/>
        <v>1.5706443308614937</v>
      </c>
      <c r="Z577" s="337" t="str">
        <f t="shared" si="337"/>
        <v>1+66.2745102745543i</v>
      </c>
      <c r="AA577" s="346">
        <f t="shared" si="362"/>
        <v>66.282054223839523</v>
      </c>
      <c r="AB577" s="347">
        <f t="shared" si="363"/>
        <v>1.5557087144379909</v>
      </c>
      <c r="AC577" s="732" t="str">
        <f t="shared" si="364"/>
        <v>0.0133870436913006-0.896159825516292i</v>
      </c>
      <c r="AD577" s="337">
        <f t="shared" si="365"/>
        <v>0.89625980932326965</v>
      </c>
      <c r="AE577" s="339">
        <f t="shared" si="366"/>
        <v>-1.5558592054611506</v>
      </c>
      <c r="AF577" s="736" t="str">
        <f t="shared" si="338"/>
        <v>-0.00965577289494035+0.0123047519884304i</v>
      </c>
      <c r="AG577" s="337">
        <f t="shared" si="367"/>
        <v>-36.114709844667132</v>
      </c>
      <c r="AH577" s="730">
        <f t="shared" si="368"/>
        <v>128.12195139313556</v>
      </c>
      <c r="AI577" s="360">
        <f t="shared" si="339"/>
        <v>-51.878048606864439</v>
      </c>
      <c r="AL577" s="337">
        <f t="shared" si="340"/>
        <v>-0.95132156122977884</v>
      </c>
      <c r="AM577" s="730">
        <f t="shared" si="341"/>
        <v>-89.144165989501531</v>
      </c>
      <c r="AN577" s="351"/>
      <c r="AO577" s="337">
        <f t="shared" si="342"/>
        <v>18.108542915302088</v>
      </c>
      <c r="AP577" s="730">
        <f t="shared" si="343"/>
        <v>-142.73388261736292</v>
      </c>
      <c r="AS577" s="351"/>
      <c r="AT577" s="351"/>
      <c r="AV577" s="405">
        <f t="shared" si="344"/>
        <v>0</v>
      </c>
      <c r="AW577" s="405">
        <f t="shared" si="369"/>
        <v>0</v>
      </c>
      <c r="AX577" s="405">
        <f t="shared" si="345"/>
        <v>0</v>
      </c>
      <c r="AY577" s="405">
        <f t="shared" si="346"/>
        <v>0</v>
      </c>
    </row>
    <row r="578" spans="2:51" ht="13.5" thickBot="1" x14ac:dyDescent="0.25">
      <c r="B578" s="345">
        <v>105930</v>
      </c>
      <c r="C578" s="728" t="str">
        <f t="shared" si="329"/>
        <v>2.16217503399043</v>
      </c>
      <c r="D578" s="728" t="str">
        <f t="shared" si="330"/>
        <v>1+80.9786347167266i</v>
      </c>
      <c r="E578" s="337">
        <f t="shared" si="348"/>
        <v>80.9848089494878</v>
      </c>
      <c r="F578" s="338">
        <f t="shared" si="349"/>
        <v>1.5584480181814861</v>
      </c>
      <c r="G578" s="338" t="str">
        <f t="shared" si="331"/>
        <v>1+0.332788909794767i</v>
      </c>
      <c r="H578" s="337">
        <f t="shared" si="350"/>
        <v>1.0539205181048472</v>
      </c>
      <c r="I578" s="338">
        <f t="shared" si="351"/>
        <v>0.32126049321090366</v>
      </c>
      <c r="J578" s="340">
        <f t="shared" si="332"/>
        <v>1</v>
      </c>
      <c r="K578" s="338">
        <f t="shared" si="352"/>
        <v>1</v>
      </c>
      <c r="L578" s="339">
        <f t="shared" si="353"/>
        <v>0</v>
      </c>
      <c r="M578" s="731" t="str">
        <f t="shared" si="333"/>
        <v>0.50128156+1.56453724178557i</v>
      </c>
      <c r="N578" s="338">
        <f t="shared" si="354"/>
        <v>1.6428816096511745</v>
      </c>
      <c r="O578" s="339">
        <f t="shared" si="355"/>
        <v>1.2607283609061695</v>
      </c>
      <c r="P578" s="732" t="str">
        <f t="shared" si="347"/>
        <v>-0.0137000337978264-0.0102787860518868i</v>
      </c>
      <c r="Q578" s="337">
        <f t="shared" si="356"/>
        <v>1.7127298933633649E-2</v>
      </c>
      <c r="R578" s="339">
        <f t="shared" si="357"/>
        <v>-2.4979158858767496</v>
      </c>
      <c r="S578" s="731" t="str">
        <f t="shared" si="334"/>
        <v>6000</v>
      </c>
      <c r="T578" s="337" t="str">
        <f t="shared" si="335"/>
        <v>1+672233.597785429i</v>
      </c>
      <c r="U578" s="346">
        <f t="shared" si="358"/>
        <v>672233.59778617276</v>
      </c>
      <c r="V578" s="347">
        <f t="shared" si="359"/>
        <v>1.5707948392167641</v>
      </c>
      <c r="W578" s="340" t="str">
        <f t="shared" si="336"/>
        <v>1+6655.77819589534i</v>
      </c>
      <c r="X578" s="337">
        <f t="shared" si="360"/>
        <v>6655.7782710180354</v>
      </c>
      <c r="Y578" s="339">
        <f t="shared" si="361"/>
        <v>1.5706460814046443</v>
      </c>
      <c r="Z578" s="337" t="str">
        <f t="shared" si="337"/>
        <v>1+67.0466896512611i</v>
      </c>
      <c r="AA578" s="346">
        <f t="shared" si="362"/>
        <v>67.054146726302633</v>
      </c>
      <c r="AB578" s="347">
        <f t="shared" si="363"/>
        <v>1.5558824531511326</v>
      </c>
      <c r="AC578" s="732" t="str">
        <f t="shared" si="364"/>
        <v>0.0130805293408852-0.88584328900938i</v>
      </c>
      <c r="AD578" s="337">
        <f t="shared" si="365"/>
        <v>0.88593985852923096</v>
      </c>
      <c r="AE578" s="339">
        <f t="shared" si="366"/>
        <v>-1.5560312109632524</v>
      </c>
      <c r="AF578" s="736" t="str">
        <f t="shared" si="338"/>
        <v>-0.00928459733729073+0.0120016310364658i</v>
      </c>
      <c r="AG578" s="337">
        <f t="shared" si="367"/>
        <v>-36.378137622206026</v>
      </c>
      <c r="AH578" s="730">
        <f t="shared" si="368"/>
        <v>127.72594098175509</v>
      </c>
      <c r="AI578" s="360">
        <f t="shared" si="339"/>
        <v>-52.274059018244913</v>
      </c>
      <c r="AL578" s="337">
        <f t="shared" si="340"/>
        <v>-1.0519151784081526</v>
      </c>
      <c r="AM578" s="730">
        <f t="shared" si="341"/>
        <v>-89.154021178824991</v>
      </c>
      <c r="AN578" s="351"/>
      <c r="AO578" s="337">
        <f t="shared" si="342"/>
        <v>17.945708754941563</v>
      </c>
      <c r="AP578" s="730">
        <f t="shared" si="343"/>
        <v>-143.12003783941995</v>
      </c>
      <c r="AS578" s="351"/>
      <c r="AT578" s="351"/>
      <c r="AV578" s="405">
        <f t="shared" si="344"/>
        <v>0</v>
      </c>
      <c r="AW578" s="405">
        <f t="shared" si="369"/>
        <v>0</v>
      </c>
      <c r="AX578" s="405">
        <f t="shared" si="345"/>
        <v>0</v>
      </c>
      <c r="AY578" s="405">
        <f t="shared" si="346"/>
        <v>0</v>
      </c>
    </row>
    <row r="579" spans="2:51" ht="13.5" thickBot="1" x14ac:dyDescent="0.25">
      <c r="B579" s="345">
        <v>107150</v>
      </c>
      <c r="C579" s="728" t="str">
        <f t="shared" si="329"/>
        <v>2.16217503399043</v>
      </c>
      <c r="D579" s="728" t="str">
        <f t="shared" si="330"/>
        <v>1+81.9112688558223i</v>
      </c>
      <c r="E579" s="337">
        <f t="shared" si="348"/>
        <v>81.917372794608127</v>
      </c>
      <c r="F579" s="338">
        <f t="shared" si="349"/>
        <v>1.5585886008338268</v>
      </c>
      <c r="G579" s="338" t="str">
        <f t="shared" si="331"/>
        <v>1+0.336621652832147i</v>
      </c>
      <c r="H579" s="337">
        <f t="shared" si="350"/>
        <v>1.0551370229289874</v>
      </c>
      <c r="I579" s="338">
        <f t="shared" si="351"/>
        <v>0.32470711668592461</v>
      </c>
      <c r="J579" s="340">
        <f t="shared" si="332"/>
        <v>1</v>
      </c>
      <c r="K579" s="338">
        <f t="shared" si="352"/>
        <v>1</v>
      </c>
      <c r="L579" s="339">
        <f t="shared" si="353"/>
        <v>0</v>
      </c>
      <c r="M579" s="731" t="str">
        <f t="shared" si="333"/>
        <v>0.489727888888888+1.58255607908358i</v>
      </c>
      <c r="N579" s="338">
        <f t="shared" si="354"/>
        <v>1.6565980648908056</v>
      </c>
      <c r="O579" s="339">
        <f t="shared" si="355"/>
        <v>1.2706891055816336</v>
      </c>
      <c r="P579" s="732" t="str">
        <f t="shared" si="347"/>
        <v>-0.0135142732336301-0.00999955277277293i</v>
      </c>
      <c r="Q579" s="337">
        <f t="shared" si="356"/>
        <v>1.681150310616757E-2</v>
      </c>
      <c r="R579" s="339">
        <f t="shared" si="357"/>
        <v>-2.5045705897295334</v>
      </c>
      <c r="S579" s="731" t="str">
        <f t="shared" si="334"/>
        <v>6000</v>
      </c>
      <c r="T579" s="337" t="str">
        <f t="shared" si="335"/>
        <v>1+679975.738720936i</v>
      </c>
      <c r="U579" s="346">
        <f t="shared" si="358"/>
        <v>679975.73872167128</v>
      </c>
      <c r="V579" s="347">
        <f t="shared" si="359"/>
        <v>1.5707948561541913</v>
      </c>
      <c r="W579" s="340" t="str">
        <f t="shared" si="336"/>
        <v>1+6732.43305664293i</v>
      </c>
      <c r="X579" s="337">
        <f t="shared" si="360"/>
        <v>6732.4331309102845</v>
      </c>
      <c r="Y579" s="339">
        <f t="shared" si="361"/>
        <v>1.5706477920847506</v>
      </c>
      <c r="Z579" s="337" t="str">
        <f t="shared" si="337"/>
        <v>1+67.8188690279678i</v>
      </c>
      <c r="AA579" s="346">
        <f t="shared" si="362"/>
        <v>67.826241206723608</v>
      </c>
      <c r="AB579" s="347">
        <f t="shared" si="363"/>
        <v>1.5560522363883833</v>
      </c>
      <c r="AC579" s="732" t="str">
        <f t="shared" si="364"/>
        <v>0.0127844220686788-0.875761525311576i</v>
      </c>
      <c r="AD579" s="337">
        <f t="shared" si="365"/>
        <v>0.8758548342412048</v>
      </c>
      <c r="AE579" s="339">
        <f t="shared" si="366"/>
        <v>-1.5561993004578241</v>
      </c>
      <c r="AF579" s="736" t="str">
        <f t="shared" si="338"/>
        <v>-0.0089299957616874+0.0117074420374161i</v>
      </c>
      <c r="AG579" s="337">
        <f t="shared" si="367"/>
        <v>-36.639226468785665</v>
      </c>
      <c r="AH579" s="730">
        <f t="shared" si="368"/>
        <v>127.33502371846177</v>
      </c>
      <c r="AI579" s="360">
        <f t="shared" si="339"/>
        <v>-52.66497628153823</v>
      </c>
      <c r="AL579" s="337">
        <f t="shared" si="340"/>
        <v>-1.1513573723527128</v>
      </c>
      <c r="AM579" s="730">
        <f t="shared" si="341"/>
        <v>-89.163651997444433</v>
      </c>
      <c r="AN579" s="351"/>
      <c r="AO579" s="337">
        <f t="shared" si="342"/>
        <v>17.7840621023065</v>
      </c>
      <c r="AP579" s="730">
        <f t="shared" si="343"/>
        <v>-143.50132428409393</v>
      </c>
      <c r="AS579" s="351"/>
      <c r="AT579" s="351"/>
      <c r="AV579" s="405">
        <f t="shared" si="344"/>
        <v>0</v>
      </c>
      <c r="AW579" s="405">
        <f t="shared" si="369"/>
        <v>0</v>
      </c>
      <c r="AX579" s="405">
        <f t="shared" si="345"/>
        <v>0</v>
      </c>
      <c r="AY579" s="405">
        <f t="shared" si="346"/>
        <v>0</v>
      </c>
    </row>
    <row r="580" spans="2:51" ht="13.5" thickBot="1" x14ac:dyDescent="0.25">
      <c r="B580" s="345">
        <v>108400</v>
      </c>
      <c r="C580" s="728" t="str">
        <f t="shared" si="329"/>
        <v>2.16217503399043</v>
      </c>
      <c r="D580" s="728" t="str">
        <f t="shared" si="330"/>
        <v>1+82.8668366212892i</v>
      </c>
      <c r="E580" s="337">
        <f t="shared" si="348"/>
        <v>82.872870178481435</v>
      </c>
      <c r="F580" s="338">
        <f t="shared" si="349"/>
        <v>1.5587293588368925</v>
      </c>
      <c r="G580" s="338" t="str">
        <f t="shared" si="331"/>
        <v>1+0.340548643649134i</v>
      </c>
      <c r="H580" s="337">
        <f t="shared" si="350"/>
        <v>1.0563964117182834</v>
      </c>
      <c r="I580" s="338">
        <f t="shared" si="351"/>
        <v>0.32823021696509236</v>
      </c>
      <c r="J580" s="340">
        <f t="shared" si="332"/>
        <v>1</v>
      </c>
      <c r="K580" s="338">
        <f t="shared" si="352"/>
        <v>1</v>
      </c>
      <c r="L580" s="339">
        <f t="shared" si="353"/>
        <v>0</v>
      </c>
      <c r="M580" s="731" t="str">
        <f t="shared" si="333"/>
        <v>0.477752888888889+1.60101800254466i</v>
      </c>
      <c r="N580" s="338">
        <f t="shared" si="354"/>
        <v>1.6707801971874614</v>
      </c>
      <c r="O580" s="339">
        <f t="shared" si="355"/>
        <v>1.2808028390065491</v>
      </c>
      <c r="P580" s="732" t="str">
        <f t="shared" si="347"/>
        <v>-0.0133266239377357-0.00972257203134171i</v>
      </c>
      <c r="Q580" s="337">
        <f t="shared" si="356"/>
        <v>1.6496281777493321E-2</v>
      </c>
      <c r="R580" s="339">
        <f t="shared" si="357"/>
        <v>-2.5113019808783479</v>
      </c>
      <c r="S580" s="731" t="str">
        <f t="shared" si="334"/>
        <v>6000</v>
      </c>
      <c r="T580" s="337" t="str">
        <f t="shared" si="335"/>
        <v>1+687908.26017125i</v>
      </c>
      <c r="U580" s="346">
        <f t="shared" si="358"/>
        <v>687908.26017197676</v>
      </c>
      <c r="V580" s="347">
        <f t="shared" si="359"/>
        <v>1.5707948731126866</v>
      </c>
      <c r="W580" s="340" t="str">
        <f t="shared" si="336"/>
        <v>1+6810.97287298267i</v>
      </c>
      <c r="X580" s="337">
        <f t="shared" si="360"/>
        <v>6810.972946393621</v>
      </c>
      <c r="Y580" s="339">
        <f t="shared" si="361"/>
        <v>1.5706495048927303</v>
      </c>
      <c r="Z580" s="337" t="str">
        <f t="shared" si="337"/>
        <v>1+68.6100364221344i</v>
      </c>
      <c r="AA580" s="346">
        <f t="shared" si="362"/>
        <v>68.617323598684678</v>
      </c>
      <c r="AB580" s="347">
        <f t="shared" si="363"/>
        <v>1.556222231666468</v>
      </c>
      <c r="AC580" s="732" t="str">
        <f t="shared" si="364"/>
        <v>0.0124913406218872-0.865667070930606i</v>
      </c>
      <c r="AD580" s="337">
        <f t="shared" si="365"/>
        <v>0.86575718956535774</v>
      </c>
      <c r="AE580" s="339">
        <f t="shared" si="366"/>
        <v>-1.5563675998864241</v>
      </c>
      <c r="AF580" s="736" t="str">
        <f t="shared" si="338"/>
        <v>-0.00858297785122946+0.011414971550609i</v>
      </c>
      <c r="AG580" s="337">
        <f t="shared" si="367"/>
        <v>-36.904356538347486</v>
      </c>
      <c r="AH580" s="730">
        <f t="shared" si="368"/>
        <v>126.9397005684297</v>
      </c>
      <c r="AI580" s="360">
        <f t="shared" si="339"/>
        <v>-53.0602994315703</v>
      </c>
      <c r="AL580" s="337">
        <f t="shared" si="340"/>
        <v>-1.2520778644560289</v>
      </c>
      <c r="AM580" s="730">
        <f t="shared" si="341"/>
        <v>-89.173294844397688</v>
      </c>
      <c r="AN580" s="351"/>
      <c r="AO580" s="337">
        <f t="shared" si="342"/>
        <v>17.619652524847989</v>
      </c>
      <c r="AP580" s="730">
        <f t="shared" si="343"/>
        <v>-143.88700458717275</v>
      </c>
      <c r="AS580" s="351"/>
      <c r="AT580" s="351"/>
      <c r="AV580" s="405">
        <f t="shared" si="344"/>
        <v>0</v>
      </c>
      <c r="AW580" s="405">
        <f t="shared" si="369"/>
        <v>0</v>
      </c>
      <c r="AX580" s="405">
        <f t="shared" si="345"/>
        <v>0</v>
      </c>
      <c r="AY580" s="405">
        <f t="shared" si="346"/>
        <v>0</v>
      </c>
    </row>
    <row r="581" spans="2:51" ht="13.5" thickBot="1" x14ac:dyDescent="0.25">
      <c r="B581" s="345">
        <v>109650</v>
      </c>
      <c r="C581" s="728" t="str">
        <f t="shared" si="329"/>
        <v>2.16217503399043</v>
      </c>
      <c r="D581" s="728" t="str">
        <f t="shared" si="330"/>
        <v>1+83.8224043867561i</v>
      </c>
      <c r="E581" s="337">
        <f t="shared" si="348"/>
        <v>83.828369166868967</v>
      </c>
      <c r="F581" s="338">
        <f t="shared" si="349"/>
        <v>1.55886690804516</v>
      </c>
      <c r="G581" s="338" t="str">
        <f t="shared" si="331"/>
        <v>1+0.344475634466121i</v>
      </c>
      <c r="H581" s="337">
        <f t="shared" si="350"/>
        <v>1.0576688814278485</v>
      </c>
      <c r="I581" s="338">
        <f t="shared" si="351"/>
        <v>0.33174488357630011</v>
      </c>
      <c r="J581" s="340">
        <f t="shared" si="332"/>
        <v>1</v>
      </c>
      <c r="K581" s="338">
        <f t="shared" si="352"/>
        <v>1</v>
      </c>
      <c r="L581" s="339">
        <f t="shared" si="353"/>
        <v>0</v>
      </c>
      <c r="M581" s="731" t="str">
        <f t="shared" si="333"/>
        <v>0.465639+1.61947992600574i</v>
      </c>
      <c r="N581" s="338">
        <f t="shared" si="354"/>
        <v>1.6850919586350641</v>
      </c>
      <c r="O581" s="339">
        <f t="shared" si="355"/>
        <v>1.2908245341862219</v>
      </c>
      <c r="P581" s="732" t="str">
        <f t="shared" si="347"/>
        <v>-0.0131416736827681-0.00945448515182399i</v>
      </c>
      <c r="Q581" s="337">
        <f t="shared" si="356"/>
        <v>1.6189221002581314E-2</v>
      </c>
      <c r="R581" s="339">
        <f t="shared" si="357"/>
        <v>-2.517946558655082</v>
      </c>
      <c r="S581" s="731" t="str">
        <f t="shared" si="334"/>
        <v>6000</v>
      </c>
      <c r="T581" s="337" t="str">
        <f t="shared" si="335"/>
        <v>1+695840.781621564i</v>
      </c>
      <c r="U581" s="346">
        <f t="shared" si="358"/>
        <v>695840.78162228246</v>
      </c>
      <c r="V581" s="347">
        <f t="shared" si="359"/>
        <v>1.5707948896845312</v>
      </c>
      <c r="W581" s="340" t="str">
        <f t="shared" si="336"/>
        <v>1+6889.51268932242i</v>
      </c>
      <c r="X581" s="337">
        <f t="shared" si="360"/>
        <v>6889.5127618964916</v>
      </c>
      <c r="Y581" s="339">
        <f t="shared" si="361"/>
        <v>1.5706511786490014</v>
      </c>
      <c r="Z581" s="337" t="str">
        <f t="shared" si="337"/>
        <v>1+69.4012038163011i</v>
      </c>
      <c r="AA581" s="346">
        <f t="shared" si="362"/>
        <v>69.408407928375411</v>
      </c>
      <c r="AB581" s="347">
        <f t="shared" si="363"/>
        <v>1.5563883518971</v>
      </c>
      <c r="AC581" s="732" t="str">
        <f t="shared" si="364"/>
        <v>0.0122082224632647-0.855802624707708i</v>
      </c>
      <c r="AD581" s="337">
        <f t="shared" si="365"/>
        <v>0.85588969683734051</v>
      </c>
      <c r="AE581" s="339">
        <f t="shared" si="366"/>
        <v>-1.5565320629326298</v>
      </c>
      <c r="AF581" s="736" t="str">
        <f t="shared" si="338"/>
        <v>-0.00825160968404989+0.0111312563727561i</v>
      </c>
      <c r="AG581" s="337">
        <f t="shared" si="367"/>
        <v>-37.167124997114534</v>
      </c>
      <c r="AH581" s="730">
        <f t="shared" si="368"/>
        <v>126.54957126674276</v>
      </c>
      <c r="AI581" s="360">
        <f t="shared" si="339"/>
        <v>-53.45042873325724</v>
      </c>
      <c r="AL581" s="337">
        <f t="shared" si="340"/>
        <v>-1.3516440321946694</v>
      </c>
      <c r="AM581" s="730">
        <f t="shared" si="341"/>
        <v>-89.182717882831142</v>
      </c>
      <c r="AN581" s="351"/>
      <c r="AO581" s="337">
        <f t="shared" si="342"/>
        <v>17.456450233819542</v>
      </c>
      <c r="AP581" s="730">
        <f t="shared" si="343"/>
        <v>-144.267710850426</v>
      </c>
      <c r="AS581" s="351"/>
      <c r="AT581" s="351"/>
      <c r="AV581" s="405">
        <f t="shared" si="344"/>
        <v>0</v>
      </c>
      <c r="AW581" s="405">
        <f t="shared" si="369"/>
        <v>0</v>
      </c>
      <c r="AX581" s="405">
        <f t="shared" si="345"/>
        <v>0</v>
      </c>
      <c r="AY581" s="405">
        <f t="shared" si="346"/>
        <v>0</v>
      </c>
    </row>
    <row r="582" spans="2:51" ht="13.5" thickBot="1" x14ac:dyDescent="0.25">
      <c r="B582" s="345">
        <v>110925</v>
      </c>
      <c r="C582" s="728" t="str">
        <f t="shared" si="329"/>
        <v>2.16217503399043</v>
      </c>
      <c r="D582" s="728" t="str">
        <f t="shared" si="330"/>
        <v>1+84.7970835075323i</v>
      </c>
      <c r="E582" s="337">
        <f t="shared" si="348"/>
        <v>84.802979731748863</v>
      </c>
      <c r="F582" s="338">
        <f t="shared" si="349"/>
        <v>1.559004015015576</v>
      </c>
      <c r="G582" s="338" t="str">
        <f t="shared" si="331"/>
        <v>1+0.348481165099448i</v>
      </c>
      <c r="H582" s="337">
        <f t="shared" si="350"/>
        <v>1.0589802275911806</v>
      </c>
      <c r="I582" s="338">
        <f t="shared" si="351"/>
        <v>0.33532109680218236</v>
      </c>
      <c r="J582" s="340">
        <f t="shared" si="332"/>
        <v>1</v>
      </c>
      <c r="K582" s="338">
        <f t="shared" si="352"/>
        <v>1</v>
      </c>
      <c r="L582" s="339">
        <f t="shared" si="353"/>
        <v>0</v>
      </c>
      <c r="M582" s="731" t="str">
        <f t="shared" si="333"/>
        <v>0.453139749999999+1.63831108793604i</v>
      </c>
      <c r="N582" s="338">
        <f t="shared" si="354"/>
        <v>1.6998231831235366</v>
      </c>
      <c r="O582" s="339">
        <f t="shared" si="355"/>
        <v>1.3009529120183703</v>
      </c>
      <c r="P582" s="732" t="str">
        <f t="shared" si="347"/>
        <v>-0.0129557896333288-0.00918986252091029i</v>
      </c>
      <c r="Q582" s="337">
        <f t="shared" si="356"/>
        <v>1.5884144867644012E-2</v>
      </c>
      <c r="R582" s="339">
        <f t="shared" si="357"/>
        <v>-2.5246358302317629</v>
      </c>
      <c r="S582" s="731" t="str">
        <f t="shared" si="334"/>
        <v>6000</v>
      </c>
      <c r="T582" s="337" t="str">
        <f t="shared" si="335"/>
        <v>1+703931.953500885i</v>
      </c>
      <c r="U582" s="346">
        <f t="shared" si="358"/>
        <v>703931.9535015953</v>
      </c>
      <c r="V582" s="347">
        <f t="shared" si="359"/>
        <v>1.5707949062030411</v>
      </c>
      <c r="W582" s="340" t="str">
        <f t="shared" si="336"/>
        <v>1+6969.62330198896i</v>
      </c>
      <c r="X582" s="337">
        <f t="shared" si="360"/>
        <v>6969.6233737288476</v>
      </c>
      <c r="Y582" s="339">
        <f t="shared" si="361"/>
        <v>1.5706528470184713</v>
      </c>
      <c r="Z582" s="337" t="str">
        <f t="shared" si="337"/>
        <v>1+70.2081945583512i</v>
      </c>
      <c r="AA582" s="346">
        <f t="shared" si="362"/>
        <v>70.215315872986665</v>
      </c>
      <c r="AB582" s="347">
        <f t="shared" si="363"/>
        <v>1.5565539382793459</v>
      </c>
      <c r="AC582" s="732" t="str">
        <f t="shared" si="364"/>
        <v>0.0119292431924219-0.845969786525304i</v>
      </c>
      <c r="AD582" s="337">
        <f t="shared" si="365"/>
        <v>0.84605389104761652</v>
      </c>
      <c r="AE582" s="339">
        <f t="shared" si="366"/>
        <v>-1.5566959974639156</v>
      </c>
      <c r="AF582" s="736" t="str">
        <f t="shared" si="338"/>
        <v>-0.00792889880029721+0.010850578485457i</v>
      </c>
      <c r="AG582" s="337">
        <f t="shared" si="367"/>
        <v>-37.43276267113751</v>
      </c>
      <c r="AH582" s="730">
        <f t="shared" si="368"/>
        <v>126.15691148062325</v>
      </c>
      <c r="AI582" s="360">
        <f t="shared" si="339"/>
        <v>-53.843088519376749</v>
      </c>
      <c r="AL582" s="337">
        <f t="shared" si="340"/>
        <v>-1.4520394569692276</v>
      </c>
      <c r="AM582" s="730">
        <f t="shared" si="341"/>
        <v>-89.192110639590268</v>
      </c>
      <c r="AN582" s="351"/>
      <c r="AO582" s="337">
        <f t="shared" si="342"/>
        <v>17.291207984571169</v>
      </c>
      <c r="AP582" s="730">
        <f t="shared" si="343"/>
        <v>-144.65097787978664</v>
      </c>
      <c r="AS582" s="351"/>
      <c r="AT582" s="351"/>
      <c r="AV582" s="405">
        <f t="shared" si="344"/>
        <v>0</v>
      </c>
      <c r="AW582" s="405">
        <f t="shared" si="369"/>
        <v>0</v>
      </c>
      <c r="AX582" s="405">
        <f t="shared" si="345"/>
        <v>0</v>
      </c>
      <c r="AY582" s="405">
        <f t="shared" si="346"/>
        <v>0</v>
      </c>
    </row>
    <row r="583" spans="2:51" ht="13.5" thickBot="1" x14ac:dyDescent="0.25">
      <c r="B583" s="345">
        <v>112200</v>
      </c>
      <c r="C583" s="728" t="str">
        <f t="shared" si="329"/>
        <v>2.16217503399043</v>
      </c>
      <c r="D583" s="728" t="str">
        <f t="shared" si="330"/>
        <v>1+85.7717626283086i</v>
      </c>
      <c r="E583" s="337">
        <f t="shared" si="348"/>
        <v>85.777591854556718</v>
      </c>
      <c r="F583" s="338">
        <f t="shared" si="349"/>
        <v>1.5591380063468929</v>
      </c>
      <c r="G583" s="338" t="str">
        <f t="shared" si="331"/>
        <v>1+0.352486695732775i</v>
      </c>
      <c r="H583" s="337">
        <f t="shared" si="350"/>
        <v>1.0603050837700487</v>
      </c>
      <c r="I583" s="338">
        <f t="shared" si="351"/>
        <v>0.33888841856666552</v>
      </c>
      <c r="J583" s="340">
        <f t="shared" si="332"/>
        <v>1</v>
      </c>
      <c r="K583" s="338">
        <f t="shared" si="352"/>
        <v>1</v>
      </c>
      <c r="L583" s="339">
        <f t="shared" si="353"/>
        <v>0</v>
      </c>
      <c r="M583" s="731" t="str">
        <f t="shared" si="333"/>
        <v>0.440495999999999+1.65714224986634i</v>
      </c>
      <c r="N583" s="338">
        <f t="shared" si="354"/>
        <v>1.7146886487954816</v>
      </c>
      <c r="O583" s="339">
        <f t="shared" si="355"/>
        <v>1.3109876876890973</v>
      </c>
      <c r="P583" s="732" t="str">
        <f t="shared" si="347"/>
        <v>-0.012772680582247-0.00893382550007097i</v>
      </c>
      <c r="Q583" s="337">
        <f t="shared" si="356"/>
        <v>1.5587001229288073E-2</v>
      </c>
      <c r="R583" s="339">
        <f t="shared" si="357"/>
        <v>-2.5312372754693255</v>
      </c>
      <c r="S583" s="731" t="str">
        <f t="shared" si="334"/>
        <v>6000</v>
      </c>
      <c r="T583" s="337" t="str">
        <f t="shared" si="335"/>
        <v>1+712023.125380206i</v>
      </c>
      <c r="U583" s="346">
        <f t="shared" si="358"/>
        <v>712023.12538090837</v>
      </c>
      <c r="V583" s="347">
        <f t="shared" si="359"/>
        <v>1.5707949223461304</v>
      </c>
      <c r="W583" s="340" t="str">
        <f t="shared" si="336"/>
        <v>1+7049.7339146555i</v>
      </c>
      <c r="X583" s="337">
        <f t="shared" si="360"/>
        <v>7049.733985580162</v>
      </c>
      <c r="Y583" s="339">
        <f t="shared" si="361"/>
        <v>1.5706544774704541</v>
      </c>
      <c r="Z583" s="337" t="str">
        <f t="shared" si="337"/>
        <v>1+71.0151853004012i</v>
      </c>
      <c r="AA583" s="346">
        <f t="shared" si="362"/>
        <v>71.022225699074781</v>
      </c>
      <c r="AB583" s="347">
        <f t="shared" si="363"/>
        <v>1.5567157620894394</v>
      </c>
      <c r="AC583" s="732" t="str">
        <f t="shared" si="364"/>
        <v>0.0116597179224608-0.836360288811624i</v>
      </c>
      <c r="AD583" s="337">
        <f t="shared" si="365"/>
        <v>0.83644155906022177</v>
      </c>
      <c r="AE583" s="339">
        <f t="shared" si="366"/>
        <v>-1.5568562069651155</v>
      </c>
      <c r="AF583" s="736" t="str">
        <f t="shared" si="338"/>
        <v>-0.0076208227281347+0.0105783969353674i</v>
      </c>
      <c r="AG583" s="337">
        <f t="shared" si="367"/>
        <v>-37.696036550011016</v>
      </c>
      <c r="AH583" s="730">
        <f t="shared" si="368"/>
        <v>125.7694972015674</v>
      </c>
      <c r="AI583" s="360">
        <f t="shared" si="339"/>
        <v>-54.230502798432596</v>
      </c>
      <c r="AL583" s="337">
        <f t="shared" si="340"/>
        <v>-1.5512879431481488</v>
      </c>
      <c r="AM583" s="730">
        <f t="shared" si="341"/>
        <v>-89.201289967846918</v>
      </c>
      <c r="AN583" s="351"/>
      <c r="AO583" s="337">
        <f t="shared" si="342"/>
        <v>17.127182591876572</v>
      </c>
      <c r="AP583" s="730">
        <f t="shared" si="343"/>
        <v>-145.02921283058566</v>
      </c>
      <c r="AS583" s="351"/>
      <c r="AT583" s="351"/>
      <c r="AV583" s="405">
        <f t="shared" si="344"/>
        <v>0</v>
      </c>
      <c r="AW583" s="405">
        <f t="shared" si="369"/>
        <v>0</v>
      </c>
      <c r="AX583" s="405">
        <f t="shared" si="345"/>
        <v>0</v>
      </c>
      <c r="AY583" s="405">
        <f t="shared" si="346"/>
        <v>0</v>
      </c>
    </row>
    <row r="584" spans="2:51" ht="13.5" thickBot="1" x14ac:dyDescent="0.25">
      <c r="B584" s="345">
        <v>113510</v>
      </c>
      <c r="C584" s="728" t="str">
        <f t="shared" si="329"/>
        <v>2.16217503399043</v>
      </c>
      <c r="D584" s="728" t="str">
        <f t="shared" si="330"/>
        <v>1+86.7731976465179i</v>
      </c>
      <c r="E584" s="337">
        <f t="shared" si="348"/>
        <v>86.778959603129948</v>
      </c>
      <c r="F584" s="338">
        <f t="shared" si="349"/>
        <v>1.5592725411001174</v>
      </c>
      <c r="G584" s="338" t="str">
        <f t="shared" si="331"/>
        <v>1+0.356602182108978i</v>
      </c>
      <c r="H584" s="337">
        <f t="shared" si="350"/>
        <v>1.0616803267862152</v>
      </c>
      <c r="I584" s="338">
        <f t="shared" si="351"/>
        <v>0.34254434562495384</v>
      </c>
      <c r="J584" s="340">
        <f t="shared" si="332"/>
        <v>1</v>
      </c>
      <c r="K584" s="338">
        <f t="shared" si="352"/>
        <v>1</v>
      </c>
      <c r="L584" s="339">
        <f t="shared" si="353"/>
        <v>0</v>
      </c>
      <c r="M584" s="731" t="str">
        <f t="shared" si="333"/>
        <v>0.427354662222222+1.67649034565355i</v>
      </c>
      <c r="N584" s="338">
        <f t="shared" si="354"/>
        <v>1.7301016982803725</v>
      </c>
      <c r="O584" s="339">
        <f t="shared" si="355"/>
        <v>1.3212015679916949</v>
      </c>
      <c r="P584" s="732" t="str">
        <f t="shared" si="347"/>
        <v>-0.0125874147543199-0.00867937016550385i</v>
      </c>
      <c r="Q584" s="337">
        <f t="shared" si="356"/>
        <v>1.5289685303076343E-2</v>
      </c>
      <c r="R584" s="339">
        <f t="shared" si="357"/>
        <v>-2.5379297634668561</v>
      </c>
      <c r="S584" s="731" t="str">
        <f t="shared" si="334"/>
        <v>6000</v>
      </c>
      <c r="T584" s="337" t="str">
        <f t="shared" si="335"/>
        <v>1+720336.407860135i</v>
      </c>
      <c r="U584" s="346">
        <f t="shared" si="358"/>
        <v>720336.40786082915</v>
      </c>
      <c r="V584" s="347">
        <f t="shared" si="359"/>
        <v>1.5707949385546396</v>
      </c>
      <c r="W584" s="340" t="str">
        <f t="shared" si="336"/>
        <v>1+7132.04364217955i</v>
      </c>
      <c r="X584" s="337">
        <f t="shared" si="360"/>
        <v>7132.0437122856829</v>
      </c>
      <c r="Y584" s="339">
        <f t="shared" si="361"/>
        <v>1.5706561145298548</v>
      </c>
      <c r="Z584" s="337" t="str">
        <f t="shared" si="337"/>
        <v>1+71.8443287294878i</v>
      </c>
      <c r="AA584" s="346">
        <f t="shared" si="362"/>
        <v>71.851287884008769</v>
      </c>
      <c r="AB584" s="347">
        <f t="shared" si="363"/>
        <v>1.5568782424335406</v>
      </c>
      <c r="AC584" s="732" t="str">
        <f t="shared" si="364"/>
        <v>0.0113921969947515-0.826711717665972i</v>
      </c>
      <c r="AD584" s="337">
        <f t="shared" si="365"/>
        <v>0.82679020693195748</v>
      </c>
      <c r="AE584" s="339">
        <f t="shared" si="366"/>
        <v>-1.5570170664583254</v>
      </c>
      <c r="AF584" s="736" t="str">
        <f t="shared" si="338"/>
        <v>-0.00731873532631833+0.010307286177802i</v>
      </c>
      <c r="AG584" s="337">
        <f t="shared" si="367"/>
        <v>-37.964122587415787</v>
      </c>
      <c r="AH584" s="730">
        <f t="shared" si="368"/>
        <v>125.37682931481142</v>
      </c>
      <c r="AI584" s="360">
        <f t="shared" si="339"/>
        <v>-54.623170685188583</v>
      </c>
      <c r="AL584" s="337">
        <f t="shared" si="340"/>
        <v>-1.6520935218964343</v>
      </c>
      <c r="AM584" s="730">
        <f t="shared" si="341"/>
        <v>-89.210506537902461</v>
      </c>
      <c r="AN584" s="351"/>
      <c r="AO584" s="337">
        <f t="shared" si="342"/>
        <v>16.959902133220094</v>
      </c>
      <c r="AP584" s="730">
        <f t="shared" si="343"/>
        <v>-145.41266414728616</v>
      </c>
      <c r="AS584" s="351"/>
      <c r="AT584" s="351"/>
      <c r="AV584" s="405">
        <f t="shared" si="344"/>
        <v>0</v>
      </c>
      <c r="AW584" s="405">
        <f t="shared" si="369"/>
        <v>0</v>
      </c>
      <c r="AX584" s="405">
        <f t="shared" si="345"/>
        <v>0</v>
      </c>
      <c r="AY584" s="405">
        <f t="shared" si="346"/>
        <v>0</v>
      </c>
    </row>
    <row r="585" spans="2:51" ht="13.5" thickBot="1" x14ac:dyDescent="0.25">
      <c r="B585" s="345">
        <v>114820</v>
      </c>
      <c r="C585" s="728" t="str">
        <f t="shared" si="329"/>
        <v>2.16217503399043</v>
      </c>
      <c r="D585" s="728" t="str">
        <f t="shared" si="330"/>
        <v>1+87.7746326647272i</v>
      </c>
      <c r="E585" s="337">
        <f t="shared" si="348"/>
        <v>87.780328886532416</v>
      </c>
      <c r="F585" s="338">
        <f t="shared" si="349"/>
        <v>1.5594040063987458</v>
      </c>
      <c r="G585" s="338" t="str">
        <f t="shared" si="331"/>
        <v>1+0.36071766848518i</v>
      </c>
      <c r="H585" s="337">
        <f t="shared" si="350"/>
        <v>1.0630697231872348</v>
      </c>
      <c r="I585" s="338">
        <f t="shared" si="351"/>
        <v>0.34619076496734391</v>
      </c>
      <c r="J585" s="340">
        <f t="shared" si="332"/>
        <v>1</v>
      </c>
      <c r="K585" s="338">
        <f t="shared" si="352"/>
        <v>1</v>
      </c>
      <c r="L585" s="339">
        <f t="shared" si="353"/>
        <v>0</v>
      </c>
      <c r="M585" s="731" t="str">
        <f t="shared" si="333"/>
        <v>0.414060782222222+1.69583844144076i</v>
      </c>
      <c r="N585" s="338">
        <f t="shared" si="354"/>
        <v>1.7456558512039833</v>
      </c>
      <c r="O585" s="339">
        <f t="shared" si="355"/>
        <v>1.3313189326098311</v>
      </c>
      <c r="P585" s="732" t="str">
        <f t="shared" si="347"/>
        <v>-0.0124050346589732-0.008433316125361i</v>
      </c>
      <c r="Q585" s="337">
        <f t="shared" si="356"/>
        <v>1.5000190190814255E-2</v>
      </c>
      <c r="R585" s="339">
        <f t="shared" si="357"/>
        <v>-2.5445321740412332</v>
      </c>
      <c r="S585" s="731" t="str">
        <f t="shared" si="334"/>
        <v>6000</v>
      </c>
      <c r="T585" s="337" t="str">
        <f t="shared" si="335"/>
        <v>1+728649.690340064i</v>
      </c>
      <c r="U585" s="346">
        <f t="shared" si="358"/>
        <v>728649.69034075015</v>
      </c>
      <c r="V585" s="347">
        <f t="shared" si="359"/>
        <v>1.5707949543932977</v>
      </c>
      <c r="W585" s="340" t="str">
        <f t="shared" si="336"/>
        <v>1+7214.3533697036i</v>
      </c>
      <c r="X585" s="337">
        <f t="shared" si="360"/>
        <v>7214.3534390098803</v>
      </c>
      <c r="Y585" s="339">
        <f t="shared" si="361"/>
        <v>1.5706577142343039</v>
      </c>
      <c r="Z585" s="337" t="str">
        <f t="shared" si="337"/>
        <v>1+72.6734721585745i</v>
      </c>
      <c r="AA585" s="346">
        <f t="shared" si="362"/>
        <v>72.680351922532012</v>
      </c>
      <c r="AB585" s="347">
        <f t="shared" si="363"/>
        <v>1.5570370159584739</v>
      </c>
      <c r="AC585" s="732" t="str">
        <f t="shared" si="364"/>
        <v>0.0111337779891891-0.817283185502118i</v>
      </c>
      <c r="AD585" s="337">
        <f t="shared" si="365"/>
        <v>0.81735901923010679</v>
      </c>
      <c r="AE585" s="339">
        <f t="shared" si="366"/>
        <v>-1.5571742561174677</v>
      </c>
      <c r="AF585" s="736" t="str">
        <f t="shared" si="338"/>
        <v>-0.00703052236912262+0.0100445315728974i</v>
      </c>
      <c r="AG585" s="337">
        <f t="shared" si="367"/>
        <v>-38.229807502777724</v>
      </c>
      <c r="AH585" s="730">
        <f t="shared" si="368"/>
        <v>124.98953275023499</v>
      </c>
      <c r="AI585" s="360">
        <f t="shared" si="339"/>
        <v>-55.010467249765014</v>
      </c>
      <c r="AL585" s="337">
        <f t="shared" si="340"/>
        <v>-1.7517428149546841</v>
      </c>
      <c r="AM585" s="730">
        <f t="shared" si="341"/>
        <v>-89.219512841954412</v>
      </c>
      <c r="AN585" s="351"/>
      <c r="AO585" s="337">
        <f t="shared" si="342"/>
        <v>16.793866510916384</v>
      </c>
      <c r="AP585" s="730">
        <f t="shared" si="343"/>
        <v>-145.79095440781057</v>
      </c>
      <c r="AS585" s="351"/>
      <c r="AT585" s="351"/>
      <c r="AV585" s="405">
        <f t="shared" si="344"/>
        <v>0</v>
      </c>
      <c r="AW585" s="405">
        <f t="shared" si="369"/>
        <v>0</v>
      </c>
      <c r="AX585" s="405">
        <f t="shared" si="345"/>
        <v>0</v>
      </c>
      <c r="AY585" s="405">
        <f t="shared" si="346"/>
        <v>0</v>
      </c>
    </row>
    <row r="586" spans="2:51" ht="13.5" thickBot="1" x14ac:dyDescent="0.25">
      <c r="B586" s="345">
        <v>116155</v>
      </c>
      <c r="C586" s="728" t="str">
        <f t="shared" si="329"/>
        <v>2.16217503399043</v>
      </c>
      <c r="D586" s="728" t="str">
        <f t="shared" si="330"/>
        <v>1+88.7951790382458i</v>
      </c>
      <c r="E586" s="337">
        <f t="shared" si="348"/>
        <v>88.800809796049307</v>
      </c>
      <c r="F586" s="338">
        <f t="shared" si="349"/>
        <v>1.5595349302026993</v>
      </c>
      <c r="G586" s="338" t="str">
        <f t="shared" si="331"/>
        <v>1+0.364911694677722i</v>
      </c>
      <c r="H586" s="337">
        <f t="shared" si="350"/>
        <v>1.0645001385216288</v>
      </c>
      <c r="I586" s="338">
        <f t="shared" si="351"/>
        <v>0.34989692920411281</v>
      </c>
      <c r="J586" s="340">
        <f t="shared" si="332"/>
        <v>1</v>
      </c>
      <c r="K586" s="338">
        <f t="shared" si="352"/>
        <v>1</v>
      </c>
      <c r="L586" s="339">
        <f t="shared" si="353"/>
        <v>0</v>
      </c>
      <c r="M586" s="731" t="str">
        <f t="shared" si="333"/>
        <v>0.400356265555554+1.71555577569719i</v>
      </c>
      <c r="N586" s="338">
        <f t="shared" si="354"/>
        <v>1.7616517132786425</v>
      </c>
      <c r="O586" s="339">
        <f t="shared" si="355"/>
        <v>1.3415312709018616</v>
      </c>
      <c r="P586" s="732" t="str">
        <f t="shared" si="347"/>
        <v>-0.0122221172396595-0.00819088415319637i</v>
      </c>
      <c r="Q586" s="337">
        <f t="shared" si="356"/>
        <v>1.4712944403859663E-2</v>
      </c>
      <c r="R586" s="339">
        <f t="shared" si="357"/>
        <v>-2.5511692719004491</v>
      </c>
      <c r="S586" s="731" t="str">
        <f t="shared" si="334"/>
        <v>6000</v>
      </c>
      <c r="T586" s="337" t="str">
        <f t="shared" si="335"/>
        <v>1+737121.623249i</v>
      </c>
      <c r="U586" s="346">
        <f t="shared" si="358"/>
        <v>737121.62324967829</v>
      </c>
      <c r="V586" s="347">
        <f t="shared" si="359"/>
        <v>1.5707949701666708</v>
      </c>
      <c r="W586" s="340" t="str">
        <f t="shared" si="336"/>
        <v>1+7298.23389355445i</v>
      </c>
      <c r="X586" s="337">
        <f t="shared" si="360"/>
        <v>7298.2339620641751</v>
      </c>
      <c r="Y586" s="339">
        <f t="shared" si="361"/>
        <v>1.5706593073449411</v>
      </c>
      <c r="Z586" s="337" t="str">
        <f t="shared" si="337"/>
        <v>1+73.5184389355445i</v>
      </c>
      <c r="AA586" s="346">
        <f t="shared" si="362"/>
        <v>73.525239635919476</v>
      </c>
      <c r="AB586" s="347">
        <f t="shared" si="363"/>
        <v>1.5571951357252205</v>
      </c>
      <c r="AC586" s="732" t="str">
        <f t="shared" si="364"/>
        <v>0.0108793688920568-0.807893395127364i</v>
      </c>
      <c r="AD586" s="337">
        <f t="shared" si="365"/>
        <v>0.80796664445873534</v>
      </c>
      <c r="AE586" s="339">
        <f t="shared" si="366"/>
        <v>-1.5573307985469502</v>
      </c>
      <c r="AF586" s="736" t="str">
        <f t="shared" si="338"/>
        <v>-0.00675033012971296+0.00978505614213847i</v>
      </c>
      <c r="AG586" s="337">
        <f t="shared" si="367"/>
        <v>-38.498139481503216</v>
      </c>
      <c r="AH586" s="730">
        <f t="shared" si="368"/>
        <v>124.60028583416262</v>
      </c>
      <c r="AI586" s="360">
        <f t="shared" si="339"/>
        <v>-55.399714165837381</v>
      </c>
      <c r="AL586" s="337">
        <f t="shared" si="340"/>
        <v>-1.8521313594222795</v>
      </c>
      <c r="AM586" s="730">
        <f t="shared" si="341"/>
        <v>-89.228482062478491</v>
      </c>
      <c r="AN586" s="351"/>
      <c r="AO586" s="337">
        <f t="shared" si="342"/>
        <v>16.625923076658498</v>
      </c>
      <c r="AP586" s="730">
        <f t="shared" si="343"/>
        <v>-146.1712321033589</v>
      </c>
      <c r="AS586" s="351"/>
      <c r="AT586" s="351"/>
      <c r="AV586" s="405">
        <f t="shared" si="344"/>
        <v>0</v>
      </c>
      <c r="AW586" s="405">
        <f t="shared" si="369"/>
        <v>0</v>
      </c>
      <c r="AX586" s="405">
        <f t="shared" si="345"/>
        <v>0</v>
      </c>
      <c r="AY586" s="405">
        <f t="shared" si="346"/>
        <v>0</v>
      </c>
    </row>
    <row r="587" spans="2:51" ht="13.5" thickBot="1" x14ac:dyDescent="0.25">
      <c r="B587" s="345">
        <v>117490</v>
      </c>
      <c r="C587" s="728" t="str">
        <f t="shared" si="329"/>
        <v>2.16217503399043</v>
      </c>
      <c r="D587" s="728" t="str">
        <f t="shared" si="330"/>
        <v>1+89.8157254117645i</v>
      </c>
      <c r="E587" s="337">
        <f t="shared" si="348"/>
        <v>89.821292193117998</v>
      </c>
      <c r="F587" s="338">
        <f t="shared" si="349"/>
        <v>1.5596628790919662</v>
      </c>
      <c r="G587" s="338" t="str">
        <f t="shared" si="331"/>
        <v>1+0.369105720870265i</v>
      </c>
      <c r="H587" s="337">
        <f t="shared" si="350"/>
        <v>1.0659451361018342</v>
      </c>
      <c r="I587" s="338">
        <f t="shared" si="351"/>
        <v>0.35359309592717891</v>
      </c>
      <c r="J587" s="340">
        <f t="shared" si="332"/>
        <v>1</v>
      </c>
      <c r="K587" s="338">
        <f t="shared" si="352"/>
        <v>1</v>
      </c>
      <c r="L587" s="339">
        <f t="shared" si="353"/>
        <v>0</v>
      </c>
      <c r="M587" s="731" t="str">
        <f t="shared" si="333"/>
        <v>0.386493328888888+1.73527310995362i</v>
      </c>
      <c r="N587" s="338">
        <f t="shared" si="354"/>
        <v>1.7777935367763387</v>
      </c>
      <c r="O587" s="339">
        <f t="shared" si="355"/>
        <v>1.3516457747380668</v>
      </c>
      <c r="P587" s="732" t="str">
        <f t="shared" si="347"/>
        <v>-0.0120421431569701-0.00795653191907711i</v>
      </c>
      <c r="Q587" s="337">
        <f t="shared" si="356"/>
        <v>1.443328140071601E-2</v>
      </c>
      <c r="R587" s="339">
        <f t="shared" si="357"/>
        <v>-2.5577155579028532</v>
      </c>
      <c r="S587" s="731" t="str">
        <f t="shared" si="334"/>
        <v>6000</v>
      </c>
      <c r="T587" s="337" t="str">
        <f t="shared" si="335"/>
        <v>1+745593.556157935i</v>
      </c>
      <c r="U587" s="346">
        <f t="shared" si="358"/>
        <v>745593.5561586055</v>
      </c>
      <c r="V587" s="347">
        <f t="shared" si="359"/>
        <v>1.5707949855815884</v>
      </c>
      <c r="W587" s="340" t="str">
        <f t="shared" si="336"/>
        <v>1+7382.1144174053i</v>
      </c>
      <c r="X587" s="337">
        <f t="shared" si="360"/>
        <v>7382.1144851365707</v>
      </c>
      <c r="Y587" s="339">
        <f t="shared" si="361"/>
        <v>1.5706608642516007</v>
      </c>
      <c r="Z587" s="337" t="str">
        <f t="shared" si="337"/>
        <v>1+74.3634057125146i</v>
      </c>
      <c r="AA587" s="346">
        <f t="shared" si="362"/>
        <v>74.370129145807255</v>
      </c>
      <c r="AB587" s="347">
        <f t="shared" si="363"/>
        <v>1.5573496628239751</v>
      </c>
      <c r="AC587" s="732" t="str">
        <f t="shared" si="364"/>
        <v>0.0106335806382157-0.798716874987234i</v>
      </c>
      <c r="AD587" s="337">
        <f t="shared" si="365"/>
        <v>0.79878765603041357</v>
      </c>
      <c r="AE587" s="339">
        <f t="shared" si="366"/>
        <v>-1.5574837841539628</v>
      </c>
      <c r="AF587" s="736" t="str">
        <f t="shared" si="338"/>
        <v>-0.00648306741045803+0.00953365652672202i</v>
      </c>
      <c r="AG587" s="337">
        <f t="shared" si="367"/>
        <v>-38.764071521453275</v>
      </c>
      <c r="AH587" s="730">
        <f t="shared" si="368"/>
        <v>124.2164458451312</v>
      </c>
      <c r="AI587" s="360">
        <f t="shared" si="339"/>
        <v>-55.783554154868796</v>
      </c>
      <c r="AL587" s="337">
        <f t="shared" si="340"/>
        <v>-1.951373101347134</v>
      </c>
      <c r="AM587" s="730">
        <f t="shared" si="341"/>
        <v>-89.237247492086553</v>
      </c>
      <c r="AN587" s="351"/>
      <c r="AO587" s="337">
        <f t="shared" si="342"/>
        <v>16.459232778633289</v>
      </c>
      <c r="AP587" s="730">
        <f t="shared" si="343"/>
        <v>-146.54630666278226</v>
      </c>
      <c r="AS587" s="351"/>
      <c r="AT587" s="351"/>
      <c r="AV587" s="405">
        <f t="shared" si="344"/>
        <v>0</v>
      </c>
      <c r="AW587" s="405">
        <f t="shared" si="369"/>
        <v>0</v>
      </c>
      <c r="AX587" s="405">
        <f t="shared" si="345"/>
        <v>0</v>
      </c>
      <c r="AY587" s="405">
        <f t="shared" si="346"/>
        <v>0</v>
      </c>
    </row>
    <row r="588" spans="2:51" ht="13.5" thickBot="1" x14ac:dyDescent="0.25">
      <c r="B588" s="345">
        <v>118860</v>
      </c>
      <c r="C588" s="728" t="str">
        <f t="shared" si="329"/>
        <v>2.16217503399043</v>
      </c>
      <c r="D588" s="728" t="str">
        <f t="shared" si="330"/>
        <v>1+90.8630276827162i</v>
      </c>
      <c r="E588" s="337">
        <f t="shared" si="348"/>
        <v>90.868530304336105</v>
      </c>
      <c r="F588" s="338">
        <f t="shared" si="349"/>
        <v>1.5597911946284033</v>
      </c>
      <c r="G588" s="338" t="str">
        <f t="shared" si="331"/>
        <v>1+0.373409702805683i</v>
      </c>
      <c r="H588" s="337">
        <f t="shared" si="350"/>
        <v>1.0674431161188069</v>
      </c>
      <c r="I588" s="338">
        <f t="shared" si="351"/>
        <v>0.35737570868012708</v>
      </c>
      <c r="J588" s="340">
        <f t="shared" si="332"/>
        <v>1</v>
      </c>
      <c r="K588" s="338">
        <f t="shared" si="352"/>
        <v>1</v>
      </c>
      <c r="L588" s="339">
        <f t="shared" si="353"/>
        <v>0</v>
      </c>
      <c r="M588" s="731" t="str">
        <f t="shared" si="333"/>
        <v>0.372102239999999+1.75550737806696i</v>
      </c>
      <c r="N588" s="338">
        <f t="shared" si="354"/>
        <v>1.7945100254555697</v>
      </c>
      <c r="O588" s="339">
        <f t="shared" si="355"/>
        <v>1.3619249905828459</v>
      </c>
      <c r="P588" s="732" t="str">
        <f t="shared" si="347"/>
        <v>-0.0118604799554515-0.00772411601321366i</v>
      </c>
      <c r="Q588" s="337">
        <f t="shared" si="356"/>
        <v>1.4153902393306607E-2</v>
      </c>
      <c r="R588" s="339">
        <f t="shared" si="357"/>
        <v>-2.5643404765311217</v>
      </c>
      <c r="S588" s="731" t="str">
        <f t="shared" si="334"/>
        <v>6000</v>
      </c>
      <c r="T588" s="337" t="str">
        <f t="shared" si="335"/>
        <v>1+754287.59966748i</v>
      </c>
      <c r="U588" s="346">
        <f t="shared" si="358"/>
        <v>754287.59966814285</v>
      </c>
      <c r="V588" s="347">
        <f t="shared" si="359"/>
        <v>1.5707950010406346</v>
      </c>
      <c r="W588" s="340" t="str">
        <f t="shared" si="336"/>
        <v>1+7468.19405611366i</v>
      </c>
      <c r="X588" s="337">
        <f t="shared" si="360"/>
        <v>7468.1941230642487</v>
      </c>
      <c r="Y588" s="339">
        <f t="shared" si="361"/>
        <v>1.5706624256152393</v>
      </c>
      <c r="Z588" s="337" t="str">
        <f t="shared" si="337"/>
        <v>1+75.2305251765212i</v>
      </c>
      <c r="AA588" s="346">
        <f t="shared" si="362"/>
        <v>75.237171121296086</v>
      </c>
      <c r="AB588" s="347">
        <f t="shared" si="363"/>
        <v>1.5575046329345712</v>
      </c>
      <c r="AC588" s="732" t="str">
        <f t="shared" si="364"/>
        <v>0.0103899075753815-0.789513971324262i</v>
      </c>
      <c r="AD588" s="337">
        <f t="shared" si="365"/>
        <v>0.7895823333228984</v>
      </c>
      <c r="AE588" s="339">
        <f t="shared" si="366"/>
        <v>-1.5576372083599666</v>
      </c>
      <c r="AF588" s="736" t="str">
        <f t="shared" si="338"/>
        <v>-0.00622152679909845+0.00928376177996151i</v>
      </c>
      <c r="AG588" s="337">
        <f t="shared" si="367"/>
        <v>-39.034527622023091</v>
      </c>
      <c r="AH588" s="730">
        <f t="shared" si="368"/>
        <v>123.82807540863466</v>
      </c>
      <c r="AI588" s="360">
        <f t="shared" si="339"/>
        <v>-56.17192459136534</v>
      </c>
      <c r="AL588" s="337">
        <f t="shared" si="340"/>
        <v>-2.0520515488710682</v>
      </c>
      <c r="AM588" s="730">
        <f t="shared" si="341"/>
        <v>-89.246038051565719</v>
      </c>
      <c r="AN588" s="351"/>
      <c r="AO588" s="337">
        <f t="shared" si="342"/>
        <v>16.289455125587409</v>
      </c>
      <c r="AP588" s="730">
        <f t="shared" si="343"/>
        <v>-146.92588653979965</v>
      </c>
      <c r="AS588" s="351"/>
      <c r="AT588" s="351"/>
      <c r="AV588" s="405">
        <f t="shared" si="344"/>
        <v>0</v>
      </c>
      <c r="AW588" s="405">
        <f t="shared" si="369"/>
        <v>0</v>
      </c>
      <c r="AX588" s="405">
        <f t="shared" si="345"/>
        <v>0</v>
      </c>
      <c r="AY588" s="405">
        <f t="shared" si="346"/>
        <v>0</v>
      </c>
    </row>
    <row r="589" spans="2:51" ht="13.5" thickBot="1" x14ac:dyDescent="0.25">
      <c r="B589" s="345">
        <v>120230</v>
      </c>
      <c r="C589" s="728" t="str">
        <f t="shared" ref="C589:C613" si="370">COMPLEX(Am*Afb,0)</f>
        <v>2.16217503399043</v>
      </c>
      <c r="D589" s="728" t="str">
        <f t="shared" ref="D589:D612" si="371">IMSUM(COMPLEX(1,0),IMDIV(COMPLEX(0,2*PI()*B589),COMPLEX(2*PI()*PS_Pole1,0)))</f>
        <v>1+91.9103299536679i</v>
      </c>
      <c r="E589" s="337">
        <f t="shared" si="348"/>
        <v>91.915769877600979</v>
      </c>
      <c r="F589" s="338">
        <f t="shared" si="349"/>
        <v>1.5599165862484177</v>
      </c>
      <c r="G589" s="338" t="str">
        <f t="shared" ref="G589:G612" si="372">IMSUM(COMPLEX(1,0),IMDIV(COMPLEX(0,2*PI()*B589),COMPLEX(2*PI()*PS_Zero1,0)))</f>
        <v>1+0.377713684741101i</v>
      </c>
      <c r="H589" s="337">
        <f t="shared" si="350"/>
        <v>1.0689563263486024</v>
      </c>
      <c r="I589" s="338">
        <f t="shared" si="351"/>
        <v>0.3611476659736863</v>
      </c>
      <c r="J589" s="340">
        <f t="shared" ref="J589:J612" si="373">IF(VIN_nom&gt;Vout, 1,IMSUB(COMPLEX(1,0),IMDIV(COMPLEX(0,2*PI()*B589),COMPLEX(2*PI()*PS_RHPZ,0))))</f>
        <v>1</v>
      </c>
      <c r="K589" s="338">
        <f t="shared" si="352"/>
        <v>1</v>
      </c>
      <c r="L589" s="339">
        <f t="shared" si="353"/>
        <v>0</v>
      </c>
      <c r="M589" s="731" t="str">
        <f t="shared" ref="M589:M612" si="374">IMSUM(COMPLEX(1,0),IMDIV(COMPLEX(0,2*PI()*B589),COMPLEX(Q*(2*PI()*PS_Pole2/2),0)),IMDIV(IMPOWER(COMPLEX(0,2*PI()*B589),2),IMPOWER(COMPLEX(2*PI()*PS_Pole2/2,0),2)))</f>
        <v>0.357544315555555+1.7757416461803i</v>
      </c>
      <c r="N589" s="338">
        <f t="shared" si="354"/>
        <v>1.8113796762592904</v>
      </c>
      <c r="O589" s="339">
        <f t="shared" si="355"/>
        <v>1.372103712233804</v>
      </c>
      <c r="P589" s="732" t="str">
        <f t="shared" si="347"/>
        <v>-0.0116818523430199-0.00749957229374715i</v>
      </c>
      <c r="Q589" s="337">
        <f t="shared" si="356"/>
        <v>1.3881976039212119E-2</v>
      </c>
      <c r="R589" s="339">
        <f t="shared" si="357"/>
        <v>-2.5708726325085349</v>
      </c>
      <c r="S589" s="731" t="str">
        <f t="shared" ref="S589:S613" si="375">COMPLEX(AEA,0)</f>
        <v>6000</v>
      </c>
      <c r="T589" s="337" t="str">
        <f t="shared" ref="T589:T612" si="376">IMSUM(COMPLEX(1,0),IMDIV(COMPLEX(0,2*PI()*B589),COMPLEX(2*PI()*EA_Pole1,0)))</f>
        <v>1+762981.643177024i</v>
      </c>
      <c r="U589" s="346">
        <f t="shared" si="358"/>
        <v>762981.64317767927</v>
      </c>
      <c r="V589" s="347">
        <f t="shared" si="359"/>
        <v>1.5707950161473745</v>
      </c>
      <c r="W589" s="340" t="str">
        <f t="shared" ref="W589:W612" si="377">IMSUM(COMPLEX(1,0),IMDIV(COMPLEX(0,2*PI()*B589),COMPLEX(2*PI()*EA_Zero1,0)))</f>
        <v>1+7554.27369482202i</v>
      </c>
      <c r="X589" s="337">
        <f t="shared" si="360"/>
        <v>7554.2737610097192</v>
      </c>
      <c r="Y589" s="339">
        <f t="shared" si="361"/>
        <v>1.5706639513959428</v>
      </c>
      <c r="Z589" s="337" t="str">
        <f t="shared" ref="Z589:Z612" si="378">IMSUM(COMPLEX(1,0),IMDIV(COMPLEX(0,2*PI()*B589),COMPLEX(2*PI()*EA_Pole2,0)))</f>
        <v>1+76.0976446405279i</v>
      </c>
      <c r="AA589" s="346">
        <f t="shared" si="362"/>
        <v>76.104214862490139</v>
      </c>
      <c r="AB589" s="347">
        <f t="shared" si="363"/>
        <v>1.5576560719469505</v>
      </c>
      <c r="AC589" s="732" t="str">
        <f t="shared" si="364"/>
        <v>0.0101545148814839-0.78052068983157i</v>
      </c>
      <c r="AD589" s="337">
        <f t="shared" si="365"/>
        <v>0.78058674177033538</v>
      </c>
      <c r="AE589" s="339">
        <f t="shared" si="366"/>
        <v>-1.5577871366983824</v>
      </c>
      <c r="AF589" s="736" t="str">
        <f t="shared" ref="AF589:AF612" si="379">IMPRODUCT(P589,AC589)</f>
        <v>-0.00597219488361775+0.00904177293082281i</v>
      </c>
      <c r="AG589" s="337">
        <f t="shared" si="367"/>
        <v>-39.30255078009273</v>
      </c>
      <c r="AH589" s="730">
        <f t="shared" si="368"/>
        <v>123.44522017898716</v>
      </c>
      <c r="AI589" s="360">
        <f t="shared" ref="AI589:AI612" si="380">IF(AH589&gt;0,AH589-180,AH589+180)</f>
        <v>-56.554779821012843</v>
      </c>
      <c r="AL589" s="337">
        <f t="shared" ref="AL589:AL612" si="381">20*LOG10(IMABS(AC589))</f>
        <v>-2.1515765892758365</v>
      </c>
      <c r="AM589" s="730">
        <f t="shared" ref="AM589:AM612" si="382">(180/PI())*IMARGUMENT(AC589)</f>
        <v>-89.254628312586348</v>
      </c>
      <c r="AN589" s="351"/>
      <c r="AO589" s="337">
        <f t="shared" ref="AO589:AO612" si="383">20*LOG10(IMABS(IMPRODUCT(COMPLEX(Am/Afb,0),P589)))</f>
        <v>16.120957007922541</v>
      </c>
      <c r="AP589" s="730">
        <f t="shared" ref="AP589:AP612" si="384">180/PI()*IMARGUMENT(IMPRODUCT(COMPLEX(Am/Afb,0),P589))</f>
        <v>-147.30015150842652</v>
      </c>
      <c r="AS589" s="351"/>
      <c r="AT589" s="351"/>
      <c r="AV589" s="405">
        <f t="shared" ref="AV589:AV613" si="385">SUM((AG590&lt;0)*(AG589&gt;0))*B589</f>
        <v>0</v>
      </c>
      <c r="AW589" s="405">
        <f t="shared" si="369"/>
        <v>0</v>
      </c>
      <c r="AX589" s="405">
        <f t="shared" ref="AX589:AX613" si="386">SUM((AL590&lt;0)*(AL589&gt;0))*B589</f>
        <v>0</v>
      </c>
      <c r="AY589" s="405">
        <f t="shared" ref="AY589:AY613" si="387">IF(AX589&gt;0,AM589,0)</f>
        <v>0</v>
      </c>
    </row>
    <row r="590" spans="2:51" ht="13.5" thickBot="1" x14ac:dyDescent="0.25">
      <c r="B590" s="345">
        <v>126030</v>
      </c>
      <c r="C590" s="728" t="str">
        <f t="shared" si="370"/>
        <v>2.16217503399043</v>
      </c>
      <c r="D590" s="728" t="str">
        <f t="shared" si="371"/>
        <v>1+96.3441643854342i</v>
      </c>
      <c r="E590" s="337">
        <f t="shared" si="348"/>
        <v>96.349353973587</v>
      </c>
      <c r="F590" s="338">
        <f t="shared" si="349"/>
        <v>1.5604172436644839</v>
      </c>
      <c r="G590" s="338" t="str">
        <f t="shared" si="372"/>
        <v>1+0.395934922131921i</v>
      </c>
      <c r="H590" s="337">
        <f t="shared" si="350"/>
        <v>1.0755298520095156</v>
      </c>
      <c r="I590" s="338">
        <f t="shared" si="351"/>
        <v>0.37699709488560446</v>
      </c>
      <c r="J590" s="340">
        <f t="shared" si="373"/>
        <v>1</v>
      </c>
      <c r="K590" s="338">
        <f t="shared" si="352"/>
        <v>1</v>
      </c>
      <c r="L590" s="339">
        <f t="shared" si="353"/>
        <v>0</v>
      </c>
      <c r="M590" s="731" t="str">
        <f t="shared" si="374"/>
        <v>0.29406396+1.8614049710397i</v>
      </c>
      <c r="N590" s="338">
        <f t="shared" si="354"/>
        <v>1.8844898722949368</v>
      </c>
      <c r="O590" s="339">
        <f t="shared" si="355"/>
        <v>1.414111679632116</v>
      </c>
      <c r="P590" s="732" t="str">
        <f t="shared" ref="P590:P612" si="388">(IMDIV(IMPRODUCT(C590,G590,J590),IMPRODUCT(D590,M590)))</f>
        <v>-0.0109584336519303-0.00662944763262445i</v>
      </c>
      <c r="Q590" s="337">
        <f t="shared" si="356"/>
        <v>1.2807686911283723E-2</v>
      </c>
      <c r="R590" s="339">
        <f t="shared" si="357"/>
        <v>-2.5975318284109945</v>
      </c>
      <c r="S590" s="731" t="str">
        <f t="shared" si="375"/>
        <v>6000</v>
      </c>
      <c r="T590" s="337" t="str">
        <f t="shared" si="376"/>
        <v>1+799788.542706482i</v>
      </c>
      <c r="U590" s="346">
        <f t="shared" si="358"/>
        <v>799788.54270710715</v>
      </c>
      <c r="V590" s="347">
        <f t="shared" si="359"/>
        <v>1.5707950764644072</v>
      </c>
      <c r="W590" s="340" t="str">
        <f t="shared" si="377"/>
        <v>1+7918.69844263843i</v>
      </c>
      <c r="X590" s="337">
        <f t="shared" si="360"/>
        <v>7918.6985057801185</v>
      </c>
      <c r="Y590" s="339">
        <f t="shared" si="361"/>
        <v>1.5706700434161409</v>
      </c>
      <c r="Z590" s="337" t="str">
        <f t="shared" si="378"/>
        <v>1+79.7686613494613i</v>
      </c>
      <c r="AA590" s="346">
        <f t="shared" si="362"/>
        <v>79.774929228956637</v>
      </c>
      <c r="AB590" s="347">
        <f t="shared" si="363"/>
        <v>1.5582607319615915</v>
      </c>
      <c r="AC590" s="732" t="str">
        <f t="shared" si="364"/>
        <v>0.00924152717585352-0.744611957519976i</v>
      </c>
      <c r="AD590" s="337">
        <f t="shared" si="365"/>
        <v>0.74466930452803848</v>
      </c>
      <c r="AE590" s="339">
        <f t="shared" si="366"/>
        <v>-1.5583857650098578</v>
      </c>
      <c r="AF590" s="736" t="str">
        <f t="shared" si="379"/>
        <v>-0.00503763864140376+0.0080985145124588i</v>
      </c>
      <c r="AG590" s="337">
        <f t="shared" si="367"/>
        <v>-40.411316899509025</v>
      </c>
      <c r="AH590" s="730">
        <f t="shared" si="368"/>
        <v>121.88346189281913</v>
      </c>
      <c r="AI590" s="360">
        <f t="shared" si="380"/>
        <v>-58.116538107180872</v>
      </c>
      <c r="AL590" s="337">
        <f t="shared" si="381"/>
        <v>-2.5607309504950315</v>
      </c>
      <c r="AM590" s="730">
        <f t="shared" si="382"/>
        <v>-89.288927188330931</v>
      </c>
      <c r="AN590" s="351"/>
      <c r="AO590" s="337">
        <f t="shared" si="383"/>
        <v>15.421345249725437</v>
      </c>
      <c r="AP590" s="730">
        <f t="shared" si="384"/>
        <v>-148.82761091884993</v>
      </c>
      <c r="AS590" s="351"/>
      <c r="AT590" s="351"/>
      <c r="AV590" s="405">
        <f t="shared" si="385"/>
        <v>0</v>
      </c>
      <c r="AW590" s="405">
        <f t="shared" si="369"/>
        <v>0</v>
      </c>
      <c r="AX590" s="405">
        <f t="shared" si="386"/>
        <v>0</v>
      </c>
      <c r="AY590" s="405">
        <f t="shared" si="387"/>
        <v>0</v>
      </c>
    </row>
    <row r="591" spans="2:51" ht="13.5" thickBot="1" x14ac:dyDescent="0.25">
      <c r="B591" s="345">
        <v>131830</v>
      </c>
      <c r="C591" s="728" t="str">
        <f t="shared" si="370"/>
        <v>2.16217503399043</v>
      </c>
      <c r="D591" s="728" t="str">
        <f t="shared" si="371"/>
        <v>1+100.777998817201i</v>
      </c>
      <c r="E591" s="337">
        <f t="shared" si="348"/>
        <v>100.78296009544353</v>
      </c>
      <c r="F591" s="338">
        <f t="shared" si="349"/>
        <v>1.560873851720803</v>
      </c>
      <c r="G591" s="338" t="str">
        <f t="shared" si="372"/>
        <v>1+0.414156159522742i</v>
      </c>
      <c r="H591" s="337">
        <f t="shared" si="350"/>
        <v>1.0823702344718404</v>
      </c>
      <c r="I591" s="338">
        <f t="shared" si="351"/>
        <v>0.39265008430681408</v>
      </c>
      <c r="J591" s="340">
        <f t="shared" si="373"/>
        <v>1</v>
      </c>
      <c r="K591" s="338">
        <f t="shared" si="352"/>
        <v>1</v>
      </c>
      <c r="L591" s="339">
        <f t="shared" si="353"/>
        <v>0</v>
      </c>
      <c r="M591" s="731" t="str">
        <f t="shared" si="374"/>
        <v>0.227593382222222+1.9470682958991i</v>
      </c>
      <c r="N591" s="338">
        <f t="shared" si="354"/>
        <v>1.960324895655507</v>
      </c>
      <c r="O591" s="339">
        <f t="shared" si="355"/>
        <v>1.4544340828907787</v>
      </c>
      <c r="P591" s="732" t="str">
        <f t="shared" si="388"/>
        <v>-0.0102859714166723-0.0058748150350806i</v>
      </c>
      <c r="Q591" s="337">
        <f t="shared" si="356"/>
        <v>1.1845448901624988E-2</v>
      </c>
      <c r="R591" s="339">
        <f t="shared" si="357"/>
        <v>-2.6226578503047673</v>
      </c>
      <c r="S591" s="731" t="str">
        <f t="shared" si="375"/>
        <v>6000</v>
      </c>
      <c r="T591" s="337" t="str">
        <f t="shared" si="376"/>
        <v>1+836595.44223594i</v>
      </c>
      <c r="U591" s="346">
        <f t="shared" si="358"/>
        <v>836595.44223653781</v>
      </c>
      <c r="V591" s="347">
        <f t="shared" si="359"/>
        <v>1.5707951314740169</v>
      </c>
      <c r="W591" s="340" t="str">
        <f t="shared" si="377"/>
        <v>1+8283.12319045485i</v>
      </c>
      <c r="X591" s="337">
        <f t="shared" si="360"/>
        <v>8283.1232508185549</v>
      </c>
      <c r="Y591" s="339">
        <f t="shared" si="361"/>
        <v>1.5706755993866295</v>
      </c>
      <c r="Z591" s="337" t="str">
        <f t="shared" si="378"/>
        <v>1+83.4396780583947i</v>
      </c>
      <c r="AA591" s="346">
        <f t="shared" si="362"/>
        <v>83.445670196173481</v>
      </c>
      <c r="AB591" s="347">
        <f t="shared" si="363"/>
        <v>1.5588121946689208</v>
      </c>
      <c r="AC591" s="732" t="str">
        <f t="shared" si="364"/>
        <v>0.008446348293153-0.711861498467016i</v>
      </c>
      <c r="AD591" s="337">
        <f t="shared" si="365"/>
        <v>0.71191160532694975</v>
      </c>
      <c r="AE591" s="339">
        <f t="shared" si="366"/>
        <v>-1.5589317267563083</v>
      </c>
      <c r="AF591" s="736" t="str">
        <f t="shared" si="379"/>
        <v>-0.00426893353120766+0.0072725662919171i</v>
      </c>
      <c r="AG591" s="337">
        <f t="shared" si="367"/>
        <v>-41.480448073208784</v>
      </c>
      <c r="AH591" s="730">
        <f t="shared" si="368"/>
        <v>120.41256557850542</v>
      </c>
      <c r="AI591" s="360">
        <f t="shared" si="380"/>
        <v>-59.587434421494578</v>
      </c>
      <c r="AL591" s="337">
        <f t="shared" si="381"/>
        <v>-2.9514785458568662</v>
      </c>
      <c r="AM591" s="730">
        <f t="shared" si="382"/>
        <v>-89.320208492178139</v>
      </c>
      <c r="AN591" s="351"/>
      <c r="AO591" s="337">
        <f t="shared" si="383"/>
        <v>14.742961671387516</v>
      </c>
      <c r="AP591" s="730">
        <f t="shared" si="384"/>
        <v>-150.26722592931642</v>
      </c>
      <c r="AS591" s="351"/>
      <c r="AT591" s="351"/>
      <c r="AV591" s="405">
        <f t="shared" si="385"/>
        <v>0</v>
      </c>
      <c r="AW591" s="405">
        <f t="shared" si="369"/>
        <v>0</v>
      </c>
      <c r="AX591" s="405">
        <f t="shared" si="386"/>
        <v>0</v>
      </c>
      <c r="AY591" s="405">
        <f t="shared" si="387"/>
        <v>0</v>
      </c>
    </row>
    <row r="592" spans="2:51" ht="13.5" thickBot="1" x14ac:dyDescent="0.25">
      <c r="B592" s="345">
        <v>144540</v>
      </c>
      <c r="C592" s="728" t="str">
        <f t="shared" si="370"/>
        <v>2.16217503399043</v>
      </c>
      <c r="D592" s="728" t="str">
        <f t="shared" si="371"/>
        <v>1+110.494211856468i</v>
      </c>
      <c r="E592" s="337">
        <f t="shared" si="348"/>
        <v>110.49873688772209</v>
      </c>
      <c r="F592" s="338">
        <f t="shared" si="349"/>
        <v>1.5617463260553819</v>
      </c>
      <c r="G592" s="338" t="str">
        <f t="shared" si="372"/>
        <v>1+0.454085802149868i</v>
      </c>
      <c r="H592" s="337">
        <f t="shared" si="350"/>
        <v>1.0982685990749663</v>
      </c>
      <c r="I592" s="338">
        <f t="shared" si="351"/>
        <v>0.42624648237713397</v>
      </c>
      <c r="J592" s="340">
        <f t="shared" si="373"/>
        <v>1</v>
      </c>
      <c r="K592" s="338">
        <f t="shared" si="352"/>
        <v>1</v>
      </c>
      <c r="L592" s="339">
        <f t="shared" si="353"/>
        <v>0</v>
      </c>
      <c r="M592" s="731" t="str">
        <f t="shared" si="374"/>
        <v>0.071475040000001+2.13478913365134i</v>
      </c>
      <c r="N592" s="338">
        <f t="shared" si="354"/>
        <v>2.1359853291862376</v>
      </c>
      <c r="O592" s="339">
        <f t="shared" si="355"/>
        <v>1.5373277516562054</v>
      </c>
      <c r="P592" s="732" t="str">
        <f t="shared" si="388"/>
        <v>-0.00897574423808583-0.00454543605638331i</v>
      </c>
      <c r="Q592" s="337">
        <f t="shared" si="356"/>
        <v>1.0061062248599819E-2</v>
      </c>
      <c r="R592" s="339">
        <f t="shared" si="357"/>
        <v>-2.6728275953344527</v>
      </c>
      <c r="S592" s="731" t="str">
        <f t="shared" si="375"/>
        <v>6000</v>
      </c>
      <c r="T592" s="337" t="str">
        <f t="shared" si="376"/>
        <v>1+917253.320342734i</v>
      </c>
      <c r="U592" s="346">
        <f t="shared" si="358"/>
        <v>917253.32034327905</v>
      </c>
      <c r="V592" s="347">
        <f t="shared" si="359"/>
        <v>1.5707952365835256</v>
      </c>
      <c r="W592" s="340" t="str">
        <f t="shared" si="377"/>
        <v>1+9081.71604299737i</v>
      </c>
      <c r="X592" s="337">
        <f t="shared" si="360"/>
        <v>9081.7160980530443</v>
      </c>
      <c r="Y592" s="339">
        <f t="shared" si="361"/>
        <v>1.5706862154468624</v>
      </c>
      <c r="Z592" s="337" t="str">
        <f t="shared" si="378"/>
        <v>1+91.4842681222814i</v>
      </c>
      <c r="AA592" s="346">
        <f t="shared" si="362"/>
        <v>91.489733379595506</v>
      </c>
      <c r="AB592" s="347">
        <f t="shared" si="363"/>
        <v>1.5598659209927113</v>
      </c>
      <c r="AC592" s="732" t="str">
        <f t="shared" si="364"/>
        <v>0.00702638392503858-0.64928009412285i</v>
      </c>
      <c r="AD592" s="337">
        <f t="shared" si="365"/>
        <v>0.64931811209548063</v>
      </c>
      <c r="AE592" s="339">
        <f t="shared" si="366"/>
        <v>-1.5599749421293743</v>
      </c>
      <c r="AF592" s="736" t="str">
        <f t="shared" si="379"/>
        <v>-0.0030143281755477+0.00579583408488813i</v>
      </c>
      <c r="AG592" s="337">
        <f t="shared" si="367"/>
        <v>-43.697972934281722</v>
      </c>
      <c r="AH592" s="730">
        <f t="shared" si="368"/>
        <v>117.4782790910572</v>
      </c>
      <c r="AI592" s="360">
        <f t="shared" si="380"/>
        <v>-62.521720908942797</v>
      </c>
      <c r="AL592" s="337">
        <f t="shared" si="381"/>
        <v>-3.7508496547452519</v>
      </c>
      <c r="AM592" s="730">
        <f t="shared" si="382"/>
        <v>-89.379980330177986</v>
      </c>
      <c r="AN592" s="351"/>
      <c r="AO592" s="337">
        <f t="shared" si="383"/>
        <v>13.324807919202954</v>
      </c>
      <c r="AP592" s="730">
        <f t="shared" si="384"/>
        <v>-153.14174057876482</v>
      </c>
      <c r="AS592" s="351"/>
      <c r="AT592" s="351"/>
      <c r="AV592" s="405">
        <f t="shared" si="385"/>
        <v>0</v>
      </c>
      <c r="AW592" s="405">
        <f t="shared" si="369"/>
        <v>0</v>
      </c>
      <c r="AX592" s="405">
        <f t="shared" si="386"/>
        <v>0</v>
      </c>
      <c r="AY592" s="405">
        <f t="shared" si="387"/>
        <v>0</v>
      </c>
    </row>
    <row r="593" spans="2:51" ht="13.5" thickBot="1" x14ac:dyDescent="0.25">
      <c r="B593" s="345">
        <v>158490</v>
      </c>
      <c r="C593" s="728" t="str">
        <f t="shared" si="370"/>
        <v>2.16217503399043</v>
      </c>
      <c r="D593" s="728" t="str">
        <f t="shared" si="371"/>
        <v>1+121.158348119079i</v>
      </c>
      <c r="E593" s="337">
        <f t="shared" ref="E593:E612" si="389">IMABS(D593)</f>
        <v>121.16247487957618</v>
      </c>
      <c r="F593" s="338">
        <f t="shared" ref="F593:F612" si="390">IMARGUMENT(D593)</f>
        <v>1.5625428526529228</v>
      </c>
      <c r="G593" s="338" t="str">
        <f t="shared" si="372"/>
        <v>1+0.497911019667446i</v>
      </c>
      <c r="H593" s="337">
        <f t="shared" ref="H593:H612" si="391">IMABS(G593)</f>
        <v>1.1171013309034574</v>
      </c>
      <c r="I593" s="338">
        <f t="shared" ref="I593:I612" si="392">IMARGUMENT(G593)</f>
        <v>0.46197502869821372</v>
      </c>
      <c r="J593" s="340">
        <f t="shared" si="373"/>
        <v>1</v>
      </c>
      <c r="K593" s="338">
        <f t="shared" ref="K593:K612" si="393">IMABS(J593)</f>
        <v>1</v>
      </c>
      <c r="L593" s="339">
        <f t="shared" ref="L593:L612" si="394">IMARGUMENT(J593)</f>
        <v>0</v>
      </c>
      <c r="M593" s="731" t="str">
        <f t="shared" si="374"/>
        <v>-0.11640356+2.34082419947697i</v>
      </c>
      <c r="N593" s="338">
        <f t="shared" ref="N593:N612" si="395">IMABS(M593)</f>
        <v>2.3437166470453872</v>
      </c>
      <c r="O593" s="339">
        <f t="shared" ref="O593:O612" si="396">IMARGUMENT(M593)</f>
        <v>1.6204829941014582</v>
      </c>
      <c r="P593" s="732" t="str">
        <f t="shared" si="388"/>
        <v>-0.00776458229634809-0.00347249665010644i</v>
      </c>
      <c r="Q593" s="337">
        <f t="shared" ref="Q593:Q612" si="397">IMABS(P593)</f>
        <v>8.505702276811869E-3</v>
      </c>
      <c r="R593" s="339">
        <f t="shared" ref="R593:R612" si="398">IMARGUMENT(P593)</f>
        <v>-2.7210508180561668</v>
      </c>
      <c r="S593" s="731" t="str">
        <f t="shared" si="375"/>
        <v>6000</v>
      </c>
      <c r="T593" s="337" t="str">
        <f t="shared" si="376"/>
        <v>1+1005780.25972824i</v>
      </c>
      <c r="U593" s="346">
        <f t="shared" ref="U593:U612" si="399">IMABS(T593)</f>
        <v>1005780.2597287371</v>
      </c>
      <c r="V593" s="347">
        <f t="shared" ref="V593:V612" si="400">IMARGUMENT(T593)</f>
        <v>1.570795332541937</v>
      </c>
      <c r="W593" s="340" t="str">
        <f t="shared" si="377"/>
        <v>1+9958.22039334893i</v>
      </c>
      <c r="X593" s="337">
        <f t="shared" ref="X593:X612" si="401">IMABS(W593)</f>
        <v>9958.2204435587046</v>
      </c>
      <c r="Y593" s="339">
        <f t="shared" ref="Y593:Y612" si="402">IMARGUMENT(W593)</f>
        <v>1.5706959072463087</v>
      </c>
      <c r="Z593" s="337" t="str">
        <f t="shared" si="378"/>
        <v>1+100.313696241182i</v>
      </c>
      <c r="AA593" s="346">
        <f t="shared" ref="AA593:AA612" si="403">IMABS(Z593)</f>
        <v>100.31868048159392</v>
      </c>
      <c r="AB593" s="347">
        <f t="shared" ref="AB593:AB612" si="404">IMARGUMENT(Z593)</f>
        <v>1.5608279285176734</v>
      </c>
      <c r="AC593" s="732" t="str">
        <f t="shared" ref="AC593:AC612" si="405">IMPRODUCT(S593,IMDIV(W593,IMPRODUCT(T593,Z593)))</f>
        <v>0.00584403728177546-0.592143433931851i</v>
      </c>
      <c r="AD593" s="337">
        <f t="shared" ref="AD593:AD612" si="406">IMABS(AC593)</f>
        <v>0.5921722714889267</v>
      </c>
      <c r="AE593" s="339">
        <f t="shared" ref="AE593:AE612" si="407">IMARGUMENT(AC593)</f>
        <v>-1.5609273538133015</v>
      </c>
      <c r="AF593" s="736" t="str">
        <f t="shared" si="379"/>
        <v>-0.00210159259912815+0.00457745302412195i</v>
      </c>
      <c r="AG593" s="337">
        <f t="shared" ref="AG593:AG612" si="408">20*LOG10(IMABS(AF593))</f>
        <v>-45.956835104211834</v>
      </c>
      <c r="AH593" s="730">
        <f t="shared" ref="AH593:AH612" si="409">(180/PI())*IMARGUMENT(AF593)</f>
        <v>114.66072278473564</v>
      </c>
      <c r="AI593" s="360">
        <f t="shared" si="380"/>
        <v>-65.33927721526436</v>
      </c>
      <c r="AL593" s="337">
        <f t="shared" si="381"/>
        <v>-4.5510386468468491</v>
      </c>
      <c r="AM593" s="730">
        <f t="shared" si="382"/>
        <v>-89.434549500025966</v>
      </c>
      <c r="AN593" s="351"/>
      <c r="AO593" s="337">
        <f t="shared" si="383"/>
        <v>11.866134741374449</v>
      </c>
      <c r="AP593" s="730">
        <f t="shared" si="384"/>
        <v>-155.90472771523835</v>
      </c>
      <c r="AS593" s="351"/>
      <c r="AT593" s="351"/>
      <c r="AV593" s="405">
        <f t="shared" si="385"/>
        <v>0</v>
      </c>
      <c r="AW593" s="405">
        <f t="shared" si="369"/>
        <v>0</v>
      </c>
      <c r="AX593" s="405">
        <f t="shared" si="386"/>
        <v>0</v>
      </c>
      <c r="AY593" s="405">
        <f t="shared" si="387"/>
        <v>0</v>
      </c>
    </row>
    <row r="594" spans="2:51" ht="13.5" thickBot="1" x14ac:dyDescent="0.25">
      <c r="B594" s="345">
        <v>173780</v>
      </c>
      <c r="C594" s="728" t="str">
        <f t="shared" si="370"/>
        <v>2.16217503399043</v>
      </c>
      <c r="D594" s="728" t="str">
        <f t="shared" si="371"/>
        <v>1+132.84685302627i</v>
      </c>
      <c r="E594" s="337">
        <f t="shared" si="389"/>
        <v>132.85061670531823</v>
      </c>
      <c r="F594" s="338">
        <f t="shared" si="390"/>
        <v>1.5632690042404864</v>
      </c>
      <c r="G594" s="338" t="str">
        <f t="shared" si="372"/>
        <v>1+0.545945971340835i</v>
      </c>
      <c r="H594" s="337">
        <f t="shared" si="391"/>
        <v>1.1393230462091459</v>
      </c>
      <c r="I594" s="338">
        <f t="shared" si="392"/>
        <v>0.49972538567866376</v>
      </c>
      <c r="J594" s="340">
        <f t="shared" si="373"/>
        <v>1</v>
      </c>
      <c r="K594" s="338">
        <f t="shared" si="393"/>
        <v>1</v>
      </c>
      <c r="L594" s="339">
        <f t="shared" si="394"/>
        <v>0</v>
      </c>
      <c r="M594" s="731" t="str">
        <f t="shared" si="374"/>
        <v>-0.34219948444445+2.56665044725287i</v>
      </c>
      <c r="N594" s="338">
        <f t="shared" si="395"/>
        <v>2.5893618915743324</v>
      </c>
      <c r="O594" s="339">
        <f t="shared" si="396"/>
        <v>1.7033399827488589</v>
      </c>
      <c r="P594" s="732" t="str">
        <f t="shared" si="388"/>
        <v>-0.00666424653687351-0.00262098543031461i</v>
      </c>
      <c r="Q594" s="337">
        <f t="shared" si="397"/>
        <v>7.1611274622193416E-3</v>
      </c>
      <c r="R594" s="339">
        <f t="shared" si="398"/>
        <v>-2.7668836013106808</v>
      </c>
      <c r="S594" s="731" t="str">
        <f t="shared" si="375"/>
        <v>6000</v>
      </c>
      <c r="T594" s="337" t="str">
        <f t="shared" si="376"/>
        <v>1+1102810.86210849i</v>
      </c>
      <c r="U594" s="346">
        <f t="shared" si="399"/>
        <v>1102810.8621089435</v>
      </c>
      <c r="V594" s="347">
        <f t="shared" si="400"/>
        <v>1.5707954200210932</v>
      </c>
      <c r="W594" s="340" t="str">
        <f t="shared" si="377"/>
        <v>1+10918.9194268167i</v>
      </c>
      <c r="X594" s="337">
        <f t="shared" si="401"/>
        <v>10918.919472608775</v>
      </c>
      <c r="Y594" s="339">
        <f t="shared" si="402"/>
        <v>1.5707047426409968</v>
      </c>
      <c r="Z594" s="337" t="str">
        <f t="shared" si="378"/>
        <v>1+109.991255806629i</v>
      </c>
      <c r="AA594" s="346">
        <f t="shared" si="403"/>
        <v>109.99580152860061</v>
      </c>
      <c r="AB594" s="347">
        <f t="shared" si="404"/>
        <v>1.5617049454715055</v>
      </c>
      <c r="AC594" s="732" t="str">
        <f t="shared" si="405"/>
        <v>0.00486098613842935-0.540052744894884i</v>
      </c>
      <c r="AD594" s="337">
        <f t="shared" si="406"/>
        <v>0.54007462119112448</v>
      </c>
      <c r="AE594" s="339">
        <f t="shared" si="407"/>
        <v>-1.5617956228516017</v>
      </c>
      <c r="AF594" s="736" t="str">
        <f t="shared" si="379"/>
        <v>-0.00144786518600972+0.00358630406104898i</v>
      </c>
      <c r="AG594" s="337">
        <f t="shared" si="408"/>
        <v>-48.251296528392615</v>
      </c>
      <c r="AH594" s="730">
        <f t="shared" si="409"/>
        <v>111.98494958953759</v>
      </c>
      <c r="AI594" s="360">
        <f t="shared" si="380"/>
        <v>-68.015050410462408</v>
      </c>
      <c r="AL594" s="337">
        <f t="shared" si="381"/>
        <v>-5.3509246060374522</v>
      </c>
      <c r="AM594" s="730">
        <f t="shared" si="382"/>
        <v>-89.484297651402443</v>
      </c>
      <c r="AN594" s="351"/>
      <c r="AO594" s="337">
        <f t="shared" si="383"/>
        <v>10.371559276384257</v>
      </c>
      <c r="AP594" s="730">
        <f t="shared" si="384"/>
        <v>-158.53075275905988</v>
      </c>
      <c r="AS594" s="351"/>
      <c r="AT594" s="351"/>
      <c r="AV594" s="405">
        <f t="shared" si="385"/>
        <v>0</v>
      </c>
      <c r="AW594" s="405">
        <f t="shared" si="369"/>
        <v>0</v>
      </c>
      <c r="AX594" s="405">
        <f t="shared" si="386"/>
        <v>0</v>
      </c>
      <c r="AY594" s="405">
        <f t="shared" si="387"/>
        <v>0</v>
      </c>
    </row>
    <row r="595" spans="2:51" ht="13.5" thickBot="1" x14ac:dyDescent="0.25">
      <c r="B595" s="345">
        <v>190550</v>
      </c>
      <c r="C595" s="728" t="str">
        <f t="shared" si="370"/>
        <v>2.16217503399043</v>
      </c>
      <c r="D595" s="728" t="str">
        <f t="shared" si="371"/>
        <v>1+145.666750167774i</v>
      </c>
      <c r="E595" s="337">
        <f t="shared" si="389"/>
        <v>145.67018261964489</v>
      </c>
      <c r="F595" s="338">
        <f t="shared" si="390"/>
        <v>1.5639314500131019</v>
      </c>
      <c r="G595" s="338" t="str">
        <f t="shared" si="372"/>
        <v>1+0.598630480141535i</v>
      </c>
      <c r="H595" s="337">
        <f t="shared" si="391"/>
        <v>1.165486358459199</v>
      </c>
      <c r="I595" s="338">
        <f t="shared" si="392"/>
        <v>0.53941189191854444</v>
      </c>
      <c r="J595" s="340">
        <f t="shared" si="373"/>
        <v>1</v>
      </c>
      <c r="K595" s="338">
        <f t="shared" si="393"/>
        <v>1</v>
      </c>
      <c r="L595" s="339">
        <f t="shared" si="394"/>
        <v>0</v>
      </c>
      <c r="M595" s="731" t="str">
        <f t="shared" si="374"/>
        <v>-0.61374677777778+2.81433561240669i</v>
      </c>
      <c r="N595" s="338">
        <f t="shared" si="395"/>
        <v>2.8804808707042557</v>
      </c>
      <c r="O595" s="339">
        <f t="shared" si="396"/>
        <v>1.7855133353707808</v>
      </c>
      <c r="P595" s="732" t="str">
        <f t="shared" si="388"/>
        <v>-0.00567858777286608-0.00195495921738305i</v>
      </c>
      <c r="Q595" s="337">
        <f t="shared" si="397"/>
        <v>6.0056826952291694E-3</v>
      </c>
      <c r="R595" s="339">
        <f t="shared" si="398"/>
        <v>-2.8100328934653387</v>
      </c>
      <c r="S595" s="731" t="str">
        <f t="shared" si="375"/>
        <v>6000</v>
      </c>
      <c r="T595" s="337" t="str">
        <f t="shared" si="376"/>
        <v>1+1209233.5698859i</v>
      </c>
      <c r="U595" s="346">
        <f t="shared" si="399"/>
        <v>1209233.5698863135</v>
      </c>
      <c r="V595" s="347">
        <f t="shared" si="400"/>
        <v>1.5707954998248017</v>
      </c>
      <c r="W595" s="340" t="str">
        <f t="shared" si="377"/>
        <v>1+11972.6096028307i</v>
      </c>
      <c r="X595" s="337">
        <f t="shared" si="401"/>
        <v>11972.609644592691</v>
      </c>
      <c r="Y595" s="339">
        <f t="shared" si="402"/>
        <v>1.5707128028155097</v>
      </c>
      <c r="Z595" s="337" t="str">
        <f t="shared" si="378"/>
        <v>1+120.605557566769i</v>
      </c>
      <c r="AA595" s="346">
        <f t="shared" si="403"/>
        <v>120.60970324145246</v>
      </c>
      <c r="AB595" s="347">
        <f t="shared" si="404"/>
        <v>1.5625050249275469</v>
      </c>
      <c r="AC595" s="732" t="str">
        <f t="shared" si="405"/>
        <v>0.00404307783601682-0.492530350331497i</v>
      </c>
      <c r="AD595" s="337">
        <f t="shared" si="406"/>
        <v>0.49254694443885783</v>
      </c>
      <c r="AE595" s="339">
        <f t="shared" si="407"/>
        <v>-1.5625877219368389</v>
      </c>
      <c r="AF595" s="736" t="str">
        <f t="shared" si="379"/>
        <v>-0.000985835720585814+0.00278897277287577i</v>
      </c>
      <c r="AG595" s="337">
        <f t="shared" si="408"/>
        <v>-50.579799757122821</v>
      </c>
      <c r="AH595" s="730">
        <f t="shared" si="409"/>
        <v>109.46729332555847</v>
      </c>
      <c r="AI595" s="360">
        <f t="shared" si="380"/>
        <v>-70.532706674441528</v>
      </c>
      <c r="AL595" s="337">
        <f t="shared" si="381"/>
        <v>-6.1510474154431609</v>
      </c>
      <c r="AM595" s="730">
        <f t="shared" si="382"/>
        <v>-89.529681585942711</v>
      </c>
      <c r="AN595" s="351"/>
      <c r="AO595" s="337">
        <f t="shared" si="383"/>
        <v>8.8431788570597689</v>
      </c>
      <c r="AP595" s="730">
        <f t="shared" si="384"/>
        <v>-161.00302508849882</v>
      </c>
      <c r="AS595" s="351"/>
      <c r="AT595" s="351"/>
      <c r="AV595" s="405">
        <f t="shared" si="385"/>
        <v>0</v>
      </c>
      <c r="AW595" s="405">
        <f t="shared" si="369"/>
        <v>0</v>
      </c>
      <c r="AX595" s="405">
        <f t="shared" si="386"/>
        <v>0</v>
      </c>
      <c r="AY595" s="405">
        <f t="shared" si="387"/>
        <v>0</v>
      </c>
    </row>
    <row r="596" spans="2:51" ht="13.5" thickBot="1" x14ac:dyDescent="0.25">
      <c r="B596" s="345">
        <v>208930</v>
      </c>
      <c r="C596" s="728" t="str">
        <f t="shared" si="370"/>
        <v>2.16217503399043</v>
      </c>
      <c r="D596" s="728" t="str">
        <f t="shared" si="371"/>
        <v>1+159.717418591199i</v>
      </c>
      <c r="E596" s="337">
        <f t="shared" si="389"/>
        <v>159.7205490894527</v>
      </c>
      <c r="F596" s="338">
        <f t="shared" si="390"/>
        <v>1.5645353507399411</v>
      </c>
      <c r="G596" s="338" t="str">
        <f t="shared" si="372"/>
        <v>1+0.656372953114515i</v>
      </c>
      <c r="H596" s="337">
        <f t="shared" si="391"/>
        <v>1.1961711639979746</v>
      </c>
      <c r="I596" s="338">
        <f t="shared" si="392"/>
        <v>0.5808422900103315</v>
      </c>
      <c r="J596" s="340">
        <f t="shared" si="373"/>
        <v>1</v>
      </c>
      <c r="K596" s="338">
        <f t="shared" si="393"/>
        <v>1</v>
      </c>
      <c r="L596" s="339">
        <f t="shared" si="394"/>
        <v>0</v>
      </c>
      <c r="M596" s="731" t="str">
        <f t="shared" si="374"/>
        <v>-0.94007755111111+3.08579973497837i</v>
      </c>
      <c r="N596" s="338">
        <f t="shared" si="395"/>
        <v>3.225818625790303</v>
      </c>
      <c r="O596" s="339">
        <f t="shared" si="396"/>
        <v>1.866510335502362</v>
      </c>
      <c r="P596" s="732" t="str">
        <f t="shared" si="388"/>
        <v>-0.0048081608351245-0.00144209430273249i</v>
      </c>
      <c r="Q596" s="337">
        <f t="shared" si="397"/>
        <v>5.0197655915788179E-3</v>
      </c>
      <c r="R596" s="339">
        <f t="shared" si="398"/>
        <v>-2.8502033962319695</v>
      </c>
      <c r="S596" s="731" t="str">
        <f t="shared" si="375"/>
        <v>6000</v>
      </c>
      <c r="T596" s="337" t="str">
        <f t="shared" si="376"/>
        <v>1+1325873.36529132i</v>
      </c>
      <c r="U596" s="346">
        <f t="shared" si="399"/>
        <v>1325873.3652916972</v>
      </c>
      <c r="V596" s="347">
        <f t="shared" si="400"/>
        <v>1.5707955725750546</v>
      </c>
      <c r="W596" s="340" t="str">
        <f t="shared" si="377"/>
        <v>1+13127.4590622903i</v>
      </c>
      <c r="X596" s="337">
        <f t="shared" si="401"/>
        <v>13127.459100378401</v>
      </c>
      <c r="Y596" s="339">
        <f t="shared" si="402"/>
        <v>1.5707201505910082</v>
      </c>
      <c r="Z596" s="337" t="str">
        <f t="shared" si="378"/>
        <v>1+132.238882930595i</v>
      </c>
      <c r="AA596" s="346">
        <f t="shared" si="403"/>
        <v>132.24266391271618</v>
      </c>
      <c r="AB596" s="347">
        <f t="shared" si="404"/>
        <v>1.5632343985870429</v>
      </c>
      <c r="AC596" s="732" t="str">
        <f t="shared" si="405"/>
        <v>0.00336305075575708-0.449206589092711i</v>
      </c>
      <c r="AD596" s="337">
        <f t="shared" si="406"/>
        <v>0.44921917790171595</v>
      </c>
      <c r="AE596" s="339">
        <f t="shared" si="407"/>
        <v>-1.5633098205710894</v>
      </c>
      <c r="AF596" s="736" t="str">
        <f t="shared" si="379"/>
        <v>-0.00066396835181086+0.00215500769222076i</v>
      </c>
      <c r="AG596" s="337">
        <f t="shared" si="408"/>
        <v>-52.937165478813043</v>
      </c>
      <c r="AH596" s="730">
        <f t="shared" si="409"/>
        <v>107.12431985197722</v>
      </c>
      <c r="AI596" s="360">
        <f t="shared" si="380"/>
        <v>-72.875680148022781</v>
      </c>
      <c r="AL596" s="337">
        <f t="shared" si="381"/>
        <v>-6.9508342254555444</v>
      </c>
      <c r="AM596" s="730">
        <f t="shared" si="382"/>
        <v>-89.571054790077426</v>
      </c>
      <c r="AN596" s="351"/>
      <c r="AO596" s="337">
        <f t="shared" si="383"/>
        <v>7.2855999453819322</v>
      </c>
      <c r="AP596" s="730">
        <f t="shared" si="384"/>
        <v>-163.30462535794533</v>
      </c>
      <c r="AS596" s="351"/>
      <c r="AT596" s="351"/>
      <c r="AV596" s="405">
        <f t="shared" si="385"/>
        <v>0</v>
      </c>
      <c r="AW596" s="405">
        <f t="shared" si="369"/>
        <v>0</v>
      </c>
      <c r="AX596" s="405">
        <f t="shared" si="386"/>
        <v>0</v>
      </c>
      <c r="AY596" s="405">
        <f t="shared" si="387"/>
        <v>0</v>
      </c>
    </row>
    <row r="597" spans="2:51" ht="13.5" thickBot="1" x14ac:dyDescent="0.25">
      <c r="B597" s="345">
        <v>229090</v>
      </c>
      <c r="C597" s="728" t="str">
        <f t="shared" si="370"/>
        <v>2.16217503399043</v>
      </c>
      <c r="D597" s="728" t="str">
        <f t="shared" si="371"/>
        <v>1+175.128815512649i</v>
      </c>
      <c r="E597" s="337">
        <f t="shared" si="389"/>
        <v>175.13167053067087</v>
      </c>
      <c r="F597" s="338">
        <f t="shared" si="390"/>
        <v>1.5650863062655072</v>
      </c>
      <c r="G597" s="338" t="str">
        <f t="shared" si="372"/>
        <v>1+0.719707461010885i</v>
      </c>
      <c r="H597" s="337">
        <f t="shared" si="391"/>
        <v>1.2320628350188696</v>
      </c>
      <c r="I597" s="338">
        <f t="shared" si="392"/>
        <v>0.62383036358576016</v>
      </c>
      <c r="J597" s="340">
        <f t="shared" si="373"/>
        <v>1</v>
      </c>
      <c r="K597" s="338">
        <f t="shared" si="393"/>
        <v>1</v>
      </c>
      <c r="L597" s="339">
        <f t="shared" si="394"/>
        <v>0</v>
      </c>
      <c r="M597" s="731" t="str">
        <f t="shared" si="374"/>
        <v>-1.33254347111111+3.38355363655863i</v>
      </c>
      <c r="N597" s="338">
        <f t="shared" si="395"/>
        <v>3.6364965714090771</v>
      </c>
      <c r="O597" s="339">
        <f t="shared" si="396"/>
        <v>1.9459720752463241</v>
      </c>
      <c r="P597" s="732" t="str">
        <f t="shared" si="388"/>
        <v>-0.00404829299405097-0.00105254138488294i</v>
      </c>
      <c r="Q597" s="337">
        <f t="shared" si="397"/>
        <v>4.1828841165604223E-3</v>
      </c>
      <c r="R597" s="339">
        <f t="shared" si="398"/>
        <v>-2.8872280179260708</v>
      </c>
      <c r="S597" s="731" t="str">
        <f t="shared" si="375"/>
        <v>6000</v>
      </c>
      <c r="T597" s="337" t="str">
        <f t="shared" si="376"/>
        <v>1+1453809.07124199i</v>
      </c>
      <c r="U597" s="346">
        <f t="shared" si="399"/>
        <v>1453809.0712423341</v>
      </c>
      <c r="V597" s="347">
        <f t="shared" si="400"/>
        <v>1.5707956389466642</v>
      </c>
      <c r="W597" s="340" t="str">
        <f t="shared" si="377"/>
        <v>1+14394.1492202177i</v>
      </c>
      <c r="X597" s="337">
        <f t="shared" si="401"/>
        <v>14394.149254954036</v>
      </c>
      <c r="Y597" s="339">
        <f t="shared" si="402"/>
        <v>1.5707268541235291</v>
      </c>
      <c r="Z597" s="337" t="str">
        <f t="shared" si="378"/>
        <v>1+144.998830663715i</v>
      </c>
      <c r="AA597" s="346">
        <f t="shared" si="403"/>
        <v>145.00227892638344</v>
      </c>
      <c r="AB597" s="347">
        <f t="shared" si="404"/>
        <v>1.5638998287922747</v>
      </c>
      <c r="AC597" s="732" t="str">
        <f t="shared" si="405"/>
        <v>0.00279722205827753-0.409680154680565i</v>
      </c>
      <c r="AD597" s="337">
        <f t="shared" si="406"/>
        <v>0.40968970403261901</v>
      </c>
      <c r="AE597" s="339">
        <f t="shared" si="407"/>
        <v>-1.5639686136154098</v>
      </c>
      <c r="AF597" s="736" t="str">
        <f t="shared" si="379"/>
        <v>-0.000442529291827869+0.001655561108016i</v>
      </c>
      <c r="AG597" s="337">
        <f t="shared" si="408"/>
        <v>-55.321382345101291</v>
      </c>
      <c r="AH597" s="730">
        <f t="shared" si="409"/>
        <v>104.96521922982465</v>
      </c>
      <c r="AI597" s="360">
        <f t="shared" si="380"/>
        <v>-75.034780770175345</v>
      </c>
      <c r="AL597" s="337">
        <f t="shared" si="381"/>
        <v>-7.7508990044619601</v>
      </c>
      <c r="AM597" s="730">
        <f t="shared" si="382"/>
        <v>-89.608800851089569</v>
      </c>
      <c r="AN597" s="351"/>
      <c r="AO597" s="337">
        <f t="shared" si="383"/>
        <v>5.701447858100134</v>
      </c>
      <c r="AP597" s="730">
        <f t="shared" si="384"/>
        <v>-165.42597991908588</v>
      </c>
      <c r="AS597" s="351"/>
      <c r="AT597" s="351"/>
      <c r="AV597" s="405">
        <f t="shared" si="385"/>
        <v>0</v>
      </c>
      <c r="AW597" s="405">
        <f t="shared" si="369"/>
        <v>0</v>
      </c>
      <c r="AX597" s="405">
        <f t="shared" si="386"/>
        <v>0</v>
      </c>
      <c r="AY597" s="405">
        <f t="shared" si="387"/>
        <v>0</v>
      </c>
    </row>
    <row r="598" spans="2:51" ht="13.5" thickBot="1" x14ac:dyDescent="0.25">
      <c r="B598" s="345">
        <v>251190</v>
      </c>
      <c r="C598" s="728" t="str">
        <f t="shared" si="370"/>
        <v>2.16217503399043</v>
      </c>
      <c r="D598" s="728" t="str">
        <f t="shared" si="371"/>
        <v>1+192.023253606104i</v>
      </c>
      <c r="E598" s="337">
        <f t="shared" si="389"/>
        <v>192.02585743975763</v>
      </c>
      <c r="F598" s="338">
        <f t="shared" si="390"/>
        <v>1.5655886712567666</v>
      </c>
      <c r="G598" s="338" t="str">
        <f t="shared" si="372"/>
        <v>1+0.78913665865522i</v>
      </c>
      <c r="H598" s="337">
        <f t="shared" si="391"/>
        <v>1.2738668164425688</v>
      </c>
      <c r="I598" s="338">
        <f t="shared" si="392"/>
        <v>0.6680817632512166</v>
      </c>
      <c r="J598" s="340">
        <f t="shared" si="373"/>
        <v>1</v>
      </c>
      <c r="K598" s="338">
        <f t="shared" si="393"/>
        <v>1</v>
      </c>
      <c r="L598" s="339">
        <f t="shared" si="394"/>
        <v>0</v>
      </c>
      <c r="M598" s="731" t="str">
        <f t="shared" si="374"/>
        <v>-1.80428516+3.70996044335049i</v>
      </c>
      <c r="N598" s="338">
        <f t="shared" si="395"/>
        <v>4.1254395438330675</v>
      </c>
      <c r="O598" s="339">
        <f t="shared" si="396"/>
        <v>2.0234526331440899</v>
      </c>
      <c r="P598" s="732" t="str">
        <f t="shared" si="388"/>
        <v>-0.00339256001039927-0.000760897904303331i</v>
      </c>
      <c r="Q598" s="337">
        <f t="shared" si="397"/>
        <v>3.4768418205223975E-3</v>
      </c>
      <c r="R598" s="339">
        <f t="shared" si="398"/>
        <v>-2.9209595411496405</v>
      </c>
      <c r="S598" s="731" t="str">
        <f t="shared" si="375"/>
        <v>6000</v>
      </c>
      <c r="T598" s="337" t="str">
        <f t="shared" si="376"/>
        <v>1+1594056.05048354i</v>
      </c>
      <c r="U598" s="346">
        <f t="shared" si="399"/>
        <v>1594056.0504838536</v>
      </c>
      <c r="V598" s="347">
        <f t="shared" si="400"/>
        <v>1.5707956994643835</v>
      </c>
      <c r="W598" s="340" t="str">
        <f t="shared" si="377"/>
        <v>1+15782.7331731044i</v>
      </c>
      <c r="X598" s="337">
        <f t="shared" si="401"/>
        <v>15782.73320478459</v>
      </c>
      <c r="Y598" s="339">
        <f t="shared" si="402"/>
        <v>1.5707329664131622</v>
      </c>
      <c r="Z598" s="337" t="str">
        <f t="shared" si="378"/>
        <v>1+158.986670192582i</v>
      </c>
      <c r="AA598" s="346">
        <f t="shared" si="403"/>
        <v>158.98981507922088</v>
      </c>
      <c r="AB598" s="347">
        <f t="shared" si="404"/>
        <v>1.5645065742530122</v>
      </c>
      <c r="AC598" s="732" t="str">
        <f t="shared" si="405"/>
        <v>0.00232668715184659-0.373638958771132i</v>
      </c>
      <c r="AD598" s="337">
        <f t="shared" si="406"/>
        <v>0.37364620295766188</v>
      </c>
      <c r="AE598" s="339">
        <f t="shared" si="407"/>
        <v>-1.5645693073042335</v>
      </c>
      <c r="AF598" s="736" t="str">
        <f t="shared" si="379"/>
        <v>-0.000292194526483098+0.00126582221847635i</v>
      </c>
      <c r="AG598" s="337">
        <f t="shared" si="408"/>
        <v>-57.727089878163426</v>
      </c>
      <c r="AH598" s="730">
        <f t="shared" si="409"/>
        <v>102.99812809941683</v>
      </c>
      <c r="AI598" s="360">
        <f t="shared" si="380"/>
        <v>-77.001871900583168</v>
      </c>
      <c r="AL598" s="337">
        <f t="shared" si="381"/>
        <v>-8.550788534871824</v>
      </c>
      <c r="AM598" s="730">
        <f t="shared" si="382"/>
        <v>-89.643218064239306</v>
      </c>
      <c r="AN598" s="351"/>
      <c r="AO598" s="337">
        <f t="shared" si="383"/>
        <v>4.0956298554478909</v>
      </c>
      <c r="AP598" s="730">
        <f t="shared" si="384"/>
        <v>-167.35865383634396</v>
      </c>
      <c r="AS598" s="351"/>
      <c r="AT598" s="351"/>
      <c r="AV598" s="405">
        <f t="shared" si="385"/>
        <v>0</v>
      </c>
      <c r="AW598" s="405">
        <f t="shared" si="369"/>
        <v>0</v>
      </c>
      <c r="AX598" s="405">
        <f t="shared" si="386"/>
        <v>0</v>
      </c>
      <c r="AY598" s="405">
        <f t="shared" si="387"/>
        <v>0</v>
      </c>
    </row>
    <row r="599" spans="2:51" ht="13.5" thickBot="1" x14ac:dyDescent="0.25">
      <c r="B599" s="345">
        <v>275420</v>
      </c>
      <c r="C599" s="728" t="str">
        <f t="shared" si="370"/>
        <v>2.16217503399043</v>
      </c>
      <c r="D599" s="728" t="str">
        <f t="shared" si="371"/>
        <v>1+210.545979171914i</v>
      </c>
      <c r="E599" s="337">
        <f t="shared" si="389"/>
        <v>210.54835393671459</v>
      </c>
      <c r="F599" s="338">
        <f t="shared" si="390"/>
        <v>1.5660468061219959</v>
      </c>
      <c r="G599" s="338" t="str">
        <f t="shared" si="372"/>
        <v>1+0.8652574486517i</v>
      </c>
      <c r="H599" s="337">
        <f t="shared" si="391"/>
        <v>1.3223730383092545</v>
      </c>
      <c r="I599" s="338">
        <f t="shared" si="392"/>
        <v>0.7132853806319529</v>
      </c>
      <c r="J599" s="340">
        <f t="shared" si="373"/>
        <v>1</v>
      </c>
      <c r="K599" s="338">
        <f t="shared" si="393"/>
        <v>1</v>
      </c>
      <c r="L599" s="339">
        <f t="shared" si="394"/>
        <v>0</v>
      </c>
      <c r="M599" s="731" t="str">
        <f t="shared" si="374"/>
        <v>-2.37138561777778+4.06782636772002i</v>
      </c>
      <c r="N599" s="338">
        <f t="shared" si="395"/>
        <v>4.7085752734900135</v>
      </c>
      <c r="O599" s="339">
        <f t="shared" si="396"/>
        <v>2.0985932005904111</v>
      </c>
      <c r="P599" s="732" t="str">
        <f t="shared" si="388"/>
        <v>-0.0028320240249398-0.000545353464937962i</v>
      </c>
      <c r="Q599" s="337">
        <f t="shared" si="397"/>
        <v>2.8840545209056065E-3</v>
      </c>
      <c r="R599" s="339">
        <f t="shared" si="398"/>
        <v>-2.9513546260804548</v>
      </c>
      <c r="S599" s="731" t="str">
        <f t="shared" si="375"/>
        <v>6000</v>
      </c>
      <c r="T599" s="337" t="str">
        <f t="shared" si="376"/>
        <v>1+1747820.04627643i</v>
      </c>
      <c r="U599" s="346">
        <f t="shared" si="399"/>
        <v>1747820.0462767158</v>
      </c>
      <c r="V599" s="347">
        <f t="shared" si="400"/>
        <v>1.5707957546536158</v>
      </c>
      <c r="W599" s="340" t="str">
        <f t="shared" si="377"/>
        <v>1+17305.148973034i</v>
      </c>
      <c r="X599" s="337">
        <f t="shared" si="401"/>
        <v>17305.149001927133</v>
      </c>
      <c r="Y599" s="339">
        <f t="shared" si="402"/>
        <v>1.5707385405255934</v>
      </c>
      <c r="Z599" s="337" t="str">
        <f t="shared" si="378"/>
        <v>1+174.322658961109i</v>
      </c>
      <c r="AA599" s="346">
        <f t="shared" si="403"/>
        <v>174.32552718196814</v>
      </c>
      <c r="AB599" s="347">
        <f t="shared" si="404"/>
        <v>1.5650599008071655</v>
      </c>
      <c r="AC599" s="732" t="str">
        <f t="shared" si="405"/>
        <v>0.00193532820335249-0.340770417465085i</v>
      </c>
      <c r="AD599" s="337">
        <f t="shared" si="406"/>
        <v>0.34077591304929844</v>
      </c>
      <c r="AE599" s="339">
        <f t="shared" si="407"/>
        <v>-1.5651171149351877</v>
      </c>
      <c r="AF599" s="736" t="str">
        <f t="shared" si="379"/>
        <v>-0.000191321223880978+0.000964014571308395i</v>
      </c>
      <c r="AG599" s="337">
        <f t="shared" si="408"/>
        <v>-60.150552875480159</v>
      </c>
      <c r="AH599" s="730">
        <f t="shared" si="409"/>
        <v>101.22523094970072</v>
      </c>
      <c r="AI599" s="360">
        <f t="shared" si="380"/>
        <v>-78.774769050299284</v>
      </c>
      <c r="AL599" s="337">
        <f t="shared" si="381"/>
        <v>-9.3506221982632365</v>
      </c>
      <c r="AM599" s="730">
        <f t="shared" si="382"/>
        <v>-89.674605129478039</v>
      </c>
      <c r="AN599" s="351"/>
      <c r="AO599" s="337">
        <f t="shared" si="383"/>
        <v>2.4720005215224856</v>
      </c>
      <c r="AP599" s="730">
        <f t="shared" si="384"/>
        <v>-169.10016392082125</v>
      </c>
      <c r="AS599" s="351"/>
      <c r="AT599" s="351"/>
      <c r="AV599" s="405">
        <f t="shared" si="385"/>
        <v>0</v>
      </c>
      <c r="AW599" s="405">
        <f t="shared" si="369"/>
        <v>0</v>
      </c>
      <c r="AX599" s="405">
        <f t="shared" si="386"/>
        <v>0</v>
      </c>
      <c r="AY599" s="405">
        <f t="shared" si="387"/>
        <v>0</v>
      </c>
    </row>
    <row r="600" spans="2:51" ht="13.5" thickBot="1" x14ac:dyDescent="0.25">
      <c r="B600" s="345">
        <v>302000</v>
      </c>
      <c r="C600" s="728" t="str">
        <f t="shared" si="370"/>
        <v>2.16217503399043</v>
      </c>
      <c r="D600" s="728" t="str">
        <f t="shared" si="371"/>
        <v>1+230.865172136803i</v>
      </c>
      <c r="E600" s="337">
        <f t="shared" si="389"/>
        <v>230.86733789290264</v>
      </c>
      <c r="F600" s="338">
        <f t="shared" si="390"/>
        <v>1.5664648213679115</v>
      </c>
      <c r="G600" s="338" t="str">
        <f t="shared" si="372"/>
        <v>1+0.94876098138412i</v>
      </c>
      <c r="H600" s="337">
        <f t="shared" si="391"/>
        <v>1.3784583416980576</v>
      </c>
      <c r="I600" s="338">
        <f t="shared" si="392"/>
        <v>0.75911109364588014</v>
      </c>
      <c r="J600" s="340">
        <f t="shared" si="373"/>
        <v>1</v>
      </c>
      <c r="K600" s="338">
        <f t="shared" si="393"/>
        <v>1</v>
      </c>
      <c r="L600" s="339">
        <f t="shared" si="394"/>
        <v>0</v>
      </c>
      <c r="M600" s="731" t="str">
        <f t="shared" si="374"/>
        <v>-3.05351111111113+4.46040070819639i</v>
      </c>
      <c r="N600" s="338">
        <f t="shared" si="395"/>
        <v>5.4054698762788407</v>
      </c>
      <c r="O600" s="339">
        <f t="shared" si="396"/>
        <v>2.1710996829093774</v>
      </c>
      <c r="P600" s="732" t="str">
        <f t="shared" si="388"/>
        <v>-0.00235658702783838-0.000387899181255017i</v>
      </c>
      <c r="Q600" s="337">
        <f t="shared" si="397"/>
        <v>2.388298179581947E-3</v>
      </c>
      <c r="R600" s="339">
        <f t="shared" si="398"/>
        <v>-2.9784534106314089</v>
      </c>
      <c r="S600" s="731" t="str">
        <f t="shared" si="375"/>
        <v>6000</v>
      </c>
      <c r="T600" s="337" t="str">
        <f t="shared" si="376"/>
        <v>1+1916497.18239592i</v>
      </c>
      <c r="U600" s="346">
        <f t="shared" si="399"/>
        <v>1916497.1823961807</v>
      </c>
      <c r="V600" s="347">
        <f t="shared" si="400"/>
        <v>1.5707958050096265</v>
      </c>
      <c r="W600" s="340" t="str">
        <f t="shared" si="377"/>
        <v>1+18975.2196276824i</v>
      </c>
      <c r="X600" s="337">
        <f t="shared" si="401"/>
        <v>18975.219654032557</v>
      </c>
      <c r="Y600" s="339">
        <f t="shared" si="402"/>
        <v>1.5707436264826633</v>
      </c>
      <c r="Z600" s="337" t="str">
        <f t="shared" si="378"/>
        <v>1+191.14604243067i</v>
      </c>
      <c r="AA600" s="346">
        <f t="shared" si="403"/>
        <v>191.1486582137251</v>
      </c>
      <c r="AB600" s="347">
        <f t="shared" si="404"/>
        <v>1.5655647726166666</v>
      </c>
      <c r="AC600" s="732" t="str">
        <f t="shared" si="405"/>
        <v>0.00160965977945459-0.310779810978529i</v>
      </c>
      <c r="AD600" s="337">
        <f t="shared" si="406"/>
        <v>0.31078397950418196</v>
      </c>
      <c r="AE600" s="339">
        <f t="shared" si="407"/>
        <v>-1.5656169511436298</v>
      </c>
      <c r="AF600" s="736" t="str">
        <f t="shared" si="379"/>
        <v>-0.000124344537584656+0.000731755285355516i</v>
      </c>
      <c r="AG600" s="337">
        <f t="shared" si="408"/>
        <v>-62.589056579616638</v>
      </c>
      <c r="AH600" s="730">
        <f t="shared" si="409"/>
        <v>99.643946459805136</v>
      </c>
      <c r="AI600" s="360">
        <f t="shared" si="380"/>
        <v>-80.356053540194864</v>
      </c>
      <c r="AL600" s="337">
        <f t="shared" si="381"/>
        <v>-10.150827531801864</v>
      </c>
      <c r="AM600" s="730">
        <f t="shared" si="382"/>
        <v>-89.70324363466959</v>
      </c>
      <c r="AN600" s="351"/>
      <c r="AO600" s="337">
        <f t="shared" si="383"/>
        <v>0.83370215092468336</v>
      </c>
      <c r="AP600" s="730">
        <f t="shared" si="384"/>
        <v>-170.65280990552529</v>
      </c>
      <c r="AS600" s="351"/>
      <c r="AT600" s="351"/>
      <c r="AV600" s="405">
        <f t="shared" si="385"/>
        <v>0</v>
      </c>
      <c r="AW600" s="405">
        <f t="shared" si="369"/>
        <v>0</v>
      </c>
      <c r="AX600" s="405">
        <f t="shared" si="386"/>
        <v>0</v>
      </c>
      <c r="AY600" s="405">
        <f t="shared" si="387"/>
        <v>0</v>
      </c>
    </row>
    <row r="601" spans="2:51" ht="13.5" thickBot="1" x14ac:dyDescent="0.25">
      <c r="B601" s="345">
        <v>331130</v>
      </c>
      <c r="C601" s="728" t="str">
        <f t="shared" si="370"/>
        <v>2.16217503399043</v>
      </c>
      <c r="D601" s="728" t="str">
        <f t="shared" si="371"/>
        <v>1+253.133723343243i</v>
      </c>
      <c r="E601" s="337">
        <f t="shared" si="389"/>
        <v>253.13569857610656</v>
      </c>
      <c r="F601" s="338">
        <f t="shared" si="390"/>
        <v>1.5668458662053673</v>
      </c>
      <c r="G601" s="338" t="str">
        <f t="shared" si="372"/>
        <v>1+1.04027557538319i</v>
      </c>
      <c r="H601" s="337">
        <f t="shared" si="391"/>
        <v>1.4429737602391899</v>
      </c>
      <c r="I601" s="338">
        <f t="shared" si="392"/>
        <v>0.80513586235856061</v>
      </c>
      <c r="J601" s="340">
        <f t="shared" si="373"/>
        <v>1</v>
      </c>
      <c r="K601" s="338">
        <f t="shared" si="393"/>
        <v>1</v>
      </c>
      <c r="L601" s="339">
        <f t="shared" si="394"/>
        <v>0</v>
      </c>
      <c r="M601" s="731" t="str">
        <f t="shared" si="374"/>
        <v>-3.8732034177778+4.89063737253334i</v>
      </c>
      <c r="N601" s="338">
        <f t="shared" si="395"/>
        <v>6.2385926798521991</v>
      </c>
      <c r="O601" s="339">
        <f t="shared" si="396"/>
        <v>2.2406173568146839</v>
      </c>
      <c r="P601" s="732" t="str">
        <f t="shared" si="388"/>
        <v>-0.00195651885801015-0.000274250481683034i</v>
      </c>
      <c r="Q601" s="337">
        <f t="shared" si="397"/>
        <v>1.9756465697215978E-3</v>
      </c>
      <c r="R601" s="339">
        <f t="shared" si="398"/>
        <v>-3.0023273606614893</v>
      </c>
      <c r="S601" s="731" t="str">
        <f t="shared" si="375"/>
        <v>6000</v>
      </c>
      <c r="T601" s="337" t="str">
        <f t="shared" si="376"/>
        <v>1+2101356.66227404i</v>
      </c>
      <c r="U601" s="346">
        <f t="shared" si="399"/>
        <v>2101356.6622742778</v>
      </c>
      <c r="V601" s="347">
        <f t="shared" si="400"/>
        <v>1.5707958509118549</v>
      </c>
      <c r="W601" s="340" t="str">
        <f t="shared" si="377"/>
        <v>1+20805.5115076638i</v>
      </c>
      <c r="X601" s="337">
        <f t="shared" si="401"/>
        <v>20805.511531695891</v>
      </c>
      <c r="Y601" s="339">
        <f t="shared" si="402"/>
        <v>1.5707482626077287</v>
      </c>
      <c r="Z601" s="337" t="str">
        <f t="shared" si="378"/>
        <v>1+209.58340738433i</v>
      </c>
      <c r="AA601" s="346">
        <f t="shared" si="403"/>
        <v>209.58579305579383</v>
      </c>
      <c r="AB601" s="347">
        <f t="shared" si="404"/>
        <v>1.5660249929191552</v>
      </c>
      <c r="AC601" s="732" t="str">
        <f t="shared" si="405"/>
        <v>0.00133891473001537-0.283441339283791i</v>
      </c>
      <c r="AD601" s="337">
        <f t="shared" si="406"/>
        <v>0.28344450163593471</v>
      </c>
      <c r="AE601" s="339">
        <f t="shared" si="407"/>
        <v>-1.5660725812232816</v>
      </c>
      <c r="AF601" s="736" t="str">
        <f t="shared" si="379"/>
        <v>-0.0000803535357460066+0.000554191127438751i</v>
      </c>
      <c r="AG601" s="337">
        <f t="shared" si="408"/>
        <v>-65.036454168981649</v>
      </c>
      <c r="AH601" s="730">
        <f t="shared" si="409"/>
        <v>98.249964202192061</v>
      </c>
      <c r="AI601" s="360">
        <f t="shared" si="380"/>
        <v>-81.750035797807939</v>
      </c>
      <c r="AL601" s="337">
        <f t="shared" si="381"/>
        <v>-10.950639264011198</v>
      </c>
      <c r="AM601" s="730">
        <f t="shared" si="382"/>
        <v>-89.729349315252847</v>
      </c>
      <c r="AN601" s="351"/>
      <c r="AO601" s="337">
        <f t="shared" si="383"/>
        <v>-0.81388370623101935</v>
      </c>
      <c r="AP601" s="730">
        <f t="shared" si="384"/>
        <v>-172.02068648255508</v>
      </c>
      <c r="AS601" s="351"/>
      <c r="AT601" s="351"/>
      <c r="AV601" s="405">
        <f t="shared" si="385"/>
        <v>0</v>
      </c>
      <c r="AW601" s="405">
        <f t="shared" si="369"/>
        <v>0</v>
      </c>
      <c r="AX601" s="405">
        <f t="shared" si="386"/>
        <v>0</v>
      </c>
      <c r="AY601" s="405">
        <f t="shared" si="387"/>
        <v>0</v>
      </c>
    </row>
    <row r="602" spans="2:51" ht="13.5" thickBot="1" x14ac:dyDescent="0.25">
      <c r="B602" s="345">
        <v>363080</v>
      </c>
      <c r="C602" s="728" t="str">
        <f t="shared" si="370"/>
        <v>2.16217503399043</v>
      </c>
      <c r="D602" s="728" t="str">
        <f t="shared" si="371"/>
        <v>1+277.558035428576i</v>
      </c>
      <c r="E602" s="337">
        <f t="shared" si="389"/>
        <v>277.55983684778795</v>
      </c>
      <c r="F602" s="338">
        <f t="shared" si="390"/>
        <v>1.5671934922682484</v>
      </c>
      <c r="G602" s="338" t="str">
        <f t="shared" si="372"/>
        <v>1+1.14064946066538i</v>
      </c>
      <c r="H602" s="337">
        <f t="shared" si="391"/>
        <v>1.516931505413551</v>
      </c>
      <c r="I602" s="338">
        <f t="shared" si="392"/>
        <v>0.8510079654322612</v>
      </c>
      <c r="J602" s="340">
        <f t="shared" si="373"/>
        <v>1</v>
      </c>
      <c r="K602" s="338">
        <f t="shared" si="393"/>
        <v>1</v>
      </c>
      <c r="L602" s="339">
        <f t="shared" si="394"/>
        <v>0</v>
      </c>
      <c r="M602" s="731" t="str">
        <f t="shared" si="374"/>
        <v>-4.85898161777776+5.36252413619847i</v>
      </c>
      <c r="N602" s="338">
        <f t="shared" si="395"/>
        <v>7.2364609771084458</v>
      </c>
      <c r="O602" s="339">
        <f t="shared" si="396"/>
        <v>2.3069712365655959</v>
      </c>
      <c r="P602" s="732" t="str">
        <f t="shared" si="388"/>
        <v>-0.00162151468678397-0.000192948547115694i</v>
      </c>
      <c r="Q602" s="337">
        <f t="shared" si="397"/>
        <v>1.6329540781326872E-3</v>
      </c>
      <c r="R602" s="339">
        <f t="shared" si="398"/>
        <v>-3.0231567634015821</v>
      </c>
      <c r="S602" s="731" t="str">
        <f t="shared" si="375"/>
        <v>6000</v>
      </c>
      <c r="T602" s="337" t="str">
        <f t="shared" si="376"/>
        <v>1+2304111.91054407i</v>
      </c>
      <c r="U602" s="346">
        <f t="shared" si="399"/>
        <v>2304111.9105442869</v>
      </c>
      <c r="V602" s="347">
        <f t="shared" si="400"/>
        <v>1.5707958927881995</v>
      </c>
      <c r="W602" s="340" t="str">
        <f t="shared" si="377"/>
        <v>1+22812.9892133076i</v>
      </c>
      <c r="X602" s="337">
        <f t="shared" si="401"/>
        <v>22812.989235224934</v>
      </c>
      <c r="Y602" s="339">
        <f t="shared" si="402"/>
        <v>1.5707524921185194</v>
      </c>
      <c r="Z602" s="337" t="str">
        <f t="shared" si="378"/>
        <v>1+229.80564597923i</v>
      </c>
      <c r="AA602" s="346">
        <f t="shared" si="403"/>
        <v>229.80782172052193</v>
      </c>
      <c r="AB602" s="347">
        <f t="shared" si="404"/>
        <v>1.5664448510774458</v>
      </c>
      <c r="AC602" s="732" t="str">
        <f t="shared" si="405"/>
        <v>0.00111364555415009-0.258500293569781i</v>
      </c>
      <c r="AD602" s="337">
        <f t="shared" si="406"/>
        <v>0.25850269240780305</v>
      </c>
      <c r="AE602" s="339">
        <f t="shared" si="407"/>
        <v>-1.5664882517471259</v>
      </c>
      <c r="AF602" s="736" t="str">
        <f t="shared" si="379"/>
        <v>-0.0000516830486951957+0.000418947146269693i</v>
      </c>
      <c r="AG602" s="337">
        <f t="shared" si="408"/>
        <v>-67.491219150015667</v>
      </c>
      <c r="AH602" s="730">
        <f t="shared" si="409"/>
        <v>97.032711168722244</v>
      </c>
      <c r="AI602" s="360">
        <f t="shared" si="380"/>
        <v>-82.967288831277756</v>
      </c>
      <c r="AL602" s="337">
        <f t="shared" si="381"/>
        <v>-11.750698583952996</v>
      </c>
      <c r="AM602" s="730">
        <f t="shared" si="382"/>
        <v>-89.753165481937117</v>
      </c>
      <c r="AN602" s="351"/>
      <c r="AO602" s="337">
        <f t="shared" si="383"/>
        <v>-2.4685893673232422</v>
      </c>
      <c r="AP602" s="730">
        <f t="shared" si="384"/>
        <v>-173.21412334934064</v>
      </c>
      <c r="AS602" s="351"/>
      <c r="AT602" s="351"/>
      <c r="AV602" s="405">
        <f t="shared" si="385"/>
        <v>0</v>
      </c>
      <c r="AW602" s="405">
        <f t="shared" ref="AW602:AW612" si="410">IF(AV602&gt;0,AI602,0)</f>
        <v>0</v>
      </c>
      <c r="AX602" s="405">
        <f t="shared" si="386"/>
        <v>0</v>
      </c>
      <c r="AY602" s="405">
        <f t="shared" si="387"/>
        <v>0</v>
      </c>
    </row>
    <row r="603" spans="2:51" ht="13.5" thickBot="1" x14ac:dyDescent="0.25">
      <c r="B603" s="345">
        <v>398110</v>
      </c>
      <c r="C603" s="728" t="str">
        <f t="shared" si="370"/>
        <v>2.16217503399043</v>
      </c>
      <c r="D603" s="728" t="str">
        <f t="shared" si="371"/>
        <v>1+304.336866488021i</v>
      </c>
      <c r="E603" s="337">
        <f t="shared" si="389"/>
        <v>304.33850939989094</v>
      </c>
      <c r="F603" s="338">
        <f t="shared" si="390"/>
        <v>1.5675105060112879</v>
      </c>
      <c r="G603" s="338" t="str">
        <f t="shared" si="372"/>
        <v>1+1.25069945132063i</v>
      </c>
      <c r="H603" s="337">
        <f t="shared" si="391"/>
        <v>1.6013272986912215</v>
      </c>
      <c r="I603" s="338">
        <f t="shared" si="392"/>
        <v>0.89632824807762534</v>
      </c>
      <c r="J603" s="340">
        <f t="shared" si="373"/>
        <v>1</v>
      </c>
      <c r="K603" s="338">
        <f t="shared" si="393"/>
        <v>1</v>
      </c>
      <c r="L603" s="339">
        <f t="shared" si="394"/>
        <v>0</v>
      </c>
      <c r="M603" s="731" t="str">
        <f t="shared" si="374"/>
        <v>-6.04406987111114+5.87990107927173i</v>
      </c>
      <c r="N603" s="338">
        <f t="shared" si="395"/>
        <v>8.4323198058953075</v>
      </c>
      <c r="O603" s="339">
        <f t="shared" si="396"/>
        <v>2.3699615834365408</v>
      </c>
      <c r="P603" s="732" t="str">
        <f t="shared" si="388"/>
        <v>-0.00134237011493831-0.000135294829970545i</v>
      </c>
      <c r="Q603" s="337">
        <f t="shared" si="397"/>
        <v>1.3491709367223453E-3</v>
      </c>
      <c r="R603" s="339">
        <f t="shared" si="398"/>
        <v>-3.0411438413702032</v>
      </c>
      <c r="S603" s="731" t="str">
        <f t="shared" si="375"/>
        <v>6000</v>
      </c>
      <c r="T603" s="337" t="str">
        <f t="shared" si="376"/>
        <v>1+2526412.89166768i</v>
      </c>
      <c r="U603" s="346">
        <f t="shared" si="399"/>
        <v>2526412.8916678778</v>
      </c>
      <c r="V603" s="347">
        <f t="shared" si="400"/>
        <v>1.5707959309767772</v>
      </c>
      <c r="W603" s="340" t="str">
        <f t="shared" si="377"/>
        <v>1+25013.9890264127i</v>
      </c>
      <c r="X603" s="337">
        <f t="shared" si="401"/>
        <v>25013.989046401515</v>
      </c>
      <c r="Y603" s="339">
        <f t="shared" si="402"/>
        <v>1.5707563491648429</v>
      </c>
      <c r="Z603" s="337" t="str">
        <f t="shared" si="378"/>
        <v>1+251.977321033358i</v>
      </c>
      <c r="AA603" s="346">
        <f t="shared" si="403"/>
        <v>251.97930533110843</v>
      </c>
      <c r="AB603" s="347">
        <f t="shared" si="404"/>
        <v>1.5668277365027603</v>
      </c>
      <c r="AC603" s="732" t="str">
        <f t="shared" si="405"/>
        <v>0.00092628973529646-0.235755400770336i</v>
      </c>
      <c r="AD603" s="337">
        <f t="shared" si="406"/>
        <v>0.23575722047278944</v>
      </c>
      <c r="AE603" s="339">
        <f t="shared" si="407"/>
        <v>-1.5668673183146944</v>
      </c>
      <c r="AF603" s="736" t="str">
        <f t="shared" si="379"/>
        <v>-0.0000331399105202964+0.000316345682217163i</v>
      </c>
      <c r="AG603" s="337">
        <f t="shared" si="408"/>
        <v>-69.949360402793872</v>
      </c>
      <c r="AH603" s="730">
        <f t="shared" si="409"/>
        <v>95.980408600871314</v>
      </c>
      <c r="AI603" s="360">
        <f t="shared" si="380"/>
        <v>-84.019591399128686</v>
      </c>
      <c r="AL603" s="337">
        <f t="shared" si="381"/>
        <v>-12.550699947340242</v>
      </c>
      <c r="AM603" s="730">
        <f t="shared" si="382"/>
        <v>-89.774884396413299</v>
      </c>
      <c r="AN603" s="351"/>
      <c r="AO603" s="337">
        <f t="shared" si="383"/>
        <v>-4.1267292567141984</v>
      </c>
      <c r="AP603" s="730">
        <f t="shared" si="384"/>
        <v>-174.24470700271536</v>
      </c>
      <c r="AS603" s="351"/>
      <c r="AT603" s="351"/>
      <c r="AV603" s="405">
        <f t="shared" si="385"/>
        <v>0</v>
      </c>
      <c r="AW603" s="405">
        <f t="shared" si="410"/>
        <v>0</v>
      </c>
      <c r="AX603" s="405">
        <f t="shared" si="386"/>
        <v>0</v>
      </c>
      <c r="AY603" s="405">
        <f t="shared" si="387"/>
        <v>0</v>
      </c>
    </row>
    <row r="604" spans="2:51" ht="13.5" thickBot="1" x14ac:dyDescent="0.25">
      <c r="B604" s="345">
        <v>436520</v>
      </c>
      <c r="C604" s="728" t="str">
        <f t="shared" si="370"/>
        <v>2.16217503399043</v>
      </c>
      <c r="D604" s="728" t="str">
        <f t="shared" si="371"/>
        <v>1+333.699552785287i</v>
      </c>
      <c r="E604" s="337">
        <f t="shared" si="389"/>
        <v>333.70105113574419</v>
      </c>
      <c r="F604" s="338">
        <f t="shared" si="390"/>
        <v>1.5677996281231406</v>
      </c>
      <c r="G604" s="338" t="str">
        <f t="shared" si="372"/>
        <v>1+1.37136802514501i</v>
      </c>
      <c r="H604" s="337">
        <f t="shared" si="391"/>
        <v>1.6972478488394453</v>
      </c>
      <c r="I604" s="338">
        <f t="shared" si="392"/>
        <v>0.94074139958527458</v>
      </c>
      <c r="J604" s="340">
        <f t="shared" si="373"/>
        <v>1</v>
      </c>
      <c r="K604" s="338">
        <f t="shared" si="393"/>
        <v>1</v>
      </c>
      <c r="L604" s="339">
        <f t="shared" si="394"/>
        <v>0</v>
      </c>
      <c r="M604" s="731" t="str">
        <f t="shared" si="374"/>
        <v>-7.46887601777776+6.44719906338371i</v>
      </c>
      <c r="N604" s="338">
        <f t="shared" si="395"/>
        <v>9.866634924422387</v>
      </c>
      <c r="O604" s="339">
        <f t="shared" si="396"/>
        <v>2.4294800415091418</v>
      </c>
      <c r="P604" s="732" t="str">
        <f t="shared" si="388"/>
        <v>-0.00111054634400091-0.000094685270459403i</v>
      </c>
      <c r="Q604" s="337">
        <f t="shared" si="397"/>
        <v>1.114575471924516E-3</v>
      </c>
      <c r="R604" s="339">
        <f t="shared" si="398"/>
        <v>-3.056538270047009</v>
      </c>
      <c r="S604" s="731" t="str">
        <f t="shared" si="375"/>
        <v>6000</v>
      </c>
      <c r="T604" s="337" t="str">
        <f t="shared" si="376"/>
        <v>1+2770163.41079293i</v>
      </c>
      <c r="U604" s="346">
        <f t="shared" si="399"/>
        <v>2770163.4107931107</v>
      </c>
      <c r="V604" s="347">
        <f t="shared" si="400"/>
        <v>1.5707959658053621</v>
      </c>
      <c r="W604" s="340" t="str">
        <f t="shared" si="377"/>
        <v>1+27427.3605029003i</v>
      </c>
      <c r="X604" s="337">
        <f t="shared" si="401"/>
        <v>27427.360521130271</v>
      </c>
      <c r="Y604" s="339">
        <f t="shared" si="402"/>
        <v>1.5707598668519338</v>
      </c>
      <c r="Z604" s="337" t="str">
        <f t="shared" si="378"/>
        <v>1+276.288312721311i</v>
      </c>
      <c r="AA604" s="346">
        <f t="shared" si="403"/>
        <v>276.29012241915007</v>
      </c>
      <c r="AB604" s="347">
        <f t="shared" si="404"/>
        <v>1.5671769350678952</v>
      </c>
      <c r="AC604" s="732" t="str">
        <f t="shared" si="405"/>
        <v>0.000770452524241494-0.215011520238392i</v>
      </c>
      <c r="AD604" s="337">
        <f t="shared" si="406"/>
        <v>0.21501290061835027</v>
      </c>
      <c r="AE604" s="339">
        <f t="shared" si="407"/>
        <v>-1.5672130340213235</v>
      </c>
      <c r="AF604" s="736" t="str">
        <f t="shared" si="379"/>
        <v>-0.0000212140471796822+0.00023870730721319i</v>
      </c>
      <c r="AG604" s="337">
        <f t="shared" si="408"/>
        <v>-72.408520009815135</v>
      </c>
      <c r="AH604" s="730">
        <f t="shared" si="409"/>
        <v>95.078564758773965</v>
      </c>
      <c r="AI604" s="360">
        <f t="shared" si="380"/>
        <v>-84.921435241226035</v>
      </c>
      <c r="AL604" s="337">
        <f t="shared" si="381"/>
        <v>-13.350709638964052</v>
      </c>
      <c r="AM604" s="730">
        <f t="shared" si="382"/>
        <v>-89.794692447314532</v>
      </c>
      <c r="AN604" s="351"/>
      <c r="AO604" s="337">
        <f t="shared" si="383"/>
        <v>-5.7858791721116525</v>
      </c>
      <c r="AP604" s="730">
        <f t="shared" si="384"/>
        <v>-175.12674279391149</v>
      </c>
      <c r="AS604" s="351"/>
      <c r="AT604" s="351"/>
      <c r="AV604" s="405">
        <f t="shared" si="385"/>
        <v>0</v>
      </c>
      <c r="AW604" s="405">
        <f t="shared" si="410"/>
        <v>0</v>
      </c>
      <c r="AX604" s="405">
        <f t="shared" si="386"/>
        <v>0</v>
      </c>
      <c r="AY604" s="405">
        <f t="shared" si="387"/>
        <v>0</v>
      </c>
    </row>
    <row r="605" spans="2:51" ht="13.5" thickBot="1" x14ac:dyDescent="0.25">
      <c r="B605" s="345">
        <v>478630</v>
      </c>
      <c r="C605" s="728" t="str">
        <f t="shared" si="370"/>
        <v>2.16217503399043</v>
      </c>
      <c r="D605" s="728" t="str">
        <f t="shared" si="371"/>
        <v>1+365.890719668337i</v>
      </c>
      <c r="E605" s="337">
        <f t="shared" si="389"/>
        <v>365.89208619402189</v>
      </c>
      <c r="F605" s="338">
        <f t="shared" si="390"/>
        <v>1.5680632771262641</v>
      </c>
      <c r="G605" s="338" t="str">
        <f t="shared" si="372"/>
        <v>1+1.50366049178769i</v>
      </c>
      <c r="H605" s="337">
        <f t="shared" si="391"/>
        <v>1.8058224925399498</v>
      </c>
      <c r="I605" s="338">
        <f t="shared" si="392"/>
        <v>0.98391812830328063</v>
      </c>
      <c r="J605" s="340">
        <f t="shared" si="373"/>
        <v>1</v>
      </c>
      <c r="K605" s="338">
        <f t="shared" si="393"/>
        <v>1</v>
      </c>
      <c r="L605" s="339">
        <f t="shared" si="394"/>
        <v>0</v>
      </c>
      <c r="M605" s="731" t="str">
        <f t="shared" si="374"/>
        <v>-9.1816300844445+7.06914434094052i</v>
      </c>
      <c r="N605" s="338">
        <f t="shared" si="395"/>
        <v>11.587714732449522</v>
      </c>
      <c r="O605" s="339">
        <f t="shared" si="396"/>
        <v>2.4854625393823326</v>
      </c>
      <c r="P605" s="732" t="str">
        <f t="shared" si="388"/>
        <v>-0.000918520599587944-0.0000662341178696103i</v>
      </c>
      <c r="Q605" s="337">
        <f t="shared" si="397"/>
        <v>9.2090555989056855E-4</v>
      </c>
      <c r="R605" s="339">
        <f t="shared" si="398"/>
        <v>-3.0696076882053158</v>
      </c>
      <c r="S605" s="731" t="str">
        <f t="shared" si="375"/>
        <v>6000</v>
      </c>
      <c r="T605" s="337" t="str">
        <f t="shared" si="376"/>
        <v>1+3037394.19341112i</v>
      </c>
      <c r="U605" s="346">
        <f t="shared" si="399"/>
        <v>3037394.1934112846</v>
      </c>
      <c r="V605" s="347">
        <f t="shared" si="400"/>
        <v>1.5707959975653214</v>
      </c>
      <c r="W605" s="340" t="str">
        <f t="shared" si="377"/>
        <v>1+30073.2098357537i</v>
      </c>
      <c r="X605" s="337">
        <f t="shared" si="401"/>
        <v>30073.209852379794</v>
      </c>
      <c r="Y605" s="339">
        <f t="shared" si="402"/>
        <v>1.5707630746078141</v>
      </c>
      <c r="Z605" s="337" t="str">
        <f t="shared" si="378"/>
        <v>1+302.941159895999i</v>
      </c>
      <c r="AA605" s="346">
        <f t="shared" si="403"/>
        <v>302.94281037703013</v>
      </c>
      <c r="AB605" s="347">
        <f t="shared" si="404"/>
        <v>1.5674953677300063</v>
      </c>
      <c r="AC605" s="732" t="str">
        <f t="shared" si="405"/>
        <v>0.000640848393621996-0.196095174939925i</v>
      </c>
      <c r="AD605" s="337">
        <f t="shared" si="406"/>
        <v>0.19609622209870184</v>
      </c>
      <c r="AE605" s="339">
        <f t="shared" si="407"/>
        <v>-1.5675282906875136</v>
      </c>
      <c r="AF605" s="736" t="str">
        <f t="shared" si="379"/>
        <v>-0.0000135768233813875+0.000180075011634083i</v>
      </c>
      <c r="AG605" s="337">
        <f t="shared" si="408"/>
        <v>-74.866313563571921</v>
      </c>
      <c r="AH605" s="730">
        <f t="shared" si="409"/>
        <v>94.311679381175281</v>
      </c>
      <c r="AI605" s="360">
        <f t="shared" si="380"/>
        <v>-85.688320618824719</v>
      </c>
      <c r="AL605" s="337">
        <f t="shared" si="381"/>
        <v>-14.15061546346141</v>
      </c>
      <c r="AM605" s="730">
        <f t="shared" si="382"/>
        <v>-89.812755323750594</v>
      </c>
      <c r="AN605" s="351"/>
      <c r="AO605" s="337">
        <f t="shared" si="383"/>
        <v>-7.4437669013710757</v>
      </c>
      <c r="AP605" s="730">
        <f t="shared" si="384"/>
        <v>-175.87556529507413</v>
      </c>
      <c r="AS605" s="351"/>
      <c r="AT605" s="351"/>
      <c r="AV605" s="405">
        <f t="shared" si="385"/>
        <v>0</v>
      </c>
      <c r="AW605" s="405">
        <f t="shared" si="410"/>
        <v>0</v>
      </c>
      <c r="AX605" s="405">
        <f t="shared" si="386"/>
        <v>0</v>
      </c>
      <c r="AY605" s="405">
        <f t="shared" si="387"/>
        <v>0</v>
      </c>
    </row>
    <row r="606" spans="2:51" ht="13.5" thickBot="1" x14ac:dyDescent="0.25">
      <c r="B606" s="345">
        <v>524810</v>
      </c>
      <c r="C606" s="728" t="str">
        <f t="shared" si="370"/>
        <v>2.16217503399043</v>
      </c>
      <c r="D606" s="728" t="str">
        <f t="shared" si="371"/>
        <v>1+401.193215195745i</v>
      </c>
      <c r="E606" s="337">
        <f t="shared" si="389"/>
        <v>401.19446147610188</v>
      </c>
      <c r="F606" s="338">
        <f t="shared" si="390"/>
        <v>1.5683037673717259</v>
      </c>
      <c r="G606" s="338" t="str">
        <f t="shared" si="372"/>
        <v>1+1.64873924053046i</v>
      </c>
      <c r="H606" s="337">
        <f t="shared" si="391"/>
        <v>1.9283000501127823</v>
      </c>
      <c r="I606" s="338">
        <f t="shared" si="392"/>
        <v>1.0255935357575166</v>
      </c>
      <c r="J606" s="340">
        <f t="shared" si="373"/>
        <v>1</v>
      </c>
      <c r="K606" s="338">
        <f t="shared" si="393"/>
        <v>1</v>
      </c>
      <c r="L606" s="339">
        <f t="shared" si="394"/>
        <v>0</v>
      </c>
      <c r="M606" s="731" t="str">
        <f t="shared" si="374"/>
        <v>-11.2411349377778+7.75120164128656i</v>
      </c>
      <c r="N606" s="338">
        <f t="shared" si="395"/>
        <v>13.654458670090591</v>
      </c>
      <c r="O606" s="339">
        <f t="shared" si="396"/>
        <v>2.537922010056572</v>
      </c>
      <c r="P606" s="732" t="str">
        <f t="shared" si="388"/>
        <v>-0.000759676317974452-0.0000463676321995882i</v>
      </c>
      <c r="Q606" s="337">
        <f t="shared" si="397"/>
        <v>7.610900507870386E-4</v>
      </c>
      <c r="R606" s="339">
        <f t="shared" si="398"/>
        <v>-3.0806322416707816</v>
      </c>
      <c r="S606" s="731" t="str">
        <f t="shared" si="375"/>
        <v>6000</v>
      </c>
      <c r="T606" s="337" t="str">
        <f t="shared" si="376"/>
        <v>1+3330453.26587153i</v>
      </c>
      <c r="U606" s="346">
        <f t="shared" si="399"/>
        <v>3330453.2658716799</v>
      </c>
      <c r="V606" s="347">
        <f t="shared" si="400"/>
        <v>1.5707960265354663</v>
      </c>
      <c r="W606" s="340" t="str">
        <f t="shared" si="377"/>
        <v>1+32974.7848106092i</v>
      </c>
      <c r="X606" s="337">
        <f t="shared" si="401"/>
        <v>32974.784825772302</v>
      </c>
      <c r="Y606" s="339">
        <f t="shared" si="402"/>
        <v>1.5707660005924533</v>
      </c>
      <c r="Z606" s="337" t="str">
        <f t="shared" si="378"/>
        <v>1+332.170048106092i</v>
      </c>
      <c r="AA606" s="346">
        <f t="shared" si="403"/>
        <v>332.17155335579753</v>
      </c>
      <c r="AB606" s="347">
        <f t="shared" si="404"/>
        <v>1.5677858296574552</v>
      </c>
      <c r="AC606" s="732" t="str">
        <f t="shared" si="405"/>
        <v>0.00053303008903449-0.178840349704054i</v>
      </c>
      <c r="AD606" s="337">
        <f t="shared" si="406"/>
        <v>0.17884114404505508</v>
      </c>
      <c r="AE606" s="339">
        <f t="shared" si="407"/>
        <v>-1.5678158556004684</v>
      </c>
      <c r="AF606" s="736" t="str">
        <f t="shared" si="379"/>
        <v>-8.69733389293062E-06+0.000135836063025319i</v>
      </c>
      <c r="AG606" s="337">
        <f t="shared" si="408"/>
        <v>-77.32193031751298</v>
      </c>
      <c r="AH606" s="730">
        <f t="shared" si="409"/>
        <v>93.66354274073943</v>
      </c>
      <c r="AI606" s="360">
        <f t="shared" si="380"/>
        <v>-86.33645725926057</v>
      </c>
      <c r="AL606" s="337">
        <f t="shared" si="381"/>
        <v>-14.950651212351055</v>
      </c>
      <c r="AM606" s="730">
        <f t="shared" si="382"/>
        <v>-89.829231579598954</v>
      </c>
      <c r="AN606" s="351"/>
      <c r="AO606" s="337">
        <f t="shared" si="383"/>
        <v>-9.0993479064224623</v>
      </c>
      <c r="AP606" s="730">
        <f t="shared" si="384"/>
        <v>-176.50722567966164</v>
      </c>
      <c r="AS606" s="351"/>
      <c r="AT606" s="351"/>
      <c r="AV606" s="405">
        <f t="shared" si="385"/>
        <v>0</v>
      </c>
      <c r="AW606" s="405">
        <f t="shared" si="410"/>
        <v>0</v>
      </c>
      <c r="AX606" s="405">
        <f t="shared" si="386"/>
        <v>0</v>
      </c>
      <c r="AY606" s="405">
        <f t="shared" si="387"/>
        <v>0</v>
      </c>
    </row>
    <row r="607" spans="2:51" ht="13.5" thickBot="1" x14ac:dyDescent="0.25">
      <c r="B607" s="345">
        <v>575440</v>
      </c>
      <c r="C607" s="728" t="str">
        <f t="shared" si="370"/>
        <v>2.16217503399043</v>
      </c>
      <c r="D607" s="728" t="str">
        <f t="shared" si="371"/>
        <v>1+439.897531968216i</v>
      </c>
      <c r="E607" s="337">
        <f t="shared" si="389"/>
        <v>439.89866859508402</v>
      </c>
      <c r="F607" s="338">
        <f t="shared" si="390"/>
        <v>1.5685230740376788</v>
      </c>
      <c r="G607" s="338" t="str">
        <f t="shared" si="372"/>
        <v>1+1.80779807658171i</v>
      </c>
      <c r="H607" s="337">
        <f t="shared" si="391"/>
        <v>2.065946244627999</v>
      </c>
      <c r="I607" s="338">
        <f t="shared" si="392"/>
        <v>1.065530920867473</v>
      </c>
      <c r="J607" s="340">
        <f t="shared" si="373"/>
        <v>1</v>
      </c>
      <c r="K607" s="338">
        <f t="shared" si="393"/>
        <v>1</v>
      </c>
      <c r="L607" s="339">
        <f t="shared" si="394"/>
        <v>0</v>
      </c>
      <c r="M607" s="731" t="str">
        <f t="shared" si="374"/>
        <v>-13.7169419377777+8.49898338915405i</v>
      </c>
      <c r="N607" s="338">
        <f t="shared" si="395"/>
        <v>16.136518049860729</v>
      </c>
      <c r="O607" s="339">
        <f t="shared" si="396"/>
        <v>2.5868876942643673</v>
      </c>
      <c r="P607" s="732" t="str">
        <f t="shared" si="388"/>
        <v>-0.000628443780569025-0.0000325275918252605i</v>
      </c>
      <c r="Q607" s="337">
        <f t="shared" si="397"/>
        <v>6.2928501457276058E-4</v>
      </c>
      <c r="R607" s="339">
        <f t="shared" si="398"/>
        <v>-3.089879847434573</v>
      </c>
      <c r="S607" s="731" t="str">
        <f t="shared" si="375"/>
        <v>6000</v>
      </c>
      <c r="T607" s="337" t="str">
        <f t="shared" si="376"/>
        <v>1+3651752.11469505i</v>
      </c>
      <c r="U607" s="346">
        <f t="shared" si="399"/>
        <v>3651752.1146951867</v>
      </c>
      <c r="V607" s="347">
        <f t="shared" si="400"/>
        <v>1.5707960529537461</v>
      </c>
      <c r="W607" s="340" t="str">
        <f t="shared" si="377"/>
        <v>1+36155.9615316342i</v>
      </c>
      <c r="X607" s="337">
        <f t="shared" si="401"/>
        <v>36155.961545463178</v>
      </c>
      <c r="Y607" s="339">
        <f t="shared" si="402"/>
        <v>1.570768668838715</v>
      </c>
      <c r="Z607" s="337" t="str">
        <f t="shared" si="378"/>
        <v>1+364.215492239419i</v>
      </c>
      <c r="AA607" s="346">
        <f t="shared" si="403"/>
        <v>364.21686505048376</v>
      </c>
      <c r="AB607" s="347">
        <f t="shared" si="404"/>
        <v>1.56805070639023</v>
      </c>
      <c r="AC607" s="732" t="str">
        <f t="shared" si="405"/>
        <v>0.000443359987532267-0.163105355209511i</v>
      </c>
      <c r="AD607" s="337">
        <f t="shared" si="406"/>
        <v>0.16310595778848574</v>
      </c>
      <c r="AE607" s="339">
        <f t="shared" si="407"/>
        <v>-1.5680780905052611</v>
      </c>
      <c r="AF607" s="736" t="str">
        <f t="shared" si="379"/>
        <v>-5.58405124548691E-06+0.000102488124626213i</v>
      </c>
      <c r="AG607" s="337">
        <f t="shared" si="408"/>
        <v>-79.773655706305107</v>
      </c>
      <c r="AH607" s="730">
        <f t="shared" si="409"/>
        <v>93.118669006587652</v>
      </c>
      <c r="AI607" s="360">
        <f t="shared" si="380"/>
        <v>-86.881330993412348</v>
      </c>
      <c r="AL607" s="337">
        <f t="shared" si="381"/>
        <v>-15.750603502994929</v>
      </c>
      <c r="AM607" s="730">
        <f t="shared" si="382"/>
        <v>-89.844256532884586</v>
      </c>
      <c r="AN607" s="351"/>
      <c r="AO607" s="337">
        <f t="shared" si="383"/>
        <v>-10.751121004570773</v>
      </c>
      <c r="AP607" s="730">
        <f t="shared" si="384"/>
        <v>-177.03707446052775</v>
      </c>
      <c r="AS607" s="351"/>
      <c r="AT607" s="351"/>
      <c r="AV607" s="405">
        <f t="shared" si="385"/>
        <v>0</v>
      </c>
      <c r="AW607" s="405">
        <f t="shared" si="410"/>
        <v>0</v>
      </c>
      <c r="AX607" s="405">
        <f t="shared" si="386"/>
        <v>0</v>
      </c>
      <c r="AY607" s="405">
        <f t="shared" si="387"/>
        <v>0</v>
      </c>
    </row>
    <row r="608" spans="2:51" ht="13.5" thickBot="1" x14ac:dyDescent="0.25">
      <c r="B608" s="345">
        <v>630960</v>
      </c>
      <c r="C608" s="728" t="str">
        <f t="shared" si="370"/>
        <v>2.16217503399043</v>
      </c>
      <c r="D608" s="728" t="str">
        <f t="shared" si="371"/>
        <v>1+482.340029839194i</v>
      </c>
      <c r="E608" s="337">
        <f t="shared" si="389"/>
        <v>482.3410664511934</v>
      </c>
      <c r="F608" s="338">
        <f t="shared" si="390"/>
        <v>1.568723103538719</v>
      </c>
      <c r="G608" s="338" t="str">
        <f t="shared" si="372"/>
        <v>1+1.98221930070901i</v>
      </c>
      <c r="H608" s="337">
        <f t="shared" si="391"/>
        <v>2.2201786766166633</v>
      </c>
      <c r="I608" s="338">
        <f t="shared" si="392"/>
        <v>1.1035671198151167</v>
      </c>
      <c r="J608" s="340">
        <f t="shared" si="373"/>
        <v>1</v>
      </c>
      <c r="K608" s="338">
        <f t="shared" si="393"/>
        <v>1</v>
      </c>
      <c r="L608" s="339">
        <f t="shared" si="394"/>
        <v>0</v>
      </c>
      <c r="M608" s="731" t="str">
        <f t="shared" si="374"/>
        <v>-16.6938009599999+9.31898818160128i</v>
      </c>
      <c r="N608" s="338">
        <f t="shared" si="395"/>
        <v>19.118748160403126</v>
      </c>
      <c r="O608" s="339">
        <f t="shared" si="396"/>
        <v>2.6324524401324658</v>
      </c>
      <c r="P608" s="732" t="str">
        <f t="shared" si="388"/>
        <v>-0.000520049702770904-0.000022888747789273i</v>
      </c>
      <c r="Q608" s="337">
        <f t="shared" si="397"/>
        <v>5.2055315590962136E-4</v>
      </c>
      <c r="R608" s="339">
        <f t="shared" si="398"/>
        <v>-3.0976084238560682</v>
      </c>
      <c r="S608" s="731" t="str">
        <f t="shared" si="375"/>
        <v>6000</v>
      </c>
      <c r="T608" s="337" t="str">
        <f t="shared" si="376"/>
        <v>1+4004082.98743221i</v>
      </c>
      <c r="U608" s="346">
        <f t="shared" si="399"/>
        <v>4004082.9874323341</v>
      </c>
      <c r="V608" s="347">
        <f t="shared" si="400"/>
        <v>1.570796077049823</v>
      </c>
      <c r="W608" s="340" t="str">
        <f t="shared" si="377"/>
        <v>1+39644.3860141803i</v>
      </c>
      <c r="X608" s="337">
        <f t="shared" si="401"/>
        <v>39644.386026792425</v>
      </c>
      <c r="Y608" s="339">
        <f t="shared" si="402"/>
        <v>1.5707711025424784</v>
      </c>
      <c r="Z608" s="337" t="str">
        <f t="shared" si="378"/>
        <v>1+399.355983218726i</v>
      </c>
      <c r="AA608" s="346">
        <f t="shared" si="403"/>
        <v>399.35723523256138</v>
      </c>
      <c r="AB608" s="347">
        <f t="shared" si="404"/>
        <v>1.5682923004325269</v>
      </c>
      <c r="AC608" s="732" t="str">
        <f t="shared" si="405"/>
        <v>0.000368768219120319-0.148753428826618i</v>
      </c>
      <c r="AD608" s="337">
        <f t="shared" si="406"/>
        <v>0.14875388592462094</v>
      </c>
      <c r="AE608" s="339">
        <f t="shared" si="407"/>
        <v>-1.5683172749398715</v>
      </c>
      <c r="AF608" s="736" t="str">
        <f t="shared" si="379"/>
        <v>-3.59655751794691E-06+0.0000773507358046754i</v>
      </c>
      <c r="AG608" s="337">
        <f t="shared" si="408"/>
        <v>-82.221331930393404</v>
      </c>
      <c r="AH608" s="730">
        <f t="shared" si="409"/>
        <v>92.662149937363282</v>
      </c>
      <c r="AI608" s="360">
        <f t="shared" si="380"/>
        <v>-87.337850062636718</v>
      </c>
      <c r="AL608" s="337">
        <f t="shared" si="381"/>
        <v>-16.550633605961156</v>
      </c>
      <c r="AM608" s="730">
        <f t="shared" si="382"/>
        <v>-89.85796079151298</v>
      </c>
      <c r="AN608" s="351"/>
      <c r="AO608" s="337">
        <f t="shared" si="383"/>
        <v>-12.398767125692823</v>
      </c>
      <c r="AP608" s="730">
        <f t="shared" si="384"/>
        <v>-177.47988927112374</v>
      </c>
      <c r="AS608" s="351"/>
      <c r="AT608" s="351"/>
      <c r="AV608" s="405">
        <f t="shared" si="385"/>
        <v>0</v>
      </c>
      <c r="AW608" s="405">
        <f t="shared" si="410"/>
        <v>0</v>
      </c>
      <c r="AX608" s="405">
        <f t="shared" si="386"/>
        <v>0</v>
      </c>
      <c r="AY608" s="405">
        <f t="shared" si="387"/>
        <v>0</v>
      </c>
    </row>
    <row r="609" spans="2:51" ht="13.5" thickBot="1" x14ac:dyDescent="0.25">
      <c r="B609" s="345">
        <v>691830</v>
      </c>
      <c r="C609" s="728" t="str">
        <f t="shared" si="370"/>
        <v>2.16217503399043</v>
      </c>
      <c r="D609" s="728" t="str">
        <f t="shared" si="371"/>
        <v>1+528.87235774637i</v>
      </c>
      <c r="E609" s="337">
        <f t="shared" si="389"/>
        <v>528.87330315322629</v>
      </c>
      <c r="F609" s="338">
        <f t="shared" si="390"/>
        <v>1.5689055136456973</v>
      </c>
      <c r="G609" s="338" t="str">
        <f t="shared" si="372"/>
        <v>1+2.17344804553302i</v>
      </c>
      <c r="H609" s="337">
        <f t="shared" si="391"/>
        <v>2.3924624148837332</v>
      </c>
      <c r="I609" s="338">
        <f t="shared" si="392"/>
        <v>1.1395763621253692</v>
      </c>
      <c r="J609" s="340">
        <f t="shared" si="373"/>
        <v>1</v>
      </c>
      <c r="K609" s="338">
        <f t="shared" si="393"/>
        <v>1</v>
      </c>
      <c r="L609" s="339">
        <f t="shared" si="394"/>
        <v>0</v>
      </c>
      <c r="M609" s="731" t="str">
        <f t="shared" si="374"/>
        <v>-20.27238884+10.2180100064619i</v>
      </c>
      <c r="N609" s="338">
        <f t="shared" si="395"/>
        <v>22.701926741409245</v>
      </c>
      <c r="O609" s="339">
        <f t="shared" si="396"/>
        <v>2.674721608413746</v>
      </c>
      <c r="P609" s="732" t="str">
        <f t="shared" si="388"/>
        <v>-0.000430541967839872-0.0000161709585676871i</v>
      </c>
      <c r="Q609" s="337">
        <f t="shared" si="397"/>
        <v>4.3084554769943627E-4</v>
      </c>
      <c r="R609" s="339">
        <f t="shared" si="398"/>
        <v>-3.1040507599340725</v>
      </c>
      <c r="S609" s="731" t="str">
        <f t="shared" si="375"/>
        <v>6000</v>
      </c>
      <c r="T609" s="337" t="str">
        <f t="shared" si="376"/>
        <v>1+4390365.05197671i</v>
      </c>
      <c r="U609" s="346">
        <f t="shared" si="399"/>
        <v>4390365.0519768232</v>
      </c>
      <c r="V609" s="347">
        <f t="shared" si="400"/>
        <v>1.5707960990234042</v>
      </c>
      <c r="W609" s="340" t="str">
        <f t="shared" si="377"/>
        <v>1+43468.9609106605i</v>
      </c>
      <c r="X609" s="337">
        <f t="shared" si="401"/>
        <v>43468.960922162958</v>
      </c>
      <c r="Y609" s="339">
        <f t="shared" si="402"/>
        <v>1.57077332187417</v>
      </c>
      <c r="Z609" s="337" t="str">
        <f t="shared" si="378"/>
        <v>1+437.882670645067i</v>
      </c>
      <c r="AA609" s="346">
        <f t="shared" si="403"/>
        <v>437.88381250196517</v>
      </c>
      <c r="AB609" s="347">
        <f t="shared" si="404"/>
        <v>1.5685126139910119</v>
      </c>
      <c r="AC609" s="732" t="str">
        <f t="shared" si="405"/>
        <v>0.000306731810944096-0.135665642522558i</v>
      </c>
      <c r="AD609" s="337">
        <f t="shared" si="406"/>
        <v>0.13566598927314963</v>
      </c>
      <c r="AE609" s="339">
        <f t="shared" si="407"/>
        <v>-1.5685353911402464</v>
      </c>
      <c r="AF609" s="736" t="str">
        <f t="shared" si="379"/>
        <v>-2.32590440177389E-06+0.0000584047925525166i</v>
      </c>
      <c r="AG609" s="337">
        <f t="shared" si="408"/>
        <v>-84.66414809200694</v>
      </c>
      <c r="AH609" s="730">
        <f t="shared" si="409"/>
        <v>92.280534132163865</v>
      </c>
      <c r="AI609" s="360">
        <f t="shared" si="380"/>
        <v>-87.719465867836135</v>
      </c>
      <c r="AL609" s="337">
        <f t="shared" si="381"/>
        <v>-17.350580279274741</v>
      </c>
      <c r="AM609" s="730">
        <f t="shared" si="382"/>
        <v>-89.870457929237901</v>
      </c>
      <c r="AN609" s="351"/>
      <c r="AO609" s="337">
        <f t="shared" si="383"/>
        <v>-14.041636613992788</v>
      </c>
      <c r="AP609" s="730">
        <f t="shared" si="384"/>
        <v>-177.84900793859825</v>
      </c>
      <c r="AS609" s="351"/>
      <c r="AT609" s="351"/>
      <c r="AV609" s="405">
        <f t="shared" si="385"/>
        <v>0</v>
      </c>
      <c r="AW609" s="405">
        <f t="shared" si="410"/>
        <v>0</v>
      </c>
      <c r="AX609" s="405">
        <f t="shared" si="386"/>
        <v>0</v>
      </c>
      <c r="AY609" s="405">
        <f t="shared" si="387"/>
        <v>0</v>
      </c>
    </row>
    <row r="610" spans="2:51" ht="13.5" thickBot="1" x14ac:dyDescent="0.25">
      <c r="B610" s="345">
        <v>758580</v>
      </c>
      <c r="C610" s="728" t="str">
        <f t="shared" si="370"/>
        <v>2.16217503399043</v>
      </c>
      <c r="D610" s="728" t="str">
        <f t="shared" si="371"/>
        <v>1+579.899676422302i</v>
      </c>
      <c r="E610" s="337">
        <f t="shared" si="389"/>
        <v>579.90053863976584</v>
      </c>
      <c r="F610" s="338">
        <f t="shared" si="390"/>
        <v>1.5690718922945284</v>
      </c>
      <c r="G610" s="338" t="str">
        <f t="shared" si="372"/>
        <v>1+2.38314935516015i</v>
      </c>
      <c r="H610" s="337">
        <f t="shared" si="391"/>
        <v>2.5844536848239787</v>
      </c>
      <c r="I610" s="338">
        <f t="shared" si="392"/>
        <v>1.1734975111449828</v>
      </c>
      <c r="J610" s="340">
        <f t="shared" si="373"/>
        <v>1</v>
      </c>
      <c r="K610" s="338">
        <f t="shared" si="393"/>
        <v>1</v>
      </c>
      <c r="L610" s="339">
        <f t="shared" si="394"/>
        <v>0</v>
      </c>
      <c r="M610" s="731" t="str">
        <f t="shared" si="374"/>
        <v>-24.57527184+11.2038767192835i</v>
      </c>
      <c r="N610" s="338">
        <f t="shared" si="395"/>
        <v>27.008717843518596</v>
      </c>
      <c r="O610" s="339">
        <f t="shared" si="396"/>
        <v>2.7138427841618422</v>
      </c>
      <c r="P610" s="732" t="str">
        <f t="shared" si="388"/>
        <v>-0.000356596666455991-0.0000114776329209773i</v>
      </c>
      <c r="Q610" s="337">
        <f t="shared" si="397"/>
        <v>3.5678133160942435E-4</v>
      </c>
      <c r="R610" s="339">
        <f t="shared" si="398"/>
        <v>-3.1094171653113869</v>
      </c>
      <c r="S610" s="731" t="str">
        <f t="shared" si="375"/>
        <v>6000</v>
      </c>
      <c r="T610" s="337" t="str">
        <f t="shared" si="376"/>
        <v>1+4813961.69742349i</v>
      </c>
      <c r="U610" s="346">
        <f t="shared" si="399"/>
        <v>4813961.6974235931</v>
      </c>
      <c r="V610" s="347">
        <f t="shared" si="400"/>
        <v>1.5707961190657822</v>
      </c>
      <c r="W610" s="340" t="str">
        <f t="shared" si="377"/>
        <v>1+47662.9871032029i</v>
      </c>
      <c r="X610" s="337">
        <f t="shared" si="401"/>
        <v>47662.98711369322</v>
      </c>
      <c r="Y610" s="339">
        <f t="shared" si="402"/>
        <v>1.5707753461543488</v>
      </c>
      <c r="Z610" s="337" t="str">
        <f t="shared" si="378"/>
        <v>1+480.131009493568i</v>
      </c>
      <c r="AA610" s="346">
        <f t="shared" si="403"/>
        <v>480.13205087487404</v>
      </c>
      <c r="AB610" s="347">
        <f t="shared" si="404"/>
        <v>1.5687135649356101</v>
      </c>
      <c r="AC610" s="732" t="str">
        <f t="shared" si="405"/>
        <v>0.000255126284408535-0.123728074824184i</v>
      </c>
      <c r="AD610" s="337">
        <f t="shared" si="406"/>
        <v>0.12372833785806658</v>
      </c>
      <c r="AE610" s="339">
        <f t="shared" si="407"/>
        <v>-1.5687343378470437</v>
      </c>
      <c r="AF610" s="736" t="str">
        <f t="shared" si="379"/>
        <v>-1.51108260739658E-06+0.0000441180907834805i</v>
      </c>
      <c r="AG610" s="337">
        <f t="shared" si="408"/>
        <v>-87.102573983728888</v>
      </c>
      <c r="AH610" s="730">
        <f t="shared" si="409"/>
        <v>91.961662946239898</v>
      </c>
      <c r="AI610" s="360">
        <f t="shared" si="380"/>
        <v>-88.038337053760102</v>
      </c>
      <c r="AL610" s="337">
        <f t="shared" si="381"/>
        <v>-18.150616425214089</v>
      </c>
      <c r="AM610" s="730">
        <f t="shared" si="382"/>
        <v>-89.881856735885407</v>
      </c>
      <c r="AN610" s="351"/>
      <c r="AO610" s="337">
        <f t="shared" si="383"/>
        <v>-15.680026359775381</v>
      </c>
      <c r="AP610" s="730">
        <f t="shared" si="384"/>
        <v>-178.15648031787467</v>
      </c>
      <c r="AS610" s="351"/>
      <c r="AT610" s="351"/>
      <c r="AV610" s="405">
        <f t="shared" si="385"/>
        <v>0</v>
      </c>
      <c r="AW610" s="405">
        <f t="shared" si="410"/>
        <v>0</v>
      </c>
      <c r="AX610" s="405">
        <f t="shared" si="386"/>
        <v>0</v>
      </c>
      <c r="AY610" s="405">
        <f t="shared" si="387"/>
        <v>0</v>
      </c>
    </row>
    <row r="611" spans="2:51" ht="13.5" thickBot="1" x14ac:dyDescent="0.25">
      <c r="B611" s="345">
        <v>831760</v>
      </c>
      <c r="C611" s="728" t="str">
        <f t="shared" si="370"/>
        <v>2.16217503399043</v>
      </c>
      <c r="D611" s="728" t="str">
        <f t="shared" si="371"/>
        <v>1+635.842435683796i</v>
      </c>
      <c r="E611" s="337">
        <f t="shared" si="389"/>
        <v>635.84322204164619</v>
      </c>
      <c r="F611" s="338">
        <f t="shared" si="390"/>
        <v>1.5692236114185683</v>
      </c>
      <c r="G611" s="338" t="str">
        <f t="shared" si="372"/>
        <v>1+2.61305110554984i</v>
      </c>
      <c r="H611" s="337">
        <f t="shared" si="391"/>
        <v>2.7978627700827721</v>
      </c>
      <c r="I611" s="338">
        <f t="shared" si="392"/>
        <v>1.2052970125756532</v>
      </c>
      <c r="J611" s="340">
        <f t="shared" si="373"/>
        <v>1</v>
      </c>
      <c r="K611" s="338">
        <f t="shared" si="393"/>
        <v>1</v>
      </c>
      <c r="L611" s="339">
        <f t="shared" si="394"/>
        <v>0</v>
      </c>
      <c r="M611" s="731" t="str">
        <f t="shared" si="374"/>
        <v>-29.7477643377778+12.2847115663888i</v>
      </c>
      <c r="N611" s="338">
        <f t="shared" si="395"/>
        <v>32.184524563294879</v>
      </c>
      <c r="O611" s="339">
        <f t="shared" si="396"/>
        <v>2.7499618800293431</v>
      </c>
      <c r="P611" s="732" t="str">
        <f t="shared" si="388"/>
        <v>-0.000295497238800883-8.18860221502294E-06i</v>
      </c>
      <c r="Q611" s="337">
        <f t="shared" si="397"/>
        <v>2.9561067528961462E-4</v>
      </c>
      <c r="R611" s="339">
        <f t="shared" si="398"/>
        <v>-3.1138884788722576</v>
      </c>
      <c r="S611" s="731" t="str">
        <f t="shared" si="375"/>
        <v>6000</v>
      </c>
      <c r="T611" s="337" t="str">
        <f t="shared" si="376"/>
        <v>1+5278363.23321069i</v>
      </c>
      <c r="U611" s="346">
        <f t="shared" si="399"/>
        <v>5278363.2332107853</v>
      </c>
      <c r="V611" s="347">
        <f t="shared" si="400"/>
        <v>1.5707961373422281</v>
      </c>
      <c r="W611" s="340" t="str">
        <f t="shared" si="377"/>
        <v>1+52261.0221109969i</v>
      </c>
      <c r="X611" s="337">
        <f t="shared" si="401"/>
        <v>52261.022120564252</v>
      </c>
      <c r="Y611" s="339">
        <f t="shared" si="402"/>
        <v>1.5707771920753775</v>
      </c>
      <c r="Z611" s="337" t="str">
        <f t="shared" si="378"/>
        <v>1+526.449113417661i</v>
      </c>
      <c r="AA611" s="346">
        <f t="shared" si="403"/>
        <v>526.45006317621551</v>
      </c>
      <c r="AB611" s="347">
        <f t="shared" si="404"/>
        <v>1.5688968102570364</v>
      </c>
      <c r="AC611" s="732" t="str">
        <f t="shared" si="405"/>
        <v>0.000212208236249624-0.112842299230745i</v>
      </c>
      <c r="AD611" s="337">
        <f t="shared" si="406"/>
        <v>0.11284249876716008</v>
      </c>
      <c r="AE611" s="339">
        <f t="shared" si="407"/>
        <v>-1.5689157555238871</v>
      </c>
      <c r="AF611" s="736" t="str">
        <f t="shared" si="379"/>
        <v>-9.86727649291729E-07+0.0000333428501537948i</v>
      </c>
      <c r="AG611" s="337">
        <f t="shared" si="408"/>
        <v>-89.536143838430448</v>
      </c>
      <c r="AH611" s="730">
        <f t="shared" si="409"/>
        <v>91.69508108311021</v>
      </c>
      <c r="AI611" s="360">
        <f t="shared" si="380"/>
        <v>-88.30491891688979</v>
      </c>
      <c r="AL611" s="337">
        <f t="shared" si="381"/>
        <v>-18.950546109182444</v>
      </c>
      <c r="AM611" s="730">
        <f t="shared" si="382"/>
        <v>-89.892251203097601</v>
      </c>
      <c r="AN611" s="351"/>
      <c r="AO611" s="337">
        <f t="shared" si="383"/>
        <v>-17.313666530508584</v>
      </c>
      <c r="AP611" s="730">
        <f t="shared" si="384"/>
        <v>-178.41266771379219</v>
      </c>
      <c r="AS611" s="351"/>
      <c r="AT611" s="351"/>
      <c r="AV611" s="405">
        <f t="shared" si="385"/>
        <v>0</v>
      </c>
      <c r="AW611" s="405">
        <f t="shared" si="410"/>
        <v>0</v>
      </c>
      <c r="AX611" s="405">
        <f t="shared" si="386"/>
        <v>0</v>
      </c>
      <c r="AY611" s="405">
        <f t="shared" si="387"/>
        <v>0</v>
      </c>
    </row>
    <row r="612" spans="2:51" ht="13.5" thickBot="1" x14ac:dyDescent="0.25">
      <c r="B612" s="345">
        <v>912010</v>
      </c>
      <c r="C612" s="728" t="str">
        <f t="shared" si="370"/>
        <v>2.16217503399043</v>
      </c>
      <c r="D612" s="728" t="str">
        <f t="shared" si="371"/>
        <v>1+697.18988622677i</v>
      </c>
      <c r="E612" s="337">
        <f t="shared" si="389"/>
        <v>697.19060339113616</v>
      </c>
      <c r="F612" s="338">
        <f t="shared" si="390"/>
        <v>1.5693619983085128</v>
      </c>
      <c r="G612" s="338" t="str">
        <f t="shared" si="372"/>
        <v>1+2.86516391600042i</v>
      </c>
      <c r="H612" s="337">
        <f t="shared" si="391"/>
        <v>3.0346604860430206</v>
      </c>
      <c r="I612" s="338">
        <f t="shared" si="392"/>
        <v>1.2349946728081396</v>
      </c>
      <c r="J612" s="340">
        <f t="shared" si="373"/>
        <v>1</v>
      </c>
      <c r="K612" s="338">
        <f t="shared" si="393"/>
        <v>1</v>
      </c>
      <c r="L612" s="339">
        <f t="shared" si="394"/>
        <v>0</v>
      </c>
      <c r="M612" s="731" t="str">
        <f t="shared" si="374"/>
        <v>-35.9672106711111+13.46996705259i</v>
      </c>
      <c r="N612" s="338">
        <f t="shared" si="395"/>
        <v>38.406773567405374</v>
      </c>
      <c r="O612" s="339">
        <f t="shared" si="396"/>
        <v>2.7832543972378216</v>
      </c>
      <c r="P612" s="732" t="str">
        <f t="shared" si="388"/>
        <v>-0.000244972211096584-0.0000058733369264731i</v>
      </c>
      <c r="Q612" s="337">
        <f t="shared" si="397"/>
        <v>2.4504260914420817E-4</v>
      </c>
      <c r="R612" s="339">
        <f t="shared" si="398"/>
        <v>-3.1176217227381944</v>
      </c>
      <c r="S612" s="731" t="str">
        <f t="shared" si="375"/>
        <v>6000</v>
      </c>
      <c r="T612" s="337" t="str">
        <f t="shared" si="376"/>
        <v>1+5787631.11032086i</v>
      </c>
      <c r="U612" s="346">
        <f t="shared" si="399"/>
        <v>5787631.1103209453</v>
      </c>
      <c r="V612" s="347">
        <f t="shared" si="400"/>
        <v>1.5707961540126338</v>
      </c>
      <c r="W612" s="340" t="str">
        <f t="shared" si="377"/>
        <v>1+57303.2783200085i</v>
      </c>
      <c r="X612" s="337">
        <f t="shared" si="401"/>
        <v>57303.278328734006</v>
      </c>
      <c r="Y612" s="339">
        <f t="shared" si="402"/>
        <v>1.5707788757863468</v>
      </c>
      <c r="Z612" s="337" t="str">
        <f t="shared" si="378"/>
        <v>1+577.242060123162i</v>
      </c>
      <c r="AA612" s="346">
        <f t="shared" si="403"/>
        <v>577.24292631025992</v>
      </c>
      <c r="AB612" s="347">
        <f t="shared" si="404"/>
        <v>1.5690639530322961</v>
      </c>
      <c r="AC612" s="732" t="str">
        <f t="shared" si="405"/>
        <v>0.000176505954363495-0.10291309000527i</v>
      </c>
      <c r="AD612" s="337">
        <f t="shared" si="406"/>
        <v>0.10291324136759433</v>
      </c>
      <c r="AE612" s="339">
        <f t="shared" si="407"/>
        <v>-1.5690812312585831</v>
      </c>
      <c r="AF612" s="736" t="str">
        <f t="shared" si="379"/>
        <v>-6.4768230565754E-07+0.0000252098105304332i</v>
      </c>
      <c r="AG612" s="337">
        <f t="shared" si="408"/>
        <v>-91.965742698518952</v>
      </c>
      <c r="AH612" s="730">
        <f t="shared" si="409"/>
        <v>91.471700904489026</v>
      </c>
      <c r="AI612" s="360">
        <f t="shared" si="380"/>
        <v>-88.528299095510974</v>
      </c>
      <c r="AL612" s="337">
        <f t="shared" si="381"/>
        <v>-19.750574859871197</v>
      </c>
      <c r="AM612" s="730">
        <f t="shared" si="382"/>
        <v>-89.901732264307512</v>
      </c>
      <c r="AN612" s="351"/>
      <c r="AO612" s="337">
        <f t="shared" si="383"/>
        <v>-18.943236639908328</v>
      </c>
      <c r="AP612" s="730">
        <f t="shared" si="384"/>
        <v>-178.62656683120346</v>
      </c>
      <c r="AS612" s="351"/>
      <c r="AT612" s="351"/>
      <c r="AV612" s="405">
        <f t="shared" si="385"/>
        <v>0</v>
      </c>
      <c r="AW612" s="405">
        <f t="shared" si="410"/>
        <v>0</v>
      </c>
      <c r="AX612" s="405">
        <f t="shared" si="386"/>
        <v>0</v>
      </c>
      <c r="AY612" s="405">
        <f t="shared" si="387"/>
        <v>0</v>
      </c>
    </row>
    <row r="613" spans="2:51" x14ac:dyDescent="0.2">
      <c r="B613" s="345">
        <v>1000000</v>
      </c>
      <c r="C613" s="728" t="str">
        <f t="shared" si="370"/>
        <v>2.16217503399043</v>
      </c>
      <c r="D613" s="728" t="str">
        <f t="shared" ref="D613" si="411">IMSUM(COMPLEX(1,0),IMDIV(COMPLEX(0,2*PI()*B613),COMPLEX(2*PI()*PS_Pole1,0)))</f>
        <v>1+764.454212373517i</v>
      </c>
      <c r="E613" s="337">
        <f t="shared" ref="E613" si="412">IMABS(D613)</f>
        <v>764.45486643464722</v>
      </c>
      <c r="F613" s="338">
        <f t="shared" ref="F613" si="413">IMARGUMENT(D613)</f>
        <v>1.5694882047211094</v>
      </c>
      <c r="G613" s="338" t="str">
        <f t="shared" ref="G613" si="414">IMSUM(COMPLEX(1,0),IMDIV(COMPLEX(0,2*PI()*B613),COMPLEX(2*PI()*PS_Zero1,0)))</f>
        <v>1+3.14159265358979i</v>
      </c>
      <c r="H613" s="337">
        <f t="shared" ref="H613" si="415">IMABS(G613)</f>
        <v>3.296908309475612</v>
      </c>
      <c r="I613" s="338">
        <f t="shared" ref="I613" si="416">IMARGUMENT(G613)</f>
        <v>1.2626272556789113</v>
      </c>
      <c r="J613" s="340">
        <f t="shared" ref="J613" si="417">IF(VIN_nom&gt;Vout, 1,IMSUB(COMPLEX(1,0),IMDIV(COMPLEX(0,2*PI()*B613),COMPLEX(2*PI()*PS_RHPZ,0))))</f>
        <v>1</v>
      </c>
      <c r="K613" s="338">
        <f t="shared" ref="K613" si="418">IMABS(J613)</f>
        <v>1</v>
      </c>
      <c r="L613" s="339">
        <f t="shared" ref="L613" si="419">IMARGUMENT(J613)</f>
        <v>0</v>
      </c>
      <c r="M613" s="731" t="str">
        <f t="shared" ref="M613" si="420">IMSUM(COMPLEX(1,0),IMDIV(COMPLEX(0,2*PI()*B613),COMPLEX(Q*(2*PI()*PS_Pole2/2),0)),IMDIV(IMPOWER(COMPLEX(0,2*PI()*B613),2),IMPOWER(COMPLEX(2*PI()*PS_Pole2/2,0),2)))</f>
        <v>-43.4444444444445+14.7695387688622i</v>
      </c>
      <c r="N613" s="338">
        <f t="shared" ref="N613" si="421">IMABS(M613)</f>
        <v>45.886370836353443</v>
      </c>
      <c r="O613" s="339">
        <f t="shared" ref="O613" si="422">IMARGUMENT(M613)</f>
        <v>2.8138865889213496</v>
      </c>
      <c r="P613" s="732" t="str">
        <f t="shared" ref="P613" si="423">(IMDIV(IMPRODUCT(C613,G613,J613),IMPRODUCT(D613,M613)))</f>
        <v>-0.000203173843245351-4.23579578348196E-06i</v>
      </c>
      <c r="Q613" s="337">
        <f t="shared" ref="Q613" si="424">IMABS(P613)</f>
        <v>2.0321799267044693E-4</v>
      </c>
      <c r="R613" s="339">
        <f t="shared" ref="R613" si="425">IMARGUMENT(P613)</f>
        <v>-3.1207475379635481</v>
      </c>
      <c r="S613" s="731" t="str">
        <f t="shared" si="375"/>
        <v>6000</v>
      </c>
      <c r="T613" s="337" t="str">
        <f t="shared" ref="T613" si="426">IMSUM(COMPLEX(1,0),IMDIV(COMPLEX(0,2*PI()*B613),COMPLEX(2*PI()*EA_Pole1,0)))</f>
        <v>1+6346017.16025139i</v>
      </c>
      <c r="U613" s="346">
        <f t="shared" ref="U613" si="427">IMABS(T613)</f>
        <v>6346017.1602514694</v>
      </c>
      <c r="V613" s="347">
        <f t="shared" ref="V613" si="428">IMARGUMENT(T613)</f>
        <v>1.5707961692157451</v>
      </c>
      <c r="W613" s="340" t="str">
        <f t="shared" ref="W613" si="429">IMSUM(COMPLEX(1,0),IMDIV(COMPLEX(0,2*PI()*B613),COMPLEX(2*PI()*EA_Zero1,0)))</f>
        <v>1+62831.8530717959i</v>
      </c>
      <c r="X613" s="337">
        <f t="shared" ref="X613" si="430">IMABS(W613)</f>
        <v>62831.853079753651</v>
      </c>
      <c r="Y613" s="339">
        <f t="shared" ref="Y613" si="431">IMARGUMENT(W613)</f>
        <v>1.5707804113005888</v>
      </c>
      <c r="Z613" s="337" t="str">
        <f t="shared" ref="Z613" si="432">IMSUM(COMPLEX(1,0),IMDIV(COMPLEX(0,2*PI()*B613),COMPLEX(2*PI()*EA_Pole2,0)))</f>
        <v>1+632.933915333344i</v>
      </c>
      <c r="AA613" s="346">
        <f t="shared" ref="AA613" si="433">IMABS(Z613)</f>
        <v>632.93470530473883</v>
      </c>
      <c r="AB613" s="347">
        <f t="shared" ref="AB613" si="434">IMARGUMENT(Z613)</f>
        <v>1.5692163843337623</v>
      </c>
      <c r="AC613" s="732" t="str">
        <f t="shared" ref="AC613" si="435">IMPRODUCT(S613,IMDIV(W613,IMPRODUCT(T613,Z613)))</f>
        <v>0.000146811062117348-0.093857814131919i</v>
      </c>
      <c r="AD613" s="337">
        <f t="shared" ref="AD613" si="436">IMABS(AC613)</f>
        <v>9.385792895173968E-2</v>
      </c>
      <c r="AE613" s="339">
        <f t="shared" ref="AE613" si="437">IMARGUMENT(AC613)</f>
        <v>-1.5692321422489186</v>
      </c>
      <c r="AF613" s="736" t="str">
        <f t="shared" ref="AF613" si="438">IMPRODUCT(P613,AC613)</f>
        <v>-4.2739070106813E-07+0.0000190688309541119i</v>
      </c>
      <c r="AG613" s="337">
        <f t="shared" ref="AG613" si="439">20*LOG10(IMABS(AF613))</f>
        <v>-94.391337517030891</v>
      </c>
      <c r="AH613" s="730">
        <f t="shared" ref="AH613" si="440">(180/PI())*IMARGUMENT(AF613)</f>
        <v>91.283958321710159</v>
      </c>
      <c r="AI613" s="360">
        <f t="shared" ref="AI613" si="441">IF(AH613&gt;0,AH613-180,AH613+180)</f>
        <v>-88.716041678289841</v>
      </c>
      <c r="AL613" s="337">
        <f t="shared" ref="AL613" si="442">20*LOG10(IMABS(AC613))</f>
        <v>-20.550580661271805</v>
      </c>
      <c r="AM613" s="730">
        <f t="shared" ref="AM613" si="443">(180/PI())*IMARGUMENT(AC613)</f>
        <v>-89.910378827135872</v>
      </c>
      <c r="AN613" s="351"/>
      <c r="AO613" s="337">
        <f t="shared" ref="AO613" si="444">20*LOG10(IMABS(IMPRODUCT(COMPLEX(Am/Afb,0),P613)))</f>
        <v>-20.568825657019644</v>
      </c>
      <c r="AP613" s="730">
        <f t="shared" ref="AP613" si="445">180/PI()*IMARGUMENT(IMPRODUCT(COMPLEX(Am/Afb,0),P613))</f>
        <v>-178.80566285115395</v>
      </c>
      <c r="AS613" s="351"/>
      <c r="AT613" s="351"/>
      <c r="AV613" s="405">
        <f t="shared" si="385"/>
        <v>0</v>
      </c>
      <c r="AW613" s="405">
        <f>IF(AV613&gt;0,AI617,0)</f>
        <v>0</v>
      </c>
      <c r="AX613" s="405">
        <f t="shared" si="386"/>
        <v>0</v>
      </c>
      <c r="AY613" s="405">
        <f t="shared" si="387"/>
        <v>0</v>
      </c>
    </row>
    <row r="614" spans="2:51" x14ac:dyDescent="0.2">
      <c r="B614" s="348"/>
      <c r="C614" s="348"/>
      <c r="D614" s="348"/>
      <c r="E614" s="349"/>
      <c r="F614" s="349"/>
      <c r="G614" s="349"/>
      <c r="H614" s="349"/>
      <c r="I614" s="349"/>
      <c r="J614" s="349"/>
      <c r="K614" s="338"/>
      <c r="L614" s="339"/>
      <c r="M614" s="349"/>
      <c r="N614" s="349"/>
      <c r="O614" s="349"/>
      <c r="P614" s="349"/>
      <c r="Q614" s="349"/>
      <c r="R614" s="349"/>
      <c r="S614" s="349"/>
      <c r="T614" s="349"/>
      <c r="U614" s="349"/>
      <c r="V614" s="349"/>
      <c r="W614" s="349"/>
      <c r="X614" s="349"/>
      <c r="Y614" s="349"/>
      <c r="Z614" s="349"/>
      <c r="AA614" s="349"/>
      <c r="AB614" s="349"/>
      <c r="AC614" s="349"/>
      <c r="AD614" s="349"/>
      <c r="AE614" s="349"/>
      <c r="AF614" s="350"/>
      <c r="AG614" s="424"/>
      <c r="AH614" s="342"/>
      <c r="AI614" s="351"/>
      <c r="AO614" s="343"/>
      <c r="AP614" s="344"/>
      <c r="AS614" s="351"/>
      <c r="AT614" s="351"/>
    </row>
    <row r="615" spans="2:51" x14ac:dyDescent="0.2">
      <c r="B615" s="348"/>
      <c r="C615" s="348"/>
      <c r="D615" s="348"/>
      <c r="E615" s="349"/>
      <c r="F615" s="349"/>
      <c r="G615" s="349"/>
      <c r="H615" s="349"/>
      <c r="I615" s="349"/>
      <c r="J615" s="349"/>
      <c r="K615" s="338"/>
      <c r="L615" s="339"/>
      <c r="M615" s="349"/>
      <c r="N615" s="349"/>
      <c r="O615" s="349"/>
      <c r="P615" s="349"/>
      <c r="Q615" s="349"/>
      <c r="R615" s="349"/>
      <c r="S615" s="349"/>
      <c r="T615" s="349"/>
      <c r="U615" s="349"/>
      <c r="V615" s="349"/>
      <c r="W615" s="349"/>
      <c r="X615" s="349"/>
      <c r="Y615" s="349"/>
      <c r="Z615" s="349"/>
      <c r="AA615" s="349"/>
      <c r="AB615" s="349"/>
      <c r="AC615" s="349"/>
      <c r="AD615" s="349"/>
      <c r="AE615" s="349"/>
      <c r="AF615" s="350"/>
      <c r="AG615" s="351"/>
      <c r="AH615" s="342"/>
      <c r="AI615" s="351"/>
      <c r="AO615" s="343"/>
      <c r="AP615" s="344"/>
      <c r="AS615" s="351"/>
      <c r="AT615" s="351"/>
    </row>
    <row r="616" spans="2:51" ht="13.5" thickBot="1" x14ac:dyDescent="0.25">
      <c r="B616" s="405" t="s">
        <v>476</v>
      </c>
      <c r="K616" s="338"/>
      <c r="L616" s="339"/>
      <c r="M616" s="349"/>
      <c r="N616" s="349"/>
      <c r="O616" s="349"/>
      <c r="P616" s="349"/>
      <c r="Q616" s="349"/>
      <c r="R616" s="349"/>
      <c r="S616" s="349"/>
      <c r="T616" s="349"/>
      <c r="AG616" s="341"/>
      <c r="AH616" s="342"/>
      <c r="AI616" s="351"/>
      <c r="AO616" s="343"/>
      <c r="AP616" s="344"/>
      <c r="AS616" s="351"/>
      <c r="AT616" s="351"/>
    </row>
    <row r="617" spans="2:51" x14ac:dyDescent="0.2">
      <c r="B617" s="352">
        <f>R4*1000</f>
        <v>16033.5</v>
      </c>
      <c r="C617" s="728" t="str">
        <f t="shared" ref="C617" si="446">COMPLEX(Am*Afb,0)</f>
        <v>2.16217503399043</v>
      </c>
      <c r="D617" s="728" t="str">
        <f t="shared" ref="D617" si="447">IMSUM(COMPLEX(1,0),IMDIV(COMPLEX(0,2*PI()*B617),COMPLEX(2*PI()*PS_Pole1,0)))</f>
        <v>1+12.2568766140908i</v>
      </c>
      <c r="E617" s="337">
        <f t="shared" ref="E617" si="448">IMABS(D617)</f>
        <v>12.297602381482578</v>
      </c>
      <c r="F617" s="338">
        <f t="shared" ref="F617" si="449">IMARGUMENT(D617)</f>
        <v>1.489389778767366</v>
      </c>
      <c r="G617" s="338" t="str">
        <f t="shared" ref="G617" si="450">IMSUM(COMPLEX(1,0),IMDIV(COMPLEX(0,2*PI()*B617),COMPLEX(2*PI()*PS_Zero1,0)))</f>
        <v>1+0.050370725811332i</v>
      </c>
      <c r="H617" s="337">
        <f t="shared" ref="H617" si="451">IMABS(G617)</f>
        <v>1.0012678013492495</v>
      </c>
      <c r="I617" s="338">
        <f t="shared" ref="I617" si="452">IMARGUMENT(G617)</f>
        <v>5.0328190175624447E-2</v>
      </c>
      <c r="J617" s="340">
        <f t="shared" ref="J617" si="453">IF(VIN_nom&gt;Vout, 1,IMSUB(COMPLEX(1,0),IMDIV(COMPLEX(0,2*PI()*B617),COMPLEX(2*PI()*PS_RHPZ,0))))</f>
        <v>1</v>
      </c>
      <c r="K617" s="338">
        <f t="shared" ref="K617" si="454">IMABS(J617)</f>
        <v>1</v>
      </c>
      <c r="L617" s="339">
        <f t="shared" ref="L617" si="455">IMARGUMENT(J617)</f>
        <v>0</v>
      </c>
      <c r="M617" s="731" t="str">
        <f t="shared" ref="M617" si="456">IMSUM(COMPLEX(1,0),IMDIV(COMPLEX(0,2*PI()*B617),COMPLEX(Q*(2*PI()*PS_Pole2/2),0)),IMDIV(IMPOWER(COMPLEX(0,2*PI()*B617),2),IMPOWER(COMPLEX(2*PI()*PS_Pole2/2,0),2)))</f>
        <v>0.9885745279+0.236807399850552i</v>
      </c>
      <c r="N617" s="338">
        <f t="shared" ref="N617" si="457">IMABS(M617)</f>
        <v>1.0165418544441185</v>
      </c>
      <c r="O617" s="339">
        <f t="shared" ref="O617" si="458">IMARGUMENT(M617)</f>
        <v>0.23511406122663414</v>
      </c>
      <c r="P617" s="732" t="str">
        <f t="shared" ref="P617" si="459">(IMDIV(IMPRODUCT(C617,G617,J617),IMPRODUCT(D617,M617)))</f>
        <v>-0.0178712620840627-0.172254480582562i</v>
      </c>
      <c r="Q617" s="337">
        <f t="shared" ref="Q617" si="460">IMABS(P617)</f>
        <v>0.17317906365737598</v>
      </c>
      <c r="R617" s="339">
        <f t="shared" ref="R617" si="461">IMARGUMENT(P617)</f>
        <v>-1.6741756498183755</v>
      </c>
      <c r="S617" s="731" t="str">
        <f t="shared" ref="S617" si="462">COMPLEX(AEA,0)</f>
        <v>6000</v>
      </c>
      <c r="T617" s="337" t="str">
        <f t="shared" ref="T617" si="463">IMSUM(COMPLEX(1,0),IMDIV(COMPLEX(0,2*PI()*B617),COMPLEX(2*PI()*EA_Pole1,0)))</f>
        <v>1+101748.866138891i</v>
      </c>
      <c r="U617" s="346">
        <f t="shared" ref="U617" si="464">IMABS(T617)</f>
        <v>101748.86614380506</v>
      </c>
      <c r="V617" s="347">
        <f t="shared" ref="V617" si="465">IMARGUMENT(T617)</f>
        <v>1.5707864986755482</v>
      </c>
      <c r="W617" s="340" t="str">
        <f t="shared" ref="W617" si="466">IMSUM(COMPLEX(1,0),IMDIV(COMPLEX(0,2*PI()*B617),COMPLEX(2*PI()*EA_Zero1,0)))</f>
        <v>1+1007.41451622664i</v>
      </c>
      <c r="X617" s="337">
        <f t="shared" ref="X617" si="467">IMABS(W617)</f>
        <v>1007.4150125465447</v>
      </c>
      <c r="Y617" s="339">
        <f t="shared" ref="Y617" si="468">IMARGUMENT(W617)</f>
        <v>1.5698036870667129</v>
      </c>
      <c r="Z617" s="337" t="str">
        <f t="shared" ref="Z617" si="469">IMSUM(COMPLEX(1,0),IMDIV(COMPLEX(0,2*PI()*B617),COMPLEX(2*PI()*EA_Pole2,0)))</f>
        <v>1+10.1481459314972i</v>
      </c>
      <c r="AA617" s="346">
        <f t="shared" ref="AA617" si="470">IMABS(Z617)</f>
        <v>10.197296987288503</v>
      </c>
      <c r="AB617" s="347">
        <f t="shared" ref="AB617" si="471">IMARGUMENT(Z617)</f>
        <v>1.4725732609424584</v>
      </c>
      <c r="AC617" s="732" t="str">
        <f t="shared" ref="AC617" si="472">IMPRODUCT(S617,IMDIV(W617,IMPRODUCT(T617,Z617)))</f>
        <v>0.565596181080256-5.7981374513119i</v>
      </c>
      <c r="AD617" s="337">
        <f t="shared" ref="AD617" si="473">IMABS(AC617)</f>
        <v>5.8256584987757591</v>
      </c>
      <c r="AE617" s="339">
        <f t="shared" ref="AE617" si="474">IMARGUMENT(AC617)</f>
        <v>-1.4735560725512942</v>
      </c>
      <c r="AF617" s="736" t="str">
        <f t="shared" ref="AF617" si="475">IMPRODUCT(P617,AC617)</f>
        <v>-1.00886307260786+0.00619355760035414i</v>
      </c>
      <c r="AG617" s="337">
        <f t="shared" ref="AG617" si="476">20*LOG10(IMABS(AF617))</f>
        <v>7.680819573435195E-2</v>
      </c>
      <c r="AH617" s="730">
        <f t="shared" ref="AH617" si="477">(180/PI())*IMARGUMENT(AF617)</f>
        <v>179.64825726877254</v>
      </c>
      <c r="AI617" s="360">
        <f t="shared" ref="AI617" si="478">IF(AH617&gt;0,AH617-180,AH617+180)</f>
        <v>-0.35174273122746058</v>
      </c>
      <c r="AJ617" s="405" t="s">
        <v>477</v>
      </c>
      <c r="AL617" s="337">
        <f t="shared" ref="AL617" si="479">20*LOG10(IMABS(AC617))</f>
        <v>15.306900452231158</v>
      </c>
      <c r="AM617" s="730">
        <f t="shared" ref="AM617" si="480">(180/PI())*IMARGUMENT(AC617)</f>
        <v>-84.428543833062491</v>
      </c>
      <c r="AN617" s="351"/>
      <c r="AO617" s="337">
        <f t="shared" ref="AO617" si="481">20*LOG10(IMABS(IMPRODUCT(COMPLEX(Am/Afb,0),P617)))</f>
        <v>38.041838942242642</v>
      </c>
      <c r="AP617" s="730">
        <f t="shared" ref="AP617" si="482">180/PI()*IMARGUMENT(IMPRODUCT(COMPLEX(Am/Afb,0),P617))</f>
        <v>-95.923198898164969</v>
      </c>
      <c r="AS617" s="351"/>
      <c r="AT617" s="351"/>
    </row>
    <row r="618" spans="2:51" x14ac:dyDescent="0.2">
      <c r="B618" s="352">
        <f>B617</f>
        <v>16033.5</v>
      </c>
      <c r="C618" s="728"/>
      <c r="D618" s="728"/>
      <c r="E618" s="337"/>
      <c r="F618" s="338"/>
      <c r="G618" s="338"/>
      <c r="H618" s="337"/>
      <c r="I618" s="338"/>
      <c r="J618" s="340"/>
      <c r="K618" s="338"/>
      <c r="L618" s="339"/>
      <c r="M618" s="731"/>
      <c r="N618" s="338"/>
      <c r="O618" s="339"/>
      <c r="P618" s="732"/>
      <c r="Q618" s="337"/>
      <c r="R618" s="339"/>
      <c r="S618" s="731"/>
      <c r="T618" s="337"/>
      <c r="U618" s="346"/>
      <c r="V618" s="347"/>
      <c r="W618" s="340"/>
      <c r="X618" s="337"/>
      <c r="Y618" s="339"/>
      <c r="Z618" s="337"/>
      <c r="AA618" s="346"/>
      <c r="AB618" s="347"/>
      <c r="AC618" s="732"/>
      <c r="AD618" s="337"/>
      <c r="AE618" s="339"/>
      <c r="AF618" s="736"/>
      <c r="AG618" s="337"/>
      <c r="AH618" s="342">
        <v>0</v>
      </c>
      <c r="AI618" s="344">
        <f>IF(AH618&gt;=0,AH618,AH618+180)</f>
        <v>0</v>
      </c>
      <c r="AL618" s="343"/>
      <c r="AM618" s="344"/>
      <c r="AN618" s="351"/>
      <c r="AO618" s="343"/>
      <c r="AP618" s="344"/>
      <c r="AS618" s="351"/>
      <c r="AT618" s="351"/>
    </row>
    <row r="619" spans="2:51" x14ac:dyDescent="0.2">
      <c r="B619" s="405">
        <f>B618</f>
        <v>16033.5</v>
      </c>
      <c r="C619" s="728"/>
      <c r="D619" s="728"/>
      <c r="E619" s="337"/>
      <c r="F619" s="338"/>
      <c r="G619" s="338"/>
      <c r="H619" s="337"/>
      <c r="I619" s="338"/>
      <c r="J619" s="340"/>
      <c r="K619" s="338"/>
      <c r="L619" s="339"/>
      <c r="M619" s="731"/>
      <c r="N619" s="338"/>
      <c r="O619" s="339"/>
      <c r="P619" s="732"/>
      <c r="Q619" s="337"/>
      <c r="R619" s="339"/>
      <c r="S619" s="731"/>
      <c r="T619" s="337"/>
      <c r="U619" s="346"/>
      <c r="V619" s="347"/>
      <c r="W619" s="340"/>
      <c r="X619" s="337"/>
      <c r="Y619" s="339"/>
      <c r="Z619" s="337"/>
      <c r="AA619" s="346"/>
      <c r="AB619" s="347"/>
      <c r="AC619" s="732"/>
      <c r="AD619" s="337"/>
      <c r="AE619" s="339"/>
      <c r="AF619" s="736"/>
      <c r="AG619" s="337"/>
      <c r="AH619" s="342">
        <f>AH617</f>
        <v>179.64825726877254</v>
      </c>
      <c r="AI619" s="360">
        <f t="shared" ref="AI619:AI620" si="483">IF(AH619&gt;0,AH619-180,AH619+180)</f>
        <v>-0.35174273122746058</v>
      </c>
      <c r="AL619" s="343"/>
      <c r="AM619" s="344"/>
      <c r="AN619" s="351"/>
      <c r="AO619" s="343"/>
      <c r="AP619" s="344"/>
      <c r="AS619" s="351"/>
      <c r="AT619" s="351"/>
    </row>
    <row r="620" spans="2:51" ht="13.5" thickBot="1" x14ac:dyDescent="0.25">
      <c r="B620" s="352">
        <v>1000000</v>
      </c>
      <c r="C620" s="728"/>
      <c r="D620" s="728"/>
      <c r="E620" s="337"/>
      <c r="F620" s="338"/>
      <c r="G620" s="338"/>
      <c r="H620" s="337"/>
      <c r="I620" s="338"/>
      <c r="J620" s="340"/>
      <c r="K620" s="338"/>
      <c r="L620" s="339"/>
      <c r="M620" s="731"/>
      <c r="N620" s="338"/>
      <c r="O620" s="339"/>
      <c r="P620" s="732"/>
      <c r="Q620" s="337"/>
      <c r="R620" s="339"/>
      <c r="S620" s="731"/>
      <c r="T620" s="337"/>
      <c r="U620" s="346"/>
      <c r="V620" s="347"/>
      <c r="W620" s="340"/>
      <c r="X620" s="337"/>
      <c r="Y620" s="339"/>
      <c r="Z620" s="337"/>
      <c r="AA620" s="346"/>
      <c r="AB620" s="347"/>
      <c r="AC620" s="732"/>
      <c r="AD620" s="337"/>
      <c r="AE620" s="339"/>
      <c r="AF620" s="736"/>
      <c r="AG620" s="337"/>
      <c r="AH620" s="342">
        <f>AH617</f>
        <v>179.64825726877254</v>
      </c>
      <c r="AI620" s="360">
        <f t="shared" si="483"/>
        <v>-0.35174273122746058</v>
      </c>
      <c r="AL620" s="343"/>
      <c r="AM620" s="344"/>
      <c r="AN620" s="351"/>
      <c r="AO620" s="343"/>
      <c r="AP620" s="344"/>
      <c r="AS620" s="351"/>
      <c r="AT620" s="351"/>
    </row>
    <row r="621" spans="2:51" ht="13.5" thickBot="1" x14ac:dyDescent="0.25">
      <c r="B621" s="352"/>
      <c r="C621" s="728"/>
      <c r="D621" s="728"/>
      <c r="E621" s="337"/>
      <c r="F621" s="338"/>
      <c r="G621" s="338"/>
      <c r="H621" s="337"/>
      <c r="I621" s="338"/>
      <c r="J621" s="340"/>
      <c r="K621" s="338"/>
      <c r="L621" s="339"/>
      <c r="M621" s="731"/>
      <c r="N621" s="338"/>
      <c r="O621" s="339"/>
      <c r="P621" s="732"/>
      <c r="Q621" s="337"/>
      <c r="R621" s="339"/>
      <c r="S621" s="731"/>
      <c r="T621" s="337"/>
      <c r="U621" s="346"/>
      <c r="V621" s="347"/>
      <c r="W621" s="340"/>
      <c r="X621" s="337"/>
      <c r="Y621" s="339"/>
      <c r="Z621" s="337"/>
      <c r="AA621" s="346"/>
      <c r="AB621" s="347"/>
      <c r="AC621" s="732"/>
      <c r="AD621" s="337"/>
      <c r="AE621" s="339"/>
      <c r="AF621" s="736"/>
      <c r="AG621" s="337"/>
      <c r="AH621" s="730"/>
      <c r="AI621" s="360"/>
      <c r="AL621" s="343"/>
      <c r="AM621" s="344"/>
      <c r="AN621" s="351"/>
      <c r="AO621" s="343"/>
      <c r="AP621" s="344"/>
      <c r="AS621" s="351"/>
      <c r="AT621" s="351"/>
    </row>
    <row r="622" spans="2:51" ht="13.5" thickBot="1" x14ac:dyDescent="0.25">
      <c r="B622" s="425">
        <f>PS_Pole1</f>
        <v>1308.1228199333864</v>
      </c>
      <c r="C622" s="728" t="str">
        <f t="shared" ref="C622:C629" si="484">COMPLEX(Am*Afb,0)</f>
        <v>2.16217503399043</v>
      </c>
      <c r="D622" s="728" t="str">
        <f t="shared" ref="D622:D629" si="485">IMSUM(COMPLEX(1,0),IMDIV(COMPLEX(0,2*PI()*B622),COMPLEX(2*PI()*PS_Pole1,0)))</f>
        <v>1+i</v>
      </c>
      <c r="E622" s="337">
        <f t="shared" ref="E622:E629" si="486">IMABS(D622)</f>
        <v>1.4142135623730951</v>
      </c>
      <c r="F622" s="338">
        <f t="shared" ref="F622:F629" si="487">IMARGUMENT(D622)</f>
        <v>0.78539816339744828</v>
      </c>
      <c r="G622" s="338" t="str">
        <f t="shared" ref="G622:G629" si="488">IMSUM(COMPLEX(1,0),IMDIV(COMPLEX(0,2*PI()*B622),COMPLEX(2*PI()*PS_Zero1,0)))</f>
        <v>1+0.00410958904109589i</v>
      </c>
      <c r="H622" s="337">
        <f t="shared" ref="H622:H629" si="489">IMABS(G622)</f>
        <v>1.00000844432539</v>
      </c>
      <c r="I622" s="338">
        <f t="shared" ref="I622:I629" si="490">IMARGUMENT(G622)</f>
        <v>4.1095659060945864E-3</v>
      </c>
      <c r="J622" s="340">
        <f t="shared" ref="J622:J629" si="491">IF(VIN_nom&gt;Vout, 1,IMSUB(COMPLEX(1,0),IMDIV(COMPLEX(0,2*PI()*B622),COMPLEX(2*PI()*PS_RHPZ,0))))</f>
        <v>1</v>
      </c>
      <c r="K622" s="338">
        <f t="shared" ref="K622:K629" si="492">IMABS(J622)</f>
        <v>1</v>
      </c>
      <c r="L622" s="339">
        <f t="shared" ref="L622:L629" si="493">IMARGUMENT(J622)</f>
        <v>0</v>
      </c>
      <c r="M622" s="731" t="str">
        <f t="shared" ref="M622:M629" si="494">IMSUM(COMPLEX(1,0),IMDIV(COMPLEX(0,2*PI()*B622),COMPLEX(Q*(2*PI()*PS_Pole2/2),0)),IMDIV(IMPOWER(COMPLEX(0,2*PI()*B622),2),IMPOWER(COMPLEX(2*PI()*PS_Pole2/2,0),2)))</f>
        <v>0.999923947319465+0.0193203707034395i</v>
      </c>
      <c r="N622" s="338">
        <f t="shared" ref="N622:N629" si="495">IMABS(M622)</f>
        <v>1.0001105824592893</v>
      </c>
      <c r="O622" s="339">
        <f t="shared" ref="O622:O629" si="496">IMARGUMENT(M622)</f>
        <v>1.9319436222850227E-2</v>
      </c>
      <c r="P622" s="732" t="str">
        <f t="shared" ref="P622:P629" si="497">(IMDIV(IMPRODUCT(C622,G622,J622),IMPRODUCT(D622,M622)))</f>
        <v>1.06441118692829-1.09729296236637i</v>
      </c>
      <c r="Q622" s="337">
        <f t="shared" ref="Q622:Q629" si="498">IMABS(P622)</f>
        <v>1.5287324880818276</v>
      </c>
      <c r="R622" s="339">
        <f t="shared" ref="R622:R629" si="499">IMARGUMENT(P622)</f>
        <v>-0.80060803371420375</v>
      </c>
      <c r="S622" s="731" t="str">
        <f t="shared" ref="S622:S629" si="500">COMPLEX(AEA,0)</f>
        <v>6000</v>
      </c>
      <c r="T622" s="337" t="str">
        <f t="shared" ref="T622:T629" si="501">IMSUM(COMPLEX(1,0),IMDIV(COMPLEX(0,2*PI()*B622),COMPLEX(2*PI()*EA_Pole1,0)))</f>
        <v>1+8301.3698630137i</v>
      </c>
      <c r="U622" s="346">
        <f t="shared" ref="U622:U629" si="502">IMABS(T622)</f>
        <v>8301.3699232447234</v>
      </c>
      <c r="V622" s="347">
        <f t="shared" ref="V622:V629" si="503">IMARGUMENT(T622)</f>
        <v>1.5706758647492747</v>
      </c>
      <c r="W622" s="340" t="str">
        <f t="shared" ref="W622:W629" si="504">IMSUM(COMPLEX(1,0),IMDIV(COMPLEX(0,2*PI()*B622),COMPLEX(2*PI()*EA_Zero1,0)))</f>
        <v>1+82.1917808219178i</v>
      </c>
      <c r="X622" s="337">
        <f t="shared" ref="X622:X629" si="505">IMABS(W622)</f>
        <v>82.197863930142219</v>
      </c>
      <c r="Y622" s="339">
        <f t="shared" ref="Y622:Y629" si="506">IMARGUMENT(W622)</f>
        <v>1.5586302604097924</v>
      </c>
      <c r="Z622" s="337" t="str">
        <f t="shared" ref="Z622:Z629" si="507">IMSUM(COMPLEX(1,0),IMDIV(COMPLEX(0,2*PI()*B622),COMPLEX(2*PI()*EA_Pole2,0)))</f>
        <v>1+0.827955298157332i</v>
      </c>
      <c r="AA622" s="346">
        <f t="shared" ref="AA622:AA629" si="508">IMABS(Z622)</f>
        <v>1.2982719190319094</v>
      </c>
      <c r="AB622" s="347">
        <f t="shared" ref="AB622:AB629" si="509">IMARGUMENT(Z622)</f>
        <v>0.69155594745837212</v>
      </c>
      <c r="AC622" s="732" t="str">
        <f t="shared" ref="AC622:AC629" si="510">IMPRODUCT(S622,IMDIV(W622,IMPRODUCT(T622,Z622)))</f>
        <v>34.8936105385165-29.6059658228859i</v>
      </c>
      <c r="AD622" s="337">
        <f t="shared" ref="AD622:AD629" si="511">IMABS(AC622)</f>
        <v>45.761089024623942</v>
      </c>
      <c r="AE622" s="339">
        <f t="shared" ref="AE622:AE629" si="512">IMARGUMENT(AC622)</f>
        <v>-0.703601551797854</v>
      </c>
      <c r="AF622" s="736" t="str">
        <f t="shared" ref="AF622:AF629" si="513">IMPRODUCT(P622,AC622)</f>
        <v>4.65473146800386-69.8014344971635i</v>
      </c>
      <c r="AG622" s="337">
        <f t="shared" ref="AG622:AG629" si="514">20*LOG10(IMABS(AF622))</f>
        <v>36.896556928340672</v>
      </c>
      <c r="AH622" s="730">
        <f t="shared" ref="AH622:AH629" si="515">(180/PI())*IMARGUMENT(AF622)</f>
        <v>-86.1848607529638</v>
      </c>
      <c r="AI622" s="360">
        <f t="shared" ref="AI622:AI629" si="516">IF(AH622&gt;0,AH622-180,AH622+180)</f>
        <v>93.8151392470362</v>
      </c>
      <c r="AJ622" s="405" t="s">
        <v>454</v>
      </c>
      <c r="AL622" s="337">
        <f t="shared" ref="AL622:AL628" si="517">20*LOG10(IMABS(AC622))</f>
        <v>33.209927025383386</v>
      </c>
      <c r="AM622" s="730">
        <f t="shared" ref="AM622:AM628" si="518">(180/PI())*IMARGUMENT(AC622)</f>
        <v>-40.313399376872411</v>
      </c>
      <c r="AN622" s="351"/>
      <c r="AO622" s="337">
        <f t="shared" ref="AO622:AO628" si="519">20*LOG10(IMABS(IMPRODUCT(COMPLEX(Am/Afb,0),P622)))</f>
        <v>56.958561101696723</v>
      </c>
      <c r="AP622" s="730">
        <f t="shared" ref="AP622:AP628" si="520">180/PI()*IMARGUMENT(IMPRODUCT(COMPLEX(Am/Afb,0),P622))</f>
        <v>-45.871461376091403</v>
      </c>
      <c r="AS622" s="351"/>
      <c r="AT622" s="351"/>
    </row>
    <row r="623" spans="2:51" ht="13.5" thickBot="1" x14ac:dyDescent="0.25">
      <c r="B623" s="425">
        <f>PS_Zero1</f>
        <v>318309.88618379069</v>
      </c>
      <c r="C623" s="728" t="str">
        <f t="shared" si="484"/>
        <v>2.16217503399043</v>
      </c>
      <c r="D623" s="728" t="str">
        <f t="shared" si="485"/>
        <v>1+243.333333333333i</v>
      </c>
      <c r="E623" s="337">
        <f t="shared" si="486"/>
        <v>243.33538811917791</v>
      </c>
      <c r="F623" s="338">
        <f t="shared" si="487"/>
        <v>1.566686760888802</v>
      </c>
      <c r="G623" s="338" t="str">
        <f t="shared" si="488"/>
        <v>1+i</v>
      </c>
      <c r="H623" s="337">
        <f t="shared" si="489"/>
        <v>1.4142135623730951</v>
      </c>
      <c r="I623" s="338">
        <f t="shared" si="490"/>
        <v>0.78539816339744828</v>
      </c>
      <c r="J623" s="340">
        <f t="shared" si="491"/>
        <v>1</v>
      </c>
      <c r="K623" s="338">
        <f t="shared" si="492"/>
        <v>1</v>
      </c>
      <c r="L623" s="339">
        <f t="shared" si="493"/>
        <v>0</v>
      </c>
      <c r="M623" s="731" t="str">
        <f t="shared" si="494"/>
        <v>-3.50316371743724+4.70129020450361i</v>
      </c>
      <c r="N623" s="338">
        <f t="shared" si="495"/>
        <v>5.86295877677221</v>
      </c>
      <c r="O623" s="339">
        <f t="shared" si="496"/>
        <v>2.2111858363282311</v>
      </c>
      <c r="P623" s="732" t="str">
        <f t="shared" si="497"/>
        <v>-0.00211951840605359-0.000318422491011357i</v>
      </c>
      <c r="Q623" s="337">
        <f t="shared" si="498"/>
        <v>2.1433037947014952E-3</v>
      </c>
      <c r="R623" s="339">
        <f t="shared" si="499"/>
        <v>-2.9924744338195839</v>
      </c>
      <c r="S623" s="731" t="str">
        <f t="shared" si="500"/>
        <v>6000</v>
      </c>
      <c r="T623" s="337" t="str">
        <f t="shared" si="501"/>
        <v>1+2020000i</v>
      </c>
      <c r="U623" s="346">
        <f t="shared" si="502"/>
        <v>2020000.0000002475</v>
      </c>
      <c r="V623" s="347">
        <f t="shared" si="503"/>
        <v>1.5707958317453916</v>
      </c>
      <c r="W623" s="340" t="str">
        <f t="shared" si="504"/>
        <v>1+20000i</v>
      </c>
      <c r="X623" s="337">
        <f t="shared" si="505"/>
        <v>20000.000024999998</v>
      </c>
      <c r="Y623" s="339">
        <f t="shared" si="506"/>
        <v>1.5707463267949382</v>
      </c>
      <c r="Z623" s="337" t="str">
        <f t="shared" si="507"/>
        <v>1+201.469122551618i</v>
      </c>
      <c r="AA623" s="346">
        <f t="shared" si="508"/>
        <v>201.47160430621201</v>
      </c>
      <c r="AB623" s="347">
        <f t="shared" si="509"/>
        <v>1.5658328277970646</v>
      </c>
      <c r="AC623" s="732" t="str">
        <f t="shared" si="510"/>
        <v>0.0014489350247617-0.294856556221268i</v>
      </c>
      <c r="AD623" s="337">
        <f t="shared" si="511"/>
        <v>0.2948601162574751</v>
      </c>
      <c r="AE623" s="339">
        <f t="shared" si="512"/>
        <v>-1.565882332747518</v>
      </c>
      <c r="AF623" s="736" t="str">
        <f t="shared" si="513"/>
        <v>-0.0000969600035771645+0.000624492524556654i</v>
      </c>
      <c r="AG623" s="337">
        <f t="shared" si="514"/>
        <v>-63.986004693788736</v>
      </c>
      <c r="AH623" s="730">
        <f t="shared" si="515"/>
        <v>98.825395760804469</v>
      </c>
      <c r="AI623" s="360">
        <f t="shared" si="516"/>
        <v>-81.174604239195531</v>
      </c>
      <c r="AJ623" s="405" t="s">
        <v>449</v>
      </c>
      <c r="AL623" s="337">
        <f t="shared" si="517"/>
        <v>-10.607679351318088</v>
      </c>
      <c r="AM623" s="730">
        <f t="shared" si="518"/>
        <v>-89.718448880532804</v>
      </c>
      <c r="AN623" s="351"/>
      <c r="AO623" s="337">
        <f t="shared" si="519"/>
        <v>-0.10639414373120758</v>
      </c>
      <c r="AP623" s="730">
        <f t="shared" si="520"/>
        <v>-171.45615535866273</v>
      </c>
      <c r="AS623" s="351"/>
      <c r="AT623" s="351"/>
    </row>
    <row r="624" spans="2:51" ht="13.5" thickBot="1" x14ac:dyDescent="0.25">
      <c r="B624" s="425">
        <f>EA_Pole1</f>
        <v>0.157579151576134</v>
      </c>
      <c r="C624" s="728" t="str">
        <f t="shared" si="484"/>
        <v>2.16217503399043</v>
      </c>
      <c r="D624" s="728" t="str">
        <f t="shared" si="485"/>
        <v>1+0.00012046204620462i</v>
      </c>
      <c r="E624" s="337">
        <f t="shared" si="486"/>
        <v>1.0000000072555522</v>
      </c>
      <c r="F624" s="338">
        <f t="shared" si="487"/>
        <v>1.2046204562194089E-4</v>
      </c>
      <c r="G624" s="338" t="str">
        <f t="shared" si="488"/>
        <v>1+4.95049504950495E-07i</v>
      </c>
      <c r="H624" s="337">
        <f t="shared" si="489"/>
        <v>1.0000000000001226</v>
      </c>
      <c r="I624" s="338">
        <f t="shared" si="490"/>
        <v>4.9504950495045454E-7</v>
      </c>
      <c r="J624" s="340">
        <f t="shared" si="491"/>
        <v>1</v>
      </c>
      <c r="K624" s="338">
        <f t="shared" si="492"/>
        <v>1</v>
      </c>
      <c r="L624" s="339">
        <f t="shared" si="493"/>
        <v>0</v>
      </c>
      <c r="M624" s="731" t="str">
        <f t="shared" si="494"/>
        <v>0.999999999998896+2.32737138836812E-06i</v>
      </c>
      <c r="N624" s="338">
        <f t="shared" si="495"/>
        <v>1.0000000000016043</v>
      </c>
      <c r="O624" s="339">
        <f t="shared" si="496"/>
        <v>2.3273713883664874E-6</v>
      </c>
      <c r="P624" s="732" t="str">
        <f t="shared" si="497"/>
        <v>2.1621750021308-0.000264421825639703i</v>
      </c>
      <c r="Q624" s="337">
        <f t="shared" si="498"/>
        <v>2.1621750182994499</v>
      </c>
      <c r="R624" s="339">
        <f t="shared" si="499"/>
        <v>-1.2229436750535688E-4</v>
      </c>
      <c r="S624" s="731" t="str">
        <f t="shared" si="500"/>
        <v>6000</v>
      </c>
      <c r="T624" s="337" t="str">
        <f t="shared" si="501"/>
        <v>1+i</v>
      </c>
      <c r="U624" s="346">
        <f t="shared" si="502"/>
        <v>1.4142135623730951</v>
      </c>
      <c r="V624" s="347">
        <f t="shared" si="503"/>
        <v>0.78539816339744828</v>
      </c>
      <c r="W624" s="340" t="str">
        <f t="shared" si="504"/>
        <v>1+0.0099009900990099i</v>
      </c>
      <c r="X624" s="337">
        <f t="shared" si="505"/>
        <v>1.0000490136013038</v>
      </c>
      <c r="Y624" s="339">
        <f t="shared" si="506"/>
        <v>9.9006665879885717E-3</v>
      </c>
      <c r="Z624" s="337" t="str">
        <f t="shared" si="507"/>
        <v>1+0.0000997371893819889i</v>
      </c>
      <c r="AA624" s="346">
        <f t="shared" si="508"/>
        <v>1.0000000049737534</v>
      </c>
      <c r="AB624" s="347">
        <f t="shared" si="509"/>
        <v>9.9737189051276774E-5</v>
      </c>
      <c r="AC624" s="732" t="str">
        <f t="shared" si="510"/>
        <v>3029.40669108462-2970.59917421183i</v>
      </c>
      <c r="AD624" s="337">
        <f t="shared" si="511"/>
        <v>4242.8486131155178</v>
      </c>
      <c r="AE624" s="339">
        <f t="shared" si="512"/>
        <v>-0.77559723399850922</v>
      </c>
      <c r="AF624" s="736" t="str">
        <f t="shared" si="513"/>
        <v>6549.32192749406-6423.75631707908i</v>
      </c>
      <c r="AG624" s="337">
        <f t="shared" si="514"/>
        <v>79.250967628458568</v>
      </c>
      <c r="AH624" s="730">
        <f t="shared" si="515"/>
        <v>-44.445455061251387</v>
      </c>
      <c r="AI624" s="360">
        <f t="shared" si="516"/>
        <v>135.55454493874862</v>
      </c>
      <c r="AJ624" s="405" t="s">
        <v>457</v>
      </c>
      <c r="AK624" s="405">
        <f>EA_Pole1</f>
        <v>0.157579151576134</v>
      </c>
      <c r="AL624" s="337">
        <f t="shared" si="517"/>
        <v>72.553150724130418</v>
      </c>
      <c r="AM624" s="730">
        <f t="shared" si="518"/>
        <v>-44.438448110135099</v>
      </c>
      <c r="AN624" s="351"/>
      <c r="AO624" s="337">
        <f t="shared" si="519"/>
        <v>59.969748103067573</v>
      </c>
      <c r="AP624" s="730">
        <f t="shared" si="520"/>
        <v>-7.0069511162787843E-3</v>
      </c>
      <c r="AS624" s="351"/>
      <c r="AT624" s="351"/>
    </row>
    <row r="625" spans="1:46" ht="13.5" thickBot="1" x14ac:dyDescent="0.25">
      <c r="B625" s="425">
        <f>EA_Zero1</f>
        <v>15.915494309189533</v>
      </c>
      <c r="C625" s="728" t="str">
        <f t="shared" si="484"/>
        <v>2.16217503399043</v>
      </c>
      <c r="D625" s="728" t="str">
        <f t="shared" si="485"/>
        <v>1+0.0121666666666667i</v>
      </c>
      <c r="E625" s="337">
        <f t="shared" si="486"/>
        <v>1.0000740111500637</v>
      </c>
      <c r="F625" s="338">
        <f t="shared" si="487"/>
        <v>1.2166066385104262E-2</v>
      </c>
      <c r="G625" s="338" t="str">
        <f t="shared" si="488"/>
        <v>1+0.00005i</v>
      </c>
      <c r="H625" s="337">
        <f t="shared" si="489"/>
        <v>1.0000000012499999</v>
      </c>
      <c r="I625" s="338">
        <f t="shared" si="490"/>
        <v>4.9999999958333334E-5</v>
      </c>
      <c r="J625" s="340">
        <f t="shared" si="491"/>
        <v>1</v>
      </c>
      <c r="K625" s="338">
        <f t="shared" si="492"/>
        <v>1</v>
      </c>
      <c r="L625" s="339">
        <f t="shared" si="493"/>
        <v>0</v>
      </c>
      <c r="M625" s="731" t="str">
        <f t="shared" si="494"/>
        <v>0.999999988742091+0.00023506451022518i</v>
      </c>
      <c r="N625" s="338">
        <f t="shared" si="495"/>
        <v>1.0000000163697529</v>
      </c>
      <c r="O625" s="339">
        <f t="shared" si="496"/>
        <v>2.3506450854199302E-4</v>
      </c>
      <c r="P625" s="732" t="str">
        <f t="shared" si="497"/>
        <v>2.16185008201679-0.0267026511830076i</v>
      </c>
      <c r="Q625" s="337">
        <f t="shared" si="498"/>
        <v>2.1620149880831545</v>
      </c>
      <c r="R625" s="339">
        <f t="shared" si="499"/>
        <v>-1.2351130893687954E-2</v>
      </c>
      <c r="S625" s="731" t="str">
        <f t="shared" si="500"/>
        <v>6000</v>
      </c>
      <c r="T625" s="337" t="str">
        <f t="shared" si="501"/>
        <v>1+101i</v>
      </c>
      <c r="U625" s="346">
        <f t="shared" si="502"/>
        <v>101.00495037373169</v>
      </c>
      <c r="V625" s="347">
        <f t="shared" si="503"/>
        <v>1.560895660206908</v>
      </c>
      <c r="W625" s="340" t="str">
        <f t="shared" si="504"/>
        <v>1+i</v>
      </c>
      <c r="X625" s="337">
        <f t="shared" si="505"/>
        <v>1.4142135623730951</v>
      </c>
      <c r="Y625" s="339">
        <f t="shared" si="506"/>
        <v>0.78539816339744828</v>
      </c>
      <c r="Z625" s="337" t="str">
        <f t="shared" si="507"/>
        <v>1+0.0100734561275809i</v>
      </c>
      <c r="AA625" s="346">
        <f t="shared" si="508"/>
        <v>1.0000507359721078</v>
      </c>
      <c r="AB625" s="347">
        <f t="shared" si="509"/>
        <v>1.0073115415288592E-2</v>
      </c>
      <c r="AC625" s="732" t="str">
        <f t="shared" si="510"/>
        <v>59.3897709739878-59.4102578998534i</v>
      </c>
      <c r="AD625" s="337">
        <f t="shared" si="511"/>
        <v>84.004307270935911</v>
      </c>
      <c r="AE625" s="339">
        <f t="shared" si="512"/>
        <v>-0.78557061222474844</v>
      </c>
      <c r="AF625" s="736" t="str">
        <f t="shared" si="513"/>
        <v>126.805369857682-130.021935251594i</v>
      </c>
      <c r="AG625" s="337">
        <f t="shared" si="514"/>
        <v>45.183205103625504</v>
      </c>
      <c r="AH625" s="730">
        <f t="shared" si="515"/>
        <v>-45.717548262408187</v>
      </c>
      <c r="AI625" s="360">
        <f t="shared" si="516"/>
        <v>134.28245173759183</v>
      </c>
      <c r="AJ625" s="405" t="s">
        <v>452</v>
      </c>
      <c r="AK625" s="405">
        <f>EA_Zero1</f>
        <v>15.915494309189533</v>
      </c>
      <c r="AL625" s="337">
        <f t="shared" si="517"/>
        <v>38.486031096485519</v>
      </c>
      <c r="AM625" s="730">
        <f t="shared" si="518"/>
        <v>-45.009880589986281</v>
      </c>
      <c r="AN625" s="351"/>
      <c r="AO625" s="337">
        <f t="shared" si="519"/>
        <v>59.969105205879394</v>
      </c>
      <c r="AP625" s="730">
        <f t="shared" si="520"/>
        <v>-0.70766767242196493</v>
      </c>
      <c r="AS625" s="351"/>
      <c r="AT625" s="351"/>
    </row>
    <row r="626" spans="1:46" ht="13.5" thickBot="1" x14ac:dyDescent="0.25">
      <c r="B626" s="425">
        <f>PS_Pole2</f>
        <v>300000</v>
      </c>
      <c r="C626" s="728" t="str">
        <f t="shared" si="484"/>
        <v>2.16217503399043</v>
      </c>
      <c r="D626" s="728" t="str">
        <f t="shared" si="485"/>
        <v>1+229.336263712055i</v>
      </c>
      <c r="E626" s="337">
        <f t="shared" si="486"/>
        <v>229.33844390639186</v>
      </c>
      <c r="F626" s="338">
        <f t="shared" si="487"/>
        <v>1.5664359450298719</v>
      </c>
      <c r="G626" s="338" t="str">
        <f t="shared" si="488"/>
        <v>1+0.94247779607694i</v>
      </c>
      <c r="H626" s="337">
        <f t="shared" si="489"/>
        <v>1.3741413304671561</v>
      </c>
      <c r="I626" s="338">
        <f t="shared" si="490"/>
        <v>0.75579401615930863</v>
      </c>
      <c r="J626" s="340">
        <f t="shared" si="491"/>
        <v>1</v>
      </c>
      <c r="K626" s="338">
        <f t="shared" si="492"/>
        <v>1</v>
      </c>
      <c r="L626" s="339">
        <f t="shared" si="493"/>
        <v>0</v>
      </c>
      <c r="M626" s="731" t="str">
        <f t="shared" si="494"/>
        <v>-3.00000000000001+4.43086163065866i</v>
      </c>
      <c r="N626" s="338">
        <f t="shared" si="495"/>
        <v>5.3509377486608054</v>
      </c>
      <c r="O626" s="339">
        <f t="shared" si="496"/>
        <v>2.1659661591885948</v>
      </c>
      <c r="P626" s="732" t="str">
        <f t="shared" si="497"/>
        <v>-0.00238823881117367-0.000397636987328745i</v>
      </c>
      <c r="Q626" s="337">
        <f t="shared" si="498"/>
        <v>2.4211154026374093E-3</v>
      </c>
      <c r="R626" s="339">
        <f t="shared" si="499"/>
        <v>-2.9766080880591597</v>
      </c>
      <c r="S626" s="731" t="str">
        <f t="shared" si="500"/>
        <v>6000</v>
      </c>
      <c r="T626" s="337" t="str">
        <f t="shared" si="501"/>
        <v>1+1903805.14807542i</v>
      </c>
      <c r="U626" s="346">
        <f t="shared" si="502"/>
        <v>1903805.1480756828</v>
      </c>
      <c r="V626" s="347">
        <f t="shared" si="503"/>
        <v>1.5707958015310581</v>
      </c>
      <c r="W626" s="340" t="str">
        <f t="shared" si="504"/>
        <v>1+18849.5559215388i</v>
      </c>
      <c r="X626" s="337">
        <f t="shared" si="505"/>
        <v>18849.555948064619</v>
      </c>
      <c r="Y626" s="339">
        <f t="shared" si="506"/>
        <v>1.570743275147249</v>
      </c>
      <c r="Z626" s="337" t="str">
        <f t="shared" si="507"/>
        <v>1+189.880174600003i</v>
      </c>
      <c r="AA626" s="346">
        <f t="shared" si="508"/>
        <v>189.88280782137076</v>
      </c>
      <c r="AB626" s="347">
        <f t="shared" si="509"/>
        <v>1.5655298962315558</v>
      </c>
      <c r="AC626" s="732" t="str">
        <f t="shared" si="510"/>
        <v>0.00163119285304547-0.312851562981681i</v>
      </c>
      <c r="AD626" s="337">
        <f t="shared" si="511"/>
        <v>0.31285581543293156</v>
      </c>
      <c r="AE626" s="339">
        <f t="shared" si="512"/>
        <v>-1.5655824226153647</v>
      </c>
      <c r="AF626" s="736" t="str">
        <f t="shared" si="513"/>
        <v>-0.000128297031065277+0.000746515622237357i</v>
      </c>
      <c r="AG626" s="337">
        <f t="shared" si="514"/>
        <v>-62.412805544747691</v>
      </c>
      <c r="AH626" s="730">
        <f t="shared" si="515"/>
        <v>99.751653993977655</v>
      </c>
      <c r="AI626" s="360">
        <f t="shared" si="516"/>
        <v>-80.248346006022345</v>
      </c>
      <c r="AJ626" s="405" t="s">
        <v>450</v>
      </c>
      <c r="AL626" s="337">
        <f t="shared" si="517"/>
        <v>-10.093115356995391</v>
      </c>
      <c r="AM626" s="730">
        <f t="shared" si="518"/>
        <v>-89.701265295727211</v>
      </c>
      <c r="AN626" s="351"/>
      <c r="AO626" s="337">
        <f t="shared" si="519"/>
        <v>0.95224101098711589</v>
      </c>
      <c r="AP626" s="730">
        <f t="shared" si="520"/>
        <v>-170.54708071029515</v>
      </c>
      <c r="AS626" s="351"/>
      <c r="AT626" s="351"/>
    </row>
    <row r="627" spans="1:46" ht="13.5" thickBot="1" x14ac:dyDescent="0.25">
      <c r="B627" s="404">
        <f>Fp2_u</f>
        <v>1579.9437757626504</v>
      </c>
      <c r="C627" s="728" t="str">
        <f t="shared" si="484"/>
        <v>2.16217503399043</v>
      </c>
      <c r="D627" s="728" t="str">
        <f t="shared" si="485"/>
        <v>1+1.20779467469508i</v>
      </c>
      <c r="E627" s="337">
        <f t="shared" si="486"/>
        <v>1.5680459101129005</v>
      </c>
      <c r="F627" s="338">
        <f t="shared" si="487"/>
        <v>0.87924037933652588</v>
      </c>
      <c r="G627" s="338" t="str">
        <f t="shared" si="488"/>
        <v>1+0.00496353975902086i</v>
      </c>
      <c r="H627" s="337">
        <f t="shared" si="489"/>
        <v>1.0000123182875995</v>
      </c>
      <c r="I627" s="338">
        <f t="shared" si="490"/>
        <v>4.96349899783216E-3</v>
      </c>
      <c r="J627" s="340">
        <f t="shared" si="491"/>
        <v>1</v>
      </c>
      <c r="K627" s="338">
        <f t="shared" si="492"/>
        <v>1</v>
      </c>
      <c r="L627" s="339">
        <f t="shared" si="493"/>
        <v>0</v>
      </c>
      <c r="M627" s="731" t="str">
        <f t="shared" si="494"/>
        <v>0.99988905678513+0.023335040848749i</v>
      </c>
      <c r="N627" s="338">
        <f t="shared" si="495"/>
        <v>1.0001613119942552</v>
      </c>
      <c r="O627" s="339">
        <f t="shared" si="496"/>
        <v>2.3333394476847985E-2</v>
      </c>
      <c r="P627" s="732" t="str">
        <f t="shared" si="497"/>
        <v>0.859587296107796-1.07791573763166i</v>
      </c>
      <c r="Q627" s="337">
        <f t="shared" si="498"/>
        <v>1.378692372164261</v>
      </c>
      <c r="R627" s="339">
        <f t="shared" si="499"/>
        <v>-0.89761027481554168</v>
      </c>
      <c r="S627" s="731" t="str">
        <f t="shared" si="500"/>
        <v>6000</v>
      </c>
      <c r="T627" s="337" t="str">
        <f t="shared" si="501"/>
        <v>1+10026.3503132221i</v>
      </c>
      <c r="U627" s="346">
        <f t="shared" si="502"/>
        <v>10026.350363090694</v>
      </c>
      <c r="V627" s="347">
        <f t="shared" si="503"/>
        <v>1.5706965896058454</v>
      </c>
      <c r="W627" s="340" t="str">
        <f t="shared" si="504"/>
        <v>1+99.2707951804172i</v>
      </c>
      <c r="X627" s="337">
        <f t="shared" si="505"/>
        <v>99.275831780712593</v>
      </c>
      <c r="Y627" s="339">
        <f t="shared" si="506"/>
        <v>1.5607232113796081</v>
      </c>
      <c r="Z627" s="337" t="str">
        <f t="shared" si="507"/>
        <v>1+i</v>
      </c>
      <c r="AA627" s="346">
        <f t="shared" si="508"/>
        <v>1.4142135623730951</v>
      </c>
      <c r="AB627" s="347">
        <f t="shared" si="509"/>
        <v>0.78539816339744828</v>
      </c>
      <c r="AC627" s="732" t="str">
        <f t="shared" si="510"/>
        <v>29.4067507696546-29.9992489185052i</v>
      </c>
      <c r="AD627" s="337">
        <f t="shared" si="511"/>
        <v>42.008474460553984</v>
      </c>
      <c r="AE627" s="339">
        <f t="shared" si="512"/>
        <v>-0.7953715416236854</v>
      </c>
      <c r="AF627" s="736" t="str">
        <f t="shared" si="513"/>
        <v>-7.05899314498306-57.4849727103452i</v>
      </c>
      <c r="AG627" s="337">
        <f t="shared" si="514"/>
        <v>35.256085663904116</v>
      </c>
      <c r="AH627" s="730">
        <f t="shared" si="515"/>
        <v>-97.000712874359564</v>
      </c>
      <c r="AI627" s="360">
        <f t="shared" si="516"/>
        <v>82.999287125640436</v>
      </c>
      <c r="AJ627" s="405" t="s">
        <v>462</v>
      </c>
      <c r="AL627" s="337">
        <f t="shared" si="517"/>
        <v>32.466738208054224</v>
      </c>
      <c r="AM627" s="730">
        <f t="shared" si="518"/>
        <v>-45.571432479851055</v>
      </c>
      <c r="AN627" s="351"/>
      <c r="AO627" s="337">
        <f t="shared" si="519"/>
        <v>56.06127865458933</v>
      </c>
      <c r="AP627" s="730">
        <f t="shared" si="520"/>
        <v>-51.429280394508481</v>
      </c>
      <c r="AS627" s="351"/>
      <c r="AT627" s="351"/>
    </row>
    <row r="628" spans="1:46" ht="13.5" thickBot="1" x14ac:dyDescent="0.25">
      <c r="B628" s="404">
        <f>PS_RHPZ</f>
        <v>10000000</v>
      </c>
      <c r="C628" s="728" t="str">
        <f t="shared" si="484"/>
        <v>2.16217503399043</v>
      </c>
      <c r="D628" s="728" t="str">
        <f t="shared" si="485"/>
        <v>1+7644.54212373517i</v>
      </c>
      <c r="E628" s="337">
        <f t="shared" si="486"/>
        <v>7644.5421891413098</v>
      </c>
      <c r="F628" s="338">
        <f t="shared" si="487"/>
        <v>1.5706655145136494</v>
      </c>
      <c r="G628" s="338" t="str">
        <f t="shared" si="488"/>
        <v>1+31.415926535898i</v>
      </c>
      <c r="H628" s="337">
        <f t="shared" si="489"/>
        <v>31.431838000806444</v>
      </c>
      <c r="I628" s="338">
        <f t="shared" si="490"/>
        <v>1.5389760821571943</v>
      </c>
      <c r="J628" s="340">
        <f t="shared" si="491"/>
        <v>1</v>
      </c>
      <c r="K628" s="338">
        <f t="shared" si="492"/>
        <v>1</v>
      </c>
      <c r="L628" s="339">
        <f t="shared" si="493"/>
        <v>0</v>
      </c>
      <c r="M628" s="731" t="str">
        <f t="shared" si="494"/>
        <v>-4443.44444444445+147.695387688623i</v>
      </c>
      <c r="N628" s="338">
        <f t="shared" si="495"/>
        <v>4445.898385974283</v>
      </c>
      <c r="O628" s="339">
        <f t="shared" si="496"/>
        <v>3.1083659455853003</v>
      </c>
      <c r="P628" s="732" t="str">
        <f t="shared" si="497"/>
        <v>-1.99962748936199E-06-3.07398106603697E-09i</v>
      </c>
      <c r="Q628" s="337">
        <f t="shared" si="498"/>
        <v>1.9996298521405733E-6</v>
      </c>
      <c r="R628" s="339">
        <f t="shared" si="499"/>
        <v>-3.1400553779417555</v>
      </c>
      <c r="S628" s="731" t="str">
        <f t="shared" si="500"/>
        <v>6000</v>
      </c>
      <c r="T628" s="337" t="str">
        <f t="shared" si="501"/>
        <v>1+63460171.6025139i</v>
      </c>
      <c r="U628" s="346">
        <f t="shared" si="502"/>
        <v>63460171.602513902</v>
      </c>
      <c r="V628" s="347">
        <f t="shared" si="503"/>
        <v>1.5707963110369814</v>
      </c>
      <c r="W628" s="340" t="str">
        <f t="shared" si="504"/>
        <v>1+628318.530717959i</v>
      </c>
      <c r="X628" s="337">
        <f t="shared" si="505"/>
        <v>628318.53071875486</v>
      </c>
      <c r="Y628" s="339">
        <f t="shared" si="506"/>
        <v>1.5707947352454656</v>
      </c>
      <c r="Z628" s="337" t="str">
        <f t="shared" si="507"/>
        <v>1+6329.33915333344i</v>
      </c>
      <c r="AA628" s="346">
        <f t="shared" si="508"/>
        <v>6329.3392323306289</v>
      </c>
      <c r="AB628" s="347">
        <f t="shared" si="509"/>
        <v>1.570638332418635</v>
      </c>
      <c r="AC628" s="732" t="str">
        <f t="shared" si="510"/>
        <v>1.46811424925296E-06-0.0093858043765374i</v>
      </c>
      <c r="AD628" s="337">
        <f t="shared" si="511"/>
        <v>9.3858044913575772E-3</v>
      </c>
      <c r="AE628" s="339">
        <f t="shared" si="512"/>
        <v>-1.5706399082101508</v>
      </c>
      <c r="AF628" s="736" t="str">
        <f t="shared" si="513"/>
        <v>-3.17874665533332E-11+1.87681079281429E-08i</v>
      </c>
      <c r="AG628" s="337">
        <f t="shared" si="514"/>
        <v>-154.5315776970512</v>
      </c>
      <c r="AH628" s="730">
        <f t="shared" si="515"/>
        <v>90.097041531324123</v>
      </c>
      <c r="AI628" s="360">
        <f t="shared" si="516"/>
        <v>-89.902958468675877</v>
      </c>
      <c r="AJ628" s="405" t="s">
        <v>578</v>
      </c>
      <c r="AL628" s="337">
        <f t="shared" si="517"/>
        <v>-40.550569929828022</v>
      </c>
      <c r="AM628" s="730">
        <f t="shared" si="518"/>
        <v>-89.991037875256652</v>
      </c>
      <c r="AN628" s="351"/>
      <c r="AO628" s="337">
        <f t="shared" si="519"/>
        <v>-60.709076568483781</v>
      </c>
      <c r="AP628" s="730">
        <f t="shared" si="520"/>
        <v>-179.91192059341921</v>
      </c>
      <c r="AS628" s="351"/>
      <c r="AT628" s="351"/>
    </row>
    <row r="629" spans="1:46" x14ac:dyDescent="0.2">
      <c r="B629" s="404">
        <f>Fp2_u</f>
        <v>1579.9437757626504</v>
      </c>
      <c r="C629" s="728" t="str">
        <f t="shared" si="484"/>
        <v>2.16217503399043</v>
      </c>
      <c r="D629" s="728" t="str">
        <f t="shared" si="485"/>
        <v>1+1.20779467469508i</v>
      </c>
      <c r="E629" s="337">
        <f t="shared" si="486"/>
        <v>1.5680459101129005</v>
      </c>
      <c r="F629" s="338">
        <f t="shared" si="487"/>
        <v>0.87924037933652588</v>
      </c>
      <c r="G629" s="338" t="str">
        <f t="shared" si="488"/>
        <v>1+0.00496353975902086i</v>
      </c>
      <c r="H629" s="337">
        <f t="shared" si="489"/>
        <v>1.0000123182875995</v>
      </c>
      <c r="I629" s="338">
        <f t="shared" si="490"/>
        <v>4.96349899783216E-3</v>
      </c>
      <c r="J629" s="340">
        <f t="shared" si="491"/>
        <v>1</v>
      </c>
      <c r="K629" s="338">
        <f t="shared" si="492"/>
        <v>1</v>
      </c>
      <c r="L629" s="339">
        <f t="shared" si="493"/>
        <v>0</v>
      </c>
      <c r="M629" s="731" t="str">
        <f t="shared" si="494"/>
        <v>0.99988905678513+0.023335040848749i</v>
      </c>
      <c r="N629" s="338">
        <f t="shared" si="495"/>
        <v>1.0001613119942552</v>
      </c>
      <c r="O629" s="339">
        <f t="shared" si="496"/>
        <v>2.3333394476847985E-2</v>
      </c>
      <c r="P629" s="732" t="str">
        <f t="shared" si="497"/>
        <v>0.859587296107796-1.07791573763166i</v>
      </c>
      <c r="Q629" s="337">
        <f t="shared" si="498"/>
        <v>1.378692372164261</v>
      </c>
      <c r="R629" s="339">
        <f t="shared" si="499"/>
        <v>-0.89761027481554168</v>
      </c>
      <c r="S629" s="731" t="str">
        <f t="shared" si="500"/>
        <v>6000</v>
      </c>
      <c r="T629" s="337" t="str">
        <f t="shared" si="501"/>
        <v>1+10026.3503132221i</v>
      </c>
      <c r="U629" s="346">
        <f t="shared" si="502"/>
        <v>10026.350363090694</v>
      </c>
      <c r="V629" s="347">
        <f t="shared" si="503"/>
        <v>1.5706965896058454</v>
      </c>
      <c r="W629" s="340" t="str">
        <f t="shared" si="504"/>
        <v>1+99.2707951804172i</v>
      </c>
      <c r="X629" s="337">
        <f t="shared" si="505"/>
        <v>99.275831780712593</v>
      </c>
      <c r="Y629" s="339">
        <f t="shared" si="506"/>
        <v>1.5607232113796081</v>
      </c>
      <c r="Z629" s="337" t="str">
        <f t="shared" si="507"/>
        <v>1+i</v>
      </c>
      <c r="AA629" s="346">
        <f t="shared" si="508"/>
        <v>1.4142135623730951</v>
      </c>
      <c r="AB629" s="347">
        <f t="shared" si="509"/>
        <v>0.78539816339744828</v>
      </c>
      <c r="AC629" s="732" t="str">
        <f t="shared" si="510"/>
        <v>29.4067507696546-29.9992489185052i</v>
      </c>
      <c r="AD629" s="337">
        <f t="shared" si="511"/>
        <v>42.008474460553984</v>
      </c>
      <c r="AE629" s="339">
        <f t="shared" si="512"/>
        <v>-0.7953715416236854</v>
      </c>
      <c r="AF629" s="736" t="str">
        <f t="shared" si="513"/>
        <v>-7.05899314498306-57.4849727103452i</v>
      </c>
      <c r="AG629" s="337">
        <f t="shared" si="514"/>
        <v>35.256085663904116</v>
      </c>
      <c r="AH629" s="730">
        <f t="shared" si="515"/>
        <v>-97.000712874359564</v>
      </c>
      <c r="AI629" s="360">
        <f t="shared" si="516"/>
        <v>82.999287125640436</v>
      </c>
    </row>
    <row r="631" spans="1:46" x14ac:dyDescent="0.2">
      <c r="F631" s="405" t="s">
        <v>478</v>
      </c>
      <c r="H631" s="405" t="s">
        <v>479</v>
      </c>
    </row>
    <row r="632" spans="1:46" x14ac:dyDescent="0.2">
      <c r="A632" s="405" t="s">
        <v>454</v>
      </c>
      <c r="B632" s="405" t="s">
        <v>575</v>
      </c>
      <c r="E632" s="353">
        <f>PS_Pole1</f>
        <v>1308.1228199333864</v>
      </c>
      <c r="F632" s="353">
        <f>AG622</f>
        <v>36.896556928340672</v>
      </c>
      <c r="G632" s="353"/>
      <c r="H632" s="353">
        <f>AO622</f>
        <v>56.958561101696723</v>
      </c>
    </row>
    <row r="633" spans="1:46" x14ac:dyDescent="0.2">
      <c r="A633" s="405" t="s">
        <v>449</v>
      </c>
      <c r="B633" s="405" t="s">
        <v>586</v>
      </c>
      <c r="E633" s="353">
        <f>PS_Zero1</f>
        <v>318309.88618379069</v>
      </c>
      <c r="F633" s="353">
        <f>AG623</f>
        <v>-63.986004693788736</v>
      </c>
      <c r="G633" s="353"/>
      <c r="H633" s="353">
        <f>AO623</f>
        <v>-0.10639414373120758</v>
      </c>
    </row>
    <row r="634" spans="1:46" x14ac:dyDescent="0.2">
      <c r="A634" s="405" t="s">
        <v>457</v>
      </c>
      <c r="B634" s="405" t="s">
        <v>587</v>
      </c>
      <c r="E634" s="353">
        <f>EA_Pole1</f>
        <v>0.157579151576134</v>
      </c>
      <c r="F634" s="353">
        <f>AG624</f>
        <v>79.250967628458568</v>
      </c>
      <c r="G634" s="353"/>
      <c r="H634" s="353">
        <f>AO624</f>
        <v>59.969748103067573</v>
      </c>
    </row>
    <row r="635" spans="1:46" x14ac:dyDescent="0.2">
      <c r="A635" s="405" t="s">
        <v>452</v>
      </c>
      <c r="B635" s="405" t="s">
        <v>588</v>
      </c>
      <c r="E635" s="353">
        <f>EA_Zero1</f>
        <v>15.915494309189533</v>
      </c>
      <c r="F635" s="353">
        <f>AG625</f>
        <v>45.183205103625504</v>
      </c>
      <c r="G635" s="353"/>
      <c r="H635" s="353">
        <f>AO625</f>
        <v>59.969105205879394</v>
      </c>
    </row>
    <row r="636" spans="1:46" x14ac:dyDescent="0.2">
      <c r="A636" s="405" t="s">
        <v>450</v>
      </c>
      <c r="B636" s="405" t="s">
        <v>585</v>
      </c>
      <c r="E636" s="405">
        <f>PS_Pole2</f>
        <v>300000</v>
      </c>
      <c r="F636" s="353">
        <f>AG626</f>
        <v>-62.412805544747691</v>
      </c>
      <c r="G636" s="353"/>
      <c r="H636" s="353">
        <f>AO626</f>
        <v>0.95224101098711589</v>
      </c>
    </row>
    <row r="637" spans="1:46" x14ac:dyDescent="0.2">
      <c r="A637" s="405" t="s">
        <v>574</v>
      </c>
      <c r="B637" s="405" t="s">
        <v>589</v>
      </c>
      <c r="E637" s="404">
        <f>PS_RHPZ</f>
        <v>10000000</v>
      </c>
      <c r="F637" s="353">
        <f>AG628</f>
        <v>-154.5315776970512</v>
      </c>
      <c r="G637" s="353"/>
      <c r="H637" s="353">
        <f>AO628</f>
        <v>-60.709076568483781</v>
      </c>
    </row>
    <row r="639" spans="1:46" x14ac:dyDescent="0.2">
      <c r="A639" s="353">
        <f>R4*1000</f>
        <v>16033.5</v>
      </c>
    </row>
    <row r="640" spans="1:46" x14ac:dyDescent="0.2">
      <c r="A640" s="353">
        <f>R4*1000</f>
        <v>16033.5</v>
      </c>
    </row>
    <row r="687" spans="48:49" x14ac:dyDescent="0.2">
      <c r="AV687" s="405" t="s">
        <v>48</v>
      </c>
      <c r="AW687" s="353">
        <f>SUM(AW689:AW1306)</f>
        <v>0</v>
      </c>
    </row>
  </sheetData>
  <mergeCells count="18">
    <mergeCell ref="B2:D2"/>
    <mergeCell ref="E2:G2"/>
    <mergeCell ref="Q2:S2"/>
    <mergeCell ref="B10:B12"/>
    <mergeCell ref="C10:R10"/>
    <mergeCell ref="S10:AE10"/>
    <mergeCell ref="Z11:AB11"/>
    <mergeCell ref="AC11:AE11"/>
    <mergeCell ref="AG10:AI10"/>
    <mergeCell ref="AL10:AM10"/>
    <mergeCell ref="AO10:AP10"/>
    <mergeCell ref="D11:F11"/>
    <mergeCell ref="G11:I11"/>
    <mergeCell ref="J11:L11"/>
    <mergeCell ref="M11:O11"/>
    <mergeCell ref="P11:R11"/>
    <mergeCell ref="T11:V11"/>
    <mergeCell ref="W11:Y11"/>
  </mergeCells>
  <pageMargins left="0.75" right="0.75" top="1" bottom="1" header="0.5" footer="0.5"/>
  <pageSetup scale="48" orientation="portrait" horizontalDpi="300" verticalDpi="300" r:id="rId1"/>
  <headerFooter alignWithMargins="0"/>
  <colBreaks count="1" manualBreakCount="1">
    <brk id="35"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0F15-EACF-486C-93AC-407C8EFBC619}">
  <sheetPr codeName="Sheet20"/>
  <dimension ref="A1:BO687"/>
  <sheetViews>
    <sheetView zoomScaleNormal="100" workbookViewId="0">
      <pane ySplit="11" topLeftCell="A12" activePane="bottomLeft" state="frozen"/>
      <selection activeCell="A93" sqref="A93"/>
      <selection pane="bottomLeft" activeCell="B7" sqref="B7"/>
    </sheetView>
  </sheetViews>
  <sheetFormatPr defaultColWidth="9.140625" defaultRowHeight="12.75" x14ac:dyDescent="0.2"/>
  <cols>
    <col min="1" max="1" width="9.140625" style="405"/>
    <col min="2" max="2" width="10" style="405" bestFit="1" customWidth="1"/>
    <col min="3" max="3" width="16.140625" style="405" customWidth="1"/>
    <col min="4" max="6" width="15.7109375" style="405" customWidth="1"/>
    <col min="7" max="7" width="10" style="405" customWidth="1"/>
    <col min="8" max="9" width="10.85546875" style="405" customWidth="1"/>
    <col min="10" max="10" width="10.140625" style="405" customWidth="1"/>
    <col min="11" max="33" width="11.85546875" style="405" customWidth="1"/>
    <col min="34" max="34" width="20.140625" style="405" customWidth="1"/>
    <col min="35" max="36" width="11.85546875" style="405" customWidth="1"/>
    <col min="37" max="37" width="14.28515625" style="405" customWidth="1"/>
    <col min="38" max="39" width="11" style="405" customWidth="1"/>
    <col min="40" max="40" width="12" style="405" customWidth="1"/>
    <col min="41" max="42" width="11.42578125" style="405" customWidth="1"/>
    <col min="43" max="43" width="10.85546875" style="405" customWidth="1"/>
    <col min="44" max="47" width="11.42578125" style="405" customWidth="1"/>
    <col min="48" max="48" width="12.140625" style="405" customWidth="1"/>
    <col min="49" max="49" width="9.42578125" style="405" customWidth="1"/>
    <col min="50" max="50" width="16.140625" style="405" bestFit="1" customWidth="1"/>
    <col min="51" max="51" width="13.140625" style="353" customWidth="1"/>
    <col min="52" max="53" width="9.140625" style="405"/>
    <col min="54" max="54" width="13.5703125" style="405" customWidth="1"/>
    <col min="55" max="56" width="10.5703125" style="405" customWidth="1"/>
    <col min="57" max="57" width="9.28515625" style="405" bestFit="1" customWidth="1"/>
    <col min="58" max="58" width="11.28515625" style="405" bestFit="1" customWidth="1"/>
    <col min="59" max="60" width="9.140625" style="405"/>
    <col min="61" max="62" width="11.28515625" style="405" customWidth="1"/>
    <col min="63" max="63" width="9.140625" style="405"/>
    <col min="64" max="64" width="12.28515625" style="405" customWidth="1"/>
    <col min="65" max="65" width="8.85546875" style="405" customWidth="1"/>
    <col min="66" max="16384" width="9.140625" style="405"/>
  </cols>
  <sheetData>
    <row r="1" spans="1:67" ht="13.5" thickBot="1" x14ac:dyDescent="0.25"/>
    <row r="2" spans="1:67" x14ac:dyDescent="0.2">
      <c r="A2" s="405" t="s">
        <v>5</v>
      </c>
      <c r="B2" s="405">
        <f>Vout</f>
        <v>14.6</v>
      </c>
      <c r="D2" s="913" t="s">
        <v>1201</v>
      </c>
      <c r="E2" s="914"/>
      <c r="F2" s="914"/>
      <c r="G2" s="913" t="s">
        <v>445</v>
      </c>
      <c r="H2" s="914"/>
      <c r="I2" s="915"/>
      <c r="J2" s="714"/>
      <c r="K2" s="716"/>
      <c r="L2" s="715"/>
      <c r="M2" s="714" t="s">
        <v>551</v>
      </c>
      <c r="N2" s="715"/>
      <c r="O2" s="718"/>
      <c r="P2" s="719"/>
      <c r="Q2" s="718"/>
      <c r="R2" s="714" t="s">
        <v>552</v>
      </c>
      <c r="S2" s="715"/>
      <c r="T2" s="913" t="s">
        <v>446</v>
      </c>
      <c r="U2" s="914"/>
      <c r="V2" s="915"/>
      <c r="W2"/>
      <c r="X2"/>
      <c r="Y2"/>
      <c r="Z2"/>
      <c r="AA2"/>
      <c r="AB2"/>
      <c r="AC2"/>
      <c r="AD2"/>
      <c r="AE2"/>
      <c r="AF2"/>
      <c r="AG2"/>
      <c r="AH2"/>
      <c r="AI2"/>
      <c r="AJ2"/>
      <c r="AK2"/>
      <c r="AL2"/>
      <c r="AY2" s="405"/>
    </row>
    <row r="3" spans="1:67" x14ac:dyDescent="0.2">
      <c r="A3" s="405" t="s">
        <v>4</v>
      </c>
      <c r="B3" s="405">
        <f>Vin</f>
        <v>23.6</v>
      </c>
      <c r="D3" s="321"/>
      <c r="E3" s="402"/>
      <c r="F3" s="323"/>
      <c r="G3" s="324" t="s">
        <v>448</v>
      </c>
      <c r="H3" s="322">
        <f>Acs</f>
        <v>40</v>
      </c>
      <c r="I3" s="323" t="s">
        <v>550</v>
      </c>
      <c r="J3" s="414" t="s">
        <v>464</v>
      </c>
      <c r="K3" s="423">
        <f>gm</f>
        <v>5.9999999999999995E-4</v>
      </c>
      <c r="L3" s="745"/>
      <c r="M3" s="324" t="s">
        <v>577</v>
      </c>
      <c r="N3" s="326"/>
      <c r="O3" s="325">
        <f>Fesr</f>
        <v>318309.88618379069</v>
      </c>
      <c r="P3" s="323" t="s">
        <v>10</v>
      </c>
      <c r="Q3" s="324" t="s">
        <v>450</v>
      </c>
      <c r="R3" s="325">
        <f>Fsw/2</f>
        <v>300000</v>
      </c>
      <c r="S3" s="323" t="s">
        <v>10</v>
      </c>
      <c r="T3" s="326" t="s">
        <v>451</v>
      </c>
      <c r="U3" s="325">
        <f>Am*Afb*AEA</f>
        <v>12973.050203942563</v>
      </c>
      <c r="V3" s="323" t="s">
        <v>30</v>
      </c>
      <c r="W3"/>
      <c r="X3"/>
      <c r="Y3"/>
      <c r="Z3"/>
      <c r="AA3"/>
      <c r="AB3"/>
      <c r="AC3"/>
      <c r="AD3"/>
      <c r="AE3"/>
      <c r="AF3"/>
      <c r="AG3"/>
      <c r="AH3"/>
      <c r="AI3"/>
      <c r="AJ3"/>
      <c r="AK3"/>
      <c r="AL3"/>
    </row>
    <row r="4" spans="1:67" x14ac:dyDescent="0.2">
      <c r="A4" s="405" t="s">
        <v>1203</v>
      </c>
      <c r="B4" s="353">
        <f>'Variable Management'!B253</f>
        <v>5</v>
      </c>
      <c r="D4" s="324" t="s">
        <v>942</v>
      </c>
      <c r="E4" s="357">
        <f>1/(2*Pi*RcIL*Cc1IL)</f>
        <v>99.596334850998332</v>
      </c>
      <c r="F4" s="323" t="s">
        <v>10</v>
      </c>
      <c r="G4" s="324" t="s">
        <v>453</v>
      </c>
      <c r="H4" s="330">
        <f>Am</f>
        <v>31.56775549626024</v>
      </c>
      <c r="I4" s="323" t="s">
        <v>30</v>
      </c>
      <c r="J4" s="415"/>
      <c r="K4" s="415"/>
      <c r="L4" s="746"/>
      <c r="M4" s="324" t="s">
        <v>576</v>
      </c>
      <c r="N4" s="326"/>
      <c r="O4" s="325">
        <f>Fp_dominant</f>
        <v>1308.1228199333864</v>
      </c>
      <c r="P4" s="323" t="s">
        <v>10</v>
      </c>
      <c r="Q4" s="324" t="s">
        <v>455</v>
      </c>
      <c r="R4" s="400">
        <f>Q*PS_Pole2</f>
        <v>135413.84272720103</v>
      </c>
      <c r="S4" s="323"/>
      <c r="T4" s="326" t="s">
        <v>456</v>
      </c>
      <c r="U4" s="357">
        <f>BM8/1000</f>
        <v>18.515000000000001</v>
      </c>
      <c r="V4" s="323" t="s">
        <v>3</v>
      </c>
      <c r="W4"/>
      <c r="X4"/>
      <c r="Y4"/>
      <c r="Z4"/>
      <c r="AA4"/>
      <c r="AB4"/>
      <c r="AC4"/>
      <c r="AD4"/>
      <c r="AE4"/>
      <c r="AF4"/>
      <c r="AG4"/>
      <c r="AH4"/>
      <c r="AI4"/>
      <c r="AJ4"/>
      <c r="AK4"/>
      <c r="AL4"/>
      <c r="AV4" s="630"/>
    </row>
    <row r="5" spans="1:67" x14ac:dyDescent="0.2">
      <c r="A5" s="405" t="s">
        <v>1216</v>
      </c>
      <c r="B5" s="405">
        <f>Rout</f>
        <v>1.2166666666666666</v>
      </c>
      <c r="D5" s="324" t="s">
        <v>943</v>
      </c>
      <c r="E5" s="330">
        <f>1/(2*Pi*(RoEA_IL+RcIL)*Cc1IL)</f>
        <v>0.16902642432534409</v>
      </c>
      <c r="F5" s="323" t="s">
        <v>10</v>
      </c>
      <c r="G5" s="324" t="s">
        <v>29</v>
      </c>
      <c r="H5" s="402">
        <f>Q</f>
        <v>0.45137947575733678</v>
      </c>
      <c r="I5" s="323"/>
      <c r="J5" s="415"/>
      <c r="K5" s="415"/>
      <c r="L5" s="746"/>
      <c r="M5" s="324" t="s">
        <v>578</v>
      </c>
      <c r="N5" s="326"/>
      <c r="O5" s="325">
        <f>IF(VIN_nom&gt;Vout, 10000000,Frhp)</f>
        <v>10000000</v>
      </c>
      <c r="P5" s="323" t="s">
        <v>10</v>
      </c>
      <c r="Q5" s="324" t="s">
        <v>458</v>
      </c>
      <c r="R5" s="322">
        <f>PS_Pole2^2+0.01</f>
        <v>90000000000.009995</v>
      </c>
      <c r="S5" s="323"/>
      <c r="T5" s="326" t="s">
        <v>459</v>
      </c>
      <c r="U5" s="330">
        <f>BM9</f>
        <v>-4.9242717103255984</v>
      </c>
      <c r="V5" s="382" t="s">
        <v>519</v>
      </c>
      <c r="W5"/>
      <c r="X5"/>
      <c r="Y5"/>
      <c r="Z5"/>
      <c r="AA5"/>
      <c r="AB5"/>
      <c r="AC5"/>
      <c r="AD5"/>
      <c r="AE5"/>
      <c r="AF5"/>
      <c r="AG5"/>
      <c r="AH5"/>
      <c r="AI5"/>
      <c r="AJ5"/>
      <c r="AK5"/>
      <c r="AL5"/>
      <c r="AV5" s="630"/>
    </row>
    <row r="6" spans="1:67" x14ac:dyDescent="0.2">
      <c r="A6" s="405" t="s">
        <v>1204</v>
      </c>
      <c r="B6" s="405">
        <f>Cout-B7</f>
        <v>6.1000000000000005E-5</v>
      </c>
      <c r="D6" s="324" t="s">
        <v>941</v>
      </c>
      <c r="E6" s="325">
        <f>gm_IL_DAC*RoEA_IL</f>
        <v>10000</v>
      </c>
      <c r="F6" s="323" t="s">
        <v>30</v>
      </c>
      <c r="G6" s="324" t="s">
        <v>486</v>
      </c>
      <c r="H6" s="402">
        <f>mc</f>
        <v>1.9373808219178081</v>
      </c>
      <c r="I6" s="414"/>
      <c r="J6" s="416"/>
      <c r="K6" s="329"/>
      <c r="L6" s="747"/>
      <c r="M6" s="327"/>
      <c r="N6" s="399"/>
      <c r="O6" s="328"/>
      <c r="P6" s="329"/>
      <c r="Q6" s="327"/>
      <c r="R6" s="426"/>
      <c r="S6" s="329"/>
      <c r="T6" s="399" t="s">
        <v>461</v>
      </c>
      <c r="U6" s="328">
        <f>180/Pi</f>
        <v>57.295779513082323</v>
      </c>
      <c r="V6" s="329"/>
      <c r="W6"/>
      <c r="X6"/>
      <c r="Y6"/>
      <c r="Z6"/>
      <c r="AA6"/>
      <c r="AB6"/>
      <c r="AC6"/>
      <c r="AD6"/>
      <c r="AE6"/>
      <c r="AF6"/>
      <c r="AG6"/>
      <c r="AH6"/>
      <c r="AI6"/>
      <c r="AJ6"/>
      <c r="AK6"/>
      <c r="AL6"/>
      <c r="AV6" s="630"/>
      <c r="AX6" s="628"/>
      <c r="BB6" s="405">
        <f>20*LOG10(IMPRODUCT(COMPLEX($B$15,0),IMABS(AS13)))</f>
        <v>39.968403347465255</v>
      </c>
      <c r="BC6" s="405">
        <f>(180/PI())*IMARGUMENT(AS13)</f>
        <v>-4.8841351916767142</v>
      </c>
      <c r="BL6" s="723" t="s">
        <v>50</v>
      </c>
      <c r="BM6" s="723"/>
    </row>
    <row r="7" spans="1:67" ht="13.5" thickBot="1" x14ac:dyDescent="0.25">
      <c r="A7" s="405" t="s">
        <v>1066</v>
      </c>
      <c r="B7" s="405">
        <f>Co2_u</f>
        <v>3.8999999999999999E-5</v>
      </c>
      <c r="D7" s="737" t="s">
        <v>944</v>
      </c>
      <c r="E7" s="738">
        <f>1/(2*Pi*RcIL*(Cc2IL+Cbw_IL))</f>
        <v>2053.4628879370248</v>
      </c>
      <c r="F7" s="739" t="s">
        <v>10</v>
      </c>
      <c r="G7" s="396" t="s">
        <v>463</v>
      </c>
      <c r="H7" s="398">
        <f>k</f>
        <v>1.2051935306755401</v>
      </c>
      <c r="I7" s="398"/>
      <c r="J7" s="417"/>
      <c r="K7" s="397"/>
      <c r="L7" s="396"/>
      <c r="M7" s="396"/>
      <c r="N7" s="396"/>
      <c r="O7" s="396"/>
      <c r="P7" s="397"/>
      <c r="Q7" s="396"/>
      <c r="R7" s="396"/>
      <c r="S7" s="397"/>
      <c r="T7" s="396" t="s">
        <v>1197</v>
      </c>
      <c r="U7" s="396">
        <f>20*LOG(Adc)</f>
        <v>82.260841975034808</v>
      </c>
      <c r="V7" s="397" t="s">
        <v>856</v>
      </c>
      <c r="W7"/>
      <c r="X7"/>
      <c r="Y7"/>
      <c r="Z7"/>
      <c r="AA7"/>
      <c r="AB7"/>
      <c r="AC7"/>
      <c r="AD7"/>
      <c r="AE7"/>
      <c r="AF7"/>
      <c r="AG7"/>
      <c r="AH7"/>
      <c r="AI7"/>
      <c r="AJ7"/>
      <c r="AK7"/>
      <c r="AL7"/>
      <c r="AV7" s="630"/>
      <c r="BL7" s="405" t="s">
        <v>478</v>
      </c>
      <c r="BN7" s="405" t="s">
        <v>920</v>
      </c>
    </row>
    <row r="8" spans="1:67" x14ac:dyDescent="0.2">
      <c r="A8" s="405" t="s">
        <v>1205</v>
      </c>
      <c r="B8" s="405">
        <f>CoutEsr</f>
        <v>5.0000000000000001E-3</v>
      </c>
      <c r="D8" s="403"/>
      <c r="E8" s="403"/>
      <c r="F8" s="403"/>
      <c r="G8" s="404"/>
      <c r="K8" s="406"/>
      <c r="L8" s="406"/>
      <c r="M8" s="406"/>
      <c r="N8" s="406"/>
      <c r="O8" s="406"/>
      <c r="P8" s="406"/>
      <c r="Q8" s="406"/>
      <c r="R8" s="406"/>
      <c r="S8" s="406"/>
      <c r="T8" s="406"/>
      <c r="U8" s="406"/>
      <c r="V8" s="406"/>
      <c r="W8" s="406"/>
      <c r="X8" s="406"/>
      <c r="Y8" s="406"/>
      <c r="Z8" s="406"/>
      <c r="AA8" s="406"/>
      <c r="AB8" s="406"/>
      <c r="AC8" s="406"/>
      <c r="AD8" s="406"/>
      <c r="AE8" s="406"/>
      <c r="AF8" s="406"/>
      <c r="AG8" s="406"/>
      <c r="AH8" s="406"/>
      <c r="AI8" s="406"/>
      <c r="AJ8" s="406"/>
      <c r="BL8" s="405" t="s">
        <v>47</v>
      </c>
      <c r="BM8" s="405">
        <f>SUM(BL12:BL613)</f>
        <v>18515</v>
      </c>
      <c r="BN8" s="405" t="s">
        <v>47</v>
      </c>
      <c r="BO8" s="405">
        <f>SUM(BN12:BN613)</f>
        <v>2290.9</v>
      </c>
    </row>
    <row r="9" spans="1:67" ht="13.5" thickBot="1" x14ac:dyDescent="0.25">
      <c r="A9" s="405" t="s">
        <v>1206</v>
      </c>
      <c r="B9" s="405">
        <f>CoutEsr</f>
        <v>5.0000000000000001E-3</v>
      </c>
      <c r="BL9" s="405" t="s">
        <v>48</v>
      </c>
      <c r="BM9" s="353">
        <f>SUM(BM13:BM613)</f>
        <v>-4.9242717103255984</v>
      </c>
      <c r="BN9" s="405" t="s">
        <v>48</v>
      </c>
      <c r="BO9" s="353">
        <f>SUM(BO13:BO613)</f>
        <v>-89.707319393769481</v>
      </c>
    </row>
    <row r="10" spans="1:67" ht="15" x14ac:dyDescent="0.25">
      <c r="A10" s="405" t="s">
        <v>1209</v>
      </c>
      <c r="B10" s="405">
        <f>Rdcr</f>
        <v>5.7999999999999996E-3</v>
      </c>
      <c r="D10" s="916" t="s">
        <v>591</v>
      </c>
      <c r="E10" s="919" t="s">
        <v>465</v>
      </c>
      <c r="F10" s="920"/>
      <c r="G10" s="920"/>
      <c r="H10" s="920"/>
      <c r="I10" s="920"/>
      <c r="J10" s="920"/>
      <c r="K10" s="920"/>
      <c r="L10" s="920"/>
      <c r="M10" s="920"/>
      <c r="N10" s="920"/>
      <c r="O10" s="920"/>
      <c r="P10" s="920"/>
      <c r="Q10" s="920"/>
      <c r="R10" s="920"/>
      <c r="S10" s="920"/>
      <c r="T10" s="920"/>
      <c r="U10" s="921"/>
      <c r="V10" s="919" t="s">
        <v>466</v>
      </c>
      <c r="W10" s="920"/>
      <c r="X10" s="920"/>
      <c r="Y10" s="920"/>
      <c r="Z10" s="920"/>
      <c r="AA10" s="920"/>
      <c r="AB10" s="920"/>
      <c r="AC10" s="920"/>
      <c r="AD10" s="920"/>
      <c r="AE10" s="920"/>
      <c r="AF10" s="920"/>
      <c r="AG10" s="920"/>
      <c r="AH10" s="921"/>
      <c r="AI10" s="919" t="s">
        <v>939</v>
      </c>
      <c r="AJ10" s="920"/>
      <c r="AK10" s="920"/>
      <c r="AL10" s="920"/>
      <c r="AM10" s="920"/>
      <c r="AN10" s="920"/>
      <c r="AO10" s="920"/>
      <c r="AP10" s="920"/>
      <c r="AQ10" s="920"/>
      <c r="AR10" s="920"/>
      <c r="AS10" s="920"/>
      <c r="AT10" s="920"/>
      <c r="AU10" s="921"/>
      <c r="AV10" s="720"/>
      <c r="AW10" s="903" t="s">
        <v>468</v>
      </c>
      <c r="AX10" s="904"/>
      <c r="AY10" s="905"/>
      <c r="BB10" s="906" t="s">
        <v>1217</v>
      </c>
      <c r="BC10" s="907"/>
      <c r="BE10" s="906" t="s">
        <v>470</v>
      </c>
      <c r="BF10" s="907"/>
    </row>
    <row r="11" spans="1:67" ht="13.15" customHeight="1" x14ac:dyDescent="0.2">
      <c r="A11" s="405" t="s">
        <v>1207</v>
      </c>
      <c r="B11" s="405">
        <f>IF(B3&gt;=Vout,Vout/B3,(Vout-Vin)/Vout)</f>
        <v>0.61864406779661008</v>
      </c>
      <c r="D11" s="917"/>
      <c r="F11" s="908"/>
      <c r="G11" s="909"/>
      <c r="H11" s="910"/>
      <c r="I11" s="908"/>
      <c r="J11" s="909"/>
      <c r="K11" s="910"/>
      <c r="L11" s="743"/>
      <c r="M11" s="742" t="s">
        <v>1219</v>
      </c>
      <c r="N11" s="743"/>
      <c r="O11" s="744"/>
      <c r="P11" s="908"/>
      <c r="Q11" s="909"/>
      <c r="R11" s="910"/>
      <c r="V11" s="724"/>
      <c r="W11" s="909" t="s">
        <v>454</v>
      </c>
      <c r="X11" s="909"/>
      <c r="Y11" s="911"/>
      <c r="Z11" s="912" t="s">
        <v>449</v>
      </c>
      <c r="AA11" s="909"/>
      <c r="AB11" s="910"/>
      <c r="AC11" s="908" t="s">
        <v>457</v>
      </c>
      <c r="AD11" s="909"/>
      <c r="AE11" s="910"/>
      <c r="AF11" s="908" t="s">
        <v>49</v>
      </c>
      <c r="AG11" s="909"/>
      <c r="AH11" s="910"/>
      <c r="AI11" s="724"/>
      <c r="AJ11" s="909" t="s">
        <v>454</v>
      </c>
      <c r="AK11" s="909"/>
      <c r="AL11" s="911"/>
      <c r="AM11" s="912" t="s">
        <v>449</v>
      </c>
      <c r="AN11" s="909"/>
      <c r="AO11" s="910"/>
      <c r="AP11" s="908" t="s">
        <v>457</v>
      </c>
      <c r="AQ11" s="909"/>
      <c r="AR11" s="910"/>
      <c r="AS11" s="908" t="s">
        <v>49</v>
      </c>
      <c r="AT11" s="909"/>
      <c r="AU11" s="910"/>
      <c r="AV11" s="717"/>
      <c r="AW11" s="326"/>
      <c r="AX11" s="322"/>
      <c r="AY11" s="358"/>
      <c r="BB11" s="324"/>
      <c r="BC11" s="323"/>
      <c r="BE11" s="324"/>
      <c r="BF11" s="323"/>
    </row>
    <row r="12" spans="1:67" ht="13.5" thickBot="1" x14ac:dyDescent="0.25">
      <c r="B12" s="405" t="str">
        <f>IF(Vin&lt;Vout,"Boost","Buck")</f>
        <v>Buck</v>
      </c>
      <c r="D12" s="918"/>
      <c r="E12" s="331" t="s">
        <v>1222</v>
      </c>
      <c r="F12" s="331" t="s">
        <v>1211</v>
      </c>
      <c r="G12" s="331" t="s">
        <v>1212</v>
      </c>
      <c r="H12" s="332" t="s">
        <v>1210</v>
      </c>
      <c r="I12" s="331" t="s">
        <v>1213</v>
      </c>
      <c r="J12" s="332" t="s">
        <v>1215</v>
      </c>
      <c r="K12" s="332" t="s">
        <v>1226</v>
      </c>
      <c r="L12" s="748"/>
      <c r="M12" s="742" t="s">
        <v>1219</v>
      </c>
      <c r="N12" s="743" t="s">
        <v>1232</v>
      </c>
      <c r="O12" s="743" t="s">
        <v>1220</v>
      </c>
      <c r="P12" s="744" t="s">
        <v>1223</v>
      </c>
      <c r="Q12" s="744" t="s">
        <v>1221</v>
      </c>
      <c r="R12" s="332" t="s">
        <v>1218</v>
      </c>
      <c r="S12" s="744" t="s">
        <v>1224</v>
      </c>
      <c r="T12" s="744" t="s">
        <v>1218</v>
      </c>
      <c r="U12" s="744" t="s">
        <v>1225</v>
      </c>
      <c r="V12" s="725" t="s">
        <v>1200</v>
      </c>
      <c r="W12" s="331" t="s">
        <v>1199</v>
      </c>
      <c r="X12" s="332" t="s">
        <v>471</v>
      </c>
      <c r="Y12" s="332" t="s">
        <v>472</v>
      </c>
      <c r="Z12" s="331" t="s">
        <v>1199</v>
      </c>
      <c r="AA12" s="332" t="s">
        <v>471</v>
      </c>
      <c r="AB12" s="332" t="s">
        <v>472</v>
      </c>
      <c r="AC12" s="331" t="s">
        <v>1199</v>
      </c>
      <c r="AD12" s="332" t="s">
        <v>471</v>
      </c>
      <c r="AE12" s="332" t="s">
        <v>472</v>
      </c>
      <c r="AF12" s="331" t="s">
        <v>1199</v>
      </c>
      <c r="AG12" s="332" t="s">
        <v>471</v>
      </c>
      <c r="AH12" s="332" t="s">
        <v>472</v>
      </c>
      <c r="AI12" s="725" t="s">
        <v>1202</v>
      </c>
      <c r="AJ12" s="331" t="s">
        <v>1199</v>
      </c>
      <c r="AK12" s="332" t="s">
        <v>471</v>
      </c>
      <c r="AL12" s="332" t="s">
        <v>472</v>
      </c>
      <c r="AM12" s="331" t="s">
        <v>1199</v>
      </c>
      <c r="AN12" s="332" t="s">
        <v>471</v>
      </c>
      <c r="AO12" s="332" t="s">
        <v>472</v>
      </c>
      <c r="AP12" s="331" t="s">
        <v>1199</v>
      </c>
      <c r="AQ12" s="332" t="s">
        <v>471</v>
      </c>
      <c r="AR12" s="332" t="s">
        <v>472</v>
      </c>
      <c r="AS12" s="331" t="s">
        <v>1199</v>
      </c>
      <c r="AT12" s="332" t="s">
        <v>471</v>
      </c>
      <c r="AU12" s="332" t="s">
        <v>472</v>
      </c>
      <c r="AV12" s="331" t="s">
        <v>1199</v>
      </c>
      <c r="AW12" s="726" t="s">
        <v>474</v>
      </c>
      <c r="AX12" s="332" t="s">
        <v>984</v>
      </c>
      <c r="AY12" s="359" t="s">
        <v>473</v>
      </c>
      <c r="BB12" s="334" t="s">
        <v>474</v>
      </c>
      <c r="BC12" s="335" t="s">
        <v>475</v>
      </c>
      <c r="BD12" s="727"/>
      <c r="BE12" s="334" t="s">
        <v>474</v>
      </c>
      <c r="BF12" s="335" t="s">
        <v>475</v>
      </c>
      <c r="BI12" s="727"/>
      <c r="BJ12" s="727"/>
    </row>
    <row r="13" spans="1:67" ht="13.5" thickBot="1" x14ac:dyDescent="0.25">
      <c r="A13" s="405" t="s">
        <v>60</v>
      </c>
      <c r="B13" s="405">
        <f>L</f>
        <v>2.6400000000000001E-6</v>
      </c>
      <c r="D13" s="336">
        <v>1</v>
      </c>
      <c r="E13" s="340" t="str">
        <f t="shared" ref="E13:E76" si="0">COMPLEX(0,2*PI()*D13*L)</f>
        <v>0.0000165876092109541i</v>
      </c>
      <c r="F13" s="728" t="str">
        <f>IMSUM(COMPLEX($B$8,0),IMDIV(COMPLEX(1,0),COMPLEX(0,2*PI()*D13*$B$6)))</f>
        <v>0.005-2609.09742773599i</v>
      </c>
      <c r="G13" s="337" t="str">
        <f>IMSUM(COMPLEX($B$9,0),IMDIV(COMPLEX(1,0),COMPLEX(0,2*PI()*D13*$B$7)))</f>
        <v>0.005-4080.89597671526i</v>
      </c>
      <c r="H13" s="338" t="str">
        <f>IMDIV(COMPLEX(1,0),IMSUM(IMDIV(COMPLEX(1,0),COMPLEX($B$5,0)), IMDIV(COMPLEX(1,0),G13)))</f>
        <v>1.21666655807792-0.000362733491263849i</v>
      </c>
      <c r="I13" s="338" t="str">
        <f>IMSUM(H13,COMPLEX($B$15,0))</f>
        <v>1.22666655807792-0.000362733491263849i</v>
      </c>
      <c r="J13" s="337" t="str">
        <f>IMDIV(COMPLEX(1,0),IMSUM(IMDIV(COMPLEX(1,0),F13),IMDIV(COMPLEX(1,0),IMSUM(COMPLEX($B$15,0),H13))))</f>
        <v>1.2266659447515-0.000939450072456746i</v>
      </c>
      <c r="K13" s="338" t="str">
        <f t="shared" ref="K13:K76" si="1">IMSUM(COMPLEX(1,0),COMPLEX(0,2*PI()*D13/(Fsw*PI()*(-2)/PI())),IMPRODUCT(COMPLEX(0,2*PI()*D13/(Fsw*PI())),COMPLEX(0,2*PI()*D13/(Fsw*PI()))))</f>
        <v>0.999999999988889-5.23598775598299E-06i</v>
      </c>
      <c r="L13" s="732"/>
      <c r="M13" s="732" t="str">
        <f t="shared" ref="M13:M76" si="2">IF(Vin&gt;=Vout,IMDIV(COMPLEX(Vin,0),IMSUM(E13,J13)),IMDIV(IMSUM(COMPLEX(Vout,0),IMPRODUCT(J13,COMPLEX($B$4,0))),IMSUM(E13,IMPRODUCT(J13,COMPLEX((1-$B$11)^2,0)))))</f>
        <v>19.2391308678886+0.0144742517548612i</v>
      </c>
      <c r="N13" s="337">
        <f t="shared" ref="N13:N76" si="3">IF(Vin&gt;=Vout,0,IMSUB(IMPRODUCT(M13,COMPLEX(1-$B$11,0)),COMPLEX($B$4/(1-$B$11),0)))</f>
        <v>0</v>
      </c>
      <c r="O13" s="730" t="str">
        <f t="shared" ref="O13:O76" si="4">IMDIV(IF(Vin&gt;=Vout,M13,N13),IMPRODUCT(I13,IMSUM(IMDIV(COMPLEX(1,0),F13),IMDIV(COMPLEX(1,0),I13))))</f>
        <v>19.2391307282397+0.00542897809489157i</v>
      </c>
      <c r="P13" s="731" t="str">
        <f t="shared" ref="P13:P76" si="5">IF(Vin&gt;=Vout,IMDIV(IMPRODUCT(COMPLEX(Vin,0),J13),IMSUM(J13,E13)),IMPRODUCT(N13,J13))</f>
        <v>23.6000002400932-0.000319131184394935i</v>
      </c>
      <c r="Q13" s="729" t="str">
        <f t="shared" ref="Q13:Q76" si="6">IF(Vin&gt;=Vout,IMDIV(IMPRODUCT(P13,H13),IMSUM(COMPLEX($B$15,0),H13)),IMPRODUCT(O13,H13))</f>
        <v>23.4076089328108-0.000373420965343856i</v>
      </c>
      <c r="R13" s="730"/>
      <c r="S13" s="405" t="str">
        <f>IMDIV(IMPRODUCT(COMPLEX($B$34,0),M13),IMSUM(COMPLEX(1,0),IMPRODUCT(M13,COMPLEX($B$29,0),K13,COMPLEX($B$34,0))))</f>
        <v>22.5426978131635+0.0074682565540501i</v>
      </c>
      <c r="T13" s="405" t="str">
        <f>IMDIV(IMPRODUCT(COMPLEX($B$34,0),O13),IMSUM(COMPLEX(1,0),IMPRODUCT(M13,COMPLEX($B$29,0),K13,COMPLEX($B$34,0))))</f>
        <v>22.542693187167-0.00313018504080855i</v>
      </c>
      <c r="U13" s="405" t="str">
        <f>IMDIV(IMPRODUCT(COMPLEX($B$34,0),Q13),IMSUM(COMPLEX(1,0),IMPRODUCT(M13,COMPLEX($B$29,0),K13,COMPLEX($B$34,0))))</f>
        <v>27.4269397944142-0.0119853812620185i</v>
      </c>
      <c r="V13" s="731" t="str">
        <f t="shared" ref="V13:V76" si="7">COMPLEX(AEA,0)</f>
        <v>6000</v>
      </c>
      <c r="W13" s="733" t="str">
        <f>IMSUM(COMPLEX(1,0),IMDIV(COMPLEX(0,2*PI()*D13),COMPLEX(2*PI()*'Stability Calculations'!EA_Pole1,0)))</f>
        <v>1+6.34601716025139i</v>
      </c>
      <c r="X13" s="734">
        <f t="shared" ref="X13" si="8">IMABS(W13)</f>
        <v>6.424323606279895</v>
      </c>
      <c r="Y13" s="735">
        <f t="shared" ref="Y13" si="9">IMARGUMENT(W13)</f>
        <v>1.4145023736411506</v>
      </c>
      <c r="Z13" s="340" t="str">
        <f>IMSUM(COMPLEX(1,0),IMDIV(COMPLEX(0,2*PI()*D13),COMPLEX(2*PI()*'Stability Calculations'!EA_Zero1,0)))</f>
        <v>1+0.0628318530717959i</v>
      </c>
      <c r="AA13" s="734">
        <f t="shared" ref="AA13" si="10">IMABS(Z13)</f>
        <v>1.0019719765344917</v>
      </c>
      <c r="AB13" s="735">
        <f t="shared" ref="AB13" si="11">IMARGUMENT(Z13)</f>
        <v>6.2749364969321514E-2</v>
      </c>
      <c r="AC13" s="733" t="str">
        <f>IMSUM(COMPLEX(1,0),IMDIV(COMPLEX(0,2*PI()*D13),COMPLEX(2*PI()*'Stability Calculations'!EA_Pole2,0)))</f>
        <v>1+0.000632933915333344i</v>
      </c>
      <c r="AD13" s="734">
        <f t="shared" ref="AD13" si="12">IMABS(AC13)</f>
        <v>1.0000002003026505</v>
      </c>
      <c r="AE13" s="735">
        <f t="shared" ref="AE13" si="13">IMARGUMENT(AC13)</f>
        <v>6.3293383081446195E-4</v>
      </c>
      <c r="AF13" s="732" t="str">
        <f>IMPRODUCT(V13,IMDIV(Z13,IMPRODUCT(W13,AC13)))</f>
        <v>202.765582751726-913.560502215312i</v>
      </c>
      <c r="AG13" s="337">
        <f>IMABS(AF13)</f>
        <v>935.79200293470149</v>
      </c>
      <c r="AH13" s="730">
        <f>IMARGUMENT(AF13)</f>
        <v>-1.3523859425026448</v>
      </c>
      <c r="AI13" s="731" t="str">
        <f t="shared" ref="AI13:AI76" si="14">COMPLEX(AIL,0)</f>
        <v>10000</v>
      </c>
      <c r="AJ13" s="733" t="str">
        <f t="shared" ref="AJ13" si="15">IMSUM(COMPLEX(1,0),IMDIV(COMPLEX(0,2*PI()*D13),COMPLEX(2*PI()*IL_Pole1,0)))</f>
        <v>1+5.91623471886971i</v>
      </c>
      <c r="AK13" s="734">
        <f>IMABS(AJ13)</f>
        <v>6.000152768785088</v>
      </c>
      <c r="AL13" s="735">
        <f>IMARGUMENT(AJ13)</f>
        <v>1.4033525512370213</v>
      </c>
      <c r="AM13" s="340" t="str">
        <f t="shared" ref="AM13" si="16">IMSUM(COMPLEX(1,0),IMDIV(COMPLEX(0,2*PI()*D13),COMPLEX(2*PI()*IL_Zero1,0)))</f>
        <v>1+0.010040530120873i</v>
      </c>
      <c r="AN13" s="734">
        <f>IMABS(AM13)</f>
        <v>1.0000504048522294</v>
      </c>
      <c r="AO13" s="735">
        <f>IMARGUMENT(AM13)</f>
        <v>1.0040192738485609E-2</v>
      </c>
      <c r="AP13" s="733" t="str">
        <f t="shared" ref="AP13" si="17">IMSUM(COMPLEX(1,0),IMDIV(COMPLEX(0,2*PI()*D13),COMPLEX(2*PI()*IL_Pole2,0)))</f>
        <v>1+0.000486982260977032i</v>
      </c>
      <c r="AQ13" s="734">
        <f>IMABS(AP13)</f>
        <v>1.0000001185758542</v>
      </c>
      <c r="AR13" s="735">
        <f>IMARGUMENT(AP13)</f>
        <v>4.869822224808101E-4</v>
      </c>
      <c r="AS13" s="732" t="str">
        <f>_xlfn.SWITCH(IMONLIM_select,0,COMPLEX(1,0),1,IMPRODUCT(gm_IL,IMDIV(COMPLEX(1,0),IMSUM(COMPLEX(1/20000000,0),COMPLEX(0,2*PI()*D13*CISET),COMPLEX(1/RISET,0)))),2,IMPRODUCT(gm_IL_DAC,IMDIV(COMPLEX(1,0),IMSUM(COMPLEX(1/20000000,0),COMPLEX(0,2*PI()*D13*CcIL)))),3,IMPRODUCT(AI13,IMDIV(AM13,IMPRODUCT(AJ13,AP13))))</f>
        <v>9927.51003531055-848.31883859408i</v>
      </c>
      <c r="AT13" s="337">
        <f>IMABS(AS13)</f>
        <v>9963.6890935589345</v>
      </c>
      <c r="AU13" s="730">
        <f>IMARGUMENT(AS13)</f>
        <v>-8.5244240207283009E-2</v>
      </c>
      <c r="AV13" s="732" t="str">
        <f>IMPRODUCT(T13,AS13,COMPLEX($B$15,0),IMPRODUCT(COMPLEX(0.1,0),AF13))</f>
        <v>27878.1778841253-208329.715135824i</v>
      </c>
      <c r="AW13" s="337">
        <f>20*LOG10(IMABS(AV13))</f>
        <v>106.45210602491106</v>
      </c>
      <c r="AX13" s="730">
        <f>(180/PI())*IMARGUMENT(AV13)</f>
        <v>-82.37809782456641</v>
      </c>
      <c r="AY13" s="360">
        <f t="shared" ref="AY13" si="18">IF(AX13&gt;0,AX13-180,AX13+180)</f>
        <v>97.62190217543359</v>
      </c>
      <c r="BB13" s="337">
        <f>20*LOG10(IMPRODUCT(COMPLEX($B$15,0),IMABS(AS13)))</f>
        <v>39.968403347465255</v>
      </c>
      <c r="BC13" s="730">
        <f>(180/PI())*IMARGUMENT(AS13)</f>
        <v>-4.8841351916767142</v>
      </c>
      <c r="BD13" s="351"/>
      <c r="BE13" s="337">
        <f t="shared" ref="BE13:BE76" si="19">20*LOG10(IMABS(M13))</f>
        <v>25.68371143399327</v>
      </c>
      <c r="BF13" s="730">
        <f t="shared" ref="BF13:BF76" si="20">180/PI()*IMARGUMENT(IMPRODUCT(COMPLEX(1,0),M13))</f>
        <v>4.3105553280580536E-2</v>
      </c>
      <c r="BI13" s="351"/>
      <c r="BJ13" s="351"/>
      <c r="BL13" s="405">
        <f t="shared" ref="BL13:BL76" si="21">SUM((AW14&lt;0)*(AW13&gt;0))*D13</f>
        <v>0</v>
      </c>
      <c r="BM13" s="405">
        <f t="shared" ref="BM13:BM76" si="22">IF(BL13&gt;0,AY11,0)</f>
        <v>0</v>
      </c>
      <c r="BN13" s="405">
        <f t="shared" ref="BN13:BN76" si="23">SUM((BB14&lt;0)*(BB13&gt;0))*D13</f>
        <v>0</v>
      </c>
      <c r="BO13" s="405">
        <f t="shared" ref="BO13:BO76" si="24">IF(BN13&gt;0,BC13,0)</f>
        <v>0</v>
      </c>
    </row>
    <row r="14" spans="1:67" ht="13.5" thickBot="1" x14ac:dyDescent="0.25">
      <c r="D14" s="345">
        <v>1.0965</v>
      </c>
      <c r="E14" s="340" t="str">
        <f t="shared" si="0"/>
        <v>0.0000181883134998112i</v>
      </c>
      <c r="F14" s="728" t="str">
        <f t="shared" ref="F14:F77" si="25">IMSUM(COMPLEX($B$8,0),IMDIV(COMPLEX(1,0),COMPLEX(0,2*PI()*D14*$B$6)))</f>
        <v>0.005-2379.47781827268i</v>
      </c>
      <c r="G14" s="337" t="str">
        <f t="shared" ref="G14:G77" si="26">IMSUM(COMPLEX($B$9,0),IMDIV(COMPLEX(1,0),COMPLEX(0,2*PI()*D14*$B$7)))</f>
        <v>0.005-3721.74735678547i</v>
      </c>
      <c r="H14" s="338" t="str">
        <f t="shared" ref="H14:H77" si="27">IMDIV(COMPLEX(1,0),IMSUM(IMDIV(COMPLEX(1,0),COMPLEX($B$5,0)), IMDIV(COMPLEX(1,0),G14)))</f>
        <v>1.21666653610908-0.000397737265959522i</v>
      </c>
      <c r="I14" s="338" t="str">
        <f t="shared" ref="I14:I77" si="28">IMSUM(H14,COMPLEX($B$15,0))</f>
        <v>1.22666653610908-0.000397737265959522i</v>
      </c>
      <c r="J14" s="337" t="str">
        <f t="shared" ref="J14:J77" si="29">IMDIV(COMPLEX(1,0),IMSUM(IMDIV(COMPLEX(1,0),F14),IMDIV(COMPLEX(1,0),IMSUM(COMPLEX($B$15,0),H14))))</f>
        <v>1.22666579869931-0.0010301068813852i</v>
      </c>
      <c r="K14" s="338" t="str">
        <f t="shared" si="1"/>
        <v>0.999999999986641-5.74126057443535E-06i</v>
      </c>
      <c r="L14" s="732"/>
      <c r="M14" s="732" t="str">
        <f t="shared" si="2"/>
        <v>19.2391309555115+0.0158710170810207i</v>
      </c>
      <c r="N14" s="337">
        <f t="shared" si="3"/>
        <v>0</v>
      </c>
      <c r="O14" s="730" t="str">
        <f t="shared" si="4"/>
        <v>19.23913078761+0.00595287449250965i</v>
      </c>
      <c r="P14" s="731" t="str">
        <f t="shared" si="5"/>
        <v>23.600000288667-0.000349927345282735i</v>
      </c>
      <c r="Q14" s="729" t="str">
        <f t="shared" si="6"/>
        <v>23.4076089807909-0.000409456090207843i</v>
      </c>
      <c r="R14" s="730"/>
      <c r="S14" s="405" t="str">
        <f t="shared" ref="S14:S77" si="30">IMDIV(IMPRODUCT(COMPLEX($B$34,0),M14),IMSUM(COMPLEX(1,0),IMPRODUCT(M14,COMPLEX($B$29,0),K14,COMPLEX($B$34,0))))</f>
        <v>22.5426984840329+0.00818894299373436i</v>
      </c>
      <c r="T14" s="405" t="str">
        <f t="shared" ref="T14:T77" si="31">IMDIV(IMPRODUCT(COMPLEX($B$34,0),O14),IMSUM(COMPLEX(1,0),IMPRODUCT(M14,COMPLEX($B$29,0),K14,COMPLEX($B$34,0))))</f>
        <v>22.542692922141-0.00343224777176925i</v>
      </c>
      <c r="U14" s="405" t="str">
        <f t="shared" ref="U14:U77" si="32">IMDIV(IMPRODUCT(COMPLEX($B$34,0),Q14),IMSUM(COMPLEX(1,0),IMPRODUCT(M14,COMPLEX($B$29,0),K14,COMPLEX($B$34,0))))</f>
        <v>27.4269387470189-0.0131419700577639i</v>
      </c>
      <c r="V14" s="731" t="str">
        <f t="shared" si="7"/>
        <v>6000</v>
      </c>
      <c r="W14" s="733" t="str">
        <f>IMSUM(COMPLEX(1,0),IMDIV(COMPLEX(0,2*PI()*D14),COMPLEX(2*PI()*'Stability Calculations'!EA_Pole1,0)))</f>
        <v>1+6.95840781621565i</v>
      </c>
      <c r="X14" s="734">
        <f t="shared" ref="X14:X77" si="33">IMABS(W14)</f>
        <v>7.0298961113782505</v>
      </c>
      <c r="Y14" s="735">
        <f t="shared" ref="Y14:Y77" si="34">IMARGUMENT(W14)</f>
        <v>1.4280625565931209</v>
      </c>
      <c r="Z14" s="340" t="str">
        <f>IMSUM(COMPLEX(1,0),IMDIV(COMPLEX(0,2*PI()*D14),COMPLEX(2*PI()*'Stability Calculations'!EA_Zero1,0)))</f>
        <v>1+0.0688951268932242i</v>
      </c>
      <c r="AA14" s="734">
        <f t="shared" ref="AA14:AA77" si="35">IMABS(Z14)</f>
        <v>1.0023704597151861</v>
      </c>
      <c r="AB14" s="735">
        <f t="shared" ref="AB14:AB77" si="36">IMARGUMENT(Z14)</f>
        <v>6.8786431823268185E-2</v>
      </c>
      <c r="AC14" s="733" t="str">
        <f>IMSUM(COMPLEX(1,0),IMDIV(COMPLEX(0,2*PI()*D14),COMPLEX(2*PI()*'Stability Calculations'!EA_Pole2,0)))</f>
        <v>1+0.000694012038163012i</v>
      </c>
      <c r="AD14" s="734">
        <f t="shared" ref="AD14:AD77" si="37">IMABS(AC14)</f>
        <v>1.0000002408263255</v>
      </c>
      <c r="AE14" s="735">
        <f t="shared" ref="AE14:AE77" si="38">IMARGUMENT(AC14)</f>
        <v>6.9401192673878469E-4</v>
      </c>
      <c r="AF14" s="732" t="str">
        <f t="shared" ref="AF14:AF77" si="39">IMPRODUCT(V14,IMDIV(Z14,IMPRODUCT(W14,AC14)))</f>
        <v>179.03298308507-836.578016824602i</v>
      </c>
      <c r="AG14" s="337">
        <f t="shared" ref="AG14:AG77" si="40">IMABS(AF14)</f>
        <v>855.52065274107963</v>
      </c>
      <c r="AH14" s="730">
        <f t="shared" ref="AH14:AH77" si="41">IMARGUMENT(AF14)</f>
        <v>-1.3599701366965911</v>
      </c>
      <c r="AI14" s="731" t="str">
        <f t="shared" si="14"/>
        <v>10000</v>
      </c>
      <c r="AJ14" s="733" t="str">
        <f t="shared" ref="AJ14:AJ77" si="42">IMSUM(COMPLEX(1,0),IMDIV(COMPLEX(0,2*PI()*D14),COMPLEX(2*PI()*IL_Pole1,0)))</f>
        <v>1+6.48715136924064i</v>
      </c>
      <c r="AK14" s="734">
        <f t="shared" ref="AK14:AK77" si="43">IMABS(AJ14)</f>
        <v>6.5637742867530653</v>
      </c>
      <c r="AL14" s="735">
        <f t="shared" ref="AL14:AL77" si="44">IMARGUMENT(AJ14)</f>
        <v>1.4178493454703436</v>
      </c>
      <c r="AM14" s="340" t="str">
        <f t="shared" ref="AM14:AM77" si="45">IMSUM(COMPLEX(1,0),IMDIV(COMPLEX(0,2*PI()*D14),COMPLEX(2*PI()*IL_Zero1,0)))</f>
        <v>1+0.0110094412775372i</v>
      </c>
      <c r="AN14" s="734">
        <f t="shared" ref="AN14:AN77" si="46">IMABS(AM14)</f>
        <v>1.0000606020623168</v>
      </c>
      <c r="AO14" s="735">
        <f t="shared" ref="AO14:AO77" si="47">IMARGUMENT(AM14)</f>
        <v>1.1008996499841023E-2</v>
      </c>
      <c r="AP14" s="733" t="str">
        <f t="shared" ref="AP14:AP77" si="48">IMSUM(COMPLEX(1,0),IMDIV(COMPLEX(0,2*PI()*D14),COMPLEX(2*PI()*IL_Pole2,0)))</f>
        <v>1+0.000533976049161316i</v>
      </c>
      <c r="AQ14" s="734">
        <f t="shared" ref="AQ14:AQ77" si="49">IMABS(AP14)</f>
        <v>1.0000001425652003</v>
      </c>
      <c r="AR14" s="735">
        <f t="shared" ref="AR14:AR77" si="50">IMARGUMENT(AP14)</f>
        <v>5.3397599841038606E-4</v>
      </c>
      <c r="AS14" s="732" t="str">
        <f t="shared" ref="AS14:AS77" si="51">_xlfn.SWITCH(IMONLIM_select,0,COMPLEX(1,0),1,IMPRODUCT(gm_IL,IMDIV(COMPLEX(1,0),IMSUM(COMPLEX(1/20000000,0),COMPLEX(0,2*PI()*D14*CISET),COMPLEX(1/RISET,0)))),2,IMPRODUCT(gm_IL,IMDIV(COMPLEX(1,0),IMSUM(COMPLEX(1/20000000,0),COMPLEX(0,2*PI()*D14*CcIL)))),3,IMPRODUCT(AI14,IMDIV(AM14,IMPRODUCT(AJ14,AP14))))</f>
        <v>19825.9441184341-1857.63887271179i</v>
      </c>
      <c r="AT14" s="337">
        <f t="shared" ref="AT14:AT77" si="52">IMABS(AS14)</f>
        <v>19912.781884224056</v>
      </c>
      <c r="AU14" s="730">
        <f t="shared" ref="AU14:AU77" si="53">IMARGUMENT(AS14)</f>
        <v>-9.3424611994076492E-2</v>
      </c>
      <c r="AV14" s="732" t="str">
        <f t="shared" ref="AV14:AV77" si="54">IMPRODUCT(T14,AS14,COMPLEX($B$15,0),IMPRODUCT(COMPLEX(0.1,0),AF14))</f>
        <v>44924.4791660897-381396.022147113i</v>
      </c>
      <c r="AW14" s="337">
        <f t="shared" ref="AW14:AW77" si="55">20*LOG10(IMABS(AV14))</f>
        <v>111.68736469873132</v>
      </c>
      <c r="AX14" s="730">
        <f t="shared" ref="AX14:AX77" si="56">(180/PI())*IMARGUMENT(AV14)</f>
        <v>-83.282108660865916</v>
      </c>
      <c r="AY14" s="360">
        <f t="shared" ref="AY14:AY77" si="57">IF(AX14&gt;0,AX14-180,AX14+180)</f>
        <v>96.717891339134084</v>
      </c>
      <c r="BB14" s="337">
        <f t="shared" ref="BB14:BB77" si="58">20*LOG10(IMPRODUCT(COMPLEX($B$15,0),IMABS(AS14)))</f>
        <v>45.98263873402086</v>
      </c>
      <c r="BC14" s="730">
        <f t="shared" ref="BC14:BC77" si="59">(180/PI())*IMARGUMENT(AS14)</f>
        <v>-5.3528359699078729</v>
      </c>
      <c r="BD14" s="351"/>
      <c r="BE14" s="337">
        <f t="shared" si="19"/>
        <v>25.683711970862788</v>
      </c>
      <c r="BF14" s="730">
        <f t="shared" si="20"/>
        <v>4.726523724752664E-2</v>
      </c>
      <c r="BI14" s="351"/>
      <c r="BJ14" s="351"/>
      <c r="BL14" s="405">
        <f t="shared" si="21"/>
        <v>0</v>
      </c>
      <c r="BM14" s="405">
        <f t="shared" si="22"/>
        <v>0</v>
      </c>
      <c r="BN14" s="405">
        <f t="shared" si="23"/>
        <v>0</v>
      </c>
      <c r="BO14" s="405">
        <f t="shared" si="24"/>
        <v>0</v>
      </c>
    </row>
    <row r="15" spans="1:67" ht="13.5" thickBot="1" x14ac:dyDescent="0.25">
      <c r="A15" s="405" t="s">
        <v>1214</v>
      </c>
      <c r="B15" s="405">
        <f>Rsns_Selected</f>
        <v>0.01</v>
      </c>
      <c r="D15" s="345">
        <v>1.2022999999999999</v>
      </c>
      <c r="E15" s="340" t="str">
        <f t="shared" si="0"/>
        <v>0.0000199432825543301i</v>
      </c>
      <c r="F15" s="728" t="str">
        <f t="shared" si="25"/>
        <v>0.005-2170.08852011643i</v>
      </c>
      <c r="G15" s="337" t="str">
        <f t="shared" si="26"/>
        <v>0.005-3394.24101864365i</v>
      </c>
      <c r="H15" s="338" t="str">
        <f t="shared" si="27"/>
        <v>1.21666650969888-0.000436114459133783i</v>
      </c>
      <c r="I15" s="338" t="str">
        <f t="shared" si="28"/>
        <v>1.22666650969888-0.000436114459133783i</v>
      </c>
      <c r="J15" s="337" t="str">
        <f t="shared" si="29"/>
        <v>1.22666562312029-0.00112950052495908i</v>
      </c>
      <c r="K15" s="338" t="str">
        <f t="shared" si="1"/>
        <v>0.999999999983939-6.29522807901835E-06i</v>
      </c>
      <c r="L15" s="732"/>
      <c r="M15" s="732" t="str">
        <f t="shared" si="2"/>
        <v>19.2391310608487+0.0174023929616926i</v>
      </c>
      <c r="N15" s="337">
        <f t="shared" si="3"/>
        <v>0</v>
      </c>
      <c r="O15" s="730" t="str">
        <f t="shared" si="4"/>
        <v>19.2391308589827+0.00652726039116252i</v>
      </c>
      <c r="P15" s="731" t="str">
        <f t="shared" si="5"/>
        <v>23.6000003470608-0.000383691426846331i</v>
      </c>
      <c r="Q15" s="729" t="str">
        <f t="shared" si="6"/>
        <v>23.4076090384709-0.000448964030757951i</v>
      </c>
      <c r="R15" s="730"/>
      <c r="S15" s="405" t="str">
        <f t="shared" si="30"/>
        <v>22.5426992905295+0.00897908408760293i</v>
      </c>
      <c r="T15" s="405" t="str">
        <f t="shared" si="31"/>
        <v>22.5426926035353-0.00376342117157994i</v>
      </c>
      <c r="U15" s="405" t="str">
        <f t="shared" si="32"/>
        <v>27.4269374878753-0.0144100226935629i</v>
      </c>
      <c r="V15" s="731" t="str">
        <f t="shared" si="7"/>
        <v>6000</v>
      </c>
      <c r="W15" s="733" t="str">
        <f>IMSUM(COMPLEX(1,0),IMDIV(COMPLEX(0,2*PI()*D15),COMPLEX(2*PI()*'Stability Calculations'!EA_Pole1,0)))</f>
        <v>1+7.62981643177024i</v>
      </c>
      <c r="X15" s="734">
        <f t="shared" si="33"/>
        <v>7.6950697711269092</v>
      </c>
      <c r="Y15" s="735">
        <f t="shared" si="34"/>
        <v>1.4404744086897907</v>
      </c>
      <c r="Z15" s="340" t="str">
        <f>IMSUM(COMPLEX(1,0),IMDIV(COMPLEX(0,2*PI()*D15),COMPLEX(2*PI()*'Stability Calculations'!EA_Zero1,0)))</f>
        <v>1+0.0755427369482202i</v>
      </c>
      <c r="AA15" s="734">
        <f t="shared" si="35"/>
        <v>1.002849293316612</v>
      </c>
      <c r="AB15" s="735">
        <f t="shared" si="36"/>
        <v>7.5399526942825895E-2</v>
      </c>
      <c r="AC15" s="733" t="str">
        <f>IMSUM(COMPLEX(1,0),IMDIV(COMPLEX(0,2*PI()*D15),COMPLEX(2*PI()*'Stability Calculations'!EA_Pole2,0)))</f>
        <v>1+0.000760976446405279i</v>
      </c>
      <c r="AD15" s="734">
        <f t="shared" si="37"/>
        <v>1.0000002895425342</v>
      </c>
      <c r="AE15" s="735">
        <f t="shared" si="38"/>
        <v>7.6097629951527631E-4</v>
      </c>
      <c r="AF15" s="732" t="str">
        <f t="shared" si="39"/>
        <v>159.147336267863-765.574658148012i</v>
      </c>
      <c r="AG15" s="337">
        <f t="shared" si="40"/>
        <v>781.9414503910134</v>
      </c>
      <c r="AH15" s="730">
        <f t="shared" si="41"/>
        <v>-1.3658358580464807</v>
      </c>
      <c r="AI15" s="731" t="str">
        <f t="shared" si="14"/>
        <v>10000</v>
      </c>
      <c r="AJ15" s="733" t="str">
        <f t="shared" si="42"/>
        <v>1+7.11308900249705i</v>
      </c>
      <c r="AK15" s="734">
        <f t="shared" si="43"/>
        <v>7.1830380172629233</v>
      </c>
      <c r="AL15" s="735">
        <f t="shared" si="44"/>
        <v>1.4311257971352449</v>
      </c>
      <c r="AM15" s="340" t="str">
        <f t="shared" si="45"/>
        <v>1+0.0120717293643256i</v>
      </c>
      <c r="AN15" s="734">
        <f t="shared" si="46"/>
        <v>1.000072860670584</v>
      </c>
      <c r="AO15" s="735">
        <f t="shared" si="47"/>
        <v>1.2071143024699232E-2</v>
      </c>
      <c r="AP15" s="733" t="str">
        <f t="shared" si="48"/>
        <v>1+0.000585498772372686i</v>
      </c>
      <c r="AQ15" s="734">
        <f t="shared" si="49"/>
        <v>1.0000001714043916</v>
      </c>
      <c r="AR15" s="735">
        <f t="shared" si="50"/>
        <v>5.8549870546798681E-4</v>
      </c>
      <c r="AS15" s="732" t="str">
        <f t="shared" si="51"/>
        <v>19791.1025032469-2033.30070843254i</v>
      </c>
      <c r="AT15" s="337">
        <f t="shared" si="52"/>
        <v>19895.277079370822</v>
      </c>
      <c r="AU15" s="730">
        <f t="shared" si="53"/>
        <v>-0.1023789232237985</v>
      </c>
      <c r="AV15" s="732" t="str">
        <f t="shared" si="54"/>
        <v>35853.5716192661-348857.791066944i</v>
      </c>
      <c r="AW15" s="337">
        <f t="shared" si="55"/>
        <v>110.89860044820165</v>
      </c>
      <c r="AX15" s="730">
        <f t="shared" si="56"/>
        <v>-84.1320757090256</v>
      </c>
      <c r="AY15" s="360">
        <f t="shared" si="57"/>
        <v>95.8679242909744</v>
      </c>
      <c r="BB15" s="337">
        <f t="shared" si="58"/>
        <v>45.974999837935499</v>
      </c>
      <c r="BC15" s="730">
        <f t="shared" si="59"/>
        <v>-5.8658802118175419</v>
      </c>
      <c r="BD15" s="351"/>
      <c r="BE15" s="337">
        <f t="shared" si="19"/>
        <v>25.683712616269286</v>
      </c>
      <c r="BF15" s="730">
        <f t="shared" si="20"/>
        <v>5.1825802061932609E-2</v>
      </c>
      <c r="BI15" s="351"/>
      <c r="BJ15" s="351"/>
      <c r="BL15" s="405">
        <f t="shared" si="21"/>
        <v>0</v>
      </c>
      <c r="BM15" s="405">
        <f t="shared" si="22"/>
        <v>0</v>
      </c>
      <c r="BN15" s="405">
        <f t="shared" si="23"/>
        <v>0</v>
      </c>
      <c r="BO15" s="405">
        <f t="shared" si="24"/>
        <v>0</v>
      </c>
    </row>
    <row r="16" spans="1:67" ht="13.5" thickBot="1" x14ac:dyDescent="0.25">
      <c r="D16" s="345">
        <v>1.3183</v>
      </c>
      <c r="E16" s="340" t="str">
        <f t="shared" si="0"/>
        <v>0.0000218674452228008i</v>
      </c>
      <c r="F16" s="728" t="str">
        <f t="shared" si="25"/>
        <v>0.005-1979.13785006143i</v>
      </c>
      <c r="G16" s="337" t="str">
        <f t="shared" si="26"/>
        <v>0.005-3095.57458599353i</v>
      </c>
      <c r="H16" s="338" t="str">
        <f t="shared" si="27"/>
        <v>1.21666647794867-0.000478191529910172i</v>
      </c>
      <c r="I16" s="338" t="str">
        <f t="shared" si="28"/>
        <v>1.22666647794867-0.000478191529910172i</v>
      </c>
      <c r="J16" s="337" t="str">
        <f t="shared" si="29"/>
        <v>1.22666541204008-0.00123847649086095i</v>
      </c>
      <c r="K16" s="338" t="str">
        <f t="shared" si="1"/>
        <v>0.99999999998069-6.90260265871237E-06i</v>
      </c>
      <c r="L16" s="732"/>
      <c r="M16" s="732" t="str">
        <f t="shared" si="2"/>
        <v>19.2391311874843+0.01908140622795i</v>
      </c>
      <c r="N16" s="337">
        <f t="shared" si="3"/>
        <v>0</v>
      </c>
      <c r="O16" s="730" t="str">
        <f t="shared" si="4"/>
        <v>19.2391309447864+0.00715702187275431i</v>
      </c>
      <c r="P16" s="731" t="str">
        <f t="shared" si="5"/>
        <v>23.6000004172616-0.000420710647376549i</v>
      </c>
      <c r="Q16" s="729" t="str">
        <f t="shared" si="6"/>
        <v>23.4076091078137-0.000492280866104145i</v>
      </c>
      <c r="R16" s="730"/>
      <c r="S16" s="405" t="str">
        <f t="shared" si="30"/>
        <v>22.5427002600959+0.00984540122166788i</v>
      </c>
      <c r="T16" s="405" t="str">
        <f t="shared" si="31"/>
        <v>22.542692220509-0.00412652238905402i</v>
      </c>
      <c r="U16" s="405" t="str">
        <f t="shared" si="32"/>
        <v>27.4269359741394-0.0158003259424862i</v>
      </c>
      <c r="V16" s="731" t="str">
        <f t="shared" si="7"/>
        <v>6000</v>
      </c>
      <c r="W16" s="733" t="str">
        <f>IMSUM(COMPLEX(1,0),IMDIV(COMPLEX(0,2*PI()*D16),COMPLEX(2*PI()*'Stability Calculations'!EA_Pole1,0)))</f>
        <v>1+8.3659544223594i</v>
      </c>
      <c r="X16" s="734">
        <f t="shared" si="33"/>
        <v>8.4255084948621821</v>
      </c>
      <c r="Y16" s="735">
        <f t="shared" si="34"/>
        <v>1.4518286960193363</v>
      </c>
      <c r="Z16" s="340" t="str">
        <f>IMSUM(COMPLEX(1,0),IMDIV(COMPLEX(0,2*PI()*D16),COMPLEX(2*PI()*'Stability Calculations'!EA_Zero1,0)))</f>
        <v>1+0.0828312319045485i</v>
      </c>
      <c r="AA16" s="734">
        <f t="shared" si="35"/>
        <v>1.0034246424016231</v>
      </c>
      <c r="AB16" s="735">
        <f t="shared" si="36"/>
        <v>8.2642572548559362E-2</v>
      </c>
      <c r="AC16" s="733" t="str">
        <f>IMSUM(COMPLEX(1,0),IMDIV(COMPLEX(0,2*PI()*D16),COMPLEX(2*PI()*'Stability Calculations'!EA_Pole2,0)))</f>
        <v>1+0.000834396780583947i</v>
      </c>
      <c r="AD16" s="734">
        <f t="shared" si="37"/>
        <v>1.0000003481089332</v>
      </c>
      <c r="AE16" s="735">
        <f t="shared" si="38"/>
        <v>8.3439658694334543E-4</v>
      </c>
      <c r="AF16" s="732" t="str">
        <f t="shared" si="39"/>
        <v>142.504765443745-700.207704453384i</v>
      </c>
      <c r="AG16" s="337">
        <f t="shared" si="40"/>
        <v>714.5617101063101</v>
      </c>
      <c r="AH16" s="730">
        <f t="shared" si="41"/>
        <v>-1.3700205200577189</v>
      </c>
      <c r="AI16" s="731" t="str">
        <f t="shared" si="14"/>
        <v>10000</v>
      </c>
      <c r="AJ16" s="733" t="str">
        <f t="shared" si="42"/>
        <v>1+7.79937222988594i</v>
      </c>
      <c r="AK16" s="734">
        <f t="shared" si="43"/>
        <v>7.8632186272744553</v>
      </c>
      <c r="AL16" s="735">
        <f t="shared" si="44"/>
        <v>1.4432766162538824</v>
      </c>
      <c r="AM16" s="340" t="str">
        <f t="shared" si="45"/>
        <v>1+0.0132364308583468i</v>
      </c>
      <c r="AN16" s="734">
        <f t="shared" si="46"/>
        <v>1.000087597714254</v>
      </c>
      <c r="AO16" s="735">
        <f t="shared" si="47"/>
        <v>1.323565791835005E-2</v>
      </c>
      <c r="AP16" s="733" t="str">
        <f t="shared" si="48"/>
        <v>1+0.000641988714646021i</v>
      </c>
      <c r="AQ16" s="734">
        <f t="shared" si="49"/>
        <v>1.0000002060747335</v>
      </c>
      <c r="AR16" s="735">
        <f t="shared" si="50"/>
        <v>6.4198862644759813E-4</v>
      </c>
      <c r="AS16" s="732" t="str">
        <f t="shared" si="51"/>
        <v>19749.3778356351-2224.7768018447i</v>
      </c>
      <c r="AT16" s="337">
        <f t="shared" si="52"/>
        <v>19874.293867020817</v>
      </c>
      <c r="AU16" s="730">
        <f t="shared" si="53"/>
        <v>-0.11217755467892415</v>
      </c>
      <c r="AV16" s="732" t="str">
        <f t="shared" si="54"/>
        <v>28268.2018525406-318887.522797652i</v>
      </c>
      <c r="AW16" s="337">
        <f t="shared" si="55"/>
        <v>110.10674473479224</v>
      </c>
      <c r="AX16" s="730">
        <f t="shared" si="56"/>
        <v>-84.934182287033678</v>
      </c>
      <c r="AY16" s="360">
        <f t="shared" si="57"/>
        <v>95.065817712966322</v>
      </c>
      <c r="BB16" s="337">
        <f t="shared" si="58"/>
        <v>45.965834142691648</v>
      </c>
      <c r="BC16" s="730">
        <f t="shared" si="59"/>
        <v>-6.4273004392003745</v>
      </c>
      <c r="BD16" s="351"/>
      <c r="BE16" s="337">
        <f t="shared" si="19"/>
        <v>25.683713392173754</v>
      </c>
      <c r="BF16" s="730">
        <f t="shared" si="20"/>
        <v>5.6826042449898133E-2</v>
      </c>
      <c r="BI16" s="351"/>
      <c r="BJ16" s="351"/>
      <c r="BL16" s="405">
        <f t="shared" si="21"/>
        <v>0</v>
      </c>
      <c r="BM16" s="405">
        <f t="shared" si="22"/>
        <v>0</v>
      </c>
      <c r="BN16" s="405">
        <f t="shared" si="23"/>
        <v>0</v>
      </c>
      <c r="BO16" s="405">
        <f t="shared" si="24"/>
        <v>0</v>
      </c>
    </row>
    <row r="17" spans="1:67" ht="13.5" thickBot="1" x14ac:dyDescent="0.25">
      <c r="D17" s="345">
        <v>1.4454</v>
      </c>
      <c r="E17" s="340" t="str">
        <f t="shared" si="0"/>
        <v>0.0000239757303535131i</v>
      </c>
      <c r="F17" s="728" t="str">
        <f t="shared" si="25"/>
        <v>0.005-1805.10407343018i</v>
      </c>
      <c r="G17" s="337" t="str">
        <f t="shared" si="26"/>
        <v>0.005-2823.36790972413i</v>
      </c>
      <c r="H17" s="338" t="str">
        <f t="shared" si="27"/>
        <v>1.21666643980511-0.000524294937096319i</v>
      </c>
      <c r="I17" s="338" t="str">
        <f t="shared" si="28"/>
        <v>1.22666643980511-0.000524294937096319i</v>
      </c>
      <c r="J17" s="337" t="str">
        <f t="shared" si="29"/>
        <v>1.22666515845605-0.00135788026138204i</v>
      </c>
      <c r="K17" s="338" t="str">
        <f t="shared" si="1"/>
        <v>0.999999999976787-7.56809670249781E-06i</v>
      </c>
      <c r="L17" s="732"/>
      <c r="M17" s="732" t="str">
        <f t="shared" si="2"/>
        <v>19.2391313396199+0.0209210837122603i</v>
      </c>
      <c r="N17" s="337">
        <f t="shared" si="3"/>
        <v>0</v>
      </c>
      <c r="O17" s="730" t="str">
        <f t="shared" si="4"/>
        <v>19.239131047868+0.00784704501969165i</v>
      </c>
      <c r="P17" s="731" t="str">
        <f t="shared" si="5"/>
        <v>23.6000005015983-0.000461272225234431i</v>
      </c>
      <c r="Q17" s="729" t="str">
        <f t="shared" si="6"/>
        <v>23.4076091911196-0.000539742675431326i</v>
      </c>
      <c r="R17" s="730"/>
      <c r="S17" s="405" t="str">
        <f t="shared" si="30"/>
        <v>22.5427014248977+0.0107946157680196i</v>
      </c>
      <c r="T17" s="405" t="str">
        <f t="shared" si="31"/>
        <v>22.5426917603551-0.00452436856750712i</v>
      </c>
      <c r="U17" s="405" t="str">
        <f t="shared" si="32"/>
        <v>27.4269341555918-0.0173236665558724i</v>
      </c>
      <c r="V17" s="731" t="str">
        <f t="shared" si="7"/>
        <v>6000</v>
      </c>
      <c r="W17" s="733" t="str">
        <f>IMSUM(COMPLEX(1,0),IMDIV(COMPLEX(0,2*PI()*D17),COMPLEX(2*PI()*'Stability Calculations'!EA_Pole1,0)))</f>
        <v>1+9.17253320342734i</v>
      </c>
      <c r="X17" s="734">
        <f t="shared" si="33"/>
        <v>9.2268827546456347</v>
      </c>
      <c r="Y17" s="735">
        <f t="shared" si="34"/>
        <v>1.4622040628769104</v>
      </c>
      <c r="Z17" s="340" t="str">
        <f>IMSUM(COMPLEX(1,0),IMDIV(COMPLEX(0,2*PI()*D17),COMPLEX(2*PI()*'Stability Calculations'!EA_Zero1,0)))</f>
        <v>1+0.0908171604299737i</v>
      </c>
      <c r="AA17" s="734">
        <f t="shared" si="35"/>
        <v>1.004115410014488</v>
      </c>
      <c r="AB17" s="735">
        <f t="shared" si="36"/>
        <v>9.0568709494642907E-2</v>
      </c>
      <c r="AC17" s="733" t="str">
        <f>IMSUM(COMPLEX(1,0),IMDIV(COMPLEX(0,2*PI()*D17),COMPLEX(2*PI()*'Stability Calculations'!EA_Pole2,0)))</f>
        <v>1+0.000914842681222814i</v>
      </c>
      <c r="AD17" s="734">
        <f t="shared" si="37"/>
        <v>1.0000004184684781</v>
      </c>
      <c r="AE17" s="735">
        <f t="shared" si="38"/>
        <v>9.1484242600100565E-4</v>
      </c>
      <c r="AF17" s="732" t="str">
        <f t="shared" si="39"/>
        <v>128.598512003041-640.16066622189i</v>
      </c>
      <c r="AG17" s="337">
        <f t="shared" si="40"/>
        <v>652.94965798830947</v>
      </c>
      <c r="AH17" s="730">
        <f t="shared" si="41"/>
        <v>-1.3725501958082689</v>
      </c>
      <c r="AI17" s="731" t="str">
        <f t="shared" si="14"/>
        <v>10000</v>
      </c>
      <c r="AJ17" s="733" t="str">
        <f t="shared" si="42"/>
        <v>1+8.55132566265427i</v>
      </c>
      <c r="AK17" s="734">
        <f t="shared" si="43"/>
        <v>8.6095975857626161</v>
      </c>
      <c r="AL17" s="735">
        <f t="shared" si="44"/>
        <v>1.4543841252292513</v>
      </c>
      <c r="AM17" s="340" t="str">
        <f t="shared" si="45"/>
        <v>1+0.0145125822367098i</v>
      </c>
      <c r="AN17" s="734">
        <f t="shared" si="46"/>
        <v>1.0001053019773354</v>
      </c>
      <c r="AO17" s="735">
        <f t="shared" si="47"/>
        <v>1.4511563509397481E-2</v>
      </c>
      <c r="AP17" s="733" t="str">
        <f t="shared" si="48"/>
        <v>1+0.000703884160016202i</v>
      </c>
      <c r="AQ17" s="734">
        <f t="shared" si="49"/>
        <v>1.0000002477264247</v>
      </c>
      <c r="AR17" s="735">
        <f t="shared" si="50"/>
        <v>7.038840437690846E-4</v>
      </c>
      <c r="AS17" s="732" t="str">
        <f t="shared" si="51"/>
        <v>19699.4833830125-2433.10955418441i</v>
      </c>
      <c r="AT17" s="337">
        <f t="shared" si="52"/>
        <v>19849.172971694541</v>
      </c>
      <c r="AU17" s="730">
        <f t="shared" si="53"/>
        <v>-0.1228889676657569</v>
      </c>
      <c r="AV17" s="732" t="str">
        <f t="shared" si="54"/>
        <v>21937.4068682465-291340.046534783i</v>
      </c>
      <c r="AW17" s="337">
        <f t="shared" si="55"/>
        <v>109.31255793017331</v>
      </c>
      <c r="AX17" s="730">
        <f t="shared" si="56"/>
        <v>-85.693851976354551</v>
      </c>
      <c r="AY17" s="360">
        <f t="shared" si="57"/>
        <v>94.306148023645449</v>
      </c>
      <c r="BB17" s="337">
        <f t="shared" si="58"/>
        <v>45.954848326454261</v>
      </c>
      <c r="BC17" s="730">
        <f t="shared" si="59"/>
        <v>-7.0410191959675101</v>
      </c>
      <c r="BD17" s="351"/>
      <c r="BE17" s="337">
        <f t="shared" si="19"/>
        <v>25.683714324317179</v>
      </c>
      <c r="BF17" s="730">
        <f t="shared" si="20"/>
        <v>6.2304753053206138E-2</v>
      </c>
      <c r="BI17" s="351"/>
      <c r="BJ17" s="351"/>
      <c r="BL17" s="405">
        <f t="shared" si="21"/>
        <v>0</v>
      </c>
      <c r="BM17" s="405">
        <f t="shared" si="22"/>
        <v>0</v>
      </c>
      <c r="BN17" s="405">
        <f t="shared" si="23"/>
        <v>0</v>
      </c>
      <c r="BO17" s="405">
        <f t="shared" si="24"/>
        <v>0</v>
      </c>
    </row>
    <row r="18" spans="1:67" ht="13.5" thickBot="1" x14ac:dyDescent="0.25">
      <c r="B18" s="405" t="str">
        <f>IF(Vin&gt;=Vout,P13,Q13)</f>
        <v>23.6000002400932-0.000319131184394935i</v>
      </c>
      <c r="D18" s="345">
        <v>1.5849</v>
      </c>
      <c r="E18" s="340" t="str">
        <f t="shared" si="0"/>
        <v>0.0000262897018384412i</v>
      </c>
      <c r="F18" s="728" t="str">
        <f t="shared" si="25"/>
        <v>0.005-1646.22211353145i</v>
      </c>
      <c r="G18" s="337" t="str">
        <f t="shared" si="26"/>
        <v>0.005-2574.86022885688i</v>
      </c>
      <c r="H18" s="338" t="str">
        <f t="shared" si="27"/>
        <v>1.21666639390174-0.000574896232409143i</v>
      </c>
      <c r="I18" s="338" t="str">
        <f t="shared" si="28"/>
        <v>1.22666639390174-0.000574896232409143i</v>
      </c>
      <c r="J18" s="337" t="str">
        <f t="shared" si="29"/>
        <v>1.22666485328377-0.00148893309052826i</v>
      </c>
      <c r="K18" s="338" t="str">
        <f t="shared" si="1"/>
        <v>0.99999999997209-8.29851699445744E-06i</v>
      </c>
      <c r="L18" s="732"/>
      <c r="M18" s="732" t="str">
        <f t="shared" si="2"/>
        <v>19.2391315227056+0.0229402419499415i</v>
      </c>
      <c r="N18" s="337">
        <f t="shared" si="3"/>
        <v>0</v>
      </c>
      <c r="O18" s="730" t="str">
        <f t="shared" si="4"/>
        <v>19.2391311719204+0.00860438750639268i</v>
      </c>
      <c r="P18" s="731" t="str">
        <f t="shared" si="5"/>
        <v>23.6000006030921-0.000505791031362411i</v>
      </c>
      <c r="Q18" s="729" t="str">
        <f t="shared" si="6"/>
        <v>23.4076092913729-0.000591834906426337i</v>
      </c>
      <c r="R18" s="730"/>
      <c r="S18" s="405" t="str">
        <f t="shared" si="30"/>
        <v>22.5427028266632+0.0118364363798999i</v>
      </c>
      <c r="T18" s="405" t="str">
        <f t="shared" si="31"/>
        <v>22.542691206589-0.00496102891579479i</v>
      </c>
      <c r="U18" s="405" t="str">
        <f t="shared" si="32"/>
        <v>27.4269319670843-0.018995625404053i</v>
      </c>
      <c r="V18" s="731" t="str">
        <f t="shared" si="7"/>
        <v>6000</v>
      </c>
      <c r="W18" s="733" t="str">
        <f>IMSUM(COMPLEX(1,0),IMDIV(COMPLEX(0,2*PI()*D18),COMPLEX(2*PI()*'Stability Calculations'!EA_Pole1,0)))</f>
        <v>1+10.0578025972824i</v>
      </c>
      <c r="X18" s="734">
        <f t="shared" si="33"/>
        <v>10.107392991563184</v>
      </c>
      <c r="Y18" s="735">
        <f t="shared" si="34"/>
        <v>1.471696720517123</v>
      </c>
      <c r="Z18" s="340" t="str">
        <f>IMSUM(COMPLEX(1,0),IMDIV(COMPLEX(0,2*PI()*D18),COMPLEX(2*PI()*'Stability Calculations'!EA_Zero1,0)))</f>
        <v>1+0.0995822039334893i</v>
      </c>
      <c r="AA18" s="734">
        <f t="shared" si="35"/>
        <v>1.0049460758370328</v>
      </c>
      <c r="AB18" s="735">
        <f t="shared" si="36"/>
        <v>9.9254975930842787E-2</v>
      </c>
      <c r="AC18" s="733" t="str">
        <f>IMSUM(COMPLEX(1,0),IMDIV(COMPLEX(0,2*PI()*D18),COMPLEX(2*PI()*'Stability Calculations'!EA_Pole2,0)))</f>
        <v>1+0.00100313696241182i</v>
      </c>
      <c r="AD18" s="734">
        <f t="shared" si="37"/>
        <v>1.000000503141756</v>
      </c>
      <c r="AE18" s="735">
        <f t="shared" si="38"/>
        <v>1.0031366259318764E-3</v>
      </c>
      <c r="AF18" s="732" t="str">
        <f t="shared" si="39"/>
        <v>116.969372633193-584.981053236647i</v>
      </c>
      <c r="AG18" s="337">
        <f t="shared" si="40"/>
        <v>596.56069832001128</v>
      </c>
      <c r="AH18" s="730">
        <f t="shared" si="41"/>
        <v>-1.3734448812122124</v>
      </c>
      <c r="AI18" s="731" t="str">
        <f t="shared" si="14"/>
        <v>10000</v>
      </c>
      <c r="AJ18" s="733" t="str">
        <f t="shared" si="42"/>
        <v>1+9.3766404059366i</v>
      </c>
      <c r="AK18" s="734">
        <f t="shared" si="43"/>
        <v>9.4298136409073798</v>
      </c>
      <c r="AL18" s="735">
        <f t="shared" si="44"/>
        <v>1.4645499149179924</v>
      </c>
      <c r="AM18" s="340" t="str">
        <f t="shared" si="45"/>
        <v>1+0.0159132361885716i</v>
      </c>
      <c r="AN18" s="734">
        <f t="shared" si="46"/>
        <v>1.0001266075282635</v>
      </c>
      <c r="AO18" s="735">
        <f t="shared" si="47"/>
        <v>1.591189315059784E-2</v>
      </c>
      <c r="AP18" s="733" t="str">
        <f t="shared" si="48"/>
        <v>1+0.000771818185422498i</v>
      </c>
      <c r="AQ18" s="734">
        <f t="shared" si="49"/>
        <v>1.0000002978516114</v>
      </c>
      <c r="AR18" s="735">
        <f t="shared" si="50"/>
        <v>7.7181803216433648E-4</v>
      </c>
      <c r="AS18" s="732" t="str">
        <f t="shared" si="51"/>
        <v>19639.7717889524-2659.84959291272i</v>
      </c>
      <c r="AT18" s="337">
        <f t="shared" si="52"/>
        <v>19819.067480056889</v>
      </c>
      <c r="AU18" s="730">
        <f t="shared" si="53"/>
        <v>-0.13461277234830171</v>
      </c>
      <c r="AV18" s="732" t="str">
        <f t="shared" si="54"/>
        <v>16652.1351457367-266007.779257672i</v>
      </c>
      <c r="AW18" s="337">
        <f t="shared" si="55"/>
        <v>108.51487254737398</v>
      </c>
      <c r="AX18" s="730">
        <f t="shared" si="56"/>
        <v>-86.417948043020274</v>
      </c>
      <c r="AY18" s="360">
        <f t="shared" si="57"/>
        <v>93.582051956979726</v>
      </c>
      <c r="BB18" s="337">
        <f t="shared" si="58"/>
        <v>45.941664327109152</v>
      </c>
      <c r="BC18" s="730">
        <f t="shared" si="59"/>
        <v>-7.7127437241130394</v>
      </c>
      <c r="BD18" s="351"/>
      <c r="BE18" s="337">
        <f t="shared" si="19"/>
        <v>25.683715446092915</v>
      </c>
      <c r="BF18" s="730">
        <f t="shared" si="20"/>
        <v>6.8317970604919925E-2</v>
      </c>
      <c r="BI18" s="351"/>
      <c r="BJ18" s="351"/>
      <c r="BL18" s="405">
        <f t="shared" si="21"/>
        <v>0</v>
      </c>
      <c r="BM18" s="405">
        <f t="shared" si="22"/>
        <v>0</v>
      </c>
      <c r="BN18" s="405">
        <f t="shared" si="23"/>
        <v>0</v>
      </c>
      <c r="BO18" s="405">
        <f t="shared" si="24"/>
        <v>0</v>
      </c>
    </row>
    <row r="19" spans="1:67" ht="13.5" thickBot="1" x14ac:dyDescent="0.25">
      <c r="D19" s="345">
        <v>1.7378</v>
      </c>
      <c r="E19" s="340" t="str">
        <f t="shared" si="0"/>
        <v>0.0000288259472867961i</v>
      </c>
      <c r="F19" s="728" t="str">
        <f t="shared" si="25"/>
        <v>0.005-1501.37957632408i</v>
      </c>
      <c r="G19" s="337" t="str">
        <f t="shared" si="26"/>
        <v>0.005-2348.31164501972i</v>
      </c>
      <c r="H19" s="338" t="str">
        <f t="shared" si="27"/>
        <v>1.21666633873424-0.000630358147008738i</v>
      </c>
      <c r="I19" s="338" t="str">
        <f t="shared" si="28"/>
        <v>1.22666633873424-0.000630358147008738i</v>
      </c>
      <c r="J19" s="337" t="str">
        <f t="shared" si="29"/>
        <v>1.22666448652236-0.0016325743885898i</v>
      </c>
      <c r="K19" s="338" t="str">
        <f t="shared" si="1"/>
        <v>0.999999999966445-9.09909952234724E-06i</v>
      </c>
      <c r="L19" s="732"/>
      <c r="M19" s="732" t="str">
        <f t="shared" si="2"/>
        <v>19.2391317427413+0.0251533552030342i</v>
      </c>
      <c r="N19" s="337">
        <f t="shared" si="3"/>
        <v>0</v>
      </c>
      <c r="O19" s="730" t="str">
        <f t="shared" si="4"/>
        <v>19.2391313210087+0.00943447831465791i</v>
      </c>
      <c r="P19" s="731" t="str">
        <f t="shared" si="5"/>
        <v>23.6000007250693-0.000554586197460075i</v>
      </c>
      <c r="Q19" s="729" t="str">
        <f t="shared" si="6"/>
        <v>23.4076094118592-0.000648930980606713i</v>
      </c>
      <c r="R19" s="730"/>
      <c r="S19" s="405" t="str">
        <f t="shared" si="30"/>
        <v>22.5427045113302+0.0129783312111352i</v>
      </c>
      <c r="T19" s="405" t="str">
        <f t="shared" si="31"/>
        <v>22.5426905410629-0.00543963357839451i</v>
      </c>
      <c r="U19" s="405" t="str">
        <f t="shared" si="32"/>
        <v>27.4269293368967-0.0208281877079373i</v>
      </c>
      <c r="V19" s="731" t="str">
        <f t="shared" si="7"/>
        <v>6000</v>
      </c>
      <c r="W19" s="733" t="str">
        <f>IMSUM(COMPLEX(1,0),IMDIV(COMPLEX(0,2*PI()*D19),COMPLEX(2*PI()*'Stability Calculations'!EA_Pole1,0)))</f>
        <v>1+11.0281086210849i</v>
      </c>
      <c r="X19" s="734">
        <f t="shared" si="33"/>
        <v>11.073354494390898</v>
      </c>
      <c r="Y19" s="735">
        <f t="shared" si="34"/>
        <v>1.4803662556813939</v>
      </c>
      <c r="Z19" s="340" t="str">
        <f>IMSUM(COMPLEX(1,0),IMDIV(COMPLEX(0,2*PI()*D19),COMPLEX(2*PI()*'Stability Calculations'!EA_Zero1,0)))</f>
        <v>1+0.109189194268167i</v>
      </c>
      <c r="AA19" s="734">
        <f t="shared" si="35"/>
        <v>1.0059434776094189</v>
      </c>
      <c r="AB19" s="735">
        <f t="shared" si="36"/>
        <v>0.10875834406992553</v>
      </c>
      <c r="AC19" s="733" t="str">
        <f>IMSUM(COMPLEX(1,0),IMDIV(COMPLEX(0,2*PI()*D19),COMPLEX(2*PI()*'Stability Calculations'!EA_Pole2,0)))</f>
        <v>1+0.00109991255806629i</v>
      </c>
      <c r="AD19" s="734">
        <f t="shared" si="37"/>
        <v>1.0000006049036347</v>
      </c>
      <c r="AE19" s="735">
        <f t="shared" si="38"/>
        <v>1.0999121145057417E-3</v>
      </c>
      <c r="AF19" s="732" t="str">
        <f t="shared" si="39"/>
        <v>107.265655680948-534.402396503267i</v>
      </c>
      <c r="AG19" s="337">
        <f t="shared" si="40"/>
        <v>545.06131974035611</v>
      </c>
      <c r="AH19" s="730">
        <f t="shared" si="41"/>
        <v>-1.3727078237259744</v>
      </c>
      <c r="AI19" s="731" t="str">
        <f t="shared" si="14"/>
        <v>10000</v>
      </c>
      <c r="AJ19" s="733" t="str">
        <f t="shared" si="42"/>
        <v>1+10.2812326944518i</v>
      </c>
      <c r="AK19" s="734">
        <f t="shared" si="43"/>
        <v>10.329750515741637</v>
      </c>
      <c r="AL19" s="735">
        <f t="shared" si="44"/>
        <v>1.4738367168110003</v>
      </c>
      <c r="AM19" s="340" t="str">
        <f t="shared" si="45"/>
        <v>1+0.0174484332440531i</v>
      </c>
      <c r="AN19" s="734">
        <f t="shared" si="46"/>
        <v>1.0001522123270399</v>
      </c>
      <c r="AO19" s="735">
        <f t="shared" si="47"/>
        <v>1.7446662854933119E-2</v>
      </c>
      <c r="AP19" s="733" t="str">
        <f t="shared" si="48"/>
        <v>1+0.000846277773125887i</v>
      </c>
      <c r="AQ19" s="734">
        <f t="shared" si="49"/>
        <v>1.0000003580929706</v>
      </c>
      <c r="AR19" s="735">
        <f t="shared" si="50"/>
        <v>8.4627757109518979E-4</v>
      </c>
      <c r="AS19" s="732" t="str">
        <f t="shared" si="51"/>
        <v>19568.4865107337-2905.86749421013i</v>
      </c>
      <c r="AT19" s="337">
        <f t="shared" si="52"/>
        <v>19783.066754542226</v>
      </c>
      <c r="AU19" s="730">
        <f t="shared" si="53"/>
        <v>-0.14741999548568033</v>
      </c>
      <c r="AV19" s="732" t="str">
        <f t="shared" si="54"/>
        <v>12252.5237480514-242768.49343905i</v>
      </c>
      <c r="AW19" s="337">
        <f t="shared" si="55"/>
        <v>107.71489483473263</v>
      </c>
      <c r="AX19" s="730">
        <f t="shared" si="56"/>
        <v>-87.110734041889359</v>
      </c>
      <c r="AY19" s="360">
        <f t="shared" si="57"/>
        <v>92.889265958110641</v>
      </c>
      <c r="BB19" s="337">
        <f t="shared" si="58"/>
        <v>45.9258723289812</v>
      </c>
      <c r="BC19" s="730">
        <f t="shared" si="59"/>
        <v>-8.4465435571671321</v>
      </c>
      <c r="BD19" s="351"/>
      <c r="BE19" s="337">
        <f t="shared" si="19"/>
        <v>25.683716794263059</v>
      </c>
      <c r="BF19" s="730">
        <f t="shared" si="20"/>
        <v>7.4908800036154161E-2</v>
      </c>
      <c r="BI19" s="351"/>
      <c r="BJ19" s="351"/>
      <c r="BL19" s="405">
        <f t="shared" si="21"/>
        <v>0</v>
      </c>
      <c r="BM19" s="405">
        <f t="shared" si="22"/>
        <v>0</v>
      </c>
      <c r="BN19" s="405">
        <f t="shared" si="23"/>
        <v>0</v>
      </c>
      <c r="BO19" s="405">
        <f t="shared" si="24"/>
        <v>0</v>
      </c>
    </row>
    <row r="20" spans="1:67" ht="13.5" thickBot="1" x14ac:dyDescent="0.25">
      <c r="D20" s="345">
        <v>1.9055</v>
      </c>
      <c r="E20" s="340" t="str">
        <f t="shared" si="0"/>
        <v>0.0000316076893514731i</v>
      </c>
      <c r="F20" s="728" t="str">
        <f t="shared" si="25"/>
        <v>0.005-1369.24556690422i</v>
      </c>
      <c r="G20" s="337" t="str">
        <f t="shared" si="26"/>
        <v>0.005-2141.64050208096i</v>
      </c>
      <c r="H20" s="338" t="str">
        <f t="shared" si="27"/>
        <v>1.21666627238857-0.000691188504636065i</v>
      </c>
      <c r="I20" s="338" t="str">
        <f t="shared" si="28"/>
        <v>1.22666627238857-0.000691188504636065i</v>
      </c>
      <c r="J20" s="337" t="str">
        <f t="shared" si="29"/>
        <v>1.22666404544709-0.00179011933196683i</v>
      </c>
      <c r="K20" s="338" t="str">
        <f t="shared" si="1"/>
        <v>0.999999999959656-9.97717466902558E-06i</v>
      </c>
      <c r="L20" s="732"/>
      <c r="M20" s="732" t="str">
        <f t="shared" si="2"/>
        <v>19.239132007361+0.0275806874378772i</v>
      </c>
      <c r="N20" s="337">
        <f t="shared" si="3"/>
        <v>0</v>
      </c>
      <c r="O20" s="730" t="str">
        <f t="shared" si="4"/>
        <v>19.2391315003056+0.0103449180188207i</v>
      </c>
      <c r="P20" s="731" t="str">
        <f t="shared" si="5"/>
        <v>23.6000008717618-0.000608104507880631i</v>
      </c>
      <c r="Q20" s="729" t="str">
        <f t="shared" si="6"/>
        <v>23.4076095567588-0.000711553688068846i</v>
      </c>
      <c r="R20" s="730"/>
      <c r="S20" s="405" t="str">
        <f t="shared" si="30"/>
        <v>22.5427065373484+0.0142307556822297i</v>
      </c>
      <c r="T20" s="405" t="str">
        <f t="shared" si="31"/>
        <v>22.5426897406864-0.00596456475960898i</v>
      </c>
      <c r="U20" s="405" t="str">
        <f t="shared" si="32"/>
        <v>27.4269261737744-0.0228381327848334i</v>
      </c>
      <c r="V20" s="731" t="str">
        <f t="shared" si="7"/>
        <v>6000</v>
      </c>
      <c r="W20" s="733" t="str">
        <f>IMSUM(COMPLEX(1,0),IMDIV(COMPLEX(0,2*PI()*D20),COMPLEX(2*PI()*'Stability Calculations'!EA_Pole1,0)))</f>
        <v>1+12.092335698859i</v>
      </c>
      <c r="X20" s="734">
        <f t="shared" si="33"/>
        <v>12.133613750812236</v>
      </c>
      <c r="Y20" s="735">
        <f t="shared" si="34"/>
        <v>1.4882870635093195</v>
      </c>
      <c r="Z20" s="340" t="str">
        <f>IMSUM(COMPLEX(1,0),IMDIV(COMPLEX(0,2*PI()*D20),COMPLEX(2*PI()*'Stability Calculations'!EA_Zero1,0)))</f>
        <v>1+0.119726096028307i</v>
      </c>
      <c r="AA20" s="734">
        <f t="shared" si="35"/>
        <v>1.0071416673289708</v>
      </c>
      <c r="AB20" s="735">
        <f t="shared" si="36"/>
        <v>0.11915890153063194</v>
      </c>
      <c r="AC20" s="733" t="str">
        <f>IMSUM(COMPLEX(1,0),IMDIV(COMPLEX(0,2*PI()*D20),COMPLEX(2*PI()*'Stability Calculations'!EA_Pole2,0)))</f>
        <v>1+0.00120605557566769i</v>
      </c>
      <c r="AD20" s="734">
        <f t="shared" si="37"/>
        <v>1.0000007272847613</v>
      </c>
      <c r="AE20" s="735">
        <f t="shared" si="38"/>
        <v>1.2060549909040934E-3</v>
      </c>
      <c r="AF20" s="732" t="str">
        <f t="shared" si="39"/>
        <v>99.1678806303714-488.052094783696i</v>
      </c>
      <c r="AG20" s="337">
        <f t="shared" si="40"/>
        <v>498.02521599962523</v>
      </c>
      <c r="AH20" s="730">
        <f t="shared" si="41"/>
        <v>-1.3703342169695913</v>
      </c>
      <c r="AI20" s="731" t="str">
        <f t="shared" si="14"/>
        <v>10000</v>
      </c>
      <c r="AJ20" s="733" t="str">
        <f t="shared" si="42"/>
        <v>1+11.2733852568062i</v>
      </c>
      <c r="AK20" s="734">
        <f t="shared" si="43"/>
        <v>11.317650601974574</v>
      </c>
      <c r="AL20" s="735">
        <f t="shared" si="44"/>
        <v>1.4823233915316372</v>
      </c>
      <c r="AM20" s="340" t="str">
        <f t="shared" si="45"/>
        <v>1+0.0191322301453235i</v>
      </c>
      <c r="AN20" s="734">
        <f t="shared" si="46"/>
        <v>1.0001830043698672</v>
      </c>
      <c r="AO20" s="735">
        <f t="shared" si="47"/>
        <v>1.9129896256485302E-2</v>
      </c>
      <c r="AP20" s="733" t="str">
        <f t="shared" si="48"/>
        <v>1+0.000927944698291734i</v>
      </c>
      <c r="AQ20" s="734">
        <f t="shared" si="49"/>
        <v>1.000000430540589</v>
      </c>
      <c r="AR20" s="735">
        <f t="shared" si="50"/>
        <v>9.2794443194657637E-4</v>
      </c>
      <c r="AS20" s="732" t="str">
        <f t="shared" si="51"/>
        <v>19483.4396237608-3172.43958216431i</v>
      </c>
      <c r="AT20" s="337">
        <f t="shared" si="52"/>
        <v>19740.03020451629</v>
      </c>
      <c r="AU20" s="730">
        <f t="shared" si="53"/>
        <v>-0.16141095326560478</v>
      </c>
      <c r="AV20" s="732" t="str">
        <f t="shared" si="54"/>
        <v>8593.64356602891-221451.250281894i</v>
      </c>
      <c r="AW20" s="337">
        <f t="shared" si="55"/>
        <v>106.91209788714158</v>
      </c>
      <c r="AX20" s="730">
        <f t="shared" si="56"/>
        <v>-87.777693419945038</v>
      </c>
      <c r="AY20" s="360">
        <f t="shared" si="57"/>
        <v>92.222306580054962</v>
      </c>
      <c r="BB20" s="337">
        <f t="shared" si="58"/>
        <v>45.906956257092546</v>
      </c>
      <c r="BC20" s="730">
        <f t="shared" si="59"/>
        <v>-9.2481663893025274</v>
      </c>
      <c r="BD20" s="351"/>
      <c r="BE20" s="337">
        <f t="shared" si="19"/>
        <v>25.683718415602392</v>
      </c>
      <c r="BF20" s="730">
        <f t="shared" si="20"/>
        <v>8.2137588281646204E-2</v>
      </c>
      <c r="BI20" s="351"/>
      <c r="BJ20" s="351"/>
      <c r="BL20" s="405">
        <f t="shared" si="21"/>
        <v>0</v>
      </c>
      <c r="BM20" s="405">
        <f t="shared" si="22"/>
        <v>0</v>
      </c>
      <c r="BN20" s="405">
        <f t="shared" si="23"/>
        <v>0</v>
      </c>
      <c r="BO20" s="405">
        <f t="shared" si="24"/>
        <v>0</v>
      </c>
    </row>
    <row r="21" spans="1:67" ht="13.5" thickBot="1" x14ac:dyDescent="0.25">
      <c r="B21" s="405">
        <f>20*LOG10(IMABS(H13))</f>
        <v>1.7034318055375752</v>
      </c>
      <c r="D21" s="345">
        <v>2.0893000000000002</v>
      </c>
      <c r="E21" s="340" t="str">
        <f t="shared" si="0"/>
        <v>0.0000346564919244464i</v>
      </c>
      <c r="F21" s="728" t="str">
        <f t="shared" si="25"/>
        <v>0.005-1248.79023009428i</v>
      </c>
      <c r="G21" s="337" t="str">
        <f t="shared" si="26"/>
        <v>0.005-1953.2360009167i</v>
      </c>
      <c r="H21" s="338" t="str">
        <f t="shared" si="27"/>
        <v>1.21666619265795-0.000757858854742797i</v>
      </c>
      <c r="I21" s="338" t="str">
        <f t="shared" si="28"/>
        <v>1.22666619265795-0.000757858854742797i</v>
      </c>
      <c r="J21" s="337" t="str">
        <f t="shared" si="29"/>
        <v>1.22666351538722-0.00196278913600819i</v>
      </c>
      <c r="K21" s="338" t="str">
        <f t="shared" si="1"/>
        <v>0.999999999951498-0.0000109395492185753i</v>
      </c>
      <c r="L21" s="732"/>
      <c r="M21" s="732" t="str">
        <f t="shared" si="2"/>
        <v>19.2391323253667+0.0302410551997843i</v>
      </c>
      <c r="N21" s="337">
        <f t="shared" si="3"/>
        <v>0</v>
      </c>
      <c r="O21" s="730" t="str">
        <f t="shared" si="4"/>
        <v>19.2391317157748+0.0113427642969005i</v>
      </c>
      <c r="P21" s="731" t="str">
        <f t="shared" si="5"/>
        <v>23.6000010480489-0.000666760834067496i</v>
      </c>
      <c r="Q21" s="729" t="str">
        <f t="shared" si="6"/>
        <v>23.4076097308912-0.000780188477036503i</v>
      </c>
      <c r="R21" s="730"/>
      <c r="S21" s="405" t="str">
        <f t="shared" si="30"/>
        <v>22.5427089721064+0.0156034183466029i</v>
      </c>
      <c r="T21" s="405" t="str">
        <f t="shared" si="31"/>
        <v>22.5426887788375-0.00653989162887711i</v>
      </c>
      <c r="U21" s="405" t="str">
        <f t="shared" si="32"/>
        <v>27.4269223725068-0.025041041349255i</v>
      </c>
      <c r="V21" s="731" t="str">
        <f t="shared" si="7"/>
        <v>6000</v>
      </c>
      <c r="W21" s="733" t="str">
        <f>IMSUM(COMPLEX(1,0),IMDIV(COMPLEX(0,2*PI()*D21),COMPLEX(2*PI()*'Stability Calculations'!EA_Pole1,0)))</f>
        <v>1+13.2587336529132i</v>
      </c>
      <c r="X21" s="734">
        <f t="shared" si="33"/>
        <v>13.29639116748951</v>
      </c>
      <c r="Y21" s="735">
        <f t="shared" si="34"/>
        <v>1.4955168685047695</v>
      </c>
      <c r="Z21" s="340" t="str">
        <f>IMSUM(COMPLEX(1,0),IMDIV(COMPLEX(0,2*PI()*D21),COMPLEX(2*PI()*'Stability Calculations'!EA_Zero1,0)))</f>
        <v>1+0.131274590622903i</v>
      </c>
      <c r="AA21" s="734">
        <f t="shared" si="35"/>
        <v>1.00857970341625</v>
      </c>
      <c r="AB21" s="735">
        <f t="shared" si="36"/>
        <v>0.13052820721848013</v>
      </c>
      <c r="AC21" s="733" t="str">
        <f>IMSUM(COMPLEX(1,0),IMDIV(COMPLEX(0,2*PI()*D21),COMPLEX(2*PI()*'Stability Calculations'!EA_Pole2,0)))</f>
        <v>1+0.00132238882930595i</v>
      </c>
      <c r="AD21" s="734">
        <f t="shared" si="37"/>
        <v>1.0000008743557258</v>
      </c>
      <c r="AE21" s="735">
        <f t="shared" si="38"/>
        <v>1.3223880584809255E-3</v>
      </c>
      <c r="AF21" s="732" t="str">
        <f t="shared" si="39"/>
        <v>92.4184142017686-445.639291255912i</v>
      </c>
      <c r="AG21" s="337">
        <f t="shared" si="40"/>
        <v>455.12145762932471</v>
      </c>
      <c r="AH21" s="730">
        <f t="shared" si="41"/>
        <v>-1.3663110493447708</v>
      </c>
      <c r="AI21" s="731" t="str">
        <f t="shared" si="14"/>
        <v>10000</v>
      </c>
      <c r="AJ21" s="733" t="str">
        <f t="shared" si="42"/>
        <v>1+12.3607891981345i</v>
      </c>
      <c r="AK21" s="734">
        <f t="shared" si="43"/>
        <v>12.401173718673508</v>
      </c>
      <c r="AL21" s="735">
        <f t="shared" si="44"/>
        <v>1.4900711517986855</v>
      </c>
      <c r="AM21" s="340" t="str">
        <f t="shared" si="45"/>
        <v>1+0.0209776795815399i</v>
      </c>
      <c r="AN21" s="734">
        <f t="shared" si="46"/>
        <v>1.0002200073187029</v>
      </c>
      <c r="AO21" s="735">
        <f t="shared" si="47"/>
        <v>2.0974603226619142E-2</v>
      </c>
      <c r="AP21" s="733" t="str">
        <f t="shared" si="48"/>
        <v>1+0.00101745203785931i</v>
      </c>
      <c r="AQ21" s="734">
        <f t="shared" si="49"/>
        <v>1.0000005176041906</v>
      </c>
      <c r="AR21" s="735">
        <f t="shared" si="50"/>
        <v>1.0174516867678114E-3</v>
      </c>
      <c r="AS21" s="732" t="str">
        <f t="shared" si="51"/>
        <v>19382.2078184428-3460.37229955839i</v>
      </c>
      <c r="AT21" s="337">
        <f t="shared" si="52"/>
        <v>19688.680919981824</v>
      </c>
      <c r="AU21" s="730">
        <f t="shared" si="53"/>
        <v>-0.17667204433952347</v>
      </c>
      <c r="AV21" s="732" t="str">
        <f t="shared" si="54"/>
        <v>5558.94687471782-201922.703062714i</v>
      </c>
      <c r="AW21" s="337">
        <f t="shared" si="55"/>
        <v>106.10699331944926</v>
      </c>
      <c r="AX21" s="730">
        <f t="shared" si="56"/>
        <v>-88.423041288086111</v>
      </c>
      <c r="AY21" s="360">
        <f t="shared" si="57"/>
        <v>91.576958711913889</v>
      </c>
      <c r="BB21" s="337">
        <f t="shared" si="58"/>
        <v>45.884332414826474</v>
      </c>
      <c r="BC21" s="730">
        <f t="shared" si="59"/>
        <v>-10.122562498602841</v>
      </c>
      <c r="BD21" s="351"/>
      <c r="BE21" s="337">
        <f t="shared" si="19"/>
        <v>25.683720364039168</v>
      </c>
      <c r="BF21" s="730">
        <f t="shared" si="20"/>
        <v>9.0060371469890252E-2</v>
      </c>
      <c r="BI21" s="351"/>
      <c r="BJ21" s="351"/>
      <c r="BL21" s="405">
        <f t="shared" si="21"/>
        <v>0</v>
      </c>
      <c r="BM21" s="405">
        <f t="shared" si="22"/>
        <v>0</v>
      </c>
      <c r="BN21" s="405">
        <f t="shared" si="23"/>
        <v>0</v>
      </c>
      <c r="BO21" s="405">
        <f t="shared" si="24"/>
        <v>0</v>
      </c>
    </row>
    <row r="22" spans="1:67" ht="13.5" thickBot="1" x14ac:dyDescent="0.25">
      <c r="B22" s="405">
        <f>20*LOG10(IMABS(I13))</f>
        <v>1.7745308899299541</v>
      </c>
      <c r="D22" s="345">
        <v>2.2909000000000002</v>
      </c>
      <c r="E22" s="340" t="str">
        <f t="shared" si="0"/>
        <v>0.0000380005539413748i</v>
      </c>
      <c r="F22" s="728" t="str">
        <f t="shared" si="25"/>
        <v>0.005-1138.89625375878i</v>
      </c>
      <c r="G22" s="337" t="str">
        <f t="shared" si="26"/>
        <v>0.005-1781.35055075091i</v>
      </c>
      <c r="H22" s="338" t="str">
        <f t="shared" si="27"/>
        <v>1.2166660967689-0.00083098583876637i</v>
      </c>
      <c r="I22" s="338" t="str">
        <f t="shared" si="28"/>
        <v>1.2266660967689-0.00083098583876637i</v>
      </c>
      <c r="J22" s="337" t="str">
        <f t="shared" si="29"/>
        <v>1.22666287790447-0.00215218077201708i</v>
      </c>
      <c r="K22" s="338" t="str">
        <f t="shared" si="1"/>
        <v>0.999999999941686-0.0000119951243501814i</v>
      </c>
      <c r="L22" s="732"/>
      <c r="M22" s="732" t="str">
        <f t="shared" si="2"/>
        <v>19.2391327078206+0.0331590647409935i</v>
      </c>
      <c r="N22" s="337">
        <f t="shared" si="3"/>
        <v>0</v>
      </c>
      <c r="O22" s="730" t="str">
        <f t="shared" si="4"/>
        <v>19.2391319749121+0.0124372464203964i</v>
      </c>
      <c r="P22" s="731" t="str">
        <f t="shared" si="5"/>
        <v>23.6000012600628-0.000731097700248708i</v>
      </c>
      <c r="Q22" s="729" t="str">
        <f t="shared" si="6"/>
        <v>23.4076099403137-0.000855470164452675i</v>
      </c>
      <c r="R22" s="730"/>
      <c r="S22" s="405" t="str">
        <f t="shared" si="30"/>
        <v>22.5427119002987+0.0171090149981276i</v>
      </c>
      <c r="T22" s="405" t="str">
        <f t="shared" si="31"/>
        <v>22.5426876220582-0.00717093540510756i</v>
      </c>
      <c r="U22" s="405" t="str">
        <f t="shared" si="32"/>
        <v>27.4269178008644-0.0274572881711786i</v>
      </c>
      <c r="V22" s="731" t="str">
        <f t="shared" si="7"/>
        <v>6000</v>
      </c>
      <c r="W22" s="733" t="str">
        <f>IMSUM(COMPLEX(1,0),IMDIV(COMPLEX(0,2*PI()*D22),COMPLEX(2*PI()*'Stability Calculations'!EA_Pole1,0)))</f>
        <v>1+14.5380907124199i</v>
      </c>
      <c r="X22" s="734">
        <f t="shared" si="33"/>
        <v>14.572442539346302</v>
      </c>
      <c r="Y22" s="735">
        <f t="shared" si="34"/>
        <v>1.5021196783607937</v>
      </c>
      <c r="Z22" s="340" t="str">
        <f>IMSUM(COMPLEX(1,0),IMDIV(COMPLEX(0,2*PI()*D22),COMPLEX(2*PI()*'Stability Calculations'!EA_Zero1,0)))</f>
        <v>1+0.143941492202177i</v>
      </c>
      <c r="AA22" s="734">
        <f t="shared" si="35"/>
        <v>1.0103064649785181</v>
      </c>
      <c r="AB22" s="735">
        <f t="shared" si="36"/>
        <v>0.14295955526534934</v>
      </c>
      <c r="AC22" s="733" t="str">
        <f>IMSUM(COMPLEX(1,0),IMDIV(COMPLEX(0,2*PI()*D22),COMPLEX(2*PI()*'Stability Calculations'!EA_Pole2,0)))</f>
        <v>1+0.00144998830663716i</v>
      </c>
      <c r="AD22" s="734">
        <f t="shared" si="37"/>
        <v>1.0000010512324922</v>
      </c>
      <c r="AE22" s="735">
        <f t="shared" si="38"/>
        <v>1.4499872904546937E-3</v>
      </c>
      <c r="AF22" s="732" t="str">
        <f t="shared" si="39"/>
        <v>86.7907330554324-406.824324281605i</v>
      </c>
      <c r="AG22" s="337">
        <f t="shared" si="40"/>
        <v>415.97916074183786</v>
      </c>
      <c r="AH22" s="730">
        <f t="shared" si="41"/>
        <v>-1.3606101103858992</v>
      </c>
      <c r="AI22" s="731" t="str">
        <f t="shared" si="14"/>
        <v>10000</v>
      </c>
      <c r="AJ22" s="733" t="str">
        <f t="shared" si="42"/>
        <v>1+13.5535021174586i</v>
      </c>
      <c r="AK22" s="734">
        <f t="shared" si="43"/>
        <v>13.590342881912683</v>
      </c>
      <c r="AL22" s="735">
        <f t="shared" si="44"/>
        <v>1.4971481053205771</v>
      </c>
      <c r="AM22" s="340" t="str">
        <f t="shared" si="45"/>
        <v>1+0.0230018504539079i</v>
      </c>
      <c r="AN22" s="734">
        <f t="shared" si="46"/>
        <v>1.0002645075800221</v>
      </c>
      <c r="AO22" s="735">
        <f t="shared" si="47"/>
        <v>2.2997795095572399E-2</v>
      </c>
      <c r="AP22" s="733" t="str">
        <f t="shared" si="48"/>
        <v>1+0.00111562766167228i</v>
      </c>
      <c r="AQ22" s="734">
        <f t="shared" si="49"/>
        <v>1.0000006223123461</v>
      </c>
      <c r="AR22" s="735">
        <f t="shared" si="50"/>
        <v>1.1156271988265699E-3</v>
      </c>
      <c r="AS22" s="732" t="str">
        <f t="shared" si="51"/>
        <v>19261.8447776544-3770.70700461272i</v>
      </c>
      <c r="AT22" s="337">
        <f t="shared" si="52"/>
        <v>19627.452599690248</v>
      </c>
      <c r="AU22" s="730">
        <f t="shared" si="53"/>
        <v>-0.19331574598986867</v>
      </c>
      <c r="AV22" s="732" t="str">
        <f t="shared" si="54"/>
        <v>3046.36170962609-184027.077677881i</v>
      </c>
      <c r="AW22" s="337">
        <f t="shared" si="55"/>
        <v>105.29882453077533</v>
      </c>
      <c r="AX22" s="730">
        <f t="shared" si="56"/>
        <v>-89.051619304048614</v>
      </c>
      <c r="AY22" s="360">
        <f t="shared" si="57"/>
        <v>90.948380695951386</v>
      </c>
      <c r="BB22" s="337">
        <f t="shared" si="58"/>
        <v>45.85727874422826</v>
      </c>
      <c r="BC22" s="730">
        <f t="shared" si="59"/>
        <v>-11.076176358642543</v>
      </c>
      <c r="BD22" s="351"/>
      <c r="BE22" s="337">
        <f t="shared" si="19"/>
        <v>25.683722707350842</v>
      </c>
      <c r="BF22" s="730">
        <f t="shared" si="20"/>
        <v>9.8750427574176805E-2</v>
      </c>
      <c r="BI22" s="351"/>
      <c r="BJ22" s="351"/>
      <c r="BL22" s="405">
        <f t="shared" si="21"/>
        <v>0</v>
      </c>
      <c r="BM22" s="405">
        <f t="shared" si="22"/>
        <v>0</v>
      </c>
      <c r="BN22" s="405">
        <f t="shared" si="23"/>
        <v>0</v>
      </c>
      <c r="BO22" s="405">
        <f t="shared" si="24"/>
        <v>0</v>
      </c>
    </row>
    <row r="23" spans="1:67" ht="13.5" thickBot="1" x14ac:dyDescent="0.25">
      <c r="B23" s="405">
        <f>20*LOG10(IMABS(J13))</f>
        <v>1.7745287145683801</v>
      </c>
      <c r="D23" s="345">
        <v>2.5118999999999998</v>
      </c>
      <c r="E23" s="340" t="str">
        <f t="shared" si="0"/>
        <v>0.0000416664155769956i</v>
      </c>
      <c r="F23" s="728" t="str">
        <f t="shared" si="25"/>
        <v>0.005-1038.69478392292i</v>
      </c>
      <c r="G23" s="337" t="str">
        <f t="shared" si="26"/>
        <v>0.005-1624.6251748538i</v>
      </c>
      <c r="H23" s="338" t="str">
        <f t="shared" si="27"/>
        <v>1.21666598151087-0.000911149823145506i</v>
      </c>
      <c r="I23" s="338" t="str">
        <f t="shared" si="28"/>
        <v>1.22666598151087-0.000911149823145506i</v>
      </c>
      <c r="J23" s="337" t="str">
        <f t="shared" si="29"/>
        <v>1.22666211165491-0.00235979723813909i</v>
      </c>
      <c r="K23" s="338" t="str">
        <f t="shared" si="1"/>
        <v>0.999999999929893-0.0000131522776442537i</v>
      </c>
      <c r="L23" s="732"/>
      <c r="M23" s="732" t="str">
        <f t="shared" si="2"/>
        <v>19.2391331675277+0.0363578748958453i</v>
      </c>
      <c r="N23" s="337">
        <f t="shared" si="3"/>
        <v>0</v>
      </c>
      <c r="O23" s="730" t="str">
        <f t="shared" si="4"/>
        <v>19.2391322863931+0.0136370507656184i</v>
      </c>
      <c r="P23" s="731" t="str">
        <f t="shared" si="5"/>
        <v>23.6000015149023-0.000801625717899394i</v>
      </c>
      <c r="Q23" s="729" t="str">
        <f t="shared" si="6"/>
        <v>23.4076101920384-0.00093799622555555i</v>
      </c>
      <c r="R23" s="730"/>
      <c r="S23" s="405" t="str">
        <f t="shared" si="30"/>
        <v>22.5427154199671+0.0187594945323294i</v>
      </c>
      <c r="T23" s="405" t="str">
        <f t="shared" si="31"/>
        <v>22.5426862316165-0.00786270426000238i</v>
      </c>
      <c r="U23" s="405" t="str">
        <f t="shared" si="32"/>
        <v>27.4269123057797-0.0301060493689877i</v>
      </c>
      <c r="V23" s="731" t="str">
        <f t="shared" si="7"/>
        <v>6000</v>
      </c>
      <c r="W23" s="733" t="str">
        <f>IMSUM(COMPLEX(1,0),IMDIV(COMPLEX(0,2*PI()*D23),COMPLEX(2*PI()*'Stability Calculations'!EA_Pole1,0)))</f>
        <v>1+15.9405605048354i</v>
      </c>
      <c r="X23" s="734">
        <f t="shared" si="33"/>
        <v>15.97189623082739</v>
      </c>
      <c r="Y23" s="735">
        <f t="shared" si="34"/>
        <v>1.508145375679437</v>
      </c>
      <c r="Z23" s="340" t="str">
        <f>IMSUM(COMPLEX(1,0),IMDIV(COMPLEX(0,2*PI()*D23),COMPLEX(2*PI()*'Stability Calculations'!EA_Zero1,0)))</f>
        <v>1+0.157827331731044i</v>
      </c>
      <c r="AA23" s="734">
        <f t="shared" si="35"/>
        <v>1.0123781243395873</v>
      </c>
      <c r="AB23" s="735">
        <f t="shared" si="36"/>
        <v>0.15653611077191312</v>
      </c>
      <c r="AC23" s="733" t="str">
        <f>IMSUM(COMPLEX(1,0),IMDIV(COMPLEX(0,2*PI()*D23),COMPLEX(2*PI()*'Stability Calculations'!EA_Pole2,0)))</f>
        <v>1+0.00158986670192583i</v>
      </c>
      <c r="AD23" s="734">
        <f t="shared" si="37"/>
        <v>1.0000012638372664</v>
      </c>
      <c r="AE23" s="735">
        <f t="shared" si="38"/>
        <v>1.5898653623718242E-3</v>
      </c>
      <c r="AF23" s="732" t="str">
        <f t="shared" si="39"/>
        <v>82.1027384006904-371.341248414446i</v>
      </c>
      <c r="AG23" s="337">
        <f t="shared" si="40"/>
        <v>380.30932466466226</v>
      </c>
      <c r="AH23" s="730">
        <f t="shared" si="41"/>
        <v>-1.353199130269896</v>
      </c>
      <c r="AI23" s="731" t="str">
        <f t="shared" si="14"/>
        <v>10000</v>
      </c>
      <c r="AJ23" s="733" t="str">
        <f t="shared" si="42"/>
        <v>1+14.8609899903288i</v>
      </c>
      <c r="AK23" s="734">
        <f t="shared" si="43"/>
        <v>14.894597124214297</v>
      </c>
      <c r="AL23" s="735">
        <f t="shared" si="44"/>
        <v>1.5036073467047351</v>
      </c>
      <c r="AM23" s="340" t="str">
        <f t="shared" si="45"/>
        <v>1+0.0252208076106208i</v>
      </c>
      <c r="AN23" s="734">
        <f t="shared" si="46"/>
        <v>1.0003179940081715</v>
      </c>
      <c r="AO23" s="735">
        <f t="shared" si="47"/>
        <v>2.5215462090030522E-2</v>
      </c>
      <c r="AP23" s="733" t="str">
        <f t="shared" si="48"/>
        <v>1+0.00122325074134821i</v>
      </c>
      <c r="AQ23" s="734">
        <f t="shared" si="49"/>
        <v>1.0000007481709083</v>
      </c>
      <c r="AR23" s="735">
        <f t="shared" si="50"/>
        <v>1.223250131214784E-3</v>
      </c>
      <c r="AS23" s="732" t="str">
        <f t="shared" si="51"/>
        <v>19119.1328073401-4103.82953375178i</v>
      </c>
      <c r="AT23" s="337">
        <f t="shared" si="52"/>
        <v>19554.607031254855</v>
      </c>
      <c r="AU23" s="730">
        <f t="shared" si="53"/>
        <v>-0.21143698373639117</v>
      </c>
      <c r="AV23" s="732" t="str">
        <f t="shared" si="54"/>
        <v>974.252778036651-167642.614602581i</v>
      </c>
      <c r="AW23" s="337">
        <f t="shared" si="55"/>
        <v>104.48783518535771</v>
      </c>
      <c r="AX23" s="730">
        <f t="shared" si="56"/>
        <v>-89.667030103956009</v>
      </c>
      <c r="AY23" s="360">
        <f t="shared" si="57"/>
        <v>90.332969896043991</v>
      </c>
      <c r="BB23" s="337">
        <f t="shared" si="58"/>
        <v>45.82498185616199</v>
      </c>
      <c r="BC23" s="730">
        <f t="shared" si="59"/>
        <v>-12.114446801071441</v>
      </c>
      <c r="BD23" s="351"/>
      <c r="BE23" s="337">
        <f t="shared" si="19"/>
        <v>25.683725523995804</v>
      </c>
      <c r="BF23" s="730">
        <f t="shared" si="20"/>
        <v>0.10827672357221356</v>
      </c>
      <c r="BI23" s="351"/>
      <c r="BJ23" s="351"/>
      <c r="BL23" s="405">
        <f t="shared" si="21"/>
        <v>0</v>
      </c>
      <c r="BM23" s="405">
        <f t="shared" si="22"/>
        <v>0</v>
      </c>
      <c r="BN23" s="405">
        <f t="shared" si="23"/>
        <v>0</v>
      </c>
      <c r="BO23" s="405">
        <f t="shared" si="24"/>
        <v>0</v>
      </c>
    </row>
    <row r="24" spans="1:67" ht="13.5" thickBot="1" x14ac:dyDescent="0.25">
      <c r="B24" s="405">
        <f>20*LOG10(IMABS(P13))</f>
        <v>27.458240148561654</v>
      </c>
      <c r="D24" s="345">
        <v>2.7542</v>
      </c>
      <c r="E24" s="340" t="str">
        <f t="shared" si="0"/>
        <v>0.0000456855932888098i</v>
      </c>
      <c r="F24" s="728" t="str">
        <f t="shared" si="25"/>
        <v>0.005-947.315891270052i</v>
      </c>
      <c r="G24" s="337" t="str">
        <f t="shared" si="26"/>
        <v>0.005-1481.6992145506i</v>
      </c>
      <c r="H24" s="338" t="str">
        <f t="shared" si="27"/>
        <v>1.21666584295438-0.000999039992016802i</v>
      </c>
      <c r="I24" s="338" t="str">
        <f t="shared" si="28"/>
        <v>1.22666584295438-0.000999039992016802i</v>
      </c>
      <c r="J24" s="337" t="str">
        <f t="shared" si="29"/>
        <v>1.22666119051546-0.00258742332744693i</v>
      </c>
      <c r="K24" s="338" t="str">
        <f t="shared" si="1"/>
        <v>0.999999999915715-0.0000144209574775283i</v>
      </c>
      <c r="L24" s="732"/>
      <c r="M24" s="732" t="str">
        <f t="shared" si="2"/>
        <v>19.239133720161+0.0398649867845727i</v>
      </c>
      <c r="N24" s="337">
        <f t="shared" si="3"/>
        <v>0</v>
      </c>
      <c r="O24" s="730" t="str">
        <f t="shared" si="4"/>
        <v>19.2391326608377+0.0149524924060411i</v>
      </c>
      <c r="P24" s="731" t="str">
        <f t="shared" si="5"/>
        <v>23.6000018212556-0.000878951238368275i</v>
      </c>
      <c r="Q24" s="729" t="str">
        <f t="shared" si="6"/>
        <v>23.4076104946472-0.00102847616242866i</v>
      </c>
      <c r="R24" s="730"/>
      <c r="S24" s="405" t="str">
        <f t="shared" si="30"/>
        <v>22.5427196511061+0.020569046218164i</v>
      </c>
      <c r="T24" s="405" t="str">
        <f t="shared" si="31"/>
        <v>22.5426845601092-0.00862114537989293i</v>
      </c>
      <c r="U24" s="405" t="str">
        <f t="shared" si="32"/>
        <v>27.426905699911-0.0330100965138287i</v>
      </c>
      <c r="V24" s="731" t="str">
        <f t="shared" si="7"/>
        <v>6000</v>
      </c>
      <c r="W24" s="733" t="str">
        <f>IMSUM(COMPLEX(1,0),IMDIV(COMPLEX(0,2*PI()*D24),COMPLEX(2*PI()*'Stability Calculations'!EA_Pole1,0)))</f>
        <v>1+17.4782004627643i</v>
      </c>
      <c r="X24" s="734">
        <f t="shared" si="33"/>
        <v>17.50678415405223</v>
      </c>
      <c r="Y24" s="735">
        <f t="shared" si="34"/>
        <v>1.5136445056973888</v>
      </c>
      <c r="Z24" s="340" t="str">
        <f>IMSUM(COMPLEX(1,0),IMDIV(COMPLEX(0,2*PI()*D24),COMPLEX(2*PI()*'Stability Calculations'!EA_Zero1,0)))</f>
        <v>1+0.17305148973034i</v>
      </c>
      <c r="AA24" s="734">
        <f t="shared" si="35"/>
        <v>1.0148629553283979</v>
      </c>
      <c r="AB24" s="735">
        <f t="shared" si="36"/>
        <v>0.1713544326505233</v>
      </c>
      <c r="AC24" s="733" t="str">
        <f>IMSUM(COMPLEX(1,0),IMDIV(COMPLEX(0,2*PI()*D24),COMPLEX(2*PI()*'Stability Calculations'!EA_Pole2,0)))</f>
        <v>1+0.00174322658961109i</v>
      </c>
      <c r="AD24" s="734">
        <f t="shared" si="37"/>
        <v>1.0000015194183169</v>
      </c>
      <c r="AE24" s="735">
        <f t="shared" si="38"/>
        <v>1.7432248238193609E-3</v>
      </c>
      <c r="AF24" s="732" t="str">
        <f t="shared" si="39"/>
        <v>78.1979651131944-338.913254644123i</v>
      </c>
      <c r="AG24" s="337">
        <f t="shared" si="40"/>
        <v>347.81764751276859</v>
      </c>
      <c r="AH24" s="730">
        <f t="shared" si="41"/>
        <v>-1.3440332978706848</v>
      </c>
      <c r="AI24" s="731" t="str">
        <f t="shared" si="14"/>
        <v>10000</v>
      </c>
      <c r="AJ24" s="733" t="str">
        <f t="shared" si="42"/>
        <v>1+16.2944936627109i</v>
      </c>
      <c r="AK24" s="734">
        <f t="shared" si="43"/>
        <v>16.325150036802899</v>
      </c>
      <c r="AL24" s="735">
        <f t="shared" si="44"/>
        <v>1.5095027752987853</v>
      </c>
      <c r="AM24" s="340" t="str">
        <f t="shared" si="45"/>
        <v>1+0.0276536280589083i</v>
      </c>
      <c r="AN24" s="734">
        <f t="shared" si="46"/>
        <v>1.0003822885001616</v>
      </c>
      <c r="AO24" s="735">
        <f t="shared" si="47"/>
        <v>2.7646582168380902E-2</v>
      </c>
      <c r="AP24" s="733" t="str">
        <f t="shared" si="48"/>
        <v>1+0.00134124654318294i</v>
      </c>
      <c r="AQ24" s="734">
        <f t="shared" si="49"/>
        <v>1.0000008994707403</v>
      </c>
      <c r="AR24" s="735">
        <f t="shared" si="50"/>
        <v>1.3412457389087656E-3</v>
      </c>
      <c r="AS24" s="732" t="str">
        <f t="shared" si="51"/>
        <v>18950.3471906511-4459.96470465908i</v>
      </c>
      <c r="AT24" s="337">
        <f t="shared" si="52"/>
        <v>19468.100672973284</v>
      </c>
      <c r="AU24" s="730">
        <f t="shared" si="53"/>
        <v>-0.23114364202278012</v>
      </c>
      <c r="AV24" s="732" t="str">
        <f t="shared" si="54"/>
        <v>-727.050073402272-152642.663720459i</v>
      </c>
      <c r="AW24" s="337">
        <f t="shared" si="55"/>
        <v>103.67361725053144</v>
      </c>
      <c r="AX24" s="730">
        <f t="shared" si="56"/>
        <v>-90.27290263853132</v>
      </c>
      <c r="AY24" s="360">
        <f t="shared" si="57"/>
        <v>89.72709736146868</v>
      </c>
      <c r="BB24" s="337">
        <f t="shared" si="58"/>
        <v>45.786471667808812</v>
      </c>
      <c r="BC24" s="730">
        <f t="shared" si="59"/>
        <v>-13.24355514918804</v>
      </c>
      <c r="BD24" s="351"/>
      <c r="BE24" s="337">
        <f t="shared" si="19"/>
        <v>25.683728910000564</v>
      </c>
      <c r="BF24" s="730">
        <f t="shared" si="20"/>
        <v>0.11872115748063455</v>
      </c>
      <c r="BI24" s="351"/>
      <c r="BJ24" s="351"/>
      <c r="BL24" s="405">
        <f t="shared" si="21"/>
        <v>0</v>
      </c>
      <c r="BM24" s="405">
        <f t="shared" si="22"/>
        <v>0</v>
      </c>
      <c r="BN24" s="405">
        <f t="shared" si="23"/>
        <v>0</v>
      </c>
      <c r="BO24" s="405">
        <f t="shared" si="24"/>
        <v>0</v>
      </c>
    </row>
    <row r="25" spans="1:67" ht="13.5" thickBot="1" x14ac:dyDescent="0.25">
      <c r="B25" s="405">
        <f>20*LOG10(IMABS(Q13))</f>
        <v>27.387141064169278</v>
      </c>
      <c r="D25" s="345">
        <v>3.02</v>
      </c>
      <c r="E25" s="340" t="str">
        <f t="shared" si="0"/>
        <v>0.0000500945798170814i</v>
      </c>
      <c r="F25" s="728" t="str">
        <f t="shared" si="25"/>
        <v>0.005-863.939545607946i</v>
      </c>
      <c r="G25" s="337" t="str">
        <f t="shared" si="26"/>
        <v>0.005-1351.29005851499i</v>
      </c>
      <c r="H25" s="338" t="str">
        <f t="shared" si="27"/>
        <v>1.21666567629451-0.00109545434641907i</v>
      </c>
      <c r="I25" s="338" t="str">
        <f t="shared" si="28"/>
        <v>1.22666567629451-0.00109545434641907i</v>
      </c>
      <c r="J25" s="337" t="str">
        <f t="shared" si="29"/>
        <v>1.22666008254306-0.00283712561436291i</v>
      </c>
      <c r="K25" s="338" t="str">
        <f t="shared" si="1"/>
        <v>0.999999999898662-0.0000158126830230686i</v>
      </c>
      <c r="L25" s="732"/>
      <c r="M25" s="732" t="str">
        <f t="shared" si="2"/>
        <v>19.2391343848849+0.0437122438168111i</v>
      </c>
      <c r="N25" s="337">
        <f t="shared" si="3"/>
        <v>0</v>
      </c>
      <c r="O25" s="730" t="str">
        <f t="shared" si="4"/>
        <v>19.239133111231+0.0163955151135646i</v>
      </c>
      <c r="P25" s="731" t="str">
        <f t="shared" si="5"/>
        <v>23.6000021897465-0.000963776353055204i</v>
      </c>
      <c r="Q25" s="729" t="str">
        <f t="shared" si="6"/>
        <v>23.4076108586342-0.00112773150419079i</v>
      </c>
      <c r="R25" s="730"/>
      <c r="S25" s="405" t="str">
        <f t="shared" si="30"/>
        <v>22.5427247404447+0.022554099662955i</v>
      </c>
      <c r="T25" s="405" t="str">
        <f t="shared" si="31"/>
        <v>22.542682549571-0.00945314495189846i</v>
      </c>
      <c r="U25" s="405" t="str">
        <f t="shared" si="32"/>
        <v>27.4268977541775-0.036195796574884i</v>
      </c>
      <c r="V25" s="731" t="str">
        <f t="shared" si="7"/>
        <v>6000</v>
      </c>
      <c r="W25" s="733" t="str">
        <f>IMSUM(COMPLEX(1,0),IMDIV(COMPLEX(0,2*PI()*D25),COMPLEX(2*PI()*'Stability Calculations'!EA_Pole1,0)))</f>
        <v>1+19.1649718239591i</v>
      </c>
      <c r="X25" s="734">
        <f t="shared" si="33"/>
        <v>19.191043353948899</v>
      </c>
      <c r="Y25" s="735">
        <f t="shared" si="34"/>
        <v>1.5186650763075349</v>
      </c>
      <c r="Z25" s="340" t="str">
        <f>IMSUM(COMPLEX(1,0),IMDIV(COMPLEX(0,2*PI()*D25),COMPLEX(2*PI()*'Stability Calculations'!EA_Zero1,0)))</f>
        <v>1+0.189752196276823i</v>
      </c>
      <c r="AA25" s="734">
        <f t="shared" si="35"/>
        <v>1.0178437483189047</v>
      </c>
      <c r="AB25" s="735">
        <f t="shared" si="36"/>
        <v>0.18752276595214182</v>
      </c>
      <c r="AC25" s="733" t="str">
        <f>IMSUM(COMPLEX(1,0),IMDIV(COMPLEX(0,2*PI()*D25),COMPLEX(2*PI()*'Stability Calculations'!EA_Pole2,0)))</f>
        <v>1+0.00191146042430669i</v>
      </c>
      <c r="AD25" s="734">
        <f t="shared" si="37"/>
        <v>1.0000018268388082</v>
      </c>
      <c r="AE25" s="735">
        <f t="shared" si="38"/>
        <v>1.911458096356278E-3</v>
      </c>
      <c r="AF25" s="732" t="str">
        <f t="shared" si="39"/>
        <v>74.9447155727754-309.273065037443i</v>
      </c>
      <c r="AG25" s="337">
        <f t="shared" si="40"/>
        <v>318.2240392395563</v>
      </c>
      <c r="AH25" s="730">
        <f t="shared" si="41"/>
        <v>-1.3330537684517503</v>
      </c>
      <c r="AI25" s="731" t="str">
        <f t="shared" si="14"/>
        <v>10000</v>
      </c>
      <c r="AJ25" s="733" t="str">
        <f t="shared" si="42"/>
        <v>1+17.8670288509865i</v>
      </c>
      <c r="AK25" s="734">
        <f t="shared" si="43"/>
        <v>17.894991477002272</v>
      </c>
      <c r="AL25" s="735">
        <f t="shared" si="44"/>
        <v>1.5148856440712897</v>
      </c>
      <c r="AM25" s="340" t="str">
        <f t="shared" si="45"/>
        <v>1+0.0303224009650363i</v>
      </c>
      <c r="AN25" s="734">
        <f t="shared" si="46"/>
        <v>1.0004596183756167</v>
      </c>
      <c r="AO25" s="735">
        <f t="shared" si="47"/>
        <v>3.0313112798179616E-2</v>
      </c>
      <c r="AP25" s="733" t="str">
        <f t="shared" si="48"/>
        <v>1+0.00147068642815063i</v>
      </c>
      <c r="AQ25" s="734">
        <f t="shared" si="49"/>
        <v>1.0000010814587001</v>
      </c>
      <c r="AR25" s="735">
        <f t="shared" si="50"/>
        <v>1.4706853678270108E-3</v>
      </c>
      <c r="AS25" s="732" t="str">
        <f t="shared" si="51"/>
        <v>18751.2333876918-4838.9992967708i</v>
      </c>
      <c r="AT25" s="337">
        <f t="shared" si="52"/>
        <v>19365.553639228496</v>
      </c>
      <c r="AU25" s="730">
        <f t="shared" si="53"/>
        <v>-0.2525528420662681</v>
      </c>
      <c r="AV25" s="732" t="str">
        <f t="shared" si="54"/>
        <v>-2115.63645084305-138905.092328856i</v>
      </c>
      <c r="AW25" s="337">
        <f t="shared" si="55"/>
        <v>102.85537069794066</v>
      </c>
      <c r="AX25" s="730">
        <f t="shared" si="56"/>
        <v>-90.872593406645663</v>
      </c>
      <c r="AY25" s="360">
        <f t="shared" si="57"/>
        <v>89.127406593354337</v>
      </c>
      <c r="BB25" s="337">
        <f t="shared" si="58"/>
        <v>45.74059834973135</v>
      </c>
      <c r="BC25" s="730">
        <f t="shared" si="59"/>
        <v>-14.4702119544312</v>
      </c>
      <c r="BD25" s="351"/>
      <c r="BE25" s="337">
        <f t="shared" si="19"/>
        <v>25.683732982785664</v>
      </c>
      <c r="BF25" s="730">
        <f t="shared" si="20"/>
        <v>0.13017855814265372</v>
      </c>
      <c r="BI25" s="351"/>
      <c r="BJ25" s="351"/>
      <c r="BL25" s="405">
        <f t="shared" si="21"/>
        <v>0</v>
      </c>
      <c r="BM25" s="405">
        <f t="shared" si="22"/>
        <v>0</v>
      </c>
      <c r="BN25" s="405">
        <f t="shared" si="23"/>
        <v>0</v>
      </c>
      <c r="BO25" s="405">
        <f t="shared" si="24"/>
        <v>0</v>
      </c>
    </row>
    <row r="26" spans="1:67" ht="13.5" thickBot="1" x14ac:dyDescent="0.25">
      <c r="B26" s="405">
        <f>20*LOG10(IMABS(M13))</f>
        <v>25.68371143399327</v>
      </c>
      <c r="D26" s="345">
        <v>3.3113000000000001</v>
      </c>
      <c r="E26" s="340" t="str">
        <f t="shared" si="0"/>
        <v>0.0000549265503802323i</v>
      </c>
      <c r="F26" s="728" t="str">
        <f t="shared" si="25"/>
        <v>0.005-787.937495163829i</v>
      </c>
      <c r="G26" s="337" t="str">
        <f t="shared" si="26"/>
        <v>0.005-1232.4150565383i</v>
      </c>
      <c r="H26" s="338" t="str">
        <f t="shared" si="27"/>
        <v>1.21666547602377-0.00120111833700487i</v>
      </c>
      <c r="I26" s="338" t="str">
        <f t="shared" si="28"/>
        <v>1.22666547602377-0.00120111833700487i</v>
      </c>
      <c r="J26" s="337" t="str">
        <f t="shared" si="29"/>
        <v>1.22665875112434-0.00311078272035948i</v>
      </c>
      <c r="K26" s="338" t="str">
        <f t="shared" si="1"/>
        <v>0.99999999987817-0.0000173379262563865i</v>
      </c>
      <c r="L26" s="732"/>
      <c r="M26" s="732" t="str">
        <f t="shared" si="2"/>
        <v>19.2391351836664+0.0479285945681175i</v>
      </c>
      <c r="N26" s="337">
        <f t="shared" si="3"/>
        <v>0</v>
      </c>
      <c r="O26" s="730" t="str">
        <f t="shared" si="4"/>
        <v>19.2391336524568+0.0179769768703336i</v>
      </c>
      <c r="P26" s="731" t="str">
        <f t="shared" si="5"/>
        <v>23.6000026325523-0.00105673932793774i</v>
      </c>
      <c r="Q26" s="729" t="str">
        <f t="shared" si="6"/>
        <v>23.4076112960277-0.00123650909664108i</v>
      </c>
      <c r="R26" s="730"/>
      <c r="S26" s="405" t="str">
        <f t="shared" si="30"/>
        <v>22.5427308561656+0.0247295906601976i</v>
      </c>
      <c r="T26" s="405" t="str">
        <f t="shared" si="31"/>
        <v>22.5426801335614-0.0103649630619565i</v>
      </c>
      <c r="U26" s="405" t="str">
        <f t="shared" si="32"/>
        <v>27.4268882060038-0.0396871191914005i</v>
      </c>
      <c r="V26" s="731" t="str">
        <f t="shared" si="7"/>
        <v>6000</v>
      </c>
      <c r="W26" s="733" t="str">
        <f>IMSUM(COMPLEX(1,0),IMDIV(COMPLEX(0,2*PI()*D26),COMPLEX(2*PI()*'Stability Calculations'!EA_Pole1,0)))</f>
        <v>1+21.0135666227404i</v>
      </c>
      <c r="X26" s="734">
        <f t="shared" si="33"/>
        <v>21.037347318717472</v>
      </c>
      <c r="Y26" s="735">
        <f t="shared" si="34"/>
        <v>1.5232438974630658</v>
      </c>
      <c r="Z26" s="340" t="str">
        <f>IMSUM(COMPLEX(1,0),IMDIV(COMPLEX(0,2*PI()*D26),COMPLEX(2*PI()*'Stability Calculations'!EA_Zero1,0)))</f>
        <v>1+0.208055115076638i</v>
      </c>
      <c r="AA26" s="734">
        <f t="shared" si="35"/>
        <v>1.0214141818623594</v>
      </c>
      <c r="AB26" s="735">
        <f t="shared" si="36"/>
        <v>0.20512872926494671</v>
      </c>
      <c r="AC26" s="733" t="str">
        <f>IMSUM(COMPLEX(1,0),IMDIV(COMPLEX(0,2*PI()*D26),COMPLEX(2*PI()*'Stability Calculations'!EA_Pole2,0)))</f>
        <v>1+0.0020958340738433i</v>
      </c>
      <c r="AD26" s="734">
        <f t="shared" si="37"/>
        <v>1.0000021962578207</v>
      </c>
      <c r="AE26" s="735">
        <f t="shared" si="38"/>
        <v>2.0958310051867003E-3</v>
      </c>
      <c r="AF26" s="732" t="str">
        <f t="shared" si="39"/>
        <v>72.2374123582692-282.215419286388i</v>
      </c>
      <c r="AG26" s="337">
        <f t="shared" si="40"/>
        <v>291.31389707188777</v>
      </c>
      <c r="AH26" s="730">
        <f t="shared" si="41"/>
        <v>-1.3202109992033058</v>
      </c>
      <c r="AI26" s="731" t="str">
        <f t="shared" si="14"/>
        <v>10000</v>
      </c>
      <c r="AJ26" s="733" t="str">
        <f t="shared" si="42"/>
        <v>1+19.5904280245933i</v>
      </c>
      <c r="AK26" s="734">
        <f t="shared" si="43"/>
        <v>19.615934089070816</v>
      </c>
      <c r="AL26" s="735">
        <f t="shared" si="44"/>
        <v>1.5197952556626502</v>
      </c>
      <c r="AM26" s="340" t="str">
        <f t="shared" si="45"/>
        <v>1+0.0332472073892467i</v>
      </c>
      <c r="AN26" s="734">
        <f t="shared" si="46"/>
        <v>1.0005525357517133</v>
      </c>
      <c r="AO26" s="735">
        <f t="shared" si="47"/>
        <v>3.3234965276947817E-2</v>
      </c>
      <c r="AP26" s="733" t="str">
        <f t="shared" si="48"/>
        <v>1+0.00161254436077325i</v>
      </c>
      <c r="AQ26" s="734">
        <f t="shared" si="49"/>
        <v>1.0000013001488126</v>
      </c>
      <c r="AR26" s="735">
        <f t="shared" si="50"/>
        <v>1.6125429630760983E-3</v>
      </c>
      <c r="AS26" s="732" t="str">
        <f t="shared" si="51"/>
        <v>18517.4296351836-5239.59849699348i</v>
      </c>
      <c r="AT26" s="337">
        <f t="shared" si="52"/>
        <v>19244.443164292181</v>
      </c>
      <c r="AU26" s="730">
        <f t="shared" si="53"/>
        <v>-0.27574672581793674</v>
      </c>
      <c r="AV26" s="732" t="str">
        <f t="shared" si="54"/>
        <v>-3237.60562259263-126336.716718736i</v>
      </c>
      <c r="AW26" s="337">
        <f t="shared" si="55"/>
        <v>102.03344294051251</v>
      </c>
      <c r="AX26" s="730">
        <f t="shared" si="56"/>
        <v>-91.467986112704693</v>
      </c>
      <c r="AY26" s="360">
        <f t="shared" si="57"/>
        <v>88.532013887295307</v>
      </c>
      <c r="BB26" s="337">
        <f t="shared" si="58"/>
        <v>45.686106987049335</v>
      </c>
      <c r="BC26" s="730">
        <f t="shared" si="59"/>
        <v>-15.799123603918868</v>
      </c>
      <c r="BD26" s="351"/>
      <c r="BE26" s="337">
        <f t="shared" si="19"/>
        <v>25.683737876940018</v>
      </c>
      <c r="BF26" s="730">
        <f t="shared" si="20"/>
        <v>0.14273513230655138</v>
      </c>
      <c r="BI26" s="351"/>
      <c r="BJ26" s="351"/>
      <c r="BL26" s="405">
        <f t="shared" si="21"/>
        <v>0</v>
      </c>
      <c r="BM26" s="405">
        <f t="shared" si="22"/>
        <v>0</v>
      </c>
      <c r="BN26" s="405">
        <f t="shared" si="23"/>
        <v>0</v>
      </c>
      <c r="BO26" s="405">
        <f t="shared" si="24"/>
        <v>0</v>
      </c>
    </row>
    <row r="27" spans="1:67" ht="13.5" thickBot="1" x14ac:dyDescent="0.25">
      <c r="A27" s="405" t="s">
        <v>1230</v>
      </c>
      <c r="B27" s="628">
        <v>4.0000000000000002E-4</v>
      </c>
      <c r="D27" s="345">
        <v>3.6307999999999998</v>
      </c>
      <c r="E27" s="340" t="str">
        <f t="shared" si="0"/>
        <v>0.0000602262915231322i</v>
      </c>
      <c r="F27" s="728" t="str">
        <f t="shared" si="25"/>
        <v>0.005-718.601252543787i</v>
      </c>
      <c r="G27" s="337" t="str">
        <f t="shared" si="26"/>
        <v>0.005-1123.96606167105i</v>
      </c>
      <c r="H27" s="338" t="str">
        <f t="shared" si="27"/>
        <v>1.21666523517431-0.00131701132218396i</v>
      </c>
      <c r="I27" s="338" t="str">
        <f t="shared" si="28"/>
        <v>1.22666523517431-0.00131701132218396i</v>
      </c>
      <c r="J27" s="337" t="str">
        <f t="shared" si="29"/>
        <v>1.22665714993769-0.0034109307849172i</v>
      </c>
      <c r="K27" s="338" t="str">
        <f t="shared" si="1"/>
        <v>0.999999999853526-0.000019010824344423i</v>
      </c>
      <c r="L27" s="732"/>
      <c r="M27" s="732" t="str">
        <f t="shared" si="2"/>
        <v>19.2391361442965+0.0525531196153621i</v>
      </c>
      <c r="N27" s="337">
        <f t="shared" si="3"/>
        <v>0</v>
      </c>
      <c r="O27" s="730" t="str">
        <f t="shared" si="4"/>
        <v>19.2391343033454+0.0197115359521932i</v>
      </c>
      <c r="P27" s="731" t="str">
        <f t="shared" si="5"/>
        <v>23.6000031650795-0.00115870182207953i</v>
      </c>
      <c r="Q27" s="729" t="str">
        <f t="shared" si="6"/>
        <v>23.4076118220461-0.00135581718160147i</v>
      </c>
      <c r="R27" s="730"/>
      <c r="S27" s="405" t="str">
        <f t="shared" si="30"/>
        <v>22.5427382110469+0.0271156825323771i</v>
      </c>
      <c r="T27" s="405" t="str">
        <f t="shared" si="31"/>
        <v>22.5426772280226-0.0113650508265874i</v>
      </c>
      <c r="U27" s="405" t="str">
        <f t="shared" si="32"/>
        <v>27.4268767231904-0.0435164233783424i</v>
      </c>
      <c r="V27" s="731" t="str">
        <f t="shared" si="7"/>
        <v>6000</v>
      </c>
      <c r="W27" s="733" t="str">
        <f>IMSUM(COMPLEX(1,0),IMDIV(COMPLEX(0,2*PI()*D27),COMPLEX(2*PI()*'Stability Calculations'!EA_Pole1,0)))</f>
        <v>1+23.0411191054407i</v>
      </c>
      <c r="X27" s="734">
        <f t="shared" si="33"/>
        <v>23.062809231121534</v>
      </c>
      <c r="Y27" s="735">
        <f t="shared" si="34"/>
        <v>1.5274228764270381</v>
      </c>
      <c r="Z27" s="340" t="str">
        <f>IMSUM(COMPLEX(1,0),IMDIV(COMPLEX(0,2*PI()*D27),COMPLEX(2*PI()*'Stability Calculations'!EA_Zero1,0)))</f>
        <v>1+0.228129892133076i</v>
      </c>
      <c r="AA27" s="734">
        <f t="shared" si="35"/>
        <v>1.0256915948201237</v>
      </c>
      <c r="AB27" s="735">
        <f t="shared" si="36"/>
        <v>0.22429151442927597</v>
      </c>
      <c r="AC27" s="733" t="str">
        <f>IMSUM(COMPLEX(1,0),IMDIV(COMPLEX(0,2*PI()*D27),COMPLEX(2*PI()*'Stability Calculations'!EA_Pole2,0)))</f>
        <v>1+0.0022980564597923i</v>
      </c>
      <c r="AD27" s="734">
        <f t="shared" si="37"/>
        <v>1.00000264052826</v>
      </c>
      <c r="AE27" s="735">
        <f t="shared" si="38"/>
        <v>2.2980524144110936E-3</v>
      </c>
      <c r="AF27" s="732" t="str">
        <f t="shared" si="39"/>
        <v>69.9829597734714-257.501853207902i</v>
      </c>
      <c r="AG27" s="337">
        <f t="shared" si="40"/>
        <v>266.84231123298127</v>
      </c>
      <c r="AH27" s="730">
        <f t="shared" si="41"/>
        <v>-1.305429414412173</v>
      </c>
      <c r="AI27" s="731" t="str">
        <f t="shared" si="14"/>
        <v>10000</v>
      </c>
      <c r="AJ27" s="733" t="str">
        <f t="shared" si="42"/>
        <v>1+21.4806650172721i</v>
      </c>
      <c r="AK27" s="734">
        <f t="shared" si="43"/>
        <v>21.503929166183962</v>
      </c>
      <c r="AL27" s="735">
        <f t="shared" si="44"/>
        <v>1.5242764202712118</v>
      </c>
      <c r="AM27" s="340" t="str">
        <f t="shared" si="45"/>
        <v>1+0.0364551567628655i</v>
      </c>
      <c r="AN27" s="734">
        <f t="shared" si="46"/>
        <v>1.0006642686009155</v>
      </c>
      <c r="AO27" s="735">
        <f t="shared" si="47"/>
        <v>3.6439020255322689E-2</v>
      </c>
      <c r="AP27" s="733" t="str">
        <f t="shared" si="48"/>
        <v>1+0.0017681351931554i</v>
      </c>
      <c r="AQ27" s="734">
        <f t="shared" si="49"/>
        <v>1.0000015631498089</v>
      </c>
      <c r="AR27" s="735">
        <f t="shared" si="50"/>
        <v>1.7681333505839567E-3</v>
      </c>
      <c r="AS27" s="732" t="str">
        <f t="shared" si="51"/>
        <v>18243.8607271888-5660.27917250684i</v>
      </c>
      <c r="AT27" s="337">
        <f t="shared" si="52"/>
        <v>19101.759461991362</v>
      </c>
      <c r="AU27" s="730">
        <f t="shared" si="53"/>
        <v>-0.30083980439872537</v>
      </c>
      <c r="AV27" s="732" t="str">
        <f t="shared" si="54"/>
        <v>-4133.0005204483-114829.239537999i</v>
      </c>
      <c r="AW27" s="337">
        <f t="shared" si="55"/>
        <v>101.20667226924763</v>
      </c>
      <c r="AX27" s="730">
        <f t="shared" si="56"/>
        <v>-92.06133307135913</v>
      </c>
      <c r="AY27" s="360">
        <f t="shared" si="57"/>
        <v>87.93866692864087</v>
      </c>
      <c r="BB27" s="337">
        <f t="shared" si="58"/>
        <v>45.621467438610217</v>
      </c>
      <c r="BC27" s="730">
        <f t="shared" si="59"/>
        <v>-17.236851101588183</v>
      </c>
      <c r="BD27" s="351"/>
      <c r="BE27" s="337">
        <f t="shared" si="19"/>
        <v>25.683743762739958</v>
      </c>
      <c r="BF27" s="730">
        <f t="shared" si="20"/>
        <v>0.15650725909019392</v>
      </c>
      <c r="BI27" s="351"/>
      <c r="BJ27" s="351"/>
      <c r="BL27" s="405">
        <f t="shared" si="21"/>
        <v>0</v>
      </c>
      <c r="BM27" s="405">
        <f t="shared" si="22"/>
        <v>0</v>
      </c>
      <c r="BN27" s="405">
        <f t="shared" si="23"/>
        <v>0</v>
      </c>
      <c r="BO27" s="405">
        <f t="shared" si="24"/>
        <v>0</v>
      </c>
    </row>
    <row r="28" spans="1:67" ht="13.5" thickBot="1" x14ac:dyDescent="0.25">
      <c r="A28" s="405" t="s">
        <v>1231</v>
      </c>
      <c r="B28" s="628">
        <v>25000</v>
      </c>
      <c r="D28" s="345">
        <v>3.9811000000000001</v>
      </c>
      <c r="E28" s="340" t="str">
        <f t="shared" si="0"/>
        <v>0.0000660369310297294i</v>
      </c>
      <c r="F28" s="728" t="str">
        <f t="shared" si="25"/>
        <v>0.005-655.370984837355i</v>
      </c>
      <c r="G28" s="337" t="str">
        <f t="shared" si="26"/>
        <v>0.005-1025.06743782253i</v>
      </c>
      <c r="H28" s="338" t="str">
        <f t="shared" si="27"/>
        <v>1.2166649456287-0.00144407638036723i</v>
      </c>
      <c r="I28" s="338" t="str">
        <f t="shared" si="28"/>
        <v>1.2266649456287-0.00144407638036723i</v>
      </c>
      <c r="J28" s="337" t="str">
        <f t="shared" si="29"/>
        <v>1.22665522501985-0.00374001188903441i</v>
      </c>
      <c r="K28" s="338" t="str">
        <f t="shared" si="1"/>
        <v>0.999999999823898-0.0000208449908553439i</v>
      </c>
      <c r="L28" s="732"/>
      <c r="M28" s="732" t="str">
        <f t="shared" si="2"/>
        <v>19.2391372991526+0.0576234521395828i</v>
      </c>
      <c r="N28" s="337">
        <f t="shared" si="3"/>
        <v>0</v>
      </c>
      <c r="O28" s="730" t="str">
        <f t="shared" si="4"/>
        <v>19.2391350858347+0.0216133077477523i</v>
      </c>
      <c r="P28" s="731" t="str">
        <f t="shared" si="5"/>
        <v>23.600003805276-0.00127049358289557i</v>
      </c>
      <c r="Q28" s="729" t="str">
        <f t="shared" si="6"/>
        <v>23.4076124544177-0.00148662666037308i</v>
      </c>
      <c r="R28" s="730"/>
      <c r="S28" s="405" t="str">
        <f t="shared" si="30"/>
        <v>22.5427470529706+0.0297317914832939i</v>
      </c>
      <c r="T28" s="405" t="str">
        <f t="shared" si="31"/>
        <v>22.5426737350294-0.0124615462280998i</v>
      </c>
      <c r="U28" s="405" t="str">
        <f t="shared" si="32"/>
        <v>27.4268629187307-0.0477148691551418i</v>
      </c>
      <c r="V28" s="731" t="str">
        <f t="shared" si="7"/>
        <v>6000</v>
      </c>
      <c r="W28" s="733" t="str">
        <f>IMSUM(COMPLEX(1,0),IMDIV(COMPLEX(0,2*PI()*D28),COMPLEX(2*PI()*'Stability Calculations'!EA_Pole1,0)))</f>
        <v>1+25.2641289166768i</v>
      </c>
      <c r="X28" s="734">
        <f t="shared" si="33"/>
        <v>25.283912077019743</v>
      </c>
      <c r="Y28" s="735">
        <f t="shared" si="34"/>
        <v>1.5312351666328359</v>
      </c>
      <c r="Z28" s="340" t="str">
        <f>IMSUM(COMPLEX(1,0),IMDIV(COMPLEX(0,2*PI()*D28),COMPLEX(2*PI()*'Stability Calculations'!EA_Zero1,0)))</f>
        <v>1+0.250139890264127i</v>
      </c>
      <c r="AA28" s="734">
        <f t="shared" si="35"/>
        <v>1.0308103437108833</v>
      </c>
      <c r="AB28" s="735">
        <f t="shared" si="36"/>
        <v>0.24511032021762408</v>
      </c>
      <c r="AC28" s="733" t="str">
        <f>IMSUM(COMPLEX(1,0),IMDIV(COMPLEX(0,2*PI()*D28),COMPLEX(2*PI()*'Stability Calculations'!EA_Pole2,0)))</f>
        <v>1+0.00251977321033358i</v>
      </c>
      <c r="AD28" s="734">
        <f t="shared" si="37"/>
        <v>1.0000031746234765</v>
      </c>
      <c r="AE28" s="735">
        <f t="shared" si="38"/>
        <v>2.5197678774579713E-3</v>
      </c>
      <c r="AF28" s="732" t="str">
        <f t="shared" si="39"/>
        <v>68.106624361989-234.943268800937i</v>
      </c>
      <c r="AG28" s="337">
        <f t="shared" si="40"/>
        <v>244.61572279159489</v>
      </c>
      <c r="AH28" s="730">
        <f t="shared" si="41"/>
        <v>-1.28864461429267</v>
      </c>
      <c r="AI28" s="731" t="str">
        <f t="shared" si="14"/>
        <v>10000</v>
      </c>
      <c r="AJ28" s="733" t="str">
        <f t="shared" si="42"/>
        <v>1+23.5531220392922i</v>
      </c>
      <c r="AK28" s="734">
        <f t="shared" si="43"/>
        <v>23.574341089366463</v>
      </c>
      <c r="AL28" s="735">
        <f t="shared" si="44"/>
        <v>1.5283645941507407</v>
      </c>
      <c r="AM28" s="340" t="str">
        <f t="shared" si="45"/>
        <v>1+0.0399723544642075i</v>
      </c>
      <c r="AN28" s="734">
        <f t="shared" si="46"/>
        <v>1.0007985756991324</v>
      </c>
      <c r="AO28" s="735">
        <f t="shared" si="47"/>
        <v>3.9951085719228834E-2</v>
      </c>
      <c r="AP28" s="733" t="str">
        <f t="shared" si="48"/>
        <v>1+0.00193872507917567i</v>
      </c>
      <c r="AQ28" s="734">
        <f t="shared" si="49"/>
        <v>1.0000018793257004</v>
      </c>
      <c r="AR28" s="735">
        <f t="shared" si="50"/>
        <v>1.9387226501816205E-3</v>
      </c>
      <c r="AS28" s="732" t="str">
        <f t="shared" si="51"/>
        <v>17925.4932958574-6098.0780593003i</v>
      </c>
      <c r="AT28" s="337">
        <f t="shared" si="52"/>
        <v>18934.356760057846</v>
      </c>
      <c r="AU28" s="730">
        <f t="shared" si="53"/>
        <v>-0.32790903360629586</v>
      </c>
      <c r="AV28" s="732" t="str">
        <f t="shared" si="54"/>
        <v>-4833.49272488798-104297.656271253i</v>
      </c>
      <c r="AW28" s="337">
        <f t="shared" si="55"/>
        <v>100.37480831379419</v>
      </c>
      <c r="AX28" s="730">
        <f t="shared" si="56"/>
        <v>-92.653374373419894</v>
      </c>
      <c r="AY28" s="360">
        <f t="shared" si="57"/>
        <v>87.346625626580106</v>
      </c>
      <c r="BB28" s="337">
        <f t="shared" si="58"/>
        <v>45.545011116200513</v>
      </c>
      <c r="BC28" s="730">
        <f t="shared" si="59"/>
        <v>-18.787803689854229</v>
      </c>
      <c r="BD28" s="351"/>
      <c r="BE28" s="337">
        <f t="shared" si="19"/>
        <v>25.683750838553614</v>
      </c>
      <c r="BF28" s="730">
        <f t="shared" si="20"/>
        <v>0.17160700528142045</v>
      </c>
      <c r="BI28" s="351"/>
      <c r="BJ28" s="351"/>
      <c r="BL28" s="405">
        <f t="shared" si="21"/>
        <v>0</v>
      </c>
      <c r="BM28" s="405">
        <f t="shared" si="22"/>
        <v>0</v>
      </c>
      <c r="BN28" s="405">
        <f t="shared" si="23"/>
        <v>0</v>
      </c>
      <c r="BO28" s="405">
        <f t="shared" si="24"/>
        <v>0</v>
      </c>
    </row>
    <row r="29" spans="1:67" ht="13.5" thickBot="1" x14ac:dyDescent="0.25">
      <c r="A29" s="405" t="s">
        <v>1229</v>
      </c>
      <c r="B29" s="628">
        <f>Rs * B27 *B28</f>
        <v>2.5000000000000005E-2</v>
      </c>
      <c r="D29" s="345">
        <v>4.3651999999999997</v>
      </c>
      <c r="E29" s="340" t="str">
        <f t="shared" si="0"/>
        <v>0.0000724082317276569i</v>
      </c>
      <c r="F29" s="728" t="str">
        <f t="shared" si="25"/>
        <v>0.005-597.703983262162i</v>
      </c>
      <c r="G29" s="337" t="str">
        <f t="shared" si="26"/>
        <v>0.005-934.870332794666i</v>
      </c>
      <c r="H29" s="338" t="str">
        <f t="shared" si="27"/>
        <v>1.21666459751443-0.00158340167404648i</v>
      </c>
      <c r="I29" s="338" t="str">
        <f t="shared" si="28"/>
        <v>1.22666459751443-0.00158340167404648i</v>
      </c>
      <c r="J29" s="337" t="str">
        <f t="shared" si="29"/>
        <v>1.22665291074053-0.00410084373477097i</v>
      </c>
      <c r="K29" s="338" t="str">
        <f t="shared" si="1"/>
        <v>0.999999999788278-0.0000228561337524169i</v>
      </c>
      <c r="L29" s="732"/>
      <c r="M29" s="732" t="str">
        <f t="shared" si="2"/>
        <v>19.2391386876111+0.0631830150636155i</v>
      </c>
      <c r="N29" s="337">
        <f t="shared" si="3"/>
        <v>0</v>
      </c>
      <c r="O29" s="730" t="str">
        <f t="shared" si="4"/>
        <v>19.2391360266046+0.0236985792516593i</v>
      </c>
      <c r="P29" s="731" t="str">
        <f t="shared" si="5"/>
        <v>23.6000045749704-0.00139307201233317i</v>
      </c>
      <c r="Q29" s="729" t="str">
        <f t="shared" si="6"/>
        <v>23.4076132147043-0.0016300578048498i</v>
      </c>
      <c r="R29" s="730"/>
      <c r="S29" s="405" t="str">
        <f t="shared" si="30"/>
        <v>22.5427576834138+0.0326003206088575i</v>
      </c>
      <c r="T29" s="405" t="str">
        <f t="shared" si="31"/>
        <v>22.5426695354832-0.0136638391607289i</v>
      </c>
      <c r="U29" s="405" t="str">
        <f t="shared" si="32"/>
        <v>27.4268463219436-0.0523184100529507i</v>
      </c>
      <c r="V29" s="731" t="str">
        <f t="shared" si="7"/>
        <v>6000</v>
      </c>
      <c r="W29" s="733" t="str">
        <f>IMSUM(COMPLEX(1,0),IMDIV(COMPLEX(0,2*PI()*D29),COMPLEX(2*PI()*'Stability Calculations'!EA_Pole1,0)))</f>
        <v>1+27.7016341079293i</v>
      </c>
      <c r="X29" s="734">
        <f t="shared" si="33"/>
        <v>27.719677708256135</v>
      </c>
      <c r="Y29" s="735">
        <f t="shared" si="34"/>
        <v>1.5347130416978869</v>
      </c>
      <c r="Z29" s="340" t="str">
        <f>IMSUM(COMPLEX(1,0),IMDIV(COMPLEX(0,2*PI()*D29),COMPLEX(2*PI()*'Stability Calculations'!EA_Zero1,0)))</f>
        <v>1+0.274273605029003i</v>
      </c>
      <c r="AA29" s="734">
        <f t="shared" si="35"/>
        <v>1.0369310538389742</v>
      </c>
      <c r="AB29" s="735">
        <f t="shared" si="36"/>
        <v>0.26769076194620528</v>
      </c>
      <c r="AC29" s="733" t="str">
        <f>IMSUM(COMPLEX(1,0),IMDIV(COMPLEX(0,2*PI()*D29),COMPLEX(2*PI()*'Stability Calculations'!EA_Pole2,0)))</f>
        <v>1+0.00276288312721311i</v>
      </c>
      <c r="AD29" s="734">
        <f t="shared" si="37"/>
        <v>1.0000038167543035</v>
      </c>
      <c r="AE29" s="735">
        <f t="shared" si="38"/>
        <v>2.7628760970678486E-3</v>
      </c>
      <c r="AF29" s="732" t="str">
        <f t="shared" si="39"/>
        <v>66.5450233314294-214.353992025536i</v>
      </c>
      <c r="AG29" s="337">
        <f t="shared" si="40"/>
        <v>224.44570396303877</v>
      </c>
      <c r="AH29" s="730">
        <f t="shared" si="41"/>
        <v>-1.269785155848749</v>
      </c>
      <c r="AI29" s="731" t="str">
        <f t="shared" si="14"/>
        <v>10000</v>
      </c>
      <c r="AJ29" s="733" t="str">
        <f t="shared" si="42"/>
        <v>1+25.82554779481i</v>
      </c>
      <c r="AK29" s="734">
        <f t="shared" si="43"/>
        <v>25.844901216720015</v>
      </c>
      <c r="AL29" s="735">
        <f t="shared" si="44"/>
        <v>1.5320943145022952</v>
      </c>
      <c r="AM29" s="340" t="str">
        <f t="shared" si="45"/>
        <v>1+0.0438289220836347i</v>
      </c>
      <c r="AN29" s="734">
        <f t="shared" si="46"/>
        <v>1.0009600263801814</v>
      </c>
      <c r="AO29" s="735">
        <f t="shared" si="47"/>
        <v>4.3800889640383756E-2</v>
      </c>
      <c r="AP29" s="733" t="str">
        <f t="shared" si="48"/>
        <v>1+0.00212577496561694i</v>
      </c>
      <c r="AQ29" s="734">
        <f t="shared" si="49"/>
        <v>1.0000022594570497</v>
      </c>
      <c r="AR29" s="735">
        <f t="shared" si="50"/>
        <v>2.125771763557183E-3</v>
      </c>
      <c r="AS29" s="732" t="str">
        <f t="shared" si="51"/>
        <v>17557.1348626931-6549.02379496887i</v>
      </c>
      <c r="AT29" s="337">
        <f t="shared" si="52"/>
        <v>18738.801916180819</v>
      </c>
      <c r="AU29" s="730">
        <f t="shared" si="53"/>
        <v>-0.35702671831951865</v>
      </c>
      <c r="AV29" s="732" t="str">
        <f t="shared" si="54"/>
        <v>-5365.48772406132-94659.0174680688i</v>
      </c>
      <c r="AW29" s="337">
        <f t="shared" si="55"/>
        <v>99.537170836896649</v>
      </c>
      <c r="AX29" s="730">
        <f t="shared" si="56"/>
        <v>-93.244183267499835</v>
      </c>
      <c r="AY29" s="360">
        <f t="shared" si="57"/>
        <v>86.755816732500165</v>
      </c>
      <c r="BB29" s="337">
        <f t="shared" si="58"/>
        <v>45.454836407849697</v>
      </c>
      <c r="BC29" s="730">
        <f t="shared" si="59"/>
        <v>-20.456124133114489</v>
      </c>
      <c r="BD29" s="351"/>
      <c r="BE29" s="337">
        <f t="shared" si="19"/>
        <v>25.683759345637974</v>
      </c>
      <c r="BF29" s="730">
        <f t="shared" si="20"/>
        <v>0.18816367740317808</v>
      </c>
      <c r="BI29" s="351"/>
      <c r="BJ29" s="351"/>
      <c r="BL29" s="405">
        <f t="shared" si="21"/>
        <v>0</v>
      </c>
      <c r="BM29" s="405">
        <f t="shared" si="22"/>
        <v>0</v>
      </c>
      <c r="BN29" s="405">
        <f t="shared" si="23"/>
        <v>0</v>
      </c>
      <c r="BO29" s="405">
        <f t="shared" si="24"/>
        <v>0</v>
      </c>
    </row>
    <row r="30" spans="1:67" ht="13.5" thickBot="1" x14ac:dyDescent="0.25">
      <c r="A30" s="405" t="s">
        <v>1227</v>
      </c>
      <c r="B30" s="405">
        <f>IF(Vin&gt;=Vout,MAX(Vout,Vin/2),MAX(Vout-Vin,5))</f>
        <v>14.6</v>
      </c>
      <c r="D30" s="345">
        <v>4.7862999999999998</v>
      </c>
      <c r="E30" s="340" t="str">
        <f t="shared" si="0"/>
        <v>0.0000793932739663896i</v>
      </c>
      <c r="F30" s="728" t="str">
        <f t="shared" si="25"/>
        <v>0.005-545.117821226416i</v>
      </c>
      <c r="G30" s="337" t="str">
        <f t="shared" si="26"/>
        <v>0.005-852.62018191824i</v>
      </c>
      <c r="H30" s="338" t="str">
        <f t="shared" si="27"/>
        <v>1.21666417904784-0.00173614790047127i</v>
      </c>
      <c r="I30" s="338" t="str">
        <f t="shared" si="28"/>
        <v>1.22666417904784-0.00173614790047127i</v>
      </c>
      <c r="J30" s="337" t="str">
        <f t="shared" si="29"/>
        <v>1.22665012876572-0.00449643171044501i</v>
      </c>
      <c r="K30" s="338" t="str">
        <f t="shared" si="1"/>
        <v>0.999999999745459-0.0000250610081964614i</v>
      </c>
      <c r="L30" s="732"/>
      <c r="M30" s="732" t="str">
        <f t="shared" si="2"/>
        <v>19.2391403566722+0.0692781262133292i</v>
      </c>
      <c r="N30" s="337">
        <f t="shared" si="3"/>
        <v>0</v>
      </c>
      <c r="O30" s="730" t="str">
        <f t="shared" si="4"/>
        <v>19.2391371575007+0.025984723273162i</v>
      </c>
      <c r="P30" s="731" t="str">
        <f t="shared" si="5"/>
        <v>23.6000055002173-0.0015274583412149i</v>
      </c>
      <c r="Q30" s="729" t="str">
        <f t="shared" si="6"/>
        <v>23.4076141286423-0.00178730557394653i</v>
      </c>
      <c r="R30" s="730"/>
      <c r="S30" s="405" t="str">
        <f t="shared" si="30"/>
        <v>22.5427704622124+0.0357451661301128i</v>
      </c>
      <c r="T30" s="405" t="str">
        <f t="shared" si="31"/>
        <v>22.5426644872311-0.0149819453479521i</v>
      </c>
      <c r="U30" s="405" t="str">
        <f t="shared" si="32"/>
        <v>27.4268263710352-0.0573653958578405i</v>
      </c>
      <c r="V30" s="731" t="str">
        <f t="shared" si="7"/>
        <v>6000</v>
      </c>
      <c r="W30" s="733" t="str">
        <f>IMSUM(COMPLEX(1,0),IMDIV(COMPLEX(0,2*PI()*D30),COMPLEX(2*PI()*'Stability Calculations'!EA_Pole1,0)))</f>
        <v>1+30.3739419341112i</v>
      </c>
      <c r="X30" s="734">
        <f t="shared" si="33"/>
        <v>30.390398954550744</v>
      </c>
      <c r="Y30" s="735">
        <f t="shared" si="34"/>
        <v>1.5378852568415875</v>
      </c>
      <c r="Z30" s="340" t="str">
        <f>IMSUM(COMPLEX(1,0),IMDIV(COMPLEX(0,2*PI()*D30),COMPLEX(2*PI()*'Stability Calculations'!EA_Zero1,0)))</f>
        <v>1+0.300732098357537i</v>
      </c>
      <c r="AA30" s="734">
        <f t="shared" si="35"/>
        <v>1.0442412532468381</v>
      </c>
      <c r="AB30" s="735">
        <f t="shared" si="36"/>
        <v>0.29212830893943093</v>
      </c>
      <c r="AC30" s="733" t="str">
        <f>IMSUM(COMPLEX(1,0),IMDIV(COMPLEX(0,2*PI()*D30),COMPLEX(2*PI()*'Stability Calculations'!EA_Pole2,0)))</f>
        <v>1+0.00302941159895999i</v>
      </c>
      <c r="AD30" s="734">
        <f t="shared" si="37"/>
        <v>1.0000045886567901</v>
      </c>
      <c r="AE30" s="735">
        <f t="shared" si="38"/>
        <v>3.0294023317030214E-3</v>
      </c>
      <c r="AF30" s="732" t="str">
        <f t="shared" si="39"/>
        <v>65.245648662816-195.56781593897i</v>
      </c>
      <c r="AG30" s="337">
        <f t="shared" si="40"/>
        <v>206.16441327389768</v>
      </c>
      <c r="AH30" s="730">
        <f t="shared" si="41"/>
        <v>-1.2487863502338599</v>
      </c>
      <c r="AI30" s="731" t="str">
        <f t="shared" si="14"/>
        <v>10000</v>
      </c>
      <c r="AJ30" s="733" t="str">
        <f t="shared" si="42"/>
        <v>1+28.3168742349261i</v>
      </c>
      <c r="AK30" s="734">
        <f t="shared" si="43"/>
        <v>28.334526049267556</v>
      </c>
      <c r="AL30" s="735">
        <f t="shared" si="44"/>
        <v>1.5354963641385908</v>
      </c>
      <c r="AM30" s="340" t="str">
        <f t="shared" si="45"/>
        <v>1+0.0480569893175344i</v>
      </c>
      <c r="AN30" s="734">
        <f t="shared" si="46"/>
        <v>1.001154071170999</v>
      </c>
      <c r="AO30" s="735">
        <f t="shared" si="47"/>
        <v>4.8020045037812584E-2</v>
      </c>
      <c r="AP30" s="733" t="str">
        <f t="shared" si="48"/>
        <v>1+0.00233084319571437i</v>
      </c>
      <c r="AQ30" s="734">
        <f t="shared" si="49"/>
        <v>1.0000027164113121</v>
      </c>
      <c r="AR30" s="735">
        <f t="shared" si="50"/>
        <v>2.3308389747031806E-3</v>
      </c>
      <c r="AS30" s="732" t="str">
        <f t="shared" si="51"/>
        <v>17133.8871397727-7007.68537228847i</v>
      </c>
      <c r="AT30" s="337">
        <f t="shared" si="52"/>
        <v>18511.55700624489</v>
      </c>
      <c r="AU30" s="730">
        <f t="shared" si="53"/>
        <v>-0.38823711619708295</v>
      </c>
      <c r="AV30" s="732" t="str">
        <f t="shared" si="54"/>
        <v>-5750.56592592435-85839.9868487052i</v>
      </c>
      <c r="AW30" s="337">
        <f t="shared" si="55"/>
        <v>98.693239887412091</v>
      </c>
      <c r="AX30" s="730">
        <f t="shared" si="56"/>
        <v>-93.832614589922699</v>
      </c>
      <c r="AY30" s="360">
        <f t="shared" si="57"/>
        <v>86.167385410077301</v>
      </c>
      <c r="BB30" s="337">
        <f t="shared" si="58"/>
        <v>45.348858975578999</v>
      </c>
      <c r="BC30" s="730">
        <f t="shared" si="59"/>
        <v>-22.244348208422988</v>
      </c>
      <c r="BD30" s="351"/>
      <c r="BE30" s="337">
        <f t="shared" si="19"/>
        <v>25.683769571951341</v>
      </c>
      <c r="BF30" s="730">
        <f t="shared" si="20"/>
        <v>0.20631519990237013</v>
      </c>
      <c r="BI30" s="351"/>
      <c r="BJ30" s="351"/>
      <c r="BL30" s="405">
        <f t="shared" si="21"/>
        <v>0</v>
      </c>
      <c r="BM30" s="405">
        <f t="shared" si="22"/>
        <v>0</v>
      </c>
      <c r="BN30" s="405">
        <f t="shared" si="23"/>
        <v>0</v>
      </c>
      <c r="BO30" s="405">
        <f t="shared" si="24"/>
        <v>0</v>
      </c>
    </row>
    <row r="31" spans="1:67" ht="13.5" thickBot="1" x14ac:dyDescent="0.25">
      <c r="A31" s="405" t="s">
        <v>484</v>
      </c>
      <c r="B31" s="405">
        <f>IF(Vin&gt;=Vout,B29*(Vin-Vout)/L,B29*Vin/L)</f>
        <v>85227.27272727275</v>
      </c>
      <c r="D31" s="345">
        <v>5.2481</v>
      </c>
      <c r="E31" s="340" t="str">
        <f t="shared" si="0"/>
        <v>0.0000870534319000083i</v>
      </c>
      <c r="F31" s="728" t="str">
        <f t="shared" si="25"/>
        <v>0.005-497.150859879955i</v>
      </c>
      <c r="G31" s="337" t="str">
        <f t="shared" si="26"/>
        <v>0.005-777.59493468403i</v>
      </c>
      <c r="H31" s="338" t="str">
        <f t="shared" si="27"/>
        <v>1.21666367586217-0.00190365710729985i</v>
      </c>
      <c r="I31" s="338" t="str">
        <f t="shared" si="28"/>
        <v>1.22666367586217-0.00190365710729985i</v>
      </c>
      <c r="J31" s="337" t="str">
        <f t="shared" si="29"/>
        <v>1.22664678359083-0.00493025065063461i</v>
      </c>
      <c r="K31" s="338" t="str">
        <f t="shared" si="1"/>
        <v>0.999999999693972-0.0000274789873421743i</v>
      </c>
      <c r="L31" s="732"/>
      <c r="M31" s="732" t="str">
        <f t="shared" si="2"/>
        <v>19.2391423636385+0.0759623406125479i</v>
      </c>
      <c r="N31" s="337">
        <f t="shared" si="3"/>
        <v>0</v>
      </c>
      <c r="O31" s="730" t="str">
        <f t="shared" si="4"/>
        <v>19.2391385173493+0.0284918271365183i</v>
      </c>
      <c r="P31" s="731" t="str">
        <f t="shared" si="5"/>
        <v>23.6000066127825-0.00167483336956771i</v>
      </c>
      <c r="Q31" s="729" t="str">
        <f t="shared" si="6"/>
        <v>23.407615227609-0.0019597516409329i</v>
      </c>
      <c r="R31" s="730"/>
      <c r="S31" s="405" t="str">
        <f t="shared" si="30"/>
        <v>22.5427858280824+0.0391939576764673i</v>
      </c>
      <c r="T31" s="405" t="str">
        <f t="shared" si="31"/>
        <v>22.5426584169592-0.0164274453215099i</v>
      </c>
      <c r="U31" s="405" t="str">
        <f t="shared" si="32"/>
        <v>27.42680238106-0.062900167922771i</v>
      </c>
      <c r="V31" s="731" t="str">
        <f t="shared" si="7"/>
        <v>6000</v>
      </c>
      <c r="W31" s="733" t="str">
        <f>IMSUM(COMPLEX(1,0),IMDIV(COMPLEX(0,2*PI()*D31),COMPLEX(2*PI()*'Stability Calculations'!EA_Pole1,0)))</f>
        <v>1+33.3045326587153i</v>
      </c>
      <c r="X31" s="734">
        <f t="shared" si="33"/>
        <v>33.319542247987656</v>
      </c>
      <c r="Y31" s="735">
        <f t="shared" si="34"/>
        <v>1.540779402263452</v>
      </c>
      <c r="Z31" s="340" t="str">
        <f>IMSUM(COMPLEX(1,0),IMDIV(COMPLEX(0,2*PI()*D31),COMPLEX(2*PI()*'Stability Calculations'!EA_Zero1,0)))</f>
        <v>1+0.329747848106092i</v>
      </c>
      <c r="AA31" s="734">
        <f t="shared" si="35"/>
        <v>1.0529642174977258</v>
      </c>
      <c r="AB31" s="735">
        <f t="shared" si="36"/>
        <v>0.31852015415130946</v>
      </c>
      <c r="AC31" s="733" t="str">
        <f>IMSUM(COMPLEX(1,0),IMDIV(COMPLEX(0,2*PI()*D31),COMPLEX(2*PI()*'Stability Calculations'!EA_Pole2,0)))</f>
        <v>1+0.00332170048106092i</v>
      </c>
      <c r="AD31" s="734">
        <f t="shared" si="37"/>
        <v>1.0000055168318251</v>
      </c>
      <c r="AE31" s="735">
        <f t="shared" si="38"/>
        <v>3.3216882642661469E-3</v>
      </c>
      <c r="AF31" s="732" t="str">
        <f t="shared" si="39"/>
        <v>64.1642296321878-178.424405435421i</v>
      </c>
      <c r="AG31" s="337">
        <f t="shared" si="40"/>
        <v>189.61096175927068</v>
      </c>
      <c r="AH31" s="730">
        <f t="shared" si="41"/>
        <v>-1.2255809363764099</v>
      </c>
      <c r="AI31" s="731" t="str">
        <f t="shared" si="14"/>
        <v>10000</v>
      </c>
      <c r="AJ31" s="733" t="str">
        <f t="shared" si="42"/>
        <v>1+31.0489914281001i</v>
      </c>
      <c r="AK31" s="734">
        <f t="shared" si="43"/>
        <v>31.065090836857912</v>
      </c>
      <c r="AL31" s="735">
        <f t="shared" si="44"/>
        <v>1.53860029072756</v>
      </c>
      <c r="AM31" s="340" t="str">
        <f t="shared" si="45"/>
        <v>1+0.0526937061273535i</v>
      </c>
      <c r="AN31" s="734">
        <f t="shared" si="46"/>
        <v>1.0013873509613729</v>
      </c>
      <c r="AO31" s="735">
        <f t="shared" si="47"/>
        <v>5.2645016966778181E-2</v>
      </c>
      <c r="AP31" s="733" t="str">
        <f t="shared" si="48"/>
        <v>1+0.00255573160383356i</v>
      </c>
      <c r="AQ31" s="734">
        <f t="shared" si="49"/>
        <v>1.0000032658766824</v>
      </c>
      <c r="AR31" s="735">
        <f t="shared" si="50"/>
        <v>2.55572603937678E-3</v>
      </c>
      <c r="AS31" s="732" t="str">
        <f t="shared" si="51"/>
        <v>16651.2123059767-7467.35393970476i</v>
      </c>
      <c r="AT31" s="337">
        <f t="shared" si="52"/>
        <v>18248.951918385177</v>
      </c>
      <c r="AU31" s="730">
        <f t="shared" si="53"/>
        <v>-0.42157008653242911</v>
      </c>
      <c r="AV31" s="732" t="str">
        <f t="shared" si="54"/>
        <v>-6006.72064802405-77770.5332243822i</v>
      </c>
      <c r="AW31" s="337">
        <f t="shared" si="55"/>
        <v>97.842132273224038</v>
      </c>
      <c r="AX31" s="730">
        <f t="shared" si="56"/>
        <v>-94.416554811224145</v>
      </c>
      <c r="AY31" s="360">
        <f t="shared" si="57"/>
        <v>85.583445188775855</v>
      </c>
      <c r="BB31" s="337">
        <f t="shared" si="58"/>
        <v>45.224758538444306</v>
      </c>
      <c r="BC31" s="730">
        <f t="shared" si="59"/>
        <v>-24.154186727273093</v>
      </c>
      <c r="BD31" s="351"/>
      <c r="BE31" s="337">
        <f t="shared" si="19"/>
        <v>25.683781868574272</v>
      </c>
      <c r="BF31" s="730">
        <f t="shared" si="20"/>
        <v>0.2262210456425246</v>
      </c>
      <c r="BI31" s="351"/>
      <c r="BJ31" s="351"/>
      <c r="BL31" s="405">
        <f t="shared" si="21"/>
        <v>0</v>
      </c>
      <c r="BM31" s="405">
        <f t="shared" si="22"/>
        <v>0</v>
      </c>
      <c r="BN31" s="405">
        <f t="shared" si="23"/>
        <v>0</v>
      </c>
      <c r="BO31" s="405">
        <f t="shared" si="24"/>
        <v>0</v>
      </c>
    </row>
    <row r="32" spans="1:67" ht="13.5" thickBot="1" x14ac:dyDescent="0.25">
      <c r="A32" s="405" t="s">
        <v>482</v>
      </c>
      <c r="B32" s="405">
        <f>IF(Vin&gt;=Vout,B29*B30/L,B29*(Vout-Vin)/L)</f>
        <v>138257.57575757577</v>
      </c>
      <c r="D32" s="345">
        <v>5.7544000000000004</v>
      </c>
      <c r="E32" s="340" t="str">
        <f t="shared" si="0"/>
        <v>0.0000954517384435143i</v>
      </c>
      <c r="F32" s="728" t="str">
        <f t="shared" si="25"/>
        <v>0.005-453.409117846515i</v>
      </c>
      <c r="G32" s="337" t="str">
        <f t="shared" si="26"/>
        <v>0.005-709.178363811219i</v>
      </c>
      <c r="H32" s="338" t="str">
        <f t="shared" si="27"/>
        <v>1.2166630709646-0.00208730759505019i</v>
      </c>
      <c r="I32" s="338" t="str">
        <f t="shared" si="28"/>
        <v>1.2266630709646-0.00208730759505019i</v>
      </c>
      <c r="J32" s="337" t="str">
        <f t="shared" si="29"/>
        <v>1.22664276225653-0.00540586898529668i</v>
      </c>
      <c r="K32" s="338" t="str">
        <f t="shared" si="1"/>
        <v>0.999999999632076-0.0000301299679430285i</v>
      </c>
      <c r="L32" s="732"/>
      <c r="M32" s="732" t="str">
        <f t="shared" si="2"/>
        <v>19.2391447762873+0.0832906608006666i</v>
      </c>
      <c r="N32" s="337">
        <f t="shared" si="3"/>
        <v>0</v>
      </c>
      <c r="O32" s="730" t="str">
        <f t="shared" si="4"/>
        <v>19.2391401520738+0.0312405210963607i</v>
      </c>
      <c r="P32" s="731" t="str">
        <f t="shared" si="5"/>
        <v>23.6000079502384-0.0018364098150633i</v>
      </c>
      <c r="Q32" s="729" t="str">
        <f t="shared" si="6"/>
        <v>23.4076165487177-0.00214881502602685i</v>
      </c>
      <c r="R32" s="730"/>
      <c r="S32" s="405" t="str">
        <f t="shared" si="30"/>
        <v>22.5428042999279+0.0429750708000878i</v>
      </c>
      <c r="T32" s="405" t="str">
        <f t="shared" si="31"/>
        <v>22.5426511196744-0.0180122322751304i</v>
      </c>
      <c r="U32" s="405" t="str">
        <f t="shared" si="32"/>
        <v>27.4267735418777-0.0689682647294526i</v>
      </c>
      <c r="V32" s="731" t="str">
        <f t="shared" si="7"/>
        <v>6000</v>
      </c>
      <c r="W32" s="733" t="str">
        <f>IMSUM(COMPLEX(1,0),IMDIV(COMPLEX(0,2*PI()*D32),COMPLEX(2*PI()*'Stability Calculations'!EA_Pole1,0)))</f>
        <v>1+36.5175211469505i</v>
      </c>
      <c r="X32" s="734">
        <f t="shared" si="33"/>
        <v>36.531210638548195</v>
      </c>
      <c r="Y32" s="735">
        <f t="shared" si="34"/>
        <v>1.5434190537009351</v>
      </c>
      <c r="Z32" s="340" t="str">
        <f>IMSUM(COMPLEX(1,0),IMDIV(COMPLEX(0,2*PI()*D32),COMPLEX(2*PI()*'Stability Calculations'!EA_Zero1,0)))</f>
        <v>1+0.361559615316342i</v>
      </c>
      <c r="AA32" s="734">
        <f t="shared" si="35"/>
        <v>1.0633557050336926</v>
      </c>
      <c r="AB32" s="735">
        <f t="shared" si="36"/>
        <v>0.34693557306899775</v>
      </c>
      <c r="AC32" s="733" t="str">
        <f>IMSUM(COMPLEX(1,0),IMDIV(COMPLEX(0,2*PI()*D32),COMPLEX(2*PI()*'Stability Calculations'!EA_Pole2,0)))</f>
        <v>1+0.00364215492239419i</v>
      </c>
      <c r="AD32" s="734">
        <f t="shared" si="37"/>
        <v>1.0000066326242434</v>
      </c>
      <c r="AE32" s="735">
        <f t="shared" si="38"/>
        <v>3.6421388177722697E-3</v>
      </c>
      <c r="AF32" s="732" t="str">
        <f t="shared" si="39"/>
        <v>63.2644997261784-162.786431139169i</v>
      </c>
      <c r="AG32" s="337">
        <f t="shared" si="40"/>
        <v>174.64769992367789</v>
      </c>
      <c r="AH32" s="730">
        <f t="shared" si="41"/>
        <v>-1.2001256194497096</v>
      </c>
      <c r="AI32" s="731" t="str">
        <f t="shared" si="14"/>
        <v>10000</v>
      </c>
      <c r="AJ32" s="733" t="str">
        <f t="shared" si="42"/>
        <v>1+34.0443810662638i</v>
      </c>
      <c r="AK32" s="734">
        <f t="shared" si="43"/>
        <v>34.059064611127845</v>
      </c>
      <c r="AL32" s="735">
        <f t="shared" si="44"/>
        <v>1.5414313473721941</v>
      </c>
      <c r="AM32" s="340" t="str">
        <f t="shared" si="45"/>
        <v>1+0.0577772265275514i</v>
      </c>
      <c r="AN32" s="734">
        <f t="shared" si="46"/>
        <v>1.0016677133187513</v>
      </c>
      <c r="AO32" s="735">
        <f t="shared" si="47"/>
        <v>5.77130641928221E-2</v>
      </c>
      <c r="AP32" s="733" t="str">
        <f t="shared" si="48"/>
        <v>1+0.00280229072256623i</v>
      </c>
      <c r="AQ32" s="734">
        <f t="shared" si="49"/>
        <v>1.0000039264089386</v>
      </c>
      <c r="AR32" s="735">
        <f t="shared" si="50"/>
        <v>2.8022833872934968E-3</v>
      </c>
      <c r="AS32" s="732" t="str">
        <f t="shared" si="51"/>
        <v>16105.7877435712-7919.55529246788i</v>
      </c>
      <c r="AT32" s="337">
        <f t="shared" si="52"/>
        <v>17947.583538499668</v>
      </c>
      <c r="AU32" s="730">
        <f t="shared" si="53"/>
        <v>-0.45700256241841786</v>
      </c>
      <c r="AV32" s="732" t="str">
        <f t="shared" si="54"/>
        <v>-6148.88613491641-70392.008269453i</v>
      </c>
      <c r="AW32" s="337">
        <f t="shared" si="55"/>
        <v>96.983479645797829</v>
      </c>
      <c r="AX32" s="730">
        <f t="shared" si="56"/>
        <v>-94.992231913643167</v>
      </c>
      <c r="AY32" s="360">
        <f t="shared" si="57"/>
        <v>85.007768086356833</v>
      </c>
      <c r="BB32" s="337">
        <f t="shared" si="58"/>
        <v>45.080119669382611</v>
      </c>
      <c r="BC32" s="730">
        <f t="shared" si="59"/>
        <v>-26.184318053239313</v>
      </c>
      <c r="BD32" s="351"/>
      <c r="BE32" s="337">
        <f t="shared" si="19"/>
        <v>25.683796650756726</v>
      </c>
      <c r="BF32" s="730">
        <f t="shared" si="20"/>
        <v>0.2480449925743089</v>
      </c>
      <c r="BI32" s="351"/>
      <c r="BJ32" s="351"/>
      <c r="BL32" s="405">
        <f t="shared" si="21"/>
        <v>0</v>
      </c>
      <c r="BM32" s="405">
        <f t="shared" si="22"/>
        <v>0</v>
      </c>
      <c r="BN32" s="405">
        <f t="shared" si="23"/>
        <v>0</v>
      </c>
      <c r="BO32" s="405">
        <f t="shared" si="24"/>
        <v>0</v>
      </c>
    </row>
    <row r="33" spans="1:67" ht="13.5" thickBot="1" x14ac:dyDescent="0.25">
      <c r="A33" s="405" t="s">
        <v>486</v>
      </c>
      <c r="B33" s="405">
        <f>1+B32/B31</f>
        <v>2.6222222222222218</v>
      </c>
      <c r="D33" s="345">
        <v>6.3095999999999997</v>
      </c>
      <c r="E33" s="340" t="str">
        <f t="shared" si="0"/>
        <v>0.000104661179077436i</v>
      </c>
      <c r="F33" s="728" t="str">
        <f t="shared" si="25"/>
        <v>0.005-413.512334812982i</v>
      </c>
      <c r="G33" s="337" t="str">
        <f t="shared" si="26"/>
        <v>0.005-646.775703169024i</v>
      </c>
      <c r="H33" s="338" t="str">
        <f t="shared" si="27"/>
        <v>1.2166623436491-0.00228869527602597i</v>
      </c>
      <c r="I33" s="338" t="str">
        <f t="shared" si="28"/>
        <v>1.2266623436491-0.00228869527602597i</v>
      </c>
      <c r="J33" s="337" t="str">
        <f t="shared" si="29"/>
        <v>1.22663792712254-0.00592741833137701i</v>
      </c>
      <c r="K33" s="338" t="str">
        <f t="shared" si="1"/>
        <v>0.999999999557655-0.0000330369883451503i</v>
      </c>
      <c r="L33" s="732"/>
      <c r="M33" s="732" t="str">
        <f t="shared" si="2"/>
        <v>19.2391476772069+0.0913267739930343i</v>
      </c>
      <c r="N33" s="337">
        <f t="shared" si="3"/>
        <v>0</v>
      </c>
      <c r="O33" s="730" t="str">
        <f t="shared" si="4"/>
        <v>19.2391421176333+0.0342546928391713i</v>
      </c>
      <c r="P33" s="731" t="str">
        <f t="shared" si="5"/>
        <v>23.6000095583678-0.00201359188034127i</v>
      </c>
      <c r="Q33" s="729" t="str">
        <f t="shared" si="6"/>
        <v>23.4076181371915-0.00235613880873296i</v>
      </c>
      <c r="R33" s="730"/>
      <c r="S33" s="405" t="str">
        <f t="shared" si="30"/>
        <v>22.5428265100415+0.0471213607595976i</v>
      </c>
      <c r="T33" s="405" t="str">
        <f t="shared" si="31"/>
        <v>22.5426423455909-0.0197500770209993i</v>
      </c>
      <c r="U33" s="405" t="str">
        <f t="shared" si="32"/>
        <v>27.4267388663221-0.0756224140411156i</v>
      </c>
      <c r="V33" s="731" t="str">
        <f t="shared" si="7"/>
        <v>6000</v>
      </c>
      <c r="W33" s="733" t="str">
        <f>IMSUM(COMPLEX(1,0),IMDIV(COMPLEX(0,2*PI()*D33),COMPLEX(2*PI()*'Stability Calculations'!EA_Pole1,0)))</f>
        <v>1+40.0408298743221i</v>
      </c>
      <c r="X33" s="734">
        <f t="shared" si="33"/>
        <v>40.0533151814479</v>
      </c>
      <c r="Y33" s="735">
        <f t="shared" si="34"/>
        <v>1.5458270099191522</v>
      </c>
      <c r="Z33" s="340" t="str">
        <f>IMSUM(COMPLEX(1,0),IMDIV(COMPLEX(0,2*PI()*D33),COMPLEX(2*PI()*'Stability Calculations'!EA_Zero1,0)))</f>
        <v>1+0.396443860141803i</v>
      </c>
      <c r="AA33" s="734">
        <f t="shared" si="35"/>
        <v>1.0757173114922589</v>
      </c>
      <c r="AB33" s="735">
        <f t="shared" si="36"/>
        <v>0.37743698507316203</v>
      </c>
      <c r="AC33" s="733" t="str">
        <f>IMSUM(COMPLEX(1,0),IMDIV(COMPLEX(0,2*PI()*D33),COMPLEX(2*PI()*'Stability Calculations'!EA_Pole2,0)))</f>
        <v>1+0.00399355983218726i</v>
      </c>
      <c r="AD33" s="734">
        <f t="shared" si="37"/>
        <v>1.0000079742282724</v>
      </c>
      <c r="AE33" s="735">
        <f t="shared" si="38"/>
        <v>3.9935386019339519E-3</v>
      </c>
      <c r="AF33" s="732" t="str">
        <f t="shared" si="39"/>
        <v>62.5158081510504-148.520590184459i</v>
      </c>
      <c r="AG33" s="337">
        <f t="shared" si="40"/>
        <v>161.14152778697039</v>
      </c>
      <c r="AH33" s="730">
        <f t="shared" si="41"/>
        <v>-1.1723835634479258</v>
      </c>
      <c r="AI33" s="731" t="str">
        <f t="shared" si="14"/>
        <v>10000</v>
      </c>
      <c r="AJ33" s="733" t="str">
        <f t="shared" si="42"/>
        <v>1+37.3290745821803i</v>
      </c>
      <c r="AK33" s="734">
        <f t="shared" si="43"/>
        <v>37.34246656505136</v>
      </c>
      <c r="AL33" s="735">
        <f t="shared" si="44"/>
        <v>1.5440139620724265</v>
      </c>
      <c r="AM33" s="340" t="str">
        <f t="shared" si="45"/>
        <v>1+0.0633517288506601i</v>
      </c>
      <c r="AN33" s="734">
        <f t="shared" si="46"/>
        <v>1.0020047113404045</v>
      </c>
      <c r="AO33" s="735">
        <f t="shared" si="47"/>
        <v>6.326717953745653E-2</v>
      </c>
      <c r="AP33" s="733" t="str">
        <f t="shared" si="48"/>
        <v>1+0.00307266327386068i</v>
      </c>
      <c r="AQ33" s="734">
        <f t="shared" si="49"/>
        <v>1.0000047206186551</v>
      </c>
      <c r="AR33" s="735">
        <f t="shared" si="50"/>
        <v>3.0726536039782522E-3</v>
      </c>
      <c r="AS33" s="732" t="str">
        <f t="shared" si="51"/>
        <v>15495.4982947107-8354.60941593513i</v>
      </c>
      <c r="AT33" s="337">
        <f t="shared" si="52"/>
        <v>17604.259879194418</v>
      </c>
      <c r="AU33" s="730">
        <f t="shared" si="53"/>
        <v>-0.4944855067047112</v>
      </c>
      <c r="AV33" s="732" t="str">
        <f t="shared" si="54"/>
        <v>-6190.02521319179-63648.1881639528i</v>
      </c>
      <c r="AW33" s="337">
        <f t="shared" si="55"/>
        <v>96.116604707866003</v>
      </c>
      <c r="AX33" s="730">
        <f t="shared" si="56"/>
        <v>-95.55476072988516</v>
      </c>
      <c r="AY33" s="360">
        <f t="shared" si="57"/>
        <v>84.44523927011484</v>
      </c>
      <c r="BB33" s="337">
        <f t="shared" si="58"/>
        <v>44.912355422388721</v>
      </c>
      <c r="BC33" s="730">
        <f t="shared" si="59"/>
        <v>-28.331932564567925</v>
      </c>
      <c r="BD33" s="351"/>
      <c r="BE33" s="337">
        <f t="shared" si="19"/>
        <v>25.683814424484403</v>
      </c>
      <c r="BF33" s="730">
        <f t="shared" si="20"/>
        <v>0.27197667442534296</v>
      </c>
      <c r="BI33" s="351"/>
      <c r="BJ33" s="351"/>
      <c r="BL33" s="405">
        <f t="shared" si="21"/>
        <v>0</v>
      </c>
      <c r="BM33" s="405">
        <f t="shared" si="22"/>
        <v>0</v>
      </c>
      <c r="BN33" s="405">
        <f t="shared" si="23"/>
        <v>0</v>
      </c>
      <c r="BO33" s="405">
        <f t="shared" si="24"/>
        <v>0</v>
      </c>
    </row>
    <row r="34" spans="1:67" ht="13.5" thickBot="1" x14ac:dyDescent="0.25">
      <c r="A34" s="405" t="s">
        <v>1228</v>
      </c>
      <c r="B34" s="405">
        <f>Fsw/(B31+B32)</f>
        <v>2.6847457627118643</v>
      </c>
      <c r="D34" s="345">
        <v>6.9183000000000003</v>
      </c>
      <c r="E34" s="340" t="str">
        <f t="shared" si="0"/>
        <v>0.000114758056804144i</v>
      </c>
      <c r="F34" s="728" t="str">
        <f t="shared" si="25"/>
        <v>0.005-377.129848045906i</v>
      </c>
      <c r="G34" s="337" t="str">
        <f t="shared" si="26"/>
        <v>0.005-589.869762328212i</v>
      </c>
      <c r="H34" s="338" t="str">
        <f t="shared" si="27"/>
        <v>1.21666146931848-0.0025094885733897i</v>
      </c>
      <c r="I34" s="338" t="str">
        <f t="shared" si="28"/>
        <v>1.22666146931848-0.0025094885733897i</v>
      </c>
      <c r="J34" s="337" t="str">
        <f t="shared" si="29"/>
        <v>1.22663211468699-0.00649921758430217i</v>
      </c>
      <c r="K34" s="338" t="str">
        <f t="shared" si="1"/>
        <v>0.99999999946819-0.0000362241340922171i</v>
      </c>
      <c r="L34" s="732"/>
      <c r="M34" s="732" t="str">
        <f t="shared" si="2"/>
        <v>19.2391511645062+0.100137262413475i</v>
      </c>
      <c r="N34" s="337">
        <f t="shared" si="3"/>
        <v>0</v>
      </c>
      <c r="O34" s="730" t="str">
        <f t="shared" si="4"/>
        <v>19.2391444805025+0.0375593159040144i</v>
      </c>
      <c r="P34" s="731" t="str">
        <f t="shared" si="5"/>
        <v>23.6000114915577-0.00220784760219954i</v>
      </c>
      <c r="Q34" s="729" t="str">
        <f t="shared" si="6"/>
        <v>23.4076200467527-0.00258344076123961i</v>
      </c>
      <c r="R34" s="730"/>
      <c r="S34" s="405" t="str">
        <f t="shared" si="30"/>
        <v>22.5428532095338+0.0516671748856284i</v>
      </c>
      <c r="T34" s="405" t="str">
        <f t="shared" si="31"/>
        <v>22.5426317979825-0.02165537578471i</v>
      </c>
      <c r="U34" s="405" t="str">
        <f t="shared" si="32"/>
        <v>27.4266971817207-0.0829177382320374i</v>
      </c>
      <c r="V34" s="731" t="str">
        <f t="shared" si="7"/>
        <v>6000</v>
      </c>
      <c r="W34" s="733" t="str">
        <f>IMSUM(COMPLEX(1,0),IMDIV(COMPLEX(0,2*PI()*D34),COMPLEX(2*PI()*'Stability Calculations'!EA_Pole1,0)))</f>
        <v>1+43.9036505197671i</v>
      </c>
      <c r="X34" s="734">
        <f t="shared" si="33"/>
        <v>43.915037617675402</v>
      </c>
      <c r="Y34" s="735">
        <f t="shared" si="34"/>
        <v>1.5480231152479933</v>
      </c>
      <c r="Z34" s="340" t="str">
        <f>IMSUM(COMPLEX(1,0),IMDIV(COMPLEX(0,2*PI()*D34),COMPLEX(2*PI()*'Stability Calculations'!EA_Zero1,0)))</f>
        <v>1+0.434689609106605i</v>
      </c>
      <c r="AA34" s="734">
        <f t="shared" si="35"/>
        <v>1.0903921571000283</v>
      </c>
      <c r="AB34" s="735">
        <f t="shared" si="36"/>
        <v>0.41004912360101625</v>
      </c>
      <c r="AC34" s="733" t="str">
        <f>IMSUM(COMPLEX(1,0),IMDIV(COMPLEX(0,2*PI()*D34),COMPLEX(2*PI()*'Stability Calculations'!EA_Pole2,0)))</f>
        <v>1+0.00437882670645067i</v>
      </c>
      <c r="AD34" s="734">
        <f t="shared" si="37"/>
        <v>1.0000095870157071</v>
      </c>
      <c r="AE34" s="735">
        <f t="shared" si="38"/>
        <v>4.3787987200515424E-3</v>
      </c>
      <c r="AF34" s="732" t="str">
        <f t="shared" si="39"/>
        <v>61.892936281215-135.510653774606i</v>
      </c>
      <c r="AG34" s="337">
        <f t="shared" si="40"/>
        <v>148.97608146253441</v>
      </c>
      <c r="AH34" s="730">
        <f t="shared" si="41"/>
        <v>-1.1423527903670285</v>
      </c>
      <c r="AI34" s="731" t="str">
        <f t="shared" si="14"/>
        <v>10000</v>
      </c>
      <c r="AJ34" s="733" t="str">
        <f t="shared" si="42"/>
        <v>1+40.9302866555563i</v>
      </c>
      <c r="AK34" s="734">
        <f t="shared" si="43"/>
        <v>40.942500726091588</v>
      </c>
      <c r="AL34" s="735">
        <f t="shared" si="44"/>
        <v>1.5463694003742838</v>
      </c>
      <c r="AM34" s="340" t="str">
        <f t="shared" si="45"/>
        <v>1+0.0694633995352355i</v>
      </c>
      <c r="AN34" s="734">
        <f t="shared" si="46"/>
        <v>1.002409678661869</v>
      </c>
      <c r="AO34" s="735">
        <f t="shared" si="47"/>
        <v>6.9351997781494007E-2</v>
      </c>
      <c r="AP34" s="733" t="str">
        <f t="shared" si="48"/>
        <v>1+0.0033690893761174i</v>
      </c>
      <c r="AQ34" s="734">
        <f t="shared" si="49"/>
        <v>1.0000056753655073</v>
      </c>
      <c r="AR34" s="735">
        <f t="shared" si="50"/>
        <v>3.3690766289589504E-3</v>
      </c>
      <c r="AS34" s="732" t="str">
        <f t="shared" si="51"/>
        <v>14820.3996676083-8761.49228411018i</v>
      </c>
      <c r="AT34" s="337">
        <f t="shared" si="52"/>
        <v>17216.503517037552</v>
      </c>
      <c r="AU34" s="730">
        <f t="shared" si="53"/>
        <v>-0.53390738457123554</v>
      </c>
      <c r="AV34" s="732" t="str">
        <f t="shared" si="54"/>
        <v>-6141.68824640094-57491.3115849761i</v>
      </c>
      <c r="AW34" s="337">
        <f t="shared" si="55"/>
        <v>95.241326406146385</v>
      </c>
      <c r="AX34" s="730">
        <f t="shared" si="56"/>
        <v>-96.097674046375204</v>
      </c>
      <c r="AY34" s="360">
        <f t="shared" si="57"/>
        <v>83.902325953624796</v>
      </c>
      <c r="BB34" s="337">
        <f t="shared" si="58"/>
        <v>44.718899112571215</v>
      </c>
      <c r="BC34" s="730">
        <f t="shared" si="59"/>
        <v>-30.590639786799962</v>
      </c>
      <c r="BD34" s="351"/>
      <c r="BE34" s="337">
        <f t="shared" si="19"/>
        <v>25.683835790823405</v>
      </c>
      <c r="BF34" s="730">
        <f t="shared" si="20"/>
        <v>0.29821433646934842</v>
      </c>
      <c r="BI34" s="351"/>
      <c r="BJ34" s="351"/>
      <c r="BL34" s="405">
        <f t="shared" si="21"/>
        <v>0</v>
      </c>
      <c r="BM34" s="405">
        <f t="shared" si="22"/>
        <v>0</v>
      </c>
      <c r="BN34" s="405">
        <f t="shared" si="23"/>
        <v>0</v>
      </c>
      <c r="BO34" s="405">
        <f t="shared" si="24"/>
        <v>0</v>
      </c>
    </row>
    <row r="35" spans="1:67" ht="13.5" thickBot="1" x14ac:dyDescent="0.25">
      <c r="D35" s="345">
        <v>7.5857999999999999</v>
      </c>
      <c r="E35" s="340" t="str">
        <f t="shared" si="0"/>
        <v>0.000125830285952456i</v>
      </c>
      <c r="F35" s="728" t="str">
        <f t="shared" si="25"/>
        <v>0.005-343.944927065832i</v>
      </c>
      <c r="G35" s="337" t="str">
        <f t="shared" si="26"/>
        <v>0.005-537.965142333738i</v>
      </c>
      <c r="H35" s="338" t="str">
        <f t="shared" si="27"/>
        <v>1.21666041802772-0.00275160977457078i</v>
      </c>
      <c r="I35" s="338" t="str">
        <f t="shared" si="28"/>
        <v>1.22666041802772-0.00275160977457078i</v>
      </c>
      <c r="J35" s="337" t="str">
        <f t="shared" si="29"/>
        <v>1.22662512590565-0.0071262424154524i</v>
      </c>
      <c r="K35" s="338" t="str">
        <f t="shared" si="1"/>
        <v>0.999999999360618-0.0000397191559193357i</v>
      </c>
      <c r="L35" s="732"/>
      <c r="M35" s="732" t="str">
        <f t="shared" si="2"/>
        <v>19.2391553576251+0.109798840479004i</v>
      </c>
      <c r="N35" s="337">
        <f t="shared" si="3"/>
        <v>0</v>
      </c>
      <c r="O35" s="730" t="str">
        <f t="shared" si="4"/>
        <v>19.2391473216094+0.0411831641927761i</v>
      </c>
      <c r="P35" s="731" t="str">
        <f t="shared" si="5"/>
        <v>23.6000138160195-0.00242086842013424i</v>
      </c>
      <c r="Q35" s="729" t="str">
        <f t="shared" si="6"/>
        <v>23.4076223428034-0.00283270006206203i</v>
      </c>
      <c r="R35" s="730"/>
      <c r="S35" s="405" t="str">
        <f t="shared" si="30"/>
        <v>22.5428853128145+0.0566520861213658i</v>
      </c>
      <c r="T35" s="405" t="str">
        <f t="shared" si="31"/>
        <v>22.5426191156124-0.0237447150657266i</v>
      </c>
      <c r="U35" s="405" t="str">
        <f t="shared" si="32"/>
        <v>27.4266470604507-0.0909177460607631i</v>
      </c>
      <c r="V35" s="731" t="str">
        <f t="shared" si="7"/>
        <v>6000</v>
      </c>
      <c r="W35" s="733" t="str">
        <f>IMSUM(COMPLEX(1,0),IMDIV(COMPLEX(0,2*PI()*D35),COMPLEX(2*PI()*'Stability Calculations'!EA_Pole1,0)))</f>
        <v>1+48.1396169742349i</v>
      </c>
      <c r="X35" s="734">
        <f t="shared" si="33"/>
        <v>48.150002309720037</v>
      </c>
      <c r="Y35" s="735">
        <f t="shared" si="34"/>
        <v>1.5500264025178785</v>
      </c>
      <c r="Z35" s="340" t="str">
        <f>IMSUM(COMPLEX(1,0),IMDIV(COMPLEX(0,2*PI()*D35),COMPLEX(2*PI()*'Stability Calculations'!EA_Zero1,0)))</f>
        <v>1+0.476629871032029i</v>
      </c>
      <c r="AA35" s="734">
        <f t="shared" si="35"/>
        <v>1.1077797768329265</v>
      </c>
      <c r="AB35" s="735">
        <f t="shared" si="36"/>
        <v>0.44477732463779013</v>
      </c>
      <c r="AC35" s="733" t="str">
        <f>IMSUM(COMPLEX(1,0),IMDIV(COMPLEX(0,2*PI()*D35),COMPLEX(2*PI()*'Stability Calculations'!EA_Pole2,0)))</f>
        <v>1+0.00480131009493568i</v>
      </c>
      <c r="AD35" s="734">
        <f t="shared" si="37"/>
        <v>1.000011526222887</v>
      </c>
      <c r="AE35" s="735">
        <f t="shared" si="38"/>
        <v>4.8012732012531487E-3</v>
      </c>
      <c r="AF35" s="732" t="str">
        <f t="shared" si="39"/>
        <v>61.3746260815608-123.644885566256i</v>
      </c>
      <c r="AG35" s="337">
        <f t="shared" si="40"/>
        <v>138.03949599061835</v>
      </c>
      <c r="AH35" s="730">
        <f t="shared" si="41"/>
        <v>-1.1100503510813398</v>
      </c>
      <c r="AI35" s="731" t="str">
        <f t="shared" si="14"/>
        <v>10000</v>
      </c>
      <c r="AJ35" s="733" t="str">
        <f t="shared" si="42"/>
        <v>1+44.8793733304018i</v>
      </c>
      <c r="AK35" s="734">
        <f t="shared" si="43"/>
        <v>44.890512923440511</v>
      </c>
      <c r="AL35" s="735">
        <f t="shared" si="44"/>
        <v>1.5485180621942083</v>
      </c>
      <c r="AM35" s="340" t="str">
        <f t="shared" si="45"/>
        <v>1+0.0761654533909182i</v>
      </c>
      <c r="AN35" s="734">
        <f t="shared" si="46"/>
        <v>1.0028963935971871</v>
      </c>
      <c r="AO35" s="735">
        <f t="shared" si="47"/>
        <v>7.6018680851125967E-2</v>
      </c>
      <c r="AP35" s="733" t="str">
        <f t="shared" si="48"/>
        <v>1+0.00369415003531957i</v>
      </c>
      <c r="AQ35" s="734">
        <f t="shared" si="49"/>
        <v>1.0000068233489625</v>
      </c>
      <c r="AR35" s="735">
        <f t="shared" si="50"/>
        <v>3.6941332310832919E-3</v>
      </c>
      <c r="AS35" s="732" t="str">
        <f t="shared" si="51"/>
        <v>14082.6743863568-9128.62365611521i</v>
      </c>
      <c r="AT35" s="337">
        <f t="shared" si="52"/>
        <v>16782.53519963942</v>
      </c>
      <c r="AU35" s="730">
        <f t="shared" si="53"/>
        <v>-0.57512050782063406</v>
      </c>
      <c r="AV35" s="732" t="str">
        <f t="shared" si="54"/>
        <v>-6014.66380350861-51875.9326096077i</v>
      </c>
      <c r="AW35" s="337">
        <f t="shared" si="55"/>
        <v>94.35731091540444</v>
      </c>
      <c r="AX35" s="730">
        <f t="shared" si="56"/>
        <v>-96.613529055568762</v>
      </c>
      <c r="AY35" s="360">
        <f t="shared" si="57"/>
        <v>83.386470944431238</v>
      </c>
      <c r="BB35" s="337">
        <f t="shared" si="58"/>
        <v>44.497151334917355</v>
      </c>
      <c r="BC35" s="730">
        <f t="shared" si="59"/>
        <v>-32.951977809542988</v>
      </c>
      <c r="BD35" s="351"/>
      <c r="BE35" s="337">
        <f t="shared" si="19"/>
        <v>25.683861481513354</v>
      </c>
      <c r="BF35" s="730">
        <f t="shared" si="20"/>
        <v>0.32698638474347813</v>
      </c>
      <c r="BI35" s="351"/>
      <c r="BJ35" s="351"/>
      <c r="BL35" s="405">
        <f t="shared" si="21"/>
        <v>0</v>
      </c>
      <c r="BM35" s="405">
        <f t="shared" si="22"/>
        <v>0</v>
      </c>
      <c r="BN35" s="405">
        <f t="shared" si="23"/>
        <v>0</v>
      </c>
      <c r="BO35" s="405">
        <f t="shared" si="24"/>
        <v>0</v>
      </c>
    </row>
    <row r="36" spans="1:67" ht="13.5" thickBot="1" x14ac:dyDescent="0.25">
      <c r="D36" s="345">
        <v>8.3176000000000005</v>
      </c>
      <c r="E36" s="340" t="str">
        <f t="shared" si="0"/>
        <v>0.000137969098373032i</v>
      </c>
      <c r="F36" s="728" t="str">
        <f t="shared" si="25"/>
        <v>0.005-313.683926581705i</v>
      </c>
      <c r="G36" s="337" t="str">
        <f t="shared" si="26"/>
        <v>0.005-490.633833884205i</v>
      </c>
      <c r="H36" s="338" t="str">
        <f t="shared" si="27"/>
        <v>1.21665915427428-0.00301705365163989i</v>
      </c>
      <c r="I36" s="338" t="str">
        <f t="shared" si="28"/>
        <v>1.22665915427428-0.00301705365163989i</v>
      </c>
      <c r="J36" s="337" t="str">
        <f t="shared" si="29"/>
        <v>1.22661672480249-0.00781365532739807i</v>
      </c>
      <c r="K36" s="338" t="str">
        <f t="shared" si="1"/>
        <v>0.999999999231306-0.0000435508517591641i</v>
      </c>
      <c r="L36" s="732"/>
      <c r="M36" s="732" t="str">
        <f t="shared" si="2"/>
        <v>19.239160398172+0.12039111773079i</v>
      </c>
      <c r="N36" s="337">
        <f t="shared" si="3"/>
        <v>0</v>
      </c>
      <c r="O36" s="730" t="str">
        <f t="shared" si="4"/>
        <v>19.2391507369032+0.0451560975015959i</v>
      </c>
      <c r="P36" s="731" t="str">
        <f t="shared" si="5"/>
        <v>23.600016610254-0.0026544096135893i</v>
      </c>
      <c r="Q36" s="729" t="str">
        <f t="shared" si="6"/>
        <v>23.407625102885-0.00310597058860525i</v>
      </c>
      <c r="R36" s="730"/>
      <c r="S36" s="405" t="str">
        <f t="shared" si="30"/>
        <v>22.5429239039912+0.0621171583267336i</v>
      </c>
      <c r="T36" s="405" t="str">
        <f t="shared" si="31"/>
        <v>22.5426038702056-0.0260353063207627i</v>
      </c>
      <c r="U36" s="405" t="str">
        <f t="shared" si="32"/>
        <v>27.4265868099486-0.0996883390935666i</v>
      </c>
      <c r="V36" s="731" t="str">
        <f t="shared" si="7"/>
        <v>6000</v>
      </c>
      <c r="W36" s="733" t="str">
        <f>IMSUM(COMPLEX(1,0),IMDIV(COMPLEX(0,2*PI()*D36),COMPLEX(2*PI()*'Stability Calculations'!EA_Pole1,0)))</f>
        <v>1+52.7836323321069i</v>
      </c>
      <c r="X36" s="734">
        <f t="shared" si="33"/>
        <v>52.793104115699052</v>
      </c>
      <c r="Y36" s="735">
        <f t="shared" si="34"/>
        <v>1.5518533260854706</v>
      </c>
      <c r="Z36" s="340" t="str">
        <f>IMSUM(COMPLEX(1,0),IMDIV(COMPLEX(0,2*PI()*D36),COMPLEX(2*PI()*'Stability Calculations'!EA_Zero1,0)))</f>
        <v>1+0.522610221109969i</v>
      </c>
      <c r="AA36" s="734">
        <f t="shared" si="35"/>
        <v>1.1283268335055276</v>
      </c>
      <c r="AB36" s="735">
        <f t="shared" si="36"/>
        <v>0.48157174131920955</v>
      </c>
      <c r="AC36" s="733" t="str">
        <f>IMSUM(COMPLEX(1,0),IMDIV(COMPLEX(0,2*PI()*D36),COMPLEX(2*PI()*'Stability Calculations'!EA_Pole2,0)))</f>
        <v>1+0.00526449113417661i</v>
      </c>
      <c r="AD36" s="734">
        <f t="shared" si="37"/>
        <v>1.000013857337438</v>
      </c>
      <c r="AE36" s="735">
        <f t="shared" si="38"/>
        <v>5.264442500094977E-3</v>
      </c>
      <c r="AF36" s="732" t="str">
        <f t="shared" si="39"/>
        <v>60.9434176085754-112.826594882427i</v>
      </c>
      <c r="AG36" s="337">
        <f t="shared" si="40"/>
        <v>128.23392945151653</v>
      </c>
      <c r="AH36" s="730">
        <f t="shared" si="41"/>
        <v>-1.0755460272663582</v>
      </c>
      <c r="AI36" s="731" t="str">
        <f t="shared" si="14"/>
        <v>10000</v>
      </c>
      <c r="AJ36" s="733" t="str">
        <f t="shared" si="42"/>
        <v>1+49.2088738976706i</v>
      </c>
      <c r="AK36" s="734">
        <f t="shared" si="43"/>
        <v>49.21903361786827</v>
      </c>
      <c r="AL36" s="735">
        <f t="shared" si="44"/>
        <v>1.5504775854798953</v>
      </c>
      <c r="AM36" s="340" t="str">
        <f t="shared" si="45"/>
        <v>1+0.083513113333373i</v>
      </c>
      <c r="AN36" s="734">
        <f t="shared" si="46"/>
        <v>1.0034811608090273</v>
      </c>
      <c r="AO36" s="735">
        <f t="shared" si="47"/>
        <v>8.3319769368172439E-2</v>
      </c>
      <c r="AP36" s="733" t="str">
        <f t="shared" si="48"/>
        <v>1+0.00405052365390256i</v>
      </c>
      <c r="AQ36" s="734">
        <f t="shared" si="49"/>
        <v>1.0000082033372881</v>
      </c>
      <c r="AR36" s="735">
        <f t="shared" si="50"/>
        <v>4.0505015021552789E-3</v>
      </c>
      <c r="AS36" s="732" t="str">
        <f t="shared" si="51"/>
        <v>13287.5760472539-9444.14335625642i</v>
      </c>
      <c r="AT36" s="337">
        <f t="shared" si="52"/>
        <v>16301.887036324286</v>
      </c>
      <c r="AU36" s="730">
        <f t="shared" si="53"/>
        <v>-0.61790428633138039</v>
      </c>
      <c r="AV36" s="732" t="str">
        <f t="shared" si="54"/>
        <v>-5819.5185458477-46763.6160714491i</v>
      </c>
      <c r="AW36" s="337">
        <f t="shared" si="55"/>
        <v>93.464903979464324</v>
      </c>
      <c r="AX36" s="730">
        <f t="shared" si="56"/>
        <v>-97.093728818917228</v>
      </c>
      <c r="AY36" s="360">
        <f t="shared" si="57"/>
        <v>82.906271181082772</v>
      </c>
      <c r="BB36" s="337">
        <f t="shared" si="58"/>
        <v>44.244757587500459</v>
      </c>
      <c r="BC36" s="730">
        <f t="shared" si="59"/>
        <v>-35.403307749831257</v>
      </c>
      <c r="BD36" s="351"/>
      <c r="BE36" s="337">
        <f t="shared" si="19"/>
        <v>25.683892364085175</v>
      </c>
      <c r="BF36" s="730">
        <f t="shared" si="20"/>
        <v>0.35852982983477083</v>
      </c>
      <c r="BI36" s="351"/>
      <c r="BJ36" s="351"/>
      <c r="BL36" s="405">
        <f t="shared" si="21"/>
        <v>0</v>
      </c>
      <c r="BM36" s="405">
        <f t="shared" si="22"/>
        <v>0</v>
      </c>
      <c r="BN36" s="405">
        <f t="shared" si="23"/>
        <v>0</v>
      </c>
      <c r="BO36" s="405">
        <f t="shared" si="24"/>
        <v>0</v>
      </c>
    </row>
    <row r="37" spans="1:67" ht="13.5" thickBot="1" x14ac:dyDescent="0.25">
      <c r="D37" s="345">
        <v>9.1201000000000008</v>
      </c>
      <c r="E37" s="340" t="str">
        <f t="shared" si="0"/>
        <v>0.000151280654764823i</v>
      </c>
      <c r="F37" s="728" t="str">
        <f t="shared" si="25"/>
        <v>0.005-286.082107404084i</v>
      </c>
      <c r="G37" s="337" t="str">
        <f t="shared" si="26"/>
        <v>0.005-447.461757734594i</v>
      </c>
      <c r="H37" s="338" t="str">
        <f t="shared" si="27"/>
        <v>1.21665763473054-0.00330814135102129i</v>
      </c>
      <c r="I37" s="338" t="str">
        <f t="shared" si="28"/>
        <v>1.22665763473054-0.00330814135102129i</v>
      </c>
      <c r="J37" s="337" t="str">
        <f t="shared" si="29"/>
        <v>1.22660662340178-0.00856746286408196i</v>
      </c>
      <c r="K37" s="338" t="str">
        <f t="shared" si="1"/>
        <v>0.99999999907582-0.0000477527319333405i</v>
      </c>
      <c r="L37" s="732"/>
      <c r="M37" s="732" t="str">
        <f t="shared" si="2"/>
        <v>19.2391664589682+0.132006730915084i</v>
      </c>
      <c r="N37" s="337">
        <f t="shared" si="3"/>
        <v>0</v>
      </c>
      <c r="O37" s="730" t="str">
        <f t="shared" si="4"/>
        <v>19.239154843481+0.0495128618432484i</v>
      </c>
      <c r="P37" s="731" t="str">
        <f t="shared" si="5"/>
        <v>23.6000199700647-0.00291051369904192i</v>
      </c>
      <c r="Q37" s="729" t="str">
        <f t="shared" si="6"/>
        <v>23.4076284216299-0.00340564231747439i</v>
      </c>
      <c r="R37" s="730"/>
      <c r="S37" s="405" t="str">
        <f t="shared" si="30"/>
        <v>22.5429703061086+0.0681101730122487i</v>
      </c>
      <c r="T37" s="405" t="str">
        <f t="shared" si="31"/>
        <v>22.5425855390941-0.0285471766803959i</v>
      </c>
      <c r="U37" s="405" t="str">
        <f t="shared" si="32"/>
        <v>27.4265143646095-0.109306199839017i</v>
      </c>
      <c r="V37" s="731" t="str">
        <f t="shared" si="7"/>
        <v>6000</v>
      </c>
      <c r="W37" s="733" t="str">
        <f>IMSUM(COMPLEX(1,0),IMDIV(COMPLEX(0,2*PI()*D37),COMPLEX(2*PI()*'Stability Calculations'!EA_Pole1,0)))</f>
        <v>1+57.8763111032087i</v>
      </c>
      <c r="X37" s="734">
        <f t="shared" si="33"/>
        <v>57.884949571675349</v>
      </c>
      <c r="Y37" s="735">
        <f t="shared" si="34"/>
        <v>1.5535198195954294</v>
      </c>
      <c r="Z37" s="340" t="str">
        <f>IMSUM(COMPLEX(1,0),IMDIV(COMPLEX(0,2*PI()*D37),COMPLEX(2*PI()*'Stability Calculations'!EA_Zero1,0)))</f>
        <v>1+0.573032783200086i</v>
      </c>
      <c r="AA37" s="734">
        <f t="shared" si="35"/>
        <v>1.1525478604474682</v>
      </c>
      <c r="AB37" s="735">
        <f t="shared" si="36"/>
        <v>0.52035460740846751</v>
      </c>
      <c r="AC37" s="733" t="str">
        <f>IMSUM(COMPLEX(1,0),IMDIV(COMPLEX(0,2*PI()*D37),COMPLEX(2*PI()*'Stability Calculations'!EA_Pole2,0)))</f>
        <v>1+0.00577242060123163i</v>
      </c>
      <c r="AD37" s="734">
        <f t="shared" si="37"/>
        <v>1.0000166602810163</v>
      </c>
      <c r="AE37" s="735">
        <f t="shared" si="38"/>
        <v>5.7723564885464171E-3</v>
      </c>
      <c r="AF37" s="732" t="str">
        <f t="shared" si="39"/>
        <v>60.5845589916216-102.962014427215i</v>
      </c>
      <c r="AG37" s="337">
        <f t="shared" si="40"/>
        <v>119.46407494774027</v>
      </c>
      <c r="AH37" s="730">
        <f t="shared" si="41"/>
        <v>-1.0389375686755113</v>
      </c>
      <c r="AI37" s="731" t="str">
        <f t="shared" si="14"/>
        <v>10000</v>
      </c>
      <c r="AJ37" s="733" t="str">
        <f t="shared" si="42"/>
        <v>1+53.9566522595637i</v>
      </c>
      <c r="AK37" s="734">
        <f t="shared" si="43"/>
        <v>53.965918161924016</v>
      </c>
      <c r="AL37" s="735">
        <f t="shared" si="44"/>
        <v>1.5522650524083312</v>
      </c>
      <c r="AM37" s="340" t="str">
        <f t="shared" si="45"/>
        <v>1+0.0915706387553737i</v>
      </c>
      <c r="AN37" s="734">
        <f t="shared" si="46"/>
        <v>1.00418383868795</v>
      </c>
      <c r="AO37" s="735">
        <f t="shared" si="47"/>
        <v>9.1315973295491182E-2</v>
      </c>
      <c r="AP37" s="733" t="str">
        <f t="shared" si="48"/>
        <v>1+0.00444132691833663i</v>
      </c>
      <c r="AQ37" s="734">
        <f t="shared" si="49"/>
        <v>1.0000098626437619</v>
      </c>
      <c r="AR37" s="735">
        <f t="shared" si="50"/>
        <v>4.4412977163880846E-3</v>
      </c>
      <c r="AS37" s="732" t="str">
        <f t="shared" si="51"/>
        <v>12442.8654026213-9697.03091800145i</v>
      </c>
      <c r="AT37" s="337">
        <f t="shared" si="52"/>
        <v>15775.211822743497</v>
      </c>
      <c r="AU37" s="730">
        <f t="shared" si="53"/>
        <v>-0.66200622661761221</v>
      </c>
      <c r="AV37" s="732" t="str">
        <f t="shared" si="54"/>
        <v>-5566.81707256149-42116.8333065598i</v>
      </c>
      <c r="AW37" s="337">
        <f t="shared" si="55"/>
        <v>92.564331971305833</v>
      </c>
      <c r="AX37" s="730">
        <f t="shared" si="56"/>
        <v>-97.529458080130127</v>
      </c>
      <c r="AY37" s="360">
        <f t="shared" si="57"/>
        <v>82.470541919869873</v>
      </c>
      <c r="BB37" s="337">
        <f t="shared" si="58"/>
        <v>43.959503989487956</v>
      </c>
      <c r="BC37" s="730">
        <f t="shared" si="59"/>
        <v>-37.930162796570322</v>
      </c>
      <c r="BD37" s="351"/>
      <c r="BE37" s="337">
        <f t="shared" si="19"/>
        <v>25.683929497264959</v>
      </c>
      <c r="BF37" s="730">
        <f t="shared" si="20"/>
        <v>0.39312045443466925</v>
      </c>
      <c r="BI37" s="351"/>
      <c r="BJ37" s="351"/>
      <c r="BL37" s="405">
        <f t="shared" si="21"/>
        <v>0</v>
      </c>
      <c r="BM37" s="405">
        <f t="shared" si="22"/>
        <v>0</v>
      </c>
      <c r="BN37" s="405">
        <f t="shared" si="23"/>
        <v>0</v>
      </c>
      <c r="BO37" s="405">
        <f t="shared" si="24"/>
        <v>0</v>
      </c>
    </row>
    <row r="38" spans="1:67" ht="13.5" thickBot="1" x14ac:dyDescent="0.25">
      <c r="D38" s="345">
        <v>10</v>
      </c>
      <c r="E38" s="340" t="str">
        <f t="shared" si="0"/>
        <v>0.000165876092109541i</v>
      </c>
      <c r="F38" s="728" t="str">
        <f t="shared" si="25"/>
        <v>0.005-260.909742773599i</v>
      </c>
      <c r="G38" s="337" t="str">
        <f t="shared" si="26"/>
        <v>0.005-408.089597671526i</v>
      </c>
      <c r="H38" s="338" t="str">
        <f t="shared" si="27"/>
        <v>1.21665580788747-0.00362730273061424i</v>
      </c>
      <c r="I38" s="338" t="str">
        <f t="shared" si="28"/>
        <v>1.22665580788747-0.00362730273061424i</v>
      </c>
      <c r="J38" s="337" t="str">
        <f t="shared" si="29"/>
        <v>1.226594479369-0.00939395155214774i</v>
      </c>
      <c r="K38" s="338" t="str">
        <f t="shared" si="1"/>
        <v>0.999999998888889-0.0000523598775598299i</v>
      </c>
      <c r="L38" s="732"/>
      <c r="M38" s="732" t="str">
        <f t="shared" si="2"/>
        <v>19.2391737454708+0.144742659532695i</v>
      </c>
      <c r="N38" s="337">
        <f t="shared" si="3"/>
        <v>0</v>
      </c>
      <c r="O38" s="730" t="str">
        <f t="shared" si="4"/>
        <v>19.2391597805531+0.0542898320965011i</v>
      </c>
      <c r="P38" s="731" t="str">
        <f t="shared" si="5"/>
        <v>23.6000240093467-0.00319131895631542i</v>
      </c>
      <c r="Q38" s="729" t="str">
        <f t="shared" si="6"/>
        <v>23.4076324115411-0.00373421727728048i</v>
      </c>
      <c r="R38" s="730"/>
      <c r="S38" s="405" t="str">
        <f t="shared" si="30"/>
        <v>22.5430260920204+0.0746811473811655i</v>
      </c>
      <c r="T38" s="405" t="str">
        <f t="shared" si="31"/>
        <v>22.5425635009237-0.0313012904416447i</v>
      </c>
      <c r="U38" s="405" t="str">
        <f t="shared" si="32"/>
        <v>27.4264272688146-0.119851598952145i</v>
      </c>
      <c r="V38" s="731" t="str">
        <f t="shared" si="7"/>
        <v>6000</v>
      </c>
      <c r="W38" s="733" t="str">
        <f>IMSUM(COMPLEX(1,0),IMDIV(COMPLEX(0,2*PI()*D38),COMPLEX(2*PI()*'Stability Calculations'!EA_Pole1,0)))</f>
        <v>1+63.4601716025139i</v>
      </c>
      <c r="X38" s="734">
        <f t="shared" si="33"/>
        <v>63.468050071043713</v>
      </c>
      <c r="Y38" s="735">
        <f t="shared" si="34"/>
        <v>1.5550397157355607</v>
      </c>
      <c r="Z38" s="340" t="str">
        <f>IMSUM(COMPLEX(1,0),IMDIV(COMPLEX(0,2*PI()*D38),COMPLEX(2*PI()*'Stability Calculations'!EA_Zero1,0)))</f>
        <v>1+0.628318530717959i</v>
      </c>
      <c r="AA38" s="734">
        <f t="shared" si="35"/>
        <v>1.181009812001397</v>
      </c>
      <c r="AB38" s="735">
        <f t="shared" si="36"/>
        <v>0.56098211610862403</v>
      </c>
      <c r="AC38" s="733" t="str">
        <f>IMSUM(COMPLEX(1,0),IMDIV(COMPLEX(0,2*PI()*D38),COMPLEX(2*PI()*'Stability Calculations'!EA_Pole2,0)))</f>
        <v>1+0.00632933915333344i</v>
      </c>
      <c r="AD38" s="734">
        <f t="shared" si="37"/>
        <v>1.0000200300664572</v>
      </c>
      <c r="AE38" s="735">
        <f t="shared" si="38"/>
        <v>6.3292546364625401E-3</v>
      </c>
      <c r="AF38" s="732" t="str">
        <f t="shared" si="39"/>
        <v>60.285928380993-93.9697082133672i</v>
      </c>
      <c r="AG38" s="337">
        <f t="shared" si="40"/>
        <v>111.64541738228034</v>
      </c>
      <c r="AH38" s="730">
        <f t="shared" si="41"/>
        <v>-1.0003868542633996</v>
      </c>
      <c r="AI38" s="731" t="str">
        <f t="shared" si="14"/>
        <v>10000</v>
      </c>
      <c r="AJ38" s="733" t="str">
        <f t="shared" si="42"/>
        <v>1+59.1623471886971i</v>
      </c>
      <c r="AK38" s="734">
        <f t="shared" si="43"/>
        <v>59.170797906365394</v>
      </c>
      <c r="AL38" s="735">
        <f t="shared" si="44"/>
        <v>1.5538952937776425</v>
      </c>
      <c r="AM38" s="340" t="str">
        <f t="shared" si="45"/>
        <v>1+0.10040530120873i</v>
      </c>
      <c r="AN38" s="734">
        <f t="shared" si="46"/>
        <v>1.0050279720041706</v>
      </c>
      <c r="AO38" s="735">
        <f t="shared" si="47"/>
        <v>0.1000699246925139</v>
      </c>
      <c r="AP38" s="733" t="str">
        <f t="shared" si="48"/>
        <v>1+0.00486982260977032i</v>
      </c>
      <c r="AQ38" s="734">
        <f t="shared" si="49"/>
        <v>1.000011857515825</v>
      </c>
      <c r="AR38" s="735">
        <f t="shared" si="50"/>
        <v>4.869784114090738E-3</v>
      </c>
      <c r="AS38" s="732" t="str">
        <f t="shared" si="51"/>
        <v>11559.4053224411-9877.66445271059i</v>
      </c>
      <c r="AT38" s="337">
        <f t="shared" si="52"/>
        <v>15204.871142131457</v>
      </c>
      <c r="AU38" s="730">
        <f t="shared" si="53"/>
        <v>-0.70710838203160498</v>
      </c>
      <c r="AV38" s="732" t="str">
        <f t="shared" si="54"/>
        <v>-5267.4509507602-37902.9964612036i</v>
      </c>
      <c r="AW38" s="337">
        <f t="shared" si="55"/>
        <v>91.656547319797312</v>
      </c>
      <c r="AX38" s="730">
        <f t="shared" si="56"/>
        <v>-97.911828108885459</v>
      </c>
      <c r="AY38" s="360">
        <f t="shared" si="57"/>
        <v>82.088171891114541</v>
      </c>
      <c r="BB38" s="337">
        <f t="shared" si="58"/>
        <v>43.639654878950765</v>
      </c>
      <c r="BC38" s="730">
        <f t="shared" si="59"/>
        <v>-40.51432594873522</v>
      </c>
      <c r="BD38" s="351"/>
      <c r="BE38" s="337">
        <f t="shared" si="19"/>
        <v>25.683974139667377</v>
      </c>
      <c r="BF38" s="730">
        <f t="shared" si="20"/>
        <v>0.43104694392780113</v>
      </c>
      <c r="BI38" s="351"/>
      <c r="BJ38" s="351"/>
      <c r="BL38" s="405">
        <f t="shared" si="21"/>
        <v>0</v>
      </c>
      <c r="BM38" s="405">
        <f t="shared" si="22"/>
        <v>0</v>
      </c>
      <c r="BN38" s="405">
        <f t="shared" si="23"/>
        <v>0</v>
      </c>
      <c r="BO38" s="405">
        <f t="shared" si="24"/>
        <v>0</v>
      </c>
    </row>
    <row r="39" spans="1:67" ht="13.5" thickBot="1" x14ac:dyDescent="0.25">
      <c r="D39" s="345">
        <v>10.965</v>
      </c>
      <c r="E39" s="340" t="str">
        <f t="shared" si="0"/>
        <v>0.000181883134998112i</v>
      </c>
      <c r="F39" s="728" t="str">
        <f t="shared" si="25"/>
        <v>0.005-237.947781827268i</v>
      </c>
      <c r="G39" s="337" t="str">
        <f t="shared" si="26"/>
        <v>0.005-372.174735678547i</v>
      </c>
      <c r="H39" s="338" t="str">
        <f t="shared" si="27"/>
        <v>1.21665361104709-0.00397733023297168i</v>
      </c>
      <c r="I39" s="338" t="str">
        <f t="shared" si="28"/>
        <v>1.22665361104709-0.00397733023297168i</v>
      </c>
      <c r="J39" s="337" t="str">
        <f t="shared" si="29"/>
        <v>1.22657987603119-0.0103003448291555i</v>
      </c>
      <c r="K39" s="338" t="str">
        <f t="shared" si="1"/>
        <v>0.999999998664098-0.0000574126057443535i</v>
      </c>
      <c r="L39" s="732"/>
      <c r="M39" s="732" t="str">
        <f t="shared" si="2"/>
        <v>19.2391825077702+0.158710357992883i</v>
      </c>
      <c r="N39" s="337">
        <f t="shared" si="3"/>
        <v>0</v>
      </c>
      <c r="O39" s="730" t="str">
        <f t="shared" si="4"/>
        <v>19.2391657175714+0.0595288123547803i</v>
      </c>
      <c r="P39" s="731" t="str">
        <f t="shared" si="5"/>
        <v>23.6000288667375-0.00349928282931387i</v>
      </c>
      <c r="Q39" s="729" t="str">
        <f t="shared" si="6"/>
        <v>23.4076372095618-0.00409457095286151i</v>
      </c>
      <c r="R39" s="730"/>
      <c r="S39" s="405" t="str">
        <f t="shared" si="30"/>
        <v>22.543093176219+0.0818875603348414i</v>
      </c>
      <c r="T39" s="405" t="str">
        <f t="shared" si="31"/>
        <v>22.5425369993759-0.0343217394969333i</v>
      </c>
      <c r="U39" s="405" t="str">
        <f t="shared" si="32"/>
        <v>27.4263225335612-0.131416782231863i</v>
      </c>
      <c r="V39" s="731" t="str">
        <f t="shared" si="7"/>
        <v>6000</v>
      </c>
      <c r="W39" s="733" t="str">
        <f>IMSUM(COMPLEX(1,0),IMDIV(COMPLEX(0,2*PI()*D39),COMPLEX(2*PI()*'Stability Calculations'!EA_Pole1,0)))</f>
        <v>1+69.5840781621565i</v>
      </c>
      <c r="X39" s="734">
        <f t="shared" si="33"/>
        <v>69.591263343016749</v>
      </c>
      <c r="Y39" s="735">
        <f t="shared" si="34"/>
        <v>1.5564262123654731</v>
      </c>
      <c r="Z39" s="340" t="str">
        <f>IMSUM(COMPLEX(1,0),IMDIV(COMPLEX(0,2*PI()*D39),COMPLEX(2*PI()*'Stability Calculations'!EA_Zero1,0)))</f>
        <v>1+0.688951268932242i</v>
      </c>
      <c r="AA39" s="734">
        <f t="shared" si="35"/>
        <v>1.2143532644841641</v>
      </c>
      <c r="AB39" s="735">
        <f t="shared" si="36"/>
        <v>0.60327215563952941</v>
      </c>
      <c r="AC39" s="733" t="str">
        <f>IMSUM(COMPLEX(1,0),IMDIV(COMPLEX(0,2*PI()*D39),COMPLEX(2*PI()*'Stability Calculations'!EA_Pole2,0)))</f>
        <v>1+0.00694012038163011i</v>
      </c>
      <c r="AD39" s="734">
        <f t="shared" si="37"/>
        <v>1.000024082345476</v>
      </c>
      <c r="AE39" s="735">
        <f t="shared" si="38"/>
        <v>6.9400089605906202E-3</v>
      </c>
      <c r="AF39" s="732" t="str">
        <f t="shared" si="39"/>
        <v>60.0373224243912-85.7719309394568i</v>
      </c>
      <c r="AG39" s="337">
        <f t="shared" si="40"/>
        <v>104.69624740635764</v>
      </c>
      <c r="AH39" s="730">
        <f t="shared" si="41"/>
        <v>-0.96009406568653366</v>
      </c>
      <c r="AI39" s="731" t="str">
        <f t="shared" si="14"/>
        <v>10000</v>
      </c>
      <c r="AJ39" s="733" t="str">
        <f t="shared" si="42"/>
        <v>1+64.8715136924064i</v>
      </c>
      <c r="AK39" s="734">
        <f t="shared" si="43"/>
        <v>64.879220777873641</v>
      </c>
      <c r="AL39" s="735">
        <f t="shared" si="44"/>
        <v>1.5553824610458356</v>
      </c>
      <c r="AM39" s="340" t="str">
        <f t="shared" si="45"/>
        <v>1+0.110094412775372i</v>
      </c>
      <c r="AN39" s="734">
        <f t="shared" si="46"/>
        <v>1.006042136157504</v>
      </c>
      <c r="AO39" s="735">
        <f t="shared" si="47"/>
        <v>0.10965280985497937</v>
      </c>
      <c r="AP39" s="733" t="str">
        <f t="shared" si="48"/>
        <v>1+0.00533976049161316i</v>
      </c>
      <c r="AQ39" s="734">
        <f t="shared" si="49"/>
        <v>1.0000142564194312</v>
      </c>
      <c r="AR39" s="735">
        <f t="shared" si="50"/>
        <v>5.3397097415427992E-3</v>
      </c>
      <c r="AS39" s="732" t="str">
        <f t="shared" si="51"/>
        <v>10650.0822861567-9978.84727918136i</v>
      </c>
      <c r="AT39" s="337">
        <f t="shared" si="52"/>
        <v>14594.575900763062</v>
      </c>
      <c r="AU39" s="730">
        <f t="shared" si="53"/>
        <v>-0.75287111133208662</v>
      </c>
      <c r="AV39" s="732" t="str">
        <f t="shared" si="54"/>
        <v>-4932.43174605609-34089.9912909201i</v>
      </c>
      <c r="AW39" s="337">
        <f t="shared" si="55"/>
        <v>90.742517793827076</v>
      </c>
      <c r="AX39" s="730">
        <f t="shared" si="56"/>
        <v>-98.232909700531224</v>
      </c>
      <c r="AY39" s="360">
        <f t="shared" si="57"/>
        <v>81.767090299468776</v>
      </c>
      <c r="BB39" s="337">
        <f t="shared" si="58"/>
        <v>43.283829589585274</v>
      </c>
      <c r="BC39" s="730">
        <f t="shared" si="59"/>
        <v>-43.136337196652491</v>
      </c>
      <c r="BD39" s="351"/>
      <c r="BE39" s="337">
        <f t="shared" si="19"/>
        <v>25.684027823272437</v>
      </c>
      <c r="BF39" s="730">
        <f t="shared" si="20"/>
        <v>0.47264104953538028</v>
      </c>
      <c r="BI39" s="351"/>
      <c r="BJ39" s="351"/>
      <c r="BL39" s="405">
        <f t="shared" si="21"/>
        <v>0</v>
      </c>
      <c r="BM39" s="405">
        <f t="shared" si="22"/>
        <v>0</v>
      </c>
      <c r="BN39" s="405">
        <f t="shared" si="23"/>
        <v>0</v>
      </c>
      <c r="BO39" s="405">
        <f t="shared" si="24"/>
        <v>0</v>
      </c>
    </row>
    <row r="40" spans="1:67" ht="13.5" thickBot="1" x14ac:dyDescent="0.25">
      <c r="D40" s="345">
        <v>12.023</v>
      </c>
      <c r="E40" s="340" t="str">
        <f t="shared" si="0"/>
        <v>0.000199432825543301i</v>
      </c>
      <c r="F40" s="728" t="str">
        <f t="shared" si="25"/>
        <v>0.005-217.008852011643i</v>
      </c>
      <c r="G40" s="337" t="str">
        <f t="shared" si="26"/>
        <v>0.005-339.424101864365i</v>
      </c>
      <c r="H40" s="338" t="str">
        <f t="shared" si="27"/>
        <v>1.21665097008939-0.00436108866065161i</v>
      </c>
      <c r="I40" s="338" t="str">
        <f t="shared" si="28"/>
        <v>1.22665097008939-0.00436108866065161i</v>
      </c>
      <c r="J40" s="337" t="str">
        <f t="shared" si="29"/>
        <v>1.22656232084731-0.0112940508379663i</v>
      </c>
      <c r="K40" s="338" t="str">
        <f t="shared" si="1"/>
        <v>0.999999998393861-0.0000629522807901835i</v>
      </c>
      <c r="L40" s="732"/>
      <c r="M40" s="732" t="str">
        <f t="shared" si="2"/>
        <v>19.2391930415216+0.174024176378984i</v>
      </c>
      <c r="N40" s="337">
        <f t="shared" si="3"/>
        <v>0</v>
      </c>
      <c r="O40" s="730" t="str">
        <f t="shared" si="4"/>
        <v>19.239172854861+0.0652726928038642i</v>
      </c>
      <c r="P40" s="731" t="str">
        <f t="shared" si="5"/>
        <v>23.6000347061332-0.00383692662944399i</v>
      </c>
      <c r="Q40" s="729" t="str">
        <f t="shared" si="6"/>
        <v>23.4076429775846-0.00448965355748285i</v>
      </c>
      <c r="R40" s="730"/>
      <c r="S40" s="405" t="str">
        <f t="shared" si="30"/>
        <v>22.5431738219349+0.0897883761995317i</v>
      </c>
      <c r="T40" s="405" t="str">
        <f t="shared" si="31"/>
        <v>22.5425051403636-0.0376332385274604i</v>
      </c>
      <c r="U40" s="405" t="str">
        <f t="shared" si="32"/>
        <v>27.4261966253787-0.144096379712361i</v>
      </c>
      <c r="V40" s="731" t="str">
        <f t="shared" si="7"/>
        <v>6000</v>
      </c>
      <c r="W40" s="733" t="str">
        <f>IMSUM(COMPLEX(1,0),IMDIV(COMPLEX(0,2*PI()*D40),COMPLEX(2*PI()*'Stability Calculations'!EA_Pole1,0)))</f>
        <v>1+76.2981643177024i</v>
      </c>
      <c r="X40" s="734">
        <f t="shared" si="33"/>
        <v>76.304717273908537</v>
      </c>
      <c r="Y40" s="735">
        <f t="shared" si="34"/>
        <v>1.5576906019724797</v>
      </c>
      <c r="Z40" s="340" t="str">
        <f>IMSUM(COMPLEX(1,0),IMDIV(COMPLEX(0,2*PI()*D40),COMPLEX(2*PI()*'Stability Calculations'!EA_Zero1,0)))</f>
        <v>1+0.755427369482202i</v>
      </c>
      <c r="AA40" s="734">
        <f t="shared" si="35"/>
        <v>1.2532639428958288</v>
      </c>
      <c r="AB40" s="735">
        <f t="shared" si="36"/>
        <v>0.64696558592602249</v>
      </c>
      <c r="AC40" s="733" t="str">
        <f>IMSUM(COMPLEX(1,0),IMDIV(COMPLEX(0,2*PI()*D40),COMPLEX(2*PI()*'Stability Calculations'!EA_Pole2,0)))</f>
        <v>1+0.00760976446405279i</v>
      </c>
      <c r="AD40" s="734">
        <f t="shared" si="37"/>
        <v>1.0000289538384368</v>
      </c>
      <c r="AE40" s="735">
        <f t="shared" si="38"/>
        <v>7.6096175791025818E-3</v>
      </c>
      <c r="AF40" s="732" t="str">
        <f t="shared" si="39"/>
        <v>59.8303776681613-78.3021714040416i</v>
      </c>
      <c r="AG40" s="337">
        <f t="shared" si="40"/>
        <v>98.543919845430977</v>
      </c>
      <c r="AH40" s="730">
        <f t="shared" si="41"/>
        <v>-0.91833463362555967</v>
      </c>
      <c r="AI40" s="731" t="str">
        <f t="shared" si="14"/>
        <v>10000</v>
      </c>
      <c r="AJ40" s="733" t="str">
        <f t="shared" si="42"/>
        <v>1+71.1308900249705i</v>
      </c>
      <c r="AK40" s="734">
        <f t="shared" si="43"/>
        <v>71.137918972545492</v>
      </c>
      <c r="AL40" s="735">
        <f t="shared" si="44"/>
        <v>1.5567386631533278</v>
      </c>
      <c r="AM40" s="340" t="str">
        <f t="shared" si="45"/>
        <v>1+0.120717293643256i</v>
      </c>
      <c r="AN40" s="734">
        <f t="shared" si="46"/>
        <v>1.0072599788458549</v>
      </c>
      <c r="AO40" s="735">
        <f t="shared" si="47"/>
        <v>0.12013597714622916</v>
      </c>
      <c r="AP40" s="733" t="str">
        <f t="shared" si="48"/>
        <v>1+0.00585498772372686i</v>
      </c>
      <c r="AQ40" s="734">
        <f t="shared" si="49"/>
        <v>1.0000171402937277</v>
      </c>
      <c r="AR40" s="735">
        <f t="shared" si="50"/>
        <v>5.854920820390009E-3</v>
      </c>
      <c r="AS40" s="732" t="str">
        <f t="shared" si="51"/>
        <v>9729.93506447683-9996.3525813469i</v>
      </c>
      <c r="AT40" s="337">
        <f t="shared" si="52"/>
        <v>13949.863844838652</v>
      </c>
      <c r="AU40" s="730">
        <f t="shared" si="53"/>
        <v>-0.79890305214630675</v>
      </c>
      <c r="AV40" s="732" t="str">
        <f t="shared" si="54"/>
        <v>-4572.99037753688-30649.3698004889i</v>
      </c>
      <c r="AW40" s="337">
        <f t="shared" si="55"/>
        <v>89.824051696850006</v>
      </c>
      <c r="AX40" s="730">
        <f t="shared" si="56"/>
        <v>-98.486123284641636</v>
      </c>
      <c r="AY40" s="360">
        <f t="shared" si="57"/>
        <v>81.513876715358364</v>
      </c>
      <c r="BB40" s="337">
        <f t="shared" si="58"/>
        <v>42.891399375527371</v>
      </c>
      <c r="BC40" s="730">
        <f t="shared" si="59"/>
        <v>-45.773773128103301</v>
      </c>
      <c r="BD40" s="351"/>
      <c r="BE40" s="337">
        <f t="shared" si="19"/>
        <v>25.684092359092219</v>
      </c>
      <c r="BF40" s="730">
        <f t="shared" si="20"/>
        <v>0.51824309377306987</v>
      </c>
      <c r="BI40" s="351"/>
      <c r="BJ40" s="351"/>
      <c r="BL40" s="405">
        <f t="shared" si="21"/>
        <v>0</v>
      </c>
      <c r="BM40" s="405">
        <f t="shared" si="22"/>
        <v>0</v>
      </c>
      <c r="BN40" s="405">
        <f t="shared" si="23"/>
        <v>0</v>
      </c>
      <c r="BO40" s="405">
        <f t="shared" si="24"/>
        <v>0</v>
      </c>
    </row>
    <row r="41" spans="1:67" ht="13.5" thickBot="1" x14ac:dyDescent="0.25">
      <c r="D41" s="345">
        <v>13.183</v>
      </c>
      <c r="E41" s="340" t="str">
        <f t="shared" si="0"/>
        <v>0.000218674452228008i</v>
      </c>
      <c r="F41" s="728" t="str">
        <f t="shared" si="25"/>
        <v>0.005-197.913785006143i</v>
      </c>
      <c r="G41" s="337" t="str">
        <f t="shared" si="26"/>
        <v>0.005-309.557458599353i</v>
      </c>
      <c r="H41" s="338" t="str">
        <f t="shared" si="27"/>
        <v>1.2166477951574-0.00478184156757726i</v>
      </c>
      <c r="I41" s="338" t="str">
        <f t="shared" si="28"/>
        <v>1.2266477951574-0.00478184156757726i</v>
      </c>
      <c r="J41" s="337" t="str">
        <f t="shared" si="29"/>
        <v>1.22654121675326-0.0123835067587815i</v>
      </c>
      <c r="K41" s="338" t="str">
        <f t="shared" si="1"/>
        <v>0.999999998068983-0.0000690260265871237i</v>
      </c>
      <c r="L41" s="732"/>
      <c r="M41" s="732" t="str">
        <f t="shared" si="2"/>
        <v>19.2392057051602+0.1908143875785i</v>
      </c>
      <c r="N41" s="337">
        <f t="shared" si="3"/>
        <v>0</v>
      </c>
      <c r="O41" s="730" t="str">
        <f t="shared" si="4"/>
        <v>19.2391814352841+0.0715703359115086i</v>
      </c>
      <c r="P41" s="731" t="str">
        <f t="shared" si="5"/>
        <v>23.6000417262317-0.00420712276887768i</v>
      </c>
      <c r="Q41" s="729" t="str">
        <f t="shared" si="6"/>
        <v>23.4076499118789-0.00492282612799272i</v>
      </c>
      <c r="R41" s="730"/>
      <c r="S41" s="405" t="str">
        <f t="shared" si="30"/>
        <v>22.5432707728758+0.0984507631266426i</v>
      </c>
      <c r="T41" s="405" t="str">
        <f t="shared" si="31"/>
        <v>22.542466839988-0.0412639409730697i</v>
      </c>
      <c r="U41" s="405" t="str">
        <f t="shared" si="32"/>
        <v>27.426045260652-0.157998187775579i</v>
      </c>
      <c r="V41" s="731" t="str">
        <f t="shared" si="7"/>
        <v>6000</v>
      </c>
      <c r="W41" s="733" t="str">
        <f>IMSUM(COMPLEX(1,0),IMDIV(COMPLEX(0,2*PI()*D41),COMPLEX(2*PI()*'Stability Calculations'!EA_Pole1,0)))</f>
        <v>1+83.659544223594i</v>
      </c>
      <c r="X41" s="734">
        <f t="shared" si="33"/>
        <v>83.665520614524837</v>
      </c>
      <c r="Y41" s="735">
        <f t="shared" si="34"/>
        <v>1.5588436872370028</v>
      </c>
      <c r="Z41" s="340" t="str">
        <f>IMSUM(COMPLEX(1,0),IMDIV(COMPLEX(0,2*PI()*D41),COMPLEX(2*PI()*'Stability Calculations'!EA_Zero1,0)))</f>
        <v>1+0.828312319045485i</v>
      </c>
      <c r="AA41" s="734">
        <f t="shared" si="35"/>
        <v>1.2984996333778878</v>
      </c>
      <c r="AB41" s="735">
        <f t="shared" si="36"/>
        <v>0.69176772803883524</v>
      </c>
      <c r="AC41" s="733" t="str">
        <f>IMSUM(COMPLEX(1,0),IMDIV(COMPLEX(0,2*PI()*D41),COMPLEX(2*PI()*'Stability Calculations'!EA_Pole2,0)))</f>
        <v>1+0.00834396780583947i</v>
      </c>
      <c r="AD41" s="734">
        <f t="shared" si="37"/>
        <v>1.0000348102934942</v>
      </c>
      <c r="AE41" s="735">
        <f t="shared" si="38"/>
        <v>8.3437741732455984E-3</v>
      </c>
      <c r="AF41" s="732" t="str">
        <f t="shared" si="39"/>
        <v>59.6580396561485-71.496801652155i</v>
      </c>
      <c r="AG41" s="337">
        <f t="shared" si="40"/>
        <v>93.117529725085504</v>
      </c>
      <c r="AH41" s="730">
        <f t="shared" si="41"/>
        <v>-0.87541973337141565</v>
      </c>
      <c r="AI41" s="731" t="str">
        <f t="shared" si="14"/>
        <v>10000</v>
      </c>
      <c r="AJ41" s="733" t="str">
        <f t="shared" si="42"/>
        <v>1+77.9937222988594i</v>
      </c>
      <c r="AK41" s="734">
        <f t="shared" si="43"/>
        <v>78.000132807781796</v>
      </c>
      <c r="AL41" s="735">
        <f t="shared" si="44"/>
        <v>1.5579754845707472</v>
      </c>
      <c r="AM41" s="340" t="str">
        <f t="shared" si="45"/>
        <v>1+0.132364308583468i</v>
      </c>
      <c r="AN41" s="734">
        <f t="shared" si="46"/>
        <v>1.008722117427183</v>
      </c>
      <c r="AO41" s="735">
        <f t="shared" si="47"/>
        <v>0.13159931315021267</v>
      </c>
      <c r="AP41" s="733" t="str">
        <f t="shared" si="48"/>
        <v>1+0.00641988714646021i</v>
      </c>
      <c r="AQ41" s="734">
        <f t="shared" si="49"/>
        <v>1.000020607263157</v>
      </c>
      <c r="AR41" s="735">
        <f t="shared" si="50"/>
        <v>6.4197989501965378E-3</v>
      </c>
      <c r="AS41" s="732" t="str">
        <f t="shared" si="51"/>
        <v>8814.40535933879-9929.46954011318i</v>
      </c>
      <c r="AT41" s="337">
        <f t="shared" si="52"/>
        <v>13277.353169467771</v>
      </c>
      <c r="AU41" s="730">
        <f t="shared" si="53"/>
        <v>-0.84481765736780645</v>
      </c>
      <c r="AV41" s="732" t="str">
        <f t="shared" si="54"/>
        <v>-4199.95665125144-27552.2489909004i</v>
      </c>
      <c r="AW41" s="337">
        <f t="shared" si="55"/>
        <v>88.902902414444114</v>
      </c>
      <c r="AX41" s="730">
        <f t="shared" si="56"/>
        <v>-98.667221943910477</v>
      </c>
      <c r="AY41" s="360">
        <f t="shared" si="57"/>
        <v>81.332778056089523</v>
      </c>
      <c r="BB41" s="337">
        <f t="shared" si="58"/>
        <v>42.462230147532402</v>
      </c>
      <c r="BC41" s="730">
        <f t="shared" si="59"/>
        <v>-48.404486225304566</v>
      </c>
      <c r="BD41" s="351"/>
      <c r="BE41" s="337">
        <f t="shared" si="19"/>
        <v>25.684169942573721</v>
      </c>
      <c r="BF41" s="730">
        <f t="shared" si="20"/>
        <v>0.56824074709798356</v>
      </c>
      <c r="BI41" s="351"/>
      <c r="BJ41" s="351"/>
      <c r="BL41" s="405">
        <f t="shared" si="21"/>
        <v>0</v>
      </c>
      <c r="BM41" s="405">
        <f t="shared" si="22"/>
        <v>0</v>
      </c>
      <c r="BN41" s="405">
        <f t="shared" si="23"/>
        <v>0</v>
      </c>
      <c r="BO41" s="405">
        <f t="shared" si="24"/>
        <v>0</v>
      </c>
    </row>
    <row r="42" spans="1:67" ht="13.5" thickBot="1" x14ac:dyDescent="0.25">
      <c r="D42" s="345">
        <v>14.454000000000001</v>
      </c>
      <c r="E42" s="340" t="str">
        <f t="shared" si="0"/>
        <v>0.000239757303535131i</v>
      </c>
      <c r="F42" s="728" t="str">
        <f t="shared" si="25"/>
        <v>0.005-180.510407343018i</v>
      </c>
      <c r="G42" s="337" t="str">
        <f t="shared" si="26"/>
        <v>0.005-282.336790972413i</v>
      </c>
      <c r="H42" s="338" t="str">
        <f t="shared" si="27"/>
        <v>1.21664398093117-0.00524285219178381i</v>
      </c>
      <c r="I42" s="338" t="str">
        <f t="shared" si="28"/>
        <v>1.22664398093117-0.00524285219178381i</v>
      </c>
      <c r="J42" s="337" t="str">
        <f t="shared" si="29"/>
        <v>1.22651586402299-0.0135771443842325i</v>
      </c>
      <c r="K42" s="338" t="str">
        <f t="shared" si="1"/>
        <v>0.999999997678688-0.0000756809670249781i</v>
      </c>
      <c r="L42" s="732"/>
      <c r="M42" s="732" t="str">
        <f t="shared" si="2"/>
        <v>19.2392209188116+0.209211265872735i</v>
      </c>
      <c r="N42" s="337">
        <f t="shared" si="3"/>
        <v>0</v>
      </c>
      <c r="O42" s="730" t="str">
        <f t="shared" si="4"/>
        <v>19.239191743502+0.0784706046475574i</v>
      </c>
      <c r="P42" s="731" t="str">
        <f t="shared" si="5"/>
        <v>23.600050159929-0.00461274372961005i</v>
      </c>
      <c r="Q42" s="729" t="str">
        <f t="shared" si="6"/>
        <v>23.4076582424939-0.00539744977608606i</v>
      </c>
      <c r="R42" s="730"/>
      <c r="S42" s="405" t="str">
        <f t="shared" si="30"/>
        <v>22.5433872448237+0.107941875348856i</v>
      </c>
      <c r="T42" s="405" t="str">
        <f t="shared" si="31"/>
        <v>22.5424208278569-0.0452419947777396i</v>
      </c>
      <c r="U42" s="405" t="str">
        <f t="shared" si="32"/>
        <v>27.4258634187379-0.173229981077096i</v>
      </c>
      <c r="V42" s="731" t="str">
        <f t="shared" si="7"/>
        <v>6000</v>
      </c>
      <c r="W42" s="733" t="str">
        <f>IMSUM(COMPLEX(1,0),IMDIV(COMPLEX(0,2*PI()*D42),COMPLEX(2*PI()*'Stability Calculations'!EA_Pole1,0)))</f>
        <v>1+91.7253320342734i</v>
      </c>
      <c r="X42" s="734">
        <f t="shared" si="33"/>
        <v>91.730782929165613</v>
      </c>
      <c r="Y42" s="735">
        <f t="shared" si="34"/>
        <v>1.5598946449807929</v>
      </c>
      <c r="Z42" s="340" t="str">
        <f>IMSUM(COMPLEX(1,0),IMDIV(COMPLEX(0,2*PI()*D42),COMPLEX(2*PI()*'Stability Calculations'!EA_Zero1,0)))</f>
        <v>1+0.908171604299737i</v>
      </c>
      <c r="AA42" s="734">
        <f t="shared" si="35"/>
        <v>1.3508425751568383</v>
      </c>
      <c r="AB42" s="735">
        <f t="shared" si="36"/>
        <v>0.73731149997518142</v>
      </c>
      <c r="AC42" s="733" t="str">
        <f>IMSUM(COMPLEX(1,0),IMDIV(COMPLEX(0,2*PI()*D42),COMPLEX(2*PI()*'Stability Calculations'!EA_Pole2,0)))</f>
        <v>1+0.00914842681222814i</v>
      </c>
      <c r="AD42" s="734">
        <f t="shared" si="37"/>
        <v>1.0000418459810263</v>
      </c>
      <c r="AE42" s="735">
        <f t="shared" si="38"/>
        <v>9.1481716031072257E-3</v>
      </c>
      <c r="AF42" s="732" t="str">
        <f t="shared" si="39"/>
        <v>59.5145236928123-65.3017994064858i</v>
      </c>
      <c r="AG42" s="337">
        <f t="shared" si="40"/>
        <v>88.353288202008798</v>
      </c>
      <c r="AH42" s="730">
        <f t="shared" si="41"/>
        <v>-0.83173131660871935</v>
      </c>
      <c r="AI42" s="731" t="str">
        <f t="shared" si="14"/>
        <v>10000</v>
      </c>
      <c r="AJ42" s="733" t="str">
        <f t="shared" si="42"/>
        <v>1+85.5132566265427i</v>
      </c>
      <c r="AK42" s="734">
        <f t="shared" si="43"/>
        <v>85.519103473299751</v>
      </c>
      <c r="AL42" s="735">
        <f t="shared" si="44"/>
        <v>1.5591027665301105</v>
      </c>
      <c r="AM42" s="340" t="str">
        <f t="shared" si="45"/>
        <v>1+0.145125822367098i</v>
      </c>
      <c r="AN42" s="734">
        <f t="shared" si="46"/>
        <v>1.0104758801266494</v>
      </c>
      <c r="AO42" s="735">
        <f t="shared" si="47"/>
        <v>0.14411965093269868</v>
      </c>
      <c r="AP42" s="733" t="str">
        <f t="shared" si="48"/>
        <v>1+0.00703884160016202i</v>
      </c>
      <c r="AQ42" s="734">
        <f t="shared" si="49"/>
        <v>1.0000247723387017</v>
      </c>
      <c r="AR42" s="735">
        <f t="shared" si="50"/>
        <v>7.0387253564656331E-3</v>
      </c>
      <c r="AS42" s="732" t="str">
        <f t="shared" si="51"/>
        <v>7919.20803054471-9781.1198121611i</v>
      </c>
      <c r="AT42" s="337">
        <f t="shared" si="52"/>
        <v>12585.076901270575</v>
      </c>
      <c r="AU42" s="730">
        <f t="shared" si="53"/>
        <v>-0.89020354423309478</v>
      </c>
      <c r="AV42" s="732" t="str">
        <f t="shared" si="54"/>
        <v>-3823.71322458384-24772.3446041169i</v>
      </c>
      <c r="AW42" s="337">
        <f t="shared" si="55"/>
        <v>87.981600368547049</v>
      </c>
      <c r="AX42" s="730">
        <f t="shared" si="56"/>
        <v>-98.774590961375196</v>
      </c>
      <c r="AY42" s="360">
        <f t="shared" si="57"/>
        <v>81.225409038624804</v>
      </c>
      <c r="BB42" s="337">
        <f t="shared" si="58"/>
        <v>41.997117473087606</v>
      </c>
      <c r="BC42" s="730">
        <f t="shared" si="59"/>
        <v>-51.004905992143826</v>
      </c>
      <c r="BD42" s="351"/>
      <c r="BE42" s="337">
        <f t="shared" si="19"/>
        <v>25.684263146846131</v>
      </c>
      <c r="BF42" s="730">
        <f t="shared" si="20"/>
        <v>0.62302159568575533</v>
      </c>
      <c r="BI42" s="351"/>
      <c r="BJ42" s="351"/>
      <c r="BL42" s="405">
        <f t="shared" si="21"/>
        <v>0</v>
      </c>
      <c r="BM42" s="405">
        <f t="shared" si="22"/>
        <v>0</v>
      </c>
      <c r="BN42" s="405">
        <f t="shared" si="23"/>
        <v>0</v>
      </c>
      <c r="BO42" s="405">
        <f t="shared" si="24"/>
        <v>0</v>
      </c>
    </row>
    <row r="43" spans="1:67" ht="13.5" thickBot="1" x14ac:dyDescent="0.25">
      <c r="D43" s="345">
        <v>15.849</v>
      </c>
      <c r="E43" s="340" t="str">
        <f t="shared" si="0"/>
        <v>0.000262897018384412i</v>
      </c>
      <c r="F43" s="728" t="str">
        <f t="shared" si="25"/>
        <v>0.005-164.622211353144i</v>
      </c>
      <c r="G43" s="337" t="str">
        <f t="shared" si="26"/>
        <v>0.005-257.486022885688i</v>
      </c>
      <c r="H43" s="338" t="str">
        <f t="shared" si="27"/>
        <v>1.21663939078178-0.0057488342052476i</v>
      </c>
      <c r="I43" s="338" t="str">
        <f t="shared" si="28"/>
        <v>1.22663939078178-0.0057488342052476i</v>
      </c>
      <c r="J43" s="337" t="str">
        <f t="shared" si="29"/>
        <v>1.22648535500187-0.0148871447794453i</v>
      </c>
      <c r="K43" s="338" t="str">
        <f t="shared" si="1"/>
        <v>0.999999997208991-0.0000829851699445744i</v>
      </c>
      <c r="L43" s="732"/>
      <c r="M43" s="732" t="str">
        <f t="shared" si="2"/>
        <v>19.2392392275062+0.229402984756343i</v>
      </c>
      <c r="N43" s="337">
        <f t="shared" si="3"/>
        <v>0</v>
      </c>
      <c r="O43" s="730" t="str">
        <f t="shared" si="4"/>
        <v>19.2392041488063+0.086044078689039i</v>
      </c>
      <c r="P43" s="731" t="str">
        <f t="shared" si="5"/>
        <v>23.6000603093607-0.00505793862889578i</v>
      </c>
      <c r="Q43" s="729" t="str">
        <f t="shared" si="6"/>
        <v>23.4076682678727-0.0059183794157857i</v>
      </c>
      <c r="R43" s="730"/>
      <c r="S43" s="405" t="str">
        <f t="shared" si="30"/>
        <v>22.5435274094594+0.118358718093069i</v>
      </c>
      <c r="T43" s="405" t="str">
        <f t="shared" si="31"/>
        <v>22.542365455952-0.0496080599261705i</v>
      </c>
      <c r="U43" s="405" t="str">
        <f t="shared" si="32"/>
        <v>27.4256445865978-0.189947441406808i</v>
      </c>
      <c r="V43" s="731" t="str">
        <f t="shared" si="7"/>
        <v>6000</v>
      </c>
      <c r="W43" s="733" t="str">
        <f>IMSUM(COMPLEX(1,0),IMDIV(COMPLEX(0,2*PI()*D43),COMPLEX(2*PI()*'Stability Calculations'!EA_Pole1,0)))</f>
        <v>1+100.578025972824i</v>
      </c>
      <c r="X43" s="734">
        <f t="shared" si="33"/>
        <v>100.58299711477113</v>
      </c>
      <c r="Y43" s="735">
        <f t="shared" si="34"/>
        <v>1.5608541247981482</v>
      </c>
      <c r="Z43" s="340" t="str">
        <f>IMSUM(COMPLEX(1,0),IMDIV(COMPLEX(0,2*PI()*D43),COMPLEX(2*PI()*'Stability Calculations'!EA_Zero1,0)))</f>
        <v>1+0.995822039334893i</v>
      </c>
      <c r="AA43" s="734">
        <f t="shared" si="35"/>
        <v>1.4112623902113686</v>
      </c>
      <c r="AB43" s="735">
        <f t="shared" si="36"/>
        <v>0.78330481314878131</v>
      </c>
      <c r="AC43" s="733" t="str">
        <f>IMSUM(COMPLEX(1,0),IMDIV(COMPLEX(0,2*PI()*D43),COMPLEX(2*PI()*'Stability Calculations'!EA_Pole2,0)))</f>
        <v>1+0.0100313696241182i</v>
      </c>
      <c r="AD43" s="734">
        <f t="shared" si="37"/>
        <v>1.0000503129225728</v>
      </c>
      <c r="AE43" s="735">
        <f t="shared" si="38"/>
        <v>1.0031033164285842E-2</v>
      </c>
      <c r="AF43" s="732" t="str">
        <f t="shared" si="39"/>
        <v>59.3947170241024-59.6545044351465i</v>
      </c>
      <c r="AG43" s="337">
        <f t="shared" si="40"/>
        <v>84.180712219463388</v>
      </c>
      <c r="AH43" s="730">
        <f t="shared" si="41"/>
        <v>-0.78758034481365335</v>
      </c>
      <c r="AI43" s="731" t="str">
        <f t="shared" si="14"/>
        <v>10000</v>
      </c>
      <c r="AJ43" s="733" t="str">
        <f t="shared" si="42"/>
        <v>1+93.766404059366i</v>
      </c>
      <c r="AK43" s="734">
        <f t="shared" si="43"/>
        <v>93.771736308038399</v>
      </c>
      <c r="AL43" s="735">
        <f t="shared" si="44"/>
        <v>1.5601319305224657</v>
      </c>
      <c r="AM43" s="340" t="str">
        <f t="shared" si="45"/>
        <v>1+0.159132361885716i</v>
      </c>
      <c r="AN43" s="734">
        <f t="shared" si="46"/>
        <v>1.0125823959556706</v>
      </c>
      <c r="AO43" s="735">
        <f t="shared" si="47"/>
        <v>0.15780916686271637</v>
      </c>
      <c r="AP43" s="733" t="str">
        <f t="shared" si="48"/>
        <v>1+0.00771818185422498i</v>
      </c>
      <c r="AQ43" s="734">
        <f t="shared" si="49"/>
        <v>1.0000297847220025</v>
      </c>
      <c r="AR43" s="735">
        <f t="shared" si="50"/>
        <v>7.718028601486261E-3</v>
      </c>
      <c r="AS43" s="732" t="str">
        <f t="shared" si="51"/>
        <v>7056.72185500003-9557.04524218472i</v>
      </c>
      <c r="AT43" s="337">
        <f t="shared" si="52"/>
        <v>11880.001561447738</v>
      </c>
      <c r="AU43" s="730">
        <f t="shared" si="53"/>
        <v>-0.93477421446161768</v>
      </c>
      <c r="AV43" s="732" t="str">
        <f t="shared" si="54"/>
        <v>-3452.68740033239-22277.9653319128i</v>
      </c>
      <c r="AW43" s="337">
        <f t="shared" si="55"/>
        <v>87.06059262871959</v>
      </c>
      <c r="AX43" s="730">
        <f t="shared" si="56"/>
        <v>-98.809735342173056</v>
      </c>
      <c r="AY43" s="360">
        <f t="shared" si="57"/>
        <v>81.190264657826944</v>
      </c>
      <c r="BB43" s="337">
        <f t="shared" si="58"/>
        <v>41.496329954533252</v>
      </c>
      <c r="BC43" s="730">
        <f t="shared" si="59"/>
        <v>-53.558617286307573</v>
      </c>
      <c r="BD43" s="351"/>
      <c r="BE43" s="337">
        <f t="shared" si="19"/>
        <v>25.684375309847191</v>
      </c>
      <c r="BF43" s="730">
        <f t="shared" si="20"/>
        <v>0.68314551451707195</v>
      </c>
      <c r="BI43" s="351"/>
      <c r="BJ43" s="351"/>
      <c r="BL43" s="405">
        <f t="shared" si="21"/>
        <v>0</v>
      </c>
      <c r="BM43" s="405">
        <f t="shared" si="22"/>
        <v>0</v>
      </c>
      <c r="BN43" s="405">
        <f t="shared" si="23"/>
        <v>0</v>
      </c>
      <c r="BO43" s="405">
        <f t="shared" si="24"/>
        <v>0</v>
      </c>
    </row>
    <row r="44" spans="1:67" ht="13.5" thickBot="1" x14ac:dyDescent="0.25">
      <c r="D44" s="345">
        <v>17.378</v>
      </c>
      <c r="E44" s="340" t="str">
        <f t="shared" si="0"/>
        <v>0.00028825947286796i</v>
      </c>
      <c r="F44" s="728" t="str">
        <f t="shared" si="25"/>
        <v>0.005-150.137957632408i</v>
      </c>
      <c r="G44" s="337" t="str">
        <f t="shared" si="26"/>
        <v>0.005-234.831164501972i</v>
      </c>
      <c r="H44" s="338" t="str">
        <f t="shared" si="27"/>
        <v>1.21663387430263-0.00630341257975272i</v>
      </c>
      <c r="I44" s="338" t="str">
        <f t="shared" si="28"/>
        <v>1.22663387430263-0.00630341257975272i</v>
      </c>
      <c r="J44" s="337" t="str">
        <f t="shared" si="29"/>
        <v>1.22644869071936-0.0163228621393443i</v>
      </c>
      <c r="K44" s="338" t="str">
        <f t="shared" si="1"/>
        <v>0.999999996644501-0.0000909909952234724i</v>
      </c>
      <c r="L44" s="732"/>
      <c r="M44" s="732" t="str">
        <f t="shared" si="2"/>
        <v>19.239261231261+0.251534297173792i</v>
      </c>
      <c r="N44" s="337">
        <f t="shared" si="3"/>
        <v>0</v>
      </c>
      <c r="O44" s="730" t="str">
        <f t="shared" si="4"/>
        <v>19.2392190577452+0.094345051573038i</v>
      </c>
      <c r="P44" s="731" t="str">
        <f t="shared" si="5"/>
        <v>23.6000725071439-0.00554589930089343i</v>
      </c>
      <c r="Q44" s="729" t="str">
        <f t="shared" si="6"/>
        <v>23.4076803165664-0.00648934981662368i</v>
      </c>
      <c r="R44" s="730"/>
      <c r="S44" s="405" t="str">
        <f t="shared" si="30"/>
        <v>22.5436958589467+0.12977586979925i</v>
      </c>
      <c r="T44" s="405" t="str">
        <f t="shared" si="31"/>
        <v>22.5422989101427-0.0543933971543296i</v>
      </c>
      <c r="U44" s="405" t="str">
        <f t="shared" si="32"/>
        <v>27.4253815947109-0.208270260043094i</v>
      </c>
      <c r="V44" s="731" t="str">
        <f t="shared" si="7"/>
        <v>6000</v>
      </c>
      <c r="W44" s="733" t="str">
        <f>IMSUM(COMPLEX(1,0),IMDIV(COMPLEX(0,2*PI()*D44),COMPLEX(2*PI()*'Stability Calculations'!EA_Pole1,0)))</f>
        <v>1+110.281086210849i</v>
      </c>
      <c r="X44" s="734">
        <f t="shared" si="33"/>
        <v>110.28561998667237</v>
      </c>
      <c r="Y44" s="735">
        <f t="shared" si="34"/>
        <v>1.5617288372755922</v>
      </c>
      <c r="Z44" s="340" t="str">
        <f>IMSUM(COMPLEX(1,0),IMDIV(COMPLEX(0,2*PI()*D44),COMPLEX(2*PI()*'Stability Calculations'!EA_Zero1,0)))</f>
        <v>1+1.09189194268167i</v>
      </c>
      <c r="AA44" s="734">
        <f t="shared" si="35"/>
        <v>1.480617443667726</v>
      </c>
      <c r="AB44" s="735">
        <f t="shared" si="36"/>
        <v>0.82929761298778648</v>
      </c>
      <c r="AC44" s="733" t="str">
        <f>IMSUM(COMPLEX(1,0),IMDIV(COMPLEX(0,2*PI()*D44),COMPLEX(2*PI()*'Stability Calculations'!EA_Pole2,0)))</f>
        <v>1+0.0109991255806629i</v>
      </c>
      <c r="AD44" s="734">
        <f t="shared" si="37"/>
        <v>1.0000604885523372</v>
      </c>
      <c r="AE44" s="735">
        <f t="shared" si="38"/>
        <v>1.0998682051987179E-2</v>
      </c>
      <c r="AF44" s="732" t="str">
        <f t="shared" si="39"/>
        <v>59.2947361226255-54.51551210225i</v>
      </c>
      <c r="AG44" s="337">
        <f t="shared" si="40"/>
        <v>80.546922918398039</v>
      </c>
      <c r="AH44" s="730">
        <f t="shared" si="41"/>
        <v>-0.74342990633979344</v>
      </c>
      <c r="AI44" s="731" t="str">
        <f t="shared" si="14"/>
        <v>10000</v>
      </c>
      <c r="AJ44" s="733" t="str">
        <f t="shared" si="42"/>
        <v>1+102.812326944518i</v>
      </c>
      <c r="AK44" s="734">
        <f t="shared" si="43"/>
        <v>102.81719005957353</v>
      </c>
      <c r="AL44" s="735">
        <f t="shared" si="44"/>
        <v>1.5610701733575383</v>
      </c>
      <c r="AM44" s="340" t="str">
        <f t="shared" si="45"/>
        <v>1+0.174484332440531i</v>
      </c>
      <c r="AN44" s="734">
        <f t="shared" si="46"/>
        <v>1.0151082613530529</v>
      </c>
      <c r="AO44" s="735">
        <f t="shared" si="47"/>
        <v>0.17274527817109814</v>
      </c>
      <c r="AP44" s="733" t="str">
        <f t="shared" si="48"/>
        <v>1+0.00846277773125887i</v>
      </c>
      <c r="AQ44" s="734">
        <f t="shared" si="49"/>
        <v>1.0000358086623342</v>
      </c>
      <c r="AR44" s="735">
        <f t="shared" si="50"/>
        <v>8.4625757091559718E-3</v>
      </c>
      <c r="AS44" s="732" t="str">
        <f t="shared" si="51"/>
        <v>6239.96742793638-9266.18341373732i</v>
      </c>
      <c r="AT44" s="337">
        <f t="shared" si="52"/>
        <v>11171.362878303058</v>
      </c>
      <c r="AU44" s="730">
        <f t="shared" si="53"/>
        <v>-0.97813778594569512</v>
      </c>
      <c r="AV44" s="732" t="str">
        <f t="shared" si="54"/>
        <v>-3095.05982590487-20046.5238185984i</v>
      </c>
      <c r="AW44" s="337">
        <f t="shared" si="55"/>
        <v>86.143091634056816</v>
      </c>
      <c r="AX44" s="730">
        <f t="shared" si="56"/>
        <v>-98.776814387601647</v>
      </c>
      <c r="AY44" s="360">
        <f t="shared" si="57"/>
        <v>81.223185612398353</v>
      </c>
      <c r="BB44" s="337">
        <f t="shared" si="58"/>
        <v>40.962123183745469</v>
      </c>
      <c r="BC44" s="730">
        <f t="shared" si="59"/>
        <v>-56.043166916959059</v>
      </c>
      <c r="BD44" s="351"/>
      <c r="BE44" s="337">
        <f t="shared" si="19"/>
        <v>25.684510105807966</v>
      </c>
      <c r="BF44" s="730">
        <f t="shared" si="20"/>
        <v>0.74904292860757227</v>
      </c>
      <c r="BI44" s="351"/>
      <c r="BJ44" s="351"/>
      <c r="BL44" s="405">
        <f t="shared" si="21"/>
        <v>0</v>
      </c>
      <c r="BM44" s="405">
        <f t="shared" si="22"/>
        <v>0</v>
      </c>
      <c r="BN44" s="405">
        <f t="shared" si="23"/>
        <v>0</v>
      </c>
      <c r="BO44" s="405">
        <f t="shared" si="24"/>
        <v>0</v>
      </c>
    </row>
    <row r="45" spans="1:67" ht="13.5" thickBot="1" x14ac:dyDescent="0.25">
      <c r="D45" s="345">
        <v>19.055</v>
      </c>
      <c r="E45" s="340" t="str">
        <f t="shared" si="0"/>
        <v>0.000316076893514731i</v>
      </c>
      <c r="F45" s="728" t="str">
        <f t="shared" si="25"/>
        <v>0.005-136.924556690422i</v>
      </c>
      <c r="G45" s="337" t="str">
        <f t="shared" si="26"/>
        <v>0.005-214.164050208096i</v>
      </c>
      <c r="H45" s="338" t="str">
        <f t="shared" si="27"/>
        <v>1.21662724012637-0.00691166239268183i</v>
      </c>
      <c r="I45" s="338" t="str">
        <f t="shared" si="28"/>
        <v>1.22662724012637-0.00691166239268183i</v>
      </c>
      <c r="J45" s="337" t="str">
        <f t="shared" si="29"/>
        <v>1.22640460033574-0.017897394335877i</v>
      </c>
      <c r="K45" s="338" t="str">
        <f t="shared" si="1"/>
        <v>0.999999995965633-0.0000997717466902558i</v>
      </c>
      <c r="L45" s="732"/>
      <c r="M45" s="732" t="str">
        <f t="shared" si="2"/>
        <v>19.2392876935216+0.275807856731896i</v>
      </c>
      <c r="N45" s="337">
        <f t="shared" si="3"/>
        <v>0</v>
      </c>
      <c r="O45" s="730" t="str">
        <f t="shared" si="4"/>
        <v>19.2392369875995+0.103449534065793i</v>
      </c>
      <c r="P45" s="731" t="str">
        <f t="shared" si="5"/>
        <v>23.6000871764906-0.00608109428760334i</v>
      </c>
      <c r="Q45" s="729" t="str">
        <f t="shared" si="6"/>
        <v>23.4076948066146-0.00711558962826138i</v>
      </c>
      <c r="R45" s="730"/>
      <c r="S45" s="405" t="str">
        <f t="shared" si="30"/>
        <v>22.5438984358864+0.142297745436343i</v>
      </c>
      <c r="T45" s="405" t="str">
        <f t="shared" si="31"/>
        <v>22.5422188823153-0.0596417735272568i</v>
      </c>
      <c r="U45" s="405" t="str">
        <f t="shared" si="32"/>
        <v>27.4250653213129-0.228366012819212i</v>
      </c>
      <c r="V45" s="731" t="str">
        <f t="shared" si="7"/>
        <v>6000</v>
      </c>
      <c r="W45" s="733" t="str">
        <f>IMSUM(COMPLEX(1,0),IMDIV(COMPLEX(0,2*PI()*D45),COMPLEX(2*PI()*'Stability Calculations'!EA_Pole1,0)))</f>
        <v>1+120.92335698859i</v>
      </c>
      <c r="X45" s="734">
        <f t="shared" si="33"/>
        <v>120.92749176837324</v>
      </c>
      <c r="Y45" s="735">
        <f t="shared" si="34"/>
        <v>1.5625268143545077</v>
      </c>
      <c r="Z45" s="340" t="str">
        <f>IMSUM(COMPLEX(1,0),IMDIV(COMPLEX(0,2*PI()*D45),COMPLEX(2*PI()*'Stability Calculations'!EA_Zero1,0)))</f>
        <v>1+1.19726096028307i</v>
      </c>
      <c r="AA45" s="734">
        <f t="shared" si="35"/>
        <v>1.5599467321091252</v>
      </c>
      <c r="AB45" s="735">
        <f t="shared" si="36"/>
        <v>0.87493397960909269</v>
      </c>
      <c r="AC45" s="733" t="str">
        <f>IMSUM(COMPLEX(1,0),IMDIV(COMPLEX(0,2*PI()*D45),COMPLEX(2*PI()*'Stability Calculations'!EA_Pole2,0)))</f>
        <v>1+0.0120605557566769i</v>
      </c>
      <c r="AD45" s="734">
        <f t="shared" si="37"/>
        <v>1.0000727258580548</v>
      </c>
      <c r="AE45" s="735">
        <f t="shared" si="38"/>
        <v>1.2059971043599443E-2</v>
      </c>
      <c r="AF45" s="732" t="str">
        <f t="shared" si="39"/>
        <v>59.2111075761221-49.8376957319237i</v>
      </c>
      <c r="AG45" s="337">
        <f t="shared" si="40"/>
        <v>77.393482776386989</v>
      </c>
      <c r="AH45" s="730">
        <f t="shared" si="41"/>
        <v>-0.6996528057890139</v>
      </c>
      <c r="AI45" s="731" t="str">
        <f t="shared" si="14"/>
        <v>10000</v>
      </c>
      <c r="AJ45" s="733" t="str">
        <f t="shared" si="42"/>
        <v>1+112.733852568062i</v>
      </c>
      <c r="AK45" s="734">
        <f t="shared" si="43"/>
        <v>112.73828770580801</v>
      </c>
      <c r="AL45" s="735">
        <f t="shared" si="44"/>
        <v>1.5619261094629715</v>
      </c>
      <c r="AM45" s="340" t="str">
        <f t="shared" si="45"/>
        <v>1+0.191322301453235i</v>
      </c>
      <c r="AN45" s="734">
        <f t="shared" si="46"/>
        <v>1.0181376247999887</v>
      </c>
      <c r="AO45" s="735">
        <f t="shared" si="47"/>
        <v>0.18903786599737235</v>
      </c>
      <c r="AP45" s="733" t="str">
        <f t="shared" si="48"/>
        <v>1+0.00927944698291734i</v>
      </c>
      <c r="AQ45" s="734">
        <f t="shared" si="49"/>
        <v>1.000043053141368</v>
      </c>
      <c r="AR45" s="735">
        <f t="shared" si="50"/>
        <v>9.2791806513819672E-3</v>
      </c>
      <c r="AS45" s="732" t="str">
        <f t="shared" si="51"/>
        <v>5477.53241310107-8918.9285749718i</v>
      </c>
      <c r="AT45" s="337">
        <f t="shared" si="52"/>
        <v>10466.644556018004</v>
      </c>
      <c r="AU45" s="730">
        <f t="shared" si="53"/>
        <v>-1.0200395760162153</v>
      </c>
      <c r="AV45" s="732" t="str">
        <f t="shared" si="54"/>
        <v>-2756.63359691353-18051.1167141028i</v>
      </c>
      <c r="AW45" s="337">
        <f t="shared" si="55"/>
        <v>85.230200982617745</v>
      </c>
      <c r="AX45" s="730">
        <f t="shared" si="56"/>
        <v>-98.682707267073738</v>
      </c>
      <c r="AY45" s="360">
        <f t="shared" si="57"/>
        <v>81.317292732926262</v>
      </c>
      <c r="BB45" s="337">
        <f t="shared" si="58"/>
        <v>40.396149518263059</v>
      </c>
      <c r="BC45" s="730">
        <f t="shared" si="59"/>
        <v>-58.443962642043047</v>
      </c>
      <c r="BD45" s="351"/>
      <c r="BE45" s="337">
        <f t="shared" si="19"/>
        <v>25.684672209311728</v>
      </c>
      <c r="BF45" s="730">
        <f t="shared" si="20"/>
        <v>0.8213164642107792</v>
      </c>
      <c r="BI45" s="351"/>
      <c r="BJ45" s="351"/>
      <c r="BL45" s="405">
        <f t="shared" si="21"/>
        <v>0</v>
      </c>
      <c r="BM45" s="405">
        <f t="shared" si="22"/>
        <v>0</v>
      </c>
      <c r="BN45" s="405">
        <f t="shared" si="23"/>
        <v>0</v>
      </c>
      <c r="BO45" s="405">
        <f t="shared" si="24"/>
        <v>0</v>
      </c>
    </row>
    <row r="46" spans="1:67" ht="13.5" thickBot="1" x14ac:dyDescent="0.25">
      <c r="D46" s="345">
        <v>20.893000000000001</v>
      </c>
      <c r="E46" s="340" t="str">
        <f t="shared" si="0"/>
        <v>0.000346564919244464i</v>
      </c>
      <c r="F46" s="728" t="str">
        <f t="shared" si="25"/>
        <v>0.005-124.879023009428i</v>
      </c>
      <c r="G46" s="337" t="str">
        <f t="shared" si="26"/>
        <v>0.005-195.32360009167i</v>
      </c>
      <c r="H46" s="338" t="str">
        <f t="shared" si="27"/>
        <v>1.21661926763015-0.00757829505118752i</v>
      </c>
      <c r="I46" s="338" t="str">
        <f t="shared" si="28"/>
        <v>1.22661926763015-0.00757829505118752i</v>
      </c>
      <c r="J46" s="337" t="str">
        <f t="shared" si="29"/>
        <v>1.22635161911776-0.0196228838252346i</v>
      </c>
      <c r="K46" s="338" t="str">
        <f t="shared" si="1"/>
        <v>0.999999995149806-0.000109395492185753i</v>
      </c>
      <c r="L46" s="732"/>
      <c r="M46" s="732" t="str">
        <f t="shared" si="2"/>
        <v>19.239319494495+0.302411846919498i</v>
      </c>
      <c r="N46" s="337">
        <f t="shared" si="3"/>
        <v>0</v>
      </c>
      <c r="O46" s="730" t="str">
        <f t="shared" si="4"/>
        <v>19.2392585347621+0.113428109444575i</v>
      </c>
      <c r="P46" s="731" t="str">
        <f t="shared" si="5"/>
        <v>23.6001048053373-0.00666767320692961i</v>
      </c>
      <c r="Q46" s="729" t="str">
        <f t="shared" si="6"/>
        <v>23.4077122199897-0.00780195430137495i</v>
      </c>
      <c r="R46" s="730"/>
      <c r="S46" s="405" t="str">
        <f t="shared" si="30"/>
        <v>22.5441418757286+0.156021250447317i</v>
      </c>
      <c r="T46" s="405" t="str">
        <f t="shared" si="31"/>
        <v>22.5421227116361-0.0653938096295387i</v>
      </c>
      <c r="U46" s="405" t="str">
        <f t="shared" si="32"/>
        <v>27.4246852506757-0.250390225767889i</v>
      </c>
      <c r="V46" s="731" t="str">
        <f t="shared" si="7"/>
        <v>6000</v>
      </c>
      <c r="W46" s="733" t="str">
        <f>IMSUM(COMPLEX(1,0),IMDIV(COMPLEX(0,2*PI()*D46),COMPLEX(2*PI()*'Stability Calculations'!EA_Pole1,0)))</f>
        <v>1+132.587336529132i</v>
      </c>
      <c r="X46" s="734">
        <f t="shared" si="33"/>
        <v>132.5911075747137</v>
      </c>
      <c r="Y46" s="735">
        <f t="shared" si="34"/>
        <v>1.5632542713826758</v>
      </c>
      <c r="Z46" s="340" t="str">
        <f>IMSUM(COMPLEX(1,0),IMDIV(COMPLEX(0,2*PI()*D46),COMPLEX(2*PI()*'Stability Calculations'!EA_Zero1,0)))</f>
        <v>1+1.31274590622903i</v>
      </c>
      <c r="AA46" s="734">
        <f t="shared" si="35"/>
        <v>1.6502429561495111</v>
      </c>
      <c r="AB46" s="735">
        <f t="shared" si="36"/>
        <v>0.91980991314500049</v>
      </c>
      <c r="AC46" s="733" t="str">
        <f>IMSUM(COMPLEX(1,0),IMDIV(COMPLEX(0,2*PI()*D46),COMPLEX(2*PI()*'Stability Calculations'!EA_Pole2,0)))</f>
        <v>1+0.0132238882930595i</v>
      </c>
      <c r="AD46" s="734">
        <f t="shared" si="37"/>
        <v>1.0000874317886348</v>
      </c>
      <c r="AE46" s="735">
        <f t="shared" si="38"/>
        <v>1.3223117548093239E-2</v>
      </c>
      <c r="AF46" s="732" t="str">
        <f t="shared" si="39"/>
        <v>59.1410441024425-45.5846651013075i</v>
      </c>
      <c r="AG46" s="337">
        <f t="shared" si="40"/>
        <v>74.670106400924666</v>
      </c>
      <c r="AH46" s="730">
        <f t="shared" si="41"/>
        <v>-0.65666747578576823</v>
      </c>
      <c r="AI46" s="731" t="str">
        <f t="shared" si="14"/>
        <v>10000</v>
      </c>
      <c r="AJ46" s="733" t="str">
        <f t="shared" si="42"/>
        <v>1+123.607891981345i</v>
      </c>
      <c r="AK46" s="734">
        <f t="shared" si="43"/>
        <v>123.61193696432336</v>
      </c>
      <c r="AL46" s="735">
        <f t="shared" si="44"/>
        <v>1.5627064049601</v>
      </c>
      <c r="AM46" s="340" t="str">
        <f t="shared" si="45"/>
        <v>1+0.209776795815399i</v>
      </c>
      <c r="AN46" s="734">
        <f t="shared" si="46"/>
        <v>1.0217662668451017</v>
      </c>
      <c r="AO46" s="735">
        <f t="shared" si="47"/>
        <v>0.20677840799055511</v>
      </c>
      <c r="AP46" s="733" t="str">
        <f t="shared" si="48"/>
        <v>1+0.0101745203785931i</v>
      </c>
      <c r="AQ46" s="734">
        <f t="shared" si="49"/>
        <v>1.0000517590929654</v>
      </c>
      <c r="AR46" s="735">
        <f t="shared" si="50"/>
        <v>1.0174169308682051E-2</v>
      </c>
      <c r="AS46" s="732" t="str">
        <f t="shared" si="51"/>
        <v>4776.21174980655-8527.13529370449i</v>
      </c>
      <c r="AT46" s="337">
        <f t="shared" si="52"/>
        <v>9773.6500344615833</v>
      </c>
      <c r="AU46" s="730">
        <f t="shared" si="53"/>
        <v>-1.0602173065911547</v>
      </c>
      <c r="AV46" s="732" t="str">
        <f t="shared" si="54"/>
        <v>-2442.01125888256-16269.0446682707i</v>
      </c>
      <c r="AW46" s="337">
        <f t="shared" si="55"/>
        <v>84.324003827169435</v>
      </c>
      <c r="AX46" s="730">
        <f t="shared" si="56"/>
        <v>-98.536464272590507</v>
      </c>
      <c r="AY46" s="360">
        <f t="shared" si="57"/>
        <v>81.463535727409493</v>
      </c>
      <c r="BB46" s="337">
        <f t="shared" si="58"/>
        <v>39.801135683359568</v>
      </c>
      <c r="BC46" s="730">
        <f t="shared" si="59"/>
        <v>-60.745977034400802</v>
      </c>
      <c r="BD46" s="351"/>
      <c r="BE46" s="337">
        <f t="shared" si="19"/>
        <v>25.684867009017822</v>
      </c>
      <c r="BF46" s="730">
        <f t="shared" si="20"/>
        <v>0.90052539218579875</v>
      </c>
      <c r="BI46" s="351"/>
      <c r="BJ46" s="351"/>
      <c r="BL46" s="405">
        <f t="shared" si="21"/>
        <v>0</v>
      </c>
      <c r="BM46" s="405">
        <f t="shared" si="22"/>
        <v>0</v>
      </c>
      <c r="BN46" s="405">
        <f t="shared" si="23"/>
        <v>0</v>
      </c>
      <c r="BO46" s="405">
        <f t="shared" si="24"/>
        <v>0</v>
      </c>
    </row>
    <row r="47" spans="1:67" ht="13.5" thickBot="1" x14ac:dyDescent="0.25">
      <c r="D47" s="345">
        <v>22.909000000000002</v>
      </c>
      <c r="E47" s="340" t="str">
        <f t="shared" si="0"/>
        <v>0.000380005539413748i</v>
      </c>
      <c r="F47" s="728" t="str">
        <f t="shared" si="25"/>
        <v>0.005-113.889625375878i</v>
      </c>
      <c r="G47" s="337" t="str">
        <f t="shared" si="26"/>
        <v>0.005-178.135055075091i</v>
      </c>
      <c r="H47" s="338" t="str">
        <f t="shared" si="27"/>
        <v>1.21660967954355-0.00830947147311947i</v>
      </c>
      <c r="I47" s="338" t="str">
        <f t="shared" si="28"/>
        <v>1.22660967954355-0.00830947147311947i</v>
      </c>
      <c r="J47" s="337" t="str">
        <f t="shared" si="29"/>
        <v>1.22628790665497-0.0215152066082245i</v>
      </c>
      <c r="K47" s="338" t="str">
        <f t="shared" si="1"/>
        <v>0.999999994168641-0.000119951243501814i</v>
      </c>
      <c r="L47" s="732"/>
      <c r="M47" s="732" t="str">
        <f t="shared" si="2"/>
        <v>19.2393577404434+0.331592354513419i</v>
      </c>
      <c r="N47" s="337">
        <f t="shared" si="3"/>
        <v>0</v>
      </c>
      <c r="O47" s="730" t="str">
        <f t="shared" si="4"/>
        <v>19.2392844487904+0.124373079161657i</v>
      </c>
      <c r="P47" s="731" t="str">
        <f t="shared" si="5"/>
        <v>23.6001260069315-0.00731106251613001i</v>
      </c>
      <c r="Q47" s="729" t="str">
        <f t="shared" si="6"/>
        <v>23.4077331624436-0.00855479330774666i</v>
      </c>
      <c r="R47" s="730"/>
      <c r="S47" s="405" t="str">
        <f t="shared" si="30"/>
        <v>22.5444346429651+0.171073100598365i</v>
      </c>
      <c r="T47" s="405" t="str">
        <f t="shared" si="31"/>
        <v>22.5420070542142-0.0717026220273614i</v>
      </c>
      <c r="U47" s="405" t="str">
        <f t="shared" si="32"/>
        <v>27.4242281676039-0.274546268570993i</v>
      </c>
      <c r="V47" s="731" t="str">
        <f t="shared" si="7"/>
        <v>6000</v>
      </c>
      <c r="W47" s="733" t="str">
        <f>IMSUM(COMPLEX(1,0),IMDIV(COMPLEX(0,2*PI()*D47),COMPLEX(2*PI()*'Stability Calculations'!EA_Pole1,0)))</f>
        <v>1+145.380907124199i</v>
      </c>
      <c r="X47" s="734">
        <f t="shared" si="33"/>
        <v>145.38434632468164</v>
      </c>
      <c r="Y47" s="735">
        <f t="shared" si="34"/>
        <v>1.5639179529488703</v>
      </c>
      <c r="Z47" s="340" t="str">
        <f>IMSUM(COMPLEX(1,0),IMDIV(COMPLEX(0,2*PI()*D47),COMPLEX(2*PI()*'Stability Calculations'!EA_Zero1,0)))</f>
        <v>1+1.43941492202177i</v>
      </c>
      <c r="AA47" s="734">
        <f t="shared" si="35"/>
        <v>1.7526880263580678</v>
      </c>
      <c r="AB47" s="735">
        <f t="shared" si="36"/>
        <v>0.96361825463021078</v>
      </c>
      <c r="AC47" s="733" t="str">
        <f>IMSUM(COMPLEX(1,0),IMDIV(COMPLEX(0,2*PI()*D47),COMPLEX(2*PI()*'Stability Calculations'!EA_Pole2,0)))</f>
        <v>1+0.0144998830663715i</v>
      </c>
      <c r="AD47" s="734">
        <f t="shared" si="37"/>
        <v>1.0001051177795954</v>
      </c>
      <c r="AE47" s="735">
        <f t="shared" si="38"/>
        <v>1.4498867010793528E-2</v>
      </c>
      <c r="AF47" s="732" t="str">
        <f t="shared" si="39"/>
        <v>59.0821057714144-41.7170216143522i</v>
      </c>
      <c r="AG47" s="337">
        <f t="shared" si="40"/>
        <v>72.325687793182638</v>
      </c>
      <c r="AH47" s="730">
        <f t="shared" si="41"/>
        <v>-0.61479856532945287</v>
      </c>
      <c r="AI47" s="731" t="str">
        <f t="shared" si="14"/>
        <v>10000</v>
      </c>
      <c r="AJ47" s="733" t="str">
        <f t="shared" si="42"/>
        <v>1+135.535021174586i</v>
      </c>
      <c r="AK47" s="734">
        <f t="shared" si="43"/>
        <v>135.53871020780551</v>
      </c>
      <c r="AL47" s="735">
        <f t="shared" si="44"/>
        <v>1.5634182938249341</v>
      </c>
      <c r="AM47" s="340" t="str">
        <f t="shared" si="45"/>
        <v>1+0.230018504539079i</v>
      </c>
      <c r="AN47" s="734">
        <f t="shared" si="46"/>
        <v>1.0261133038950399</v>
      </c>
      <c r="AO47" s="735">
        <f t="shared" si="47"/>
        <v>0.22608596275338447</v>
      </c>
      <c r="AP47" s="733" t="str">
        <f t="shared" si="48"/>
        <v>1+0.0111562766167228i</v>
      </c>
      <c r="AQ47" s="734">
        <f t="shared" si="49"/>
        <v>1.0000622293177304</v>
      </c>
      <c r="AR47" s="735">
        <f t="shared" si="50"/>
        <v>1.115581380522822E-2</v>
      </c>
      <c r="AS47" s="732" t="str">
        <f t="shared" si="51"/>
        <v>4138.88905454906-8102.30698536628i</v>
      </c>
      <c r="AT47" s="337">
        <f t="shared" si="52"/>
        <v>9098.2295580503578</v>
      </c>
      <c r="AU47" s="730">
        <f t="shared" si="53"/>
        <v>-1.0985235182817263</v>
      </c>
      <c r="AV47" s="732" t="str">
        <f t="shared" si="54"/>
        <v>-2153.70214359631-14676.3381840122i</v>
      </c>
      <c r="AW47" s="337">
        <f t="shared" si="55"/>
        <v>83.42488482140304</v>
      </c>
      <c r="AX47" s="730">
        <f t="shared" si="56"/>
        <v>-98.348372695265624</v>
      </c>
      <c r="AY47" s="360">
        <f t="shared" si="57"/>
        <v>81.651627304734376</v>
      </c>
      <c r="BB47" s="337">
        <f t="shared" si="58"/>
        <v>39.179137806917247</v>
      </c>
      <c r="BC47" s="730">
        <f t="shared" si="59"/>
        <v>-62.940761293405252</v>
      </c>
      <c r="BD47" s="351"/>
      <c r="BE47" s="337">
        <f t="shared" si="19"/>
        <v>25.685101276598743</v>
      </c>
      <c r="BF47" s="730">
        <f t="shared" si="20"/>
        <v>0.98740102601927893</v>
      </c>
      <c r="BI47" s="351"/>
      <c r="BJ47" s="351"/>
      <c r="BL47" s="405">
        <f t="shared" si="21"/>
        <v>0</v>
      </c>
      <c r="BM47" s="405">
        <f t="shared" si="22"/>
        <v>0</v>
      </c>
      <c r="BN47" s="405">
        <f t="shared" si="23"/>
        <v>0</v>
      </c>
      <c r="BO47" s="405">
        <f t="shared" si="24"/>
        <v>0</v>
      </c>
    </row>
    <row r="48" spans="1:67" ht="13.5" thickBot="1" x14ac:dyDescent="0.25">
      <c r="D48" s="345">
        <v>25.119</v>
      </c>
      <c r="E48" s="340" t="str">
        <f t="shared" si="0"/>
        <v>0.000416664155769956i</v>
      </c>
      <c r="F48" s="728" t="str">
        <f t="shared" si="25"/>
        <v>0.005-103.869478392292i</v>
      </c>
      <c r="G48" s="337" t="str">
        <f t="shared" si="26"/>
        <v>0.005-162.46251748538i</v>
      </c>
      <c r="H48" s="338" t="str">
        <f t="shared" si="27"/>
        <v>1.2165981549216-0.00911098819698989i</v>
      </c>
      <c r="I48" s="338" t="str">
        <f t="shared" si="28"/>
        <v>1.2265981549216-0.00911098819698989i</v>
      </c>
      <c r="J48" s="337" t="str">
        <f t="shared" si="29"/>
        <v>1.22621133344572-0.0235892711993355i</v>
      </c>
      <c r="K48" s="338" t="str">
        <f t="shared" si="1"/>
        <v>0.999999992989287-0.000131522776442537i</v>
      </c>
      <c r="L48" s="732"/>
      <c r="M48" s="732" t="str">
        <f t="shared" si="2"/>
        <v>19.2394037119858+0.363580999302595i</v>
      </c>
      <c r="N48" s="337">
        <f t="shared" si="3"/>
        <v>0</v>
      </c>
      <c r="O48" s="730" t="str">
        <f t="shared" si="4"/>
        <v>19.2393155973785+0.136371318307908i</v>
      </c>
      <c r="P48" s="731" t="str">
        <f t="shared" si="5"/>
        <v>23.6001514911701-0.00801636990517283i</v>
      </c>
      <c r="Q48" s="729" t="str">
        <f t="shared" si="6"/>
        <v>23.4077583351963-0.00938008308825157i</v>
      </c>
      <c r="R48" s="730"/>
      <c r="S48" s="405" t="str">
        <f t="shared" si="30"/>
        <v>22.5447865346672+0.187572470896634i</v>
      </c>
      <c r="T48" s="405" t="str">
        <f t="shared" si="31"/>
        <v>22.5418680397261-0.0786181684739623i</v>
      </c>
      <c r="U48" s="405" t="str">
        <f t="shared" si="32"/>
        <v>27.4236787764116-0.301025412356783i</v>
      </c>
      <c r="V48" s="731" t="str">
        <f t="shared" si="7"/>
        <v>6000</v>
      </c>
      <c r="W48" s="733" t="str">
        <f>IMSUM(COMPLEX(1,0),IMDIV(COMPLEX(0,2*PI()*D48),COMPLEX(2*PI()*'Stability Calculations'!EA_Pole1,0)))</f>
        <v>1+159.405605048354i</v>
      </c>
      <c r="X48" s="734">
        <f t="shared" si="33"/>
        <v>159.4087416700597</v>
      </c>
      <c r="Y48" s="735">
        <f t="shared" si="34"/>
        <v>1.5645231039562937</v>
      </c>
      <c r="Z48" s="340" t="str">
        <f>IMSUM(COMPLEX(1,0),IMDIV(COMPLEX(0,2*PI()*D48),COMPLEX(2*PI()*'Stability Calculations'!EA_Zero1,0)))</f>
        <v>1+1.57827331731044i</v>
      </c>
      <c r="AA48" s="734">
        <f t="shared" si="35"/>
        <v>1.8684075208942243</v>
      </c>
      <c r="AB48" s="735">
        <f t="shared" si="36"/>
        <v>1.0060339064729407</v>
      </c>
      <c r="AC48" s="733" t="str">
        <f>IMSUM(COMPLEX(1,0),IMDIV(COMPLEX(0,2*PI()*D48),COMPLEX(2*PI()*'Stability Calculations'!EA_Pole2,0)))</f>
        <v>1+0.0158986670192583i</v>
      </c>
      <c r="AD48" s="734">
        <f t="shared" si="37"/>
        <v>1.0001263758210706</v>
      </c>
      <c r="AE48" s="735">
        <f t="shared" si="38"/>
        <v>1.5897327666342068E-2</v>
      </c>
      <c r="AF48" s="732" t="str">
        <f t="shared" si="39"/>
        <v>59.0323233570546-38.2042278768693i</v>
      </c>
      <c r="AG48" s="337">
        <f t="shared" si="40"/>
        <v>70.316272857707787</v>
      </c>
      <c r="AH48" s="730">
        <f t="shared" si="41"/>
        <v>-0.57438652514969479</v>
      </c>
      <c r="AI48" s="731" t="str">
        <f t="shared" si="14"/>
        <v>10000</v>
      </c>
      <c r="AJ48" s="733" t="str">
        <f t="shared" si="42"/>
        <v>1+148.609899903288i</v>
      </c>
      <c r="AK48" s="734">
        <f t="shared" si="43"/>
        <v>148.61326437860546</v>
      </c>
      <c r="AL48" s="735">
        <f t="shared" si="44"/>
        <v>1.5640674015497174</v>
      </c>
      <c r="AM48" s="340" t="str">
        <f t="shared" si="45"/>
        <v>1+0.252208076106208i</v>
      </c>
      <c r="AN48" s="734">
        <f t="shared" si="46"/>
        <v>1.0313141682596989</v>
      </c>
      <c r="AO48" s="735">
        <f t="shared" si="47"/>
        <v>0.24705577025915698</v>
      </c>
      <c r="AP48" s="733" t="str">
        <f t="shared" si="48"/>
        <v>1+0.0122325074134821i</v>
      </c>
      <c r="AQ48" s="734">
        <f t="shared" si="49"/>
        <v>1.0000748143202192</v>
      </c>
      <c r="AR48" s="735">
        <f t="shared" si="50"/>
        <v>1.2231897334280735E-2</v>
      </c>
      <c r="AS48" s="732" t="str">
        <f t="shared" si="51"/>
        <v>3566.80767655529-7655.98044208395i</v>
      </c>
      <c r="AT48" s="337">
        <f t="shared" si="52"/>
        <v>8446.0732610548494</v>
      </c>
      <c r="AU48" s="730">
        <f t="shared" si="53"/>
        <v>-1.1348111069600133</v>
      </c>
      <c r="AV48" s="732" t="str">
        <f t="shared" si="54"/>
        <v>-1893.18722872242-13253.078562701i</v>
      </c>
      <c r="AW48" s="337">
        <f t="shared" si="55"/>
        <v>82.534064625587646</v>
      </c>
      <c r="AX48" s="730">
        <f t="shared" si="56"/>
        <v>-98.129637545798104</v>
      </c>
      <c r="AY48" s="360">
        <f t="shared" si="57"/>
        <v>81.870362454201896</v>
      </c>
      <c r="BB48" s="337">
        <f t="shared" si="58"/>
        <v>38.533096883321399</v>
      </c>
      <c r="BC48" s="730">
        <f t="shared" si="59"/>
        <v>-65.019886973377808</v>
      </c>
      <c r="BD48" s="351"/>
      <c r="BE48" s="337">
        <f t="shared" si="19"/>
        <v>25.685382849221693</v>
      </c>
      <c r="BF48" s="730">
        <f t="shared" si="20"/>
        <v>1.0826311348018802</v>
      </c>
      <c r="BI48" s="351"/>
      <c r="BJ48" s="351"/>
      <c r="BL48" s="405">
        <f t="shared" si="21"/>
        <v>0</v>
      </c>
      <c r="BM48" s="405">
        <f t="shared" si="22"/>
        <v>0</v>
      </c>
      <c r="BN48" s="405">
        <f t="shared" si="23"/>
        <v>0</v>
      </c>
      <c r="BO48" s="405">
        <f t="shared" si="24"/>
        <v>0</v>
      </c>
    </row>
    <row r="49" spans="4:67" ht="13.5" thickBot="1" x14ac:dyDescent="0.25">
      <c r="D49" s="345">
        <v>27.542000000000002</v>
      </c>
      <c r="E49" s="340" t="str">
        <f t="shared" si="0"/>
        <v>0.000456855932888098i</v>
      </c>
      <c r="F49" s="728" t="str">
        <f t="shared" si="25"/>
        <v>0.005-94.7315891270052i</v>
      </c>
      <c r="G49" s="337" t="str">
        <f t="shared" si="26"/>
        <v>0.005-148.16992145506i</v>
      </c>
      <c r="H49" s="338" t="str">
        <f t="shared" si="27"/>
        <v>1.21658430098069-0.00998972760347779i</v>
      </c>
      <c r="I49" s="338" t="str">
        <f t="shared" si="28"/>
        <v>1.22658430098069-0.00998972760347779i</v>
      </c>
      <c r="J49" s="337" t="str">
        <f t="shared" si="29"/>
        <v>1.22611929428104-0.0258627642995556i</v>
      </c>
      <c r="K49" s="338" t="str">
        <f t="shared" si="1"/>
        <v>0.999999991571536-0.000144209574775283i</v>
      </c>
      <c r="L49" s="732"/>
      <c r="M49" s="732" t="str">
        <f t="shared" si="2"/>
        <v>19.2394589765065+0.398652834239917i</v>
      </c>
      <c r="N49" s="337">
        <f t="shared" si="3"/>
        <v>0</v>
      </c>
      <c r="O49" s="730" t="str">
        <f t="shared" si="4"/>
        <v>19.2393530425168+0.149525992658044i</v>
      </c>
      <c r="P49" s="731" t="str">
        <f t="shared" si="5"/>
        <v>23.6001821269125-0.00878966097897483i</v>
      </c>
      <c r="Q49" s="729" t="str">
        <f t="shared" si="6"/>
        <v>23.4077885964873-0.0102849209055551i</v>
      </c>
      <c r="R49" s="730"/>
      <c r="S49" s="405" t="str">
        <f t="shared" si="30"/>
        <v>22.5452095399853+0.205660837235749i</v>
      </c>
      <c r="T49" s="405" t="str">
        <f t="shared" si="31"/>
        <v>22.541700931866-0.0861997562589466i</v>
      </c>
      <c r="U49" s="405" t="str">
        <f t="shared" si="32"/>
        <v>27.4230183590254-0.3300547222414i</v>
      </c>
      <c r="V49" s="731" t="str">
        <f t="shared" si="7"/>
        <v>6000</v>
      </c>
      <c r="W49" s="733" t="str">
        <f>IMSUM(COMPLEX(1,0),IMDIV(COMPLEX(0,2*PI()*D49),COMPLEX(2*PI()*'Stability Calculations'!EA_Pole1,0)))</f>
        <v>1+174.782004627643i</v>
      </c>
      <c r="X49" s="734">
        <f t="shared" si="33"/>
        <v>174.78486531063672</v>
      </c>
      <c r="Y49" s="735">
        <f t="shared" si="34"/>
        <v>1.5650749764143286</v>
      </c>
      <c r="Z49" s="340" t="str">
        <f>IMSUM(COMPLEX(1,0),IMDIV(COMPLEX(0,2*PI()*D49),COMPLEX(2*PI()*'Stability Calculations'!EA_Zero1,0)))</f>
        <v>1+1.7305148973034i</v>
      </c>
      <c r="AA49" s="734">
        <f t="shared" si="35"/>
        <v>1.9986700102290513</v>
      </c>
      <c r="AB49" s="735">
        <f t="shared" si="36"/>
        <v>1.0468133181077415</v>
      </c>
      <c r="AC49" s="733" t="str">
        <f>IMSUM(COMPLEX(1,0),IMDIV(COMPLEX(0,2*PI()*D49),COMPLEX(2*PI()*'Stability Calculations'!EA_Pole2,0)))</f>
        <v>1+0.0174322658961109i</v>
      </c>
      <c r="AD49" s="734">
        <f t="shared" si="37"/>
        <v>1.0001519304057123</v>
      </c>
      <c r="AE49" s="735">
        <f t="shared" si="38"/>
        <v>1.7430500423050183E-2</v>
      </c>
      <c r="AF49" s="732" t="str">
        <f t="shared" si="39"/>
        <v>58.9899921194425-35.0158076050707i</v>
      </c>
      <c r="AG49" s="337">
        <f t="shared" si="40"/>
        <v>68.599751839836969</v>
      </c>
      <c r="AH49" s="730">
        <f t="shared" si="41"/>
        <v>-0.53569215872963738</v>
      </c>
      <c r="AI49" s="731" t="str">
        <f t="shared" si="14"/>
        <v>10000</v>
      </c>
      <c r="AJ49" s="733" t="str">
        <f t="shared" si="42"/>
        <v>1+162.944936627109i</v>
      </c>
      <c r="AK49" s="734">
        <f t="shared" si="43"/>
        <v>162.94800511946309</v>
      </c>
      <c r="AL49" s="735">
        <f t="shared" si="44"/>
        <v>1.5646593613478392</v>
      </c>
      <c r="AM49" s="340" t="str">
        <f t="shared" si="45"/>
        <v>1+0.276536280589083i</v>
      </c>
      <c r="AN49" s="734">
        <f t="shared" si="46"/>
        <v>1.0375318378160951</v>
      </c>
      <c r="AO49" s="735">
        <f t="shared" si="47"/>
        <v>0.26979391700425814</v>
      </c>
      <c r="AP49" s="733" t="str">
        <f t="shared" si="48"/>
        <v>1+0.0134124654318294i</v>
      </c>
      <c r="AQ49" s="734">
        <f t="shared" si="49"/>
        <v>1.000089943069602</v>
      </c>
      <c r="AR49" s="735">
        <f t="shared" si="50"/>
        <v>1.3411661243586474E-2</v>
      </c>
      <c r="AS49" s="732" t="str">
        <f t="shared" si="51"/>
        <v>3058.58873126987-7198.38937529406i</v>
      </c>
      <c r="AT49" s="337">
        <f t="shared" si="52"/>
        <v>7821.2386886859204</v>
      </c>
      <c r="AU49" s="730">
        <f t="shared" si="53"/>
        <v>-1.169011196942535</v>
      </c>
      <c r="AV49" s="732" t="str">
        <f t="shared" si="54"/>
        <v>-1660.52632694278-11979.9665745245i</v>
      </c>
      <c r="AW49" s="337">
        <f t="shared" si="55"/>
        <v>81.651758868741183</v>
      </c>
      <c r="AX49" s="730">
        <f t="shared" si="56"/>
        <v>-97.891406336631476</v>
      </c>
      <c r="AY49" s="360">
        <f t="shared" si="57"/>
        <v>82.108593663368524</v>
      </c>
      <c r="BB49" s="337">
        <f t="shared" si="58"/>
        <v>37.865510797921964</v>
      </c>
      <c r="BC49" s="730">
        <f t="shared" si="59"/>
        <v>-66.979407788343934</v>
      </c>
      <c r="BD49" s="351"/>
      <c r="BE49" s="337">
        <f t="shared" si="19"/>
        <v>25.68572131692126</v>
      </c>
      <c r="BF49" s="730">
        <f t="shared" si="20"/>
        <v>1.1870321755474158</v>
      </c>
      <c r="BI49" s="351"/>
      <c r="BJ49" s="351"/>
      <c r="BL49" s="405">
        <f t="shared" si="21"/>
        <v>0</v>
      </c>
      <c r="BM49" s="405">
        <f t="shared" si="22"/>
        <v>0</v>
      </c>
      <c r="BN49" s="405">
        <f t="shared" si="23"/>
        <v>0</v>
      </c>
      <c r="BO49" s="405">
        <f t="shared" si="24"/>
        <v>0</v>
      </c>
    </row>
    <row r="50" spans="4:67" ht="13.5" thickBot="1" x14ac:dyDescent="0.25">
      <c r="D50" s="345">
        <v>30.2</v>
      </c>
      <c r="E50" s="340" t="str">
        <f t="shared" si="0"/>
        <v>0.000500945798170814i</v>
      </c>
      <c r="F50" s="728" t="str">
        <f t="shared" si="25"/>
        <v>0.005-86.3939545607946i</v>
      </c>
      <c r="G50" s="337" t="str">
        <f t="shared" si="26"/>
        <v>0.005-135.129005851499i</v>
      </c>
      <c r="H50" s="338" t="str">
        <f t="shared" si="27"/>
        <v>1.21656763746345-0.0109536571202767i</v>
      </c>
      <c r="I50" s="338" t="str">
        <f t="shared" si="28"/>
        <v>1.22656763746345-0.0109536571202767i</v>
      </c>
      <c r="J50" s="337" t="str">
        <f t="shared" si="29"/>
        <v>1.22600860516959-0.0283561372756248i</v>
      </c>
      <c r="K50" s="338" t="str">
        <f t="shared" si="1"/>
        <v>0.999999989866222-0.000158126830230686i</v>
      </c>
      <c r="L50" s="732"/>
      <c r="M50" s="732" t="str">
        <f t="shared" si="2"/>
        <v>19.2395254506287+0.437126348952892i</v>
      </c>
      <c r="N50" s="337">
        <f t="shared" si="3"/>
        <v>0</v>
      </c>
      <c r="O50" s="730" t="str">
        <f t="shared" si="4"/>
        <v>19.2393980828234+0.163956559935288i</v>
      </c>
      <c r="P50" s="731" t="str">
        <f t="shared" si="5"/>
        <v>23.6002189766078-0.00963795943329278i</v>
      </c>
      <c r="Q50" s="729" t="str">
        <f t="shared" si="6"/>
        <v>23.4078249957796-0.0112775250326455i</v>
      </c>
      <c r="R50" s="730"/>
      <c r="S50" s="405" t="str">
        <f t="shared" si="30"/>
        <v>22.5457183168297+0.225501941380105i</v>
      </c>
      <c r="T50" s="405" t="str">
        <f t="shared" si="31"/>
        <v>22.5414999400386-0.0945160283822229i</v>
      </c>
      <c r="U50" s="405" t="str">
        <f t="shared" si="32"/>
        <v>27.4222240307681-0.361897002671308i</v>
      </c>
      <c r="V50" s="731" t="str">
        <f t="shared" si="7"/>
        <v>6000</v>
      </c>
      <c r="W50" s="733" t="str">
        <f>IMSUM(COMPLEX(1,0),IMDIV(COMPLEX(0,2*PI()*D50),COMPLEX(2*PI()*'Stability Calculations'!EA_Pole1,0)))</f>
        <v>1+191.649718239591i</v>
      </c>
      <c r="X50" s="734">
        <f t="shared" si="33"/>
        <v>191.65232714818421</v>
      </c>
      <c r="Y50" s="735">
        <f t="shared" si="34"/>
        <v>1.5655785214466562</v>
      </c>
      <c r="Z50" s="340" t="str">
        <f>IMSUM(COMPLEX(1,0),IMDIV(COMPLEX(0,2*PI()*D50),COMPLEX(2*PI()*'Stability Calculations'!EA_Zero1,0)))</f>
        <v>1+1.89752196276823i</v>
      </c>
      <c r="AA50" s="734">
        <f t="shared" si="35"/>
        <v>2.1448985055679901</v>
      </c>
      <c r="AB50" s="735">
        <f t="shared" si="36"/>
        <v>1.0857803130635062</v>
      </c>
      <c r="AC50" s="733" t="str">
        <f>IMSUM(COMPLEX(1,0),IMDIV(COMPLEX(0,2*PI()*D50),COMPLEX(2*PI()*'Stability Calculations'!EA_Pole2,0)))</f>
        <v>1+0.0191146042430669i</v>
      </c>
      <c r="AD50" s="734">
        <f t="shared" si="37"/>
        <v>1.0001826673640015</v>
      </c>
      <c r="AE50" s="735">
        <f t="shared" si="38"/>
        <v>1.9112276797754815E-2</v>
      </c>
      <c r="AF50" s="732" t="str">
        <f t="shared" si="39"/>
        <v>58.9536529184827-32.1231765989249i</v>
      </c>
      <c r="AG50" s="337">
        <f t="shared" si="40"/>
        <v>67.137408851091664</v>
      </c>
      <c r="AH50" s="730">
        <f t="shared" si="41"/>
        <v>-0.49891048518090503</v>
      </c>
      <c r="AI50" s="731" t="str">
        <f t="shared" si="14"/>
        <v>10000</v>
      </c>
      <c r="AJ50" s="733" t="str">
        <f t="shared" si="42"/>
        <v>1+178.670288509865i</v>
      </c>
      <c r="AK50" s="734">
        <f t="shared" si="43"/>
        <v>178.67308693868361</v>
      </c>
      <c r="AL50" s="735">
        <f t="shared" si="44"/>
        <v>1.565199483767622</v>
      </c>
      <c r="AM50" s="340" t="str">
        <f t="shared" si="45"/>
        <v>1+0.303224009650363i</v>
      </c>
      <c r="AN50" s="734">
        <f t="shared" si="46"/>
        <v>1.0449616261032955</v>
      </c>
      <c r="AO50" s="735">
        <f t="shared" si="47"/>
        <v>0.29441197063406943</v>
      </c>
      <c r="AP50" s="733" t="str">
        <f t="shared" si="48"/>
        <v>1+0.0147068642815063i</v>
      </c>
      <c r="AQ50" s="734">
        <f t="shared" si="49"/>
        <v>1.0001081400813587</v>
      </c>
      <c r="AR50" s="735">
        <f t="shared" si="50"/>
        <v>1.4705804094093503E-2</v>
      </c>
      <c r="AS50" s="732" t="str">
        <f t="shared" si="51"/>
        <v>2611.0851847403-6738.24441919671i</v>
      </c>
      <c r="AT50" s="337">
        <f t="shared" si="52"/>
        <v>7226.4585859745912</v>
      </c>
      <c r="AU50" s="730">
        <f t="shared" si="53"/>
        <v>-1.2011100415838711</v>
      </c>
      <c r="AV50" s="732" t="str">
        <f t="shared" si="54"/>
        <v>-1454.78633475894-10839.2679011972i</v>
      </c>
      <c r="AW50" s="337">
        <f t="shared" si="55"/>
        <v>80.777534454385886</v>
      </c>
      <c r="AX50" s="730">
        <f t="shared" si="56"/>
        <v>-97.644239842588178</v>
      </c>
      <c r="AY50" s="360">
        <f t="shared" si="57"/>
        <v>82.355760157411822</v>
      </c>
      <c r="BB50" s="337">
        <f t="shared" si="58"/>
        <v>37.178510362571949</v>
      </c>
      <c r="BC50" s="730">
        <f t="shared" si="59"/>
        <v>-68.818536113538627</v>
      </c>
      <c r="BD50" s="351"/>
      <c r="BE50" s="337">
        <f t="shared" si="19"/>
        <v>25.6861284034383</v>
      </c>
      <c r="BF50" s="730">
        <f t="shared" si="20"/>
        <v>1.3015490813769997</v>
      </c>
      <c r="BI50" s="351"/>
      <c r="BJ50" s="351"/>
      <c r="BL50" s="405">
        <f t="shared" si="21"/>
        <v>0</v>
      </c>
      <c r="BM50" s="405">
        <f t="shared" si="22"/>
        <v>0</v>
      </c>
      <c r="BN50" s="405">
        <f t="shared" si="23"/>
        <v>0</v>
      </c>
      <c r="BO50" s="405">
        <f t="shared" si="24"/>
        <v>0</v>
      </c>
    </row>
    <row r="51" spans="4:67" ht="13.5" thickBot="1" x14ac:dyDescent="0.25">
      <c r="D51" s="345">
        <v>33.113</v>
      </c>
      <c r="E51" s="340" t="str">
        <f t="shared" si="0"/>
        <v>0.000549265503802323i</v>
      </c>
      <c r="F51" s="728" t="str">
        <f t="shared" si="25"/>
        <v>0.005-78.7937495163829i</v>
      </c>
      <c r="G51" s="337" t="str">
        <f t="shared" si="26"/>
        <v>0.005-123.24150565383i</v>
      </c>
      <c r="H51" s="338" t="str">
        <f t="shared" si="27"/>
        <v>1.21654761395834-0.0120100150286215i</v>
      </c>
      <c r="I51" s="338" t="str">
        <f t="shared" si="28"/>
        <v>1.22654761395834-0.0120100150286215i</v>
      </c>
      <c r="J51" s="337" t="str">
        <f t="shared" si="29"/>
        <v>1.2258756194926-0.0310879000030792i</v>
      </c>
      <c r="K51" s="338" t="str">
        <f t="shared" si="1"/>
        <v>0.999999987816992-0.000173379262563865i</v>
      </c>
      <c r="L51" s="732"/>
      <c r="M51" s="732" t="str">
        <f t="shared" si="2"/>
        <v>19.2396053312618+0.479291100809179i</v>
      </c>
      <c r="N51" s="337">
        <f t="shared" si="3"/>
        <v>0</v>
      </c>
      <c r="O51" s="730" t="str">
        <f t="shared" si="4"/>
        <v>19.2394522068203+0.179771625758191i</v>
      </c>
      <c r="P51" s="731" t="str">
        <f t="shared" si="5"/>
        <v>23.600263258068-0.010567651515232i</v>
      </c>
      <c r="Q51" s="729" t="str">
        <f t="shared" si="6"/>
        <v>23.4078687359998-0.0123653677728137i</v>
      </c>
      <c r="R51" s="730"/>
      <c r="S51" s="405" t="str">
        <f t="shared" si="30"/>
        <v>22.5463296620742+0.247244426537074i</v>
      </c>
      <c r="T51" s="405" t="str">
        <f t="shared" si="31"/>
        <v>22.5412584286512-0.103629303489863i</v>
      </c>
      <c r="U51" s="405" t="str">
        <f t="shared" si="32"/>
        <v>27.4212695675016-0.396790834388895i</v>
      </c>
      <c r="V51" s="731" t="str">
        <f t="shared" si="7"/>
        <v>6000</v>
      </c>
      <c r="W51" s="733" t="str">
        <f>IMSUM(COMPLEX(1,0),IMDIV(COMPLEX(0,2*PI()*D51),COMPLEX(2*PI()*'Stability Calculations'!EA_Pole1,0)))</f>
        <v>1+210.135666227404i</v>
      </c>
      <c r="X51" s="734">
        <f t="shared" si="33"/>
        <v>210.13804562914095</v>
      </c>
      <c r="Y51" s="735">
        <f t="shared" si="34"/>
        <v>1.5660375323016378</v>
      </c>
      <c r="Z51" s="340" t="str">
        <f>IMSUM(COMPLEX(1,0),IMDIV(COMPLEX(0,2*PI()*D51),COMPLEX(2*PI()*'Stability Calculations'!EA_Zero1,0)))</f>
        <v>1+2.08055115076638i</v>
      </c>
      <c r="AA51" s="734">
        <f t="shared" si="35"/>
        <v>2.3083962161975808</v>
      </c>
      <c r="AB51" s="735">
        <f t="shared" si="36"/>
        <v>1.1227548047392584</v>
      </c>
      <c r="AC51" s="733" t="str">
        <f>IMSUM(COMPLEX(1,0),IMDIV(COMPLEX(0,2*PI()*D51),COMPLEX(2*PI()*'Stability Calculations'!EA_Pole2,0)))</f>
        <v>1+0.020958340738433i</v>
      </c>
      <c r="AD51" s="734">
        <f t="shared" si="37"/>
        <v>1.0002196019107545</v>
      </c>
      <c r="AE51" s="735">
        <f t="shared" si="38"/>
        <v>2.0955272882242762E-2</v>
      </c>
      <c r="AF51" s="732" t="str">
        <f t="shared" si="39"/>
        <v>58.922104622242-29.5045490392486i</v>
      </c>
      <c r="AG51" s="337">
        <f t="shared" si="40"/>
        <v>65.896379469010725</v>
      </c>
      <c r="AH51" s="730">
        <f t="shared" si="41"/>
        <v>-0.46423800044462238</v>
      </c>
      <c r="AI51" s="731" t="str">
        <f t="shared" si="14"/>
        <v>10000</v>
      </c>
      <c r="AJ51" s="733" t="str">
        <f t="shared" si="42"/>
        <v>1+195.904280245933i</v>
      </c>
      <c r="AK51" s="734">
        <f t="shared" si="43"/>
        <v>195.90683249615631</v>
      </c>
      <c r="AL51" s="735">
        <f t="shared" si="44"/>
        <v>1.565691837431729</v>
      </c>
      <c r="AM51" s="340" t="str">
        <f t="shared" si="45"/>
        <v>1+0.332472073892467i</v>
      </c>
      <c r="AN51" s="734">
        <f t="shared" si="46"/>
        <v>1.0538205159885425</v>
      </c>
      <c r="AO51" s="735">
        <f t="shared" si="47"/>
        <v>0.32097522072615131</v>
      </c>
      <c r="AP51" s="733" t="str">
        <f t="shared" si="48"/>
        <v>1+0.0161254436077325i</v>
      </c>
      <c r="AQ51" s="734">
        <f t="shared" si="49"/>
        <v>1.0001300065149261</v>
      </c>
      <c r="AR51" s="735">
        <f t="shared" si="50"/>
        <v>1.6124046126425713E-2</v>
      </c>
      <c r="AS51" s="732" t="str">
        <f t="shared" si="51"/>
        <v>2220.65524373644-6283.45407902331i</v>
      </c>
      <c r="AT51" s="337">
        <f t="shared" si="52"/>
        <v>6664.3157844394518</v>
      </c>
      <c r="AU51" s="730">
        <f t="shared" si="53"/>
        <v>-1.2310840889508035</v>
      </c>
      <c r="AV51" s="732" t="str">
        <f t="shared" si="54"/>
        <v>-1274.66525657282-9816.78590522338i</v>
      </c>
      <c r="AW51" s="337">
        <f t="shared" si="55"/>
        <v>79.911997381478216</v>
      </c>
      <c r="AX51" s="730">
        <f t="shared" si="56"/>
        <v>-97.398205625126053</v>
      </c>
      <c r="AY51" s="360">
        <f t="shared" si="57"/>
        <v>82.601794374873947</v>
      </c>
      <c r="BB51" s="337">
        <f t="shared" si="58"/>
        <v>36.475111353179436</v>
      </c>
      <c r="BC51" s="730">
        <f t="shared" si="59"/>
        <v>-70.535922522589061</v>
      </c>
      <c r="BD51" s="351"/>
      <c r="BE51" s="337">
        <f t="shared" si="19"/>
        <v>25.68661754151444</v>
      </c>
      <c r="BF51" s="730">
        <f t="shared" si="20"/>
        <v>1.4270395939421809</v>
      </c>
      <c r="BI51" s="351"/>
      <c r="BJ51" s="351"/>
      <c r="BL51" s="405">
        <f t="shared" si="21"/>
        <v>0</v>
      </c>
      <c r="BM51" s="405">
        <f t="shared" si="22"/>
        <v>0</v>
      </c>
      <c r="BN51" s="405">
        <f t="shared" si="23"/>
        <v>0</v>
      </c>
      <c r="BO51" s="405">
        <f t="shared" si="24"/>
        <v>0</v>
      </c>
    </row>
    <row r="52" spans="4:67" ht="13.5" thickBot="1" x14ac:dyDescent="0.25">
      <c r="D52" s="345">
        <v>36.308</v>
      </c>
      <c r="E52" s="340" t="str">
        <f t="shared" si="0"/>
        <v>0.000602262915231322i</v>
      </c>
      <c r="F52" s="728" t="str">
        <f t="shared" si="25"/>
        <v>0.005-71.8601252543787i</v>
      </c>
      <c r="G52" s="337" t="str">
        <f t="shared" si="26"/>
        <v>0.005-112.396606167105i</v>
      </c>
      <c r="H52" s="338" t="str">
        <f t="shared" si="27"/>
        <v>1.21652353417115-0.0131685730383937i</v>
      </c>
      <c r="I52" s="338" t="str">
        <f t="shared" si="28"/>
        <v>1.22652353417115-0.0131685730383937i</v>
      </c>
      <c r="J52" s="337" t="str">
        <f t="shared" si="29"/>
        <v>1.22571572661889-0.0340830414660911i</v>
      </c>
      <c r="K52" s="338" t="str">
        <f t="shared" si="1"/>
        <v>0.999999985352546-0.00019010824344423i</v>
      </c>
      <c r="L52" s="732"/>
      <c r="M52" s="732" t="str">
        <f t="shared" si="2"/>
        <v>19.2397013979065+0.525537992128793i</v>
      </c>
      <c r="N52" s="337">
        <f t="shared" si="3"/>
        <v>0</v>
      </c>
      <c r="O52" s="730" t="str">
        <f t="shared" si="4"/>
        <v>19.2395172977602+0.197117807666278i</v>
      </c>
      <c r="P52" s="731" t="str">
        <f t="shared" si="5"/>
        <v>23.6003165120432-0.0115873586520831i</v>
      </c>
      <c r="Q52" s="729" t="str">
        <f t="shared" si="6"/>
        <v>23.4079213390656-0.0135585367287464i</v>
      </c>
      <c r="R52" s="730"/>
      <c r="S52" s="405" t="str">
        <f t="shared" si="30"/>
        <v>22.547064822258+0.271088962436445i</v>
      </c>
      <c r="T52" s="405" t="str">
        <f t="shared" si="31"/>
        <v>22.5409680042727-0.113623712306779i</v>
      </c>
      <c r="U52" s="405" t="str">
        <f t="shared" si="32"/>
        <v>27.4201217980422-0.435058303581451i</v>
      </c>
      <c r="V52" s="731" t="str">
        <f t="shared" si="7"/>
        <v>6000</v>
      </c>
      <c r="W52" s="733" t="str">
        <f>IMSUM(COMPLEX(1,0),IMDIV(COMPLEX(0,2*PI()*D52),COMPLEX(2*PI()*'Stability Calculations'!EA_Pole1,0)))</f>
        <v>1+230.411191054407i</v>
      </c>
      <c r="X52" s="734">
        <f t="shared" si="33"/>
        <v>230.4133610776737</v>
      </c>
      <c r="Y52" s="735">
        <f t="shared" si="34"/>
        <v>1.5664562870738759</v>
      </c>
      <c r="Z52" s="340" t="str">
        <f>IMSUM(COMPLEX(1,0),IMDIV(COMPLEX(0,2*PI()*D52),COMPLEX(2*PI()*'Stability Calculations'!EA_Zero1,0)))</f>
        <v>1+2.28129892133076i</v>
      </c>
      <c r="AA52" s="734">
        <f t="shared" si="35"/>
        <v>2.4908482026138987</v>
      </c>
      <c r="AB52" s="735">
        <f t="shared" si="36"/>
        <v>1.1576753796953994</v>
      </c>
      <c r="AC52" s="733" t="str">
        <f>IMSUM(COMPLEX(1,0),IMDIV(COMPLEX(0,2*PI()*D52),COMPLEX(2*PI()*'Stability Calculations'!EA_Pole2,0)))</f>
        <v>1+0.022980564597923i</v>
      </c>
      <c r="AD52" s="734">
        <f t="shared" si="37"/>
        <v>1.0002640183217826</v>
      </c>
      <c r="AE52" s="735">
        <f t="shared" si="38"/>
        <v>2.2976520485254205E-2</v>
      </c>
      <c r="AF52" s="732" t="str">
        <f t="shared" si="39"/>
        <v>58.894247172747-27.1355134796815i</v>
      </c>
      <c r="AG52" s="337">
        <f t="shared" si="40"/>
        <v>64.844956950024994</v>
      </c>
      <c r="AH52" s="730">
        <f t="shared" si="41"/>
        <v>-0.43175742786373084</v>
      </c>
      <c r="AI52" s="731" t="str">
        <f t="shared" si="14"/>
        <v>10000</v>
      </c>
      <c r="AJ52" s="733" t="str">
        <f t="shared" si="42"/>
        <v>1+214.806650172721i</v>
      </c>
      <c r="AK52" s="734">
        <f t="shared" si="43"/>
        <v>214.80897783478633</v>
      </c>
      <c r="AL52" s="735">
        <f t="shared" si="44"/>
        <v>1.566141011071676</v>
      </c>
      <c r="AM52" s="340" t="str">
        <f t="shared" si="45"/>
        <v>1+0.364551567628655i</v>
      </c>
      <c r="AN52" s="734">
        <f t="shared" si="46"/>
        <v>1.0643767403793216</v>
      </c>
      <c r="AO52" s="735">
        <f t="shared" si="47"/>
        <v>0.34957908473983906</v>
      </c>
      <c r="AP52" s="733" t="str">
        <f t="shared" si="48"/>
        <v>1+0.017681351931554i</v>
      </c>
      <c r="AQ52" s="734">
        <f t="shared" si="49"/>
        <v>1.0001563028877674</v>
      </c>
      <c r="AR52" s="735">
        <f t="shared" si="50"/>
        <v>1.767950970220392E-2</v>
      </c>
      <c r="AS52" s="732" t="str">
        <f t="shared" si="51"/>
        <v>1882.19012654849-5839.62009539089i</v>
      </c>
      <c r="AT52" s="337">
        <f t="shared" si="52"/>
        <v>6135.4545496621304</v>
      </c>
      <c r="AU52" s="730">
        <f t="shared" si="53"/>
        <v>-1.2589959215192699</v>
      </c>
      <c r="AV52" s="732" t="str">
        <f t="shared" si="54"/>
        <v>-1118.07691821281-8898.14245466799i</v>
      </c>
      <c r="AW52" s="337">
        <f t="shared" si="55"/>
        <v>79.054020591703207</v>
      </c>
      <c r="AX52" s="730">
        <f t="shared" si="56"/>
        <v>-97.161843204997794</v>
      </c>
      <c r="AY52" s="360">
        <f t="shared" si="57"/>
        <v>82.838156795002206</v>
      </c>
      <c r="BB52" s="337">
        <f t="shared" si="58"/>
        <v>35.756934865619904</v>
      </c>
      <c r="BC52" s="730">
        <f t="shared" si="59"/>
        <v>-72.13515272723798</v>
      </c>
      <c r="BD52" s="351"/>
      <c r="BE52" s="337">
        <f t="shared" si="19"/>
        <v>25.687205720555713</v>
      </c>
      <c r="BF52" s="730">
        <f t="shared" si="20"/>
        <v>1.5646616736642887</v>
      </c>
      <c r="BI52" s="351"/>
      <c r="BJ52" s="351"/>
      <c r="BL52" s="405">
        <f t="shared" si="21"/>
        <v>0</v>
      </c>
      <c r="BM52" s="405">
        <f t="shared" si="22"/>
        <v>0</v>
      </c>
      <c r="BN52" s="405">
        <f t="shared" si="23"/>
        <v>0</v>
      </c>
      <c r="BO52" s="405">
        <f t="shared" si="24"/>
        <v>0</v>
      </c>
    </row>
    <row r="53" spans="4:67" ht="13.5" thickBot="1" x14ac:dyDescent="0.25">
      <c r="D53" s="345">
        <v>39.811</v>
      </c>
      <c r="E53" s="340" t="str">
        <f t="shared" si="0"/>
        <v>0.000660369310297294i</v>
      </c>
      <c r="F53" s="728" t="str">
        <f t="shared" si="25"/>
        <v>0.005-65.5370984837354i</v>
      </c>
      <c r="G53" s="337" t="str">
        <f t="shared" si="26"/>
        <v>0.005-102.506743782253i</v>
      </c>
      <c r="H53" s="338" t="str">
        <f t="shared" si="27"/>
        <v>1.21649458706726-0.0144387334848053i</v>
      </c>
      <c r="I53" s="338" t="str">
        <f t="shared" si="28"/>
        <v>1.22649458706726-0.0144387334848053i</v>
      </c>
      <c r="J53" s="337" t="str">
        <f t="shared" si="29"/>
        <v>1.22552356111595-0.0373654983735912i</v>
      </c>
      <c r="K53" s="338" t="str">
        <f t="shared" si="1"/>
        <v>0.999999982389825-0.000208449908553439i</v>
      </c>
      <c r="L53" s="732"/>
      <c r="M53" s="732" t="str">
        <f t="shared" si="2"/>
        <v>19.2398168887205+0.576243480306137i</v>
      </c>
      <c r="N53" s="337">
        <f t="shared" si="3"/>
        <v>0</v>
      </c>
      <c r="O53" s="730" t="str">
        <f t="shared" si="4"/>
        <v>19.2395955496497+0.216136304785215i</v>
      </c>
      <c r="P53" s="731" t="str">
        <f t="shared" si="5"/>
        <v>23.6003805335096-0.0127053846090509i</v>
      </c>
      <c r="Q53" s="729" t="str">
        <f t="shared" si="6"/>
        <v>23.4079845780131-0.0148667476569024i</v>
      </c>
      <c r="R53" s="730"/>
      <c r="S53" s="405" t="str">
        <f t="shared" si="30"/>
        <v>22.5479485406445+0.29722845814805i</v>
      </c>
      <c r="T53" s="405" t="str">
        <f t="shared" si="31"/>
        <v>22.5406188920923-0.124580139916105i</v>
      </c>
      <c r="U53" s="405" t="str">
        <f t="shared" si="32"/>
        <v>27.4187420919382-0.477009054629504i</v>
      </c>
      <c r="V53" s="731" t="str">
        <f t="shared" si="7"/>
        <v>6000</v>
      </c>
      <c r="W53" s="733" t="str">
        <f>IMSUM(COMPLEX(1,0),IMDIV(COMPLEX(0,2*PI()*D53),COMPLEX(2*PI()*'Stability Calculations'!EA_Pole1,0)))</f>
        <v>1+252.641289166768i</v>
      </c>
      <c r="X53" s="734">
        <f t="shared" si="33"/>
        <v>252.64326824961415</v>
      </c>
      <c r="Y53" s="735">
        <f t="shared" si="34"/>
        <v>1.5668381662703532</v>
      </c>
      <c r="Z53" s="340" t="str">
        <f>IMSUM(COMPLEX(1,0),IMDIV(COMPLEX(0,2*PI()*D53),COMPLEX(2*PI()*'Stability Calculations'!EA_Zero1,0)))</f>
        <v>1+2.50139890264127i</v>
      </c>
      <c r="AA53" s="734">
        <f t="shared" si="35"/>
        <v>2.6938813021614281</v>
      </c>
      <c r="AB53" s="735">
        <f t="shared" si="36"/>
        <v>1.190482808737197</v>
      </c>
      <c r="AC53" s="733" t="str">
        <f>IMSUM(COMPLEX(1,0),IMDIV(COMPLEX(0,2*PI()*D53),COMPLEX(2*PI()*'Stability Calculations'!EA_Pole2,0)))</f>
        <v>1+0.0251977321033358i</v>
      </c>
      <c r="AD53" s="734">
        <f t="shared" si="37"/>
        <v>1.0003174124762357</v>
      </c>
      <c r="AE53" s="735">
        <f t="shared" si="38"/>
        <v>2.5192401238085995E-2</v>
      </c>
      <c r="AF53" s="732" t="str">
        <f t="shared" si="39"/>
        <v>58.8691451959912-24.99694825424i</v>
      </c>
      <c r="AG53" s="337">
        <f t="shared" si="40"/>
        <v>63.956420147877616</v>
      </c>
      <c r="AH53" s="730">
        <f t="shared" si="41"/>
        <v>-0.40154775877124282</v>
      </c>
      <c r="AI53" s="731" t="str">
        <f t="shared" si="14"/>
        <v>10000</v>
      </c>
      <c r="AJ53" s="733" t="str">
        <f t="shared" si="42"/>
        <v>1+235.531220392922i</v>
      </c>
      <c r="AK53" s="734">
        <f t="shared" si="43"/>
        <v>235.53334324417676</v>
      </c>
      <c r="AL53" s="735">
        <f t="shared" si="44"/>
        <v>1.5665506306630661</v>
      </c>
      <c r="AM53" s="340" t="str">
        <f t="shared" si="45"/>
        <v>1+0.399723544642075i</v>
      </c>
      <c r="AN53" s="734">
        <f t="shared" si="46"/>
        <v>1.0769303190741846</v>
      </c>
      <c r="AO53" s="735">
        <f t="shared" si="47"/>
        <v>0.38026803081104182</v>
      </c>
      <c r="AP53" s="733" t="str">
        <f t="shared" si="48"/>
        <v>1+0.0193872507917567i</v>
      </c>
      <c r="AQ53" s="734">
        <f t="shared" si="49"/>
        <v>1.0001879150905906</v>
      </c>
      <c r="AR53" s="735">
        <f t="shared" si="50"/>
        <v>1.9384822339868657E-2</v>
      </c>
      <c r="AS53" s="732" t="str">
        <f t="shared" si="51"/>
        <v>1590.71775832633-5411.46673092164i</v>
      </c>
      <c r="AT53" s="337">
        <f t="shared" si="52"/>
        <v>5640.4215415628723</v>
      </c>
      <c r="AU53" s="730">
        <f t="shared" si="53"/>
        <v>-1.2848962806405932</v>
      </c>
      <c r="AV53" s="732" t="str">
        <f t="shared" si="54"/>
        <v>-982.915871382424-8071.82824058069i</v>
      </c>
      <c r="AW53" s="337">
        <f t="shared" si="55"/>
        <v>78.20336357308507</v>
      </c>
      <c r="AX53" s="730">
        <f t="shared" si="56"/>
        <v>-96.94279166261353</v>
      </c>
      <c r="AY53" s="360">
        <f t="shared" si="57"/>
        <v>83.05720833738647</v>
      </c>
      <c r="BB53" s="337">
        <f t="shared" si="58"/>
        <v>35.02623125106193</v>
      </c>
      <c r="BC53" s="730">
        <f t="shared" si="59"/>
        <v>-73.619133992762983</v>
      </c>
      <c r="BD53" s="351"/>
      <c r="BE53" s="337">
        <f t="shared" si="19"/>
        <v>25.687912722463011</v>
      </c>
      <c r="BF53" s="730">
        <f t="shared" si="20"/>
        <v>1.7155284071440593</v>
      </c>
      <c r="BI53" s="351"/>
      <c r="BJ53" s="351"/>
      <c r="BL53" s="405">
        <f t="shared" si="21"/>
        <v>0</v>
      </c>
      <c r="BM53" s="405">
        <f t="shared" si="22"/>
        <v>0</v>
      </c>
      <c r="BN53" s="405">
        <f t="shared" si="23"/>
        <v>0</v>
      </c>
      <c r="BO53" s="405">
        <f t="shared" si="24"/>
        <v>0</v>
      </c>
    </row>
    <row r="54" spans="4:67" ht="13.5" thickBot="1" x14ac:dyDescent="0.25">
      <c r="D54" s="345">
        <v>43.652000000000001</v>
      </c>
      <c r="E54" s="340" t="str">
        <f t="shared" si="0"/>
        <v>0.000724082317276569i</v>
      </c>
      <c r="F54" s="728" t="str">
        <f t="shared" si="25"/>
        <v>0.005-59.7703983262162i</v>
      </c>
      <c r="G54" s="337" t="str">
        <f t="shared" si="26"/>
        <v>0.005-93.4870332794666i</v>
      </c>
      <c r="H54" s="338" t="str">
        <f t="shared" si="27"/>
        <v>1.21645978641734-0.0158313403169919i</v>
      </c>
      <c r="I54" s="338" t="str">
        <f t="shared" si="28"/>
        <v>1.22645978641734-0.0158313403169919i</v>
      </c>
      <c r="J54" s="337" t="str">
        <f t="shared" si="29"/>
        <v>1.22529260468484-0.0409628070004761i</v>
      </c>
      <c r="K54" s="338" t="str">
        <f t="shared" si="1"/>
        <v>0.99999997882781-0.000228561337524169i</v>
      </c>
      <c r="L54" s="732"/>
      <c r="M54" s="732" t="str">
        <f t="shared" si="2"/>
        <v>19.2399557421271+0.631841960903311i</v>
      </c>
      <c r="N54" s="337">
        <f t="shared" si="3"/>
        <v>0</v>
      </c>
      <c r="O54" s="730" t="str">
        <f t="shared" si="4"/>
        <v>19.2396896309458+0.236990046980501i</v>
      </c>
      <c r="P54" s="731" t="str">
        <f t="shared" si="5"/>
        <v>23.6004575055912-0.0139313117380593i</v>
      </c>
      <c r="Q54" s="729" t="str">
        <f t="shared" si="6"/>
        <v>23.4080606092817-0.0163012122078643i</v>
      </c>
      <c r="R54" s="730"/>
      <c r="S54" s="405" t="str">
        <f t="shared" si="30"/>
        <v>22.5490108999025+0.325885285468094i</v>
      </c>
      <c r="T54" s="405" t="str">
        <f t="shared" si="31"/>
        <v>22.5401992079679-0.136591830132408i</v>
      </c>
      <c r="U54" s="405" t="str">
        <f t="shared" si="32"/>
        <v>27.4170834825815-0.523000032983349i</v>
      </c>
      <c r="V54" s="731" t="str">
        <f t="shared" si="7"/>
        <v>6000</v>
      </c>
      <c r="W54" s="733" t="str">
        <f>IMSUM(COMPLEX(1,0),IMDIV(COMPLEX(0,2*PI()*D54),COMPLEX(2*PI()*'Stability Calculations'!EA_Pole1,0)))</f>
        <v>1+277.016341079293i</v>
      </c>
      <c r="X54" s="734">
        <f t="shared" si="33"/>
        <v>277.01814602108504</v>
      </c>
      <c r="Y54" s="735">
        <f t="shared" si="34"/>
        <v>1.5671864471309158</v>
      </c>
      <c r="Z54" s="340" t="str">
        <f>IMSUM(COMPLEX(1,0),IMDIV(COMPLEX(0,2*PI()*D54),COMPLEX(2*PI()*'Stability Calculations'!EA_Zero1,0)))</f>
        <v>1+2.74273605029003i</v>
      </c>
      <c r="AA54" s="734">
        <f t="shared" si="35"/>
        <v>2.9193494209430559</v>
      </c>
      <c r="AB54" s="735">
        <f t="shared" si="36"/>
        <v>1.2211749951531909</v>
      </c>
      <c r="AC54" s="733" t="str">
        <f>IMSUM(COMPLEX(1,0),IMDIV(COMPLEX(0,2*PI()*D54),COMPLEX(2*PI()*'Stability Calculations'!EA_Pole2,0)))</f>
        <v>1+0.0276288312721311i</v>
      </c>
      <c r="AD54" s="734">
        <f t="shared" si="37"/>
        <v>1.0003816033481743</v>
      </c>
      <c r="AE54" s="735">
        <f t="shared" si="38"/>
        <v>2.7621804312817706E-2</v>
      </c>
      <c r="AF54" s="732" t="str">
        <f t="shared" si="39"/>
        <v>58.845942891704-23.0704880130154i</v>
      </c>
      <c r="AG54" s="337">
        <f t="shared" si="40"/>
        <v>63.206743405845359</v>
      </c>
      <c r="AH54" s="730">
        <f t="shared" si="41"/>
        <v>-0.37363325629054384</v>
      </c>
      <c r="AI54" s="731" t="str">
        <f t="shared" si="14"/>
        <v>10000</v>
      </c>
      <c r="AJ54" s="733" t="str">
        <f t="shared" si="42"/>
        <v>1+258.2554779481i</v>
      </c>
      <c r="AK54" s="734">
        <f t="shared" si="43"/>
        <v>258.25741400819754</v>
      </c>
      <c r="AL54" s="735">
        <f t="shared" si="44"/>
        <v>1.5669242114377275</v>
      </c>
      <c r="AM54" s="340" t="str">
        <f t="shared" si="45"/>
        <v>1+0.438289220836347i</v>
      </c>
      <c r="AN54" s="734">
        <f t="shared" si="46"/>
        <v>1.0918321487762357</v>
      </c>
      <c r="AO54" s="735">
        <f t="shared" si="47"/>
        <v>0.41307267755713362</v>
      </c>
      <c r="AP54" s="733" t="str">
        <f t="shared" si="48"/>
        <v>1+0.0212577496561694i</v>
      </c>
      <c r="AQ54" s="734">
        <f t="shared" si="49"/>
        <v>1.0002259204401995</v>
      </c>
      <c r="AR54" s="735">
        <f t="shared" si="50"/>
        <v>2.125454845564376E-2</v>
      </c>
      <c r="AS54" s="732" t="str">
        <f t="shared" si="51"/>
        <v>1341.0395827441-5002.23994750307i</v>
      </c>
      <c r="AT54" s="337">
        <f t="shared" si="52"/>
        <v>5178.8793821522804</v>
      </c>
      <c r="AU54" s="730">
        <f t="shared" si="53"/>
        <v>-1.3088676059075526</v>
      </c>
      <c r="AV54" s="732" t="str">
        <f t="shared" si="54"/>
        <v>-866.911167529786-7327.34183772412i</v>
      </c>
      <c r="AW54" s="337">
        <f t="shared" si="55"/>
        <v>77.359298702384848</v>
      </c>
      <c r="AX54" s="730">
        <f t="shared" si="56"/>
        <v>-96.747402087689494</v>
      </c>
      <c r="AY54" s="360">
        <f t="shared" si="57"/>
        <v>83.252597912310506</v>
      </c>
      <c r="BB54" s="337">
        <f t="shared" si="58"/>
        <v>34.284715925414083</v>
      </c>
      <c r="BC54" s="730">
        <f t="shared" si="59"/>
        <v>-74.992589759895054</v>
      </c>
      <c r="BD54" s="351"/>
      <c r="BE54" s="337">
        <f t="shared" si="19"/>
        <v>25.688762593475907</v>
      </c>
      <c r="BF54" s="730">
        <f t="shared" si="20"/>
        <v>1.8809228224964036</v>
      </c>
      <c r="BI54" s="351"/>
      <c r="BJ54" s="351"/>
      <c r="BL54" s="405">
        <f t="shared" si="21"/>
        <v>0</v>
      </c>
      <c r="BM54" s="405">
        <f t="shared" si="22"/>
        <v>0</v>
      </c>
      <c r="BN54" s="405">
        <f t="shared" si="23"/>
        <v>0</v>
      </c>
      <c r="BO54" s="405">
        <f t="shared" si="24"/>
        <v>0</v>
      </c>
    </row>
    <row r="55" spans="4:67" ht="13.5" thickBot="1" x14ac:dyDescent="0.25">
      <c r="D55" s="345">
        <v>47.863</v>
      </c>
      <c r="E55" s="340" t="str">
        <f t="shared" si="0"/>
        <v>0.000793932739663896i</v>
      </c>
      <c r="F55" s="728" t="str">
        <f t="shared" si="25"/>
        <v>0.005-54.5117821226416i</v>
      </c>
      <c r="G55" s="337" t="str">
        <f t="shared" si="26"/>
        <v>0.005-85.262018191824i</v>
      </c>
      <c r="H55" s="338" t="str">
        <f t="shared" si="27"/>
        <v>1.21641795533413-0.0173579510175741i</v>
      </c>
      <c r="I55" s="338" t="str">
        <f t="shared" si="28"/>
        <v>1.22641795533413-0.0173579510175741i</v>
      </c>
      <c r="J55" s="337" t="str">
        <f t="shared" si="29"/>
        <v>1.2250150884147-0.0449041801559734i</v>
      </c>
      <c r="K55" s="338" t="str">
        <f t="shared" si="1"/>
        <v>0.999999974545925-0.000250610081964614i</v>
      </c>
      <c r="L55" s="732"/>
      <c r="M55" s="732" t="str">
        <f t="shared" si="2"/>
        <v>19.2401226591339+0.692796830700941i</v>
      </c>
      <c r="N55" s="337">
        <f t="shared" si="3"/>
        <v>0</v>
      </c>
      <c r="O55" s="730" t="str">
        <f t="shared" si="4"/>
        <v>19.2398027267713+0.259852841063487i</v>
      </c>
      <c r="P55" s="731" t="str">
        <f t="shared" si="5"/>
        <v>23.6005500340858-0.0152753632942342i</v>
      </c>
      <c r="Q55" s="729" t="str">
        <f t="shared" si="6"/>
        <v>23.408152006818-0.0178738917048693i</v>
      </c>
      <c r="R55" s="730"/>
      <c r="S55" s="405" t="str">
        <f t="shared" si="30"/>
        <v>22.5502877897957+0.357296227473021i</v>
      </c>
      <c r="T55" s="405" t="str">
        <f t="shared" si="31"/>
        <v>22.539694773665-0.149758079749853i</v>
      </c>
      <c r="U55" s="405" t="str">
        <f t="shared" si="32"/>
        <v>27.4150899370241-0.573411334996423i</v>
      </c>
      <c r="V55" s="731" t="str">
        <f t="shared" si="7"/>
        <v>6000</v>
      </c>
      <c r="W55" s="733" t="str">
        <f>IMSUM(COMPLEX(1,0),IMDIV(COMPLEX(0,2*PI()*D55),COMPLEX(2*PI()*'Stability Calculations'!EA_Pole1,0)))</f>
        <v>1+303.739419341112i</v>
      </c>
      <c r="X55" s="734">
        <f t="shared" si="33"/>
        <v>303.74106548452727</v>
      </c>
      <c r="Y55" s="735">
        <f t="shared" si="34"/>
        <v>1.5675040429381542</v>
      </c>
      <c r="Z55" s="340" t="str">
        <f>IMSUM(COMPLEX(1,0),IMDIV(COMPLEX(0,2*PI()*D55),COMPLEX(2*PI()*'Stability Calculations'!EA_Zero1,0)))</f>
        <v>1+3.00732098357537i</v>
      </c>
      <c r="AA55" s="734">
        <f t="shared" si="35"/>
        <v>3.1692238005941977</v>
      </c>
      <c r="AB55" s="735">
        <f t="shared" si="36"/>
        <v>1.249776266245533</v>
      </c>
      <c r="AC55" s="733" t="str">
        <f>IMSUM(COMPLEX(1,0),IMDIV(COMPLEX(0,2*PI()*D55),COMPLEX(2*PI()*'Stability Calculations'!EA_Pole2,0)))</f>
        <v>1+0.0302941159895999i</v>
      </c>
      <c r="AD55" s="734">
        <f t="shared" si="37"/>
        <v>1.0004587615007383</v>
      </c>
      <c r="AE55" s="735">
        <f t="shared" si="38"/>
        <v>3.028485378121052E-2</v>
      </c>
      <c r="AF55" s="732" t="str">
        <f t="shared" si="39"/>
        <v>58.8238548977836-21.3399972760542i</v>
      </c>
      <c r="AG55" s="337">
        <f t="shared" si="40"/>
        <v>62.575086006952482</v>
      </c>
      <c r="AH55" s="730">
        <f t="shared" si="41"/>
        <v>-0.34801263047383157</v>
      </c>
      <c r="AI55" s="731" t="str">
        <f t="shared" si="14"/>
        <v>10000</v>
      </c>
      <c r="AJ55" s="733" t="str">
        <f t="shared" si="42"/>
        <v>1+283.168742349261i</v>
      </c>
      <c r="AK55" s="734">
        <f t="shared" si="43"/>
        <v>283.17050807536816</v>
      </c>
      <c r="AL55" s="735">
        <f t="shared" si="44"/>
        <v>1.5672648782506211</v>
      </c>
      <c r="AM55" s="340" t="str">
        <f t="shared" si="45"/>
        <v>1+0.480569893175344i</v>
      </c>
      <c r="AN55" s="734">
        <f t="shared" si="46"/>
        <v>1.1094806993483759</v>
      </c>
      <c r="AO55" s="735">
        <f t="shared" si="47"/>
        <v>0.44798304932919486</v>
      </c>
      <c r="AP55" s="733" t="str">
        <f t="shared" si="48"/>
        <v>1+0.0233084319571437i</v>
      </c>
      <c r="AQ55" s="734">
        <f t="shared" si="49"/>
        <v>1.0002716046156168</v>
      </c>
      <c r="AR55" s="735">
        <f t="shared" si="50"/>
        <v>2.3304212307587981E-2</v>
      </c>
      <c r="AS55" s="732" t="str">
        <f t="shared" si="51"/>
        <v>1128.17510555837-4614.18714860655i</v>
      </c>
      <c r="AT55" s="337">
        <f t="shared" si="52"/>
        <v>4750.105484214796</v>
      </c>
      <c r="AU55" s="730">
        <f t="shared" si="53"/>
        <v>-1.3309994973872998</v>
      </c>
      <c r="AV55" s="732" t="str">
        <f t="shared" si="54"/>
        <v>-767.848249265316-6655.66148550625i</v>
      </c>
      <c r="AW55" s="337">
        <f t="shared" si="55"/>
        <v>76.521246513133264</v>
      </c>
      <c r="AX55" s="730">
        <f t="shared" si="56"/>
        <v>-96.580987286912048</v>
      </c>
      <c r="AY55" s="360">
        <f t="shared" si="57"/>
        <v>83.419012713087952</v>
      </c>
      <c r="BB55" s="337">
        <f t="shared" si="58"/>
        <v>33.534065079671031</v>
      </c>
      <c r="BC55" s="730">
        <f t="shared" si="59"/>
        <v>-76.260653734326127</v>
      </c>
      <c r="BD55" s="351"/>
      <c r="BE55" s="337">
        <f t="shared" si="19"/>
        <v>25.689784014791677</v>
      </c>
      <c r="BF55" s="730">
        <f t="shared" si="20"/>
        <v>2.0622109846034928</v>
      </c>
      <c r="BI55" s="351"/>
      <c r="BJ55" s="351"/>
      <c r="BL55" s="405">
        <f t="shared" si="21"/>
        <v>0</v>
      </c>
      <c r="BM55" s="405">
        <f t="shared" si="22"/>
        <v>0</v>
      </c>
      <c r="BN55" s="405">
        <f t="shared" si="23"/>
        <v>0</v>
      </c>
      <c r="BO55" s="405">
        <f t="shared" si="24"/>
        <v>0</v>
      </c>
    </row>
    <row r="56" spans="4:67" ht="13.5" thickBot="1" x14ac:dyDescent="0.25">
      <c r="D56" s="345">
        <v>52.481000000000002</v>
      </c>
      <c r="E56" s="340" t="str">
        <f t="shared" si="0"/>
        <v>0.000870534319000082i</v>
      </c>
      <c r="F56" s="728" t="str">
        <f t="shared" si="25"/>
        <v>0.005-49.7150859879955i</v>
      </c>
      <c r="G56" s="337" t="str">
        <f t="shared" si="26"/>
        <v>0.005-77.759493468403i</v>
      </c>
      <c r="H56" s="338" t="str">
        <f t="shared" si="27"/>
        <v>1.21636765928218-0.019031920404991i</v>
      </c>
      <c r="I56" s="338" t="str">
        <f t="shared" si="28"/>
        <v>1.22636765928218-0.019031920404991i</v>
      </c>
      <c r="J56" s="337" t="str">
        <f t="shared" si="29"/>
        <v>1.22468155535045-0.0492232512465823i</v>
      </c>
      <c r="K56" s="338" t="str">
        <f t="shared" si="1"/>
        <v>0.999999969397163-0.000274789873421743i</v>
      </c>
      <c r="L56" s="732"/>
      <c r="M56" s="732" t="str">
        <f t="shared" si="2"/>
        <v>19.2403233715308+0.759643929896989i</v>
      </c>
      <c r="N56" s="337">
        <f t="shared" si="3"/>
        <v>0</v>
      </c>
      <c r="O56" s="730" t="str">
        <f t="shared" si="4"/>
        <v>19.2399387206195+0.284925664729842i</v>
      </c>
      <c r="P56" s="731" t="str">
        <f t="shared" si="5"/>
        <v>23.6006612961112-0.016749361803576i</v>
      </c>
      <c r="Q56" s="729" t="str">
        <f t="shared" si="6"/>
        <v>23.408261908905-0.0195986184508748i</v>
      </c>
      <c r="R56" s="730"/>
      <c r="S56" s="405" t="str">
        <f t="shared" si="30"/>
        <v>22.5518229457944+0.391734689860963i</v>
      </c>
      <c r="T56" s="405" t="str">
        <f t="shared" si="31"/>
        <v>22.5390883115018-0.164193552721314i</v>
      </c>
      <c r="U56" s="405" t="str">
        <f t="shared" si="32"/>
        <v>27.4126931731894-0.628681862138413i</v>
      </c>
      <c r="V56" s="731" t="str">
        <f t="shared" si="7"/>
        <v>6000</v>
      </c>
      <c r="W56" s="733" t="str">
        <f>IMSUM(COMPLEX(1,0),IMDIV(COMPLEX(0,2*PI()*D56),COMPLEX(2*PI()*'Stability Calculations'!EA_Pole1,0)))</f>
        <v>1+333.045326587153i</v>
      </c>
      <c r="X56" s="734">
        <f t="shared" si="33"/>
        <v>333.04682788092038</v>
      </c>
      <c r="Y56" s="735">
        <f t="shared" si="34"/>
        <v>1.5677937415159715</v>
      </c>
      <c r="Z56" s="340" t="str">
        <f>IMSUM(COMPLEX(1,0),IMDIV(COMPLEX(0,2*PI()*D56),COMPLEX(2*PI()*'Stability Calculations'!EA_Zero1,0)))</f>
        <v>1+3.29747848106092i</v>
      </c>
      <c r="AA56" s="734">
        <f t="shared" si="35"/>
        <v>3.4457748523459615</v>
      </c>
      <c r="AB56" s="735">
        <f t="shared" si="36"/>
        <v>1.2763495426106402</v>
      </c>
      <c r="AC56" s="733" t="str">
        <f>IMSUM(COMPLEX(1,0),IMDIV(COMPLEX(0,2*PI()*D56),COMPLEX(2*PI()*'Stability Calculations'!EA_Pole2,0)))</f>
        <v>1+0.0332170048106092i</v>
      </c>
      <c r="AD56" s="734">
        <f t="shared" si="37"/>
        <v>1.0005515326101839</v>
      </c>
      <c r="AE56" s="735">
        <f t="shared" si="38"/>
        <v>3.3204796016425606E-2</v>
      </c>
      <c r="AF56" s="732" t="str">
        <f t="shared" si="39"/>
        <v>58.8021246892805-19.7902635223367i</v>
      </c>
      <c r="AG56" s="337">
        <f t="shared" si="40"/>
        <v>62.043085015634276</v>
      </c>
      <c r="AH56" s="730">
        <f t="shared" si="41"/>
        <v>-0.32464899492175764</v>
      </c>
      <c r="AI56" s="731" t="str">
        <f t="shared" si="14"/>
        <v>10000</v>
      </c>
      <c r="AJ56" s="733" t="str">
        <f t="shared" si="42"/>
        <v>1+310.489914281001i</v>
      </c>
      <c r="AK56" s="734">
        <f t="shared" si="43"/>
        <v>310.49152463509103</v>
      </c>
      <c r="AL56" s="735">
        <f t="shared" si="44"/>
        <v>1.5675756213988274</v>
      </c>
      <c r="AM56" s="340" t="str">
        <f t="shared" si="45"/>
        <v>1+0.526937061273535i</v>
      </c>
      <c r="AN56" s="734">
        <f t="shared" si="46"/>
        <v>1.1303374126974606</v>
      </c>
      <c r="AO56" s="735">
        <f t="shared" si="47"/>
        <v>0.48496431014078972</v>
      </c>
      <c r="AP56" s="733" t="str">
        <f t="shared" si="48"/>
        <v>1+0.0255573160383356i</v>
      </c>
      <c r="AQ56" s="734">
        <f t="shared" si="49"/>
        <v>1.0003265348890247</v>
      </c>
      <c r="AR56" s="735">
        <f t="shared" si="50"/>
        <v>2.5551753739482878E-2</v>
      </c>
      <c r="AS56" s="732" t="str">
        <f t="shared" si="51"/>
        <v>947.356593884701-4248.48765582733i</v>
      </c>
      <c r="AT56" s="337">
        <f t="shared" si="52"/>
        <v>4352.830329532042</v>
      </c>
      <c r="AU56" s="730">
        <f t="shared" si="53"/>
        <v>-1.3513989177935071</v>
      </c>
      <c r="AV56" s="732" t="str">
        <f t="shared" si="54"/>
        <v>-683.578708918999-6048.63146739302i</v>
      </c>
      <c r="AW56" s="337">
        <f t="shared" si="55"/>
        <v>75.68825984090256</v>
      </c>
      <c r="AX56" s="730">
        <f t="shared" si="56"/>
        <v>-96.447854610872099</v>
      </c>
      <c r="AY56" s="360">
        <f t="shared" si="57"/>
        <v>83.552145389127901</v>
      </c>
      <c r="BB56" s="337">
        <f t="shared" si="58"/>
        <v>32.775434779471915</v>
      </c>
      <c r="BC56" s="730">
        <f t="shared" si="59"/>
        <v>-77.429454428114838</v>
      </c>
      <c r="BD56" s="351"/>
      <c r="BE56" s="337">
        <f t="shared" si="19"/>
        <v>25.691011928255726</v>
      </c>
      <c r="BF56" s="730">
        <f t="shared" si="20"/>
        <v>2.260970144302219</v>
      </c>
      <c r="BI56" s="351"/>
      <c r="BJ56" s="351"/>
      <c r="BL56" s="405">
        <f t="shared" si="21"/>
        <v>0</v>
      </c>
      <c r="BM56" s="405">
        <f t="shared" si="22"/>
        <v>0</v>
      </c>
      <c r="BN56" s="405">
        <f t="shared" si="23"/>
        <v>0</v>
      </c>
      <c r="BO56" s="405">
        <f t="shared" si="24"/>
        <v>0</v>
      </c>
    </row>
    <row r="57" spans="4:67" ht="13.5" thickBot="1" x14ac:dyDescent="0.25">
      <c r="D57" s="345">
        <v>57.544000000000004</v>
      </c>
      <c r="E57" s="340" t="str">
        <f t="shared" si="0"/>
        <v>0.000954517384435143i</v>
      </c>
      <c r="F57" s="728" t="str">
        <f t="shared" si="25"/>
        <v>0.005-45.3409117846515i</v>
      </c>
      <c r="G57" s="337" t="str">
        <f t="shared" si="26"/>
        <v>0.005-70.9178363811219i</v>
      </c>
      <c r="H57" s="338" t="str">
        <f t="shared" si="27"/>
        <v>1.21630720206451-0.0208669455720933i</v>
      </c>
      <c r="I57" s="338" t="str">
        <f t="shared" si="28"/>
        <v>1.22630720206451-0.0208669455720933i</v>
      </c>
      <c r="J57" s="337" t="str">
        <f t="shared" si="29"/>
        <v>1.22428084404585-0.0539542471993423i</v>
      </c>
      <c r="K57" s="338" t="str">
        <f t="shared" si="1"/>
        <v>0.999999963207645-0.000301299679430285i</v>
      </c>
      <c r="L57" s="732"/>
      <c r="M57" s="732" t="str">
        <f t="shared" si="2"/>
        <v>19.2405646592029+0.832933663369331i</v>
      </c>
      <c r="N57" s="337">
        <f t="shared" si="3"/>
        <v>0</v>
      </c>
      <c r="O57" s="730" t="str">
        <f t="shared" si="4"/>
        <v>19.2401022060637+0.31241495722842i</v>
      </c>
      <c r="P57" s="731" t="str">
        <f t="shared" si="5"/>
        <v>23.6007950496618-0.0183654534535567i</v>
      </c>
      <c r="Q57" s="729" t="str">
        <f t="shared" si="6"/>
        <v>23.4083940276012-0.0214896030258401i</v>
      </c>
      <c r="R57" s="730"/>
      <c r="S57" s="405" t="str">
        <f t="shared" si="30"/>
        <v>22.5536680624702+0.429480646623063i</v>
      </c>
      <c r="T57" s="405" t="str">
        <f t="shared" si="31"/>
        <v>22.5383593995496-0.180015687830145i</v>
      </c>
      <c r="U57" s="405" t="str">
        <f t="shared" si="32"/>
        <v>27.4098124828307-0.689261096467089i</v>
      </c>
      <c r="V57" s="731" t="str">
        <f t="shared" si="7"/>
        <v>6000</v>
      </c>
      <c r="W57" s="733" t="str">
        <f>IMSUM(COMPLEX(1,0),IMDIV(COMPLEX(0,2*PI()*D57),COMPLEX(2*PI()*'Stability Calculations'!EA_Pole1,0)))</f>
        <v>1+365.175211469505i</v>
      </c>
      <c r="X57" s="734">
        <f t="shared" si="33"/>
        <v>365.17658067268997</v>
      </c>
      <c r="Y57" s="735">
        <f t="shared" si="34"/>
        <v>1.5680579221360629</v>
      </c>
      <c r="Z57" s="340" t="str">
        <f>IMSUM(COMPLEX(1,0),IMDIV(COMPLEX(0,2*PI()*D57),COMPLEX(2*PI()*'Stability Calculations'!EA_Zero1,0)))</f>
        <v>1+3.61559615316342i</v>
      </c>
      <c r="AA57" s="734">
        <f t="shared" si="35"/>
        <v>3.7513378337294712</v>
      </c>
      <c r="AB57" s="735">
        <f t="shared" si="36"/>
        <v>1.3009622036325565</v>
      </c>
      <c r="AC57" s="733" t="str">
        <f>IMSUM(COMPLEX(1,0),IMDIV(COMPLEX(0,2*PI()*D57),COMPLEX(2*PI()*'Stability Calculations'!EA_Pole2,0)))</f>
        <v>1+0.0364215492239419i</v>
      </c>
      <c r="AD57" s="734">
        <f t="shared" si="37"/>
        <v>1.0006630448097262</v>
      </c>
      <c r="AE57" s="735">
        <f t="shared" si="38"/>
        <v>3.6405457279762805E-2</v>
      </c>
      <c r="AF57" s="732" t="str">
        <f t="shared" si="39"/>
        <v>58.7800210375326-18.4085285518531i</v>
      </c>
      <c r="AG57" s="337">
        <f t="shared" si="40"/>
        <v>61.595168614244137</v>
      </c>
      <c r="AH57" s="730">
        <f t="shared" si="41"/>
        <v>-0.30350117578326913</v>
      </c>
      <c r="AI57" s="731" t="str">
        <f t="shared" si="14"/>
        <v>10000</v>
      </c>
      <c r="AJ57" s="733" t="str">
        <f t="shared" si="42"/>
        <v>1+340.443810662638i</v>
      </c>
      <c r="AK57" s="734">
        <f t="shared" si="43"/>
        <v>340.44527933061153</v>
      </c>
      <c r="AL57" s="735">
        <f t="shared" si="44"/>
        <v>1.5678589929597617</v>
      </c>
      <c r="AM57" s="340" t="str">
        <f t="shared" si="45"/>
        <v>1+0.577772265275514i</v>
      </c>
      <c r="AN57" s="734">
        <f t="shared" si="46"/>
        <v>1.154911594245031</v>
      </c>
      <c r="AO57" s="735">
        <f t="shared" si="47"/>
        <v>0.52391521482931624</v>
      </c>
      <c r="AP57" s="733" t="str">
        <f t="shared" si="48"/>
        <v>1+0.0280229072256623i</v>
      </c>
      <c r="AQ57" s="734">
        <f t="shared" si="49"/>
        <v>1.000392564611202</v>
      </c>
      <c r="AR57" s="735">
        <f t="shared" si="50"/>
        <v>2.8015575372606571E-2</v>
      </c>
      <c r="AS57" s="732" t="str">
        <f t="shared" si="51"/>
        <v>794.313927897224-3905.80899966869i</v>
      </c>
      <c r="AT57" s="337">
        <f t="shared" si="52"/>
        <v>3985.7594706585655</v>
      </c>
      <c r="AU57" s="730">
        <f t="shared" si="53"/>
        <v>-1.3701650611467835</v>
      </c>
      <c r="AV57" s="732" t="str">
        <f t="shared" si="54"/>
        <v>-612.162070244466-5499.45724497324i</v>
      </c>
      <c r="AW57" s="337">
        <f t="shared" si="55"/>
        <v>74.85987774372083</v>
      </c>
      <c r="AX57" s="730">
        <f t="shared" si="56"/>
        <v>-96.351627954399646</v>
      </c>
      <c r="AY57" s="360">
        <f t="shared" si="57"/>
        <v>83.648372045600354</v>
      </c>
      <c r="BB57" s="337">
        <f t="shared" si="58"/>
        <v>32.010221734165412</v>
      </c>
      <c r="BC57" s="730">
        <f t="shared" si="59"/>
        <v>-78.504675239995066</v>
      </c>
      <c r="BD57" s="351"/>
      <c r="BE57" s="337">
        <f t="shared" si="19"/>
        <v>25.692487619715031</v>
      </c>
      <c r="BF57" s="730">
        <f t="shared" si="20"/>
        <v>2.4788152241821084</v>
      </c>
      <c r="BI57" s="351"/>
      <c r="BJ57" s="351"/>
      <c r="BL57" s="405">
        <f t="shared" si="21"/>
        <v>0</v>
      </c>
      <c r="BM57" s="405">
        <f t="shared" si="22"/>
        <v>0</v>
      </c>
      <c r="BN57" s="405">
        <f t="shared" si="23"/>
        <v>0</v>
      </c>
      <c r="BO57" s="405">
        <f t="shared" si="24"/>
        <v>0</v>
      </c>
    </row>
    <row r="58" spans="4:67" ht="13.5" thickBot="1" x14ac:dyDescent="0.25">
      <c r="D58" s="345">
        <v>63.095999999999997</v>
      </c>
      <c r="E58" s="340" t="str">
        <f t="shared" si="0"/>
        <v>0.00104661179077436i</v>
      </c>
      <c r="F58" s="728" t="str">
        <f t="shared" si="25"/>
        <v>0.005-41.3512334812982i</v>
      </c>
      <c r="G58" s="337" t="str">
        <f t="shared" si="26"/>
        <v>0.005-64.6775703169024i</v>
      </c>
      <c r="H58" s="338" t="str">
        <f t="shared" si="27"/>
        <v>1.21623451754857-0.022878871737989i</v>
      </c>
      <c r="I58" s="338" t="str">
        <f t="shared" si="28"/>
        <v>1.22623451754857-0.022878871737989i</v>
      </c>
      <c r="J58" s="337" t="str">
        <f t="shared" si="29"/>
        <v>1.22379938531213-0.0591365542615679i</v>
      </c>
      <c r="K58" s="338" t="str">
        <f t="shared" si="1"/>
        <v>0.999999955765498-0.000330369883451503i</v>
      </c>
      <c r="L58" s="732"/>
      <c r="M58" s="732" t="str">
        <f t="shared" si="2"/>
        <v>19.2408547840964+0.913303406515425i</v>
      </c>
      <c r="N58" s="337">
        <f t="shared" si="3"/>
        <v>0</v>
      </c>
      <c r="O58" s="730" t="str">
        <f t="shared" si="4"/>
        <v>19.2402987807637+0.342559776708803i</v>
      </c>
      <c r="P58" s="731" t="str">
        <f t="shared" si="5"/>
        <v>23.6009558741138-0.0201377054816103i</v>
      </c>
      <c r="Q58" s="729" t="str">
        <f t="shared" si="6"/>
        <v>23.4085528863062-0.0235633032486979i</v>
      </c>
      <c r="R58" s="730"/>
      <c r="S58" s="405" t="str">
        <f t="shared" si="30"/>
        <v>22.5558860850447+0.470857637881715i</v>
      </c>
      <c r="T58" s="405" t="str">
        <f t="shared" si="31"/>
        <v>22.537483171304-0.197360214004823i</v>
      </c>
      <c r="U58" s="405" t="str">
        <f t="shared" si="32"/>
        <v>27.4063495925872-0.755668491436776i</v>
      </c>
      <c r="V58" s="731" t="str">
        <f t="shared" si="7"/>
        <v>6000</v>
      </c>
      <c r="W58" s="733" t="str">
        <f>IMSUM(COMPLEX(1,0),IMDIV(COMPLEX(0,2*PI()*D58),COMPLEX(2*PI()*'Stability Calculations'!EA_Pole1,0)))</f>
        <v>1+400.408298743221i</v>
      </c>
      <c r="X58" s="734">
        <f t="shared" si="33"/>
        <v>400.40954746664136</v>
      </c>
      <c r="Y58" s="735">
        <f t="shared" si="34"/>
        <v>1.5682988812522847</v>
      </c>
      <c r="Z58" s="340" t="str">
        <f>IMSUM(COMPLEX(1,0),IMDIV(COMPLEX(0,2*PI()*D58),COMPLEX(2*PI()*'Stability Calculations'!EA_Zero1,0)))</f>
        <v>1+3.96443860141803i</v>
      </c>
      <c r="AA58" s="734">
        <f t="shared" si="35"/>
        <v>4.0886150985894174</v>
      </c>
      <c r="AB58" s="735">
        <f t="shared" si="36"/>
        <v>1.3237081688339545</v>
      </c>
      <c r="AC58" s="733" t="str">
        <f>IMSUM(COMPLEX(1,0),IMDIV(COMPLEX(0,2*PI()*D58),COMPLEX(2*PI()*'Stability Calculations'!EA_Pole2,0)))</f>
        <v>1+0.0399355983218726i</v>
      </c>
      <c r="AD58" s="734">
        <f t="shared" si="37"/>
        <v>1.0007971083158294</v>
      </c>
      <c r="AE58" s="735">
        <f t="shared" si="38"/>
        <v>3.9914388157957476E-2</v>
      </c>
      <c r="AF58" s="732" t="str">
        <f t="shared" si="39"/>
        <v>58.7567905487812-17.1827360485509i</v>
      </c>
      <c r="AG58" s="337">
        <f t="shared" si="40"/>
        <v>61.21770049346442</v>
      </c>
      <c r="AH58" s="730">
        <f t="shared" si="41"/>
        <v>-0.28450510057628753</v>
      </c>
      <c r="AI58" s="731" t="str">
        <f t="shared" si="14"/>
        <v>10000</v>
      </c>
      <c r="AJ58" s="733" t="str">
        <f t="shared" si="42"/>
        <v>1+373.290745821803i</v>
      </c>
      <c r="AK58" s="734">
        <f t="shared" si="43"/>
        <v>373.29208525790887</v>
      </c>
      <c r="AL58" s="735">
        <f t="shared" si="44"/>
        <v>1.5681174561851219</v>
      </c>
      <c r="AM58" s="340" t="str">
        <f t="shared" si="45"/>
        <v>1+0.633517288506601i</v>
      </c>
      <c r="AN58" s="734">
        <f t="shared" si="46"/>
        <v>1.1837838294370961</v>
      </c>
      <c r="AO58" s="735">
        <f t="shared" si="47"/>
        <v>0.56470067510310973</v>
      </c>
      <c r="AP58" s="733" t="str">
        <f t="shared" si="48"/>
        <v>1+0.0307266327386068i</v>
      </c>
      <c r="AQ58" s="734">
        <f t="shared" si="49"/>
        <v>1.0004719516105651</v>
      </c>
      <c r="AR58" s="735">
        <f t="shared" si="50"/>
        <v>3.0716968275493639E-2</v>
      </c>
      <c r="AS58" s="732" t="str">
        <f t="shared" si="51"/>
        <v>665.120391990409-3586.08738097201i</v>
      </c>
      <c r="AT58" s="337">
        <f t="shared" si="52"/>
        <v>3647.2466107747859</v>
      </c>
      <c r="AU58" s="730">
        <f t="shared" si="53"/>
        <v>-1.3874077892235894</v>
      </c>
      <c r="AV58" s="732" t="str">
        <f t="shared" si="54"/>
        <v>-551.800737414978-5001.9285503319i</v>
      </c>
      <c r="AW58" s="337">
        <f t="shared" si="55"/>
        <v>74.035284166314156</v>
      </c>
      <c r="AX58" s="730">
        <f t="shared" si="56"/>
        <v>-96.295277278104521</v>
      </c>
      <c r="AY58" s="360">
        <f t="shared" si="57"/>
        <v>83.704722721895479</v>
      </c>
      <c r="BB58" s="337">
        <f t="shared" si="58"/>
        <v>31.239302587787634</v>
      </c>
      <c r="BC58" s="730">
        <f t="shared" si="59"/>
        <v>-79.492610786087766</v>
      </c>
      <c r="BD58" s="351"/>
      <c r="BE58" s="337">
        <f t="shared" si="19"/>
        <v>25.69426134114757</v>
      </c>
      <c r="BF58" s="730">
        <f t="shared" si="20"/>
        <v>2.7176122763584893</v>
      </c>
      <c r="BI58" s="351"/>
      <c r="BJ58" s="351"/>
      <c r="BL58" s="405">
        <f t="shared" si="21"/>
        <v>0</v>
      </c>
      <c r="BM58" s="405">
        <f t="shared" si="22"/>
        <v>0</v>
      </c>
      <c r="BN58" s="405">
        <f t="shared" si="23"/>
        <v>0</v>
      </c>
      <c r="BO58" s="405">
        <f t="shared" si="24"/>
        <v>0</v>
      </c>
    </row>
    <row r="59" spans="4:67" ht="13.5" thickBot="1" x14ac:dyDescent="0.25">
      <c r="D59" s="345">
        <v>69.183000000000007</v>
      </c>
      <c r="E59" s="340" t="str">
        <f t="shared" si="0"/>
        <v>0.00114758056804144i</v>
      </c>
      <c r="F59" s="728" t="str">
        <f t="shared" si="25"/>
        <v>0.005-37.7129848045906i</v>
      </c>
      <c r="G59" s="337" t="str">
        <f t="shared" si="26"/>
        <v>0.005-58.9869762328212i</v>
      </c>
      <c r="H59" s="338" t="str">
        <f t="shared" si="27"/>
        <v>1.21614715245722-0.0250842338272282i</v>
      </c>
      <c r="I59" s="338" t="str">
        <f t="shared" si="28"/>
        <v>1.22614715245722-0.0250842338272282i</v>
      </c>
      <c r="J59" s="337" t="str">
        <f t="shared" si="29"/>
        <v>1.22322110936817-0.0648108353538985i</v>
      </c>
      <c r="K59" s="338" t="str">
        <f t="shared" si="1"/>
        <v>0.999999946819028-0.000362241340922171i</v>
      </c>
      <c r="L59" s="732"/>
      <c r="M59" s="732" t="str">
        <f t="shared" si="2"/>
        <v>19.2412035616173+1.0014196414273i</v>
      </c>
      <c r="N59" s="337">
        <f t="shared" si="3"/>
        <v>0</v>
      </c>
      <c r="O59" s="730" t="str">
        <f t="shared" si="4"/>
        <v>19.2405350947969+0.375610096261998i</v>
      </c>
      <c r="P59" s="731" t="str">
        <f t="shared" si="5"/>
        <v>23.6011492097209-0.0220808313130376i</v>
      </c>
      <c r="Q59" s="729" t="str">
        <f t="shared" si="6"/>
        <v>23.4087438587729-0.0258369322756575i</v>
      </c>
      <c r="R59" s="730"/>
      <c r="S59" s="405" t="str">
        <f t="shared" si="30"/>
        <v>22.5585517155445+0.51620256840864i</v>
      </c>
      <c r="T59" s="405" t="str">
        <f t="shared" si="31"/>
        <v>22.5364301157206-0.216368499886535i</v>
      </c>
      <c r="U59" s="405" t="str">
        <f t="shared" si="32"/>
        <v>27.4021878737406-0.82844501767216i</v>
      </c>
      <c r="V59" s="731" t="str">
        <f t="shared" si="7"/>
        <v>6000</v>
      </c>
      <c r="W59" s="733" t="str">
        <f>IMSUM(COMPLEX(1,0),IMDIV(COMPLEX(0,2*PI()*D59),COMPLEX(2*PI()*'Stability Calculations'!EA_Pole1,0)))</f>
        <v>1+439.036505197671i</v>
      </c>
      <c r="X59" s="734">
        <f t="shared" si="33"/>
        <v>439.03764405365581</v>
      </c>
      <c r="Y59" s="735">
        <f t="shared" si="34"/>
        <v>1.56851861580996</v>
      </c>
      <c r="Z59" s="340" t="str">
        <f>IMSUM(COMPLEX(1,0),IMDIV(COMPLEX(0,2*PI()*D59),COMPLEX(2*PI()*'Stability Calculations'!EA_Zero1,0)))</f>
        <v>1+4.34689609106605i</v>
      </c>
      <c r="AA59" s="734">
        <f t="shared" si="35"/>
        <v>4.4604378290169349</v>
      </c>
      <c r="AB59" s="735">
        <f t="shared" si="36"/>
        <v>1.3446812042782277</v>
      </c>
      <c r="AC59" s="733" t="str">
        <f>IMSUM(COMPLEX(1,0),IMDIV(COMPLEX(0,2*PI()*D59),COMPLEX(2*PI()*'Stability Calculations'!EA_Pole2,0)))</f>
        <v>1+0.0437882670645067i</v>
      </c>
      <c r="AD59" s="734">
        <f t="shared" si="37"/>
        <v>1.0009582470475542</v>
      </c>
      <c r="AE59" s="735">
        <f t="shared" si="38"/>
        <v>4.3760312496629865E-2</v>
      </c>
      <c r="AF59" s="732" t="str">
        <f t="shared" si="39"/>
        <v>58.7316522734022-16.1026668223217i</v>
      </c>
      <c r="AG59" s="337">
        <f t="shared" si="40"/>
        <v>60.89912033481707</v>
      </c>
      <c r="AH59" s="730">
        <f t="shared" si="41"/>
        <v>-0.26759772402836163</v>
      </c>
      <c r="AI59" s="731" t="str">
        <f t="shared" si="14"/>
        <v>10000</v>
      </c>
      <c r="AJ59" s="733" t="str">
        <f t="shared" si="42"/>
        <v>1+409.302866555563i</v>
      </c>
      <c r="AK59" s="734">
        <f t="shared" si="43"/>
        <v>409.30408814303456</v>
      </c>
      <c r="AL59" s="735">
        <f t="shared" si="44"/>
        <v>1.5683531530670523</v>
      </c>
      <c r="AM59" s="340" t="str">
        <f t="shared" si="45"/>
        <v>1+0.694633995352355i</v>
      </c>
      <c r="AN59" s="734">
        <f t="shared" si="46"/>
        <v>1.2175862957093331</v>
      </c>
      <c r="AO59" s="735">
        <f t="shared" si="47"/>
        <v>0.60711553294875742</v>
      </c>
      <c r="AP59" s="733" t="str">
        <f t="shared" si="48"/>
        <v>1+0.033690893761174i</v>
      </c>
      <c r="AQ59" s="734">
        <f t="shared" si="49"/>
        <v>1.0005673772027683</v>
      </c>
      <c r="AR59" s="735">
        <f t="shared" si="50"/>
        <v>3.3678155190336082E-2</v>
      </c>
      <c r="AS59" s="732" t="str">
        <f t="shared" si="51"/>
        <v>556.341740508376-3288.96924247334i</v>
      </c>
      <c r="AT59" s="337">
        <f t="shared" si="52"/>
        <v>3335.6910543645295</v>
      </c>
      <c r="AU59" s="730">
        <f t="shared" si="53"/>
        <v>-1.4032286880891609</v>
      </c>
      <c r="AV59" s="732" t="str">
        <f t="shared" si="54"/>
        <v>-500.914445906537-4550.79075658208i</v>
      </c>
      <c r="AW59" s="337">
        <f t="shared" si="55"/>
        <v>73.214039545591618</v>
      </c>
      <c r="AX59" s="730">
        <f t="shared" si="56"/>
        <v>-96.281372018088831</v>
      </c>
      <c r="AY59" s="360">
        <f t="shared" si="57"/>
        <v>83.718627981911169</v>
      </c>
      <c r="BB59" s="337">
        <f t="shared" si="58"/>
        <v>30.463716405273566</v>
      </c>
      <c r="BC59" s="730">
        <f t="shared" si="59"/>
        <v>-80.399081519188329</v>
      </c>
      <c r="BD59" s="351"/>
      <c r="BE59" s="337">
        <f t="shared" si="19"/>
        <v>25.696392700161148</v>
      </c>
      <c r="BF59" s="730">
        <f t="shared" si="20"/>
        <v>2.9793040862361271</v>
      </c>
      <c r="BI59" s="351"/>
      <c r="BJ59" s="351"/>
      <c r="BL59" s="405">
        <f t="shared" si="21"/>
        <v>0</v>
      </c>
      <c r="BM59" s="405">
        <f t="shared" si="22"/>
        <v>0</v>
      </c>
      <c r="BN59" s="405">
        <f t="shared" si="23"/>
        <v>0</v>
      </c>
      <c r="BO59" s="405">
        <f t="shared" si="24"/>
        <v>0</v>
      </c>
    </row>
    <row r="60" spans="4:67" ht="13.5" thickBot="1" x14ac:dyDescent="0.25">
      <c r="D60" s="345">
        <v>75.858000000000004</v>
      </c>
      <c r="E60" s="340" t="str">
        <f t="shared" si="0"/>
        <v>0.00125830285952456i</v>
      </c>
      <c r="F60" s="728" t="str">
        <f t="shared" si="25"/>
        <v>0.005-34.3944927065832i</v>
      </c>
      <c r="G60" s="337" t="str">
        <f t="shared" si="26"/>
        <v>0.005-53.7965142333738i</v>
      </c>
      <c r="H60" s="338" t="str">
        <f t="shared" si="27"/>
        <v>1.21604212162732-0.0275020568340751i</v>
      </c>
      <c r="I60" s="338" t="str">
        <f t="shared" si="28"/>
        <v>1.22604212162732-0.0275020568340751i</v>
      </c>
      <c r="J60" s="337" t="str">
        <f t="shared" si="29"/>
        <v>1.22252651780866-0.0710235051053627i</v>
      </c>
      <c r="K60" s="338" t="str">
        <f t="shared" si="1"/>
        <v>0.99999993606182-0.000397191559193358i</v>
      </c>
      <c r="L60" s="732"/>
      <c r="M60" s="732" t="str">
        <f t="shared" si="2"/>
        <v>19.2416229423255+1.09805038709156i</v>
      </c>
      <c r="N60" s="337">
        <f t="shared" si="3"/>
        <v>0</v>
      </c>
      <c r="O60" s="730" t="str">
        <f t="shared" si="4"/>
        <v>19.2408192447251+0.411853970043181i</v>
      </c>
      <c r="P60" s="731" t="str">
        <f t="shared" si="5"/>
        <v>23.601381679942-0.0242117891702213i</v>
      </c>
      <c r="Q60" s="729" t="str">
        <f t="shared" si="6"/>
        <v>23.4089734874947-0.0283303288706534i</v>
      </c>
      <c r="R60" s="730"/>
      <c r="S60" s="405" t="str">
        <f t="shared" si="30"/>
        <v>22.561755802036+0.565902465095766i</v>
      </c>
      <c r="T60" s="405" t="str">
        <f t="shared" si="31"/>
        <v>22.5351643432429-0.237202974233776i</v>
      </c>
      <c r="U60" s="405" t="str">
        <f t="shared" si="32"/>
        <v>27.3971854894988-0.908212178576644i</v>
      </c>
      <c r="V60" s="731" t="str">
        <f t="shared" si="7"/>
        <v>6000</v>
      </c>
      <c r="W60" s="733" t="str">
        <f>IMSUM(COMPLEX(1,0),IMDIV(COMPLEX(0,2*PI()*D60),COMPLEX(2*PI()*'Stability Calculations'!EA_Pole1,0)))</f>
        <v>1+481.396169742349i</v>
      </c>
      <c r="X60" s="734">
        <f t="shared" si="33"/>
        <v>481.39720838680034</v>
      </c>
      <c r="Y60" s="735">
        <f t="shared" si="34"/>
        <v>1.568719038639157</v>
      </c>
      <c r="Z60" s="340" t="str">
        <f>IMSUM(COMPLEX(1,0),IMDIV(COMPLEX(0,2*PI()*D60),COMPLEX(2*PI()*'Stability Calculations'!EA_Zero1,0)))</f>
        <v>1+4.76629871032029i</v>
      </c>
      <c r="AA60" s="734">
        <f t="shared" si="35"/>
        <v>4.8700722167131012</v>
      </c>
      <c r="AB60" s="735">
        <f t="shared" si="36"/>
        <v>1.3639895573677578</v>
      </c>
      <c r="AC60" s="733" t="str">
        <f>IMSUM(COMPLEX(1,0),IMDIV(COMPLEX(0,2*PI()*D60),COMPLEX(2*PI()*'Stability Calculations'!EA_Pole2,0)))</f>
        <v>1+0.0480131009493568i</v>
      </c>
      <c r="AD60" s="734">
        <f t="shared" si="37"/>
        <v>1.0011519654192231</v>
      </c>
      <c r="AE60" s="735">
        <f t="shared" si="38"/>
        <v>4.7976257703030226E-2</v>
      </c>
      <c r="AF60" s="732" t="str">
        <f t="shared" si="39"/>
        <v>58.7037520854426-15.1588393526356i</v>
      </c>
      <c r="AG60" s="337">
        <f t="shared" si="40"/>
        <v>60.629373404548069</v>
      </c>
      <c r="AH60" s="730">
        <f t="shared" si="41"/>
        <v>-0.25270573897442888</v>
      </c>
      <c r="AI60" s="731" t="str">
        <f t="shared" si="14"/>
        <v>10000</v>
      </c>
      <c r="AJ60" s="733" t="str">
        <f t="shared" si="42"/>
        <v>1+448.793733304018i</v>
      </c>
      <c r="AK60" s="734">
        <f t="shared" si="43"/>
        <v>448.79484740018796</v>
      </c>
      <c r="AL60" s="735">
        <f t="shared" si="44"/>
        <v>1.5685681353767773</v>
      </c>
      <c r="AM60" s="340" t="str">
        <f t="shared" si="45"/>
        <v>1+0.761654533909182i</v>
      </c>
      <c r="AN60" s="734">
        <f t="shared" si="46"/>
        <v>1.2570272984404172</v>
      </c>
      <c r="AO60" s="735">
        <f t="shared" si="47"/>
        <v>0.65091838018490411</v>
      </c>
      <c r="AP60" s="733" t="str">
        <f t="shared" si="48"/>
        <v>1+0.0369415003531957i</v>
      </c>
      <c r="AQ60" s="734">
        <f t="shared" si="49"/>
        <v>1.0006821045908361</v>
      </c>
      <c r="AR60" s="735">
        <f t="shared" si="50"/>
        <v>3.6924709725425546E-2</v>
      </c>
      <c r="AS60" s="732" t="str">
        <f t="shared" si="51"/>
        <v>464.916481306604-3013.66592235131i</v>
      </c>
      <c r="AT60" s="337">
        <f t="shared" si="52"/>
        <v>3049.3162555123872</v>
      </c>
      <c r="AU60" s="730">
        <f t="shared" si="53"/>
        <v>-1.4177335491571652</v>
      </c>
      <c r="AV60" s="732" t="str">
        <f t="shared" si="54"/>
        <v>-458.087890980119-4141.23094852725i</v>
      </c>
      <c r="AW60" s="337">
        <f t="shared" si="55"/>
        <v>72.395406717328996</v>
      </c>
      <c r="AX60" s="730">
        <f t="shared" si="56"/>
        <v>-96.312188740209237</v>
      </c>
      <c r="AY60" s="360">
        <f t="shared" si="57"/>
        <v>83.687811259790763</v>
      </c>
      <c r="BB60" s="337">
        <f t="shared" si="58"/>
        <v>29.684049378755489</v>
      </c>
      <c r="BC60" s="730">
        <f t="shared" si="59"/>
        <v>-81.230148840808596</v>
      </c>
      <c r="BD60" s="351"/>
      <c r="BE60" s="337">
        <f t="shared" si="19"/>
        <v>25.698954147828374</v>
      </c>
      <c r="BF60" s="730">
        <f t="shared" si="20"/>
        <v>3.2661221895713117</v>
      </c>
      <c r="BI60" s="351"/>
      <c r="BJ60" s="351"/>
      <c r="BL60" s="405">
        <f t="shared" si="21"/>
        <v>0</v>
      </c>
      <c r="BM60" s="405">
        <f t="shared" si="22"/>
        <v>0</v>
      </c>
      <c r="BN60" s="405">
        <f t="shared" si="23"/>
        <v>0</v>
      </c>
      <c r="BO60" s="405">
        <f t="shared" si="24"/>
        <v>0</v>
      </c>
    </row>
    <row r="61" spans="4:67" ht="13.5" thickBot="1" x14ac:dyDescent="0.25">
      <c r="D61" s="345">
        <v>83.176000000000002</v>
      </c>
      <c r="E61" s="340" t="str">
        <f t="shared" si="0"/>
        <v>0.00137969098373032i</v>
      </c>
      <c r="F61" s="728" t="str">
        <f t="shared" si="25"/>
        <v>0.005-31.3683926581705i</v>
      </c>
      <c r="G61" s="337" t="str">
        <f t="shared" si="26"/>
        <v>0.005-49.0633833884205i</v>
      </c>
      <c r="H61" s="338" t="str">
        <f t="shared" si="27"/>
        <v>1.21591588825175-0.0301520293678599i</v>
      </c>
      <c r="I61" s="338" t="str">
        <f t="shared" si="28"/>
        <v>1.22591588825175-0.0301520293678599i</v>
      </c>
      <c r="J61" s="337" t="str">
        <f t="shared" si="29"/>
        <v>1.22169259670204-0.0778218216597893i</v>
      </c>
      <c r="K61" s="338" t="str">
        <f t="shared" si="1"/>
        <v>0.999999923130589-0.000435508517591641i</v>
      </c>
      <c r="L61" s="732"/>
      <c r="M61" s="732" t="str">
        <f t="shared" si="2"/>
        <v>19.2421270964704+1.20399288492412i</v>
      </c>
      <c r="N61" s="337">
        <f t="shared" si="3"/>
        <v>0</v>
      </c>
      <c r="O61" s="730" t="str">
        <f t="shared" si="4"/>
        <v>19.2411608307782+0.451590408839588i</v>
      </c>
      <c r="P61" s="731" t="str">
        <f t="shared" si="5"/>
        <v>23.6016611381278-0.026548189262797i</v>
      </c>
      <c r="Q61" s="729" t="str">
        <f t="shared" si="6"/>
        <v>23.4092495298201-0.0310640933511916i</v>
      </c>
      <c r="R61" s="730"/>
      <c r="S61" s="405" t="str">
        <f t="shared" si="30"/>
        <v>22.5656059018762+0.62035657584852i</v>
      </c>
      <c r="T61" s="405" t="str">
        <f t="shared" si="31"/>
        <v>22.5336433632729-0.260031253948136i</v>
      </c>
      <c r="U61" s="405" t="str">
        <f t="shared" si="32"/>
        <v>27.3911745155965-0.995611209571863i</v>
      </c>
      <c r="V61" s="731" t="str">
        <f t="shared" si="7"/>
        <v>6000</v>
      </c>
      <c r="W61" s="733" t="str">
        <f>IMSUM(COMPLEX(1,0),IMDIV(COMPLEX(0,2*PI()*D61),COMPLEX(2*PI()*'Stability Calculations'!EA_Pole1,0)))</f>
        <v>1+527.836323321069i</v>
      </c>
      <c r="X61" s="734">
        <f t="shared" si="33"/>
        <v>527.83727058356158</v>
      </c>
      <c r="Y61" s="735">
        <f t="shared" si="34"/>
        <v>1.5689018023762278</v>
      </c>
      <c r="Z61" s="340" t="str">
        <f>IMSUM(COMPLEX(1,0),IMDIV(COMPLEX(0,2*PI()*D61),COMPLEX(2*PI()*'Stability Calculations'!EA_Zero1,0)))</f>
        <v>1+5.22610221109969i</v>
      </c>
      <c r="AA61" s="734">
        <f t="shared" si="35"/>
        <v>5.3209157408157726</v>
      </c>
      <c r="AB61" s="735">
        <f t="shared" si="36"/>
        <v>1.3817344461864778</v>
      </c>
      <c r="AC61" s="733" t="str">
        <f>IMSUM(COMPLEX(1,0),IMDIV(COMPLEX(0,2*PI()*D61),COMPLEX(2*PI()*'Stability Calculations'!EA_Pole2,0)))</f>
        <v>1+0.0526449113417661i</v>
      </c>
      <c r="AD61" s="734">
        <f t="shared" si="37"/>
        <v>1.0013847845309927</v>
      </c>
      <c r="AE61" s="735">
        <f t="shared" si="38"/>
        <v>5.2596357166216044E-2</v>
      </c>
      <c r="AF61" s="732" t="str">
        <f t="shared" si="39"/>
        <v>58.6721575521529-14.343364109347i</v>
      </c>
      <c r="AG61" s="337">
        <f t="shared" si="40"/>
        <v>60.399951703606156</v>
      </c>
      <c r="AH61" s="730">
        <f t="shared" si="41"/>
        <v>-0.23976371335596722</v>
      </c>
      <c r="AI61" s="731" t="str">
        <f t="shared" si="14"/>
        <v>10000</v>
      </c>
      <c r="AJ61" s="733" t="str">
        <f t="shared" si="42"/>
        <v>1+492.088738976706i</v>
      </c>
      <c r="AK61" s="734">
        <f t="shared" si="43"/>
        <v>492.08975505255614</v>
      </c>
      <c r="AL61" s="735">
        <f t="shared" si="44"/>
        <v>1.5687641757939752</v>
      </c>
      <c r="AM61" s="340" t="str">
        <f t="shared" si="45"/>
        <v>1+0.83513113333373i</v>
      </c>
      <c r="AN61" s="734">
        <f t="shared" si="46"/>
        <v>1.3028599348599528</v>
      </c>
      <c r="AO61" s="735">
        <f t="shared" si="47"/>
        <v>0.69579833525483803</v>
      </c>
      <c r="AP61" s="733" t="str">
        <f t="shared" si="48"/>
        <v>1+0.0405052365390256i</v>
      </c>
      <c r="AQ61" s="734">
        <f t="shared" si="49"/>
        <v>1.0008200008928092</v>
      </c>
      <c r="AR61" s="735">
        <f t="shared" si="50"/>
        <v>4.0483106354653804E-2</v>
      </c>
      <c r="AS61" s="732" t="str">
        <f t="shared" si="51"/>
        <v>388.224814220915-2759.30748160502i</v>
      </c>
      <c r="AT61" s="337">
        <f t="shared" si="52"/>
        <v>2786.4845745882571</v>
      </c>
      <c r="AU61" s="730">
        <f t="shared" si="53"/>
        <v>-1.4310173720096135</v>
      </c>
      <c r="AV61" s="732" t="str">
        <f t="shared" si="54"/>
        <v>-422.105507214291-3769.1824499793i</v>
      </c>
      <c r="AW61" s="337">
        <f t="shared" si="55"/>
        <v>71.579071309460247</v>
      </c>
      <c r="AX61" s="730">
        <f t="shared" si="56"/>
        <v>-96.389850856811307</v>
      </c>
      <c r="AY61" s="360">
        <f t="shared" si="57"/>
        <v>83.610149143188693</v>
      </c>
      <c r="BB61" s="337">
        <f t="shared" si="58"/>
        <v>28.901132864659438</v>
      </c>
      <c r="BC61" s="730">
        <f t="shared" si="59"/>
        <v>-81.991255826053319</v>
      </c>
      <c r="BD61" s="351"/>
      <c r="BE61" s="337">
        <f t="shared" si="19"/>
        <v>25.702031397397946</v>
      </c>
      <c r="BF61" s="730">
        <f t="shared" si="20"/>
        <v>3.5803679921690019</v>
      </c>
      <c r="BI61" s="351"/>
      <c r="BJ61" s="351"/>
      <c r="BL61" s="405">
        <f t="shared" si="21"/>
        <v>0</v>
      </c>
      <c r="BM61" s="405">
        <f t="shared" si="22"/>
        <v>0</v>
      </c>
      <c r="BN61" s="405">
        <f t="shared" si="23"/>
        <v>0</v>
      </c>
      <c r="BO61" s="405">
        <f t="shared" si="24"/>
        <v>0</v>
      </c>
    </row>
    <row r="62" spans="4:67" ht="13.5" thickBot="1" x14ac:dyDescent="0.25">
      <c r="D62" s="345">
        <v>91.201000000000008</v>
      </c>
      <c r="E62" s="340" t="str">
        <f t="shared" si="0"/>
        <v>0.00151280654764823i</v>
      </c>
      <c r="F62" s="728" t="str">
        <f t="shared" si="25"/>
        <v>0.005-28.6082107404084i</v>
      </c>
      <c r="G62" s="337" t="str">
        <f t="shared" si="26"/>
        <v>0.005-44.7461757734594i</v>
      </c>
      <c r="H62" s="338" t="str">
        <f t="shared" si="27"/>
        <v>1.21576413907164-0.0330570191604294i</v>
      </c>
      <c r="I62" s="338" t="str">
        <f t="shared" si="28"/>
        <v>1.22576413907164-0.0330570191604294i</v>
      </c>
      <c r="J62" s="337" t="str">
        <f t="shared" si="29"/>
        <v>1.22069139356803-0.085260071672526i</v>
      </c>
      <c r="K62" s="338" t="str">
        <f t="shared" si="1"/>
        <v>0.999999907581973-0.000477527319333405i</v>
      </c>
      <c r="L62" s="732"/>
      <c r="M62" s="732" t="str">
        <f t="shared" si="2"/>
        <v>19.2427333198815+1.32017502339966i</v>
      </c>
      <c r="N62" s="337">
        <f t="shared" si="3"/>
        <v>0</v>
      </c>
      <c r="O62" s="730" t="str">
        <f t="shared" si="4"/>
        <v>19.2415715705055+0.495167420692951i</v>
      </c>
      <c r="P62" s="731" t="str">
        <f t="shared" si="5"/>
        <v>23.6019971694194-0.029110532960962i</v>
      </c>
      <c r="Q62" s="729" t="str">
        <f t="shared" si="6"/>
        <v>23.4095814537143-0.0340622071678914i</v>
      </c>
      <c r="R62" s="730"/>
      <c r="S62" s="405" t="str">
        <f t="shared" si="30"/>
        <v>22.5702330821065+0.680027612298094i</v>
      </c>
      <c r="T62" s="405" t="str">
        <f t="shared" si="31"/>
        <v>22.5318153976593-0.285047646662309i</v>
      </c>
      <c r="U62" s="405" t="str">
        <f t="shared" si="32"/>
        <v>27.3839503231389-1.09138536005849i</v>
      </c>
      <c r="V62" s="731" t="str">
        <f t="shared" si="7"/>
        <v>6000</v>
      </c>
      <c r="W62" s="733" t="str">
        <f>IMSUM(COMPLEX(1,0),IMDIV(COMPLEX(0,2*PI()*D62),COMPLEX(2*PI()*'Stability Calculations'!EA_Pole1,0)))</f>
        <v>1+578.763111032087i</v>
      </c>
      <c r="X62" s="734">
        <f t="shared" si="33"/>
        <v>578.76397494275659</v>
      </c>
      <c r="Y62" s="735">
        <f t="shared" si="34"/>
        <v>1.5690685058854146</v>
      </c>
      <c r="Z62" s="340" t="str">
        <f>IMSUM(COMPLEX(1,0),IMDIV(COMPLEX(0,2*PI()*D62),COMPLEX(2*PI()*'Stability Calculations'!EA_Zero1,0)))</f>
        <v>1+5.73032783200086i</v>
      </c>
      <c r="AA62" s="734">
        <f t="shared" si="35"/>
        <v>5.8169284903807847</v>
      </c>
      <c r="AB62" s="735">
        <f t="shared" si="36"/>
        <v>1.3980260565387339</v>
      </c>
      <c r="AC62" s="733" t="str">
        <f>IMSUM(COMPLEX(1,0),IMDIV(COMPLEX(0,2*PI()*D62),COMPLEX(2*PI()*'Stability Calculations'!EA_Pole2,0)))</f>
        <v>1+0.0577242060123163i</v>
      </c>
      <c r="AD62" s="734">
        <f t="shared" si="37"/>
        <v>1.0016646564393457</v>
      </c>
      <c r="AE62" s="735">
        <f t="shared" si="38"/>
        <v>5.7660219920920568E-2</v>
      </c>
      <c r="AF62" s="732" t="str">
        <f t="shared" si="39"/>
        <v>58.6357996252396-13.648967179442i</v>
      </c>
      <c r="AG62" s="337">
        <f t="shared" si="40"/>
        <v>60.203416038931991</v>
      </c>
      <c r="AH62" s="730">
        <f t="shared" si="41"/>
        <v>-0.22870266926760197</v>
      </c>
      <c r="AI62" s="731" t="str">
        <f t="shared" si="14"/>
        <v>10000</v>
      </c>
      <c r="AJ62" s="733" t="str">
        <f t="shared" si="42"/>
        <v>1+539.566522595637i</v>
      </c>
      <c r="AK62" s="734">
        <f t="shared" si="43"/>
        <v>539.5674492646383</v>
      </c>
      <c r="AL62" s="735">
        <f t="shared" si="44"/>
        <v>1.5689429893227422</v>
      </c>
      <c r="AM62" s="340" t="str">
        <f t="shared" si="45"/>
        <v>1+0.915706387553737i</v>
      </c>
      <c r="AN62" s="734">
        <f t="shared" si="46"/>
        <v>1.3559196835383409</v>
      </c>
      <c r="AO62" s="735">
        <f t="shared" si="47"/>
        <v>0.74142520629046826</v>
      </c>
      <c r="AP62" s="733" t="str">
        <f t="shared" si="48"/>
        <v>1+0.0444132691833663i</v>
      </c>
      <c r="AQ62" s="734">
        <f t="shared" si="49"/>
        <v>1.0009857833553653</v>
      </c>
      <c r="AR62" s="735">
        <f t="shared" si="50"/>
        <v>4.4384101402178813E-2</v>
      </c>
      <c r="AS62" s="732" t="str">
        <f t="shared" si="51"/>
        <v>323.967010239628-2524.7545585797i</v>
      </c>
      <c r="AT62" s="337">
        <f t="shared" si="52"/>
        <v>2545.4548129543728</v>
      </c>
      <c r="AU62" s="730">
        <f t="shared" si="53"/>
        <v>-1.4431774557188692</v>
      </c>
      <c r="AV62" s="732" t="str">
        <f t="shared" si="54"/>
        <v>-391.896284567011-3430.8560170563i</v>
      </c>
      <c r="AW62" s="337">
        <f t="shared" si="55"/>
        <v>70.76434922707476</v>
      </c>
      <c r="AX62" s="730">
        <f t="shared" si="56"/>
        <v>-96.516479279053883</v>
      </c>
      <c r="AY62" s="360">
        <f t="shared" si="57"/>
        <v>83.483520720946117</v>
      </c>
      <c r="BB62" s="337">
        <f t="shared" si="58"/>
        <v>28.115307836473175</v>
      </c>
      <c r="BC62" s="730">
        <f t="shared" si="59"/>
        <v>-82.68797730111946</v>
      </c>
      <c r="BD62" s="351"/>
      <c r="BE62" s="337">
        <f t="shared" si="19"/>
        <v>25.705728814841656</v>
      </c>
      <c r="BF62" s="730">
        <f t="shared" si="20"/>
        <v>3.924708302776966</v>
      </c>
      <c r="BI62" s="351"/>
      <c r="BJ62" s="351"/>
      <c r="BL62" s="405">
        <f t="shared" si="21"/>
        <v>0</v>
      </c>
      <c r="BM62" s="405">
        <f t="shared" si="22"/>
        <v>0</v>
      </c>
      <c r="BN62" s="405">
        <f t="shared" si="23"/>
        <v>0</v>
      </c>
      <c r="BO62" s="405">
        <f t="shared" si="24"/>
        <v>0</v>
      </c>
    </row>
    <row r="63" spans="4:67" ht="13.5" thickBot="1" x14ac:dyDescent="0.25">
      <c r="D63" s="345">
        <v>100</v>
      </c>
      <c r="E63" s="340" t="str">
        <f t="shared" si="0"/>
        <v>0.00165876092109541i</v>
      </c>
      <c r="F63" s="728" t="str">
        <f t="shared" si="25"/>
        <v>0.005-26.0909742773599i</v>
      </c>
      <c r="G63" s="337" t="str">
        <f t="shared" si="26"/>
        <v>0.005-40.8089597671526i</v>
      </c>
      <c r="H63" s="338" t="str">
        <f t="shared" si="27"/>
        <v>1.21558175129259-0.0362408740940155i</v>
      </c>
      <c r="I63" s="338" t="str">
        <f t="shared" si="28"/>
        <v>1.22558175129259-0.0362408740940155i</v>
      </c>
      <c r="J63" s="337" t="str">
        <f t="shared" si="29"/>
        <v>1.21948989008748-0.0933935666507958i</v>
      </c>
      <c r="K63" s="338" t="str">
        <f t="shared" si="1"/>
        <v>0.999999888888889-0.000523598775598299i</v>
      </c>
      <c r="L63" s="732"/>
      <c r="M63" s="732" t="str">
        <f t="shared" si="2"/>
        <v>19.2434621779852+1.44756859307598i</v>
      </c>
      <c r="N63" s="337">
        <f t="shared" si="3"/>
        <v>0</v>
      </c>
      <c r="O63" s="730" t="str">
        <f t="shared" si="4"/>
        <v>19.2420653961609+0.542949473245551i</v>
      </c>
      <c r="P63" s="731" t="str">
        <f t="shared" si="5"/>
        <v>23.6024011702128-0.0319203030474198i</v>
      </c>
      <c r="Q63" s="729" t="str">
        <f t="shared" si="6"/>
        <v>23.4099805162512-0.0373497977798744i</v>
      </c>
      <c r="R63" s="730"/>
      <c r="S63" s="405" t="str">
        <f t="shared" si="30"/>
        <v>22.5757928456143+0.745395954853402i</v>
      </c>
      <c r="T63" s="405" t="str">
        <f t="shared" si="31"/>
        <v>22.5296190147854-0.312453980536797i</v>
      </c>
      <c r="U63" s="405" t="str">
        <f t="shared" si="32"/>
        <v>27.3752701325789-1.19630644296025i</v>
      </c>
      <c r="V63" s="731" t="str">
        <f t="shared" si="7"/>
        <v>6000</v>
      </c>
      <c r="W63" s="733" t="str">
        <f>IMSUM(COMPLEX(1,0),IMDIV(COMPLEX(0,2*PI()*D63),COMPLEX(2*PI()*'Stability Calculations'!EA_Pole1,0)))</f>
        <v>1+634.601716025139i</v>
      </c>
      <c r="X63" s="734">
        <f t="shared" si="33"/>
        <v>634.6025039204078</v>
      </c>
      <c r="Y63" s="735">
        <f t="shared" si="34"/>
        <v>1.569220536583426</v>
      </c>
      <c r="Z63" s="340" t="str">
        <f>IMSUM(COMPLEX(1,0),IMDIV(COMPLEX(0,2*PI()*D63),COMPLEX(2*PI()*'Stability Calculations'!EA_Zero1,0)))</f>
        <v>1+6.28318530717959i</v>
      </c>
      <c r="AA63" s="734">
        <f t="shared" si="35"/>
        <v>6.362265131567332</v>
      </c>
      <c r="AB63" s="735">
        <f t="shared" si="36"/>
        <v>1.4129651365067379</v>
      </c>
      <c r="AC63" s="733" t="str">
        <f>IMSUM(COMPLEX(1,0),IMDIV(COMPLEX(0,2*PI()*D63),COMPLEX(2*PI()*'Stability Calculations'!EA_Pole2,0)))</f>
        <v>1+0.0632933915333344i</v>
      </c>
      <c r="AD63" s="734">
        <f t="shared" si="37"/>
        <v>1.0020010246560589</v>
      </c>
      <c r="AE63" s="735">
        <f t="shared" si="38"/>
        <v>6.3209075203803061E-2</v>
      </c>
      <c r="AF63" s="732" t="str">
        <f t="shared" si="39"/>
        <v>58.5934665188621-13.0696936903075i</v>
      </c>
      <c r="AG63" s="337">
        <f t="shared" si="40"/>
        <v>60.033417459407367</v>
      </c>
      <c r="AH63" s="730">
        <f t="shared" si="41"/>
        <v>-0.21946447528049154</v>
      </c>
      <c r="AI63" s="731" t="str">
        <f t="shared" si="14"/>
        <v>10000</v>
      </c>
      <c r="AJ63" s="733" t="str">
        <f t="shared" si="42"/>
        <v>1+591.623471886971i</v>
      </c>
      <c r="AK63" s="734">
        <f t="shared" si="43"/>
        <v>591.62431701848891</v>
      </c>
      <c r="AL63" s="735">
        <f t="shared" si="44"/>
        <v>1.5691060641613317</v>
      </c>
      <c r="AM63" s="340" t="str">
        <f t="shared" si="45"/>
        <v>1+1.0040530120873i</v>
      </c>
      <c r="AN63" s="734">
        <f t="shared" si="46"/>
        <v>1.4170823727227644</v>
      </c>
      <c r="AO63" s="735">
        <f t="shared" si="47"/>
        <v>0.78742056826253048</v>
      </c>
      <c r="AP63" s="733" t="str">
        <f t="shared" si="48"/>
        <v>1+0.0486982260977032i</v>
      </c>
      <c r="AQ63" s="734">
        <f t="shared" si="49"/>
        <v>1.0011850564331566</v>
      </c>
      <c r="AR63" s="735">
        <f t="shared" si="50"/>
        <v>4.8659784554425059E-2</v>
      </c>
      <c r="AS63" s="732" t="str">
        <f t="shared" si="51"/>
        <v>270.1998678653-2308.89354209145i</v>
      </c>
      <c r="AT63" s="337">
        <f t="shared" si="52"/>
        <v>2324.649942960451</v>
      </c>
      <c r="AU63" s="730">
        <f t="shared" si="53"/>
        <v>-1.4543005089155177</v>
      </c>
      <c r="AV63" s="732" t="str">
        <f t="shared" si="54"/>
        <v>-366.55210483366-3123.02349940385i</v>
      </c>
      <c r="AW63" s="337">
        <f t="shared" si="55"/>
        <v>69.950924798845037</v>
      </c>
      <c r="AX63" s="730">
        <f t="shared" si="56"/>
        <v>-96.694230053263595</v>
      </c>
      <c r="AY63" s="360">
        <f t="shared" si="57"/>
        <v>83.305769946736405</v>
      </c>
      <c r="BB63" s="337">
        <f t="shared" si="58"/>
        <v>27.327151279688508</v>
      </c>
      <c r="BC63" s="730">
        <f t="shared" si="59"/>
        <v>-83.325281304586909</v>
      </c>
      <c r="BD63" s="351"/>
      <c r="BE63" s="337">
        <f t="shared" si="19"/>
        <v>25.710170093367999</v>
      </c>
      <c r="BF63" s="730">
        <f t="shared" si="20"/>
        <v>4.3019108269091753</v>
      </c>
      <c r="BI63" s="351"/>
      <c r="BJ63" s="351"/>
      <c r="BL63" s="405">
        <f t="shared" si="21"/>
        <v>0</v>
      </c>
      <c r="BM63" s="405">
        <f t="shared" si="22"/>
        <v>0</v>
      </c>
      <c r="BN63" s="405">
        <f t="shared" si="23"/>
        <v>0</v>
      </c>
      <c r="BO63" s="405">
        <f t="shared" si="24"/>
        <v>0</v>
      </c>
    </row>
    <row r="64" spans="4:67" ht="13.5" thickBot="1" x14ac:dyDescent="0.25">
      <c r="D64" s="345">
        <v>109.65</v>
      </c>
      <c r="E64" s="340" t="str">
        <f t="shared" si="0"/>
        <v>0.00181883134998112i</v>
      </c>
      <c r="F64" s="728" t="str">
        <f t="shared" si="25"/>
        <v>0.005-23.7947781827268i</v>
      </c>
      <c r="G64" s="337" t="str">
        <f t="shared" si="26"/>
        <v>0.005-37.2174735678547i</v>
      </c>
      <c r="H64" s="338" t="str">
        <f t="shared" si="27"/>
        <v>1.21536249586687-0.0397309213664949i</v>
      </c>
      <c r="I64" s="338" t="str">
        <f t="shared" si="28"/>
        <v>1.22536249586687-0.0397309213664949i</v>
      </c>
      <c r="J64" s="337" t="str">
        <f t="shared" si="29"/>
        <v>1.21804817608392-0.10228456696118i</v>
      </c>
      <c r="K64" s="338" t="str">
        <f t="shared" si="1"/>
        <v>0.99999986640975-0.000574126057443535i</v>
      </c>
      <c r="L64" s="732"/>
      <c r="M64" s="732" t="str">
        <f t="shared" si="2"/>
        <v>19.2443387084179+1.58729078426786i</v>
      </c>
      <c r="N64" s="337">
        <f t="shared" si="3"/>
        <v>0</v>
      </c>
      <c r="O64" s="730" t="str">
        <f t="shared" si="4"/>
        <v>19.2426592692417+0.595355560674225i</v>
      </c>
      <c r="P64" s="731" t="str">
        <f t="shared" si="5"/>
        <v>23.60288701424-0.0350022065525257i</v>
      </c>
      <c r="Q64" s="729" t="str">
        <f t="shared" si="6"/>
        <v>23.4104604215476-0.0409557621592668i</v>
      </c>
      <c r="R64" s="730"/>
      <c r="S64" s="405" t="str">
        <f t="shared" si="30"/>
        <v>22.5824740586719+0.817010184385491i</v>
      </c>
      <c r="T64" s="405" t="str">
        <f t="shared" si="31"/>
        <v>22.5269796027042-0.342480826095491i</v>
      </c>
      <c r="U64" s="405" t="str">
        <f t="shared" si="32"/>
        <v>27.3648390755136-1.31125600680966i</v>
      </c>
      <c r="V64" s="731" t="str">
        <f t="shared" si="7"/>
        <v>6000</v>
      </c>
      <c r="W64" s="733" t="str">
        <f>IMSUM(COMPLEX(1,0),IMDIV(COMPLEX(0,2*PI()*D64),COMPLEX(2*PI()*'Stability Calculations'!EA_Pole1,0)))</f>
        <v>1+695.840781621564i</v>
      </c>
      <c r="X64" s="734">
        <f t="shared" si="33"/>
        <v>695.8415001763758</v>
      </c>
      <c r="Y64" s="735">
        <f t="shared" si="34"/>
        <v>1.5693592174187521</v>
      </c>
      <c r="Z64" s="340" t="str">
        <f>IMSUM(COMPLEX(1,0),IMDIV(COMPLEX(0,2*PI()*D64),COMPLEX(2*PI()*'Stability Calculations'!EA_Zero1,0)))</f>
        <v>1+6.88951268932242i</v>
      </c>
      <c r="AA64" s="734">
        <f t="shared" si="35"/>
        <v>6.9617084897555603</v>
      </c>
      <c r="AB64" s="735">
        <f t="shared" si="36"/>
        <v>1.426654811873985</v>
      </c>
      <c r="AC64" s="733" t="str">
        <f>IMSUM(COMPLEX(1,0),IMDIV(COMPLEX(0,2*PI()*D64),COMPLEX(2*PI()*'Stability Calculations'!EA_Pole2,0)))</f>
        <v>1+0.0694012038163011i</v>
      </c>
      <c r="AD64" s="734">
        <f t="shared" si="37"/>
        <v>1.0024053706416141</v>
      </c>
      <c r="AE64" s="735">
        <f t="shared" si="38"/>
        <v>6.9290100459942341E-2</v>
      </c>
      <c r="AF64" s="732" t="str">
        <f t="shared" si="39"/>
        <v>58.5437351780954-12.6002773653022i</v>
      </c>
      <c r="AG64" s="337">
        <f t="shared" si="40"/>
        <v>59.88435453676955</v>
      </c>
      <c r="AH64" s="730">
        <f t="shared" si="41"/>
        <v>-0.21199450600470943</v>
      </c>
      <c r="AI64" s="731" t="str">
        <f t="shared" si="14"/>
        <v>10000</v>
      </c>
      <c r="AJ64" s="733" t="str">
        <f t="shared" si="42"/>
        <v>1+648.715136924064i</v>
      </c>
      <c r="AK64" s="734">
        <f t="shared" si="43"/>
        <v>648.71590767793498</v>
      </c>
      <c r="AL64" s="735">
        <f t="shared" si="44"/>
        <v>1.5692548193581197</v>
      </c>
      <c r="AM64" s="340" t="str">
        <f t="shared" si="45"/>
        <v>1+1.10094412775372i</v>
      </c>
      <c r="AN64" s="734">
        <f t="shared" si="46"/>
        <v>1.4873056082847935</v>
      </c>
      <c r="AO64" s="735">
        <f t="shared" si="47"/>
        <v>0.83340827311463228</v>
      </c>
      <c r="AP64" s="733" t="str">
        <f t="shared" si="48"/>
        <v>1+0.0533976049161316i</v>
      </c>
      <c r="AQ64" s="734">
        <f t="shared" si="49"/>
        <v>1.0014246373096576</v>
      </c>
      <c r="AR64" s="735">
        <f t="shared" si="50"/>
        <v>5.3346940624931428E-2</v>
      </c>
      <c r="AS64" s="732" t="str">
        <f t="shared" si="51"/>
        <v>225.245577801333-2110.49188240742i</v>
      </c>
      <c r="AT64" s="337">
        <f t="shared" si="52"/>
        <v>2122.4776927041353</v>
      </c>
      <c r="AU64" s="730">
        <f t="shared" si="53"/>
        <v>-1.4644722263273984</v>
      </c>
      <c r="AV64" s="732" t="str">
        <f t="shared" si="54"/>
        <v>-345.285769080401-2842.68902463202i</v>
      </c>
      <c r="AW64" s="337">
        <f t="shared" si="55"/>
        <v>69.13819315619962</v>
      </c>
      <c r="AX64" s="730">
        <f t="shared" si="56"/>
        <v>-96.925476914810105</v>
      </c>
      <c r="AY64" s="360">
        <f t="shared" si="57"/>
        <v>83.074523085189895</v>
      </c>
      <c r="BB64" s="337">
        <f t="shared" si="58"/>
        <v>26.536862689873082</v>
      </c>
      <c r="BC64" s="730">
        <f t="shared" si="59"/>
        <v>-83.908077782687414</v>
      </c>
      <c r="BD64" s="351"/>
      <c r="BE64" s="337">
        <f t="shared" si="19"/>
        <v>25.715505292368611</v>
      </c>
      <c r="BF64" s="730">
        <f t="shared" si="20"/>
        <v>4.715135486924332</v>
      </c>
      <c r="BI64" s="351"/>
      <c r="BJ64" s="351"/>
      <c r="BL64" s="405">
        <f t="shared" si="21"/>
        <v>0</v>
      </c>
      <c r="BM64" s="405">
        <f t="shared" si="22"/>
        <v>0</v>
      </c>
      <c r="BN64" s="405">
        <f t="shared" si="23"/>
        <v>0</v>
      </c>
      <c r="BO64" s="405">
        <f t="shared" si="24"/>
        <v>0</v>
      </c>
    </row>
    <row r="65" spans="4:67" ht="13.5" thickBot="1" x14ac:dyDescent="0.25">
      <c r="D65" s="345">
        <v>120.23</v>
      </c>
      <c r="E65" s="340" t="str">
        <f t="shared" si="0"/>
        <v>0.00199432825543301i</v>
      </c>
      <c r="F65" s="728" t="str">
        <f t="shared" si="25"/>
        <v>0.005-21.7008852011643i</v>
      </c>
      <c r="G65" s="337" t="str">
        <f t="shared" si="26"/>
        <v>0.005-33.9424101864365i</v>
      </c>
      <c r="H65" s="338" t="str">
        <f t="shared" si="27"/>
        <v>1.21509901941014-0.0435550282746317i</v>
      </c>
      <c r="I65" s="338" t="str">
        <f t="shared" si="28"/>
        <v>1.22509901941014-0.0435550282746317i</v>
      </c>
      <c r="J65" s="337" t="str">
        <f t="shared" si="29"/>
        <v>1.2163195167581-0.111994173801759i</v>
      </c>
      <c r="K65" s="338" t="str">
        <f t="shared" si="1"/>
        <v>0.999999839386079-0.000629522807901835i</v>
      </c>
      <c r="L65" s="732"/>
      <c r="M65" s="732" t="str">
        <f t="shared" si="2"/>
        <v>19.2453925179101+1.74048856018608i</v>
      </c>
      <c r="N65" s="337">
        <f t="shared" si="3"/>
        <v>0</v>
      </c>
      <c r="O65" s="730" t="str">
        <f t="shared" si="4"/>
        <v>19.2433732457321+0.652815832076048i</v>
      </c>
      <c r="P65" s="731" t="str">
        <f t="shared" si="5"/>
        <v>23.6034711055139-0.0383816300853621i</v>
      </c>
      <c r="Q65" s="729" t="str">
        <f t="shared" si="6"/>
        <v>23.4110373730566-0.044909788406126i</v>
      </c>
      <c r="R65" s="730"/>
      <c r="S65" s="405" t="str">
        <f t="shared" si="30"/>
        <v>22.5904993312992+0.895425713251467i</v>
      </c>
      <c r="T65" s="405" t="str">
        <f t="shared" si="31"/>
        <v>22.5238092188101-0.375361813926665i</v>
      </c>
      <c r="U65" s="405" t="str">
        <f t="shared" si="32"/>
        <v>27.3523096007385-1.43712691940398i</v>
      </c>
      <c r="V65" s="731" t="str">
        <f t="shared" si="7"/>
        <v>6000</v>
      </c>
      <c r="W65" s="733" t="str">
        <f>IMSUM(COMPLEX(1,0),IMDIV(COMPLEX(0,2*PI()*D65),COMPLEX(2*PI()*'Stability Calculations'!EA_Pole1,0)))</f>
        <v>1+762.981643177024i</v>
      </c>
      <c r="X65" s="734">
        <f t="shared" si="33"/>
        <v>762.98229850050359</v>
      </c>
      <c r="Y65" s="735">
        <f t="shared" si="34"/>
        <v>1.5694856800233208</v>
      </c>
      <c r="Z65" s="340" t="str">
        <f>IMSUM(COMPLEX(1,0),IMDIV(COMPLEX(0,2*PI()*D65),COMPLEX(2*PI()*'Stability Calculations'!EA_Zero1,0)))</f>
        <v>1+7.55427369482202i</v>
      </c>
      <c r="AA65" s="734">
        <f t="shared" si="35"/>
        <v>7.6201739518386287</v>
      </c>
      <c r="AB65" s="735">
        <f t="shared" si="36"/>
        <v>1.4391861134911237</v>
      </c>
      <c r="AC65" s="733" t="str">
        <f>IMSUM(COMPLEX(1,0),IMDIV(COMPLEX(0,2*PI()*D65),COMPLEX(2*PI()*'Stability Calculations'!EA_Pole2,0)))</f>
        <v>1+0.0760976446405279i</v>
      </c>
      <c r="AD65" s="734">
        <f t="shared" si="37"/>
        <v>1.0028912461078898</v>
      </c>
      <c r="AE65" s="735">
        <f t="shared" si="38"/>
        <v>7.5951262856318771E-2</v>
      </c>
      <c r="AF65" s="732" t="str">
        <f t="shared" si="39"/>
        <v>58.4849703941009-12.2365800025439i</v>
      </c>
      <c r="AG65" s="337">
        <f t="shared" si="40"/>
        <v>59.751365274422938</v>
      </c>
      <c r="AH65" s="730">
        <f t="shared" si="41"/>
        <v>-0.20625082938851644</v>
      </c>
      <c r="AI65" s="731" t="str">
        <f t="shared" si="14"/>
        <v>10000</v>
      </c>
      <c r="AJ65" s="733" t="str">
        <f t="shared" si="42"/>
        <v>1+711.308900249705i</v>
      </c>
      <c r="AK65" s="734">
        <f t="shared" si="43"/>
        <v>711.30960317884421</v>
      </c>
      <c r="AL65" s="735">
        <f t="shared" si="44"/>
        <v>1.5693904687480811</v>
      </c>
      <c r="AM65" s="340" t="str">
        <f t="shared" si="45"/>
        <v>1+1.20717293643256i</v>
      </c>
      <c r="AN65" s="734">
        <f t="shared" si="46"/>
        <v>1.5675670634633816</v>
      </c>
      <c r="AO65" s="735">
        <f t="shared" si="47"/>
        <v>0.87898743631859078</v>
      </c>
      <c r="AP65" s="733" t="str">
        <f t="shared" si="48"/>
        <v>1+0.0585498772372686i</v>
      </c>
      <c r="AQ65" s="734">
        <f t="shared" si="49"/>
        <v>1.0017125776012294</v>
      </c>
      <c r="AR65" s="735">
        <f t="shared" si="50"/>
        <v>5.8483109801402082E-2</v>
      </c>
      <c r="AS65" s="732" t="str">
        <f t="shared" si="51"/>
        <v>187.703157637828-1928.42699560272i</v>
      </c>
      <c r="AT65" s="337">
        <f t="shared" si="52"/>
        <v>1937.5404906108527</v>
      </c>
      <c r="AU65" s="730">
        <f t="shared" si="53"/>
        <v>-1.4737671243261989</v>
      </c>
      <c r="AV65" s="732" t="str">
        <f t="shared" si="54"/>
        <v>-327.437010203612-2587.32200251809i</v>
      </c>
      <c r="AW65" s="337">
        <f t="shared" si="55"/>
        <v>68.326015187084678</v>
      </c>
      <c r="AX65" s="730">
        <f t="shared" si="56"/>
        <v>-97.212690483855127</v>
      </c>
      <c r="AY65" s="360">
        <f t="shared" si="57"/>
        <v>82.787309516144873</v>
      </c>
      <c r="BB65" s="337">
        <f t="shared" si="58"/>
        <v>25.74501574269074</v>
      </c>
      <c r="BC65" s="730">
        <f t="shared" si="59"/>
        <v>-84.440636209023282</v>
      </c>
      <c r="BD65" s="351"/>
      <c r="BE65" s="337">
        <f t="shared" si="19"/>
        <v>25.721911007319544</v>
      </c>
      <c r="BF65" s="730">
        <f t="shared" si="20"/>
        <v>5.1675799832261538</v>
      </c>
      <c r="BI65" s="351"/>
      <c r="BJ65" s="351"/>
      <c r="BL65" s="405">
        <f t="shared" si="21"/>
        <v>0</v>
      </c>
      <c r="BM65" s="405">
        <f t="shared" si="22"/>
        <v>0</v>
      </c>
      <c r="BN65" s="405">
        <f t="shared" si="23"/>
        <v>0</v>
      </c>
      <c r="BO65" s="405">
        <f t="shared" si="24"/>
        <v>0</v>
      </c>
    </row>
    <row r="66" spans="4:67" ht="13.5" thickBot="1" x14ac:dyDescent="0.25">
      <c r="D66" s="345">
        <v>131.83000000000001</v>
      </c>
      <c r="E66" s="340" t="str">
        <f t="shared" si="0"/>
        <v>0.00218674452228008i</v>
      </c>
      <c r="F66" s="728" t="str">
        <f t="shared" si="25"/>
        <v>0.005-19.7913785006143i</v>
      </c>
      <c r="G66" s="337" t="str">
        <f t="shared" si="26"/>
        <v>0.005-30.9557458599353i</v>
      </c>
      <c r="H66" s="338" t="str">
        <f t="shared" si="27"/>
        <v>1.21478242102579-0.0477447987967686i</v>
      </c>
      <c r="I66" s="338" t="str">
        <f t="shared" si="28"/>
        <v>1.22478242102579-0.0477447987967686i</v>
      </c>
      <c r="J66" s="337" t="str">
        <f t="shared" si="29"/>
        <v>1.2142478365266-0.122589697122282i</v>
      </c>
      <c r="K66" s="338" t="str">
        <f t="shared" si="1"/>
        <v>0.999999806898346-0.000690260265871238i</v>
      </c>
      <c r="L66" s="732"/>
      <c r="M66" s="732" t="str">
        <f t="shared" si="2"/>
        <v>19.2466595095684+1.90846922920433i</v>
      </c>
      <c r="N66" s="337">
        <f t="shared" si="3"/>
        <v>0</v>
      </c>
      <c r="O66" s="730" t="str">
        <f t="shared" si="4"/>
        <v>19.24423164581+0.71582056177667i</v>
      </c>
      <c r="P66" s="731" t="str">
        <f t="shared" si="5"/>
        <v>23.6041733346329-0.0420875272547376i</v>
      </c>
      <c r="Q66" s="729" t="str">
        <f t="shared" si="6"/>
        <v>23.4117310181748-0.049245732872507i</v>
      </c>
      <c r="R66" s="730"/>
      <c r="S66" s="405" t="str">
        <f t="shared" si="30"/>
        <v>22.6001376665843+0.981269039913891i</v>
      </c>
      <c r="T66" s="405" t="str">
        <f t="shared" si="31"/>
        <v>22.5200015926348-0.411360637701875i</v>
      </c>
      <c r="U66" s="405" t="str">
        <f t="shared" si="32"/>
        <v>27.3372617253255-1.57492661632546i</v>
      </c>
      <c r="V66" s="731" t="str">
        <f t="shared" si="7"/>
        <v>6000</v>
      </c>
      <c r="W66" s="733" t="str">
        <f>IMSUM(COMPLEX(1,0),IMDIV(COMPLEX(0,2*PI()*D66),COMPLEX(2*PI()*'Stability Calculations'!EA_Pole1,0)))</f>
        <v>1+836.59544223594i</v>
      </c>
      <c r="X66" s="734">
        <f t="shared" si="33"/>
        <v>836.59603989616653</v>
      </c>
      <c r="Y66" s="735">
        <f t="shared" si="34"/>
        <v>1.5696010064844443</v>
      </c>
      <c r="Z66" s="340" t="str">
        <f>IMSUM(COMPLEX(1,0),IMDIV(COMPLEX(0,2*PI()*D66),COMPLEX(2*PI()*'Stability Calculations'!EA_Zero1,0)))</f>
        <v>1+8.28312319045485i</v>
      </c>
      <c r="AA66" s="734">
        <f t="shared" si="35"/>
        <v>8.343268531471999</v>
      </c>
      <c r="AB66" s="735">
        <f t="shared" si="36"/>
        <v>1.4506503797385111</v>
      </c>
      <c r="AC66" s="733" t="str">
        <f>IMSUM(COMPLEX(1,0),IMDIV(COMPLEX(0,2*PI()*D66),COMPLEX(2*PI()*'Stability Calculations'!EA_Pole2,0)))</f>
        <v>1+0.0834396780583947i</v>
      </c>
      <c r="AD66" s="734">
        <f t="shared" si="37"/>
        <v>1.0034750519442368</v>
      </c>
      <c r="AE66" s="735">
        <f t="shared" si="38"/>
        <v>8.3246842271742033E-2</v>
      </c>
      <c r="AF66" s="732" t="str">
        <f t="shared" si="39"/>
        <v>58.4152337820424-11.9750542720295i</v>
      </c>
      <c r="AG66" s="337">
        <f t="shared" si="40"/>
        <v>59.630038257817013</v>
      </c>
      <c r="AH66" s="730">
        <f t="shared" si="41"/>
        <v>-0.20219746901767419</v>
      </c>
      <c r="AI66" s="731" t="str">
        <f t="shared" si="14"/>
        <v>10000</v>
      </c>
      <c r="AJ66" s="733" t="str">
        <f t="shared" si="42"/>
        <v>1+779.937222988594i</v>
      </c>
      <c r="AK66" s="734">
        <f t="shared" si="43"/>
        <v>779.93786406556774</v>
      </c>
      <c r="AL66" s="735">
        <f t="shared" si="44"/>
        <v>1.5695141730233464</v>
      </c>
      <c r="AM66" s="340" t="str">
        <f t="shared" si="45"/>
        <v>1+1.32364308583468i</v>
      </c>
      <c r="AN66" s="734">
        <f t="shared" si="46"/>
        <v>1.6589246573241216</v>
      </c>
      <c r="AO66" s="735">
        <f t="shared" si="47"/>
        <v>0.92379044135216293</v>
      </c>
      <c r="AP66" s="733" t="str">
        <f t="shared" si="48"/>
        <v>1+0.0641988714646021i</v>
      </c>
      <c r="AQ66" s="734">
        <f t="shared" si="49"/>
        <v>1.0020586285728637</v>
      </c>
      <c r="AR66" s="735">
        <f t="shared" si="50"/>
        <v>6.411089048557593E-2</v>
      </c>
      <c r="AS66" s="732" t="str">
        <f t="shared" si="51"/>
        <v>156.370581195586-1761.52203087224i</v>
      </c>
      <c r="AT66" s="337">
        <f t="shared" si="52"/>
        <v>1768.4489316663082</v>
      </c>
      <c r="AU66" s="730">
        <f t="shared" si="53"/>
        <v>-1.4822582506793389</v>
      </c>
      <c r="AV66" s="732" t="str">
        <f t="shared" si="54"/>
        <v>-312.43610569111-2354.55179844534i</v>
      </c>
      <c r="AW66" s="337">
        <f t="shared" si="55"/>
        <v>67.513969397867697</v>
      </c>
      <c r="AX66" s="730">
        <f t="shared" si="56"/>
        <v>-97.558678020616441</v>
      </c>
      <c r="AY66" s="360">
        <f t="shared" si="57"/>
        <v>82.441321979383559</v>
      </c>
      <c r="BB66" s="337">
        <f t="shared" si="58"/>
        <v>24.951850460106154</v>
      </c>
      <c r="BC66" s="730">
        <f t="shared" si="59"/>
        <v>-84.927141912370516</v>
      </c>
      <c r="BD66" s="351"/>
      <c r="BE66" s="337">
        <f t="shared" si="19"/>
        <v>25.729600279515235</v>
      </c>
      <c r="BF66" s="730">
        <f t="shared" si="20"/>
        <v>5.6628502036616037</v>
      </c>
      <c r="BI66" s="351"/>
      <c r="BJ66" s="351"/>
      <c r="BL66" s="405">
        <f t="shared" si="21"/>
        <v>0</v>
      </c>
      <c r="BM66" s="405">
        <f t="shared" si="22"/>
        <v>0</v>
      </c>
      <c r="BN66" s="405">
        <f t="shared" si="23"/>
        <v>0</v>
      </c>
      <c r="BO66" s="405">
        <f t="shared" si="24"/>
        <v>0</v>
      </c>
    </row>
    <row r="67" spans="4:67" ht="13.5" thickBot="1" x14ac:dyDescent="0.25">
      <c r="D67" s="345">
        <v>144.54</v>
      </c>
      <c r="E67" s="340" t="str">
        <f t="shared" si="0"/>
        <v>0.00239757303535131i</v>
      </c>
      <c r="F67" s="728" t="str">
        <f t="shared" si="25"/>
        <v>0.005-18.0510407343018i</v>
      </c>
      <c r="G67" s="337" t="str">
        <f t="shared" si="26"/>
        <v>0.005-28.2336790972413i</v>
      </c>
      <c r="H67" s="338" t="str">
        <f t="shared" si="27"/>
        <v>1.21440229018687-0.0523315243267748i</v>
      </c>
      <c r="I67" s="338" t="str">
        <f t="shared" si="28"/>
        <v>1.22440229018687-0.0523315243267748i</v>
      </c>
      <c r="J67" s="337" t="str">
        <f t="shared" si="29"/>
        <v>1.21176833938035-0.13413342015947i</v>
      </c>
      <c r="K67" s="338" t="str">
        <f t="shared" si="1"/>
        <v>0.99999976786876-0.000756809670249781i</v>
      </c>
      <c r="L67" s="732"/>
      <c r="M67" s="732" t="str">
        <f t="shared" si="2"/>
        <v>19.2481817815352+2.0925414950899i</v>
      </c>
      <c r="N67" s="337">
        <f t="shared" si="3"/>
        <v>0</v>
      </c>
      <c r="O67" s="730" t="str">
        <f t="shared" si="4"/>
        <v>19.2452629843735+0.784860526744273i</v>
      </c>
      <c r="P67" s="731" t="str">
        <f t="shared" si="5"/>
        <v>23.605017021064-0.0461489216189377i</v>
      </c>
      <c r="Q67" s="729" t="str">
        <f t="shared" si="6"/>
        <v>23.4125643912203-0.0539975268863842i</v>
      </c>
      <c r="R67" s="730"/>
      <c r="S67" s="405" t="str">
        <f t="shared" si="30"/>
        <v>22.6117029610668+1.07515304545657i</v>
      </c>
      <c r="T67" s="405" t="str">
        <f t="shared" si="31"/>
        <v>22.5154327181372-0.450735614210573i</v>
      </c>
      <c r="U67" s="405" t="str">
        <f t="shared" si="32"/>
        <v>27.3192053756942-1.72564127718315i</v>
      </c>
      <c r="V67" s="731" t="str">
        <f t="shared" si="7"/>
        <v>6000</v>
      </c>
      <c r="W67" s="733" t="str">
        <f>IMSUM(COMPLEX(1,0),IMDIV(COMPLEX(0,2*PI()*D67),COMPLEX(2*PI()*'Stability Calculations'!EA_Pole1,0)))</f>
        <v>1+917.253320342735i</v>
      </c>
      <c r="X67" s="734">
        <f t="shared" si="33"/>
        <v>917.25386544825847</v>
      </c>
      <c r="Y67" s="735">
        <f t="shared" si="34"/>
        <v>1.5697061158557422</v>
      </c>
      <c r="Z67" s="340" t="str">
        <f>IMSUM(COMPLEX(1,0),IMDIV(COMPLEX(0,2*PI()*D67),COMPLEX(2*PI()*'Stability Calculations'!EA_Zero1,0)))</f>
        <v>1+9.08171604299737i</v>
      </c>
      <c r="AA67" s="734">
        <f t="shared" si="35"/>
        <v>9.1366058405534698</v>
      </c>
      <c r="AB67" s="735">
        <f t="shared" si="36"/>
        <v>1.4611267840825271</v>
      </c>
      <c r="AC67" s="733" t="str">
        <f>IMSUM(COMPLEX(1,0),IMDIV(COMPLEX(0,2*PI()*D67),COMPLEX(2*PI()*'Stability Calculations'!EA_Pole2,0)))</f>
        <v>1+0.0914842681222814i</v>
      </c>
      <c r="AD67" s="734">
        <f t="shared" si="37"/>
        <v>1.0041759663096252</v>
      </c>
      <c r="AE67" s="735">
        <f t="shared" si="38"/>
        <v>9.1230320201946713E-2</v>
      </c>
      <c r="AF67" s="732" t="str">
        <f t="shared" si="39"/>
        <v>58.332299220799-11.81298319894i</v>
      </c>
      <c r="AG67" s="337">
        <f t="shared" si="40"/>
        <v>59.516415419976923</v>
      </c>
      <c r="AH67" s="730">
        <f t="shared" si="41"/>
        <v>-0.19980965197516234</v>
      </c>
      <c r="AI67" s="731" t="str">
        <f t="shared" si="14"/>
        <v>10000</v>
      </c>
      <c r="AJ67" s="733" t="str">
        <f t="shared" si="42"/>
        <v>1+855.132566265427i</v>
      </c>
      <c r="AK67" s="734">
        <f t="shared" si="43"/>
        <v>855.13315096989129</v>
      </c>
      <c r="AL67" s="735">
        <f t="shared" si="44"/>
        <v>1.5696269179995701</v>
      </c>
      <c r="AM67" s="340" t="str">
        <f t="shared" si="45"/>
        <v>1+1.45125822367098i</v>
      </c>
      <c r="AN67" s="734">
        <f t="shared" si="46"/>
        <v>1.7624274259590513</v>
      </c>
      <c r="AO67" s="735">
        <f t="shared" si="47"/>
        <v>0.96745230657678571</v>
      </c>
      <c r="AP67" s="733" t="str">
        <f t="shared" si="48"/>
        <v>1+0.0703884160016202i</v>
      </c>
      <c r="AQ67" s="734">
        <f t="shared" si="49"/>
        <v>1.0024742037116052</v>
      </c>
      <c r="AR67" s="735">
        <f t="shared" si="50"/>
        <v>7.0272513201334513E-2</v>
      </c>
      <c r="AS67" s="732" t="str">
        <f t="shared" si="51"/>
        <v>130.250302930299-1608.73892138922i</v>
      </c>
      <c r="AT67" s="337">
        <f t="shared" si="52"/>
        <v>1614.0031160459343</v>
      </c>
      <c r="AU67" s="730">
        <f t="shared" si="53"/>
        <v>-1.490008319790932</v>
      </c>
      <c r="AV67" s="732" t="str">
        <f t="shared" si="54"/>
        <v>-299.806869486748-2142.38269794708i</v>
      </c>
      <c r="AW67" s="337">
        <f t="shared" si="55"/>
        <v>66.702168790471958</v>
      </c>
      <c r="AX67" s="730">
        <f t="shared" si="56"/>
        <v>-97.966286829987808</v>
      </c>
      <c r="AY67" s="360">
        <f t="shared" si="57"/>
        <v>82.033713170012192</v>
      </c>
      <c r="BB67" s="337">
        <f t="shared" si="58"/>
        <v>24.158087376992981</v>
      </c>
      <c r="BC67" s="730">
        <f t="shared" si="59"/>
        <v>-85.371188163399495</v>
      </c>
      <c r="BD67" s="351"/>
      <c r="BE67" s="337">
        <f t="shared" si="19"/>
        <v>25.738821132721881</v>
      </c>
      <c r="BF67" s="730">
        <f t="shared" si="20"/>
        <v>6.2044711701798319</v>
      </c>
      <c r="BI67" s="351"/>
      <c r="BJ67" s="351"/>
      <c r="BL67" s="405">
        <f t="shared" si="21"/>
        <v>0</v>
      </c>
      <c r="BM67" s="405">
        <f t="shared" si="22"/>
        <v>0</v>
      </c>
      <c r="BN67" s="405">
        <f t="shared" si="23"/>
        <v>0</v>
      </c>
      <c r="BO67" s="405">
        <f t="shared" si="24"/>
        <v>0</v>
      </c>
    </row>
    <row r="68" spans="4:67" ht="13.5" thickBot="1" x14ac:dyDescent="0.25">
      <c r="D68" s="345">
        <v>158.49</v>
      </c>
      <c r="E68" s="340" t="str">
        <f t="shared" si="0"/>
        <v>0.00262897018384412i</v>
      </c>
      <c r="F68" s="728" t="str">
        <f t="shared" si="25"/>
        <v>0.005-16.4622211353145i</v>
      </c>
      <c r="G68" s="337" t="str">
        <f t="shared" si="26"/>
        <v>0.005-25.7486022885688i</v>
      </c>
      <c r="H68" s="338" t="str">
        <f t="shared" si="27"/>
        <v>1.21394514324508-0.0573605109426376i</v>
      </c>
      <c r="I68" s="338" t="str">
        <f t="shared" si="28"/>
        <v>1.22394514324508-0.0573605109426376i</v>
      </c>
      <c r="J68" s="337" t="str">
        <f t="shared" si="29"/>
        <v>1.2087978592505-0.146717271662639i</v>
      </c>
      <c r="K68" s="338" t="str">
        <f t="shared" si="1"/>
        <v>0.99999972089911-0.000829851699445744i</v>
      </c>
      <c r="L68" s="732"/>
      <c r="M68" s="732" t="str">
        <f t="shared" si="2"/>
        <v>19.2500139630832+2.29459524117915i</v>
      </c>
      <c r="N68" s="337">
        <f t="shared" si="3"/>
        <v>0</v>
      </c>
      <c r="O68" s="730" t="str">
        <f t="shared" si="4"/>
        <v>19.246504262528+0.860644458964775i</v>
      </c>
      <c r="P68" s="731" t="str">
        <f t="shared" si="5"/>
        <v>23.606032422473-0.0506077127475259i</v>
      </c>
      <c r="Q68" s="729" t="str">
        <f t="shared" si="6"/>
        <v>23.4135673798478-0.0592141573371705i</v>
      </c>
      <c r="R68" s="730"/>
      <c r="S68" s="405" t="str">
        <f t="shared" si="30"/>
        <v>22.6256010588543+1.17796780446268i</v>
      </c>
      <c r="T68" s="405" t="str">
        <f t="shared" si="31"/>
        <v>22.50994226476-0.493861763757954i</v>
      </c>
      <c r="U68" s="405" t="str">
        <f t="shared" si="32"/>
        <v>27.2975069239284-1.89070287914432i</v>
      </c>
      <c r="V68" s="731" t="str">
        <f t="shared" si="7"/>
        <v>6000</v>
      </c>
      <c r="W68" s="733" t="str">
        <f>IMSUM(COMPLEX(1,0),IMDIV(COMPLEX(0,2*PI()*D68),COMPLEX(2*PI()*'Stability Calculations'!EA_Pole1,0)))</f>
        <v>1+1005.78025972824i</v>
      </c>
      <c r="X68" s="734">
        <f t="shared" si="33"/>
        <v>1005.7807568545969</v>
      </c>
      <c r="Y68" s="735">
        <f t="shared" si="34"/>
        <v>1.569802074162858</v>
      </c>
      <c r="Z68" s="340" t="str">
        <f>IMSUM(COMPLEX(1,0),IMDIV(COMPLEX(0,2*PI()*D68),COMPLEX(2*PI()*'Stability Calculations'!EA_Zero1,0)))</f>
        <v>1+9.95822039334893i</v>
      </c>
      <c r="AA68" s="734">
        <f t="shared" si="35"/>
        <v>10.008304222120273</v>
      </c>
      <c r="AB68" s="735">
        <f t="shared" si="36"/>
        <v>1.4707122966065445</v>
      </c>
      <c r="AC68" s="733" t="str">
        <f>IMSUM(COMPLEX(1,0),IMDIV(COMPLEX(0,2*PI()*D68),COMPLEX(2*PI()*'Stability Calculations'!EA_Pole2,0)))</f>
        <v>1+0.100313696241182i</v>
      </c>
      <c r="AD68" s="734">
        <f t="shared" si="37"/>
        <v>1.0050188245269678</v>
      </c>
      <c r="AE68" s="735">
        <f t="shared" si="38"/>
        <v>9.9979233172643553E-2</v>
      </c>
      <c r="AF68" s="732" t="str">
        <f t="shared" si="39"/>
        <v>58.2333230519183-11.7480472666802i</v>
      </c>
      <c r="AG68" s="337">
        <f t="shared" si="40"/>
        <v>59.406536073476225</v>
      </c>
      <c r="AH68" s="730">
        <f t="shared" si="41"/>
        <v>-0.19906901072895664</v>
      </c>
      <c r="AI68" s="731" t="str">
        <f t="shared" si="14"/>
        <v>10000</v>
      </c>
      <c r="AJ68" s="733" t="str">
        <f t="shared" si="42"/>
        <v>1+937.66404059366i</v>
      </c>
      <c r="AK68" s="734">
        <f t="shared" si="43"/>
        <v>937.66457383353725</v>
      </c>
      <c r="AL68" s="735">
        <f t="shared" si="44"/>
        <v>1.5697298471416505</v>
      </c>
      <c r="AM68" s="340" t="str">
        <f t="shared" si="45"/>
        <v>1+1.59132361885716i</v>
      </c>
      <c r="AN68" s="734">
        <f t="shared" si="46"/>
        <v>1.8794442955120132</v>
      </c>
      <c r="AO68" s="735">
        <f t="shared" si="47"/>
        <v>1.0097502896156092</v>
      </c>
      <c r="AP68" s="733" t="str">
        <f t="shared" si="48"/>
        <v>1+0.0771818185422498i</v>
      </c>
      <c r="AQ68" s="734">
        <f t="shared" si="49"/>
        <v>1.0029740939393643</v>
      </c>
      <c r="AR68" s="735">
        <f t="shared" si="50"/>
        <v>7.7029105784475638E-2</v>
      </c>
      <c r="AS68" s="732" t="str">
        <f t="shared" si="51"/>
        <v>108.449449918392-1468.75039240173i</v>
      </c>
      <c r="AT68" s="337">
        <f t="shared" si="52"/>
        <v>1472.7487899733062</v>
      </c>
      <c r="AU68" s="730">
        <f t="shared" si="53"/>
        <v>-1.4970921748834918</v>
      </c>
      <c r="AV68" s="732" t="str">
        <f t="shared" si="54"/>
        <v>-289.118568208214-1948.55681261444i</v>
      </c>
      <c r="AW68" s="337">
        <f t="shared" si="55"/>
        <v>65.888835690303964</v>
      </c>
      <c r="AX68" s="730">
        <f t="shared" si="56"/>
        <v>-98.439728862854352</v>
      </c>
      <c r="AY68" s="360">
        <f t="shared" si="57"/>
        <v>81.560271137145648</v>
      </c>
      <c r="BB68" s="337">
        <f t="shared" si="58"/>
        <v>23.362573491740584</v>
      </c>
      <c r="BC68" s="730">
        <f t="shared" si="59"/>
        <v>-85.777063162885426</v>
      </c>
      <c r="BD68" s="351"/>
      <c r="BE68" s="337">
        <f t="shared" si="19"/>
        <v>25.749893696247312</v>
      </c>
      <c r="BF68" s="730">
        <f t="shared" si="20"/>
        <v>6.7975643490859694</v>
      </c>
      <c r="BI68" s="351"/>
      <c r="BJ68" s="351"/>
      <c r="BL68" s="405">
        <f t="shared" si="21"/>
        <v>0</v>
      </c>
      <c r="BM68" s="405">
        <f t="shared" si="22"/>
        <v>0</v>
      </c>
      <c r="BN68" s="405">
        <f t="shared" si="23"/>
        <v>0</v>
      </c>
      <c r="BO68" s="405">
        <f t="shared" si="24"/>
        <v>0</v>
      </c>
    </row>
    <row r="69" spans="4:67" ht="13.5" thickBot="1" x14ac:dyDescent="0.25">
      <c r="D69" s="345">
        <v>173.78</v>
      </c>
      <c r="E69" s="340" t="str">
        <f t="shared" si="0"/>
        <v>0.0028825947286796i</v>
      </c>
      <c r="F69" s="728" t="str">
        <f t="shared" si="25"/>
        <v>0.005-15.0137957632408i</v>
      </c>
      <c r="G69" s="337" t="str">
        <f t="shared" si="26"/>
        <v>0.005-23.4831164501972i</v>
      </c>
      <c r="H69" s="338" t="str">
        <f t="shared" si="27"/>
        <v>1.21339619276407-0.0628656912704777i</v>
      </c>
      <c r="I69" s="338" t="str">
        <f t="shared" si="28"/>
        <v>1.22339619276407-0.0628656912704777i</v>
      </c>
      <c r="J69" s="337" t="str">
        <f t="shared" si="29"/>
        <v>1.20524715985369-0.160397359726246i</v>
      </c>
      <c r="K69" s="338" t="str">
        <f t="shared" si="1"/>
        <v>0.999999664450129-0.000909909952234724i</v>
      </c>
      <c r="L69" s="732"/>
      <c r="M69" s="732" t="str">
        <f t="shared" si="2"/>
        <v>19.2522162346477+2.5160883318331i</v>
      </c>
      <c r="N69" s="337">
        <f t="shared" si="3"/>
        <v>0</v>
      </c>
      <c r="O69" s="730" t="str">
        <f t="shared" si="4"/>
        <v>19.2479962369462+0.943719016621492i</v>
      </c>
      <c r="P69" s="731" t="str">
        <f t="shared" si="5"/>
        <v>23.6072528629622-0.055496337033405i</v>
      </c>
      <c r="Q69" s="729" t="str">
        <f t="shared" si="6"/>
        <v>23.4147729005927-0.0649335271996233i</v>
      </c>
      <c r="R69" s="730"/>
      <c r="S69" s="405" t="str">
        <f t="shared" si="30"/>
        <v>22.642275200654+1.29035807455617i</v>
      </c>
      <c r="T69" s="405" t="str">
        <f t="shared" si="31"/>
        <v>22.5033551275354-0.541011802835402i</v>
      </c>
      <c r="U69" s="405" t="str">
        <f t="shared" si="32"/>
        <v>27.2714743551986-2.07115063779849i</v>
      </c>
      <c r="V69" s="731" t="str">
        <f t="shared" si="7"/>
        <v>6000</v>
      </c>
      <c r="W69" s="733" t="str">
        <f>IMSUM(COMPLEX(1,0),IMDIV(COMPLEX(0,2*PI()*D69),COMPLEX(2*PI()*'Stability Calculations'!EA_Pole1,0)))</f>
        <v>1+1102.81086210849i</v>
      </c>
      <c r="X69" s="734">
        <f t="shared" si="33"/>
        <v>1102.8113154952985</v>
      </c>
      <c r="Y69" s="735">
        <f t="shared" si="34"/>
        <v>1.5698895532399022</v>
      </c>
      <c r="Z69" s="340" t="str">
        <f>IMSUM(COMPLEX(1,0),IMDIV(COMPLEX(0,2*PI()*D69),COMPLEX(2*PI()*'Stability Calculations'!EA_Zero1,0)))</f>
        <v>1+10.9189194268167i</v>
      </c>
      <c r="AA69" s="734">
        <f t="shared" si="35"/>
        <v>10.9646158824336</v>
      </c>
      <c r="AB69" s="735">
        <f t="shared" si="36"/>
        <v>1.4794669505021685</v>
      </c>
      <c r="AC69" s="733" t="str">
        <f>IMSUM(COMPLEX(1,0),IMDIV(COMPLEX(0,2*PI()*D69),COMPLEX(2*PI()*'Stability Calculations'!EA_Pole2,0)))</f>
        <v>1+0.109991255806629i</v>
      </c>
      <c r="AD69" s="734">
        <f t="shared" si="37"/>
        <v>1.0060308525855057</v>
      </c>
      <c r="AE69" s="735">
        <f t="shared" si="38"/>
        <v>0.10955088711217086</v>
      </c>
      <c r="AF69" s="732" t="str">
        <f t="shared" si="39"/>
        <v>58.115244839596-11.7789394026359i</v>
      </c>
      <c r="AG69" s="337">
        <f t="shared" si="40"/>
        <v>59.296923159782565</v>
      </c>
      <c r="AH69" s="730">
        <f t="shared" si="41"/>
        <v>-0.1999734898499051</v>
      </c>
      <c r="AI69" s="731" t="str">
        <f t="shared" si="14"/>
        <v>10000</v>
      </c>
      <c r="AJ69" s="733" t="str">
        <f t="shared" si="42"/>
        <v>1+1028.12326944518i</v>
      </c>
      <c r="AK69" s="734">
        <f t="shared" si="43"/>
        <v>1028.1237557680722</v>
      </c>
      <c r="AL69" s="735">
        <f t="shared" si="44"/>
        <v>1.5698236810875457</v>
      </c>
      <c r="AM69" s="340" t="str">
        <f t="shared" si="45"/>
        <v>1+1.74484332440531i</v>
      </c>
      <c r="AN69" s="734">
        <f t="shared" si="46"/>
        <v>2.011088816219158</v>
      </c>
      <c r="AO69" s="735">
        <f t="shared" si="47"/>
        <v>1.0503780518041752</v>
      </c>
      <c r="AP69" s="733" t="str">
        <f t="shared" si="48"/>
        <v>1+0.0846277773125887i</v>
      </c>
      <c r="AQ69" s="734">
        <f t="shared" si="49"/>
        <v>1.0035745416723509</v>
      </c>
      <c r="AR69" s="735">
        <f t="shared" si="50"/>
        <v>8.4426610261908119E-2</v>
      </c>
      <c r="AS69" s="732" t="str">
        <f t="shared" si="51"/>
        <v>90.2875458780028-1340.74571661422i</v>
      </c>
      <c r="AT69" s="337">
        <f t="shared" si="52"/>
        <v>1343.7823177732512</v>
      </c>
      <c r="AU69" s="730">
        <f t="shared" si="53"/>
        <v>-1.503556555096337</v>
      </c>
      <c r="AV69" s="732" t="str">
        <f t="shared" si="54"/>
        <v>-280.038467336987-1771.63804840646i</v>
      </c>
      <c r="AW69" s="337">
        <f t="shared" si="55"/>
        <v>65.074676544614022</v>
      </c>
      <c r="AX69" s="730">
        <f t="shared" si="56"/>
        <v>-98.982286393278585</v>
      </c>
      <c r="AY69" s="360">
        <f t="shared" si="57"/>
        <v>81.017713606721415</v>
      </c>
      <c r="BB69" s="337">
        <f t="shared" si="58"/>
        <v>22.566578442113627</v>
      </c>
      <c r="BC69" s="730">
        <f t="shared" si="59"/>
        <v>-86.147444866249344</v>
      </c>
      <c r="BD69" s="351"/>
      <c r="BE69" s="337">
        <f t="shared" si="19"/>
        <v>25.763166171095516</v>
      </c>
      <c r="BF69" s="730">
        <f t="shared" si="20"/>
        <v>7.4458331384974636</v>
      </c>
      <c r="BI69" s="351"/>
      <c r="BJ69" s="351"/>
      <c r="BL69" s="405">
        <f t="shared" si="21"/>
        <v>0</v>
      </c>
      <c r="BM69" s="405">
        <f t="shared" si="22"/>
        <v>0</v>
      </c>
      <c r="BN69" s="405">
        <f t="shared" si="23"/>
        <v>0</v>
      </c>
      <c r="BO69" s="405">
        <f t="shared" si="24"/>
        <v>0</v>
      </c>
    </row>
    <row r="70" spans="4:67" ht="13.5" thickBot="1" x14ac:dyDescent="0.25">
      <c r="D70" s="345">
        <v>190.55</v>
      </c>
      <c r="E70" s="340" t="str">
        <f t="shared" si="0"/>
        <v>0.00316076893514731i</v>
      </c>
      <c r="F70" s="728" t="str">
        <f t="shared" si="25"/>
        <v>0.005-13.6924556690422i</v>
      </c>
      <c r="G70" s="337" t="str">
        <f t="shared" si="26"/>
        <v>0.005-21.4164050208096i</v>
      </c>
      <c r="H70" s="338" t="str">
        <f t="shared" si="27"/>
        <v>1.21273667239122-0.068894692332238i</v>
      </c>
      <c r="I70" s="338" t="str">
        <f t="shared" si="28"/>
        <v>1.22273667239122-0.068894692332238i</v>
      </c>
      <c r="J70" s="337" t="str">
        <f t="shared" si="29"/>
        <v>1.20100463285039-0.175254695604656i</v>
      </c>
      <c r="K70" s="338" t="str">
        <f t="shared" si="1"/>
        <v>0.999999596563306-0.000997717466902559i</v>
      </c>
      <c r="L70" s="732"/>
      <c r="M70" s="732" t="str">
        <f t="shared" si="2"/>
        <v>19.2548652025585+2.75906126384874i</v>
      </c>
      <c r="N70" s="337">
        <f t="shared" si="3"/>
        <v>0</v>
      </c>
      <c r="O70" s="730" t="str">
        <f t="shared" si="4"/>
        <v>19.2497907848572+1.03484933622335i</v>
      </c>
      <c r="P70" s="731" t="str">
        <f t="shared" si="5"/>
        <v>23.6087207551329-0.0608601797826889i</v>
      </c>
      <c r="Q70" s="729" t="str">
        <f t="shared" si="6"/>
        <v>23.4162228472843-0.0712086731449203i</v>
      </c>
      <c r="R70" s="730"/>
      <c r="S70" s="405" t="str">
        <f t="shared" si="30"/>
        <v>22.6622863140566+1.4132320718885i</v>
      </c>
      <c r="T70" s="405" t="str">
        <f t="shared" si="31"/>
        <v>22.4954497079532-0.59256972813531i</v>
      </c>
      <c r="U70" s="405" t="str">
        <f t="shared" si="32"/>
        <v>27.240231913662-2.26844812676336i</v>
      </c>
      <c r="V70" s="731" t="str">
        <f t="shared" si="7"/>
        <v>6000</v>
      </c>
      <c r="W70" s="733" t="str">
        <f>IMSUM(COMPLEX(1,0),IMDIV(COMPLEX(0,2*PI()*D70),COMPLEX(2*PI()*'Stability Calculations'!EA_Pole1,0)))</f>
        <v>1+1209.2335698859i</v>
      </c>
      <c r="X70" s="734">
        <f t="shared" si="33"/>
        <v>1209.2339833708768</v>
      </c>
      <c r="Y70" s="735">
        <f t="shared" si="34"/>
        <v>1.5699693568885495</v>
      </c>
      <c r="Z70" s="340" t="str">
        <f>IMSUM(COMPLEX(1,0),IMDIV(COMPLEX(0,2*PI()*D70),COMPLEX(2*PI()*'Stability Calculations'!EA_Zero1,0)))</f>
        <v>1+11.9726096028307i</v>
      </c>
      <c r="AA70" s="734">
        <f t="shared" si="35"/>
        <v>12.014299010004448</v>
      </c>
      <c r="AB70" s="735">
        <f t="shared" si="36"/>
        <v>1.4874657664497553</v>
      </c>
      <c r="AC70" s="733" t="str">
        <f>IMSUM(COMPLEX(1,0),IMDIV(COMPLEX(0,2*PI()*D70),COMPLEX(2*PI()*'Stability Calculations'!EA_Pole2,0)))</f>
        <v>1+0.120605557566769i</v>
      </c>
      <c r="AD70" s="734">
        <f t="shared" si="37"/>
        <v>1.0072465936978845</v>
      </c>
      <c r="AE70" s="735">
        <f t="shared" si="38"/>
        <v>0.12002584451067422</v>
      </c>
      <c r="AF70" s="732" t="str">
        <f t="shared" si="39"/>
        <v>57.9742297094541-11.9047045717734i</v>
      </c>
      <c r="AG70" s="337">
        <f t="shared" si="40"/>
        <v>59.183893935307708</v>
      </c>
      <c r="AH70" s="730">
        <f t="shared" si="41"/>
        <v>-0.20252943494946749</v>
      </c>
      <c r="AI70" s="731" t="str">
        <f t="shared" si="14"/>
        <v>10000</v>
      </c>
      <c r="AJ70" s="733" t="str">
        <f t="shared" si="42"/>
        <v>1+1127.33852568062i</v>
      </c>
      <c r="AK70" s="734">
        <f t="shared" si="43"/>
        <v>1127.3389692030316</v>
      </c>
      <c r="AL70" s="735">
        <f t="shared" si="44"/>
        <v>1.569909282029782</v>
      </c>
      <c r="AM70" s="340" t="str">
        <f t="shared" si="45"/>
        <v>1+1.91322301453235i</v>
      </c>
      <c r="AN70" s="734">
        <f t="shared" si="46"/>
        <v>2.1588011263977638</v>
      </c>
      <c r="AO70" s="735">
        <f t="shared" si="47"/>
        <v>1.0891711756853371</v>
      </c>
      <c r="AP70" s="733" t="str">
        <f t="shared" si="48"/>
        <v>1+0.0927944698291734i</v>
      </c>
      <c r="AQ70" s="734">
        <f t="shared" si="49"/>
        <v>1.0042961782416964</v>
      </c>
      <c r="AR70" s="735">
        <f t="shared" si="50"/>
        <v>9.252949219642545E-2</v>
      </c>
      <c r="AS70" s="732" t="str">
        <f t="shared" si="51"/>
        <v>75.1518301030227-1223.67839095598i</v>
      </c>
      <c r="AT70" s="337">
        <f t="shared" si="52"/>
        <v>1225.9839322195255</v>
      </c>
      <c r="AU70" s="730">
        <f t="shared" si="53"/>
        <v>-1.5094586755680928</v>
      </c>
      <c r="AV70" s="732" t="str">
        <f t="shared" si="54"/>
        <v>-272.261513630069-1609.94322530979i</v>
      </c>
      <c r="AW70" s="337">
        <f t="shared" si="55"/>
        <v>64.258672345638118</v>
      </c>
      <c r="AX70" s="730">
        <f t="shared" si="56"/>
        <v>-99.598616015458788</v>
      </c>
      <c r="AY70" s="360">
        <f t="shared" si="57"/>
        <v>80.401383984541212</v>
      </c>
      <c r="BB70" s="337">
        <f t="shared" si="58"/>
        <v>21.769695566875946</v>
      </c>
      <c r="BC70" s="730">
        <f t="shared" si="59"/>
        <v>-86.48561145945871</v>
      </c>
      <c r="BD70" s="351"/>
      <c r="BE70" s="337">
        <f t="shared" si="19"/>
        <v>25.779078028881564</v>
      </c>
      <c r="BF70" s="730">
        <f t="shared" si="20"/>
        <v>8.1544979728522513</v>
      </c>
      <c r="BI70" s="351"/>
      <c r="BJ70" s="351"/>
      <c r="BL70" s="405">
        <f t="shared" si="21"/>
        <v>0</v>
      </c>
      <c r="BM70" s="405">
        <f t="shared" si="22"/>
        <v>0</v>
      </c>
      <c r="BN70" s="405">
        <f t="shared" si="23"/>
        <v>0</v>
      </c>
      <c r="BO70" s="405">
        <f t="shared" si="24"/>
        <v>0</v>
      </c>
    </row>
    <row r="71" spans="4:67" ht="13.5" thickBot="1" x14ac:dyDescent="0.25">
      <c r="D71" s="345">
        <v>208.93</v>
      </c>
      <c r="E71" s="340" t="str">
        <f t="shared" si="0"/>
        <v>0.00346564919244464i</v>
      </c>
      <c r="F71" s="728" t="str">
        <f t="shared" si="25"/>
        <v>0.005-12.4879023009428i</v>
      </c>
      <c r="G71" s="337" t="str">
        <f t="shared" si="26"/>
        <v>0.005-19.532360009167i</v>
      </c>
      <c r="H71" s="338" t="str">
        <f t="shared" si="27"/>
        <v>1.21194504844051-0.0754905978328345i</v>
      </c>
      <c r="I71" s="338" t="str">
        <f t="shared" si="28"/>
        <v>1.22194504844051-0.0754905978328345i</v>
      </c>
      <c r="J71" s="337" t="str">
        <f t="shared" si="29"/>
        <v>1.19594567713481-0.191347125037589i</v>
      </c>
      <c r="K71" s="338" t="str">
        <f t="shared" si="1"/>
        <v>0.999999514980612-0.00109395492185753i</v>
      </c>
      <c r="L71" s="732"/>
      <c r="M71" s="732" t="str">
        <f t="shared" si="2"/>
        <v>19.2580492619104+3.02541393509996i</v>
      </c>
      <c r="N71" s="337">
        <f t="shared" si="3"/>
        <v>0</v>
      </c>
      <c r="O71" s="730" t="str">
        <f t="shared" si="4"/>
        <v>19.2519477588775+1.13474775699708i</v>
      </c>
      <c r="P71" s="731" t="str">
        <f t="shared" si="5"/>
        <v>23.610485023361-0.0667416428726081i</v>
      </c>
      <c r="Q71" s="729" t="str">
        <f t="shared" si="6"/>
        <v>23.4179655457722-0.0780891204425786i</v>
      </c>
      <c r="R71" s="730"/>
      <c r="S71" s="405" t="str">
        <f t="shared" si="30"/>
        <v>22.6862747083393+1.54738394085662i</v>
      </c>
      <c r="T71" s="405" t="str">
        <f t="shared" si="31"/>
        <v>22.4859730458862-0.648872681503431i</v>
      </c>
      <c r="U71" s="405" t="str">
        <f t="shared" si="32"/>
        <v>27.2027799056846-2.48387758150337i</v>
      </c>
      <c r="V71" s="731" t="str">
        <f t="shared" si="7"/>
        <v>6000</v>
      </c>
      <c r="W71" s="733" t="str">
        <f>IMSUM(COMPLEX(1,0),IMDIV(COMPLEX(0,2*PI()*D71),COMPLEX(2*PI()*'Stability Calculations'!EA_Pole1,0)))</f>
        <v>1+1325.87336529132i</v>
      </c>
      <c r="X71" s="734">
        <f t="shared" si="33"/>
        <v>1325.8737424011872</v>
      </c>
      <c r="Y71" s="735">
        <f t="shared" si="34"/>
        <v>1.5700421070959705</v>
      </c>
      <c r="Z71" s="340" t="str">
        <f>IMSUM(COMPLEX(1,0),IMDIV(COMPLEX(0,2*PI()*D71),COMPLEX(2*PI()*'Stability Calculations'!EA_Zero1,0)))</f>
        <v>1+13.1274590622903i</v>
      </c>
      <c r="AA71" s="734">
        <f t="shared" si="35"/>
        <v>13.165492069501532</v>
      </c>
      <c r="AB71" s="735">
        <f t="shared" si="36"/>
        <v>1.4947669573143139</v>
      </c>
      <c r="AC71" s="733" t="str">
        <f>IMSUM(COMPLEX(1,0),IMDIV(COMPLEX(0,2*PI()*D71),COMPLEX(2*PI()*'Stability Calculations'!EA_Pole2,0)))</f>
        <v>1+0.132238882930595i</v>
      </c>
      <c r="AD71" s="734">
        <f t="shared" si="37"/>
        <v>1.0087056667624761</v>
      </c>
      <c r="AE71" s="735">
        <f t="shared" si="38"/>
        <v>0.13147604514517863</v>
      </c>
      <c r="AF71" s="732" t="str">
        <f t="shared" si="39"/>
        <v>57.8059621453891-12.1247072246103i</v>
      </c>
      <c r="AG71" s="337">
        <f t="shared" si="40"/>
        <v>59.063844988594127</v>
      </c>
      <c r="AH71" s="730">
        <f t="shared" si="41"/>
        <v>-0.20675119492683566</v>
      </c>
      <c r="AI71" s="731" t="str">
        <f t="shared" si="14"/>
        <v>10000</v>
      </c>
      <c r="AJ71" s="733" t="str">
        <f t="shared" si="42"/>
        <v>1+1236.07891981345i</v>
      </c>
      <c r="AK71" s="734">
        <f t="shared" si="43"/>
        <v>1236.0793243183002</v>
      </c>
      <c r="AL71" s="735">
        <f t="shared" si="44"/>
        <v>1.5699873171387937</v>
      </c>
      <c r="AM71" s="340" t="str">
        <f t="shared" si="45"/>
        <v>1+2.09776795815399i</v>
      </c>
      <c r="AN71" s="734">
        <f t="shared" si="46"/>
        <v>2.3239256455957364</v>
      </c>
      <c r="AO71" s="735">
        <f t="shared" si="47"/>
        <v>1.125964182094644</v>
      </c>
      <c r="AP71" s="733" t="str">
        <f t="shared" si="48"/>
        <v>1+0.101745203785931i</v>
      </c>
      <c r="AQ71" s="734">
        <f t="shared" si="49"/>
        <v>1.0051627164262713</v>
      </c>
      <c r="AR71" s="735">
        <f t="shared" si="50"/>
        <v>0.10139627679214087</v>
      </c>
      <c r="AS71" s="732" t="str">
        <f t="shared" si="51"/>
        <v>62.5504501482848-1116.73472416324i</v>
      </c>
      <c r="AT71" s="337">
        <f t="shared" si="52"/>
        <v>1118.4851375703213</v>
      </c>
      <c r="AU71" s="730">
        <f t="shared" si="53"/>
        <v>-1.5148428780848573</v>
      </c>
      <c r="AV71" s="732" t="str">
        <f t="shared" si="54"/>
        <v>-265.536763863104-1462.17171400179i</v>
      </c>
      <c r="AW71" s="337">
        <f t="shared" si="55"/>
        <v>63.440887302408875</v>
      </c>
      <c r="AX71" s="730">
        <f t="shared" si="56"/>
        <v>-100.29298717953098</v>
      </c>
      <c r="AY71" s="360">
        <f t="shared" si="57"/>
        <v>79.707012820469018</v>
      </c>
      <c r="BB71" s="337">
        <f t="shared" si="58"/>
        <v>20.972604351324723</v>
      </c>
      <c r="BC71" s="730">
        <f t="shared" si="59"/>
        <v>-86.794103539713035</v>
      </c>
      <c r="BD71" s="351"/>
      <c r="BE71" s="337">
        <f t="shared" si="19"/>
        <v>25.798128429114726</v>
      </c>
      <c r="BF71" s="730">
        <f t="shared" si="20"/>
        <v>8.9281193855489338</v>
      </c>
      <c r="BI71" s="351"/>
      <c r="BJ71" s="351"/>
      <c r="BL71" s="405">
        <f t="shared" si="21"/>
        <v>0</v>
      </c>
      <c r="BM71" s="405">
        <f t="shared" si="22"/>
        <v>0</v>
      </c>
      <c r="BN71" s="405">
        <f t="shared" si="23"/>
        <v>0</v>
      </c>
      <c r="BO71" s="405">
        <f t="shared" si="24"/>
        <v>0</v>
      </c>
    </row>
    <row r="72" spans="4:67" ht="13.5" thickBot="1" x14ac:dyDescent="0.25">
      <c r="D72" s="345">
        <v>229.09</v>
      </c>
      <c r="E72" s="340" t="str">
        <f t="shared" si="0"/>
        <v>0.00380005539413748i</v>
      </c>
      <c r="F72" s="728" t="str">
        <f t="shared" si="25"/>
        <v>0.005-11.3889625375878i</v>
      </c>
      <c r="G72" s="337" t="str">
        <f t="shared" si="26"/>
        <v>0.005-17.8135055075091i</v>
      </c>
      <c r="H72" s="338" t="str">
        <f t="shared" si="27"/>
        <v>1.21099436510483-0.0827096112786632i</v>
      </c>
      <c r="I72" s="338" t="str">
        <f t="shared" si="28"/>
        <v>1.22099436510483-0.0827096112786632i</v>
      </c>
      <c r="J72" s="337" t="str">
        <f t="shared" si="29"/>
        <v>1.18991781784215-0.208749361127319i</v>
      </c>
      <c r="K72" s="338" t="str">
        <f t="shared" si="1"/>
        <v>0.999999416864132-0.00119951243501814i</v>
      </c>
      <c r="L72" s="732"/>
      <c r="M72" s="732" t="str">
        <f t="shared" si="2"/>
        <v>19.2618795864735+3.3176315113281i</v>
      </c>
      <c r="N72" s="337">
        <f t="shared" si="3"/>
        <v>0</v>
      </c>
      <c r="O72" s="730" t="str">
        <f t="shared" si="4"/>
        <v>19.2545424267914+1.24434604570367i</v>
      </c>
      <c r="P72" s="731" t="str">
        <f t="shared" si="5"/>
        <v>23.6126071835203-0.073196209423802i</v>
      </c>
      <c r="Q72" s="729" t="str">
        <f t="shared" si="6"/>
        <v>23.4200617592524-0.0856396698808374i</v>
      </c>
      <c r="R72" s="730"/>
      <c r="S72" s="405" t="str">
        <f t="shared" si="30"/>
        <v>22.7150384455961+1.69384691055983i</v>
      </c>
      <c r="T72" s="405" t="str">
        <f t="shared" si="31"/>
        <v>22.4746098581151-0.710359460872574i</v>
      </c>
      <c r="U72" s="405" t="str">
        <f t="shared" si="32"/>
        <v>27.1578723412298-2.71910754931991i</v>
      </c>
      <c r="V72" s="731" t="str">
        <f t="shared" si="7"/>
        <v>6000</v>
      </c>
      <c r="W72" s="733" t="str">
        <f>IMSUM(COMPLEX(1,0),IMDIV(COMPLEX(0,2*PI()*D72),COMPLEX(2*PI()*'Stability Calculations'!EA_Pole1,0)))</f>
        <v>1+1453.80907124199i</v>
      </c>
      <c r="X72" s="734">
        <f t="shared" si="33"/>
        <v>1453.8094151660655</v>
      </c>
      <c r="Y72" s="735">
        <f t="shared" si="34"/>
        <v>1.5701084786709101</v>
      </c>
      <c r="Z72" s="340" t="str">
        <f>IMSUM(COMPLEX(1,0),IMDIV(COMPLEX(0,2*PI()*D72),COMPLEX(2*PI()*'Stability Calculations'!EA_Zero1,0)))</f>
        <v>1+14.3941492202177i</v>
      </c>
      <c r="AA72" s="734">
        <f t="shared" si="35"/>
        <v>14.42884374348457</v>
      </c>
      <c r="AB72" s="735">
        <f t="shared" si="36"/>
        <v>1.5014351015990819</v>
      </c>
      <c r="AC72" s="733" t="str">
        <f>IMSUM(COMPLEX(1,0),IMDIV(COMPLEX(0,2*PI()*D72),COMPLEX(2*PI()*'Stability Calculations'!EA_Pole2,0)))</f>
        <v>1+0.144998830663716i</v>
      </c>
      <c r="AD72" s="734">
        <f t="shared" si="37"/>
        <v>1.0104576492331803</v>
      </c>
      <c r="AE72" s="735">
        <f t="shared" si="38"/>
        <v>0.14399527645145152</v>
      </c>
      <c r="AF72" s="732" t="str">
        <f t="shared" si="39"/>
        <v>57.6051251993572-12.4389009843802i</v>
      </c>
      <c r="AG72" s="337">
        <f t="shared" si="40"/>
        <v>58.932815196058911</v>
      </c>
      <c r="AH72" s="730">
        <f t="shared" si="41"/>
        <v>-0.21266865352328074</v>
      </c>
      <c r="AI72" s="731" t="str">
        <f t="shared" si="14"/>
        <v>10000</v>
      </c>
      <c r="AJ72" s="733" t="str">
        <f t="shared" si="42"/>
        <v>1+1355.35021174586i</v>
      </c>
      <c r="AK72" s="734">
        <f t="shared" si="43"/>
        <v>1355.3505806541523</v>
      </c>
      <c r="AL72" s="735">
        <f t="shared" si="44"/>
        <v>1.5700585102439595</v>
      </c>
      <c r="AM72" s="340" t="str">
        <f t="shared" si="45"/>
        <v>1+2.30018504539079i</v>
      </c>
      <c r="AN72" s="734">
        <f t="shared" si="46"/>
        <v>2.5081569414690605</v>
      </c>
      <c r="AO72" s="735">
        <f t="shared" si="47"/>
        <v>1.1606984032439838</v>
      </c>
      <c r="AP72" s="733" t="str">
        <f t="shared" si="48"/>
        <v>1+0.111562766167228i</v>
      </c>
      <c r="AQ72" s="734">
        <f t="shared" si="49"/>
        <v>1.0062038813256902</v>
      </c>
      <c r="AR72" s="735">
        <f t="shared" si="50"/>
        <v>0.11110334609666635</v>
      </c>
      <c r="AS72" s="732" t="str">
        <f t="shared" si="51"/>
        <v>52.0533135951417-1018.99790208155i</v>
      </c>
      <c r="AT72" s="337">
        <f t="shared" si="52"/>
        <v>1020.3265516014147</v>
      </c>
      <c r="AU72" s="730">
        <f t="shared" si="53"/>
        <v>-1.5197578435154426</v>
      </c>
      <c r="AV72" s="732" t="str">
        <f t="shared" si="54"/>
        <v>-259.63722014371-1326.92647713096i</v>
      </c>
      <c r="AW72" s="337">
        <f t="shared" si="55"/>
        <v>62.620107249402686</v>
      </c>
      <c r="AX72" s="730">
        <f t="shared" si="56"/>
        <v>-101.07108299099781</v>
      </c>
      <c r="AY72" s="360">
        <f t="shared" si="57"/>
        <v>78.928917009002191</v>
      </c>
      <c r="BB72" s="337">
        <f t="shared" si="58"/>
        <v>20.174783765860404</v>
      </c>
      <c r="BC72" s="730">
        <f t="shared" si="59"/>
        <v>-87.07571031533827</v>
      </c>
      <c r="BD72" s="351"/>
      <c r="BE72" s="337">
        <f t="shared" si="19"/>
        <v>25.820936988551484</v>
      </c>
      <c r="BF72" s="730">
        <f t="shared" si="20"/>
        <v>9.7726365615374799</v>
      </c>
      <c r="BI72" s="351"/>
      <c r="BJ72" s="351"/>
      <c r="BL72" s="405">
        <f t="shared" si="21"/>
        <v>0</v>
      </c>
      <c r="BM72" s="405">
        <f t="shared" si="22"/>
        <v>0</v>
      </c>
      <c r="BN72" s="405">
        <f t="shared" si="23"/>
        <v>0</v>
      </c>
      <c r="BO72" s="405">
        <f t="shared" si="24"/>
        <v>0</v>
      </c>
    </row>
    <row r="73" spans="4:67" ht="13.5" thickBot="1" x14ac:dyDescent="0.25">
      <c r="D73" s="345">
        <v>251.19</v>
      </c>
      <c r="E73" s="340" t="str">
        <f t="shared" si="0"/>
        <v>0.00416664155769956i</v>
      </c>
      <c r="F73" s="728" t="str">
        <f t="shared" si="25"/>
        <v>0.005-10.3869478392292i</v>
      </c>
      <c r="G73" s="337" t="str">
        <f t="shared" si="26"/>
        <v>0.005-16.246251748538i</v>
      </c>
      <c r="H73" s="338" t="str">
        <f t="shared" si="27"/>
        <v>1.20985362950784-0.0906027150240699i</v>
      </c>
      <c r="I73" s="338" t="str">
        <f t="shared" si="28"/>
        <v>1.21985362950784-0.0906027150240699i</v>
      </c>
      <c r="J73" s="337" t="str">
        <f t="shared" si="29"/>
        <v>1.18275257264207-0.227504050299501i</v>
      </c>
      <c r="K73" s="338" t="str">
        <f t="shared" si="1"/>
        <v>0.99999929892871-0.00131522776442537i</v>
      </c>
      <c r="L73" s="732"/>
      <c r="M73" s="732" t="str">
        <f t="shared" si="2"/>
        <v>19.2664850224437+3.63806170454002i</v>
      </c>
      <c r="N73" s="337">
        <f t="shared" si="3"/>
        <v>0</v>
      </c>
      <c r="O73" s="730" t="str">
        <f t="shared" si="4"/>
        <v>19.2576620047888+1.36452430457252i</v>
      </c>
      <c r="P73" s="731" t="str">
        <f t="shared" si="5"/>
        <v>23.6151584990876-0.080276537165309i</v>
      </c>
      <c r="Q73" s="729" t="str">
        <f t="shared" si="6"/>
        <v>23.4225818790397-0.09392178021104i</v>
      </c>
      <c r="R73" s="730"/>
      <c r="S73" s="405" t="str">
        <f t="shared" si="30"/>
        <v>22.7494883071274+1.85351171602458i</v>
      </c>
      <c r="T73" s="405" t="str">
        <f t="shared" si="31"/>
        <v>22.4610003277462-0.777410786648694i</v>
      </c>
      <c r="U73" s="405" t="str">
        <f t="shared" si="32"/>
        <v>27.1040872409414-2.97558087369585i</v>
      </c>
      <c r="V73" s="731" t="str">
        <f t="shared" si="7"/>
        <v>6000</v>
      </c>
      <c r="W73" s="733" t="str">
        <f>IMSUM(COMPLEX(1,0),IMDIV(COMPLEX(0,2*PI()*D73),COMPLEX(2*PI()*'Stability Calculations'!EA_Pole1,0)))</f>
        <v>1+1594.05605048354i</v>
      </c>
      <c r="X73" s="734">
        <f t="shared" si="33"/>
        <v>1594.0563641487656</v>
      </c>
      <c r="Y73" s="735">
        <f t="shared" si="34"/>
        <v>1.5701689963641281</v>
      </c>
      <c r="Z73" s="340" t="str">
        <f>IMSUM(COMPLEX(1,0),IMDIV(COMPLEX(0,2*PI()*D73),COMPLEX(2*PI()*'Stability Calculations'!EA_Zero1,0)))</f>
        <v>1+15.7827331731044i</v>
      </c>
      <c r="AA73" s="734">
        <f t="shared" si="35"/>
        <v>15.814381632343711</v>
      </c>
      <c r="AB73" s="735">
        <f t="shared" si="36"/>
        <v>1.507520528882869</v>
      </c>
      <c r="AC73" s="733" t="str">
        <f>IMSUM(COMPLEX(1,0),IMDIV(COMPLEX(0,2*PI()*D73),COMPLEX(2*PI()*'Stability Calculations'!EA_Pole2,0)))</f>
        <v>1+0.158986670192583i</v>
      </c>
      <c r="AD73" s="734">
        <f t="shared" si="37"/>
        <v>1.0125595100036962</v>
      </c>
      <c r="AE73" s="735">
        <f t="shared" si="38"/>
        <v>0.15766707020524637</v>
      </c>
      <c r="AF73" s="732" t="str">
        <f t="shared" si="39"/>
        <v>57.3657599336053-12.8471056074688i</v>
      </c>
      <c r="AG73" s="337">
        <f t="shared" si="40"/>
        <v>58.786720739036731</v>
      </c>
      <c r="AH73" s="730">
        <f t="shared" si="41"/>
        <v>-0.220315537686505</v>
      </c>
      <c r="AI73" s="731" t="str">
        <f t="shared" si="14"/>
        <v>10000</v>
      </c>
      <c r="AJ73" s="733" t="str">
        <f t="shared" si="42"/>
        <v>1+1486.09899903288i</v>
      </c>
      <c r="AK73" s="734">
        <f t="shared" si="43"/>
        <v>1486.0993354841823</v>
      </c>
      <c r="AL73" s="735">
        <f t="shared" si="44"/>
        <v>1.5701234242159177</v>
      </c>
      <c r="AM73" s="340" t="str">
        <f t="shared" si="45"/>
        <v>1+2.52208076106208i</v>
      </c>
      <c r="AN73" s="734">
        <f t="shared" si="46"/>
        <v>2.7130962690843612</v>
      </c>
      <c r="AO73" s="735">
        <f t="shared" si="47"/>
        <v>1.1933125483885276</v>
      </c>
      <c r="AP73" s="733" t="str">
        <f t="shared" si="48"/>
        <v>1+0.122325074134821i</v>
      </c>
      <c r="AQ73" s="734">
        <f t="shared" si="49"/>
        <v>1.0074539313348723</v>
      </c>
      <c r="AR73" s="735">
        <f t="shared" si="50"/>
        <v>0.12172036010245317</v>
      </c>
      <c r="AS73" s="732" t="str">
        <f t="shared" si="51"/>
        <v>43.3157800828738-929.752302956701i</v>
      </c>
      <c r="AT73" s="337">
        <f t="shared" si="52"/>
        <v>930.76076499682608</v>
      </c>
      <c r="AU73" s="730">
        <f t="shared" si="53"/>
        <v>-1.5242414735566696</v>
      </c>
      <c r="AV73" s="732" t="str">
        <f t="shared" si="54"/>
        <v>-254.372753925988-1203.12374599122i</v>
      </c>
      <c r="AW73" s="337">
        <f t="shared" si="55"/>
        <v>61.796127507183471</v>
      </c>
      <c r="AX73" s="730">
        <f t="shared" si="56"/>
        <v>-101.93806019372177</v>
      </c>
      <c r="AY73" s="360">
        <f t="shared" si="57"/>
        <v>78.061939806278232</v>
      </c>
      <c r="BB73" s="337">
        <f t="shared" si="58"/>
        <v>19.376761357688974</v>
      </c>
      <c r="BC73" s="730">
        <f t="shared" si="59"/>
        <v>-87.332603393598646</v>
      </c>
      <c r="BD73" s="351"/>
      <c r="BE73" s="337">
        <f t="shared" si="19"/>
        <v>25.848205907972321</v>
      </c>
      <c r="BF73" s="730">
        <f t="shared" si="20"/>
        <v>10.693170549986494</v>
      </c>
      <c r="BI73" s="351"/>
      <c r="BJ73" s="351"/>
      <c r="BL73" s="405">
        <f t="shared" si="21"/>
        <v>0</v>
      </c>
      <c r="BM73" s="405">
        <f t="shared" si="22"/>
        <v>0</v>
      </c>
      <c r="BN73" s="405">
        <f t="shared" si="23"/>
        <v>0</v>
      </c>
      <c r="BO73" s="405">
        <f t="shared" si="24"/>
        <v>0</v>
      </c>
    </row>
    <row r="74" spans="4:67" ht="13.5" thickBot="1" x14ac:dyDescent="0.25">
      <c r="D74" s="345">
        <v>275.42</v>
      </c>
      <c r="E74" s="340" t="str">
        <f t="shared" si="0"/>
        <v>0.00456855932888098i</v>
      </c>
      <c r="F74" s="728" t="str">
        <f t="shared" si="25"/>
        <v>0.005-9.47315891270052i</v>
      </c>
      <c r="G74" s="337" t="str">
        <f t="shared" si="26"/>
        <v>0.005-14.816992145506i</v>
      </c>
      <c r="H74" s="338" t="str">
        <f t="shared" si="27"/>
        <v>1.20848515658309-0.0992294984830383i</v>
      </c>
      <c r="I74" s="338" t="str">
        <f t="shared" si="28"/>
        <v>1.21848515658309-0.0992294984830383i</v>
      </c>
      <c r="J74" s="337" t="str">
        <f t="shared" si="29"/>
        <v>1.17425272372758-0.247650331129776i</v>
      </c>
      <c r="K74" s="338" t="str">
        <f t="shared" si="1"/>
        <v>0.999999157153596-0.00144209574775283i</v>
      </c>
      <c r="L74" s="732"/>
      <c r="M74" s="732" t="str">
        <f t="shared" si="2"/>
        <v>19.2720234466969+3.98949690381838i</v>
      </c>
      <c r="N74" s="337">
        <f t="shared" si="3"/>
        <v>0</v>
      </c>
      <c r="O74" s="730" t="str">
        <f t="shared" si="4"/>
        <v>19.2614133406483+1.49632926877505i</v>
      </c>
      <c r="P74" s="731" t="str">
        <f t="shared" si="5"/>
        <v>23.6182262532975-0.0880453825038155i</v>
      </c>
      <c r="Q74" s="729" t="str">
        <f t="shared" si="6"/>
        <v>23.425612119891-0.103008675191563i</v>
      </c>
      <c r="R74" s="730"/>
      <c r="S74" s="405" t="str">
        <f t="shared" si="30"/>
        <v>22.7907238338532+2.02739675583686i</v>
      </c>
      <c r="T74" s="405" t="str">
        <f t="shared" si="31"/>
        <v>22.4447100625606-0.850463227081077i</v>
      </c>
      <c r="U74" s="405" t="str">
        <f t="shared" si="32"/>
        <v>27.0397079149141-3.25494950925234i</v>
      </c>
      <c r="V74" s="731" t="str">
        <f t="shared" si="7"/>
        <v>6000</v>
      </c>
      <c r="W74" s="733" t="str">
        <f>IMSUM(COMPLEX(1,0),IMDIV(COMPLEX(0,2*PI()*D74),COMPLEX(2*PI()*'Stability Calculations'!EA_Pole1,0)))</f>
        <v>1+1747.82004627643i</v>
      </c>
      <c r="X74" s="734">
        <f t="shared" si="33"/>
        <v>1747.8203323470473</v>
      </c>
      <c r="Y74" s="735">
        <f t="shared" si="34"/>
        <v>1.5702241855764598</v>
      </c>
      <c r="Z74" s="340" t="str">
        <f>IMSUM(COMPLEX(1,0),IMDIV(COMPLEX(0,2*PI()*D74),COMPLEX(2*PI()*'Stability Calculations'!EA_Zero1,0)))</f>
        <v>1+17.305148973034i</v>
      </c>
      <c r="AA74" s="734">
        <f t="shared" si="35"/>
        <v>17.33401802753475</v>
      </c>
      <c r="AB74" s="735">
        <f t="shared" si="36"/>
        <v>1.5130742498532908</v>
      </c>
      <c r="AC74" s="733" t="str">
        <f>IMSUM(COMPLEX(1,0),IMDIV(COMPLEX(0,2*PI()*D74),COMPLEX(2*PI()*'Stability Calculations'!EA_Pole2,0)))</f>
        <v>1+0.174322658961109i</v>
      </c>
      <c r="AD74" s="734">
        <f t="shared" si="37"/>
        <v>1.0150804842116072</v>
      </c>
      <c r="AE74" s="735">
        <f t="shared" si="38"/>
        <v>0.17258837708626851</v>
      </c>
      <c r="AF74" s="732" t="str">
        <f t="shared" si="39"/>
        <v>57.0807938673665-13.3493337442229i</v>
      </c>
      <c r="AG74" s="337">
        <f t="shared" si="40"/>
        <v>58.621000843924804</v>
      </c>
      <c r="AH74" s="730">
        <f t="shared" si="41"/>
        <v>-0.22973831280943841</v>
      </c>
      <c r="AI74" s="731" t="str">
        <f t="shared" si="14"/>
        <v>10000</v>
      </c>
      <c r="AJ74" s="733" t="str">
        <f t="shared" si="42"/>
        <v>1+1629.44936627109i</v>
      </c>
      <c r="AK74" s="734">
        <f t="shared" si="43"/>
        <v>1629.4496731231859</v>
      </c>
      <c r="AL74" s="735">
        <f t="shared" si="44"/>
        <v>1.5701826226227049</v>
      </c>
      <c r="AM74" s="340" t="str">
        <f t="shared" si="45"/>
        <v>1+2.76536280589083i</v>
      </c>
      <c r="AN74" s="734">
        <f t="shared" si="46"/>
        <v>2.94061752837808</v>
      </c>
      <c r="AO74" s="735">
        <f t="shared" si="47"/>
        <v>1.2238107084510947</v>
      </c>
      <c r="AP74" s="733" t="str">
        <f t="shared" si="48"/>
        <v>1+0.134124654318294i</v>
      </c>
      <c r="AQ74" s="734">
        <f t="shared" si="49"/>
        <v>1.0089546188486387</v>
      </c>
      <c r="AR74" s="735">
        <f t="shared" si="50"/>
        <v>0.13332895033217909</v>
      </c>
      <c r="AS74" s="732" t="str">
        <f t="shared" si="51"/>
        <v>36.042767426235-848.266625207522i</v>
      </c>
      <c r="AT74" s="337">
        <f t="shared" si="52"/>
        <v>849.03200677283087</v>
      </c>
      <c r="AU74" s="730">
        <f t="shared" si="53"/>
        <v>-1.5283319654952372</v>
      </c>
      <c r="AV74" s="732" t="str">
        <f t="shared" si="54"/>
        <v>-249.571059875186-1089.68528760721i</v>
      </c>
      <c r="AW74" s="337">
        <f t="shared" si="55"/>
        <v>60.968056794520734</v>
      </c>
      <c r="AX74" s="730">
        <f t="shared" si="56"/>
        <v>-102.89999064558729</v>
      </c>
      <c r="AY74" s="360">
        <f t="shared" si="57"/>
        <v>77.100009354412705</v>
      </c>
      <c r="BB74" s="337">
        <f t="shared" si="58"/>
        <v>18.578481251352862</v>
      </c>
      <c r="BC74" s="730">
        <f t="shared" si="59"/>
        <v>-87.566971317810854</v>
      </c>
      <c r="BD74" s="351"/>
      <c r="BE74" s="337">
        <f t="shared" si="19"/>
        <v>25.880777421109382</v>
      </c>
      <c r="BF74" s="730">
        <f t="shared" si="20"/>
        <v>11.69558900633953</v>
      </c>
      <c r="BI74" s="351"/>
      <c r="BJ74" s="351"/>
      <c r="BL74" s="405">
        <f t="shared" si="21"/>
        <v>0</v>
      </c>
      <c r="BM74" s="405">
        <f t="shared" si="22"/>
        <v>0</v>
      </c>
      <c r="BN74" s="405">
        <f t="shared" si="23"/>
        <v>0</v>
      </c>
      <c r="BO74" s="405">
        <f t="shared" si="24"/>
        <v>0</v>
      </c>
    </row>
    <row r="75" spans="4:67" ht="13.5" thickBot="1" x14ac:dyDescent="0.25">
      <c r="D75" s="345">
        <v>302</v>
      </c>
      <c r="E75" s="340" t="str">
        <f t="shared" si="0"/>
        <v>0.00500945798170814i</v>
      </c>
      <c r="F75" s="728" t="str">
        <f t="shared" si="25"/>
        <v>0.005-8.63939545607946i</v>
      </c>
      <c r="G75" s="337" t="str">
        <f t="shared" si="26"/>
        <v>0.005-13.5129005851499i</v>
      </c>
      <c r="H75" s="338" t="str">
        <f t="shared" si="27"/>
        <v>1.2068432288381-0.108657412372598i</v>
      </c>
      <c r="I75" s="338" t="str">
        <f t="shared" si="28"/>
        <v>1.2168432288381-0.108657412372598i</v>
      </c>
      <c r="J75" s="337" t="str">
        <f t="shared" si="29"/>
        <v>1.16418987105035-0.269215068200484i</v>
      </c>
      <c r="K75" s="338" t="str">
        <f t="shared" si="1"/>
        <v>0.999998986622222-0.00158126830230686i</v>
      </c>
      <c r="L75" s="732"/>
      <c r="M75" s="732" t="str">
        <f t="shared" si="2"/>
        <v>19.2786881774195+4.3751777100905i</v>
      </c>
      <c r="N75" s="337">
        <f t="shared" si="3"/>
        <v>0</v>
      </c>
      <c r="O75" s="730" t="str">
        <f t="shared" si="4"/>
        <v>19.2659272395065+1.64097557936279i</v>
      </c>
      <c r="P75" s="731" t="str">
        <f t="shared" si="5"/>
        <v>23.6219172689012-0.0965757783672252i</v>
      </c>
      <c r="Q75" s="729" t="str">
        <f t="shared" si="6"/>
        <v>23.4292579965061-0.112985534160859i</v>
      </c>
      <c r="R75" s="730"/>
      <c r="S75" s="405" t="str">
        <f t="shared" si="30"/>
        <v>22.8400673936084+2.21661747042425i</v>
      </c>
      <c r="T75" s="405" t="str">
        <f t="shared" si="31"/>
        <v>22.4252166340708-0.929997107137842i</v>
      </c>
      <c r="U75" s="405" t="str">
        <f t="shared" si="32"/>
        <v>26.9626697708802-3.55902672294139i</v>
      </c>
      <c r="V75" s="731" t="str">
        <f t="shared" si="7"/>
        <v>6000</v>
      </c>
      <c r="W75" s="733" t="str">
        <f>IMSUM(COMPLEX(1,0),IMDIV(COMPLEX(0,2*PI()*D75),COMPLEX(2*PI()*'Stability Calculations'!EA_Pole1,0)))</f>
        <v>1+1916.49718239591i</v>
      </c>
      <c r="X75" s="734">
        <f t="shared" si="33"/>
        <v>1916.4974432885274</v>
      </c>
      <c r="Y75" s="735">
        <f t="shared" si="34"/>
        <v>1.5702745415721306</v>
      </c>
      <c r="Z75" s="340" t="str">
        <f>IMSUM(COMPLEX(1,0),IMDIV(COMPLEX(0,2*PI()*D75),COMPLEX(2*PI()*'Stability Calculations'!EA_Zero1,0)))</f>
        <v>1+18.9752196276823i</v>
      </c>
      <c r="AA75" s="734">
        <f t="shared" si="35"/>
        <v>19.001551513462779</v>
      </c>
      <c r="AB75" s="735">
        <f t="shared" si="36"/>
        <v>1.5181447219677096</v>
      </c>
      <c r="AC75" s="733" t="str">
        <f>IMSUM(COMPLEX(1,0),IMDIV(COMPLEX(0,2*PI()*D75),COMPLEX(2*PI()*'Stability Calculations'!EA_Pole2,0)))</f>
        <v>1+0.191146042430669i</v>
      </c>
      <c r="AD75" s="734">
        <f t="shared" si="37"/>
        <v>1.0181045179827595</v>
      </c>
      <c r="AE75" s="735">
        <f t="shared" si="38"/>
        <v>0.18886782544466565</v>
      </c>
      <c r="AF75" s="732" t="str">
        <f t="shared" si="39"/>
        <v>56.7418922747374-13.9457017803741i</v>
      </c>
      <c r="AG75" s="337">
        <f t="shared" si="40"/>
        <v>58.430513749795431</v>
      </c>
      <c r="AH75" s="730">
        <f t="shared" si="41"/>
        <v>-0.2409976450490868</v>
      </c>
      <c r="AI75" s="731" t="str">
        <f t="shared" si="14"/>
        <v>10000</v>
      </c>
      <c r="AJ75" s="733" t="str">
        <f t="shared" si="42"/>
        <v>1+1786.70288509865i</v>
      </c>
      <c r="AK75" s="734">
        <f t="shared" si="43"/>
        <v>1786.7031649437017</v>
      </c>
      <c r="AL75" s="735">
        <f t="shared" si="44"/>
        <v>1.5702366367065654</v>
      </c>
      <c r="AM75" s="340" t="str">
        <f t="shared" si="45"/>
        <v>1+3.03224009650363i</v>
      </c>
      <c r="AN75" s="734">
        <f t="shared" si="46"/>
        <v>3.1928795785065778</v>
      </c>
      <c r="AO75" s="735">
        <f t="shared" si="47"/>
        <v>1.2522388871925605</v>
      </c>
      <c r="AP75" s="733" t="str">
        <f t="shared" si="48"/>
        <v>1+0.147068642815063i</v>
      </c>
      <c r="AQ75" s="734">
        <f t="shared" si="49"/>
        <v>1.0107567391313621</v>
      </c>
      <c r="AR75" s="735">
        <f t="shared" si="50"/>
        <v>0.14602186912378035</v>
      </c>
      <c r="AS75" s="732" t="str">
        <f t="shared" si="51"/>
        <v>29.986578655144-773.842605575216i</v>
      </c>
      <c r="AT75" s="337">
        <f t="shared" si="52"/>
        <v>774.42338104093972</v>
      </c>
      <c r="AU75" s="730">
        <f t="shared" si="53"/>
        <v>-1.5320654752471536</v>
      </c>
      <c r="AV75" s="732" t="str">
        <f t="shared" si="54"/>
        <v>-245.075991216602-985.599352183889i</v>
      </c>
      <c r="AW75" s="337">
        <f t="shared" si="55"/>
        <v>60.134558957044419</v>
      </c>
      <c r="AX75" s="730">
        <f t="shared" si="56"/>
        <v>-103.9637885163434</v>
      </c>
      <c r="AY75" s="360">
        <f t="shared" si="57"/>
        <v>76.036211483656601</v>
      </c>
      <c r="BB75" s="337">
        <f t="shared" si="58"/>
        <v>17.779569130422384</v>
      </c>
      <c r="BC75" s="730">
        <f t="shared" si="59"/>
        <v>-87.780885669366597</v>
      </c>
      <c r="BD75" s="351"/>
      <c r="BE75" s="337">
        <f t="shared" si="19"/>
        <v>25.919656654610669</v>
      </c>
      <c r="BF75" s="730">
        <f t="shared" si="20"/>
        <v>12.786341342513602</v>
      </c>
      <c r="BI75" s="351"/>
      <c r="BJ75" s="351"/>
      <c r="BL75" s="405">
        <f t="shared" si="21"/>
        <v>0</v>
      </c>
      <c r="BM75" s="405">
        <f t="shared" si="22"/>
        <v>0</v>
      </c>
      <c r="BN75" s="405">
        <f t="shared" si="23"/>
        <v>0</v>
      </c>
      <c r="BO75" s="405">
        <f t="shared" si="24"/>
        <v>0</v>
      </c>
    </row>
    <row r="76" spans="4:67" ht="13.5" thickBot="1" x14ac:dyDescent="0.25">
      <c r="D76" s="345">
        <v>331.13</v>
      </c>
      <c r="E76" s="340" t="str">
        <f t="shared" si="0"/>
        <v>0.00549265503802323i</v>
      </c>
      <c r="F76" s="728" t="str">
        <f t="shared" si="25"/>
        <v>0.005-7.87937495163829i</v>
      </c>
      <c r="G76" s="337" t="str">
        <f t="shared" si="26"/>
        <v>0.005-12.324150565383i</v>
      </c>
      <c r="H76" s="338" t="str">
        <f t="shared" si="27"/>
        <v>1.20487608416681-0.118943176519976i</v>
      </c>
      <c r="I76" s="338" t="str">
        <f t="shared" si="28"/>
        <v>1.21487608416681-0.118943176519976i</v>
      </c>
      <c r="J76" s="337" t="str">
        <f t="shared" si="29"/>
        <v>1.15232421907609-0.292163455358102i</v>
      </c>
      <c r="K76" s="338" t="str">
        <f t="shared" si="1"/>
        <v>0.999998781699146-0.00173379262563865i</v>
      </c>
      <c r="L76" s="732"/>
      <c r="M76" s="732" t="str">
        <f t="shared" si="2"/>
        <v>19.2867012701118+4.79807158185932i</v>
      </c>
      <c r="N76" s="337">
        <f t="shared" si="3"/>
        <v>0</v>
      </c>
      <c r="O76" s="730" t="str">
        <f t="shared" si="4"/>
        <v>19.2713539006017+1.79957518332368i</v>
      </c>
      <c r="P76" s="731" t="str">
        <f t="shared" si="5"/>
        <v>23.6263541520469-0.105935196898131i</v>
      </c>
      <c r="Q76" s="729" t="str">
        <f t="shared" si="6"/>
        <v>23.4336406130409-0.123930948731365i</v>
      </c>
      <c r="R76" s="730"/>
      <c r="S76" s="405" t="str">
        <f t="shared" si="30"/>
        <v>22.8989958971872+2.42199599400573i</v>
      </c>
      <c r="T76" s="405" t="str">
        <f t="shared" si="31"/>
        <v>22.4019365500022-1.01637331230021i</v>
      </c>
      <c r="U76" s="405" t="str">
        <f t="shared" si="32"/>
        <v>26.8706669178249-3.88916139003212i</v>
      </c>
      <c r="V76" s="731" t="str">
        <f t="shared" si="7"/>
        <v>6000</v>
      </c>
      <c r="W76" s="733" t="str">
        <f>IMSUM(COMPLEX(1,0),IMDIV(COMPLEX(0,2*PI()*D76),COMPLEX(2*PI()*'Stability Calculations'!EA_Pole1,0)))</f>
        <v>1+2101.35666227404i</v>
      </c>
      <c r="X76" s="734">
        <f t="shared" si="33"/>
        <v>2101.3569002155473</v>
      </c>
      <c r="Y76" s="735">
        <f t="shared" si="34"/>
        <v>1.5703204437891867</v>
      </c>
      <c r="Z76" s="340" t="str">
        <f>IMSUM(COMPLEX(1,0),IMDIV(COMPLEX(0,2*PI()*D76),COMPLEX(2*PI()*'Stability Calculations'!EA_Zero1,0)))</f>
        <v>1+20.8055115076638i</v>
      </c>
      <c r="AA76" s="734">
        <f t="shared" si="35"/>
        <v>20.829529737743261</v>
      </c>
      <c r="AB76" s="735">
        <f t="shared" si="36"/>
        <v>1.5227691004571362</v>
      </c>
      <c r="AC76" s="733" t="str">
        <f>IMSUM(COMPLEX(1,0),IMDIV(COMPLEX(0,2*PI()*D76),COMPLEX(2*PI()*'Stability Calculations'!EA_Pole2,0)))</f>
        <v>1+0.20958340738433i</v>
      </c>
      <c r="AD76" s="734">
        <f t="shared" si="37"/>
        <v>1.0217265801822062</v>
      </c>
      <c r="AE76" s="735">
        <f t="shared" si="38"/>
        <v>0.20659316395212393</v>
      </c>
      <c r="AF76" s="732" t="str">
        <f t="shared" si="39"/>
        <v>56.3400401157399-14.6349649095055i</v>
      </c>
      <c r="AG76" s="337">
        <f t="shared" si="40"/>
        <v>58.209812902513598</v>
      </c>
      <c r="AH76" s="730">
        <f t="shared" si="41"/>
        <v>-0.25414450728417592</v>
      </c>
      <c r="AI76" s="731" t="str">
        <f t="shared" si="14"/>
        <v>10000</v>
      </c>
      <c r="AJ76" s="733" t="str">
        <f t="shared" si="42"/>
        <v>1+1959.04280245933i</v>
      </c>
      <c r="AK76" s="734">
        <f t="shared" si="43"/>
        <v>1959.0430576859983</v>
      </c>
      <c r="AL76" s="735">
        <f t="shared" si="44"/>
        <v>1.5702858734694816</v>
      </c>
      <c r="AM76" s="340" t="str">
        <f t="shared" si="45"/>
        <v>1+3.32472073892467i</v>
      </c>
      <c r="AN76" s="734">
        <f t="shared" si="46"/>
        <v>3.4718536823771537</v>
      </c>
      <c r="AO76" s="735">
        <f t="shared" si="47"/>
        <v>1.278626711089939</v>
      </c>
      <c r="AP76" s="733" t="str">
        <f t="shared" si="48"/>
        <v>1+0.161254436077325i</v>
      </c>
      <c r="AQ76" s="734">
        <f t="shared" si="49"/>
        <v>1.0129180584601185</v>
      </c>
      <c r="AR76" s="735">
        <f t="shared" si="50"/>
        <v>0.15987814635879549</v>
      </c>
      <c r="AS76" s="732" t="str">
        <f t="shared" si="51"/>
        <v>24.9490081535877-705.944551692203i</v>
      </c>
      <c r="AT76" s="337">
        <f t="shared" si="52"/>
        <v>706.38527948404567</v>
      </c>
      <c r="AU76" s="730">
        <f t="shared" si="53"/>
        <v>-1.5354697155238144</v>
      </c>
      <c r="AV76" s="732" t="str">
        <f t="shared" si="54"/>
        <v>-240.751492688099-890.098555847351i</v>
      </c>
      <c r="AW76" s="337">
        <f t="shared" si="55"/>
        <v>59.295398575145924</v>
      </c>
      <c r="AX76" s="730">
        <f t="shared" si="56"/>
        <v>-105.13506349163377</v>
      </c>
      <c r="AY76" s="360">
        <f t="shared" si="57"/>
        <v>74.864936508366227</v>
      </c>
      <c r="BB76" s="337">
        <f t="shared" si="58"/>
        <v>16.980832806139333</v>
      </c>
      <c r="BC76" s="730">
        <f t="shared" si="59"/>
        <v>-87.975934269667704</v>
      </c>
      <c r="BD76" s="351"/>
      <c r="BE76" s="337">
        <f t="shared" si="19"/>
        <v>25.965952669538737</v>
      </c>
      <c r="BF76" s="730">
        <f t="shared" si="20"/>
        <v>13.970228659377096</v>
      </c>
      <c r="BI76" s="351"/>
      <c r="BJ76" s="351"/>
      <c r="BL76" s="405">
        <f t="shared" si="21"/>
        <v>0</v>
      </c>
      <c r="BM76" s="405">
        <f t="shared" si="22"/>
        <v>0</v>
      </c>
      <c r="BN76" s="405">
        <f t="shared" si="23"/>
        <v>0</v>
      </c>
      <c r="BO76" s="405">
        <f t="shared" si="24"/>
        <v>0</v>
      </c>
    </row>
    <row r="77" spans="4:67" ht="13.5" thickBot="1" x14ac:dyDescent="0.25">
      <c r="D77" s="345">
        <v>363.08</v>
      </c>
      <c r="E77" s="340" t="str">
        <f t="shared" ref="E77:E140" si="60">COMPLEX(0,2*PI()*D77*L)</f>
        <v>0.00602262915231322i</v>
      </c>
      <c r="F77" s="728" t="str">
        <f t="shared" si="25"/>
        <v>0.005-7.18601252543787i</v>
      </c>
      <c r="G77" s="337" t="str">
        <f t="shared" si="26"/>
        <v>0.005-11.2396606167105i</v>
      </c>
      <c r="H77" s="338" t="str">
        <f t="shared" si="27"/>
        <v>1.20251886902363-0.130163528497955i</v>
      </c>
      <c r="I77" s="338" t="str">
        <f t="shared" si="28"/>
        <v>1.21251886902363-0.130163528497955i</v>
      </c>
      <c r="J77" s="337" t="str">
        <f t="shared" si="29"/>
        <v>1.13837193792721-0.316460873702487i</v>
      </c>
      <c r="K77" s="338" t="str">
        <f t="shared" ref="K77:K140" si="61">IMSUM(COMPLEX(1,0),COMPLEX(0,2*PI()*D77/(Fsw*PI()*(-2)/PI())),IMPRODUCT(COMPLEX(0,2*PI()*D77/(Fsw*PI())),COMPLEX(0,2*PI()*D77/(Fsw*PI()))))</f>
        <v>0.999998535254596-0.0019010824344423i</v>
      </c>
      <c r="L77" s="732"/>
      <c r="M77" s="732" t="str">
        <f t="shared" ref="M77:M140" si="62">IF(Vin&gt;=Vout,IMDIV(COMPLEX(Vin,0),IMSUM(E77,J77)),IMDIV(IMSUM(COMPLEX(Vout,0),IMPRODUCT(J77,COMPLEX($B$4,0))),IMSUM(E77,IMPRODUCT(J77,COMPLEX((1-$B$11)^2,0)))))</f>
        <v>19.2963441387489+5.26218452958059i</v>
      </c>
      <c r="N77" s="337">
        <f t="shared" ref="N77:N140" si="63">IF(Vin&gt;=Vout,0,IMSUB(IMPRODUCT(M77,COMPLEX(1-$B$11,0)),COMPLEX($B$4/(1-$B$11),0)))</f>
        <v>0</v>
      </c>
      <c r="O77" s="730" t="str">
        <f t="shared" ref="O77:O140" si="64">IMDIV(IF(Vin&gt;=Vout,M77,N77),IMPRODUCT(I77,IMSUM(IMDIV(COMPLEX(1,0),F77),IMDIV(COMPLEX(1,0),I77))))</f>
        <v>19.277883622435+1.97362918686204i</v>
      </c>
      <c r="P77" s="731" t="str">
        <f t="shared" ref="P77:P140" si="65">IF(Vin&gt;=Vout,IMDIV(IMPRODUCT(COMPLEX(Vin,0),J77),IMSUM(J77,E77)),IMPRODUCT(N77,J77))</f>
        <v>23.6316921859527-0.11621472474308i</v>
      </c>
      <c r="Q77" s="729" t="str">
        <f t="shared" ref="Q77:Q140" si="66">IF(Vin&gt;=Vout,IMDIV(IMPRODUCT(P77,H77),IMSUM(COMPLEX($B$15,0),H77)),IMPRODUCT(O77,H77))</f>
        <v>23.4389133497283-0.135951016611705i</v>
      </c>
      <c r="R77" s="730"/>
      <c r="S77" s="405" t="str">
        <f t="shared" si="30"/>
        <v>22.9693402088853+2.64465541890454i</v>
      </c>
      <c r="T77" s="405" t="str">
        <f t="shared" si="31"/>
        <v>22.374146471088-1.1100842544268i</v>
      </c>
      <c r="U77" s="405" t="str">
        <f t="shared" si="32"/>
        <v>26.7608408262957-4.24719511396116i</v>
      </c>
      <c r="V77" s="731" t="str">
        <f t="shared" ref="V77:V140" si="67">COMPLEX(AEA,0)</f>
        <v>6000</v>
      </c>
      <c r="W77" s="733" t="str">
        <f>IMSUM(COMPLEX(1,0),IMDIV(COMPLEX(0,2*PI()*D77),COMPLEX(2*PI()*'Stability Calculations'!EA_Pole1,0)))</f>
        <v>1+2304.11191054407i</v>
      </c>
      <c r="X77" s="734">
        <f t="shared" si="33"/>
        <v>2304.1121275474084</v>
      </c>
      <c r="Y77" s="735">
        <f t="shared" si="34"/>
        <v>1.5703623201250658</v>
      </c>
      <c r="Z77" s="340" t="str">
        <f>IMSUM(COMPLEX(1,0),IMDIV(COMPLEX(0,2*PI()*D77),COMPLEX(2*PI()*'Stability Calculations'!EA_Zero1,0)))</f>
        <v>1+22.8129892133076i</v>
      </c>
      <c r="AA77" s="734">
        <f t="shared" si="35"/>
        <v>22.834896033187647</v>
      </c>
      <c r="AB77" s="735">
        <f t="shared" si="36"/>
        <v>1.526989693867133</v>
      </c>
      <c r="AC77" s="733" t="str">
        <f>IMSUM(COMPLEX(1,0),IMDIV(COMPLEX(0,2*PI()*D77),COMPLEX(2*PI()*'Stability Calculations'!EA_Pole2,0)))</f>
        <v>1+0.22980564597923i</v>
      </c>
      <c r="AD77" s="734">
        <f t="shared" si="37"/>
        <v>1.0260656094636109</v>
      </c>
      <c r="AE77" s="735">
        <f t="shared" si="38"/>
        <v>0.22588379090934113</v>
      </c>
      <c r="AF77" s="732" t="str">
        <f t="shared" si="39"/>
        <v>55.8643307550038-15.416195737127i</v>
      </c>
      <c r="AG77" s="337">
        <f t="shared" si="40"/>
        <v>57.952416185262507</v>
      </c>
      <c r="AH77" s="730">
        <f t="shared" si="41"/>
        <v>-0.26925641716727344</v>
      </c>
      <c r="AI77" s="731" t="str">
        <f t="shared" ref="AI77:AI140" si="68">COMPLEX(AIL,0)</f>
        <v>10000</v>
      </c>
      <c r="AJ77" s="733" t="str">
        <f t="shared" si="42"/>
        <v>1+2148.06650172721i</v>
      </c>
      <c r="AK77" s="734">
        <f t="shared" si="43"/>
        <v>2148.0667344946651</v>
      </c>
      <c r="AL77" s="735">
        <f t="shared" si="44"/>
        <v>1.5703307918931815</v>
      </c>
      <c r="AM77" s="340" t="str">
        <f t="shared" si="45"/>
        <v>1+3.64551567628655i</v>
      </c>
      <c r="AN77" s="734">
        <f t="shared" si="46"/>
        <v>3.7801831365756584</v>
      </c>
      <c r="AO77" s="735">
        <f t="shared" si="47"/>
        <v>1.3030720749680693</v>
      </c>
      <c r="AP77" s="733" t="str">
        <f t="shared" si="48"/>
        <v>1+0.17681351931554i</v>
      </c>
      <c r="AQ77" s="734">
        <f t="shared" si="49"/>
        <v>1.0155112114658049</v>
      </c>
      <c r="AR77" s="735">
        <f t="shared" si="50"/>
        <v>0.17500475357981465</v>
      </c>
      <c r="AS77" s="732" t="str">
        <f t="shared" si="51"/>
        <v>20.7556744816567-643.958610168344i</v>
      </c>
      <c r="AT77" s="337">
        <f t="shared" si="52"/>
        <v>644.29301535336674</v>
      </c>
      <c r="AU77" s="730">
        <f t="shared" si="53"/>
        <v>-1.5385761014501194</v>
      </c>
      <c r="AV77" s="732" t="str">
        <f t="shared" si="54"/>
        <v>-236.463777935465-802.320671176814i</v>
      </c>
      <c r="AW77" s="337">
        <f t="shared" si="55"/>
        <v>58.448706445004859</v>
      </c>
      <c r="AX77" s="730">
        <f t="shared" si="56"/>
        <v>-106.42155127378898</v>
      </c>
      <c r="AY77" s="360">
        <f t="shared" si="57"/>
        <v>73.578448726211022</v>
      </c>
      <c r="BB77" s="337">
        <f t="shared" si="58"/>
        <v>16.181668465513518</v>
      </c>
      <c r="BC77" s="730">
        <f t="shared" si="59"/>
        <v>-88.153917072783813</v>
      </c>
      <c r="BD77" s="351"/>
      <c r="BE77" s="337">
        <f t="shared" ref="BE77:BE140" si="69">20*LOG10(IMABS(M77))</f>
        <v>26.021028574917217</v>
      </c>
      <c r="BF77" s="730">
        <f t="shared" ref="BF77:BF140" si="70">180/PI()*IMARGUMENT(IMPRODUCT(COMPLEX(1,0),M77))</f>
        <v>15.253861821039905</v>
      </c>
      <c r="BI77" s="351"/>
      <c r="BJ77" s="351"/>
      <c r="BL77" s="405">
        <f t="shared" ref="BL77:BL140" si="71">SUM((AW78&lt;0)*(AW77&gt;0))*D77</f>
        <v>0</v>
      </c>
      <c r="BM77" s="405">
        <f t="shared" ref="BM77:BM89" si="72">IF(BL77&gt;0,AY75,0)</f>
        <v>0</v>
      </c>
      <c r="BN77" s="405">
        <f t="shared" ref="BN77:BN140" si="73">SUM((BB78&lt;0)*(BB77&gt;0))*D77</f>
        <v>0</v>
      </c>
      <c r="BO77" s="405">
        <f t="shared" ref="BO77:BO140" si="74">IF(BN77&gt;0,BC77,0)</f>
        <v>0</v>
      </c>
    </row>
    <row r="78" spans="4:67" ht="13.5" thickBot="1" x14ac:dyDescent="0.25">
      <c r="D78" s="345">
        <v>398.11</v>
      </c>
      <c r="E78" s="340" t="str">
        <f t="shared" si="60"/>
        <v>0.00660369310297294i</v>
      </c>
      <c r="F78" s="728" t="str">
        <f t="shared" ref="F78:F141" si="75">IMSUM(COMPLEX($B$8,0),IMDIV(COMPLEX(1,0),COMPLEX(0,2*PI()*D78*$B$6)))</f>
        <v>0.005-6.55370984837355i</v>
      </c>
      <c r="G78" s="337" t="str">
        <f t="shared" ref="G78:G141" si="76">IMSUM(COMPLEX($B$9,0),IMDIV(COMPLEX(1,0),COMPLEX(0,2*PI()*D78*$B$7)))</f>
        <v>0.005-10.2506743782253i</v>
      </c>
      <c r="H78" s="338" t="str">
        <f t="shared" ref="H78:H141" si="77">IMDIV(COMPLEX(1,0),IMSUM(IMDIV(COMPLEX(1,0),COMPLEX($B$5,0)), IMDIV(COMPLEX(1,0),G78)))</f>
        <v>1.19969728998929-0.14238544724797i</v>
      </c>
      <c r="I78" s="338" t="str">
        <f t="shared" ref="I78:I141" si="78">IMSUM(H78,COMPLEX($B$15,0))</f>
        <v>1.20969728998929-0.14238544724797i</v>
      </c>
      <c r="J78" s="337" t="str">
        <f t="shared" ref="J78:J141" si="79">IMDIV(COMPLEX(1,0),IMSUM(IMDIV(COMPLEX(1,0),F78),IMDIV(COMPLEX(1,0),IMSUM(COMPLEX($B$15,0),H78))))</f>
        <v>1.12204109613212-0.341997029473262i</v>
      </c>
      <c r="K78" s="338" t="str">
        <f t="shared" si="61"/>
        <v>0.999998238982532-0.00208449908553439i</v>
      </c>
      <c r="L78" s="732"/>
      <c r="M78" s="732" t="str">
        <f t="shared" si="62"/>
        <v>19.307945574729+5.77140739950384i</v>
      </c>
      <c r="N78" s="337">
        <f t="shared" si="63"/>
        <v>0</v>
      </c>
      <c r="O78" s="730" t="str">
        <f t="shared" si="64"/>
        <v>19.2857386397101+2.16459505726538i</v>
      </c>
      <c r="P78" s="731" t="str">
        <f t="shared" si="65"/>
        <v>23.6381126032385-0.127503747024421i</v>
      </c>
      <c r="Q78" s="729" t="str">
        <f t="shared" si="66"/>
        <v>23.4452552168414-0.149149697597081i</v>
      </c>
      <c r="R78" s="730"/>
      <c r="S78" s="405" t="str">
        <f t="shared" ref="S78:S141" si="80">IMDIV(IMPRODUCT(COMPLEX($B$34,0),M78),IMSUM(COMPLEX(1,0),IMPRODUCT(M78,COMPLEX($B$29,0),K78,COMPLEX($B$34,0))))</f>
        <v>23.053158528778+2.88539660564059i</v>
      </c>
      <c r="T78" s="405" t="str">
        <f t="shared" ref="T78:T141" si="81">IMDIV(IMPRODUCT(COMPLEX($B$34,0),O78),IMSUM(COMPLEX(1,0),IMPRODUCT(M78,COMPLEX($B$29,0),K78,COMPLEX($B$34,0))))</f>
        <v>22.3410332250734-1.21149329757413i</v>
      </c>
      <c r="U78" s="405" t="str">
        <f t="shared" ref="U78:U141" si="82">IMDIV(IMPRODUCT(COMPLEX($B$34,0),Q78),IMSUM(COMPLEX(1,0),IMPRODUCT(M78,COMPLEX($B$29,0),K78,COMPLEX($B$34,0))))</f>
        <v>26.6299780006682-4.63446323367368i</v>
      </c>
      <c r="V78" s="731" t="str">
        <f t="shared" si="67"/>
        <v>6000</v>
      </c>
      <c r="W78" s="733" t="str">
        <f>IMSUM(COMPLEX(1,0),IMDIV(COMPLEX(0,2*PI()*D78),COMPLEX(2*PI()*'Stability Calculations'!EA_Pole1,0)))</f>
        <v>1+2526.41289166768i</v>
      </c>
      <c r="X78" s="734">
        <f t="shared" ref="X78:X141" si="83">IMABS(W78)</f>
        <v>2526.4130895767321</v>
      </c>
      <c r="Y78" s="735">
        <f t="shared" ref="Y78:Y141" si="84">IMARGUMENT(W78)</f>
        <v>1.5704005086960127</v>
      </c>
      <c r="Z78" s="340" t="str">
        <f>IMSUM(COMPLEX(1,0),IMDIV(COMPLEX(0,2*PI()*D78),COMPLEX(2*PI()*'Stability Calculations'!EA_Zero1,0)))</f>
        <v>1+25.0139890264127i</v>
      </c>
      <c r="AA78" s="734">
        <f t="shared" ref="AA78:AA141" si="85">IMABS(Z78)</f>
        <v>25.033969861240447</v>
      </c>
      <c r="AB78" s="735">
        <f t="shared" ref="AB78:AB141" si="86">IMARGUMENT(Z78)</f>
        <v>1.5308399738817726</v>
      </c>
      <c r="AC78" s="733" t="str">
        <f>IMSUM(COMPLEX(1,0),IMDIV(COMPLEX(0,2*PI()*D78),COMPLEX(2*PI()*'Stability Calculations'!EA_Pole2,0)))</f>
        <v>1+0.251977321033358i</v>
      </c>
      <c r="AD78" s="734">
        <f t="shared" ref="AD78:AD141" si="87">IMABS(AC78)</f>
        <v>1.0312577613357137</v>
      </c>
      <c r="AE78" s="735">
        <f t="shared" ref="AE78:AE141" si="88">IMARGUMENT(AC78)</f>
        <v>0.24683880357774121</v>
      </c>
      <c r="AF78" s="732" t="str">
        <f t="shared" ref="AF78:AF141" si="89">IMPRODUCT(V78,IMDIV(Z78,IMPRODUCT(W78,AC78)))</f>
        <v>55.3030410350911-16.2865065262576i</v>
      </c>
      <c r="AG78" s="337">
        <f t="shared" ref="AG78:AG141" si="90">IMABS(AF78)</f>
        <v>57.651336867056258</v>
      </c>
      <c r="AH78" s="730">
        <f t="shared" ref="AH78:AH141" si="91">IMARGUMENT(AF78)</f>
        <v>-0.28639933839198201</v>
      </c>
      <c r="AI78" s="731" t="str">
        <f t="shared" si="68"/>
        <v>10000</v>
      </c>
      <c r="AJ78" s="733" t="str">
        <f t="shared" ref="AJ78:AJ141" si="92">IMSUM(COMPLEX(1,0),IMDIV(COMPLEX(0,2*PI()*D78),COMPLEX(2*PI()*IL_Pole1,0)))</f>
        <v>1+2355.31220392922i</v>
      </c>
      <c r="AK78" s="734">
        <f t="shared" ref="AK78:AK141" si="93">IMABS(AJ78)</f>
        <v>2355.3124162152926</v>
      </c>
      <c r="AL78" s="735">
        <f t="shared" ref="AL78:AL141" si="94">IMARGUMENT(AJ78)</f>
        <v>1.5703717546561182</v>
      </c>
      <c r="AM78" s="340" t="str">
        <f t="shared" ref="AM78:AM141" si="95">IMSUM(COMPLEX(1,0),IMDIV(COMPLEX(0,2*PI()*D78),COMPLEX(2*PI()*IL_Zero1,0)))</f>
        <v>1+3.99723544642075i</v>
      </c>
      <c r="AN78" s="734">
        <f t="shared" ref="AN78:AN141" si="96">IMABS(AM78)</f>
        <v>4.1204236692508323</v>
      </c>
      <c r="AO78" s="735">
        <f t="shared" ref="AO78:AO141" si="97">IMARGUMENT(AM78)</f>
        <v>1.3256549370197384</v>
      </c>
      <c r="AP78" s="733" t="str">
        <f t="shared" ref="AP78:AP141" si="98">IMSUM(COMPLEX(1,0),IMDIV(COMPLEX(0,2*PI()*D78),COMPLEX(2*PI()*IL_Pole2,0)))</f>
        <v>1+0.193872507917567i</v>
      </c>
      <c r="AQ78" s="734">
        <f t="shared" ref="AQ78:AQ141" si="99">IMABS(AP78)</f>
        <v>1.0186199238804663</v>
      </c>
      <c r="AR78" s="735">
        <f t="shared" ref="AR78:AR141" si="100">IMARGUMENT(AP78)</f>
        <v>0.19149685805764421</v>
      </c>
      <c r="AS78" s="732" t="str">
        <f t="shared" ref="AS78:AS141" si="101">_xlfn.SWITCH(IMONLIM_select,0,COMPLEX(1,0),1,IMPRODUCT(gm_IL,IMDIV(COMPLEX(1,0),IMSUM(COMPLEX(1/20000000,0),COMPLEX(0,2*PI()*D78*CISET),COMPLEX(1/RISET,0)))),2,IMPRODUCT(gm_IL,IMDIV(COMPLEX(1,0),IMSUM(COMPLEX(1/20000000,0),COMPLEX(0,2*PI()*D78*CcIL)))),3,IMPRODUCT(AI78,IMDIV(AM78,IMPRODUCT(AJ78,AP78))))</f>
        <v>17.2667723748207-587.39876239925i</v>
      </c>
      <c r="AT78" s="337">
        <f t="shared" ref="AT78:AT141" si="102">IMABS(AS78)</f>
        <v>587.652488717962</v>
      </c>
      <c r="AU78" s="730">
        <f t="shared" ref="AU78:AU141" si="103">IMARGUMENT(AS78)</f>
        <v>-1.5414094728565548</v>
      </c>
      <c r="AV78" s="732" t="str">
        <f t="shared" ref="AV78:AV141" si="104">IMPRODUCT(T78,AS78,COMPLEX($B$15,0),IMPRODUCT(COMPLEX(0.1,0),AF78))</f>
        <v>-232.091786971709-721.596618553571i</v>
      </c>
      <c r="AW78" s="337">
        <f t="shared" ref="AW78:AW141" si="105">20*LOG10(IMABS(AV78))</f>
        <v>57.593416444676777</v>
      </c>
      <c r="AX78" s="730">
        <f t="shared" ref="AX78:AX141" si="106">(180/PI())*IMARGUMENT(AV78)</f>
        <v>-107.82968438223588</v>
      </c>
      <c r="AY78" s="360">
        <f t="shared" ref="AY78:AY141" si="107">IF(AX78&gt;0,AX78-180,AX78+180)</f>
        <v>72.170315617764118</v>
      </c>
      <c r="BB78" s="337">
        <f t="shared" ref="BB78:BB141" si="108">20*LOG10(IMPRODUCT(COMPLEX($B$15,0),IMABS(AS78)))</f>
        <v>15.382411594729961</v>
      </c>
      <c r="BC78" s="730">
        <f t="shared" ref="BC78:BC141" si="109">(180/PI())*IMARGUMENT(AS78)</f>
        <v>-88.316257296165617</v>
      </c>
      <c r="BD78" s="351"/>
      <c r="BE78" s="337">
        <f t="shared" si="69"/>
        <v>26.086393051486194</v>
      </c>
      <c r="BF78" s="730">
        <f t="shared" si="70"/>
        <v>16.642120297502156</v>
      </c>
      <c r="BI78" s="351"/>
      <c r="BJ78" s="351"/>
      <c r="BL78" s="405">
        <f t="shared" si="71"/>
        <v>0</v>
      </c>
      <c r="BM78" s="405">
        <f t="shared" si="72"/>
        <v>0</v>
      </c>
      <c r="BN78" s="405">
        <f t="shared" si="73"/>
        <v>0</v>
      </c>
      <c r="BO78" s="405">
        <f t="shared" si="74"/>
        <v>0</v>
      </c>
    </row>
    <row r="79" spans="4:67" ht="13.5" thickBot="1" x14ac:dyDescent="0.25">
      <c r="D79" s="345">
        <v>436.52</v>
      </c>
      <c r="E79" s="340" t="str">
        <f t="shared" si="60"/>
        <v>0.00724082317276569i</v>
      </c>
      <c r="F79" s="728" t="str">
        <f t="shared" si="75"/>
        <v>0.005-5.97703983262162i</v>
      </c>
      <c r="G79" s="337" t="str">
        <f t="shared" si="76"/>
        <v>0.005-9.34870332794666i</v>
      </c>
      <c r="H79" s="338" t="str">
        <f t="shared" si="77"/>
        <v>1.19632251881642-0.155681912178838i</v>
      </c>
      <c r="I79" s="338" t="str">
        <f t="shared" si="78"/>
        <v>1.20632251881642-0.155681912178838i</v>
      </c>
      <c r="J79" s="337" t="str">
        <f t="shared" si="79"/>
        <v>1.10301885530979-0.368612346997482i</v>
      </c>
      <c r="K79" s="338" t="str">
        <f t="shared" si="61"/>
        <v>0.999997882780996-0.00228561337524169i</v>
      </c>
      <c r="L79" s="732"/>
      <c r="M79" s="732" t="str">
        <f t="shared" si="62"/>
        <v>19.3219066382142+6.33025157406697i</v>
      </c>
      <c r="N79" s="337">
        <f t="shared" si="63"/>
        <v>0</v>
      </c>
      <c r="O79" s="730" t="str">
        <f t="shared" si="64"/>
        <v>19.295189908908+2.37416238764623i</v>
      </c>
      <c r="P79" s="731" t="str">
        <f t="shared" si="65"/>
        <v>23.6458362322869-0.139906509328017i</v>
      </c>
      <c r="Q79" s="729" t="str">
        <f t="shared" si="66"/>
        <v>23.4528843331978-0.163648133204476i</v>
      </c>
      <c r="R79" s="730"/>
      <c r="S79" s="405" t="str">
        <f t="shared" si="80"/>
        <v>23.1528652328867+3.14497965736409i</v>
      </c>
      <c r="T79" s="405" t="str">
        <f t="shared" si="81"/>
        <v>22.3016428975567-1.32095496494144i</v>
      </c>
      <c r="U79" s="405" t="str">
        <f t="shared" si="82"/>
        <v>26.4743088101052-5.05225058192303i</v>
      </c>
      <c r="V79" s="731" t="str">
        <f t="shared" si="67"/>
        <v>6000</v>
      </c>
      <c r="W79" s="733" t="str">
        <f>IMSUM(COMPLEX(1,0),IMDIV(COMPLEX(0,2*PI()*D79),COMPLEX(2*PI()*'Stability Calculations'!EA_Pole1,0)))</f>
        <v>1+2770.16341079293i</v>
      </c>
      <c r="X79" s="734">
        <f t="shared" si="83"/>
        <v>2770.1635912876909</v>
      </c>
      <c r="Y79" s="735">
        <f t="shared" si="84"/>
        <v>1.5704353372761317</v>
      </c>
      <c r="Z79" s="340" t="str">
        <f>IMSUM(COMPLEX(1,0),IMDIV(COMPLEX(0,2*PI()*D79),COMPLEX(2*PI()*'Stability Calculations'!EA_Zero1,0)))</f>
        <v>1+27.4273605029003i</v>
      </c>
      <c r="AA79" s="734">
        <f t="shared" si="85"/>
        <v>27.44558442001291</v>
      </c>
      <c r="AB79" s="735">
        <f t="shared" si="86"/>
        <v>1.5343525266766165</v>
      </c>
      <c r="AC79" s="733" t="str">
        <f>IMSUM(COMPLEX(1,0),IMDIV(COMPLEX(0,2*PI()*D79),COMPLEX(2*PI()*'Stability Calculations'!EA_Pole2,0)))</f>
        <v>1+0.276288312721311i</v>
      </c>
      <c r="AD79" s="734">
        <f t="shared" si="87"/>
        <v>1.0374657737710622</v>
      </c>
      <c r="AE79" s="735">
        <f t="shared" si="88"/>
        <v>0.26956355003912708</v>
      </c>
      <c r="AF79" s="732" t="str">
        <f t="shared" si="89"/>
        <v>54.6430284180772-17.2417221279915i</v>
      </c>
      <c r="AG79" s="337">
        <f t="shared" si="90"/>
        <v>57.298669588723122</v>
      </c>
      <c r="AH79" s="730">
        <f t="shared" si="91"/>
        <v>-0.30564636063864242</v>
      </c>
      <c r="AI79" s="731" t="str">
        <f t="shared" si="68"/>
        <v>10000</v>
      </c>
      <c r="AJ79" s="733" t="str">
        <f t="shared" si="92"/>
        <v>1+2582.554779481i</v>
      </c>
      <c r="AK79" s="734">
        <f t="shared" si="93"/>
        <v>2582.5549730877278</v>
      </c>
      <c r="AL79" s="735">
        <f t="shared" si="94"/>
        <v>1.5704091133433302</v>
      </c>
      <c r="AM79" s="340" t="str">
        <f t="shared" si="95"/>
        <v>1+4.38289220836347i</v>
      </c>
      <c r="AN79" s="734">
        <f t="shared" si="96"/>
        <v>4.4955248981774325</v>
      </c>
      <c r="AO79" s="735">
        <f t="shared" si="97"/>
        <v>1.3464763429130251</v>
      </c>
      <c r="AP79" s="733" t="str">
        <f t="shared" si="98"/>
        <v>1+0.212577496561694i</v>
      </c>
      <c r="AQ79" s="734">
        <f t="shared" si="99"/>
        <v>1.0223449476788335</v>
      </c>
      <c r="AR79" s="735">
        <f t="shared" si="100"/>
        <v>0.20945954008747239</v>
      </c>
      <c r="AS79" s="732" t="str">
        <f t="shared" si="101"/>
        <v>14.3638919360413-535.790553602128i</v>
      </c>
      <c r="AT79" s="337">
        <f t="shared" si="102"/>
        <v>535.98305824048691</v>
      </c>
      <c r="AU79" s="730">
        <f t="shared" si="103"/>
        <v>-1.5439939650112264</v>
      </c>
      <c r="AV79" s="732" t="str">
        <f t="shared" si="104"/>
        <v>-227.518275899357-647.287137750856i</v>
      </c>
      <c r="AW79" s="337">
        <f t="shared" si="105"/>
        <v>56.727859045969964</v>
      </c>
      <c r="AX79" s="730">
        <f t="shared" si="106"/>
        <v>-109.36632649210534</v>
      </c>
      <c r="AY79" s="360">
        <f t="shared" si="107"/>
        <v>70.633673507894656</v>
      </c>
      <c r="BB79" s="337">
        <f t="shared" si="108"/>
        <v>14.583021247998943</v>
      </c>
      <c r="BC79" s="730">
        <f t="shared" si="109"/>
        <v>-88.464337788812969</v>
      </c>
      <c r="BD79" s="351"/>
      <c r="BE79" s="337">
        <f t="shared" si="69"/>
        <v>26.163790458214326</v>
      </c>
      <c r="BF79" s="730">
        <f t="shared" si="70"/>
        <v>18.139853516667756</v>
      </c>
      <c r="BI79" s="351"/>
      <c r="BJ79" s="351"/>
      <c r="BL79" s="405">
        <f t="shared" si="71"/>
        <v>0</v>
      </c>
      <c r="BM79" s="405">
        <f t="shared" si="72"/>
        <v>0</v>
      </c>
      <c r="BN79" s="405">
        <f t="shared" si="73"/>
        <v>0</v>
      </c>
      <c r="BO79" s="405">
        <f t="shared" si="74"/>
        <v>0</v>
      </c>
    </row>
    <row r="80" spans="4:67" ht="13.5" thickBot="1" x14ac:dyDescent="0.25">
      <c r="D80" s="345">
        <v>478.63</v>
      </c>
      <c r="E80" s="340" t="str">
        <f t="shared" si="60"/>
        <v>0.00793932739663897i</v>
      </c>
      <c r="F80" s="728" t="str">
        <f t="shared" si="75"/>
        <v>0.005-5.45117821226416i</v>
      </c>
      <c r="G80" s="337" t="str">
        <f t="shared" si="76"/>
        <v>0.005-8.5262018191824i</v>
      </c>
      <c r="H80" s="338" t="str">
        <f t="shared" si="77"/>
        <v>1.19229086852924-0.170122489296058i</v>
      </c>
      <c r="I80" s="338" t="str">
        <f t="shared" si="78"/>
        <v>1.20229086852924-0.170122489296058i</v>
      </c>
      <c r="J80" s="337" t="str">
        <f t="shared" si="79"/>
        <v>1.08099194392457-0.396069944267529i</v>
      </c>
      <c r="K80" s="338" t="str">
        <f t="shared" si="61"/>
        <v>0.999997454592479-0.00250610081964614i</v>
      </c>
      <c r="L80" s="732"/>
      <c r="M80" s="732" t="str">
        <f t="shared" si="62"/>
        <v>19.3387078557983+6.94357127427463i</v>
      </c>
      <c r="N80" s="337">
        <f t="shared" si="63"/>
        <v>0</v>
      </c>
      <c r="O80" s="730" t="str">
        <f t="shared" si="64"/>
        <v>19.3065618793057+2.60414855965001i</v>
      </c>
      <c r="P80" s="731" t="str">
        <f t="shared" si="65"/>
        <v>23.6551272856484-0.153536333095128i</v>
      </c>
      <c r="Q80" s="729" t="str">
        <f t="shared" si="66"/>
        <v>23.4620616668553-0.179577818691627i</v>
      </c>
      <c r="R80" s="730"/>
      <c r="S80" s="405" t="str">
        <f t="shared" si="80"/>
        <v>23.2712082043919+3.42389818169271i</v>
      </c>
      <c r="T80" s="405" t="str">
        <f t="shared" si="81"/>
        <v>22.2548897735135-1.4387221789019i</v>
      </c>
      <c r="U80" s="405" t="str">
        <f t="shared" si="82"/>
        <v>26.2895428586046-5.50143256353477i</v>
      </c>
      <c r="V80" s="731" t="str">
        <f t="shared" si="67"/>
        <v>6000</v>
      </c>
      <c r="W80" s="733" t="str">
        <f>IMSUM(COMPLEX(1,0),IMDIV(COMPLEX(0,2*PI()*D80),COMPLEX(2*PI()*'Stability Calculations'!EA_Pole1,0)))</f>
        <v>1+3037.39419341112i</v>
      </c>
      <c r="X80" s="734">
        <f t="shared" si="83"/>
        <v>3037.3943580259033</v>
      </c>
      <c r="Y80" s="735">
        <f t="shared" si="84"/>
        <v>1.5704670972315957</v>
      </c>
      <c r="Z80" s="340" t="str">
        <f>IMSUM(COMPLEX(1,0),IMDIV(COMPLEX(0,2*PI()*D80),COMPLEX(2*PI()*'Stability Calculations'!EA_Zero1,0)))</f>
        <v>1+30.0732098357537i</v>
      </c>
      <c r="AA80" s="734">
        <f t="shared" si="85"/>
        <v>30.089831335939277</v>
      </c>
      <c r="AB80" s="735">
        <f t="shared" si="86"/>
        <v>1.5375563873115801</v>
      </c>
      <c r="AC80" s="733" t="str">
        <f>IMSUM(COMPLEX(1,0),IMDIV(COMPLEX(0,2*PI()*D80),COMPLEX(2*PI()*'Stability Calculations'!EA_Pole2,0)))</f>
        <v>1+0.302941159895999i</v>
      </c>
      <c r="AD80" s="734">
        <f t="shared" si="87"/>
        <v>1.0448795846216603</v>
      </c>
      <c r="AE80" s="735">
        <f t="shared" si="88"/>
        <v>0.29415291727696169</v>
      </c>
      <c r="AF80" s="732" t="str">
        <f t="shared" si="89"/>
        <v>53.8702347086465-18.2753304331027i</v>
      </c>
      <c r="AG80" s="337">
        <f t="shared" si="90"/>
        <v>56.885761751107374</v>
      </c>
      <c r="AH80" s="730">
        <f t="shared" si="91"/>
        <v>-0.32706362719697707</v>
      </c>
      <c r="AI80" s="731" t="str">
        <f t="shared" si="68"/>
        <v>10000</v>
      </c>
      <c r="AJ80" s="733" t="str">
        <f t="shared" si="92"/>
        <v>1+2831.68742349261i</v>
      </c>
      <c r="AK80" s="734">
        <f t="shared" si="93"/>
        <v>2831.6876000657658</v>
      </c>
      <c r="AL80" s="735">
        <f t="shared" si="94"/>
        <v>1.570443180487104</v>
      </c>
      <c r="AM80" s="340" t="str">
        <f t="shared" si="95"/>
        <v>1+4.80569893175344i</v>
      </c>
      <c r="AN80" s="734">
        <f t="shared" si="96"/>
        <v>4.9086395490661321</v>
      </c>
      <c r="AO80" s="735">
        <f t="shared" si="97"/>
        <v>1.3656377285477623</v>
      </c>
      <c r="AP80" s="733" t="str">
        <f t="shared" si="98"/>
        <v>1+0.233084319571437i</v>
      </c>
      <c r="AQ80" s="734">
        <f t="shared" si="99"/>
        <v>1.0268048987174145</v>
      </c>
      <c r="AR80" s="735">
        <f t="shared" si="100"/>
        <v>0.22899576390763932</v>
      </c>
      <c r="AS80" s="732" t="str">
        <f t="shared" si="101"/>
        <v>11.949041296416-488.71059569076i</v>
      </c>
      <c r="AT80" s="337">
        <f t="shared" si="102"/>
        <v>488.85665171737304</v>
      </c>
      <c r="AU80" s="730">
        <f t="shared" si="103"/>
        <v>-1.5463510596509655</v>
      </c>
      <c r="AV80" s="732" t="str">
        <f t="shared" si="104"/>
        <v>-222.632087362358-578.839704413094i</v>
      </c>
      <c r="AW80" s="337">
        <f t="shared" si="105"/>
        <v>55.850323713431209</v>
      </c>
      <c r="AX80" s="730">
        <f t="shared" si="106"/>
        <v>-111.03763448847505</v>
      </c>
      <c r="AY80" s="360">
        <f t="shared" si="107"/>
        <v>68.962365511524951</v>
      </c>
      <c r="BB80" s="337">
        <f t="shared" si="108"/>
        <v>13.783630577365333</v>
      </c>
      <c r="BC80" s="730">
        <f t="shared" si="109"/>
        <v>-88.599389363582929</v>
      </c>
      <c r="BD80" s="351"/>
      <c r="BE80" s="337">
        <f t="shared" si="69"/>
        <v>26.255169982694895</v>
      </c>
      <c r="BF80" s="730">
        <f t="shared" si="70"/>
        <v>19.750697266551061</v>
      </c>
      <c r="BI80" s="351"/>
      <c r="BJ80" s="351"/>
      <c r="BL80" s="405">
        <f t="shared" si="71"/>
        <v>0</v>
      </c>
      <c r="BM80" s="405">
        <f t="shared" si="72"/>
        <v>0</v>
      </c>
      <c r="BN80" s="405">
        <f t="shared" si="73"/>
        <v>0</v>
      </c>
      <c r="BO80" s="405">
        <f t="shared" si="74"/>
        <v>0</v>
      </c>
    </row>
    <row r="81" spans="4:67" ht="13.5" thickBot="1" x14ac:dyDescent="0.25">
      <c r="D81" s="345">
        <v>524.80999999999995</v>
      </c>
      <c r="E81" s="340" t="str">
        <f t="shared" si="60"/>
        <v>0.00870534319000082i</v>
      </c>
      <c r="F81" s="728" t="str">
        <f t="shared" si="75"/>
        <v>0.005-4.97150859879955i</v>
      </c>
      <c r="G81" s="337" t="str">
        <f t="shared" si="76"/>
        <v>0.005-7.7759493468403i</v>
      </c>
      <c r="H81" s="338" t="str">
        <f t="shared" si="77"/>
        <v>1.18747898836453-0.185780552275033i</v>
      </c>
      <c r="I81" s="338" t="str">
        <f t="shared" si="78"/>
        <v>1.19747898836453-0.185780552275033i</v>
      </c>
      <c r="J81" s="337" t="str">
        <f t="shared" si="79"/>
        <v>1.05564742517766-0.424063107965316i</v>
      </c>
      <c r="K81" s="338" t="str">
        <f t="shared" si="61"/>
        <v>0.999996939716266-0.00274789873421743i</v>
      </c>
      <c r="L81" s="732"/>
      <c r="M81" s="732" t="str">
        <f t="shared" si="62"/>
        <v>19.3589375596541+7.61701761537435i</v>
      </c>
      <c r="N81" s="337">
        <f t="shared" si="63"/>
        <v>0</v>
      </c>
      <c r="O81" s="730" t="str">
        <f t="shared" si="64"/>
        <v>19.3202515278872+2.85666874903991i</v>
      </c>
      <c r="P81" s="731" t="str">
        <f t="shared" si="65"/>
        <v>23.6663087524262-0.168526195250616i</v>
      </c>
      <c r="Q81" s="729" t="str">
        <f t="shared" si="66"/>
        <v>23.4731062371473-0.197092882741016i</v>
      </c>
      <c r="R81" s="730"/>
      <c r="S81" s="405" t="str">
        <f t="shared" si="80"/>
        <v>23.4113664830845+3.72247171859392i</v>
      </c>
      <c r="T81" s="405" t="str">
        <f t="shared" si="81"/>
        <v>22.1995177399225-1.56498819582525i</v>
      </c>
      <c r="U81" s="405" t="str">
        <f t="shared" si="82"/>
        <v>26.0707164966594-5.98262926554328i</v>
      </c>
      <c r="V81" s="731" t="str">
        <f t="shared" si="67"/>
        <v>6000</v>
      </c>
      <c r="W81" s="733" t="str">
        <f>IMSUM(COMPLEX(1,0),IMDIV(COMPLEX(0,2*PI()*D81),COMPLEX(2*PI()*'Stability Calculations'!EA_Pole1,0)))</f>
        <v>1+3330.45326587153i</v>
      </c>
      <c r="X81" s="734">
        <f t="shared" si="83"/>
        <v>3330.4534160012417</v>
      </c>
      <c r="Y81" s="735">
        <f t="shared" si="84"/>
        <v>1.5704960673736954</v>
      </c>
      <c r="Z81" s="340" t="str">
        <f>IMSUM(COMPLEX(1,0),IMDIV(COMPLEX(0,2*PI()*D81),COMPLEX(2*PI()*'Stability Calculations'!EA_Zero1,0)))</f>
        <v>1+32.9747848106092i</v>
      </c>
      <c r="AA81" s="734">
        <f t="shared" si="85"/>
        <v>32.989944427142994</v>
      </c>
      <c r="AB81" s="735">
        <f t="shared" si="86"/>
        <v>1.5404794160015729</v>
      </c>
      <c r="AC81" s="733" t="str">
        <f>IMSUM(COMPLEX(1,0),IMDIV(COMPLEX(0,2*PI()*D81),COMPLEX(2*PI()*'Stability Calculations'!EA_Pole2,0)))</f>
        <v>1+0.332170048106092i</v>
      </c>
      <c r="AD81" s="734">
        <f t="shared" si="87"/>
        <v>1.0537252682074221</v>
      </c>
      <c r="AE81" s="735">
        <f t="shared" si="88"/>
        <v>0.32070323257472028</v>
      </c>
      <c r="AF81" s="732" t="str">
        <f t="shared" si="89"/>
        <v>52.9694869250772-19.3785962467178i</v>
      </c>
      <c r="AG81" s="337">
        <f t="shared" si="90"/>
        <v>56.402983410447625</v>
      </c>
      <c r="AH81" s="730">
        <f t="shared" si="91"/>
        <v>-0.35071988394684217</v>
      </c>
      <c r="AI81" s="731" t="str">
        <f t="shared" si="68"/>
        <v>10000</v>
      </c>
      <c r="AJ81" s="733" t="str">
        <f t="shared" si="92"/>
        <v>1+3104.89914281001i</v>
      </c>
      <c r="AK81" s="734">
        <f t="shared" si="93"/>
        <v>3104.8993038458325</v>
      </c>
      <c r="AL81" s="735">
        <f t="shared" si="94"/>
        <v>1.5704742551528148</v>
      </c>
      <c r="AM81" s="340" t="str">
        <f t="shared" si="95"/>
        <v>1+5.26937061273535i</v>
      </c>
      <c r="AN81" s="734">
        <f t="shared" si="96"/>
        <v>5.3634193062223758</v>
      </c>
      <c r="AO81" s="735">
        <f t="shared" si="97"/>
        <v>1.3832505986854116</v>
      </c>
      <c r="AP81" s="733" t="str">
        <f t="shared" si="98"/>
        <v>1+0.255573160383356i</v>
      </c>
      <c r="AQ81" s="734">
        <f t="shared" si="99"/>
        <v>1.0321422577863657</v>
      </c>
      <c r="AR81" s="735">
        <f t="shared" si="100"/>
        <v>0.25021707327340481</v>
      </c>
      <c r="AS81" s="732" t="str">
        <f t="shared" si="101"/>
        <v>9.93967873844826-445.751923782211i</v>
      </c>
      <c r="AT81" s="337">
        <f t="shared" si="102"/>
        <v>445.86273085891088</v>
      </c>
      <c r="AU81" s="730">
        <f t="shared" si="103"/>
        <v>-1.5485013432837327</v>
      </c>
      <c r="AV81" s="732" t="str">
        <f t="shared" si="104"/>
        <v>-217.325200728283-515.739908614342i</v>
      </c>
      <c r="AW81" s="337">
        <f t="shared" si="105"/>
        <v>54.958465682097355</v>
      </c>
      <c r="AX81" s="730">
        <f t="shared" si="106"/>
        <v>-112.84984100993933</v>
      </c>
      <c r="AY81" s="360">
        <f t="shared" si="107"/>
        <v>67.150158990060675</v>
      </c>
      <c r="BB81" s="337">
        <f t="shared" si="108"/>
        <v>12.984023434039615</v>
      </c>
      <c r="BC81" s="730">
        <f t="shared" si="109"/>
        <v>-88.722591540496552</v>
      </c>
      <c r="BD81" s="351"/>
      <c r="BE81" s="337">
        <f t="shared" si="69"/>
        <v>26.362746292698919</v>
      </c>
      <c r="BF81" s="730">
        <f t="shared" si="70"/>
        <v>21.477781399656422</v>
      </c>
      <c r="BI81" s="351"/>
      <c r="BJ81" s="351"/>
      <c r="BL81" s="405">
        <f t="shared" si="71"/>
        <v>0</v>
      </c>
      <c r="BM81" s="405">
        <f t="shared" si="72"/>
        <v>0</v>
      </c>
      <c r="BN81" s="405">
        <f t="shared" si="73"/>
        <v>0</v>
      </c>
      <c r="BO81" s="405">
        <f t="shared" si="74"/>
        <v>0</v>
      </c>
    </row>
    <row r="82" spans="4:67" ht="13.5" thickBot="1" x14ac:dyDescent="0.25">
      <c r="D82" s="345">
        <v>575.44000000000005</v>
      </c>
      <c r="E82" s="340" t="str">
        <f t="shared" si="60"/>
        <v>0.00954517384435143i</v>
      </c>
      <c r="F82" s="728" t="str">
        <f t="shared" si="75"/>
        <v>0.005-4.53409117846515i</v>
      </c>
      <c r="G82" s="337" t="str">
        <f t="shared" si="76"/>
        <v>0.005-7.09178363811219i</v>
      </c>
      <c r="H82" s="338" t="str">
        <f t="shared" si="77"/>
        <v>1.18174582423236-0.202715737248092i</v>
      </c>
      <c r="I82" s="338" t="str">
        <f t="shared" si="78"/>
        <v>1.19174582423236-0.202715737248092i</v>
      </c>
      <c r="J82" s="337" t="str">
        <f t="shared" si="79"/>
        <v>1.02671548732356-0.452180216992891i</v>
      </c>
      <c r="K82" s="338" t="str">
        <f t="shared" si="61"/>
        <v>0.999996320764516-0.00301299679430285i</v>
      </c>
      <c r="L82" s="732"/>
      <c r="M82" s="732" t="str">
        <f t="shared" si="62"/>
        <v>19.3832955963101+8.3564784875304i</v>
      </c>
      <c r="N82" s="337">
        <f t="shared" si="63"/>
        <v>0</v>
      </c>
      <c r="O82" s="730" t="str">
        <f t="shared" si="64"/>
        <v>19.3367306547299+3.13392554734051i</v>
      </c>
      <c r="P82" s="731" t="str">
        <f t="shared" si="65"/>
        <v>23.67976403989-0.185016926143207i</v>
      </c>
      <c r="Q82" s="729" t="str">
        <f t="shared" si="66"/>
        <v>23.4863967333427-0.216356181616612i</v>
      </c>
      <c r="R82" s="730"/>
      <c r="S82" s="405" t="str">
        <f t="shared" si="80"/>
        <v>23.5768344656632+4.04045528188586i</v>
      </c>
      <c r="T82" s="405" t="str">
        <f t="shared" si="81"/>
        <v>22.1341460071-1.69972517928234i</v>
      </c>
      <c r="U82" s="405" t="str">
        <f t="shared" si="82"/>
        <v>25.8123735740024-6.49558285914572i</v>
      </c>
      <c r="V82" s="731" t="str">
        <f t="shared" si="67"/>
        <v>6000</v>
      </c>
      <c r="W82" s="733" t="str">
        <f>IMSUM(COMPLEX(1,0),IMDIV(COMPLEX(0,2*PI()*D82),COMPLEX(2*PI()*'Stability Calculations'!EA_Pole1,0)))</f>
        <v>1+3651.75211469505i</v>
      </c>
      <c r="X82" s="734">
        <f t="shared" si="83"/>
        <v>3651.7522516156223</v>
      </c>
      <c r="Y82" s="735">
        <f t="shared" si="84"/>
        <v>1.5705224856513591</v>
      </c>
      <c r="Z82" s="340" t="str">
        <f>IMSUM(COMPLEX(1,0),IMDIV(COMPLEX(0,2*PI()*D82),COMPLEX(2*PI()*'Stability Calculations'!EA_Zero1,0)))</f>
        <v>1+36.1559615316342i</v>
      </c>
      <c r="AA82" s="734">
        <f t="shared" si="85"/>
        <v>36.169787866077009</v>
      </c>
      <c r="AB82" s="735">
        <f t="shared" si="86"/>
        <v>1.5431454198045957</v>
      </c>
      <c r="AC82" s="733" t="str">
        <f>IMSUM(COMPLEX(1,0),IMDIV(COMPLEX(0,2*PI()*D82),COMPLEX(2*PI()*'Stability Calculations'!EA_Pole2,0)))</f>
        <v>1+0.364215492239419i</v>
      </c>
      <c r="AD82" s="734">
        <f t="shared" si="87"/>
        <v>1.0642616805970242</v>
      </c>
      <c r="AE82" s="735">
        <f t="shared" si="88"/>
        <v>0.34928240156633122</v>
      </c>
      <c r="AF82" s="732" t="str">
        <f t="shared" si="89"/>
        <v>51.9257812130095-20.5389529536056i</v>
      </c>
      <c r="AG82" s="337">
        <f t="shared" si="90"/>
        <v>55.840266322894216</v>
      </c>
      <c r="AH82" s="730">
        <f t="shared" si="91"/>
        <v>-0.37665946741309464</v>
      </c>
      <c r="AI82" s="731" t="str">
        <f t="shared" si="68"/>
        <v>10000</v>
      </c>
      <c r="AJ82" s="733" t="str">
        <f t="shared" si="92"/>
        <v>1+3404.43810662638i</v>
      </c>
      <c r="AK82" s="734">
        <f t="shared" si="93"/>
        <v>3404.4382534934907</v>
      </c>
      <c r="AL82" s="735">
        <f t="shared" si="94"/>
        <v>1.5705025925750575</v>
      </c>
      <c r="AM82" s="340" t="str">
        <f t="shared" si="95"/>
        <v>1+5.77772265275514i</v>
      </c>
      <c r="AN82" s="734">
        <f t="shared" si="96"/>
        <v>5.8636233722980453</v>
      </c>
      <c r="AO82" s="735">
        <f t="shared" si="97"/>
        <v>1.3994155971133975</v>
      </c>
      <c r="AP82" s="733" t="str">
        <f t="shared" si="98"/>
        <v>1+0.280229072256623i</v>
      </c>
      <c r="AQ82" s="734">
        <f t="shared" si="99"/>
        <v>1.0385221870224091</v>
      </c>
      <c r="AR82" s="735">
        <f t="shared" si="100"/>
        <v>0.27322110908579073</v>
      </c>
      <c r="AS82" s="732" t="str">
        <f t="shared" si="101"/>
        <v>8.26823417021797-406.566500966405i</v>
      </c>
      <c r="AT82" s="337">
        <f t="shared" si="102"/>
        <v>406.65056670851862</v>
      </c>
      <c r="AU82" s="730">
        <f t="shared" si="103"/>
        <v>-1.5504623972479006</v>
      </c>
      <c r="AV82" s="732" t="str">
        <f t="shared" si="104"/>
        <v>-211.499160223614-457.575344410037i</v>
      </c>
      <c r="AW82" s="337">
        <f t="shared" si="105"/>
        <v>54.05016783743622</v>
      </c>
      <c r="AX82" s="730">
        <f t="shared" si="106"/>
        <v>-114.80718834150748</v>
      </c>
      <c r="AY82" s="360">
        <f t="shared" si="107"/>
        <v>65.192811658492516</v>
      </c>
      <c r="BB82" s="337">
        <f t="shared" si="108"/>
        <v>12.18442763739375</v>
      </c>
      <c r="BC82" s="730">
        <f t="shared" si="109"/>
        <v>-88.834951656040772</v>
      </c>
      <c r="BD82" s="351"/>
      <c r="BE82" s="337">
        <f t="shared" si="69"/>
        <v>26.488895086785732</v>
      </c>
      <c r="BF82" s="730">
        <f t="shared" si="70"/>
        <v>23.32172091149733</v>
      </c>
      <c r="BI82" s="351"/>
      <c r="BJ82" s="351"/>
      <c r="BL82" s="405">
        <f t="shared" si="71"/>
        <v>0</v>
      </c>
      <c r="BM82" s="405">
        <f t="shared" si="72"/>
        <v>0</v>
      </c>
      <c r="BN82" s="405">
        <f t="shared" si="73"/>
        <v>0</v>
      </c>
      <c r="BO82" s="405">
        <f t="shared" si="74"/>
        <v>0</v>
      </c>
    </row>
    <row r="83" spans="4:67" ht="13.5" thickBot="1" x14ac:dyDescent="0.25">
      <c r="D83" s="345">
        <v>630.96</v>
      </c>
      <c r="E83" s="340" t="str">
        <f t="shared" si="60"/>
        <v>0.0104661179077436i</v>
      </c>
      <c r="F83" s="728" t="str">
        <f t="shared" si="75"/>
        <v>0.005-4.13512334812982i</v>
      </c>
      <c r="G83" s="337" t="str">
        <f t="shared" si="76"/>
        <v>0.005-6.46775703169024i</v>
      </c>
      <c r="H83" s="338" t="str">
        <f t="shared" si="77"/>
        <v>1.17492556728281-0.220986048335984i</v>
      </c>
      <c r="I83" s="338" t="str">
        <f t="shared" si="78"/>
        <v>1.18492556728281-0.220986048335984i</v>
      </c>
      <c r="J83" s="337" t="str">
        <f t="shared" si="79"/>
        <v>0.993968834611556-0.479930295444696i</v>
      </c>
      <c r="K83" s="338" t="str">
        <f t="shared" si="61"/>
        <v>0.99999557654976-0.00330369883451503i</v>
      </c>
      <c r="L83" s="732"/>
      <c r="M83" s="732" t="str">
        <f t="shared" si="62"/>
        <v>19.4126399364641+9.16883781889872i</v>
      </c>
      <c r="N83" s="337">
        <f t="shared" si="63"/>
        <v>0</v>
      </c>
      <c r="O83" s="730" t="str">
        <f t="shared" si="64"/>
        <v>19.3565771102677+3.43849320069638i</v>
      </c>
      <c r="P83" s="731" t="str">
        <f t="shared" si="65"/>
        <v>23.6959621376895-0.203174978475602i</v>
      </c>
      <c r="Q83" s="729" t="str">
        <f t="shared" si="66"/>
        <v>23.5023963665869-0.23755991048256i</v>
      </c>
      <c r="R83" s="730"/>
      <c r="S83" s="405" t="str">
        <f t="shared" si="80"/>
        <v>23.7715501500442+4.3772134410029i</v>
      </c>
      <c r="T83" s="405" t="str">
        <f t="shared" si="81"/>
        <v>22.0572184060316-1.84276200239638i</v>
      </c>
      <c r="U83" s="405" t="str">
        <f t="shared" si="82"/>
        <v>25.5083651554544-7.03944572386549i</v>
      </c>
      <c r="V83" s="731" t="str">
        <f t="shared" si="67"/>
        <v>6000</v>
      </c>
      <c r="W83" s="733" t="str">
        <f>IMSUM(COMPLEX(1,0),IMDIV(COMPLEX(0,2*PI()*D83),COMPLEX(2*PI()*'Stability Calculations'!EA_Pole1,0)))</f>
        <v>1+4004.08298743221i</v>
      </c>
      <c r="X83" s="734">
        <f t="shared" si="83"/>
        <v>4004.0831123047446</v>
      </c>
      <c r="Y83" s="735">
        <f t="shared" si="84"/>
        <v>1.5705465817265882</v>
      </c>
      <c r="Z83" s="340" t="str">
        <f>IMSUM(COMPLEX(1,0),IMDIV(COMPLEX(0,2*PI()*D83),COMPLEX(2*PI()*'Stability Calculations'!EA_Zero1,0)))</f>
        <v>1+39.6443860141803i</v>
      </c>
      <c r="AA83" s="734">
        <f t="shared" si="85"/>
        <v>39.656996134873033</v>
      </c>
      <c r="AB83" s="735">
        <f t="shared" si="86"/>
        <v>1.5455774220820091</v>
      </c>
      <c r="AC83" s="733" t="str">
        <f>IMSUM(COMPLEX(1,0),IMDIV(COMPLEX(0,2*PI()*D83),COMPLEX(2*PI()*'Stability Calculations'!EA_Pole2,0)))</f>
        <v>1+0.399355983218726i</v>
      </c>
      <c r="AD83" s="734">
        <f t="shared" si="87"/>
        <v>1.0767939456240434</v>
      </c>
      <c r="AE83" s="735">
        <f t="shared" si="88"/>
        <v>0.37995106696866127</v>
      </c>
      <c r="AF83" s="732" t="str">
        <f t="shared" si="89"/>
        <v>50.7240738725774-21.7405964017097i</v>
      </c>
      <c r="AG83" s="337">
        <f t="shared" si="90"/>
        <v>55.186820909821591</v>
      </c>
      <c r="AH83" s="730">
        <f t="shared" si="91"/>
        <v>-0.40492022661323973</v>
      </c>
      <c r="AI83" s="731" t="str">
        <f t="shared" si="68"/>
        <v>10000</v>
      </c>
      <c r="AJ83" s="733" t="str">
        <f t="shared" si="92"/>
        <v>1+3732.90745821803i</v>
      </c>
      <c r="AK83" s="734">
        <f t="shared" si="93"/>
        <v>3732.9075921618783</v>
      </c>
      <c r="AL83" s="735">
        <f t="shared" si="94"/>
        <v>1.5705284390995087</v>
      </c>
      <c r="AM83" s="340" t="str">
        <f t="shared" si="95"/>
        <v>1+6.33517288506601i</v>
      </c>
      <c r="AN83" s="734">
        <f t="shared" si="96"/>
        <v>6.4136117347151282</v>
      </c>
      <c r="AO83" s="735">
        <f t="shared" si="97"/>
        <v>1.4142391829888556</v>
      </c>
      <c r="AP83" s="733" t="str">
        <f t="shared" si="98"/>
        <v>1+0.307266327386068i</v>
      </c>
      <c r="AQ83" s="734">
        <f t="shared" si="99"/>
        <v>1.0461417666575226</v>
      </c>
      <c r="AR83" s="735">
        <f t="shared" si="100"/>
        <v>0.29810974624047637</v>
      </c>
      <c r="AS83" s="732" t="str">
        <f t="shared" si="101"/>
        <v>6.87763960834139-370.817327319323i</v>
      </c>
      <c r="AT83" s="337">
        <f t="shared" si="102"/>
        <v>370.88110246658312</v>
      </c>
      <c r="AU83" s="730">
        <f t="shared" si="103"/>
        <v>-1.5522512086793312</v>
      </c>
      <c r="AV83" s="732" t="str">
        <f t="shared" si="104"/>
        <v>-205.062457558951-403.967275682984i</v>
      </c>
      <c r="AW83" s="337">
        <f t="shared" si="105"/>
        <v>53.122623685078878</v>
      </c>
      <c r="AX83" s="730">
        <f t="shared" si="106"/>
        <v>-116.91332703869611</v>
      </c>
      <c r="AY83" s="360">
        <f t="shared" si="107"/>
        <v>63.08667296130389</v>
      </c>
      <c r="BB83" s="337">
        <f t="shared" si="108"/>
        <v>11.384694105042444</v>
      </c>
      <c r="BC83" s="730">
        <f t="shared" si="109"/>
        <v>-88.937443001406493</v>
      </c>
      <c r="BD83" s="351"/>
      <c r="BE83" s="337">
        <f t="shared" si="69"/>
        <v>26.636238348121456</v>
      </c>
      <c r="BF83" s="730">
        <f t="shared" si="70"/>
        <v>25.281964327961948</v>
      </c>
      <c r="BI83" s="351"/>
      <c r="BJ83" s="351"/>
      <c r="BL83" s="405">
        <f t="shared" si="71"/>
        <v>0</v>
      </c>
      <c r="BM83" s="405">
        <f t="shared" si="72"/>
        <v>0</v>
      </c>
      <c r="BN83" s="405">
        <f t="shared" si="73"/>
        <v>0</v>
      </c>
      <c r="BO83" s="405">
        <f t="shared" si="74"/>
        <v>0</v>
      </c>
    </row>
    <row r="84" spans="4:67" ht="13.5" thickBot="1" x14ac:dyDescent="0.25">
      <c r="D84" s="345">
        <v>691.83</v>
      </c>
      <c r="E84" s="340" t="str">
        <f t="shared" si="60"/>
        <v>0.0114758056804144i</v>
      </c>
      <c r="F84" s="728" t="str">
        <f t="shared" si="75"/>
        <v>0.005-3.77129848045906i</v>
      </c>
      <c r="G84" s="337" t="str">
        <f t="shared" si="76"/>
        <v>0.005-5.89869762328212i</v>
      </c>
      <c r="H84" s="338" t="str">
        <f t="shared" si="77"/>
        <v>1.16683061296555-0.240628495105524i</v>
      </c>
      <c r="I84" s="338" t="str">
        <f t="shared" si="78"/>
        <v>1.17683061296555-0.240628495105524i</v>
      </c>
      <c r="J84" s="337" t="str">
        <f t="shared" si="79"/>
        <v>0.957276101904731-0.506723063394502i</v>
      </c>
      <c r="K84" s="338" t="str">
        <f t="shared" si="61"/>
        <v>0.99999468190279-0.00362241340922171i</v>
      </c>
      <c r="L84" s="732"/>
      <c r="M84" s="732" t="str">
        <f t="shared" si="62"/>
        <v>19.4479980446245+10.061431263629i</v>
      </c>
      <c r="N84" s="337">
        <f t="shared" si="63"/>
        <v>0</v>
      </c>
      <c r="O84" s="730" t="str">
        <f t="shared" si="64"/>
        <v>19.3804820313685+3.77311291045125i</v>
      </c>
      <c r="P84" s="731" t="str">
        <f t="shared" si="65"/>
        <v>23.7154630300483-0.223181446433124i</v>
      </c>
      <c r="Q84" s="729" t="str">
        <f t="shared" si="66"/>
        <v>23.5216582097346-0.260912575537638i</v>
      </c>
      <c r="R84" s="730"/>
      <c r="S84" s="405" t="str">
        <f t="shared" si="80"/>
        <v>23.999710697204+4.73129966622586i</v>
      </c>
      <c r="T84" s="405" t="str">
        <f t="shared" si="81"/>
        <v>21.9670762037581-1.99361089779129i</v>
      </c>
      <c r="U84" s="405" t="str">
        <f t="shared" si="82"/>
        <v>25.1521374017305-7.61211071466311i</v>
      </c>
      <c r="V84" s="731" t="str">
        <f t="shared" si="67"/>
        <v>6000</v>
      </c>
      <c r="W84" s="733" t="str">
        <f>IMSUM(COMPLEX(1,0),IMDIV(COMPLEX(0,2*PI()*D84),COMPLEX(2*PI()*'Stability Calculations'!EA_Pole1,0)))</f>
        <v>1+4390.36505197671i</v>
      </c>
      <c r="X84" s="734">
        <f t="shared" si="83"/>
        <v>4390.365165862454</v>
      </c>
      <c r="Y84" s="735">
        <f t="shared" si="84"/>
        <v>1.5705685553064515</v>
      </c>
      <c r="Z84" s="340" t="str">
        <f>IMSUM(COMPLEX(1,0),IMDIV(COMPLEX(0,2*PI()*D84),COMPLEX(2*PI()*'Stability Calculations'!EA_Zero1,0)))</f>
        <v>1+43.4689609106605i</v>
      </c>
      <c r="AA84" s="734">
        <f t="shared" si="85"/>
        <v>43.480461849577104</v>
      </c>
      <c r="AB84" s="735">
        <f t="shared" si="86"/>
        <v>1.5477954630462274</v>
      </c>
      <c r="AC84" s="733" t="str">
        <f>IMSUM(COMPLEX(1,0),IMDIV(COMPLEX(0,2*PI()*D84),COMPLEX(2*PI()*'Stability Calculations'!EA_Pole2,0)))</f>
        <v>1+0.437882670645067i</v>
      </c>
      <c r="AD84" s="734">
        <f t="shared" si="87"/>
        <v>1.091669012682533</v>
      </c>
      <c r="AE84" s="735">
        <f t="shared" si="88"/>
        <v>0.412731588868477</v>
      </c>
      <c r="AF84" s="732" t="str">
        <f t="shared" si="89"/>
        <v>49.351108299517-22.9630930058473i</v>
      </c>
      <c r="AG84" s="337">
        <f t="shared" si="90"/>
        <v>54.431934843305442</v>
      </c>
      <c r="AH84" s="730">
        <f t="shared" si="91"/>
        <v>-0.43550468112870128</v>
      </c>
      <c r="AI84" s="731" t="str">
        <f t="shared" si="68"/>
        <v>10000</v>
      </c>
      <c r="AJ84" s="733" t="str">
        <f t="shared" si="92"/>
        <v>1+4093.02866555563i</v>
      </c>
      <c r="AK84" s="734">
        <f t="shared" si="93"/>
        <v>4093.0287877145574</v>
      </c>
      <c r="AL84" s="735">
        <f t="shared" si="94"/>
        <v>1.5705520089408542</v>
      </c>
      <c r="AM84" s="340" t="str">
        <f t="shared" si="95"/>
        <v>1+6.94633995352355i</v>
      </c>
      <c r="AN84" s="734">
        <f t="shared" si="96"/>
        <v>7.0179511789351707</v>
      </c>
      <c r="AO84" s="735">
        <f t="shared" si="97"/>
        <v>1.427817948335119</v>
      </c>
      <c r="AP84" s="733" t="str">
        <f t="shared" si="98"/>
        <v>1+0.33690893761174i</v>
      </c>
      <c r="AQ84" s="734">
        <f t="shared" si="99"/>
        <v>1.0552287108691989</v>
      </c>
      <c r="AR84" s="735">
        <f t="shared" si="100"/>
        <v>0.32496513893791912</v>
      </c>
      <c r="AS84" s="732" t="str">
        <f t="shared" si="101"/>
        <v>5.72096662530452-338.210885464916i</v>
      </c>
      <c r="AT84" s="337">
        <f t="shared" si="102"/>
        <v>338.25926817470997</v>
      </c>
      <c r="AU84" s="730">
        <f t="shared" si="103"/>
        <v>-1.5538825569615258</v>
      </c>
      <c r="AV84" s="732" t="str">
        <f t="shared" si="104"/>
        <v>-197.939726584862-354.619862034005i</v>
      </c>
      <c r="AW84" s="337">
        <f t="shared" si="105"/>
        <v>52.173138304156907</v>
      </c>
      <c r="AX84" s="730">
        <f t="shared" si="106"/>
        <v>-119.16913623091298</v>
      </c>
      <c r="AY84" s="360">
        <f t="shared" si="107"/>
        <v>60.830863769087017</v>
      </c>
      <c r="BB84" s="337">
        <f t="shared" si="108"/>
        <v>10.584994098711174</v>
      </c>
      <c r="BC84" s="730">
        <f t="shared" si="109"/>
        <v>-89.030912372892161</v>
      </c>
      <c r="BD84" s="351"/>
      <c r="BE84" s="337">
        <f t="shared" si="69"/>
        <v>26.807496881157199</v>
      </c>
      <c r="BF84" s="730">
        <f t="shared" si="70"/>
        <v>27.354807498564252</v>
      </c>
      <c r="BI84" s="351"/>
      <c r="BJ84" s="351"/>
      <c r="BL84" s="405">
        <f t="shared" si="71"/>
        <v>0</v>
      </c>
      <c r="BM84" s="405">
        <f t="shared" si="72"/>
        <v>0</v>
      </c>
      <c r="BN84" s="405">
        <f t="shared" si="73"/>
        <v>0</v>
      </c>
      <c r="BO84" s="405">
        <f t="shared" si="74"/>
        <v>0</v>
      </c>
    </row>
    <row r="85" spans="4:67" ht="13.5" thickBot="1" x14ac:dyDescent="0.25">
      <c r="D85" s="345">
        <v>758.58</v>
      </c>
      <c r="E85" s="340" t="str">
        <f t="shared" si="60"/>
        <v>0.0125830285952456i</v>
      </c>
      <c r="F85" s="728" t="str">
        <f t="shared" si="75"/>
        <v>0.005-3.43944927065832i</v>
      </c>
      <c r="G85" s="337" t="str">
        <f t="shared" si="76"/>
        <v>0.005-5.37965142333738i</v>
      </c>
      <c r="H85" s="338" t="str">
        <f t="shared" si="77"/>
        <v>1.15724436343228-0.261668167672189i</v>
      </c>
      <c r="I85" s="338" t="str">
        <f t="shared" si="78"/>
        <v>1.16724436343228-0.261668167672189i</v>
      </c>
      <c r="J85" s="337" t="str">
        <f t="shared" si="79"/>
        <v>0.91660515220422-0.531905140164869i</v>
      </c>
      <c r="K85" s="338" t="str">
        <f t="shared" si="61"/>
        <v>0.99999360618204-0.00397191559193358i</v>
      </c>
      <c r="L85" s="732"/>
      <c r="M85" s="732" t="str">
        <f t="shared" si="62"/>
        <v>19.4906318043644+11.0428312999635i</v>
      </c>
      <c r="N85" s="337">
        <f t="shared" si="63"/>
        <v>0</v>
      </c>
      <c r="O85" s="730" t="str">
        <f t="shared" si="64"/>
        <v>19.4092930841065+4.14098635317788i</v>
      </c>
      <c r="P85" s="731" t="str">
        <f t="shared" si="65"/>
        <v>23.7389522620199-0.245251177333717i</v>
      </c>
      <c r="Q85" s="729" t="str">
        <f t="shared" si="66"/>
        <v>23.5448593311788-0.286661040865506i</v>
      </c>
      <c r="R85" s="730"/>
      <c r="S85" s="405" t="str">
        <f t="shared" si="80"/>
        <v>24.2658526169075+5.10057112579067i</v>
      </c>
      <c r="T85" s="405" t="str">
        <f t="shared" si="81"/>
        <v>21.8619263547146-2.15152185093906i</v>
      </c>
      <c r="U85" s="405" t="str">
        <f t="shared" si="82"/>
        <v>24.736606267323-8.21040674582301i</v>
      </c>
      <c r="V85" s="731" t="str">
        <f t="shared" si="67"/>
        <v>6000</v>
      </c>
      <c r="W85" s="733" t="str">
        <f>IMSUM(COMPLEX(1,0),IMDIV(COMPLEX(0,2*PI()*D85),COMPLEX(2*PI()*'Stability Calculations'!EA_Pole1,0)))</f>
        <v>1+4813.96169742349i</v>
      </c>
      <c r="X85" s="734">
        <f t="shared" si="83"/>
        <v>4813.9618012880446</v>
      </c>
      <c r="Y85" s="735">
        <f t="shared" si="84"/>
        <v>1.5705885976835181</v>
      </c>
      <c r="Z85" s="340" t="str">
        <f>IMSUM(COMPLEX(1,0),IMDIV(COMPLEX(0,2*PI()*D85),COMPLEX(2*PI()*'Stability Calculations'!EA_Zero1,0)))</f>
        <v>1+47.6629871032029i</v>
      </c>
      <c r="AA85" s="734">
        <f t="shared" si="85"/>
        <v>47.673476269306036</v>
      </c>
      <c r="AB85" s="735">
        <f t="shared" si="86"/>
        <v>1.5498187639014254</v>
      </c>
      <c r="AC85" s="733" t="str">
        <f>IMSUM(COMPLEX(1,0),IMDIV(COMPLEX(0,2*PI()*D85),COMPLEX(2*PI()*'Stability Calculations'!EA_Pole2,0)))</f>
        <v>1+0.480131009493568i</v>
      </c>
      <c r="AD85" s="734">
        <f t="shared" si="87"/>
        <v>1.109290668074564</v>
      </c>
      <c r="AE85" s="735">
        <f t="shared" si="88"/>
        <v>0.44762644687177194</v>
      </c>
      <c r="AF85" s="732" t="str">
        <f t="shared" si="89"/>
        <v>47.79558418492-24.1821763735614i</v>
      </c>
      <c r="AG85" s="337">
        <f t="shared" si="90"/>
        <v>53.564872087402641</v>
      </c>
      <c r="AH85" s="730">
        <f t="shared" si="91"/>
        <v>-0.46839628065386429</v>
      </c>
      <c r="AI85" s="731" t="str">
        <f t="shared" si="68"/>
        <v>10000</v>
      </c>
      <c r="AJ85" s="733" t="str">
        <f t="shared" si="92"/>
        <v>1+4487.93733304018i</v>
      </c>
      <c r="AK85" s="734">
        <f t="shared" si="93"/>
        <v>4487.9374444499344</v>
      </c>
      <c r="AL85" s="735">
        <f t="shared" si="94"/>
        <v>1.570573507288018</v>
      </c>
      <c r="AM85" s="340" t="str">
        <f t="shared" si="95"/>
        <v>1+7.61654533909182i</v>
      </c>
      <c r="AN85" s="734">
        <f t="shared" si="96"/>
        <v>7.6819114094371939</v>
      </c>
      <c r="AO85" s="735">
        <f t="shared" si="97"/>
        <v>1.4402499043040939</v>
      </c>
      <c r="AP85" s="733" t="str">
        <f t="shared" si="98"/>
        <v>1+0.369415003531957i</v>
      </c>
      <c r="AQ85" s="734">
        <f t="shared" si="99"/>
        <v>1.0660522711548979</v>
      </c>
      <c r="AR85" s="735">
        <f t="shared" si="100"/>
        <v>0.35386526716448075</v>
      </c>
      <c r="AS85" s="732" t="str">
        <f t="shared" si="101"/>
        <v>4.75867801097444-308.465419784903i</v>
      </c>
      <c r="AT85" s="337">
        <f t="shared" si="102"/>
        <v>308.50212352508782</v>
      </c>
      <c r="AU85" s="730">
        <f t="shared" si="103"/>
        <v>-1.5553706088605257</v>
      </c>
      <c r="AV85" s="732" t="str">
        <f t="shared" si="104"/>
        <v>-190.071819340704-309.272738026544i</v>
      </c>
      <c r="AW85" s="337">
        <f t="shared" si="105"/>
        <v>51.198393625045611</v>
      </c>
      <c r="AX85" s="730">
        <f t="shared" si="106"/>
        <v>-121.57391496625071</v>
      </c>
      <c r="AY85" s="360">
        <f t="shared" si="107"/>
        <v>58.426085033749288</v>
      </c>
      <c r="BB85" s="337">
        <f t="shared" si="108"/>
        <v>9.7851631555248435</v>
      </c>
      <c r="BC85" s="730">
        <f t="shared" si="109"/>
        <v>-89.116171466401283</v>
      </c>
      <c r="BD85" s="351"/>
      <c r="BE85" s="337">
        <f t="shared" si="69"/>
        <v>27.005556262485669</v>
      </c>
      <c r="BF85" s="730">
        <f t="shared" si="70"/>
        <v>29.534643205200464</v>
      </c>
      <c r="BI85" s="351"/>
      <c r="BJ85" s="351"/>
      <c r="BL85" s="405">
        <f t="shared" si="71"/>
        <v>0</v>
      </c>
      <c r="BM85" s="405">
        <f t="shared" si="72"/>
        <v>0</v>
      </c>
      <c r="BN85" s="405">
        <f t="shared" si="73"/>
        <v>0</v>
      </c>
      <c r="BO85" s="405">
        <f t="shared" si="74"/>
        <v>0</v>
      </c>
    </row>
    <row r="86" spans="4:67" ht="13.5" thickBot="1" x14ac:dyDescent="0.25">
      <c r="D86" s="345">
        <v>831.76</v>
      </c>
      <c r="E86" s="340" t="str">
        <f t="shared" si="60"/>
        <v>0.0137969098373032i</v>
      </c>
      <c r="F86" s="728" t="str">
        <f t="shared" si="75"/>
        <v>0.005-3.13683926581705i</v>
      </c>
      <c r="G86" s="337" t="str">
        <f t="shared" si="76"/>
        <v>0.005-4.90633833884205i</v>
      </c>
      <c r="H86" s="338" t="str">
        <f t="shared" si="77"/>
        <v>1.14592805835565-0.284093489216397i</v>
      </c>
      <c r="I86" s="338" t="str">
        <f t="shared" si="78"/>
        <v>1.15592805835565-0.284093489216397i</v>
      </c>
      <c r="J86" s="337" t="str">
        <f t="shared" si="79"/>
        <v>0.872084458295552-0.554761939106818i</v>
      </c>
      <c r="K86" s="338" t="str">
        <f t="shared" si="61"/>
        <v>0.999992313058916-0.00435508517591641i</v>
      </c>
      <c r="L86" s="732"/>
      <c r="M86" s="732" t="str">
        <f t="shared" si="62"/>
        <v>19.5420548959521+12.1221840364371i</v>
      </c>
      <c r="N86" s="337">
        <f t="shared" si="63"/>
        <v>0</v>
      </c>
      <c r="O86" s="730" t="str">
        <f t="shared" si="64"/>
        <v>19.4440252445361+4.54552596826085i</v>
      </c>
      <c r="P86" s="731" t="str">
        <f t="shared" si="65"/>
        <v>23.7672486801819-0.269619969435089i</v>
      </c>
      <c r="Q86" s="729" t="str">
        <f t="shared" si="66"/>
        <v>23.5728084277365-0.315075229117693i</v>
      </c>
      <c r="R86" s="730"/>
      <c r="S86" s="405" t="str">
        <f t="shared" si="80"/>
        <v>24.5745093208799+5.48171012572845i</v>
      </c>
      <c r="T86" s="405" t="str">
        <f t="shared" si="81"/>
        <v>21.7399767044641-2.31528457253083i</v>
      </c>
      <c r="U86" s="405" t="str">
        <f t="shared" si="82"/>
        <v>24.2546920209045-8.82933539219552i</v>
      </c>
      <c r="V86" s="731" t="str">
        <f t="shared" si="67"/>
        <v>6000</v>
      </c>
      <c r="W86" s="733" t="str">
        <f>IMSUM(COMPLEX(1,0),IMDIV(COMPLEX(0,2*PI()*D86),COMPLEX(2*PI()*'Stability Calculations'!EA_Pole1,0)))</f>
        <v>1+5278.36323321069i</v>
      </c>
      <c r="X86" s="734">
        <f t="shared" si="83"/>
        <v>5278.3633279370233</v>
      </c>
      <c r="Y86" s="735">
        <f t="shared" si="84"/>
        <v>1.5706068741286336</v>
      </c>
      <c r="Z86" s="340" t="str">
        <f>IMSUM(COMPLEX(1,0),IMDIV(COMPLEX(0,2*PI()*D86),COMPLEX(2*PI()*'Stability Calculations'!EA_Zero1,0)))</f>
        <v>1+52.2610221109969i</v>
      </c>
      <c r="AA86" s="734">
        <f t="shared" si="85"/>
        <v>52.270588595175646</v>
      </c>
      <c r="AB86" s="735">
        <f t="shared" si="86"/>
        <v>1.5516639420732528</v>
      </c>
      <c r="AC86" s="733" t="str">
        <f>IMSUM(COMPLEX(1,0),IMDIV(COMPLEX(0,2*PI()*D86),COMPLEX(2*PI()*'Stability Calculations'!EA_Pole2,0)))</f>
        <v>1+0.526449113417661i</v>
      </c>
      <c r="AD86" s="734">
        <f t="shared" si="87"/>
        <v>1.1301100251826108</v>
      </c>
      <c r="AE86" s="735">
        <f t="shared" si="88"/>
        <v>0.48458232664883993</v>
      </c>
      <c r="AF86" s="732" t="str">
        <f t="shared" si="89"/>
        <v>46.0507512625363-25.3688385311893i</v>
      </c>
      <c r="AG86" s="337">
        <f t="shared" si="90"/>
        <v>52.576132039791055</v>
      </c>
      <c r="AH86" s="730">
        <f t="shared" si="91"/>
        <v>-0.50352525870422138</v>
      </c>
      <c r="AI86" s="731" t="str">
        <f t="shared" si="68"/>
        <v>10000</v>
      </c>
      <c r="AJ86" s="733" t="str">
        <f t="shared" si="92"/>
        <v>1+4920.88738976706i</v>
      </c>
      <c r="AK86" s="734">
        <f t="shared" si="93"/>
        <v>4920.8874913747495</v>
      </c>
      <c r="AL86" s="735">
        <f t="shared" si="94"/>
        <v>1.5705931114178664</v>
      </c>
      <c r="AM86" s="340" t="str">
        <f t="shared" si="95"/>
        <v>1+8.3513113333373i</v>
      </c>
      <c r="AN86" s="734">
        <f t="shared" si="96"/>
        <v>8.4109690872293683</v>
      </c>
      <c r="AO86" s="735">
        <f t="shared" si="97"/>
        <v>1.4516220673646396</v>
      </c>
      <c r="AP86" s="733" t="str">
        <f t="shared" si="98"/>
        <v>1+0.405052365390256i</v>
      </c>
      <c r="AQ86" s="734">
        <f t="shared" si="99"/>
        <v>1.0789195608145408</v>
      </c>
      <c r="AR86" s="735">
        <f t="shared" si="100"/>
        <v>0.38485426220868246</v>
      </c>
      <c r="AS86" s="732" t="str">
        <f t="shared" si="101"/>
        <v>3.95831560098066-281.33724203741i</v>
      </c>
      <c r="AT86" s="337">
        <f t="shared" si="102"/>
        <v>281.3650867105107</v>
      </c>
      <c r="AU86" s="730">
        <f t="shared" si="103"/>
        <v>-1.5567276083631147</v>
      </c>
      <c r="AV86" s="732" t="str">
        <f t="shared" si="104"/>
        <v>-181.428544196368-267.739075434624i</v>
      </c>
      <c r="AW86" s="337">
        <f t="shared" si="105"/>
        <v>50.195338815899298</v>
      </c>
      <c r="AX86" s="730">
        <f t="shared" si="106"/>
        <v>-124.12282033456755</v>
      </c>
      <c r="AY86" s="360">
        <f t="shared" si="107"/>
        <v>55.87717966543245</v>
      </c>
      <c r="BB86" s="337">
        <f t="shared" si="108"/>
        <v>8.9854041370518178</v>
      </c>
      <c r="BC86" s="730">
        <f t="shared" si="109"/>
        <v>-89.193921810700985</v>
      </c>
      <c r="BD86" s="351"/>
      <c r="BE86" s="337">
        <f t="shared" si="69"/>
        <v>27.233236850510817</v>
      </c>
      <c r="BF86" s="730">
        <f t="shared" si="70"/>
        <v>31.811850947301394</v>
      </c>
      <c r="BI86" s="351"/>
      <c r="BJ86" s="351"/>
      <c r="BL86" s="405">
        <f t="shared" si="71"/>
        <v>0</v>
      </c>
      <c r="BM86" s="405">
        <f t="shared" si="72"/>
        <v>0</v>
      </c>
      <c r="BN86" s="405">
        <f t="shared" si="73"/>
        <v>0</v>
      </c>
      <c r="BO86" s="405">
        <f t="shared" si="74"/>
        <v>0</v>
      </c>
    </row>
    <row r="87" spans="4:67" ht="13.5" thickBot="1" x14ac:dyDescent="0.25">
      <c r="D87" s="345">
        <v>912.01</v>
      </c>
      <c r="E87" s="340" t="str">
        <f t="shared" si="60"/>
        <v>0.0151280654764823i</v>
      </c>
      <c r="F87" s="728" t="str">
        <f t="shared" si="75"/>
        <v>0.005-2.86082107404084i</v>
      </c>
      <c r="G87" s="337" t="str">
        <f t="shared" si="76"/>
        <v>0.005-4.47461757734594i</v>
      </c>
      <c r="H87" s="338" t="str">
        <f t="shared" si="77"/>
        <v>1.13261211885591-0.307867904848472i</v>
      </c>
      <c r="I87" s="338" t="str">
        <f t="shared" si="78"/>
        <v>1.14261211885591-0.307867904848472i</v>
      </c>
      <c r="J87" s="337" t="str">
        <f t="shared" si="79"/>
        <v>0.82398611130702-0.574577810839641i</v>
      </c>
      <c r="K87" s="338" t="str">
        <f t="shared" si="61"/>
        <v>0.999990758197332-0.00477527319333404i</v>
      </c>
      <c r="L87" s="732"/>
      <c r="M87" s="732" t="str">
        <f t="shared" si="62"/>
        <v>19.6041378572643+13.310333489619i</v>
      </c>
      <c r="N87" s="337">
        <f t="shared" si="63"/>
        <v>0</v>
      </c>
      <c r="O87" s="730" t="str">
        <f t="shared" si="64"/>
        <v>19.4859303688042+4.99077489328761i</v>
      </c>
      <c r="P87" s="731" t="str">
        <f t="shared" si="65"/>
        <v>23.8013595965448-0.296572681114636i</v>
      </c>
      <c r="Q87" s="729" t="str">
        <f t="shared" si="66"/>
        <v>23.6065002928568-0.346480430047515i</v>
      </c>
      <c r="R87" s="730"/>
      <c r="S87" s="405" t="str">
        <f t="shared" si="80"/>
        <v>24.9302744802383+5.8704221726897i</v>
      </c>
      <c r="T87" s="405" t="str">
        <f t="shared" si="81"/>
        <v>21.5994108372833-2.48331939546296i</v>
      </c>
      <c r="U87" s="405" t="str">
        <f t="shared" si="82"/>
        <v>23.699220135104-9.46240300272694i</v>
      </c>
      <c r="V87" s="731" t="str">
        <f t="shared" si="67"/>
        <v>6000</v>
      </c>
      <c r="W87" s="733" t="str">
        <f>IMSUM(COMPLEX(1,0),IMDIV(COMPLEX(0,2*PI()*D87),COMPLEX(2*PI()*'Stability Calculations'!EA_Pole1,0)))</f>
        <v>1+5787.63111032086i</v>
      </c>
      <c r="X87" s="734">
        <f t="shared" si="83"/>
        <v>5787.6311967119909</v>
      </c>
      <c r="Y87" s="735">
        <f t="shared" si="84"/>
        <v>1.5706235445337284</v>
      </c>
      <c r="Z87" s="340" t="str">
        <f>IMSUM(COMPLEX(1,0),IMDIV(COMPLEX(0,2*PI()*D87),COMPLEX(2*PI()*'Stability Calculations'!EA_Zero1,0)))</f>
        <v>1+57.3032783200085i</v>
      </c>
      <c r="AA87" s="734">
        <f t="shared" si="85"/>
        <v>57.312003160074205</v>
      </c>
      <c r="AB87" s="735">
        <f t="shared" si="86"/>
        <v>1.5533470894162913</v>
      </c>
      <c r="AC87" s="733" t="str">
        <f>IMSUM(COMPLEX(1,0),IMDIV(COMPLEX(0,2*PI()*D87),COMPLEX(2*PI()*'Stability Calculations'!EA_Pole2,0)))</f>
        <v>1+0.577242060123162i</v>
      </c>
      <c r="AD87" s="734">
        <f t="shared" si="87"/>
        <v>1.1546464376488728</v>
      </c>
      <c r="AE87" s="735">
        <f t="shared" si="88"/>
        <v>0.5235176149957762</v>
      </c>
      <c r="AF87" s="732" t="str">
        <f t="shared" si="89"/>
        <v>44.1143485019464-26.4910866640928i</v>
      </c>
      <c r="AG87" s="337">
        <f t="shared" si="90"/>
        <v>51.457297017970696</v>
      </c>
      <c r="AH87" s="730">
        <f t="shared" si="91"/>
        <v>-0.5407940701132129</v>
      </c>
      <c r="AI87" s="731" t="str">
        <f t="shared" si="68"/>
        <v>10000</v>
      </c>
      <c r="AJ87" s="733" t="str">
        <f t="shared" si="92"/>
        <v>1+5395.66522595636i</v>
      </c>
      <c r="AK87" s="734">
        <f t="shared" si="93"/>
        <v>5395.6653186233389</v>
      </c>
      <c r="AL87" s="735">
        <f t="shared" si="94"/>
        <v>1.5706109928376044</v>
      </c>
      <c r="AM87" s="340" t="str">
        <f t="shared" si="95"/>
        <v>1+9.15706387553736i</v>
      </c>
      <c r="AN87" s="734">
        <f t="shared" si="96"/>
        <v>9.2115046990527727</v>
      </c>
      <c r="AO87" s="735">
        <f t="shared" si="97"/>
        <v>1.4620220568089819</v>
      </c>
      <c r="AP87" s="733" t="str">
        <f t="shared" si="98"/>
        <v>1+0.444132691833663i</v>
      </c>
      <c r="AQ87" s="734">
        <f t="shared" si="99"/>
        <v>1.0941909558918022</v>
      </c>
      <c r="AR87" s="735">
        <f t="shared" si="100"/>
        <v>0.41796396996125823</v>
      </c>
      <c r="AS87" s="732" t="str">
        <f t="shared" si="101"/>
        <v>3.29246934923953-256.590230972216i</v>
      </c>
      <c r="AT87" s="337">
        <f t="shared" si="102"/>
        <v>256.61135396702696</v>
      </c>
      <c r="AU87" s="730">
        <f t="shared" si="103"/>
        <v>-1.5579654070350397</v>
      </c>
      <c r="AV87" s="732" t="str">
        <f t="shared" si="104"/>
        <v>-172.007695241746-229.855059013714i</v>
      </c>
      <c r="AW87" s="337">
        <f t="shared" si="105"/>
        <v>49.160325858264258</v>
      </c>
      <c r="AX87" s="730">
        <f t="shared" si="106"/>
        <v>-126.80865218645705</v>
      </c>
      <c r="AY87" s="360">
        <f t="shared" si="107"/>
        <v>53.191347813542947</v>
      </c>
      <c r="BB87" s="337">
        <f t="shared" si="108"/>
        <v>8.1855173631584535</v>
      </c>
      <c r="BC87" s="730">
        <f t="shared" si="109"/>
        <v>-89.264842450489198</v>
      </c>
      <c r="BD87" s="351"/>
      <c r="BE87" s="337">
        <f t="shared" si="69"/>
        <v>27.493398592908918</v>
      </c>
      <c r="BF87" s="730">
        <f t="shared" si="70"/>
        <v>34.174752031679766</v>
      </c>
      <c r="BI87" s="351"/>
      <c r="BJ87" s="351"/>
      <c r="BL87" s="405">
        <f t="shared" si="71"/>
        <v>0</v>
      </c>
      <c r="BM87" s="405">
        <f t="shared" si="72"/>
        <v>0</v>
      </c>
      <c r="BN87" s="405">
        <f t="shared" si="73"/>
        <v>0</v>
      </c>
      <c r="BO87" s="405">
        <f t="shared" si="74"/>
        <v>0</v>
      </c>
    </row>
    <row r="88" spans="4:67" ht="13.5" thickBot="1" x14ac:dyDescent="0.25">
      <c r="D88" s="345">
        <v>1000</v>
      </c>
      <c r="E88" s="340" t="str">
        <f t="shared" si="60"/>
        <v>0.0165876092109541i</v>
      </c>
      <c r="F88" s="728" t="str">
        <f t="shared" si="75"/>
        <v>0.005-2.60909742773599i</v>
      </c>
      <c r="G88" s="337" t="str">
        <f t="shared" si="76"/>
        <v>0.005-4.08089597671526i</v>
      </c>
      <c r="H88" s="338" t="str">
        <f t="shared" si="77"/>
        <v>1.11700900443241-0.332899770418002i</v>
      </c>
      <c r="I88" s="338" t="str">
        <f t="shared" si="78"/>
        <v>1.12700900443241-0.332899770418002i</v>
      </c>
      <c r="J88" s="337" t="str">
        <f t="shared" si="79"/>
        <v>0.77277679220007-0.590661057715006i</v>
      </c>
      <c r="K88" s="338" t="str">
        <f t="shared" si="61"/>
        <v>0.999988888888889-0.00523598775598299i</v>
      </c>
      <c r="L88" s="732"/>
      <c r="M88" s="732" t="str">
        <f t="shared" si="62"/>
        <v>19.6791416979407+14.61906316567i</v>
      </c>
      <c r="N88" s="337">
        <f t="shared" si="63"/>
        <v>0</v>
      </c>
      <c r="O88" s="730" t="str">
        <f t="shared" si="64"/>
        <v>19.5365178079796+5.48112069793283i</v>
      </c>
      <c r="P88" s="731" t="str">
        <f t="shared" si="65"/>
        <v>23.8424953068224-0.326429912092367i</v>
      </c>
      <c r="Q88" s="729" t="str">
        <f t="shared" si="66"/>
        <v>23.6471301287426-0.38124111907169i</v>
      </c>
      <c r="R88" s="730"/>
      <c r="S88" s="405" t="str">
        <f t="shared" si="80"/>
        <v>25.3372590757366+6.26096633805282i</v>
      </c>
      <c r="T88" s="405" t="str">
        <f t="shared" si="81"/>
        <v>21.4386024403713-2.65348095732768i</v>
      </c>
      <c r="U88" s="405" t="str">
        <f t="shared" si="82"/>
        <v>23.0637687668385-10.1008679529073i</v>
      </c>
      <c r="V88" s="731" t="str">
        <f t="shared" si="67"/>
        <v>6000</v>
      </c>
      <c r="W88" s="733" t="str">
        <f>IMSUM(COMPLEX(1,0),IMDIV(COMPLEX(0,2*PI()*D88),COMPLEX(2*PI()*'Stability Calculations'!EA_Pole1,0)))</f>
        <v>1+6346.01716025139i</v>
      </c>
      <c r="X88" s="734">
        <f t="shared" si="83"/>
        <v>6346.0172390409662</v>
      </c>
      <c r="Y88" s="735">
        <f t="shared" si="84"/>
        <v>1.5706387476446249</v>
      </c>
      <c r="Z88" s="340" t="str">
        <f>IMSUM(COMPLEX(1,0),IMDIV(COMPLEX(0,2*PI()*D88),COMPLEX(2*PI()*'Stability Calculations'!EA_Zero1,0)))</f>
        <v>1+62.8318530717959i</v>
      </c>
      <c r="AA88" s="734">
        <f t="shared" si="85"/>
        <v>62.839810315084087</v>
      </c>
      <c r="AB88" s="735">
        <f t="shared" si="86"/>
        <v>1.5548821760954434</v>
      </c>
      <c r="AC88" s="733" t="str">
        <f>IMSUM(COMPLEX(1,0),IMDIV(COMPLEX(0,2*PI()*D88),COMPLEX(2*PI()*'Stability Calculations'!EA_Pole2,0)))</f>
        <v>1+0.632933915333344i</v>
      </c>
      <c r="AD88" s="734">
        <f t="shared" si="87"/>
        <v>1.1834717323109989</v>
      </c>
      <c r="AE88" s="735">
        <f t="shared" si="88"/>
        <v>0.56428426987437508</v>
      </c>
      <c r="AF88" s="732" t="str">
        <f t="shared" si="89"/>
        <v>41.9915505366568-27.5139902405788i</v>
      </c>
      <c r="AG88" s="337">
        <f t="shared" si="90"/>
        <v>50.202688926304212</v>
      </c>
      <c r="AH88" s="730">
        <f t="shared" si="91"/>
        <v>-0.58004084142355683</v>
      </c>
      <c r="AI88" s="731" t="str">
        <f t="shared" si="68"/>
        <v>10000</v>
      </c>
      <c r="AJ88" s="733" t="str">
        <f t="shared" si="92"/>
        <v>1+5916.23471886971i</v>
      </c>
      <c r="AK88" s="734">
        <f t="shared" si="93"/>
        <v>5916.234803382923</v>
      </c>
      <c r="AL88" s="735">
        <f t="shared" si="94"/>
        <v>1.5706273003721809</v>
      </c>
      <c r="AM88" s="340" t="str">
        <f t="shared" si="95"/>
        <v>1+10.040530120873i</v>
      </c>
      <c r="AN88" s="734">
        <f t="shared" si="96"/>
        <v>10.090205404656437</v>
      </c>
      <c r="AO88" s="735">
        <f t="shared" si="97"/>
        <v>1.4715273587209365</v>
      </c>
      <c r="AP88" s="733" t="str">
        <f t="shared" si="98"/>
        <v>1+0.486982260977032i</v>
      </c>
      <c r="AQ88" s="734">
        <f t="shared" si="99"/>
        <v>1.1122732229566179</v>
      </c>
      <c r="AR88" s="735">
        <f t="shared" si="100"/>
        <v>0.45317928865589269</v>
      </c>
      <c r="AS88" s="732" t="str">
        <f t="shared" si="101"/>
        <v>2.73862753009279-234.019337921265i</v>
      </c>
      <c r="AT88" s="337">
        <f t="shared" si="102"/>
        <v>234.03536186195407</v>
      </c>
      <c r="AU88" s="730">
        <f t="shared" si="103"/>
        <v>-1.5590942916288064</v>
      </c>
      <c r="AV88" s="732" t="str">
        <f t="shared" si="104"/>
        <v>-161.848835285136-195.508916345445i</v>
      </c>
      <c r="AW88" s="337">
        <f t="shared" si="105"/>
        <v>48.090125081395684</v>
      </c>
      <c r="AX88" s="730">
        <f t="shared" si="106"/>
        <v>-129.61909736897493</v>
      </c>
      <c r="AY88" s="360">
        <f t="shared" si="107"/>
        <v>50.380902631025066</v>
      </c>
      <c r="BB88" s="337">
        <f t="shared" si="108"/>
        <v>7.3856296525815495</v>
      </c>
      <c r="BC88" s="730">
        <f t="shared" si="109"/>
        <v>-89.32952277326936</v>
      </c>
      <c r="BD88" s="351"/>
      <c r="BE88" s="337">
        <f t="shared" si="69"/>
        <v>27.788640848042707</v>
      </c>
      <c r="BF88" s="730">
        <f t="shared" si="70"/>
        <v>36.607585482004211</v>
      </c>
      <c r="BI88" s="351"/>
      <c r="BJ88" s="351"/>
      <c r="BL88" s="405">
        <f t="shared" si="71"/>
        <v>0</v>
      </c>
      <c r="BM88" s="405">
        <f t="shared" si="72"/>
        <v>0</v>
      </c>
      <c r="BN88" s="405">
        <f t="shared" si="73"/>
        <v>0</v>
      </c>
      <c r="BO88" s="405">
        <f t="shared" si="74"/>
        <v>0</v>
      </c>
    </row>
    <row r="89" spans="4:67" ht="13.5" thickBot="1" x14ac:dyDescent="0.25">
      <c r="D89" s="345">
        <v>1096.5</v>
      </c>
      <c r="E89" s="340" t="str">
        <f t="shared" si="60"/>
        <v>0.0181883134998112i</v>
      </c>
      <c r="F89" s="728" t="str">
        <f t="shared" si="75"/>
        <v>0.005-2.37947781827268i</v>
      </c>
      <c r="G89" s="337" t="str">
        <f t="shared" si="76"/>
        <v>0.005-3.72174735678547i</v>
      </c>
      <c r="H89" s="338" t="str">
        <f t="shared" si="77"/>
        <v>1.09880815478397-0.359050154221628i</v>
      </c>
      <c r="I89" s="338" t="str">
        <f t="shared" si="78"/>
        <v>1.10880815478397-0.359050154221628i</v>
      </c>
      <c r="J89" s="337" t="str">
        <f t="shared" si="79"/>
        <v>0.719075735919535-0.602411321698383i</v>
      </c>
      <c r="K89" s="338" t="str">
        <f t="shared" si="61"/>
        <v>0.999986640975-0.00574126057443535i</v>
      </c>
      <c r="L89" s="732"/>
      <c r="M89" s="732" t="str">
        <f t="shared" si="62"/>
        <v>19.769868942877+16.0623029377139i</v>
      </c>
      <c r="N89" s="337">
        <f t="shared" si="63"/>
        <v>0</v>
      </c>
      <c r="O89" s="730" t="str">
        <f t="shared" si="64"/>
        <v>19.597653273875+6.02174490454075i</v>
      </c>
      <c r="P89" s="731" t="str">
        <f t="shared" si="65"/>
        <v>23.89214620136-0.359580574183208i</v>
      </c>
      <c r="Q89" s="729" t="str">
        <f t="shared" si="66"/>
        <v>23.6961696686212-0.419798023228623i</v>
      </c>
      <c r="R89" s="730"/>
      <c r="S89" s="405" t="str">
        <f t="shared" si="80"/>
        <v>25.7990326368852+6.64639434392977i</v>
      </c>
      <c r="T89" s="405" t="str">
        <f t="shared" si="81"/>
        <v>21.256138326026-2.82316529476368i</v>
      </c>
      <c r="U89" s="405" t="str">
        <f t="shared" si="82"/>
        <v>22.3427601973753-10.7341367923053i</v>
      </c>
      <c r="V89" s="731" t="str">
        <f t="shared" si="67"/>
        <v>6000</v>
      </c>
      <c r="W89" s="733" t="str">
        <f>IMSUM(COMPLEX(1,0),IMDIV(COMPLEX(0,2*PI()*D89),COMPLEX(2*PI()*'Stability Calculations'!EA_Pole1,0)))</f>
        <v>1+6958.40781621564i</v>
      </c>
      <c r="X89" s="734">
        <f t="shared" si="83"/>
        <v>6958.4078880711586</v>
      </c>
      <c r="Y89" s="735">
        <f t="shared" si="84"/>
        <v>1.5706526157593368</v>
      </c>
      <c r="Z89" s="340" t="str">
        <f>IMSUM(COMPLEX(1,0),IMDIV(COMPLEX(0,2*PI()*D89),COMPLEX(2*PI()*'Stability Calculations'!EA_Zero1,0)))</f>
        <v>1+68.8951268932242i</v>
      </c>
      <c r="AA89" s="734">
        <f t="shared" si="85"/>
        <v>68.90238391836283</v>
      </c>
      <c r="AB89" s="735">
        <f t="shared" si="86"/>
        <v>1.5562825313009074</v>
      </c>
      <c r="AC89" s="733" t="str">
        <f>IMSUM(COMPLEX(1,0),IMDIV(COMPLEX(0,2*PI()*D89),COMPLEX(2*PI()*'Stability Calculations'!EA_Pole2,0)))</f>
        <v>1+0.694012038163011i</v>
      </c>
      <c r="AD89" s="734">
        <f t="shared" si="87"/>
        <v>1.2172315757961494</v>
      </c>
      <c r="AE89" s="735">
        <f t="shared" si="88"/>
        <v>0.60669588264290208</v>
      </c>
      <c r="AF89" s="732" t="str">
        <f t="shared" si="89"/>
        <v>39.6945686259646-28.4022373884701i</v>
      </c>
      <c r="AG89" s="337">
        <f t="shared" si="90"/>
        <v>48.809280542458538</v>
      </c>
      <c r="AH89" s="730">
        <f t="shared" si="91"/>
        <v>-0.62106596710133044</v>
      </c>
      <c r="AI89" s="731" t="str">
        <f t="shared" si="68"/>
        <v>10000</v>
      </c>
      <c r="AJ89" s="733" t="str">
        <f t="shared" si="92"/>
        <v>1+6487.15136924064i</v>
      </c>
      <c r="AK89" s="734">
        <f t="shared" si="93"/>
        <v>6487.151446316072</v>
      </c>
      <c r="AL89" s="735">
        <f t="shared" si="94"/>
        <v>1.5706421759303399</v>
      </c>
      <c r="AM89" s="340" t="str">
        <f t="shared" si="95"/>
        <v>1+11.0094412775372i</v>
      </c>
      <c r="AN89" s="734">
        <f t="shared" si="96"/>
        <v>11.054763554393189</v>
      </c>
      <c r="AO89" s="735">
        <f t="shared" si="97"/>
        <v>1.480213761293713</v>
      </c>
      <c r="AP89" s="733" t="str">
        <f t="shared" si="98"/>
        <v>1+0.533976049161316i</v>
      </c>
      <c r="AQ89" s="734">
        <f t="shared" si="99"/>
        <v>1.1336359296872731</v>
      </c>
      <c r="AR89" s="735">
        <f t="shared" si="100"/>
        <v>0.49045757700439974</v>
      </c>
      <c r="AS89" s="732" t="str">
        <f t="shared" si="101"/>
        <v>2.27785305623939-213.428846481074i</v>
      </c>
      <c r="AT89" s="337">
        <f t="shared" si="102"/>
        <v>213.44100150811624</v>
      </c>
      <c r="AU89" s="730">
        <f t="shared" si="103"/>
        <v>-1.560124074131092</v>
      </c>
      <c r="AV89" s="732" t="str">
        <f t="shared" si="104"/>
        <v>-151.030128194275-164.598113231171i</v>
      </c>
      <c r="AW89" s="337">
        <f t="shared" si="105"/>
        <v>46.981235086776827</v>
      </c>
      <c r="AX89" s="730">
        <f t="shared" si="106"/>
        <v>-132.53852836501147</v>
      </c>
      <c r="AY89" s="360">
        <f t="shared" si="107"/>
        <v>47.461471634988527</v>
      </c>
      <c r="BB89" s="337">
        <f t="shared" si="108"/>
        <v>6.5855570007661965</v>
      </c>
      <c r="BC89" s="730">
        <f t="shared" si="109"/>
        <v>-89.388524964466754</v>
      </c>
      <c r="BD89" s="351"/>
      <c r="BE89" s="337">
        <f t="shared" si="69"/>
        <v>28.121411588808375</v>
      </c>
      <c r="BF89" s="730">
        <f t="shared" si="70"/>
        <v>39.092609678170277</v>
      </c>
      <c r="BI89" s="351"/>
      <c r="BJ89" s="351"/>
      <c r="BL89" s="405">
        <f t="shared" si="71"/>
        <v>0</v>
      </c>
      <c r="BM89" s="405">
        <f t="shared" si="72"/>
        <v>0</v>
      </c>
      <c r="BN89" s="405">
        <f t="shared" si="73"/>
        <v>0</v>
      </c>
      <c r="BO89" s="405">
        <f t="shared" si="74"/>
        <v>0</v>
      </c>
    </row>
    <row r="90" spans="4:67" ht="13.5" thickBot="1" x14ac:dyDescent="0.25">
      <c r="D90" s="345">
        <v>1202.3</v>
      </c>
      <c r="E90" s="340" t="str">
        <f t="shared" si="60"/>
        <v>0.0199432825543301i</v>
      </c>
      <c r="F90" s="728" t="str">
        <f t="shared" si="75"/>
        <v>0.005-2.17008852011643i</v>
      </c>
      <c r="G90" s="337" t="str">
        <f t="shared" si="76"/>
        <v>0.005-3.39424101864365i</v>
      </c>
      <c r="H90" s="338" t="str">
        <f t="shared" si="77"/>
        <v>1.07770112784909-0.386097570558693i</v>
      </c>
      <c r="I90" s="338" t="str">
        <f t="shared" si="78"/>
        <v>1.08770112784909-0.386097570558693i</v>
      </c>
      <c r="J90" s="337" t="str">
        <f t="shared" si="79"/>
        <v>0.663680977684491-0.609357964353626i</v>
      </c>
      <c r="K90" s="338" t="str">
        <f t="shared" si="61"/>
        <v>0.999983938607889-0.00629522807901835i</v>
      </c>
      <c r="L90" s="732"/>
      <c r="M90" s="732" t="str">
        <f t="shared" si="62"/>
        <v>19.8797141463313+17.6551623171445i</v>
      </c>
      <c r="N90" s="337">
        <f t="shared" si="63"/>
        <v>0</v>
      </c>
      <c r="O90" s="730" t="str">
        <f t="shared" si="64"/>
        <v>19.6715884048652+6.61825712184812i</v>
      </c>
      <c r="P90" s="731" t="str">
        <f t="shared" si="65"/>
        <v>23.9521018906334-0.396466756319608i</v>
      </c>
      <c r="Q90" s="729" t="str">
        <f t="shared" si="66"/>
        <v>23.7553860065848-0.46264932753808i</v>
      </c>
      <c r="R90" s="730"/>
      <c r="S90" s="405" t="str">
        <f t="shared" si="80"/>
        <v>26.3178121095208+7.01821803919836i</v>
      </c>
      <c r="T90" s="405" t="str">
        <f t="shared" si="81"/>
        <v>21.0511386960263-2.98916403795606i</v>
      </c>
      <c r="U90" s="405" t="str">
        <f t="shared" si="82"/>
        <v>21.5327269421591-11.3492189630612i</v>
      </c>
      <c r="V90" s="731" t="str">
        <f t="shared" si="67"/>
        <v>6000</v>
      </c>
      <c r="W90" s="733" t="str">
        <f>IMSUM(COMPLEX(1,0),IMDIV(COMPLEX(0,2*PI()*D90),COMPLEX(2*PI()*'Stability Calculations'!EA_Pole1,0)))</f>
        <v>1+7629.81643177024i</v>
      </c>
      <c r="X90" s="734">
        <f t="shared" si="83"/>
        <v>7629.8164973026169</v>
      </c>
      <c r="Y90" s="735">
        <f t="shared" si="84"/>
        <v>1.570665262043442</v>
      </c>
      <c r="Z90" s="340" t="str">
        <f>IMSUM(COMPLEX(1,0),IMDIV(COMPLEX(0,2*PI()*D90),COMPLEX(2*PI()*'Stability Calculations'!EA_Zero1,0)))</f>
        <v>1+75.5427369482202i</v>
      </c>
      <c r="AA90" s="734">
        <f t="shared" si="85"/>
        <v>75.549355428276115</v>
      </c>
      <c r="AB90" s="735">
        <f t="shared" si="86"/>
        <v>1.5575595599564855</v>
      </c>
      <c r="AC90" s="733" t="str">
        <f>IMSUM(COMPLEX(1,0),IMDIV(COMPLEX(0,2*PI()*D90),COMPLEX(2*PI()*'Stability Calculations'!EA_Pole2,0)))</f>
        <v>1+0.760976446405279i</v>
      </c>
      <c r="AD90" s="734">
        <f t="shared" si="87"/>
        <v>1.2566165493035679</v>
      </c>
      <c r="AE90" s="735">
        <f t="shared" si="88"/>
        <v>0.65048910254244408</v>
      </c>
      <c r="AF90" s="732" t="str">
        <f t="shared" si="89"/>
        <v>37.2453280451363-29.1214198559587i</v>
      </c>
      <c r="AG90" s="337">
        <f t="shared" si="90"/>
        <v>47.278658564058709</v>
      </c>
      <c r="AH90" s="730">
        <f t="shared" si="91"/>
        <v>-0.66359480462940001</v>
      </c>
      <c r="AI90" s="731" t="str">
        <f t="shared" si="68"/>
        <v>10000</v>
      </c>
      <c r="AJ90" s="733" t="str">
        <f t="shared" si="92"/>
        <v>1+7113.08900249705i</v>
      </c>
      <c r="AK90" s="734">
        <f t="shared" si="93"/>
        <v>7113.0890727899996</v>
      </c>
      <c r="AL90" s="735">
        <f t="shared" si="94"/>
        <v>1.5706557408985216</v>
      </c>
      <c r="AM90" s="340" t="str">
        <f t="shared" si="95"/>
        <v>1+12.0717293643256i</v>
      </c>
      <c r="AN90" s="734">
        <f t="shared" si="96"/>
        <v>12.113077637228324</v>
      </c>
      <c r="AO90" s="735">
        <f t="shared" si="97"/>
        <v>1.4881468609050328</v>
      </c>
      <c r="AP90" s="733" t="str">
        <f t="shared" si="98"/>
        <v>1+0.585498772372686i</v>
      </c>
      <c r="AQ90" s="734">
        <f t="shared" si="99"/>
        <v>1.1587962773714464</v>
      </c>
      <c r="AR90" s="735">
        <f t="shared" si="100"/>
        <v>0.52968859010262626</v>
      </c>
      <c r="AS90" s="732" t="str">
        <f t="shared" si="101"/>
        <v>1.89463521246992-194.651264077093i</v>
      </c>
      <c r="AT90" s="337">
        <f t="shared" si="102"/>
        <v>194.66048456067946</v>
      </c>
      <c r="AU90" s="730">
        <f t="shared" si="103"/>
        <v>-1.5610631488892246</v>
      </c>
      <c r="AV90" s="732" t="str">
        <f t="shared" si="104"/>
        <v>-139.679241510311-137.045881733138i</v>
      </c>
      <c r="AW90" s="337">
        <f t="shared" si="105"/>
        <v>45.831065101433062</v>
      </c>
      <c r="AX90" s="730">
        <f t="shared" si="106"/>
        <v>-135.54521918795305</v>
      </c>
      <c r="AY90" s="360">
        <f t="shared" si="107"/>
        <v>44.454780812046948</v>
      </c>
      <c r="BB90" s="337">
        <f t="shared" si="108"/>
        <v>5.7855560022571506</v>
      </c>
      <c r="BC90" s="730">
        <f t="shared" si="109"/>
        <v>-89.44232998475502</v>
      </c>
      <c r="BD90" s="351"/>
      <c r="BE90" s="337">
        <f t="shared" si="69"/>
        <v>28.493627681416484</v>
      </c>
      <c r="BF90" s="730">
        <f t="shared" si="70"/>
        <v>41.60826074693756</v>
      </c>
      <c r="BI90" s="351"/>
      <c r="BJ90" s="351"/>
      <c r="BL90" s="405">
        <f t="shared" si="71"/>
        <v>0</v>
      </c>
      <c r="BM90" s="405">
        <f t="shared" ref="BM90:BM153" si="110">IF(BL90&gt;0,AY90,0)</f>
        <v>0</v>
      </c>
      <c r="BN90" s="405">
        <f t="shared" si="73"/>
        <v>0</v>
      </c>
      <c r="BO90" s="405">
        <f t="shared" si="74"/>
        <v>0</v>
      </c>
    </row>
    <row r="91" spans="4:67" ht="13.5" thickBot="1" x14ac:dyDescent="0.25">
      <c r="D91" s="345">
        <v>1318.3</v>
      </c>
      <c r="E91" s="340" t="str">
        <f t="shared" si="60"/>
        <v>0.0218674452228008i</v>
      </c>
      <c r="F91" s="728" t="str">
        <f t="shared" si="75"/>
        <v>0.005-1.97913785006143i</v>
      </c>
      <c r="G91" s="337" t="str">
        <f t="shared" si="76"/>
        <v>0.005-3.09557458599353i</v>
      </c>
      <c r="H91" s="338" t="str">
        <f t="shared" si="77"/>
        <v>1.05338020025694-0.413750697670932i</v>
      </c>
      <c r="I91" s="338" t="str">
        <f t="shared" si="78"/>
        <v>1.06338020025694-0.413750697670932i</v>
      </c>
      <c r="J91" s="337" t="str">
        <f t="shared" si="79"/>
        <v>0.607480515790481-0.611216482166301i</v>
      </c>
      <c r="K91" s="338" t="str">
        <f t="shared" si="61"/>
        <v>0.999980689834556-0.00690260265871237i</v>
      </c>
      <c r="L91" s="732"/>
      <c r="M91" s="732" t="str">
        <f t="shared" si="62"/>
        <v>20.0129024815266+19.4155771211596i</v>
      </c>
      <c r="N91" s="337">
        <f t="shared" si="63"/>
        <v>0</v>
      </c>
      <c r="O91" s="730" t="str">
        <f t="shared" si="64"/>
        <v>19.7611148659684+7.27730684840287i</v>
      </c>
      <c r="P91" s="731" t="str">
        <f t="shared" si="65"/>
        <v>24.0245690691661-0.437631048763998i</v>
      </c>
      <c r="Q91" s="729" t="str">
        <f t="shared" si="66"/>
        <v>23.8269579205064-0.510404117247996i</v>
      </c>
      <c r="R91" s="730"/>
      <c r="S91" s="405" t="str">
        <f t="shared" si="80"/>
        <v>26.8944134520301+7.36692749112042i</v>
      </c>
      <c r="T91" s="405" t="str">
        <f t="shared" si="81"/>
        <v>20.8232759961205-3.14788529632289i</v>
      </c>
      <c r="U91" s="405" t="str">
        <f t="shared" si="82"/>
        <v>20.6323869012574-11.9315650150157i</v>
      </c>
      <c r="V91" s="731" t="str">
        <f t="shared" si="67"/>
        <v>6000</v>
      </c>
      <c r="W91" s="733" t="str">
        <f>IMSUM(COMPLEX(1,0),IMDIV(COMPLEX(0,2*PI()*D91),COMPLEX(2*PI()*'Stability Calculations'!EA_Pole1,0)))</f>
        <v>1+8365.9544223594i</v>
      </c>
      <c r="X91" s="734">
        <f t="shared" si="83"/>
        <v>8365.9544821254422</v>
      </c>
      <c r="Y91" s="735">
        <f t="shared" si="84"/>
        <v>1.570676794707492</v>
      </c>
      <c r="Z91" s="340" t="str">
        <f>IMSUM(COMPLEX(1,0),IMDIV(COMPLEX(0,2*PI()*D91),COMPLEX(2*PI()*'Stability Calculations'!EA_Zero1,0)))</f>
        <v>1+82.8312319045485i</v>
      </c>
      <c r="AA91" s="734">
        <f t="shared" si="85"/>
        <v>82.837268055055347</v>
      </c>
      <c r="AB91" s="735">
        <f t="shared" si="86"/>
        <v>1.5587241723965446</v>
      </c>
      <c r="AC91" s="733" t="str">
        <f>IMSUM(COMPLEX(1,0),IMDIV(COMPLEX(0,2*PI()*D91),COMPLEX(2*PI()*'Stability Calculations'!EA_Pole2,0)))</f>
        <v>1+0.834396780583947i</v>
      </c>
      <c r="AD91" s="734">
        <f t="shared" si="87"/>
        <v>1.3023893378897324</v>
      </c>
      <c r="AE91" s="735">
        <f t="shared" si="88"/>
        <v>0.69536555625609842</v>
      </c>
      <c r="AF91" s="732" t="str">
        <f t="shared" si="89"/>
        <v>34.6733307639125-29.641407163112i</v>
      </c>
      <c r="AG91" s="337">
        <f t="shared" si="90"/>
        <v>45.616366414622163</v>
      </c>
      <c r="AH91" s="730">
        <f t="shared" si="91"/>
        <v>-0.70731817856704626</v>
      </c>
      <c r="AI91" s="731" t="str">
        <f t="shared" si="68"/>
        <v>10000</v>
      </c>
      <c r="AJ91" s="733" t="str">
        <f t="shared" si="92"/>
        <v>1+7799.37222988594i</v>
      </c>
      <c r="AK91" s="734">
        <f t="shared" si="93"/>
        <v>7799.3722939936624</v>
      </c>
      <c r="AL91" s="735">
        <f t="shared" si="94"/>
        <v>1.5706681113481855</v>
      </c>
      <c r="AM91" s="340" t="str">
        <f t="shared" si="95"/>
        <v>1+13.2364308583468i</v>
      </c>
      <c r="AN91" s="734">
        <f t="shared" si="96"/>
        <v>13.274151643995761</v>
      </c>
      <c r="AO91" s="735">
        <f t="shared" si="97"/>
        <v>1.4953905058541146</v>
      </c>
      <c r="AP91" s="733" t="str">
        <f t="shared" si="98"/>
        <v>1+0.641988714646021i</v>
      </c>
      <c r="AQ91" s="734">
        <f t="shared" si="99"/>
        <v>1.1883389708887151</v>
      </c>
      <c r="AR91" s="735">
        <f t="shared" si="100"/>
        <v>0.57072275357915814</v>
      </c>
      <c r="AS91" s="732" t="str">
        <f t="shared" si="101"/>
        <v>1.57590384949815-177.526317815191i</v>
      </c>
      <c r="AT91" s="337">
        <f t="shared" si="102"/>
        <v>177.53331233873561</v>
      </c>
      <c r="AU91" s="730">
        <f t="shared" si="103"/>
        <v>-1.5619195446007303</v>
      </c>
      <c r="AV91" s="732" t="str">
        <f t="shared" si="104"/>
        <v>-127.960588215305-112.756313480545i</v>
      </c>
      <c r="AW91" s="337">
        <f t="shared" si="105"/>
        <v>44.637123441083574</v>
      </c>
      <c r="AX91" s="730">
        <f t="shared" si="106"/>
        <v>-138.61414200847102</v>
      </c>
      <c r="AY91" s="360">
        <f t="shared" si="107"/>
        <v>41.385857991528979</v>
      </c>
      <c r="BB91" s="337">
        <f t="shared" si="108"/>
        <v>4.9855971204960321</v>
      </c>
      <c r="BC91" s="730">
        <f t="shared" si="109"/>
        <v>-89.491397844617396</v>
      </c>
      <c r="BD91" s="351"/>
      <c r="BE91" s="337">
        <f t="shared" si="69"/>
        <v>28.906897291072937</v>
      </c>
      <c r="BF91" s="730">
        <f t="shared" si="70"/>
        <v>44.132058740737264</v>
      </c>
      <c r="BI91" s="351"/>
      <c r="BJ91" s="351"/>
      <c r="BL91" s="405">
        <f t="shared" si="71"/>
        <v>0</v>
      </c>
      <c r="BM91" s="405">
        <f t="shared" si="110"/>
        <v>0</v>
      </c>
      <c r="BN91" s="405">
        <f t="shared" si="73"/>
        <v>0</v>
      </c>
      <c r="BO91" s="405">
        <f t="shared" si="74"/>
        <v>0</v>
      </c>
    </row>
    <row r="92" spans="4:67" ht="13.5" thickBot="1" x14ac:dyDescent="0.25">
      <c r="D92" s="345">
        <v>1445.4</v>
      </c>
      <c r="E92" s="340" t="str">
        <f t="shared" si="60"/>
        <v>0.0239757303535131i</v>
      </c>
      <c r="F92" s="728" t="str">
        <f t="shared" si="75"/>
        <v>0.005-1.80510407343018i</v>
      </c>
      <c r="G92" s="337" t="str">
        <f t="shared" si="76"/>
        <v>0.005-2.82336790972413i</v>
      </c>
      <c r="H92" s="338" t="str">
        <f t="shared" si="77"/>
        <v>1.02558152807253-0.441612809002908i</v>
      </c>
      <c r="I92" s="338" t="str">
        <f t="shared" si="78"/>
        <v>1.03558152807253-0.441612809002908i</v>
      </c>
      <c r="J92" s="337" t="str">
        <f t="shared" si="79"/>
        <v>0.551452084267023-0.607913723333037i</v>
      </c>
      <c r="K92" s="338" t="str">
        <f t="shared" si="61"/>
        <v>0.999976786876-0.00756809670249781i</v>
      </c>
      <c r="L92" s="732"/>
      <c r="M92" s="732" t="str">
        <f t="shared" si="62"/>
        <v>20.1745660237368+21.3630448215503i</v>
      </c>
      <c r="N92" s="337">
        <f t="shared" si="63"/>
        <v>0</v>
      </c>
      <c r="O92" s="730" t="str">
        <f t="shared" si="64"/>
        <v>19.8696059544562+8.00610316000475i</v>
      </c>
      <c r="P92" s="731" t="str">
        <f t="shared" si="65"/>
        <v>24.1121946021715-0.483699954984319i</v>
      </c>
      <c r="Q92" s="729" t="str">
        <f t="shared" si="66"/>
        <v>23.913498542627-0.563760986584314i</v>
      </c>
      <c r="R92" s="730"/>
      <c r="S92" s="405" t="str">
        <f t="shared" si="80"/>
        <v>27.5272513831171+7.68197211587233i</v>
      </c>
      <c r="T92" s="405" t="str">
        <f t="shared" si="81"/>
        <v>20.5731698852667-3.29532625990464i</v>
      </c>
      <c r="U92" s="405" t="str">
        <f t="shared" si="82"/>
        <v>19.6442047220101-12.4650010842572i</v>
      </c>
      <c r="V92" s="731" t="str">
        <f t="shared" si="67"/>
        <v>6000</v>
      </c>
      <c r="W92" s="733" t="str">
        <f>IMSUM(COMPLEX(1,0),IMDIV(COMPLEX(0,2*PI()*D92),COMPLEX(2*PI()*'Stability Calculations'!EA_Pole1,0)))</f>
        <v>1+9172.53320342735i</v>
      </c>
      <c r="X92" s="734">
        <f t="shared" si="83"/>
        <v>9172.5332579379174</v>
      </c>
      <c r="Y92" s="735">
        <f t="shared" si="84"/>
        <v>1.5706873056582205</v>
      </c>
      <c r="Z92" s="340" t="str">
        <f>IMSUM(COMPLEX(1,0),IMDIV(COMPLEX(0,2*PI()*D92),COMPLEX(2*PI()*'Stability Calculations'!EA_Zero1,0)))</f>
        <v>1+90.8171604299737i</v>
      </c>
      <c r="AA92" s="734">
        <f t="shared" si="85"/>
        <v>90.822665830527015</v>
      </c>
      <c r="AB92" s="735">
        <f t="shared" si="86"/>
        <v>1.5597856369299492</v>
      </c>
      <c r="AC92" s="733" t="str">
        <f>IMSUM(COMPLEX(1,0),IMDIV(COMPLEX(0,2*PI()*D92),COMPLEX(2*PI()*'Stability Calculations'!EA_Pole2,0)))</f>
        <v>1+0.914842681222814i</v>
      </c>
      <c r="AD92" s="734">
        <f t="shared" si="87"/>
        <v>1.3553365380550129</v>
      </c>
      <c r="AE92" s="735">
        <f t="shared" si="88"/>
        <v>0.74095522019757409</v>
      </c>
      <c r="AF92" s="732" t="str">
        <f t="shared" si="89"/>
        <v>32.0171616377117-29.9383163095452i</v>
      </c>
      <c r="AG92" s="337">
        <f t="shared" si="90"/>
        <v>43.833793159909604</v>
      </c>
      <c r="AH92" s="730">
        <f t="shared" si="91"/>
        <v>-0.75185688892584712</v>
      </c>
      <c r="AI92" s="731" t="str">
        <f t="shared" si="68"/>
        <v>10000</v>
      </c>
      <c r="AJ92" s="733" t="str">
        <f t="shared" si="92"/>
        <v>1+8551.32566265427i</v>
      </c>
      <c r="AK92" s="734">
        <f t="shared" si="93"/>
        <v>8551.3257211247364</v>
      </c>
      <c r="AL92" s="735">
        <f t="shared" si="94"/>
        <v>1.5706793858625907</v>
      </c>
      <c r="AM92" s="340" t="str">
        <f t="shared" si="95"/>
        <v>1+14.5125822367098i</v>
      </c>
      <c r="AN92" s="734">
        <f t="shared" si="96"/>
        <v>14.546994300447938</v>
      </c>
      <c r="AO92" s="735">
        <f t="shared" si="97"/>
        <v>1.5019993469832671</v>
      </c>
      <c r="AP92" s="733" t="str">
        <f t="shared" si="98"/>
        <v>1+0.703884160016202i</v>
      </c>
      <c r="AQ92" s="734">
        <f t="shared" si="99"/>
        <v>1.2228871210057428</v>
      </c>
      <c r="AR92" s="735">
        <f t="shared" si="100"/>
        <v>0.61332802913075513</v>
      </c>
      <c r="AS92" s="732" t="str">
        <f t="shared" si="101"/>
        <v>1.31095526918952-161.917839597966i</v>
      </c>
      <c r="AT92" s="337">
        <f t="shared" si="102"/>
        <v>161.92314653498573</v>
      </c>
      <c r="AU92" s="730">
        <f t="shared" si="103"/>
        <v>-1.5627000810180374</v>
      </c>
      <c r="AV92" s="732" t="str">
        <f t="shared" si="104"/>
        <v>-116.078697907813-91.6259072107925i</v>
      </c>
      <c r="AW92" s="337">
        <f t="shared" si="105"/>
        <v>43.398402634779401</v>
      </c>
      <c r="AX92" s="730">
        <f t="shared" si="106"/>
        <v>-141.71444993362053</v>
      </c>
      <c r="AY92" s="360">
        <f t="shared" si="107"/>
        <v>38.285550066379471</v>
      </c>
      <c r="BB92" s="337">
        <f t="shared" si="108"/>
        <v>4.1861786914233665</v>
      </c>
      <c r="BC92" s="730">
        <f t="shared" si="109"/>
        <v>-89.536119287085356</v>
      </c>
      <c r="BD92" s="351"/>
      <c r="BE92" s="337">
        <f t="shared" si="69"/>
        <v>29.362084218111477</v>
      </c>
      <c r="BF92" s="730">
        <f t="shared" si="70"/>
        <v>46.638906159577502</v>
      </c>
      <c r="BI92" s="351"/>
      <c r="BJ92" s="351"/>
      <c r="BL92" s="405">
        <f t="shared" si="71"/>
        <v>0</v>
      </c>
      <c r="BM92" s="405">
        <f t="shared" si="110"/>
        <v>0</v>
      </c>
      <c r="BN92" s="405">
        <f t="shared" si="73"/>
        <v>0</v>
      </c>
      <c r="BO92" s="405">
        <f t="shared" si="74"/>
        <v>0</v>
      </c>
    </row>
    <row r="93" spans="4:67" ht="13.5" thickBot="1" x14ac:dyDescent="0.25">
      <c r="D93" s="345">
        <v>1584.9</v>
      </c>
      <c r="E93" s="340" t="str">
        <f t="shared" si="60"/>
        <v>0.0262897018384412i</v>
      </c>
      <c r="F93" s="728" t="str">
        <f t="shared" si="75"/>
        <v>0.005-1.64622211353144i</v>
      </c>
      <c r="G93" s="337" t="str">
        <f t="shared" si="76"/>
        <v>0.005-2.57486022885688i</v>
      </c>
      <c r="H93" s="338" t="str">
        <f t="shared" si="77"/>
        <v>0.994021676981592-0.469260351236852i</v>
      </c>
      <c r="I93" s="338" t="str">
        <f t="shared" si="78"/>
        <v>1.00402167698159-0.469260351236852i</v>
      </c>
      <c r="J93" s="337" t="str">
        <f t="shared" si="79"/>
        <v>0.496435208034254-0.599579796132738i</v>
      </c>
      <c r="K93" s="338" t="str">
        <f t="shared" si="61"/>
        <v>0.999972089911-0.00829851699445744i</v>
      </c>
      <c r="L93" s="732"/>
      <c r="M93" s="732" t="str">
        <f t="shared" si="62"/>
        <v>20.3715500597581+23.5253416068625i</v>
      </c>
      <c r="N93" s="337">
        <f t="shared" si="63"/>
        <v>0</v>
      </c>
      <c r="O93" s="730" t="str">
        <f t="shared" si="64"/>
        <v>20.001542823987+8.81491827986439i</v>
      </c>
      <c r="P93" s="731" t="str">
        <f t="shared" si="65"/>
        <v>24.2184742164919-0.535561977057895i</v>
      </c>
      <c r="Q93" s="729" t="str">
        <f t="shared" si="66"/>
        <v>24.018458788252-0.623711159856537i</v>
      </c>
      <c r="R93" s="730"/>
      <c r="S93" s="405" t="str">
        <f t="shared" si="80"/>
        <v>28.2139284739332+7.95313650711353i</v>
      </c>
      <c r="T93" s="405" t="str">
        <f t="shared" si="81"/>
        <v>20.3017588302456-3.42768896883782i</v>
      </c>
      <c r="U93" s="405" t="str">
        <f t="shared" si="82"/>
        <v>18.5719098286691-12.9340076163824i</v>
      </c>
      <c r="V93" s="731" t="str">
        <f t="shared" si="67"/>
        <v>6000</v>
      </c>
      <c r="W93" s="733" t="str">
        <f>IMSUM(COMPLEX(1,0),IMDIV(COMPLEX(0,2*PI()*D93),COMPLEX(2*PI()*'Stability Calculations'!EA_Pole1,0)))</f>
        <v>1+10057.8025972824i</v>
      </c>
      <c r="X93" s="734">
        <f t="shared" si="83"/>
        <v>10057.802646995047</v>
      </c>
      <c r="Y93" s="735">
        <f t="shared" si="84"/>
        <v>1.5706969014992584</v>
      </c>
      <c r="Z93" s="340" t="str">
        <f>IMSUM(COMPLEX(1,0),IMDIV(COMPLEX(0,2*PI()*D93),COMPLEX(2*PI()*'Stability Calculations'!EA_Zero1,0)))</f>
        <v>1+99.5822039334893i</v>
      </c>
      <c r="AA93" s="734">
        <f t="shared" si="85"/>
        <v>99.587224784362036</v>
      </c>
      <c r="AB93" s="735">
        <f t="shared" si="86"/>
        <v>1.5607547094283825</v>
      </c>
      <c r="AC93" s="733" t="str">
        <f>IMSUM(COMPLEX(1,0),IMDIV(COMPLEX(0,2*PI()*D93),COMPLEX(2*PI()*'Stability Calculations'!EA_Pole2,0)))</f>
        <v>1+1.00313696241182i</v>
      </c>
      <c r="AD93" s="734">
        <f t="shared" si="87"/>
        <v>1.4164334666184688</v>
      </c>
      <c r="AE93" s="735">
        <f t="shared" si="88"/>
        <v>0.78696418704250604</v>
      </c>
      <c r="AF93" s="732" t="str">
        <f t="shared" si="89"/>
        <v>29.314647402232-29.9972516659788i</v>
      </c>
      <c r="AG93" s="337">
        <f t="shared" si="90"/>
        <v>41.942623425690186</v>
      </c>
      <c r="AH93" s="730">
        <f t="shared" si="91"/>
        <v>-0.79690637911338402</v>
      </c>
      <c r="AI93" s="731" t="str">
        <f t="shared" si="68"/>
        <v>10000</v>
      </c>
      <c r="AJ93" s="733" t="str">
        <f t="shared" si="92"/>
        <v>1+9376.6404059366i</v>
      </c>
      <c r="AK93" s="734">
        <f t="shared" si="93"/>
        <v>9376.6404592606013</v>
      </c>
      <c r="AL93" s="735">
        <f t="shared" si="94"/>
        <v>1.5706896787895432</v>
      </c>
      <c r="AM93" s="340" t="str">
        <f t="shared" si="95"/>
        <v>1+15.9132361885716i</v>
      </c>
      <c r="AN93" s="734">
        <f t="shared" si="96"/>
        <v>15.944625614709953</v>
      </c>
      <c r="AO93" s="735">
        <f t="shared" si="97"/>
        <v>1.5080380809230582</v>
      </c>
      <c r="AP93" s="733" t="str">
        <f t="shared" si="98"/>
        <v>1+0.771818185422498i</v>
      </c>
      <c r="AQ93" s="734">
        <f t="shared" si="99"/>
        <v>1.2632115069729526</v>
      </c>
      <c r="AR93" s="735">
        <f t="shared" si="100"/>
        <v>0.65731914616118925</v>
      </c>
      <c r="AS93" s="732" t="str">
        <f t="shared" si="101"/>
        <v>1.09034775609514-147.667756344009i</v>
      </c>
      <c r="AT93" s="337">
        <f t="shared" si="102"/>
        <v>147.67178173876968</v>
      </c>
      <c r="AU93" s="730">
        <f t="shared" si="103"/>
        <v>-1.5634126706173139</v>
      </c>
      <c r="AV93" s="732" t="str">
        <f t="shared" si="104"/>
        <v>-104.230295271426-73.4730214946989i</v>
      </c>
      <c r="AW93" s="337">
        <f t="shared" si="105"/>
        <v>42.111803485158276</v>
      </c>
      <c r="AX93" s="730">
        <f t="shared" si="106"/>
        <v>-144.81959192504925</v>
      </c>
      <c r="AY93" s="360">
        <f t="shared" si="107"/>
        <v>35.180408074950748</v>
      </c>
      <c r="BB93" s="337">
        <f t="shared" si="108"/>
        <v>3.3859502981198619</v>
      </c>
      <c r="BC93" s="730">
        <f t="shared" si="109"/>
        <v>-89.576947663648824</v>
      </c>
      <c r="BD93" s="351"/>
      <c r="BE93" s="337">
        <f t="shared" si="69"/>
        <v>29.860735036231752</v>
      </c>
      <c r="BF93" s="730">
        <f t="shared" si="70"/>
        <v>49.109379707513213</v>
      </c>
      <c r="BI93" s="351"/>
      <c r="BJ93" s="351"/>
      <c r="BL93" s="405">
        <f t="shared" si="71"/>
        <v>0</v>
      </c>
      <c r="BM93" s="405">
        <f t="shared" si="110"/>
        <v>0</v>
      </c>
      <c r="BN93" s="405">
        <f t="shared" si="73"/>
        <v>0</v>
      </c>
      <c r="BO93" s="405">
        <f t="shared" si="74"/>
        <v>0</v>
      </c>
    </row>
    <row r="94" spans="4:67" ht="13.5" thickBot="1" x14ac:dyDescent="0.25">
      <c r="D94" s="345">
        <v>1737.8</v>
      </c>
      <c r="E94" s="340" t="str">
        <f t="shared" si="60"/>
        <v>0.028825947286796i</v>
      </c>
      <c r="F94" s="728" t="str">
        <f t="shared" si="75"/>
        <v>0.005-1.50137957632408i</v>
      </c>
      <c r="G94" s="337" t="str">
        <f t="shared" si="76"/>
        <v>0.005-2.34831164501972i</v>
      </c>
      <c r="H94" s="338" t="str">
        <f t="shared" si="77"/>
        <v>0.958582399142646-0.496094644602769i</v>
      </c>
      <c r="I94" s="338" t="str">
        <f t="shared" si="78"/>
        <v>0.968582399142646-0.496094644602769i</v>
      </c>
      <c r="J94" s="337" t="str">
        <f t="shared" si="79"/>
        <v>0.44337185815363-0.586562009378287i</v>
      </c>
      <c r="K94" s="338" t="str">
        <f t="shared" si="61"/>
        <v>0.999966445012889-0.00909909952234724i</v>
      </c>
      <c r="L94" s="732"/>
      <c r="M94" s="732" t="str">
        <f t="shared" si="62"/>
        <v>20.6118676485917+25.9285330885686i</v>
      </c>
      <c r="N94" s="337">
        <f t="shared" si="63"/>
        <v>0</v>
      </c>
      <c r="O94" s="730" t="str">
        <f t="shared" si="64"/>
        <v>20.1621262196431+9.71333594269016i</v>
      </c>
      <c r="P94" s="731" t="str">
        <f t="shared" si="65"/>
        <v>24.3474145280351-0.59415661032071i</v>
      </c>
      <c r="Q94" s="729" t="str">
        <f t="shared" si="66"/>
        <v>24.1457932658387-0.691289969747634i</v>
      </c>
      <c r="R94" s="730"/>
      <c r="S94" s="405" t="str">
        <f t="shared" si="80"/>
        <v>28.9474958056738+8.16955013265931i</v>
      </c>
      <c r="T94" s="405" t="str">
        <f t="shared" si="81"/>
        <v>20.0117776450559-3.54086236544381i</v>
      </c>
      <c r="U94" s="405" t="str">
        <f t="shared" si="82"/>
        <v>17.4263349693348-13.3219440599948i</v>
      </c>
      <c r="V94" s="731" t="str">
        <f t="shared" si="67"/>
        <v>6000</v>
      </c>
      <c r="W94" s="733" t="str">
        <f>IMSUM(COMPLEX(1,0),IMDIV(COMPLEX(0,2*PI()*D94),COMPLEX(2*PI()*'Stability Calculations'!EA_Pole1,0)))</f>
        <v>1+11028.1086210849i</v>
      </c>
      <c r="X94" s="734">
        <f t="shared" si="83"/>
        <v>11028.10866642359</v>
      </c>
      <c r="Y94" s="735">
        <f t="shared" si="84"/>
        <v>1.5707056494147928</v>
      </c>
      <c r="Z94" s="340" t="str">
        <f>IMSUM(COMPLEX(1,0),IMDIV(COMPLEX(0,2*PI()*D94),COMPLEX(2*PI()*'Stability Calculations'!EA_Zero1,0)))</f>
        <v>1+109.189194268167i</v>
      </c>
      <c r="AA94" s="734">
        <f t="shared" si="85"/>
        <v>109.19377337985675</v>
      </c>
      <c r="AB94" s="735">
        <f t="shared" si="86"/>
        <v>1.5616381674252668</v>
      </c>
      <c r="AC94" s="733" t="str">
        <f>IMSUM(COMPLEX(1,0),IMDIV(COMPLEX(0,2*PI()*D94),COMPLEX(2*PI()*'Stability Calculations'!EA_Pole2,0)))</f>
        <v>1+1.09991255806629i</v>
      </c>
      <c r="AD94" s="734">
        <f t="shared" si="87"/>
        <v>1.4865421741047007</v>
      </c>
      <c r="AE94" s="735">
        <f t="shared" si="88"/>
        <v>0.83294169846647836</v>
      </c>
      <c r="AF94" s="732" t="str">
        <f t="shared" si="89"/>
        <v>26.6147561208965-29.8125819898595i</v>
      </c>
      <c r="AG94" s="337">
        <f t="shared" si="90"/>
        <v>39.964175060632648</v>
      </c>
      <c r="AH94" s="730">
        <f t="shared" si="91"/>
        <v>-0.84200918045600337</v>
      </c>
      <c r="AI94" s="731" t="str">
        <f t="shared" si="68"/>
        <v>10000</v>
      </c>
      <c r="AJ94" s="733" t="str">
        <f t="shared" si="92"/>
        <v>1+10281.2326944518i</v>
      </c>
      <c r="AK94" s="734">
        <f t="shared" si="93"/>
        <v>10281.232743084101</v>
      </c>
      <c r="AL94" s="735">
        <f t="shared" si="94"/>
        <v>1.5706990621937962</v>
      </c>
      <c r="AM94" s="340" t="str">
        <f t="shared" si="95"/>
        <v>1+17.4484332440531i</v>
      </c>
      <c r="AN94" s="734">
        <f t="shared" si="96"/>
        <v>17.477065619610674</v>
      </c>
      <c r="AO94" s="735">
        <f t="shared" si="97"/>
        <v>1.5135472167812725</v>
      </c>
      <c r="AP94" s="733" t="str">
        <f t="shared" si="98"/>
        <v>1+0.846277773125887i</v>
      </c>
      <c r="AQ94" s="734">
        <f t="shared" si="99"/>
        <v>1.3100328504609762</v>
      </c>
      <c r="AR94" s="735">
        <f t="shared" si="100"/>
        <v>0.70232914660719514</v>
      </c>
      <c r="AS94" s="732" t="str">
        <f t="shared" si="101"/>
        <v>0.906928735083988-134.676472265757i</v>
      </c>
      <c r="AT94" s="337">
        <f t="shared" si="102"/>
        <v>134.67952591867757</v>
      </c>
      <c r="AU94" s="730">
        <f t="shared" si="103"/>
        <v>-1.5640622996042859</v>
      </c>
      <c r="AV94" s="732" t="str">
        <f t="shared" si="104"/>
        <v>-92.6528561456709-58.1396379016246i</v>
      </c>
      <c r="AW94" s="337">
        <f t="shared" si="105"/>
        <v>40.779043272203879</v>
      </c>
      <c r="AX94" s="730">
        <f t="shared" si="106"/>
        <v>-147.89174187174478</v>
      </c>
      <c r="AY94" s="360">
        <f t="shared" si="107"/>
        <v>32.108258128255216</v>
      </c>
      <c r="BB94" s="337">
        <f t="shared" si="108"/>
        <v>2.5860315794376678</v>
      </c>
      <c r="BC94" s="730">
        <f t="shared" si="109"/>
        <v>-89.614168662851668</v>
      </c>
      <c r="BD94" s="351"/>
      <c r="BE94" s="337">
        <f t="shared" si="69"/>
        <v>30.40261224139174</v>
      </c>
      <c r="BF94" s="730">
        <f t="shared" si="70"/>
        <v>51.51708266847001</v>
      </c>
      <c r="BI94" s="351"/>
      <c r="BJ94" s="351"/>
      <c r="BL94" s="405">
        <f t="shared" si="71"/>
        <v>0</v>
      </c>
      <c r="BM94" s="405">
        <f t="shared" si="110"/>
        <v>0</v>
      </c>
      <c r="BN94" s="405">
        <f t="shared" si="73"/>
        <v>0</v>
      </c>
      <c r="BO94" s="405">
        <f t="shared" si="74"/>
        <v>0</v>
      </c>
    </row>
    <row r="95" spans="4:67" ht="13.5" thickBot="1" x14ac:dyDescent="0.25">
      <c r="D95" s="345">
        <v>1905.5</v>
      </c>
      <c r="E95" s="340" t="str">
        <f t="shared" si="60"/>
        <v>0.0316076893514731i</v>
      </c>
      <c r="F95" s="728" t="str">
        <f t="shared" si="75"/>
        <v>0.005-1.36924556690422i</v>
      </c>
      <c r="G95" s="337" t="str">
        <f t="shared" si="76"/>
        <v>0.005-2.14164050208096i</v>
      </c>
      <c r="H95" s="338" t="str">
        <f t="shared" si="77"/>
        <v>0.919187112667327-0.521495984763413i</v>
      </c>
      <c r="I95" s="338" t="str">
        <f t="shared" si="78"/>
        <v>0.929187112667327-0.521495984763413i</v>
      </c>
      <c r="J95" s="337" t="str">
        <f t="shared" si="79"/>
        <v>0.392968659921479-0.569361997975675i</v>
      </c>
      <c r="K95" s="338" t="str">
        <f t="shared" si="61"/>
        <v>0.999959656330556-0.00997717466902559i</v>
      </c>
      <c r="L95" s="732"/>
      <c r="M95" s="732" t="str">
        <f t="shared" si="62"/>
        <v>20.9061663861282+28.6088489937119i</v>
      </c>
      <c r="N95" s="337">
        <f t="shared" si="63"/>
        <v>0</v>
      </c>
      <c r="O95" s="730" t="str">
        <f t="shared" si="64"/>
        <v>20.3582248727822+10.7146739119358i</v>
      </c>
      <c r="P95" s="731" t="str">
        <f t="shared" si="65"/>
        <v>24.5042596116964-0.660795612662914i</v>
      </c>
      <c r="Q95" s="729" t="str">
        <f t="shared" si="66"/>
        <v>24.3006773629686-0.767942351782279i</v>
      </c>
      <c r="R95" s="730"/>
      <c r="S95" s="405" t="str">
        <f t="shared" si="80"/>
        <v>29.7198567342838+8.32193304406283i</v>
      </c>
      <c r="T95" s="405" t="str">
        <f t="shared" si="81"/>
        <v>19.7064118783979-3.63143592805145i</v>
      </c>
      <c r="U95" s="405" t="str">
        <f t="shared" si="82"/>
        <v>16.2201005801332-13.6147837742204i</v>
      </c>
      <c r="V95" s="731" t="str">
        <f t="shared" si="67"/>
        <v>6000</v>
      </c>
      <c r="W95" s="733" t="str">
        <f>IMSUM(COMPLEX(1,0),IMDIV(COMPLEX(0,2*PI()*D95),COMPLEX(2*PI()*'Stability Calculations'!EA_Pole1,0)))</f>
        <v>1+12092.335698859i</v>
      </c>
      <c r="X95" s="734">
        <f t="shared" si="83"/>
        <v>12092.335740207505</v>
      </c>
      <c r="Y95" s="735">
        <f t="shared" si="84"/>
        <v>1.5707136297855988</v>
      </c>
      <c r="Z95" s="340" t="str">
        <f>IMSUM(COMPLEX(1,0),IMDIV(COMPLEX(0,2*PI()*D95),COMPLEX(2*PI()*'Stability Calculations'!EA_Zero1,0)))</f>
        <v>1+119.726096028307i</v>
      </c>
      <c r="AA95" s="734">
        <f t="shared" si="85"/>
        <v>119.73027215445303</v>
      </c>
      <c r="AB95" s="735">
        <f t="shared" si="86"/>
        <v>1.5624441230568493</v>
      </c>
      <c r="AC95" s="733" t="str">
        <f>IMSUM(COMPLEX(1,0),IMDIV(COMPLEX(0,2*PI()*D95),COMPLEX(2*PI()*'Stability Calculations'!EA_Pole2,0)))</f>
        <v>1+1.20605557566769i</v>
      </c>
      <c r="AD95" s="734">
        <f t="shared" si="87"/>
        <v>1.566706753543599</v>
      </c>
      <c r="AE95" s="735">
        <f t="shared" si="88"/>
        <v>0.87853246964353982</v>
      </c>
      <c r="AF95" s="732" t="str">
        <f t="shared" si="89"/>
        <v>23.9608085463103-29.3893361047088i</v>
      </c>
      <c r="AG95" s="337">
        <f t="shared" si="90"/>
        <v>37.919037736583938</v>
      </c>
      <c r="AH95" s="730">
        <f t="shared" si="91"/>
        <v>-0.8868019763722893</v>
      </c>
      <c r="AI95" s="731" t="str">
        <f t="shared" si="68"/>
        <v>10000</v>
      </c>
      <c r="AJ95" s="733" t="str">
        <f t="shared" si="92"/>
        <v>1+11273.3852568062i</v>
      </c>
      <c r="AK95" s="734">
        <f t="shared" si="93"/>
        <v>11273.385301158449</v>
      </c>
      <c r="AL95" s="735">
        <f t="shared" si="94"/>
        <v>1.5707076222953522</v>
      </c>
      <c r="AM95" s="340" t="str">
        <f t="shared" si="95"/>
        <v>1+19.1322301453235i</v>
      </c>
      <c r="AN95" s="734">
        <f t="shared" si="96"/>
        <v>19.158346231698218</v>
      </c>
      <c r="AO95" s="735">
        <f t="shared" si="97"/>
        <v>1.5185760241721387</v>
      </c>
      <c r="AP95" s="733" t="str">
        <f t="shared" si="98"/>
        <v>1+0.927944698291734i</v>
      </c>
      <c r="AQ95" s="734">
        <f t="shared" si="99"/>
        <v>1.3642145590367145</v>
      </c>
      <c r="AR95" s="735">
        <f t="shared" si="100"/>
        <v>0.74804139675579406</v>
      </c>
      <c r="AS95" s="732" t="str">
        <f t="shared" si="101"/>
        <v>0.75432439955657-122.824749077015i</v>
      </c>
      <c r="AT95" s="337">
        <f t="shared" si="102"/>
        <v>122.82706538516446</v>
      </c>
      <c r="AU95" s="730">
        <f t="shared" si="103"/>
        <v>-1.5646549349202115</v>
      </c>
      <c r="AV95" s="732" t="str">
        <f t="shared" si="104"/>
        <v>-81.5465524583205-45.3895588988626i</v>
      </c>
      <c r="AW95" s="337">
        <f t="shared" si="105"/>
        <v>39.400207615082216</v>
      </c>
      <c r="AX95" s="730">
        <f t="shared" si="106"/>
        <v>-150.89928652005693</v>
      </c>
      <c r="AY95" s="360">
        <f t="shared" si="107"/>
        <v>29.100713479943067</v>
      </c>
      <c r="BB95" s="337">
        <f t="shared" si="108"/>
        <v>1.7858815139980639</v>
      </c>
      <c r="BC95" s="730">
        <f t="shared" si="109"/>
        <v>-89.64812416524461</v>
      </c>
      <c r="BD95" s="351"/>
      <c r="BE95" s="337">
        <f t="shared" si="69"/>
        <v>30.98828489611186</v>
      </c>
      <c r="BF95" s="730">
        <f t="shared" si="70"/>
        <v>53.842206467245411</v>
      </c>
      <c r="BI95" s="351"/>
      <c r="BJ95" s="351"/>
      <c r="BL95" s="405">
        <f t="shared" si="71"/>
        <v>0</v>
      </c>
      <c r="BM95" s="405">
        <f t="shared" si="110"/>
        <v>0</v>
      </c>
      <c r="BN95" s="405">
        <f t="shared" si="73"/>
        <v>0</v>
      </c>
      <c r="BO95" s="405">
        <f t="shared" si="74"/>
        <v>0</v>
      </c>
    </row>
    <row r="96" spans="4:67" ht="13.5" thickBot="1" x14ac:dyDescent="0.25">
      <c r="D96" s="345">
        <v>2089.3000000000002</v>
      </c>
      <c r="E96" s="340" t="str">
        <f t="shared" si="60"/>
        <v>0.0346564919244464i</v>
      </c>
      <c r="F96" s="728" t="str">
        <f t="shared" si="75"/>
        <v>0.005-1.24879023009428i</v>
      </c>
      <c r="G96" s="337" t="str">
        <f t="shared" si="76"/>
        <v>0.005-1.9532360009167i</v>
      </c>
      <c r="H96" s="338" t="str">
        <f t="shared" si="77"/>
        <v>0.875946584222064-0.544753122455206i</v>
      </c>
      <c r="I96" s="338" t="str">
        <f t="shared" si="78"/>
        <v>0.885946584222064-0.544753122455206i</v>
      </c>
      <c r="J96" s="337" t="str">
        <f t="shared" si="79"/>
        <v>0.345845876423493-0.548625069520839i</v>
      </c>
      <c r="K96" s="338" t="str">
        <f t="shared" si="61"/>
        <v>0.999951498061222-0.0109395492185753i</v>
      </c>
      <c r="L96" s="732"/>
      <c r="M96" s="732" t="str">
        <f t="shared" si="62"/>
        <v>21.2676796341021+31.606330436423i</v>
      </c>
      <c r="N96" s="337">
        <f t="shared" si="63"/>
        <v>0</v>
      </c>
      <c r="O96" s="730" t="str">
        <f t="shared" si="64"/>
        <v>20.5982902525915+11.8335799827624i</v>
      </c>
      <c r="P96" s="731" t="str">
        <f t="shared" si="65"/>
        <v>24.6953645355313-0.737063167490955i</v>
      </c>
      <c r="Q96" s="729" t="str">
        <f t="shared" si="66"/>
        <v>24.4893816330054-0.855398967318561i</v>
      </c>
      <c r="R96" s="730"/>
      <c r="S96" s="405" t="str">
        <f t="shared" si="80"/>
        <v>30.5195886120963+8.40253940820704i</v>
      </c>
      <c r="T96" s="405" t="str">
        <f t="shared" si="81"/>
        <v>19.3901586134453-3.69658670961982i</v>
      </c>
      <c r="U96" s="405" t="str">
        <f t="shared" si="82"/>
        <v>14.9710160524797-13.8008619511482i</v>
      </c>
      <c r="V96" s="731" t="str">
        <f t="shared" si="67"/>
        <v>6000</v>
      </c>
      <c r="W96" s="733" t="str">
        <f>IMSUM(COMPLEX(1,0),IMDIV(COMPLEX(0,2*PI()*D96),COMPLEX(2*PI()*'Stability Calculations'!EA_Pole1,0)))</f>
        <v>1+13258.7336529132i</v>
      </c>
      <c r="X96" s="734">
        <f t="shared" si="83"/>
        <v>13258.733690624191</v>
      </c>
      <c r="Y96" s="735">
        <f t="shared" si="84"/>
        <v>1.5707209048108459</v>
      </c>
      <c r="Z96" s="340" t="str">
        <f>IMSUM(COMPLEX(1,0),IMDIV(COMPLEX(0,2*PI()*D96),COMPLEX(2*PI()*'Stability Calculations'!EA_Zero1,0)))</f>
        <v>1+131.274590622903i</v>
      </c>
      <c r="AA96" s="734">
        <f t="shared" si="85"/>
        <v>131.27839937785183</v>
      </c>
      <c r="AB96" s="735">
        <f t="shared" si="86"/>
        <v>1.5631788537316409</v>
      </c>
      <c r="AC96" s="733" t="str">
        <f>IMSUM(COMPLEX(1,0),IMDIV(COMPLEX(0,2*PI()*D96),COMPLEX(2*PI()*'Stability Calculations'!EA_Pole2,0)))</f>
        <v>1+1.32238882930595i</v>
      </c>
      <c r="AD96" s="734">
        <f t="shared" si="87"/>
        <v>1.6579240681868279</v>
      </c>
      <c r="AE96" s="735">
        <f t="shared" si="88"/>
        <v>0.92333440959535962</v>
      </c>
      <c r="AF96" s="732" t="str">
        <f t="shared" si="89"/>
        <v>21.3967384057073-28.7428592399906i</v>
      </c>
      <c r="AG96" s="337">
        <f t="shared" si="90"/>
        <v>35.832560216822117</v>
      </c>
      <c r="AH96" s="730">
        <f t="shared" si="91"/>
        <v>-0.93087646067456487</v>
      </c>
      <c r="AI96" s="731" t="str">
        <f t="shared" si="68"/>
        <v>10000</v>
      </c>
      <c r="AJ96" s="733" t="str">
        <f t="shared" si="92"/>
        <v>1+12360.7891981345i</v>
      </c>
      <c r="AK96" s="734">
        <f t="shared" si="93"/>
        <v>12360.789238584992</v>
      </c>
      <c r="AL96" s="735">
        <f t="shared" si="94"/>
        <v>1.570715425811813</v>
      </c>
      <c r="AM96" s="340" t="str">
        <f t="shared" si="95"/>
        <v>1+20.9776795815399i</v>
      </c>
      <c r="AN96" s="734">
        <f t="shared" si="96"/>
        <v>21.001500913643195</v>
      </c>
      <c r="AO96" s="735">
        <f t="shared" si="97"/>
        <v>1.5231626712243469</v>
      </c>
      <c r="AP96" s="733" t="str">
        <f t="shared" si="98"/>
        <v>1+1.01745203785931i</v>
      </c>
      <c r="AQ96" s="734">
        <f t="shared" si="99"/>
        <v>1.4266073914515032</v>
      </c>
      <c r="AR96" s="735">
        <f t="shared" si="100"/>
        <v>0.79404848183339016</v>
      </c>
      <c r="AS96" s="732" t="str">
        <f t="shared" si="101"/>
        <v>0.627447233273684-112.020315012247i</v>
      </c>
      <c r="AT96" s="337">
        <f t="shared" si="102"/>
        <v>112.02207222451115</v>
      </c>
      <c r="AU96" s="730">
        <f t="shared" si="103"/>
        <v>-1.5651951938966162</v>
      </c>
      <c r="AV96" s="732" t="str">
        <f t="shared" si="104"/>
        <v>-71.0987081781942-34.9727882647482i</v>
      </c>
      <c r="AW96" s="337">
        <f t="shared" si="105"/>
        <v>37.97829766369847</v>
      </c>
      <c r="AX96" s="730">
        <f t="shared" si="106"/>
        <v>-153.80785940295982</v>
      </c>
      <c r="AY96" s="360">
        <f t="shared" si="107"/>
        <v>26.192140597040179</v>
      </c>
      <c r="BB96" s="337">
        <f t="shared" si="108"/>
        <v>0.98607204284556282</v>
      </c>
      <c r="BC96" s="730">
        <f t="shared" si="109"/>
        <v>-89.679078724436664</v>
      </c>
      <c r="BD96" s="351"/>
      <c r="BE96" s="337">
        <f t="shared" si="69"/>
        <v>31.617495107804046</v>
      </c>
      <c r="BF96" s="730">
        <f t="shared" si="70"/>
        <v>56.06366462042206</v>
      </c>
      <c r="BI96" s="351"/>
      <c r="BJ96" s="351"/>
      <c r="BL96" s="405">
        <f t="shared" si="71"/>
        <v>0</v>
      </c>
      <c r="BM96" s="405">
        <f t="shared" si="110"/>
        <v>0</v>
      </c>
      <c r="BN96" s="405">
        <f t="shared" si="73"/>
        <v>0</v>
      </c>
      <c r="BO96" s="405">
        <f t="shared" si="74"/>
        <v>0</v>
      </c>
    </row>
    <row r="97" spans="4:67" ht="13.5" thickBot="1" x14ac:dyDescent="0.25">
      <c r="D97" s="345">
        <v>2290.9</v>
      </c>
      <c r="E97" s="340" t="str">
        <f t="shared" si="60"/>
        <v>0.0380005539413748i</v>
      </c>
      <c r="F97" s="728" t="str">
        <f t="shared" si="75"/>
        <v>0.005-1.13889625375878i</v>
      </c>
      <c r="G97" s="337" t="str">
        <f t="shared" si="76"/>
        <v>0.005-1.78135055075091i</v>
      </c>
      <c r="H97" s="338" t="str">
        <f t="shared" si="77"/>
        <v>0.829069078037453-0.565168222079983i</v>
      </c>
      <c r="I97" s="338" t="str">
        <f t="shared" si="78"/>
        <v>0.839069078037453-0.565168222079983i</v>
      </c>
      <c r="J97" s="337" t="str">
        <f t="shared" si="79"/>
        <v>0.302376850548126-0.525038569624461i</v>
      </c>
      <c r="K97" s="338" t="str">
        <f t="shared" si="61"/>
        <v>0.999941686413222-0.0119951243501814i</v>
      </c>
      <c r="L97" s="732"/>
      <c r="M97" s="732" t="str">
        <f t="shared" si="62"/>
        <v>21.714160462811+34.9749711489516i</v>
      </c>
      <c r="N97" s="337">
        <f t="shared" si="63"/>
        <v>0</v>
      </c>
      <c r="O97" s="730" t="str">
        <f t="shared" si="64"/>
        <v>20.8935623687189+13.0897773000724i</v>
      </c>
      <c r="P97" s="731" t="str">
        <f t="shared" si="65"/>
        <v>24.9290682777438-0.825150125958746i</v>
      </c>
      <c r="Q97" s="729" t="str">
        <f t="shared" si="66"/>
        <v>24.7201326540566-0.956047898959486i</v>
      </c>
      <c r="R97" s="730"/>
      <c r="S97" s="405" t="str">
        <f t="shared" si="80"/>
        <v>31.3346816223059+8.40623402343102i</v>
      </c>
      <c r="T97" s="405" t="str">
        <f t="shared" si="81"/>
        <v>19.0677433925522-3.73459504040011i</v>
      </c>
      <c r="U97" s="405" t="str">
        <f t="shared" si="82"/>
        <v>13.6978019955463-13.8727198992338i</v>
      </c>
      <c r="V97" s="731" t="str">
        <f t="shared" si="67"/>
        <v>6000</v>
      </c>
      <c r="W97" s="733" t="str">
        <f>IMSUM(COMPLEX(1,0),IMDIV(COMPLEX(0,2*PI()*D97),COMPLEX(2*PI()*'Stability Calculations'!EA_Pole1,0)))</f>
        <v>1+14538.0907124199i</v>
      </c>
      <c r="X97" s="734">
        <f t="shared" si="83"/>
        <v>14538.090746812311</v>
      </c>
      <c r="Y97" s="735">
        <f t="shared" si="84"/>
        <v>1.5707275419717583</v>
      </c>
      <c r="Z97" s="340" t="str">
        <f>IMSUM(COMPLEX(1,0),IMDIV(COMPLEX(0,2*PI()*D97),COMPLEX(2*PI()*'Stability Calculations'!EA_Zero1,0)))</f>
        <v>1+143.941492202177i</v>
      </c>
      <c r="AA97" s="734">
        <f t="shared" si="85"/>
        <v>143.94496579383866</v>
      </c>
      <c r="AB97" s="735">
        <f t="shared" si="86"/>
        <v>1.5638491714125715</v>
      </c>
      <c r="AC97" s="733" t="str">
        <f>IMSUM(COMPLEX(1,0),IMDIV(COMPLEX(0,2*PI()*D97),COMPLEX(2*PI()*'Stability Calculations'!EA_Pole2,0)))</f>
        <v>1+1.44998830663716i</v>
      </c>
      <c r="AD97" s="734">
        <f t="shared" si="87"/>
        <v>1.761381869267564</v>
      </c>
      <c r="AE97" s="735">
        <f t="shared" si="88"/>
        <v>0.96704322436385981</v>
      </c>
      <c r="AF97" s="732" t="str">
        <f t="shared" si="89"/>
        <v>18.9570067342225-27.8960608038886i</v>
      </c>
      <c r="AG97" s="337">
        <f t="shared" si="90"/>
        <v>33.727708381916599</v>
      </c>
      <c r="AH97" s="730">
        <f t="shared" si="91"/>
        <v>-0.97392159492304808</v>
      </c>
      <c r="AI97" s="731" t="str">
        <f t="shared" si="68"/>
        <v>10000</v>
      </c>
      <c r="AJ97" s="733" t="str">
        <f t="shared" si="92"/>
        <v>1+13553.5021174586i</v>
      </c>
      <c r="AK97" s="734">
        <f t="shared" si="93"/>
        <v>13553.502154349433</v>
      </c>
      <c r="AL97" s="735">
        <f t="shared" si="94"/>
        <v>1.5707225451265485</v>
      </c>
      <c r="AM97" s="340" t="str">
        <f t="shared" si="95"/>
        <v>1+23.0018504539079i</v>
      </c>
      <c r="AN97" s="734">
        <f t="shared" si="96"/>
        <v>23.023577573955421</v>
      </c>
      <c r="AO97" s="735">
        <f t="shared" si="97"/>
        <v>1.5273489225454853</v>
      </c>
      <c r="AP97" s="733" t="str">
        <f t="shared" si="98"/>
        <v>1+1.11562766167228i</v>
      </c>
      <c r="AQ97" s="734">
        <f t="shared" si="99"/>
        <v>1.4982072885580149</v>
      </c>
      <c r="AR97" s="735">
        <f t="shared" si="100"/>
        <v>0.83999791195492612</v>
      </c>
      <c r="AS97" s="732" t="str">
        <f t="shared" si="101"/>
        <v>0.521877826724974-102.16302745139i</v>
      </c>
      <c r="AT97" s="337">
        <f t="shared" si="102"/>
        <v>102.16436039294472</v>
      </c>
      <c r="AU97" s="730">
        <f t="shared" si="103"/>
        <v>-1.5656880865594409</v>
      </c>
      <c r="AV97" s="732" t="str">
        <f t="shared" si="104"/>
        <v>-61.4405768309821-26.5997453336591i</v>
      </c>
      <c r="AW97" s="337">
        <f t="shared" si="105"/>
        <v>36.515194197754276</v>
      </c>
      <c r="AX97" s="730">
        <f t="shared" si="106"/>
        <v>-156.59054889035829</v>
      </c>
      <c r="AY97" s="360">
        <f t="shared" si="107"/>
        <v>23.409451109641708</v>
      </c>
      <c r="BB97" s="337">
        <f t="shared" si="108"/>
        <v>0.18598840832228358</v>
      </c>
      <c r="BC97" s="730">
        <f t="shared" si="109"/>
        <v>-89.707319393769481</v>
      </c>
      <c r="BD97" s="351"/>
      <c r="BE97" s="337">
        <f t="shared" si="69"/>
        <v>32.291065065504448</v>
      </c>
      <c r="BF97" s="730">
        <f t="shared" si="70"/>
        <v>58.165981416474168</v>
      </c>
      <c r="BI97" s="351"/>
      <c r="BJ97" s="351"/>
      <c r="BL97" s="405">
        <f t="shared" si="71"/>
        <v>0</v>
      </c>
      <c r="BM97" s="405">
        <f t="shared" si="110"/>
        <v>0</v>
      </c>
      <c r="BN97" s="405">
        <f t="shared" si="73"/>
        <v>2290.9</v>
      </c>
      <c r="BO97" s="405">
        <f t="shared" si="74"/>
        <v>-89.707319393769481</v>
      </c>
    </row>
    <row r="98" spans="4:67" ht="13.5" thickBot="1" x14ac:dyDescent="0.25">
      <c r="D98" s="345">
        <v>2511.9</v>
      </c>
      <c r="E98" s="340" t="str">
        <f t="shared" si="60"/>
        <v>0.0416664155769956i</v>
      </c>
      <c r="F98" s="728" t="str">
        <f t="shared" si="75"/>
        <v>0.005-1.03869478392292i</v>
      </c>
      <c r="G98" s="337" t="str">
        <f t="shared" si="76"/>
        <v>0.005-1.6246251748538i</v>
      </c>
      <c r="H98" s="338" t="str">
        <f t="shared" si="77"/>
        <v>0.778994809611069-0.582034966409992i</v>
      </c>
      <c r="I98" s="338" t="str">
        <f t="shared" si="78"/>
        <v>0.788994809611069-0.582034966409992i</v>
      </c>
      <c r="J98" s="337" t="str">
        <f t="shared" si="79"/>
        <v>0.262822106111069-0.499337472863541i</v>
      </c>
      <c r="K98" s="338" t="str">
        <f t="shared" si="61"/>
        <v>0.999929892871-0.0131522776442537i</v>
      </c>
      <c r="L98" s="732"/>
      <c r="M98" s="732" t="str">
        <f t="shared" si="62"/>
        <v>22.268401440477+38.777570814524i</v>
      </c>
      <c r="N98" s="337">
        <f t="shared" si="63"/>
        <v>0</v>
      </c>
      <c r="O98" s="730" t="str">
        <f t="shared" si="64"/>
        <v>21.2582857228719+14.5060791383828i</v>
      </c>
      <c r="P98" s="731" t="str">
        <f t="shared" si="65"/>
        <v>25.2157223806244-0.927844468654317i</v>
      </c>
      <c r="Q98" s="729" t="str">
        <f t="shared" si="66"/>
        <v>25.0031395233957-1.07290526003816i</v>
      </c>
      <c r="R98" s="730"/>
      <c r="S98" s="405" t="str">
        <f t="shared" si="80"/>
        <v>32.1510602243548+8.33071280456443i</v>
      </c>
      <c r="T98" s="405" t="str">
        <f t="shared" si="81"/>
        <v>18.7447048043079-3.74484091717497i</v>
      </c>
      <c r="U98" s="405" t="str">
        <f t="shared" si="82"/>
        <v>12.4223993928089-13.8272852684391i</v>
      </c>
      <c r="V98" s="731" t="str">
        <f t="shared" si="67"/>
        <v>6000</v>
      </c>
      <c r="W98" s="733" t="str">
        <f>IMSUM(COMPLEX(1,0),IMDIV(COMPLEX(0,2*PI()*D98),COMPLEX(2*PI()*'Stability Calculations'!EA_Pole1,0)))</f>
        <v>1+15940.5605048354i</v>
      </c>
      <c r="X98" s="734">
        <f t="shared" si="83"/>
        <v>15940.560536201923</v>
      </c>
      <c r="Y98" s="735">
        <f t="shared" si="84"/>
        <v>1.5707335937436726</v>
      </c>
      <c r="Z98" s="340" t="str">
        <f>IMSUM(COMPLEX(1,0),IMDIV(COMPLEX(0,2*PI()*D98),COMPLEX(2*PI()*'Stability Calculations'!EA_Zero1,0)))</f>
        <v>1+157.827331731044i</v>
      </c>
      <c r="AA98" s="734">
        <f t="shared" si="85"/>
        <v>157.83049971834029</v>
      </c>
      <c r="AB98" s="735">
        <f t="shared" si="86"/>
        <v>1.5644603733984777</v>
      </c>
      <c r="AC98" s="733" t="str">
        <f>IMSUM(COMPLEX(1,0),IMDIV(COMPLEX(0,2*PI()*D98),COMPLEX(2*PI()*'Stability Calculations'!EA_Pole2,0)))</f>
        <v>1+1.58986670192583i</v>
      </c>
      <c r="AD98" s="734">
        <f t="shared" si="87"/>
        <v>1.8782108853620554</v>
      </c>
      <c r="AE98" s="735">
        <f t="shared" si="88"/>
        <v>1.0093375644112337</v>
      </c>
      <c r="AF98" s="732" t="str">
        <f t="shared" si="89"/>
        <v>16.6720139987071-26.8789515010373i</v>
      </c>
      <c r="AG98" s="337">
        <f t="shared" si="90"/>
        <v>31.629639336675986</v>
      </c>
      <c r="AH98" s="730">
        <f t="shared" si="91"/>
        <v>-1.015610784756428</v>
      </c>
      <c r="AI98" s="731" t="str">
        <f t="shared" si="68"/>
        <v>10000</v>
      </c>
      <c r="AJ98" s="733" t="str">
        <f t="shared" si="92"/>
        <v>1+14860.9899903288i</v>
      </c>
      <c r="AK98" s="734">
        <f t="shared" si="93"/>
        <v>14860.990023973935</v>
      </c>
      <c r="AL98" s="735">
        <f t="shared" si="94"/>
        <v>1.570729036526944</v>
      </c>
      <c r="AM98" s="340" t="str">
        <f t="shared" si="95"/>
        <v>1+25.2208076106208i</v>
      </c>
      <c r="AN98" s="734">
        <f t="shared" si="96"/>
        <v>25.24062472546882</v>
      </c>
      <c r="AO98" s="735">
        <f t="shared" si="97"/>
        <v>1.5311672842356703</v>
      </c>
      <c r="AP98" s="733" t="str">
        <f t="shared" si="98"/>
        <v>1+1.22325074134821i</v>
      </c>
      <c r="AQ98" s="734">
        <f t="shared" si="99"/>
        <v>1.579981764517852</v>
      </c>
      <c r="AR98" s="735">
        <f t="shared" si="100"/>
        <v>0.88547903406204087</v>
      </c>
      <c r="AS98" s="732" t="str">
        <f t="shared" si="101"/>
        <v>0.434088543581306-93.1750097330956i</v>
      </c>
      <c r="AT98" s="337">
        <f t="shared" si="102"/>
        <v>93.176020904662636</v>
      </c>
      <c r="AU98" s="730">
        <f t="shared" si="103"/>
        <v>-1.5661375088967309</v>
      </c>
      <c r="AV98" s="732" t="str">
        <f t="shared" si="104"/>
        <v>-52.6704402653124-19.9853650904046i</v>
      </c>
      <c r="AW98" s="337">
        <f t="shared" si="105"/>
        <v>35.015508320780043</v>
      </c>
      <c r="AX98" s="730">
        <f t="shared" si="106"/>
        <v>-159.22116262229781</v>
      </c>
      <c r="AY98" s="360">
        <f t="shared" si="107"/>
        <v>20.778837377702189</v>
      </c>
      <c r="BB98" s="337">
        <f t="shared" si="108"/>
        <v>-0.61391680199867715</v>
      </c>
      <c r="BC98" s="730">
        <f t="shared" si="109"/>
        <v>-89.733069396915099</v>
      </c>
      <c r="BD98" s="351"/>
      <c r="BE98" s="337">
        <f t="shared" si="69"/>
        <v>33.009391536878852</v>
      </c>
      <c r="BF98" s="730">
        <f t="shared" si="70"/>
        <v>60.132979315717186</v>
      </c>
      <c r="BI98" s="351"/>
      <c r="BJ98" s="351"/>
      <c r="BL98" s="405">
        <f t="shared" si="71"/>
        <v>0</v>
      </c>
      <c r="BM98" s="405">
        <f t="shared" si="110"/>
        <v>0</v>
      </c>
      <c r="BN98" s="405">
        <f t="shared" si="73"/>
        <v>0</v>
      </c>
      <c r="BO98" s="405">
        <f t="shared" si="74"/>
        <v>0</v>
      </c>
    </row>
    <row r="99" spans="4:67" ht="13.5" thickBot="1" x14ac:dyDescent="0.25">
      <c r="D99" s="345">
        <v>2754.2</v>
      </c>
      <c r="E99" s="340" t="str">
        <f t="shared" si="60"/>
        <v>0.0456855932888098i</v>
      </c>
      <c r="F99" s="728" t="str">
        <f t="shared" si="75"/>
        <v>0.005-0.947315891270052i</v>
      </c>
      <c r="G99" s="337" t="str">
        <f t="shared" si="76"/>
        <v>0.005-1.4816992145506i</v>
      </c>
      <c r="H99" s="338" t="str">
        <f t="shared" si="77"/>
        <v>0.726304933854263-0.594735547902166i</v>
      </c>
      <c r="I99" s="338" t="str">
        <f t="shared" si="78"/>
        <v>0.736304933854263-0.594735547902166i</v>
      </c>
      <c r="J99" s="337" t="str">
        <f t="shared" si="79"/>
        <v>0.227249618584049-0.472216526593561i</v>
      </c>
      <c r="K99" s="338" t="str">
        <f t="shared" si="61"/>
        <v>0.999915715359556-0.0144209574775283i</v>
      </c>
      <c r="L99" s="732"/>
      <c r="M99" s="732" t="str">
        <f t="shared" si="62"/>
        <v>22.9612854194774+43.0966553909714i</v>
      </c>
      <c r="N99" s="337">
        <f t="shared" si="63"/>
        <v>0</v>
      </c>
      <c r="O99" s="730" t="str">
        <f t="shared" si="64"/>
        <v>21.711521310416+16.1123646329191i</v>
      </c>
      <c r="P99" s="731" t="str">
        <f t="shared" si="65"/>
        <v>25.5688962702999-1.04899994706248i</v>
      </c>
      <c r="Q99" s="729" t="str">
        <f t="shared" si="66"/>
        <v>25.3517810571957-1.21012359339169i</v>
      </c>
      <c r="R99" s="730"/>
      <c r="S99" s="405" t="str">
        <f t="shared" si="80"/>
        <v>32.955122290874+8.1768176700549i</v>
      </c>
      <c r="T99" s="405" t="str">
        <f t="shared" si="81"/>
        <v>18.4263902129527-3.7280008316432i</v>
      </c>
      <c r="U99" s="405" t="str">
        <f t="shared" si="82"/>
        <v>11.1660035076044-13.6664946765948i</v>
      </c>
      <c r="V99" s="731" t="str">
        <f t="shared" si="67"/>
        <v>6000</v>
      </c>
      <c r="W99" s="733" t="str">
        <f>IMSUM(COMPLEX(1,0),IMDIV(COMPLEX(0,2*PI()*D99),COMPLEX(2*PI()*'Stability Calculations'!EA_Pole1,0)))</f>
        <v>1+17478.2004627643i</v>
      </c>
      <c r="X99" s="734">
        <f t="shared" si="83"/>
        <v>17478.200491371361</v>
      </c>
      <c r="Y99" s="735">
        <f t="shared" si="84"/>
        <v>1.5707391126668724</v>
      </c>
      <c r="Z99" s="340" t="str">
        <f>IMSUM(COMPLEX(1,0),IMDIV(COMPLEX(0,2*PI()*D99),COMPLEX(2*PI()*'Stability Calculations'!EA_Zero1,0)))</f>
        <v>1+173.05148973034i</v>
      </c>
      <c r="AA99" s="734">
        <f t="shared" si="85"/>
        <v>173.05437901968841</v>
      </c>
      <c r="AB99" s="735">
        <f t="shared" si="86"/>
        <v>1.5650177641778502</v>
      </c>
      <c r="AC99" s="733" t="str">
        <f>IMSUM(COMPLEX(1,0),IMDIV(COMPLEX(0,2*PI()*D99),COMPLEX(2*PI()*'Stability Calculations'!EA_Pole2,0)))</f>
        <v>1+1.74322658961109i</v>
      </c>
      <c r="AD99" s="734">
        <f t="shared" si="87"/>
        <v>2.0096862796782764</v>
      </c>
      <c r="AE99" s="735">
        <f t="shared" si="88"/>
        <v>1.0499780340399616</v>
      </c>
      <c r="AF99" s="732" t="str">
        <f t="shared" si="89"/>
        <v>14.5619725672493-25.7247036847291i</v>
      </c>
      <c r="AG99" s="337">
        <f t="shared" si="90"/>
        <v>29.560301499078726</v>
      </c>
      <c r="AH99" s="730">
        <f t="shared" si="91"/>
        <v>-1.0556993825289849</v>
      </c>
      <c r="AI99" s="731" t="str">
        <f t="shared" si="68"/>
        <v>10000</v>
      </c>
      <c r="AJ99" s="733" t="str">
        <f t="shared" si="92"/>
        <v>1+16294.4936627109i</v>
      </c>
      <c r="AK99" s="734">
        <f t="shared" si="93"/>
        <v>16294.493693396113</v>
      </c>
      <c r="AL99" s="735">
        <f t="shared" si="94"/>
        <v>1.5707349563700499</v>
      </c>
      <c r="AM99" s="340" t="str">
        <f t="shared" si="95"/>
        <v>1+27.6536280589083i</v>
      </c>
      <c r="AN99" s="734">
        <f t="shared" si="96"/>
        <v>27.671702962059285</v>
      </c>
      <c r="AO99" s="735">
        <f t="shared" si="97"/>
        <v>1.5346504564609276</v>
      </c>
      <c r="AP99" s="733" t="str">
        <f t="shared" si="98"/>
        <v>1+1.34124654318294i</v>
      </c>
      <c r="AQ99" s="734">
        <f t="shared" si="99"/>
        <v>1.6730039717825496</v>
      </c>
      <c r="AR99" s="735">
        <f t="shared" si="100"/>
        <v>0.93013318632876518</v>
      </c>
      <c r="AS99" s="732" t="str">
        <f t="shared" si="101"/>
        <v>0.361071868717072-84.9782737024416i</v>
      </c>
      <c r="AT99" s="337">
        <f t="shared" si="102"/>
        <v>84.979040794430333</v>
      </c>
      <c r="AU99" s="730">
        <f t="shared" si="103"/>
        <v>-1.5665473619702626</v>
      </c>
      <c r="AV99" s="732" t="str">
        <f t="shared" si="104"/>
        <v>-44.8318052321949-14.8429524542247i</v>
      </c>
      <c r="AW99" s="337">
        <f t="shared" si="105"/>
        <v>33.483445900104051</v>
      </c>
      <c r="AX99" s="730">
        <f t="shared" si="106"/>
        <v>-161.68128125740398</v>
      </c>
      <c r="AY99" s="360">
        <f t="shared" si="107"/>
        <v>18.318718742596019</v>
      </c>
      <c r="BB99" s="337">
        <f t="shared" si="108"/>
        <v>-1.4137635068310039</v>
      </c>
      <c r="BC99" s="730">
        <f t="shared" si="109"/>
        <v>-89.756552248248923</v>
      </c>
      <c r="BD99" s="351"/>
      <c r="BE99" s="337">
        <f t="shared" si="69"/>
        <v>33.77405037090972</v>
      </c>
      <c r="BF99" s="730">
        <f t="shared" si="70"/>
        <v>61.951943299131131</v>
      </c>
      <c r="BI99" s="351"/>
      <c r="BJ99" s="351"/>
      <c r="BL99" s="405">
        <f t="shared" si="71"/>
        <v>0</v>
      </c>
      <c r="BM99" s="405">
        <f t="shared" si="110"/>
        <v>0</v>
      </c>
      <c r="BN99" s="405">
        <f t="shared" si="73"/>
        <v>0</v>
      </c>
      <c r="BO99" s="405">
        <f t="shared" si="74"/>
        <v>0</v>
      </c>
    </row>
    <row r="100" spans="4:67" ht="13.5" thickBot="1" x14ac:dyDescent="0.25">
      <c r="D100" s="345">
        <v>3020</v>
      </c>
      <c r="E100" s="340" t="str">
        <f t="shared" si="60"/>
        <v>0.0500945798170814i</v>
      </c>
      <c r="F100" s="728" t="str">
        <f t="shared" si="75"/>
        <v>0.005-0.863939545607946i</v>
      </c>
      <c r="G100" s="337" t="str">
        <f t="shared" si="76"/>
        <v>0.005-1.35129005851499i</v>
      </c>
      <c r="H100" s="338" t="str">
        <f t="shared" si="77"/>
        <v>0.671712337576407-0.602776016843964i</v>
      </c>
      <c r="I100" s="338" t="str">
        <f t="shared" si="78"/>
        <v>0.681712337576407-0.602776016843964i</v>
      </c>
      <c r="J100" s="337" t="str">
        <f t="shared" si="79"/>
        <v>0.195583409566702-0.444300881142209i</v>
      </c>
      <c r="K100" s="338" t="str">
        <f t="shared" si="61"/>
        <v>0.999898662222222-0.0158126830230686i</v>
      </c>
      <c r="L100" s="732"/>
      <c r="M100" s="732" t="str">
        <f t="shared" si="62"/>
        <v>23.8354414384527+48.0412997744559i</v>
      </c>
      <c r="N100" s="337">
        <f t="shared" si="63"/>
        <v>0</v>
      </c>
      <c r="O100" s="730" t="str">
        <f t="shared" si="64"/>
        <v>22.2792062405033+17.9479585421329i</v>
      </c>
      <c r="P100" s="731" t="str">
        <f t="shared" si="65"/>
        <v>26.0066087260677-1.19402642361389i</v>
      </c>
      <c r="Q100" s="729" t="str">
        <f t="shared" si="66"/>
        <v>25.7838166636626-1.37350600903518i</v>
      </c>
      <c r="R100" s="730"/>
      <c r="S100" s="405" t="str">
        <f t="shared" si="80"/>
        <v>33.7343526511491+7.94822218609935i</v>
      </c>
      <c r="T100" s="405" t="str">
        <f t="shared" si="81"/>
        <v>18.1177125632181-3.68592360858433i</v>
      </c>
      <c r="U100" s="405" t="str">
        <f t="shared" si="82"/>
        <v>9.94810470620301-13.3968029764305i</v>
      </c>
      <c r="V100" s="731" t="str">
        <f t="shared" si="67"/>
        <v>6000</v>
      </c>
      <c r="W100" s="733" t="str">
        <f>IMSUM(COMPLEX(1,0),IMDIV(COMPLEX(0,2*PI()*D100),COMPLEX(2*PI()*'Stability Calculations'!EA_Pole1,0)))</f>
        <v>1+19164.9718239591i</v>
      </c>
      <c r="X100" s="734">
        <f t="shared" si="83"/>
        <v>19164.971850048361</v>
      </c>
      <c r="Y100" s="735">
        <f t="shared" si="84"/>
        <v>1.5707441482679321</v>
      </c>
      <c r="Z100" s="340" t="str">
        <f>IMSUM(COMPLEX(1,0),IMDIV(COMPLEX(0,2*PI()*D100),COMPLEX(2*PI()*'Stability Calculations'!EA_Zero1,0)))</f>
        <v>1+189.752196276823i</v>
      </c>
      <c r="AA100" s="734">
        <f t="shared" si="85"/>
        <v>189.75483127414162</v>
      </c>
      <c r="AB100" s="735">
        <f t="shared" si="86"/>
        <v>1.56552634435447</v>
      </c>
      <c r="AC100" s="733" t="str">
        <f>IMSUM(COMPLEX(1,0),IMDIV(COMPLEX(0,2*PI()*D100),COMPLEX(2*PI()*'Stability Calculations'!EA_Pole2,0)))</f>
        <v>1+1.91146042430669i</v>
      </c>
      <c r="AD100" s="734">
        <f t="shared" si="87"/>
        <v>2.1572391971431242</v>
      </c>
      <c r="AE100" s="735">
        <f t="shared" si="88"/>
        <v>1.0887926978693256</v>
      </c>
      <c r="AF100" s="732" t="str">
        <f t="shared" si="89"/>
        <v>12.6380512974656-24.4671063422152i</v>
      </c>
      <c r="AG100" s="337">
        <f t="shared" si="90"/>
        <v>27.538330257273028</v>
      </c>
      <c r="AH100" s="730">
        <f t="shared" si="91"/>
        <v>-1.0940105017827872</v>
      </c>
      <c r="AI100" s="731" t="str">
        <f t="shared" si="68"/>
        <v>10000</v>
      </c>
      <c r="AJ100" s="733" t="str">
        <f t="shared" si="92"/>
        <v>1+17867.0288509865i</v>
      </c>
      <c r="AK100" s="734">
        <f t="shared" si="93"/>
        <v>17867.028878971007</v>
      </c>
      <c r="AL100" s="735">
        <f t="shared" si="94"/>
        <v>1.5707403577802779</v>
      </c>
      <c r="AM100" s="340" t="str">
        <f t="shared" si="95"/>
        <v>1+30.3224009650363i</v>
      </c>
      <c r="AN100" s="734">
        <f t="shared" si="96"/>
        <v>30.338885943363749</v>
      </c>
      <c r="AO100" s="735">
        <f t="shared" si="97"/>
        <v>1.5378293562312717</v>
      </c>
      <c r="AP100" s="733" t="str">
        <f t="shared" si="98"/>
        <v>1+1.47068642815063i</v>
      </c>
      <c r="AQ100" s="734">
        <f t="shared" si="99"/>
        <v>1.7784596059361195</v>
      </c>
      <c r="AR100" s="735">
        <f t="shared" si="100"/>
        <v>0.97365071513536383</v>
      </c>
      <c r="AS100" s="732" t="str">
        <f t="shared" si="101"/>
        <v>0.300311549688777-77.4992955242089i</v>
      </c>
      <c r="AT100" s="337">
        <f t="shared" si="102"/>
        <v>77.499877379100056</v>
      </c>
      <c r="AU100" s="730">
        <f t="shared" si="103"/>
        <v>-1.566921323228331</v>
      </c>
      <c r="AV100" s="732" t="str">
        <f t="shared" si="104"/>
        <v>-37.9229691489287-10.9031400429576i</v>
      </c>
      <c r="AW100" s="337">
        <f t="shared" si="105"/>
        <v>31.922969948635817</v>
      </c>
      <c r="AX100" s="730">
        <f t="shared" si="106"/>
        <v>-163.95965700603026</v>
      </c>
      <c r="AY100" s="360">
        <f t="shared" si="107"/>
        <v>16.040342993969745</v>
      </c>
      <c r="BB100" s="337">
        <f t="shared" si="108"/>
        <v>-2.2139796927440707</v>
      </c>
      <c r="BC100" s="730">
        <f t="shared" si="109"/>
        <v>-89.777978650037653</v>
      </c>
      <c r="BD100" s="351"/>
      <c r="BE100" s="337">
        <f t="shared" si="69"/>
        <v>34.588031897243965</v>
      </c>
      <c r="BF100" s="730">
        <f t="shared" si="70"/>
        <v>63.611930177983112</v>
      </c>
      <c r="BI100" s="351"/>
      <c r="BJ100" s="351"/>
      <c r="BL100" s="405">
        <f t="shared" si="71"/>
        <v>0</v>
      </c>
      <c r="BM100" s="405">
        <f t="shared" si="110"/>
        <v>0</v>
      </c>
      <c r="BN100" s="405">
        <f t="shared" si="73"/>
        <v>0</v>
      </c>
      <c r="BO100" s="405">
        <f t="shared" si="74"/>
        <v>0</v>
      </c>
    </row>
    <row r="101" spans="4:67" ht="13.5" thickBot="1" x14ac:dyDescent="0.25">
      <c r="D101" s="345">
        <v>3311.3</v>
      </c>
      <c r="E101" s="340" t="str">
        <f t="shared" si="60"/>
        <v>0.0549265503802324i</v>
      </c>
      <c r="F101" s="728" t="str">
        <f t="shared" si="75"/>
        <v>0.005-0.787937495163829i</v>
      </c>
      <c r="G101" s="337" t="str">
        <f t="shared" si="76"/>
        <v>0.005-1.2324150565383i</v>
      </c>
      <c r="H101" s="338" t="str">
        <f t="shared" si="77"/>
        <v>0.616129948257554-0.605820322323186i</v>
      </c>
      <c r="I101" s="338" t="str">
        <f t="shared" si="78"/>
        <v>0.626129948257554-0.605820322323186i</v>
      </c>
      <c r="J101" s="337" t="str">
        <f t="shared" si="79"/>
        <v>0.167689037040169-0.41617809316812i</v>
      </c>
      <c r="K101" s="338" t="str">
        <f t="shared" si="61"/>
        <v>0.999878169914556-0.0173379262563865i</v>
      </c>
      <c r="L101" s="732"/>
      <c r="M101" s="732" t="str">
        <f t="shared" si="62"/>
        <v>24.9489606184074+53.7474045616647i</v>
      </c>
      <c r="N101" s="337">
        <f t="shared" si="63"/>
        <v>0</v>
      </c>
      <c r="O101" s="730" t="str">
        <f t="shared" si="64"/>
        <v>22.9960266321838+20.0614903648625i</v>
      </c>
      <c r="P101" s="731" t="str">
        <f t="shared" si="65"/>
        <v>26.552159524463-1.37036034234137i</v>
      </c>
      <c r="Q101" s="729" t="str">
        <f t="shared" si="66"/>
        <v>26.3221992581411-1.57097524599002i</v>
      </c>
      <c r="R101" s="730"/>
      <c r="S101" s="405" t="str">
        <f t="shared" si="80"/>
        <v>34.4766658837422+7.65151074183753i</v>
      </c>
      <c r="T101" s="405" t="str">
        <f t="shared" si="81"/>
        <v>17.8234109145893-3.62157098414524i</v>
      </c>
      <c r="U101" s="405" t="str">
        <f t="shared" si="82"/>
        <v>8.78751594364783-13.0291428882475i</v>
      </c>
      <c r="V101" s="731" t="str">
        <f t="shared" si="67"/>
        <v>6000</v>
      </c>
      <c r="W101" s="733" t="str">
        <f>IMSUM(COMPLEX(1,0),IMDIV(COMPLEX(0,2*PI()*D101),COMPLEX(2*PI()*'Stability Calculations'!EA_Pole1,0)))</f>
        <v>1+21013.5666227404i</v>
      </c>
      <c r="X101" s="734">
        <f t="shared" si="83"/>
        <v>21013.566646534553</v>
      </c>
      <c r="Y101" s="735">
        <f t="shared" si="84"/>
        <v>1.5707487384907692</v>
      </c>
      <c r="Z101" s="340" t="str">
        <f>IMSUM(COMPLEX(1,0),IMDIV(COMPLEX(0,2*PI()*D101),COMPLEX(2*PI()*'Stability Calculations'!EA_Zero1,0)))</f>
        <v>1+208.055115076638i</v>
      </c>
      <c r="AA101" s="734">
        <f t="shared" si="85"/>
        <v>208.0575182721189</v>
      </c>
      <c r="AB101" s="735">
        <f t="shared" si="86"/>
        <v>1.5659899450859693</v>
      </c>
      <c r="AC101" s="733" t="str">
        <f>IMSUM(COMPLEX(1,0),IMDIV(COMPLEX(0,2*PI()*D101),COMPLEX(2*PI()*'Stability Calculations'!EA_Pole2,0)))</f>
        <v>1+2.0958340738433i</v>
      </c>
      <c r="AD101" s="734">
        <f t="shared" si="87"/>
        <v>2.3221801103882109</v>
      </c>
      <c r="AE101" s="735">
        <f t="shared" si="88"/>
        <v>1.1256058280011882</v>
      </c>
      <c r="AF101" s="732" t="str">
        <f t="shared" si="89"/>
        <v>10.9064872863867-23.1408904771178i</v>
      </c>
      <c r="AG101" s="337">
        <f t="shared" si="90"/>
        <v>25.582264891953489</v>
      </c>
      <c r="AH101" s="730">
        <f t="shared" si="91"/>
        <v>-1.1303646214059875</v>
      </c>
      <c r="AI101" s="731" t="str">
        <f t="shared" si="68"/>
        <v>10000</v>
      </c>
      <c r="AJ101" s="733" t="str">
        <f t="shared" si="92"/>
        <v>1+19590.4280245933i</v>
      </c>
      <c r="AK101" s="734">
        <f t="shared" si="93"/>
        <v>19590.42805011597</v>
      </c>
      <c r="AL101" s="735">
        <f t="shared" si="94"/>
        <v>1.5707452814579659</v>
      </c>
      <c r="AM101" s="340" t="str">
        <f t="shared" si="95"/>
        <v>1+33.2472073892467i</v>
      </c>
      <c r="AN101" s="734">
        <f t="shared" si="96"/>
        <v>33.262242846560724</v>
      </c>
      <c r="AO101" s="735">
        <f t="shared" si="97"/>
        <v>1.5407276778530694</v>
      </c>
      <c r="AP101" s="733" t="str">
        <f t="shared" si="98"/>
        <v>1+1.61254436077325i</v>
      </c>
      <c r="AQ101" s="734">
        <f t="shared" si="99"/>
        <v>1.8974454710113833</v>
      </c>
      <c r="AR101" s="735">
        <f t="shared" si="100"/>
        <v>1.0157009390312999</v>
      </c>
      <c r="AS101" s="732" t="str">
        <f t="shared" si="101"/>
        <v>0.249798576758928-70.6817454216406i</v>
      </c>
      <c r="AT101" s="337">
        <f t="shared" si="102"/>
        <v>70.682186830760713</v>
      </c>
      <c r="AU101" s="730">
        <f t="shared" si="103"/>
        <v>-1.5672622100965214</v>
      </c>
      <c r="AV101" s="732" t="str">
        <f t="shared" si="104"/>
        <v>-31.9168650417115-7.92919634127071i</v>
      </c>
      <c r="AW101" s="337">
        <f t="shared" si="105"/>
        <v>30.340499861704664</v>
      </c>
      <c r="AX101" s="730">
        <f t="shared" si="106"/>
        <v>-166.0482992709035</v>
      </c>
      <c r="AY101" s="360">
        <f t="shared" si="107"/>
        <v>13.951700729096501</v>
      </c>
      <c r="BB101" s="337">
        <f t="shared" si="108"/>
        <v>-3.0138004470744901</v>
      </c>
      <c r="BC101" s="730">
        <f t="shared" si="109"/>
        <v>-89.797510028876403</v>
      </c>
      <c r="BD101" s="351"/>
      <c r="BE101" s="337">
        <f t="shared" si="69"/>
        <v>35.454597896770267</v>
      </c>
      <c r="BF101" s="730">
        <f t="shared" si="70"/>
        <v>65.099784186515834</v>
      </c>
      <c r="BI101" s="351"/>
      <c r="BJ101" s="351"/>
      <c r="BL101" s="405">
        <f t="shared" si="71"/>
        <v>0</v>
      </c>
      <c r="BM101" s="405">
        <f t="shared" si="110"/>
        <v>0</v>
      </c>
      <c r="BN101" s="405">
        <f t="shared" si="73"/>
        <v>0</v>
      </c>
      <c r="BO101" s="405">
        <f t="shared" si="74"/>
        <v>0</v>
      </c>
    </row>
    <row r="102" spans="4:67" ht="13.5" thickBot="1" x14ac:dyDescent="0.25">
      <c r="D102" s="345">
        <v>3630.8</v>
      </c>
      <c r="E102" s="340" t="str">
        <f t="shared" si="60"/>
        <v>0.0602262915231322i</v>
      </c>
      <c r="F102" s="728" t="str">
        <f t="shared" si="75"/>
        <v>0.005-0.718601252543787i</v>
      </c>
      <c r="G102" s="337" t="str">
        <f t="shared" si="76"/>
        <v>0.005-1.12396606167105i</v>
      </c>
      <c r="H102" s="338" t="str">
        <f t="shared" si="77"/>
        <v>0.560441156248527-0.603745049805801i</v>
      </c>
      <c r="I102" s="338" t="str">
        <f t="shared" si="78"/>
        <v>0.570441156248527-0.603745049805801i</v>
      </c>
      <c r="J102" s="337" t="str">
        <f t="shared" si="79"/>
        <v>0.143303372569751-0.388296470236148i</v>
      </c>
      <c r="K102" s="338" t="str">
        <f t="shared" si="61"/>
        <v>0.999853525459556-0.019010824344423i</v>
      </c>
      <c r="L102" s="732"/>
      <c r="M102" s="732" t="str">
        <f t="shared" si="62"/>
        <v>26.3873590839142+60.4096432288125i</v>
      </c>
      <c r="N102" s="337">
        <f t="shared" si="63"/>
        <v>0</v>
      </c>
      <c r="O102" s="730" t="str">
        <f t="shared" si="64"/>
        <v>23.9122042517428+22.5223268438649i</v>
      </c>
      <c r="P102" s="731" t="str">
        <f t="shared" si="65"/>
        <v>27.2382487839068-1.58921278071339i</v>
      </c>
      <c r="Q102" s="729" t="str">
        <f t="shared" si="66"/>
        <v>26.9991267413894-1.81443604915211i</v>
      </c>
      <c r="R102" s="730"/>
      <c r="S102" s="405" t="str">
        <f t="shared" si="80"/>
        <v>35.173497940901+7.29475384763635i</v>
      </c>
      <c r="T102" s="405" t="str">
        <f t="shared" si="81"/>
        <v>17.5468251748498-3.53861814955545i</v>
      </c>
      <c r="U102" s="405" t="str">
        <f t="shared" si="82"/>
        <v>7.69753979853649-12.5769960863823i</v>
      </c>
      <c r="V102" s="731" t="str">
        <f t="shared" si="67"/>
        <v>6000</v>
      </c>
      <c r="W102" s="733" t="str">
        <f>IMSUM(COMPLEX(1,0),IMDIV(COMPLEX(0,2*PI()*D102),COMPLEX(2*PI()*'Stability Calculations'!EA_Pole1,0)))</f>
        <v>1+23041.1191054407i</v>
      </c>
      <c r="X102" s="734">
        <f t="shared" si="83"/>
        <v>23041.119127141035</v>
      </c>
      <c r="Y102" s="735">
        <f t="shared" si="84"/>
        <v>1.5707529261252158</v>
      </c>
      <c r="Z102" s="340" t="str">
        <f>IMSUM(COMPLEX(1,0),IMDIV(COMPLEX(0,2*PI()*D102),COMPLEX(2*PI()*'Stability Calculations'!EA_Zero1,0)))</f>
        <v>1+228.129892133076i</v>
      </c>
      <c r="AA102" s="734">
        <f t="shared" si="85"/>
        <v>228.1320838563679</v>
      </c>
      <c r="AB102" s="735">
        <f t="shared" si="86"/>
        <v>1.5664128872298571</v>
      </c>
      <c r="AC102" s="733" t="str">
        <f>IMSUM(COMPLEX(1,0),IMDIV(COMPLEX(0,2*PI()*D102),COMPLEX(2*PI()*'Stability Calculations'!EA_Pole2,0)))</f>
        <v>1+2.2980564597923i</v>
      </c>
      <c r="AD102" s="734">
        <f t="shared" si="87"/>
        <v>2.5062049980783936</v>
      </c>
      <c r="AE102" s="735">
        <f t="shared" si="88"/>
        <v>1.1603597776123182</v>
      </c>
      <c r="AF102" s="732" t="str">
        <f t="shared" si="89"/>
        <v>9.36361393281084-21.7759392454535i</v>
      </c>
      <c r="AG102" s="337">
        <f t="shared" si="90"/>
        <v>23.703771765362813</v>
      </c>
      <c r="AH102" s="730">
        <f t="shared" si="91"/>
        <v>-1.164699816507675</v>
      </c>
      <c r="AI102" s="731" t="str">
        <f t="shared" si="68"/>
        <v>10000</v>
      </c>
      <c r="AJ102" s="733" t="str">
        <f t="shared" si="92"/>
        <v>1+21480.6650172721i</v>
      </c>
      <c r="AK102" s="734">
        <f t="shared" si="93"/>
        <v>21480.665040548844</v>
      </c>
      <c r="AL102" s="735">
        <f t="shared" si="94"/>
        <v>1.5707497733013958</v>
      </c>
      <c r="AM102" s="340" t="str">
        <f t="shared" si="95"/>
        <v>1+36.4551567628655i</v>
      </c>
      <c r="AN102" s="734">
        <f t="shared" si="96"/>
        <v>36.468869664483684</v>
      </c>
      <c r="AO102" s="735">
        <f t="shared" si="97"/>
        <v>1.5433722424475045</v>
      </c>
      <c r="AP102" s="733" t="str">
        <f t="shared" si="98"/>
        <v>1+1.7681351931554i</v>
      </c>
      <c r="AQ102" s="734">
        <f t="shared" si="99"/>
        <v>2.0313301211951451</v>
      </c>
      <c r="AR102" s="735">
        <f t="shared" si="100"/>
        <v>1.0560796279382478</v>
      </c>
      <c r="AS102" s="732" t="str">
        <f t="shared" si="101"/>
        <v>0.207770209152561-64.4620897473189i</v>
      </c>
      <c r="AT102" s="337">
        <f t="shared" si="102"/>
        <v>64.462424582474455</v>
      </c>
      <c r="AU102" s="730">
        <f t="shared" si="103"/>
        <v>-1.5675731999851754</v>
      </c>
      <c r="AV102" s="732" t="str">
        <f t="shared" si="104"/>
        <v>-26.7486505426567-5.71026564174525i</v>
      </c>
      <c r="AW102" s="337">
        <f t="shared" si="105"/>
        <v>28.739581683242399</v>
      </c>
      <c r="AX102" s="730">
        <f t="shared" si="106"/>
        <v>-167.94946183274956</v>
      </c>
      <c r="AY102" s="360">
        <f t="shared" si="107"/>
        <v>12.050538167250437</v>
      </c>
      <c r="BB102" s="337">
        <f t="shared" si="108"/>
        <v>-3.8138672737163875</v>
      </c>
      <c r="BC102" s="730">
        <f t="shared" si="109"/>
        <v>-89.815328436967519</v>
      </c>
      <c r="BD102" s="351"/>
      <c r="BE102" s="337">
        <f t="shared" si="69"/>
        <v>36.380515186240039</v>
      </c>
      <c r="BF102" s="730">
        <f t="shared" si="70"/>
        <v>66.403954502210979</v>
      </c>
      <c r="BI102" s="351"/>
      <c r="BJ102" s="351"/>
      <c r="BL102" s="405">
        <f t="shared" si="71"/>
        <v>0</v>
      </c>
      <c r="BM102" s="405">
        <f t="shared" si="110"/>
        <v>0</v>
      </c>
      <c r="BN102" s="405">
        <f t="shared" si="73"/>
        <v>0</v>
      </c>
      <c r="BO102" s="405">
        <f t="shared" si="74"/>
        <v>0</v>
      </c>
    </row>
    <row r="103" spans="4:67" ht="13.5" thickBot="1" x14ac:dyDescent="0.25">
      <c r="D103" s="345">
        <v>3981.1</v>
      </c>
      <c r="E103" s="340" t="str">
        <f t="shared" si="60"/>
        <v>0.0660369310297294i</v>
      </c>
      <c r="F103" s="728" t="str">
        <f t="shared" si="75"/>
        <v>0.005-0.655370984837355i</v>
      </c>
      <c r="G103" s="337" t="str">
        <f t="shared" si="76"/>
        <v>0.005-1.02506743782253i</v>
      </c>
      <c r="H103" s="338" t="str">
        <f t="shared" si="77"/>
        <v>0.505600777577166-0.596636143835177i</v>
      </c>
      <c r="I103" s="338" t="str">
        <f t="shared" si="78"/>
        <v>0.515600777577166-0.596636143835177i</v>
      </c>
      <c r="J103" s="337" t="str">
        <f t="shared" si="79"/>
        <v>0.122149857087058-0.36104532755071i</v>
      </c>
      <c r="K103" s="338" t="str">
        <f t="shared" si="61"/>
        <v>0.999823898253222-0.0208449908553439i</v>
      </c>
      <c r="L103" s="732"/>
      <c r="M103" s="732" t="str">
        <f t="shared" si="62"/>
        <v>28.2758343594112+68.2899575454891i</v>
      </c>
      <c r="N103" s="337">
        <f t="shared" si="63"/>
        <v>0</v>
      </c>
      <c r="O103" s="730" t="str">
        <f t="shared" si="64"/>
        <v>25.0996421001254+25.4229724254045i</v>
      </c>
      <c r="P103" s="731" t="str">
        <f t="shared" si="65"/>
        <v>28.1096592164546-1.86724932340048i</v>
      </c>
      <c r="Q103" s="729" t="str">
        <f t="shared" si="66"/>
        <v>27.8586627954533-2.12147904765449i</v>
      </c>
      <c r="R103" s="730"/>
      <c r="S103" s="405" t="str">
        <f t="shared" si="80"/>
        <v>35.8178955510755+6.88752695192035i</v>
      </c>
      <c r="T103" s="405" t="str">
        <f t="shared" si="81"/>
        <v>17.290652364171-3.44131608167667i</v>
      </c>
      <c r="U103" s="405" t="str">
        <f t="shared" si="82"/>
        <v>6.68895372345175-12.056160237738i</v>
      </c>
      <c r="V103" s="731" t="str">
        <f t="shared" si="67"/>
        <v>6000</v>
      </c>
      <c r="W103" s="733" t="str">
        <f>IMSUM(COMPLEX(1,0),IMDIV(COMPLEX(0,2*PI()*D103),COMPLEX(2*PI()*'Stability Calculations'!EA_Pole1,0)))</f>
        <v>1+25264.1289166768i</v>
      </c>
      <c r="X103" s="734">
        <f t="shared" si="83"/>
        <v>25264.128936467703</v>
      </c>
      <c r="Y103" s="735">
        <f t="shared" si="84"/>
        <v>1.5707567449829618</v>
      </c>
      <c r="Z103" s="340" t="str">
        <f>IMSUM(COMPLEX(1,0),IMDIV(COMPLEX(0,2*PI()*D103),COMPLEX(2*PI()*'Stability Calculations'!EA_Zero1,0)))</f>
        <v>1+250.139890264127i</v>
      </c>
      <c r="AA103" s="734">
        <f t="shared" si="85"/>
        <v>250.14188913764423</v>
      </c>
      <c r="AB103" s="735">
        <f t="shared" si="86"/>
        <v>1.5667985850847459</v>
      </c>
      <c r="AC103" s="733" t="str">
        <f>IMSUM(COMPLEX(1,0),IMDIV(COMPLEX(0,2*PI()*D103),COMPLEX(2*PI()*'Stability Calculations'!EA_Pole2,0)))</f>
        <v>1+2.51977321033358i</v>
      </c>
      <c r="AD103" s="734">
        <f t="shared" si="87"/>
        <v>2.7109513148551367</v>
      </c>
      <c r="AE103" s="735">
        <f t="shared" si="88"/>
        <v>1.1929988123981312</v>
      </c>
      <c r="AF103" s="732" t="str">
        <f t="shared" si="89"/>
        <v>8.00263910967984-20.3999751171341i</v>
      </c>
      <c r="AG103" s="337">
        <f t="shared" si="90"/>
        <v>21.913493959190255</v>
      </c>
      <c r="AH103" s="730">
        <f t="shared" si="91"/>
        <v>-1.1969569722963465</v>
      </c>
      <c r="AI103" s="731" t="str">
        <f t="shared" si="68"/>
        <v>10000</v>
      </c>
      <c r="AJ103" s="733" t="str">
        <f t="shared" si="92"/>
        <v>1+23553.1220392922i</v>
      </c>
      <c r="AK103" s="734">
        <f t="shared" si="93"/>
        <v>23553.122060520804</v>
      </c>
      <c r="AL103" s="735">
        <f t="shared" si="94"/>
        <v>1.5707538695784933</v>
      </c>
      <c r="AM103" s="340" t="str">
        <f t="shared" si="95"/>
        <v>1+39.9723544642075i</v>
      </c>
      <c r="AN103" s="734">
        <f t="shared" si="96"/>
        <v>39.984861152844445</v>
      </c>
      <c r="AO103" s="735">
        <f t="shared" si="97"/>
        <v>1.5457842535732627</v>
      </c>
      <c r="AP103" s="733" t="str">
        <f t="shared" si="98"/>
        <v>1+1.93872507917567i</v>
      </c>
      <c r="AQ103" s="734">
        <f t="shared" si="99"/>
        <v>2.1814341458372533</v>
      </c>
      <c r="AR103" s="735">
        <f t="shared" si="100"/>
        <v>1.0945864781937116</v>
      </c>
      <c r="AS103" s="732" t="str">
        <f t="shared" si="101"/>
        <v>0.172815430000495-58.7901244669294i</v>
      </c>
      <c r="AT103" s="337">
        <f t="shared" si="102"/>
        <v>58.790378464591434</v>
      </c>
      <c r="AU103" s="730">
        <f t="shared" si="103"/>
        <v>-1.5678568036383653</v>
      </c>
      <c r="AV103" s="732" t="str">
        <f t="shared" si="104"/>
        <v>-22.3442512811981-4.07332666438439i</v>
      </c>
      <c r="AW103" s="337">
        <f t="shared" si="105"/>
        <v>27.125297957547776</v>
      </c>
      <c r="AX103" s="730">
        <f t="shared" si="106"/>
        <v>-169.66850835425547</v>
      </c>
      <c r="AY103" s="360">
        <f t="shared" si="107"/>
        <v>10.331491645744535</v>
      </c>
      <c r="BB103" s="337">
        <f t="shared" si="108"/>
        <v>-4.6138748803977876</v>
      </c>
      <c r="BC103" s="730">
        <f t="shared" si="109"/>
        <v>-89.831577729349789</v>
      </c>
      <c r="BD103" s="351"/>
      <c r="BE103" s="337">
        <f t="shared" si="69"/>
        <v>37.374344686644989</v>
      </c>
      <c r="BF103" s="730">
        <f t="shared" si="70"/>
        <v>67.507729153458527</v>
      </c>
      <c r="BI103" s="351"/>
      <c r="BJ103" s="351"/>
      <c r="BL103" s="405">
        <f t="shared" si="71"/>
        <v>0</v>
      </c>
      <c r="BM103" s="405">
        <f t="shared" si="110"/>
        <v>0</v>
      </c>
      <c r="BN103" s="405">
        <f t="shared" si="73"/>
        <v>0</v>
      </c>
      <c r="BO103" s="405">
        <f t="shared" si="74"/>
        <v>0</v>
      </c>
    </row>
    <row r="104" spans="4:67" ht="13.5" thickBot="1" x14ac:dyDescent="0.25">
      <c r="D104" s="345">
        <v>4365.2</v>
      </c>
      <c r="E104" s="340" t="str">
        <f t="shared" si="60"/>
        <v>0.0724082317276569i</v>
      </c>
      <c r="F104" s="728" t="str">
        <f t="shared" si="75"/>
        <v>0.005-0.597703983262162i</v>
      </c>
      <c r="G104" s="337" t="str">
        <f t="shared" si="76"/>
        <v>0.005-0.934870332794666i</v>
      </c>
      <c r="H104" s="338" t="str">
        <f t="shared" si="77"/>
        <v>0.45248212750706-0.584785910865497i</v>
      </c>
      <c r="I104" s="338" t="str">
        <f t="shared" si="78"/>
        <v>0.46248212750706-0.584785910865497i</v>
      </c>
      <c r="J104" s="337" t="str">
        <f t="shared" si="79"/>
        <v>0.103915371562251-0.334713250900936i</v>
      </c>
      <c r="K104" s="338" t="str">
        <f t="shared" si="61"/>
        <v>0.999788278099556-0.0228561337524169i</v>
      </c>
      <c r="L104" s="732"/>
      <c r="M104" s="732" t="str">
        <f t="shared" si="62"/>
        <v>30.8081791695362+77.7665508602637i</v>
      </c>
      <c r="N104" s="337">
        <f t="shared" si="63"/>
        <v>0</v>
      </c>
      <c r="O104" s="730" t="str">
        <f t="shared" si="64"/>
        <v>26.6671335638933+28.8958154706515i</v>
      </c>
      <c r="P104" s="731" t="str">
        <f t="shared" si="65"/>
        <v>29.2309384353506-2.23076577641496i</v>
      </c>
      <c r="Q104" s="729" t="str">
        <f t="shared" si="66"/>
        <v>28.9642670997116-2.51972393112147i</v>
      </c>
      <c r="R104" s="730"/>
      <c r="S104" s="405" t="str">
        <f t="shared" si="80"/>
        <v>36.4057991872841+6.43967314113038i</v>
      </c>
      <c r="T104" s="405" t="str">
        <f t="shared" si="81"/>
        <v>17.0564364130397-3.33409352446831i</v>
      </c>
      <c r="U104" s="405" t="str">
        <f t="shared" si="82"/>
        <v>5.76800171724411-11.4829814351778i</v>
      </c>
      <c r="V104" s="731" t="str">
        <f t="shared" si="67"/>
        <v>6000</v>
      </c>
      <c r="W104" s="733" t="str">
        <f>IMSUM(COMPLEX(1,0),IMDIV(COMPLEX(0,2*PI()*D104),COMPLEX(2*PI()*'Stability Calculations'!EA_Pole1,0)))</f>
        <v>1+27701.6341079293i</v>
      </c>
      <c r="X104" s="734">
        <f t="shared" si="83"/>
        <v>27701.634125978781</v>
      </c>
      <c r="Y104" s="735">
        <f t="shared" si="84"/>
        <v>1.5707602278414678</v>
      </c>
      <c r="Z104" s="340" t="str">
        <f>IMSUM(COMPLEX(1,0),IMDIV(COMPLEX(0,2*PI()*D104),COMPLEX(2*PI()*'Stability Calculations'!EA_Zero1,0)))</f>
        <v>1+274.273605029003i</v>
      </c>
      <c r="AA104" s="734">
        <f t="shared" si="85"/>
        <v>274.27542802009361</v>
      </c>
      <c r="AB104" s="735">
        <f t="shared" si="86"/>
        <v>1.5671503486526028</v>
      </c>
      <c r="AC104" s="733" t="str">
        <f>IMSUM(COMPLEX(1,0),IMDIV(COMPLEX(0,2*PI()*D104),COMPLEX(2*PI()*'Stability Calculations'!EA_Pole2,0)))</f>
        <v>1+2.76288312721311i</v>
      </c>
      <c r="AD104" s="734">
        <f t="shared" si="87"/>
        <v>2.9382857544219374</v>
      </c>
      <c r="AE104" s="735">
        <f t="shared" si="88"/>
        <v>1.223523721042723</v>
      </c>
      <c r="AF104" s="732" t="str">
        <f t="shared" si="89"/>
        <v>6.81221895068808-19.0358140258415i</v>
      </c>
      <c r="AG104" s="337">
        <f t="shared" si="90"/>
        <v>20.218025191856345</v>
      </c>
      <c r="AH104" s="730">
        <f t="shared" si="91"/>
        <v>-1.2271336002315882</v>
      </c>
      <c r="AI104" s="731" t="str">
        <f t="shared" si="68"/>
        <v>10000</v>
      </c>
      <c r="AJ104" s="733" t="str">
        <f t="shared" si="92"/>
        <v>1+25825.54779481i</v>
      </c>
      <c r="AK104" s="734">
        <f t="shared" si="93"/>
        <v>25825.54781417067</v>
      </c>
      <c r="AL104" s="735">
        <f t="shared" si="94"/>
        <v>1.5707576054478241</v>
      </c>
      <c r="AM104" s="340" t="str">
        <f t="shared" si="95"/>
        <v>1+43.8289220836347i</v>
      </c>
      <c r="AN104" s="734">
        <f t="shared" si="96"/>
        <v>43.840328591529989</v>
      </c>
      <c r="AO104" s="735">
        <f t="shared" si="97"/>
        <v>1.5479843003155949</v>
      </c>
      <c r="AP104" s="733" t="str">
        <f t="shared" si="98"/>
        <v>1+2.12577496561694i</v>
      </c>
      <c r="AQ104" s="734">
        <f t="shared" si="99"/>
        <v>2.3492380050654087</v>
      </c>
      <c r="AR104" s="735">
        <f t="shared" si="100"/>
        <v>1.1310942057217868</v>
      </c>
      <c r="AS104" s="732" t="str">
        <f t="shared" si="101"/>
        <v>0.143741121115971-53.6171778519676i</v>
      </c>
      <c r="AT104" s="337">
        <f t="shared" si="102"/>
        <v>53.617370527837558</v>
      </c>
      <c r="AU104" s="730">
        <f t="shared" si="103"/>
        <v>-1.5681154550572356</v>
      </c>
      <c r="AV104" s="732" t="str">
        <f t="shared" si="104"/>
        <v>-18.6187997078438-2.87690049006595i</v>
      </c>
      <c r="AW104" s="337">
        <f t="shared" si="105"/>
        <v>25.501503675503375</v>
      </c>
      <c r="AX104" s="730">
        <f t="shared" si="106"/>
        <v>-171.21635545088427</v>
      </c>
      <c r="AY104" s="360">
        <f t="shared" si="107"/>
        <v>8.7836445491157349</v>
      </c>
      <c r="BB104" s="337">
        <f t="shared" si="108"/>
        <v>-5.413889765008248</v>
      </c>
      <c r="BC104" s="730">
        <f t="shared" si="109"/>
        <v>-89.846397364016127</v>
      </c>
      <c r="BD104" s="351"/>
      <c r="BE104" s="337">
        <f t="shared" si="69"/>
        <v>38.448982394734308</v>
      </c>
      <c r="BF104" s="730">
        <f t="shared" si="70"/>
        <v>68.388393942120913</v>
      </c>
      <c r="BI104" s="351"/>
      <c r="BJ104" s="351"/>
      <c r="BL104" s="405">
        <f t="shared" si="71"/>
        <v>0</v>
      </c>
      <c r="BM104" s="405">
        <f t="shared" si="110"/>
        <v>0</v>
      </c>
      <c r="BN104" s="405">
        <f t="shared" si="73"/>
        <v>0</v>
      </c>
      <c r="BO104" s="405">
        <f t="shared" si="74"/>
        <v>0</v>
      </c>
    </row>
    <row r="105" spans="4:67" ht="13.5" thickBot="1" x14ac:dyDescent="0.25">
      <c r="D105" s="345">
        <v>4786.3</v>
      </c>
      <c r="E105" s="340" t="str">
        <f t="shared" si="60"/>
        <v>0.0793932739663896i</v>
      </c>
      <c r="F105" s="728" t="str">
        <f t="shared" si="75"/>
        <v>0.005-0.545117821226416i</v>
      </c>
      <c r="G105" s="337" t="str">
        <f t="shared" si="76"/>
        <v>0.005-0.85262018191824i</v>
      </c>
      <c r="H105" s="338" t="str">
        <f t="shared" si="77"/>
        <v>0.401860381221497-0.568665989078623i</v>
      </c>
      <c r="I105" s="338" t="str">
        <f t="shared" si="78"/>
        <v>0.411860381221497-0.568665989078623i</v>
      </c>
      <c r="J105" s="337" t="str">
        <f t="shared" si="79"/>
        <v>0.0882855312899354-0.309515545212896i</v>
      </c>
      <c r="K105" s="338" t="str">
        <f t="shared" si="61"/>
        <v>0.999745459247889-0.0250610081964614i</v>
      </c>
      <c r="L105" s="732"/>
      <c r="M105" s="732" t="str">
        <f t="shared" si="62"/>
        <v>34.2965949010858+89.3964186355748i</v>
      </c>
      <c r="N105" s="337">
        <f t="shared" si="63"/>
        <v>0</v>
      </c>
      <c r="O105" s="730" t="str">
        <f t="shared" si="64"/>
        <v>28.7854312198701+33.1335019895174i</v>
      </c>
      <c r="P105" s="731" t="str">
        <f t="shared" si="65"/>
        <v>30.6974743563483-2.72291895509619i</v>
      </c>
      <c r="Q105" s="729" t="str">
        <f t="shared" si="66"/>
        <v>30.4096200441496-3.05425397499145i</v>
      </c>
      <c r="R105" s="730"/>
      <c r="S105" s="405" t="str">
        <f t="shared" si="80"/>
        <v>36.9354013241728+5.96086783704721i</v>
      </c>
      <c r="T105" s="405" t="str">
        <f t="shared" si="81"/>
        <v>16.8448206260068-3.22134872135705i</v>
      </c>
      <c r="U105" s="405" t="str">
        <f t="shared" si="82"/>
        <v>4.93739458157717-10.8736090073521i</v>
      </c>
      <c r="V105" s="731" t="str">
        <f t="shared" si="67"/>
        <v>6000</v>
      </c>
      <c r="W105" s="733" t="str">
        <f>IMSUM(COMPLEX(1,0),IMDIV(COMPLEX(0,2*PI()*D105),COMPLEX(2*PI()*'Stability Calculations'!EA_Pole1,0)))</f>
        <v>1+30373.9419341112i</v>
      </c>
      <c r="X105" s="734">
        <f t="shared" si="83"/>
        <v>30373.941950572676</v>
      </c>
      <c r="Y105" s="735">
        <f t="shared" si="84"/>
        <v>1.570763403837389</v>
      </c>
      <c r="Z105" s="340" t="str">
        <f>IMSUM(COMPLEX(1,0),IMDIV(COMPLEX(0,2*PI()*D105),COMPLEX(2*PI()*'Stability Calculations'!EA_Zero1,0)))</f>
        <v>1+300.732098357537i</v>
      </c>
      <c r="AA105" s="734">
        <f t="shared" si="85"/>
        <v>300.73376096229583</v>
      </c>
      <c r="AB105" s="735">
        <f t="shared" si="86"/>
        <v>1.5674711203410701</v>
      </c>
      <c r="AC105" s="733" t="str">
        <f>IMSUM(COMPLEX(1,0),IMDIV(COMPLEX(0,2*PI()*D105),COMPLEX(2*PI()*'Stability Calculations'!EA_Pole2,0)))</f>
        <v>1+3.02941159895999i</v>
      </c>
      <c r="AD105" s="734">
        <f t="shared" si="87"/>
        <v>3.190193510731492</v>
      </c>
      <c r="AE105" s="735">
        <f t="shared" si="88"/>
        <v>1.2519611997472446</v>
      </c>
      <c r="AF105" s="732" t="str">
        <f t="shared" si="89"/>
        <v>5.77886558545048-17.7021443590415i</v>
      </c>
      <c r="AG105" s="337">
        <f t="shared" si="90"/>
        <v>18.621525242660674</v>
      </c>
      <c r="AH105" s="730">
        <f t="shared" si="91"/>
        <v>-1.2552534832435633</v>
      </c>
      <c r="AI105" s="731" t="str">
        <f t="shared" si="68"/>
        <v>10000</v>
      </c>
      <c r="AJ105" s="733" t="str">
        <f t="shared" si="92"/>
        <v>1+28316.8742349261i</v>
      </c>
      <c r="AK105" s="734">
        <f t="shared" si="93"/>
        <v>28316.874252583417</v>
      </c>
      <c r="AL105" s="735">
        <f t="shared" si="94"/>
        <v>1.5707610121626641</v>
      </c>
      <c r="AM105" s="340" t="str">
        <f t="shared" si="95"/>
        <v>1+48.0569893175344i</v>
      </c>
      <c r="AN105" s="734">
        <f t="shared" si="96"/>
        <v>48.067392505373284</v>
      </c>
      <c r="AO105" s="735">
        <f t="shared" si="97"/>
        <v>1.5499907016675363</v>
      </c>
      <c r="AP105" s="733" t="str">
        <f t="shared" si="98"/>
        <v>1+2.33084319571437i</v>
      </c>
      <c r="AQ105" s="734">
        <f t="shared" si="99"/>
        <v>2.5363024273552193</v>
      </c>
      <c r="AR105" s="735">
        <f t="shared" si="100"/>
        <v>1.1655177911702623</v>
      </c>
      <c r="AS105" s="732" t="str">
        <f t="shared" si="101"/>
        <v>0.119561130688118-48.899982810819i</v>
      </c>
      <c r="AT105" s="337">
        <f t="shared" si="102"/>
        <v>48.900128974905222</v>
      </c>
      <c r="AU105" s="730">
        <f t="shared" si="103"/>
        <v>-1.5683513179100803</v>
      </c>
      <c r="AV105" s="732" t="str">
        <f t="shared" si="104"/>
        <v>-15.4869476262917-2.00948450749265i</v>
      </c>
      <c r="AW105" s="337">
        <f t="shared" si="105"/>
        <v>23.871825521424434</v>
      </c>
      <c r="AX105" s="730">
        <f t="shared" si="106"/>
        <v>-172.60698118866381</v>
      </c>
      <c r="AY105" s="360">
        <f t="shared" si="107"/>
        <v>7.3930188113361908</v>
      </c>
      <c r="BB105" s="337">
        <f t="shared" si="108"/>
        <v>-6.213799908318693</v>
      </c>
      <c r="BC105" s="730">
        <f t="shared" si="109"/>
        <v>-89.859911310028039</v>
      </c>
      <c r="BD105" s="351"/>
      <c r="BE105" s="337">
        <f t="shared" si="69"/>
        <v>39.62273471831196</v>
      </c>
      <c r="BF105" s="730">
        <f t="shared" si="70"/>
        <v>69.01087969586618</v>
      </c>
      <c r="BI105" s="351"/>
      <c r="BJ105" s="351"/>
      <c r="BL105" s="405">
        <f t="shared" si="71"/>
        <v>0</v>
      </c>
      <c r="BM105" s="405">
        <f t="shared" si="110"/>
        <v>0</v>
      </c>
      <c r="BN105" s="405">
        <f t="shared" si="73"/>
        <v>0</v>
      </c>
      <c r="BO105" s="405">
        <f t="shared" si="74"/>
        <v>0</v>
      </c>
    </row>
    <row r="106" spans="4:67" ht="13.5" thickBot="1" x14ac:dyDescent="0.25">
      <c r="D106" s="345">
        <v>5248.1</v>
      </c>
      <c r="E106" s="340" t="str">
        <f t="shared" si="60"/>
        <v>0.0870534319000083i</v>
      </c>
      <c r="F106" s="728" t="str">
        <f t="shared" si="75"/>
        <v>0.005-0.497150859879955i</v>
      </c>
      <c r="G106" s="337" t="str">
        <f t="shared" si="76"/>
        <v>0.005-0.77759493468403i</v>
      </c>
      <c r="H106" s="338" t="str">
        <f t="shared" si="77"/>
        <v>0.354339689836103-0.548874015736569i</v>
      </c>
      <c r="I106" s="338" t="str">
        <f t="shared" si="78"/>
        <v>0.364339689836103-0.548874015736569i</v>
      </c>
      <c r="J106" s="337" t="str">
        <f t="shared" si="79"/>
        <v>0.0749475658922679-0.285588429247027i</v>
      </c>
      <c r="K106" s="338" t="str">
        <f t="shared" si="61"/>
        <v>0.999693971626556-0.0274789873421743i</v>
      </c>
      <c r="L106" s="732"/>
      <c r="M106" s="732" t="str">
        <f t="shared" si="62"/>
        <v>39.2767847444312+104.043623861566i</v>
      </c>
      <c r="N106" s="337">
        <f t="shared" si="63"/>
        <v>0</v>
      </c>
      <c r="O106" s="730" t="str">
        <f t="shared" si="64"/>
        <v>31.7393443131258+38.4304067182167i</v>
      </c>
      <c r="P106" s="731" t="str">
        <f t="shared" si="65"/>
        <v>32.6573545244629-3.41917890600063i</v>
      </c>
      <c r="Q106" s="729" t="str">
        <f t="shared" si="66"/>
        <v>32.3399610813317-3.80348297318282i</v>
      </c>
      <c r="R106" s="730"/>
      <c r="S106" s="405" t="str">
        <f t="shared" si="80"/>
        <v>37.4071673678998+5.45978054504816i</v>
      </c>
      <c r="T106" s="405" t="str">
        <f t="shared" si="81"/>
        <v>16.6555354038622-3.10717261731945i</v>
      </c>
      <c r="U106" s="405" t="str">
        <f t="shared" si="82"/>
        <v>4.19627093700392-10.2427851828487i</v>
      </c>
      <c r="V106" s="731" t="str">
        <f t="shared" si="67"/>
        <v>6000</v>
      </c>
      <c r="W106" s="733" t="str">
        <f>IMSUM(COMPLEX(1,0),IMDIV(COMPLEX(0,2*PI()*D106),COMPLEX(2*PI()*'Stability Calculations'!EA_Pole1,0)))</f>
        <v>1+33304.5326587153i</v>
      </c>
      <c r="X106" s="734">
        <f t="shared" si="83"/>
        <v>33304.532673728274</v>
      </c>
      <c r="Y106" s="735">
        <f t="shared" si="84"/>
        <v>1.5707663008518833</v>
      </c>
      <c r="Z106" s="340" t="str">
        <f>IMSUM(COMPLEX(1,0),IMDIV(COMPLEX(0,2*PI()*D106),COMPLEX(2*PI()*'Stability Calculations'!EA_Zero1,0)))</f>
        <v>1+329.747848106092i</v>
      </c>
      <c r="AA106" s="734">
        <f t="shared" si="85"/>
        <v>329.74936441272837</v>
      </c>
      <c r="AB106" s="735">
        <f t="shared" si="86"/>
        <v>1.5677637158463635</v>
      </c>
      <c r="AC106" s="733" t="str">
        <f>IMSUM(COMPLEX(1,0),IMDIV(COMPLEX(0,2*PI()*D106),COMPLEX(2*PI()*'Stability Calculations'!EA_Pole2,0)))</f>
        <v>1+3.32170048106092i</v>
      </c>
      <c r="AD106" s="734">
        <f t="shared" si="87"/>
        <v>3.468961528452045</v>
      </c>
      <c r="AE106" s="735">
        <f t="shared" si="88"/>
        <v>1.2783759367298615</v>
      </c>
      <c r="AF106" s="732" t="str">
        <f t="shared" si="89"/>
        <v>4.88739761671712-16.4128429531717i</v>
      </c>
      <c r="AG106" s="337">
        <f t="shared" si="90"/>
        <v>17.125071365380354</v>
      </c>
      <c r="AH106" s="730">
        <f t="shared" si="91"/>
        <v>-1.2813785217353815</v>
      </c>
      <c r="AI106" s="731" t="str">
        <f t="shared" si="68"/>
        <v>10000</v>
      </c>
      <c r="AJ106" s="733" t="str">
        <f t="shared" si="92"/>
        <v>1+31048.9914281001i</v>
      </c>
      <c r="AK106" s="734">
        <f t="shared" si="93"/>
        <v>31048.991444203679</v>
      </c>
      <c r="AL106" s="735">
        <f t="shared" si="94"/>
        <v>1.5707641196295861</v>
      </c>
      <c r="AM106" s="340" t="str">
        <f t="shared" si="95"/>
        <v>1+52.6937061273535i</v>
      </c>
      <c r="AN106" s="734">
        <f t="shared" si="96"/>
        <v>52.703194072426882</v>
      </c>
      <c r="AO106" s="735">
        <f t="shared" si="97"/>
        <v>1.5518210060275628</v>
      </c>
      <c r="AP106" s="733" t="str">
        <f t="shared" si="98"/>
        <v>1+2.55573160383356i</v>
      </c>
      <c r="AQ106" s="734">
        <f t="shared" si="99"/>
        <v>2.7444059522661113</v>
      </c>
      <c r="AR106" s="735">
        <f t="shared" si="100"/>
        <v>1.1978319805008451</v>
      </c>
      <c r="AS106" s="732" t="str">
        <f t="shared" si="101"/>
        <v>0.0994457160787346-44.5971347972518i</v>
      </c>
      <c r="AT106" s="337">
        <f t="shared" si="102"/>
        <v>44.597245672515406</v>
      </c>
      <c r="AU106" s="730">
        <f t="shared" si="103"/>
        <v>-1.568566462663348</v>
      </c>
      <c r="AV106" s="732" t="str">
        <f t="shared" si="104"/>
        <v>-12.8655097297008-1.38465709063015i</v>
      </c>
      <c r="AW106" s="337">
        <f t="shared" si="105"/>
        <v>22.238556252371041</v>
      </c>
      <c r="AX106" s="730">
        <f t="shared" si="106"/>
        <v>-173.85715751904257</v>
      </c>
      <c r="AY106" s="360">
        <f t="shared" si="107"/>
        <v>6.1428424809574267</v>
      </c>
      <c r="BB106" s="337">
        <f t="shared" si="108"/>
        <v>-7.0138392500466251</v>
      </c>
      <c r="BC106" s="730">
        <f t="shared" si="109"/>
        <v>-89.872238196374667</v>
      </c>
      <c r="BD106" s="351"/>
      <c r="BE106" s="337">
        <f t="shared" si="69"/>
        <v>40.922903989278716</v>
      </c>
      <c r="BF106" s="730">
        <f t="shared" si="70"/>
        <v>69.318325654326969</v>
      </c>
      <c r="BI106" s="351"/>
      <c r="BJ106" s="351"/>
      <c r="BL106" s="405">
        <f t="shared" si="71"/>
        <v>0</v>
      </c>
      <c r="BM106" s="405">
        <f t="shared" si="110"/>
        <v>0</v>
      </c>
      <c r="BN106" s="405">
        <f t="shared" si="73"/>
        <v>0</v>
      </c>
      <c r="BO106" s="405">
        <f t="shared" si="74"/>
        <v>0</v>
      </c>
    </row>
    <row r="107" spans="4:67" ht="13.5" thickBot="1" x14ac:dyDescent="0.25">
      <c r="D107" s="345">
        <v>5370.3</v>
      </c>
      <c r="E107" s="340" t="str">
        <f t="shared" si="60"/>
        <v>0.0890804377455868i</v>
      </c>
      <c r="F107" s="728" t="str">
        <f t="shared" si="75"/>
        <v>0.005-0.485838300976852i</v>
      </c>
      <c r="G107" s="337" t="str">
        <f t="shared" si="76"/>
        <v>0.005-0.759900932297131i</v>
      </c>
      <c r="H107" s="338" t="str">
        <f t="shared" si="77"/>
        <v>0.343006329757595-0.543434082833477i</v>
      </c>
      <c r="I107" s="338" t="str">
        <f t="shared" si="78"/>
        <v>0.353006329757595-0.543434082833477i</v>
      </c>
      <c r="J107" s="337" t="str">
        <f t="shared" si="79"/>
        <v>0.0719382376631094-0.279819422742829i</v>
      </c>
      <c r="K107" s="338" t="str">
        <f t="shared" si="61"/>
        <v>0.999679554199-0.0281188250459554i</v>
      </c>
      <c r="L107" s="732"/>
      <c r="M107" s="732" t="str">
        <f t="shared" si="62"/>
        <v>40.8538644173371+108.321038787052i</v>
      </c>
      <c r="N107" s="337">
        <f t="shared" si="63"/>
        <v>0</v>
      </c>
      <c r="O107" s="730" t="str">
        <f t="shared" si="64"/>
        <v>32.6596912628099+39.9684313049653i</v>
      </c>
      <c r="P107" s="731" t="str">
        <f t="shared" si="65"/>
        <v>33.2492855522073-3.63928012589525i</v>
      </c>
      <c r="Q107" s="729" t="str">
        <f t="shared" si="66"/>
        <v>32.9226886395791-4.03896443894487i</v>
      </c>
      <c r="R107" s="730"/>
      <c r="S107" s="405" t="str">
        <f t="shared" si="80"/>
        <v>37.516211997223+5.33201706930557i</v>
      </c>
      <c r="T107" s="405" t="str">
        <f t="shared" si="81"/>
        <v>16.6116368138098-3.07886620014962i</v>
      </c>
      <c r="U107" s="405" t="str">
        <f t="shared" si="82"/>
        <v>4.02473574512572-10.0834002114035i</v>
      </c>
      <c r="V107" s="731" t="str">
        <f t="shared" si="67"/>
        <v>6000</v>
      </c>
      <c r="W107" s="733" t="str">
        <f>IMSUM(COMPLEX(1,0),IMDIV(COMPLEX(0,2*PI()*D107),COMPLEX(2*PI()*'Stability Calculations'!EA_Pole1,0)))</f>
        <v>1+34080.015955698i</v>
      </c>
      <c r="X107" s="734">
        <f t="shared" si="83"/>
        <v>34080.01597036935</v>
      </c>
      <c r="Y107" s="735">
        <f t="shared" si="84"/>
        <v>1.5707669840856382</v>
      </c>
      <c r="Z107" s="340" t="str">
        <f>IMSUM(COMPLEX(1,0),IMDIV(COMPLEX(0,2*PI()*D107),COMPLEX(2*PI()*'Stability Calculations'!EA_Zero1,0)))</f>
        <v>1+337.425900551465i</v>
      </c>
      <c r="AA107" s="734">
        <f t="shared" si="85"/>
        <v>337.42738235502935</v>
      </c>
      <c r="AB107" s="735">
        <f t="shared" si="86"/>
        <v>1.5678327218353707</v>
      </c>
      <c r="AC107" s="733" t="str">
        <f>IMSUM(COMPLEX(1,0),IMDIV(COMPLEX(0,2*PI()*D107),COMPLEX(2*PI()*'Stability Calculations'!EA_Pole2,0)))</f>
        <v>1+3.39904500551465i</v>
      </c>
      <c r="AD107" s="734">
        <f t="shared" si="87"/>
        <v>3.543092850817501</v>
      </c>
      <c r="AE107" s="735">
        <f t="shared" si="88"/>
        <v>1.2846688308235781</v>
      </c>
      <c r="AF107" s="732" t="str">
        <f t="shared" si="89"/>
        <v>4.68502130848151-16.0989114035317i</v>
      </c>
      <c r="AG107" s="337">
        <f t="shared" si="90"/>
        <v>16.766763940596555</v>
      </c>
      <c r="AH107" s="730">
        <f t="shared" si="91"/>
        <v>-1.2876030930738465</v>
      </c>
      <c r="AI107" s="731" t="str">
        <f t="shared" si="68"/>
        <v>10000</v>
      </c>
      <c r="AJ107" s="733" t="str">
        <f t="shared" si="92"/>
        <v>1+31771.955310746i</v>
      </c>
      <c r="AK107" s="734">
        <f t="shared" si="93"/>
        <v>31771.955326483145</v>
      </c>
      <c r="AL107" s="735">
        <f t="shared" si="94"/>
        <v>1.5707648524965763</v>
      </c>
      <c r="AM107" s="340" t="str">
        <f t="shared" si="95"/>
        <v>1+53.9206589081241i</v>
      </c>
      <c r="AN107" s="734">
        <f t="shared" si="96"/>
        <v>53.929930994636585</v>
      </c>
      <c r="AO107" s="735">
        <f t="shared" si="97"/>
        <v>1.5522526851665361</v>
      </c>
      <c r="AP107" s="733" t="str">
        <f t="shared" si="98"/>
        <v>1+2.61524083612495i</v>
      </c>
      <c r="AQ107" s="734">
        <f t="shared" si="99"/>
        <v>2.7999079682974455</v>
      </c>
      <c r="AR107" s="735">
        <f t="shared" si="100"/>
        <v>1.2055765374894669</v>
      </c>
      <c r="AS107" s="732" t="str">
        <f t="shared" si="101"/>
        <v>0.0949714973667866-43.5823465149643i</v>
      </c>
      <c r="AT107" s="337">
        <f t="shared" si="102"/>
        <v>43.582449992350512</v>
      </c>
      <c r="AU107" s="730">
        <f t="shared" si="103"/>
        <v>-1.5686172025706544</v>
      </c>
      <c r="AV107" s="732" t="str">
        <f t="shared" si="104"/>
        <v>-12.2811671393725-1.25838245356011i</v>
      </c>
      <c r="AW107" s="337">
        <f t="shared" si="105"/>
        <v>21.830151519989958</v>
      </c>
      <c r="AX107" s="730">
        <f t="shared" si="106"/>
        <v>-174.14963939639827</v>
      </c>
      <c r="AY107" s="360">
        <f t="shared" si="107"/>
        <v>5.8503606036017288</v>
      </c>
      <c r="BB107" s="337">
        <f t="shared" si="108"/>
        <v>-7.2137671898030575</v>
      </c>
      <c r="BC107" s="730">
        <f t="shared" si="109"/>
        <v>-89.875145378916201</v>
      </c>
      <c r="BD107" s="351"/>
      <c r="BE107" s="337">
        <f t="shared" si="69"/>
        <v>41.271853519282125</v>
      </c>
      <c r="BF107" s="730">
        <f t="shared" si="70"/>
        <v>69.335761841542805</v>
      </c>
      <c r="BI107" s="351"/>
      <c r="BJ107" s="351"/>
      <c r="BL107" s="405">
        <f t="shared" si="71"/>
        <v>0</v>
      </c>
      <c r="BM107" s="405">
        <f t="shared" si="110"/>
        <v>0</v>
      </c>
      <c r="BN107" s="405">
        <f t="shared" si="73"/>
        <v>0</v>
      </c>
      <c r="BO107" s="405">
        <f t="shared" si="74"/>
        <v>0</v>
      </c>
    </row>
    <row r="108" spans="4:67" ht="13.5" thickBot="1" x14ac:dyDescent="0.25">
      <c r="D108" s="345">
        <v>5432.85</v>
      </c>
      <c r="E108" s="340" t="str">
        <f t="shared" si="60"/>
        <v>0.090117992701732i</v>
      </c>
      <c r="F108" s="728" t="str">
        <f t="shared" si="75"/>
        <v>0.005-0.480244701719353i</v>
      </c>
      <c r="G108" s="337" t="str">
        <f t="shared" si="76"/>
        <v>0.005-0.751151969355914i</v>
      </c>
      <c r="H108" s="338" t="str">
        <f t="shared" si="77"/>
        <v>0.337390574312116-0.540630260610934i</v>
      </c>
      <c r="I108" s="338" t="str">
        <f t="shared" si="78"/>
        <v>0.347390574312116-0.540630260610934i</v>
      </c>
      <c r="J108" s="337" t="str">
        <f t="shared" si="79"/>
        <v>0.0704701537042919-0.276949571440502i</v>
      </c>
      <c r="K108" s="338" t="str">
        <f t="shared" si="61"/>
        <v>0.99967204600975-0.0284463360800922i</v>
      </c>
      <c r="L108" s="732"/>
      <c r="M108" s="732" t="str">
        <f t="shared" si="62"/>
        <v>41.7107803249847+110.584276163829i</v>
      </c>
      <c r="N108" s="337">
        <f t="shared" si="63"/>
        <v>0</v>
      </c>
      <c r="O108" s="730" t="str">
        <f t="shared" si="64"/>
        <v>33.1569944011711+40.7805616353356i</v>
      </c>
      <c r="P108" s="731" t="str">
        <f t="shared" si="65"/>
        <v>33.5656329922583-3.75889179691052i</v>
      </c>
      <c r="Q108" s="729" t="str">
        <f t="shared" si="66"/>
        <v>33.2340630482466-4.16669741326387i</v>
      </c>
      <c r="R108" s="730"/>
      <c r="S108" s="405" t="str">
        <f t="shared" si="80"/>
        <v>37.5697612999059+5.26743251034871i</v>
      </c>
      <c r="T108" s="405" t="str">
        <f t="shared" si="81"/>
        <v>16.5900542285058-3.06469792250748i</v>
      </c>
      <c r="U108" s="405" t="str">
        <f t="shared" si="82"/>
        <v>3.94045948748574-10.0030855332746i</v>
      </c>
      <c r="V108" s="731" t="str">
        <f t="shared" si="67"/>
        <v>6000</v>
      </c>
      <c r="W108" s="733" t="str">
        <f>IMSUM(COMPLEX(1,0),IMDIV(COMPLEX(0,2*PI()*D108),COMPLEX(2*PI()*'Stability Calculations'!EA_Pole1,0)))</f>
        <v>1+34476.9593290717i</v>
      </c>
      <c r="X108" s="734">
        <f t="shared" si="83"/>
        <v>34476.959343574141</v>
      </c>
      <c r="Y108" s="735">
        <f t="shared" si="84"/>
        <v>1.5707673219168801</v>
      </c>
      <c r="Z108" s="340" t="str">
        <f>IMSUM(COMPLEX(1,0),IMDIV(COMPLEX(0,2*PI()*D108),COMPLEX(2*PI()*'Stability Calculations'!EA_Zero1,0)))</f>
        <v>1+341.356032961106i</v>
      </c>
      <c r="AA108" s="734">
        <f t="shared" si="85"/>
        <v>341.35749770430368</v>
      </c>
      <c r="AB108" s="735">
        <f t="shared" si="86"/>
        <v>1.5678668424945965</v>
      </c>
      <c r="AC108" s="733" t="str">
        <f>IMSUM(COMPLEX(1,0),IMDIV(COMPLEX(0,2*PI()*D108),COMPLEX(2*PI()*'Stability Calculations'!EA_Pole2,0)))</f>
        <v>1+3.43863502191875i</v>
      </c>
      <c r="AD108" s="734">
        <f t="shared" si="87"/>
        <v>3.5810907296473466</v>
      </c>
      <c r="AE108" s="735">
        <f t="shared" si="88"/>
        <v>1.287789074620012</v>
      </c>
      <c r="AF108" s="732" t="str">
        <f t="shared" si="89"/>
        <v>4.58612606192371-15.9423198974071i</v>
      </c>
      <c r="AG108" s="337">
        <f t="shared" si="90"/>
        <v>16.588855173492782</v>
      </c>
      <c r="AH108" s="730">
        <f t="shared" si="91"/>
        <v>-1.2906895540422945</v>
      </c>
      <c r="AI108" s="731" t="str">
        <f t="shared" si="68"/>
        <v>10000</v>
      </c>
      <c r="AJ108" s="733" t="str">
        <f t="shared" si="92"/>
        <v>1+32142.0157924113i</v>
      </c>
      <c r="AK108" s="734">
        <f t="shared" si="93"/>
        <v>32142.015807967266</v>
      </c>
      <c r="AL108" s="735">
        <f t="shared" si="94"/>
        <v>1.57076521486943</v>
      </c>
      <c r="AM108" s="340" t="str">
        <f t="shared" si="95"/>
        <v>1+54.5486940671847i</v>
      </c>
      <c r="AN108" s="734">
        <f t="shared" si="96"/>
        <v>54.557859419476038</v>
      </c>
      <c r="AO108" s="735">
        <f t="shared" si="97"/>
        <v>1.5524661354685625</v>
      </c>
      <c r="AP108" s="733" t="str">
        <f t="shared" si="98"/>
        <v>1+2.64570157654907i</v>
      </c>
      <c r="AQ108" s="734">
        <f t="shared" si="99"/>
        <v>2.8283806024215052</v>
      </c>
      <c r="AR108" s="735">
        <f t="shared" si="100"/>
        <v>1.209422985971492</v>
      </c>
      <c r="AS108" s="732" t="str">
        <f t="shared" si="101"/>
        <v>0.0927972269256061-43.0805748242383i</v>
      </c>
      <c r="AT108" s="337">
        <f t="shared" si="102"/>
        <v>43.080674768533051</v>
      </c>
      <c r="AU108" s="730">
        <f t="shared" si="103"/>
        <v>-1.5686422913907301</v>
      </c>
      <c r="AV108" s="732" t="str">
        <f t="shared" si="104"/>
        <v>-11.9970955998401-1.19874582761458i</v>
      </c>
      <c r="AW108" s="337">
        <f t="shared" si="105"/>
        <v>21.624667073258806</v>
      </c>
      <c r="AX108" s="730">
        <f t="shared" si="106"/>
        <v>-174.29396392556148</v>
      </c>
      <c r="AY108" s="360">
        <f t="shared" si="107"/>
        <v>5.706036074438515</v>
      </c>
      <c r="BB108" s="337">
        <f t="shared" si="108"/>
        <v>-7.3143500601480271</v>
      </c>
      <c r="BC108" s="730">
        <f t="shared" si="109"/>
        <v>-89.876582862419511</v>
      </c>
      <c r="BD108" s="351"/>
      <c r="BE108" s="337">
        <f t="shared" si="69"/>
        <v>41.451550989207121</v>
      </c>
      <c r="BF108" s="730">
        <f t="shared" si="70"/>
        <v>69.334254231268886</v>
      </c>
      <c r="BI108" s="351"/>
      <c r="BJ108" s="351"/>
      <c r="BL108" s="405">
        <f t="shared" si="71"/>
        <v>0</v>
      </c>
      <c r="BM108" s="405">
        <f t="shared" si="110"/>
        <v>0</v>
      </c>
      <c r="BN108" s="405">
        <f t="shared" si="73"/>
        <v>0</v>
      </c>
      <c r="BO108" s="405">
        <f t="shared" si="74"/>
        <v>0</v>
      </c>
    </row>
    <row r="109" spans="4:67" ht="13.5" thickBot="1" x14ac:dyDescent="0.25">
      <c r="D109" s="345">
        <v>5495.4</v>
      </c>
      <c r="E109" s="340" t="str">
        <f t="shared" si="60"/>
        <v>0.0911555476578772i</v>
      </c>
      <c r="F109" s="728" t="str">
        <f t="shared" si="75"/>
        <v>0.005-0.474778437918256i</v>
      </c>
      <c r="G109" s="337" t="str">
        <f t="shared" si="76"/>
        <v>0.005-0.742602172128558i</v>
      </c>
      <c r="H109" s="338" t="str">
        <f t="shared" si="77"/>
        <v>0.331896497463056-0.53781630244351i</v>
      </c>
      <c r="I109" s="338" t="str">
        <f t="shared" si="78"/>
        <v>0.341896497463056-0.53781630244351i</v>
      </c>
      <c r="J109" s="337" t="str">
        <f t="shared" si="79"/>
        <v>0.0690483647382757-0.274134089673302i</v>
      </c>
      <c r="K109" s="338" t="str">
        <f t="shared" si="61"/>
        <v>0.999664450876-0.0287738471142289i</v>
      </c>
      <c r="L109" s="732"/>
      <c r="M109" s="732" t="str">
        <f t="shared" si="62"/>
        <v>42.6037001464771+112.900037051035i</v>
      </c>
      <c r="N109" s="337">
        <f t="shared" si="63"/>
        <v>0</v>
      </c>
      <c r="O109" s="730" t="str">
        <f t="shared" si="64"/>
        <v>33.6731932446685+41.6103375400812i</v>
      </c>
      <c r="P109" s="731" t="str">
        <f t="shared" si="65"/>
        <v>33.8914647079818-3.88356361910409i</v>
      </c>
      <c r="Q109" s="729" t="str">
        <f t="shared" si="66"/>
        <v>33.5547327755351-4.29966699450492i</v>
      </c>
      <c r="R109" s="730"/>
      <c r="S109" s="405" t="str">
        <f t="shared" si="80"/>
        <v>37.6218429367147+5.2034021869487i</v>
      </c>
      <c r="T109" s="405" t="str">
        <f t="shared" si="81"/>
        <v>16.5690460796706-3.05074829183346i</v>
      </c>
      <c r="U109" s="405" t="str">
        <f t="shared" si="82"/>
        <v>3.85846619414697-9.92363577028556i</v>
      </c>
      <c r="V109" s="731" t="str">
        <f t="shared" si="67"/>
        <v>6000</v>
      </c>
      <c r="W109" s="733" t="str">
        <f>IMSUM(COMPLEX(1,0),IMDIV(COMPLEX(0,2*PI()*D109),COMPLEX(2*PI()*'Stability Calculations'!EA_Pole1,0)))</f>
        <v>1+34873.9027024454i</v>
      </c>
      <c r="X109" s="734">
        <f t="shared" si="83"/>
        <v>34873.902716782766</v>
      </c>
      <c r="Y109" s="735">
        <f t="shared" si="84"/>
        <v>1.5707676520575649</v>
      </c>
      <c r="Z109" s="340" t="str">
        <f>IMSUM(COMPLEX(1,0),IMDIV(COMPLEX(0,2*PI()*D109),COMPLEX(2*PI()*'Stability Calculations'!EA_Zero1,0)))</f>
        <v>1+345.286165370747i</v>
      </c>
      <c r="AA109" s="734">
        <f t="shared" si="85"/>
        <v>345.28761344194618</v>
      </c>
      <c r="AB109" s="735">
        <f t="shared" si="86"/>
        <v>1.5679001864208728</v>
      </c>
      <c r="AC109" s="733" t="str">
        <f>IMSUM(COMPLEX(1,0),IMDIV(COMPLEX(0,2*PI()*D109),COMPLEX(2*PI()*'Stability Calculations'!EA_Pole2,0)))</f>
        <v>1+3.47822503832286i</v>
      </c>
      <c r="AD109" s="734">
        <f t="shared" si="87"/>
        <v>3.6191227413858269</v>
      </c>
      <c r="AE109" s="735">
        <f t="shared" si="88"/>
        <v>1.2908437686804628</v>
      </c>
      <c r="AF109" s="732" t="str">
        <f t="shared" si="89"/>
        <v>4.4902447265999-15.7884266104117i</v>
      </c>
      <c r="AG109" s="337">
        <f t="shared" si="90"/>
        <v>16.414527484430199</v>
      </c>
      <c r="AH109" s="730">
        <f t="shared" si="91"/>
        <v>-1.2937112343171557</v>
      </c>
      <c r="AI109" s="731" t="str">
        <f t="shared" si="68"/>
        <v>10000</v>
      </c>
      <c r="AJ109" s="733" t="str">
        <f t="shared" si="92"/>
        <v>1+32512.0762740766i</v>
      </c>
      <c r="AK109" s="734">
        <f t="shared" si="93"/>
        <v>32512.076289455501</v>
      </c>
      <c r="AL109" s="735">
        <f t="shared" si="94"/>
        <v>1.5707655689930493</v>
      </c>
      <c r="AM109" s="340" t="str">
        <f t="shared" si="95"/>
        <v>1+55.1767292262454i</v>
      </c>
      <c r="AN109" s="734">
        <f t="shared" si="96"/>
        <v>55.185790273460832</v>
      </c>
      <c r="AO109" s="735">
        <f t="shared" si="97"/>
        <v>1.5526747282965006</v>
      </c>
      <c r="AP109" s="733" t="str">
        <f t="shared" si="98"/>
        <v>1+2.67616231697318i</v>
      </c>
      <c r="AQ109" s="734">
        <f t="shared" si="99"/>
        <v>2.8568942484430986</v>
      </c>
      <c r="AR109" s="735">
        <f t="shared" si="100"/>
        <v>1.2131927092335444</v>
      </c>
      <c r="AS109" s="732" t="str">
        <f t="shared" si="101"/>
        <v>0.0906967769362287-42.5902255549231i</v>
      </c>
      <c r="AT109" s="337">
        <f t="shared" si="102"/>
        <v>42.59032212515622</v>
      </c>
      <c r="AU109" s="730">
        <f t="shared" si="103"/>
        <v>-1.5686668090791334</v>
      </c>
      <c r="AV109" s="732" t="str">
        <f t="shared" si="104"/>
        <v>-11.7226151008428-1.14221910933032i</v>
      </c>
      <c r="AW109" s="337">
        <f t="shared" si="105"/>
        <v>21.421527589914042</v>
      </c>
      <c r="AX109" s="730">
        <f t="shared" si="106"/>
        <v>-174.43482569963797</v>
      </c>
      <c r="AY109" s="360">
        <f t="shared" si="107"/>
        <v>5.5651743003620311</v>
      </c>
      <c r="BB109" s="337">
        <f t="shared" si="108"/>
        <v>-7.4137815039259278</v>
      </c>
      <c r="BC109" s="730">
        <f t="shared" si="109"/>
        <v>-89.877987622488433</v>
      </c>
      <c r="BD109" s="351"/>
      <c r="BE109" s="337">
        <f t="shared" si="69"/>
        <v>41.632059246332211</v>
      </c>
      <c r="BF109" s="730">
        <f t="shared" si="70"/>
        <v>69.325614073941139</v>
      </c>
      <c r="BI109" s="351"/>
      <c r="BJ109" s="351"/>
      <c r="BL109" s="405">
        <f t="shared" si="71"/>
        <v>0</v>
      </c>
      <c r="BM109" s="405">
        <f t="shared" si="110"/>
        <v>0</v>
      </c>
      <c r="BN109" s="405">
        <f t="shared" si="73"/>
        <v>0</v>
      </c>
      <c r="BO109" s="405">
        <f t="shared" si="74"/>
        <v>0</v>
      </c>
    </row>
    <row r="110" spans="4:67" ht="13.5" thickBot="1" x14ac:dyDescent="0.25">
      <c r="D110" s="345">
        <v>5559.4</v>
      </c>
      <c r="E110" s="340" t="str">
        <f t="shared" si="60"/>
        <v>0.0922171546473783i</v>
      </c>
      <c r="F110" s="728" t="str">
        <f t="shared" si="75"/>
        <v>0.005-0.46931277255387i</v>
      </c>
      <c r="G110" s="337" t="str">
        <f t="shared" si="76"/>
        <v>0.005-0.734053310917595i</v>
      </c>
      <c r="H110" s="338" t="str">
        <f t="shared" si="77"/>
        <v>0.326398012279138-0.53492877491895i</v>
      </c>
      <c r="I110" s="338" t="str">
        <f t="shared" si="78"/>
        <v>0.336398012279138-0.53492877491895i</v>
      </c>
      <c r="J110" s="337" t="str">
        <f t="shared" si="79"/>
        <v>0.0676395638469972-0.271308162611972i</v>
      </c>
      <c r="K110" s="338" t="str">
        <f t="shared" si="61"/>
        <v>0.999656589684889-0.0291089503306118i</v>
      </c>
      <c r="L110" s="732"/>
      <c r="M110" s="732" t="str">
        <f t="shared" si="62"/>
        <v>43.5566259784863+115.325995709688i</v>
      </c>
      <c r="N110" s="337">
        <f t="shared" si="63"/>
        <v>0</v>
      </c>
      <c r="O110" s="730" t="str">
        <f t="shared" si="64"/>
        <v>34.2218988446684+42.4782840237038i</v>
      </c>
      <c r="P110" s="731" t="str">
        <f t="shared" si="65"/>
        <v>34.2350351812231-4.01666811377609i</v>
      </c>
      <c r="Q110" s="729" t="str">
        <f t="shared" si="66"/>
        <v>33.8928161927764-4.44145095401309i</v>
      </c>
      <c r="R110" s="730"/>
      <c r="S110" s="405" t="str">
        <f t="shared" si="80"/>
        <v>37.6736636110095+5.13846285562521i</v>
      </c>
      <c r="T110" s="405" t="str">
        <f t="shared" si="81"/>
        <v>16.5481254366993-3.03670224680078i</v>
      </c>
      <c r="U110" s="405" t="str">
        <f t="shared" si="82"/>
        <v>3.77685583680968-9.84324204429796i</v>
      </c>
      <c r="V110" s="731" t="str">
        <f t="shared" si="67"/>
        <v>6000</v>
      </c>
      <c r="W110" s="733" t="str">
        <f>IMSUM(COMPLEX(1,0),IMDIV(COMPLEX(0,2*PI()*D110),COMPLEX(2*PI()*'Stability Calculations'!EA_Pole1,0)))</f>
        <v>1+35280.0478007015i</v>
      </c>
      <c r="X110" s="734">
        <f t="shared" si="83"/>
        <v>35280.047814873811</v>
      </c>
      <c r="Y110" s="735">
        <f t="shared" si="84"/>
        <v>1.5707679821621063</v>
      </c>
      <c r="Z110" s="340" t="str">
        <f>IMSUM(COMPLEX(1,0),IMDIV(COMPLEX(0,2*PI()*D110),COMPLEX(2*PI()*'Stability Calculations'!EA_Zero1,0)))</f>
        <v>1+349.307403967342i</v>
      </c>
      <c r="AA110" s="734">
        <f t="shared" si="85"/>
        <v>349.30883536836541</v>
      </c>
      <c r="AB110" s="735">
        <f t="shared" si="86"/>
        <v>1.5679335267031551</v>
      </c>
      <c r="AC110" s="733" t="str">
        <f>IMSUM(COMPLEX(1,0),IMDIV(COMPLEX(0,2*PI()*D110),COMPLEX(2*PI()*'Stability Calculations'!EA_Pole2,0)))</f>
        <v>1+3.51873280890419i</v>
      </c>
      <c r="AD110" s="734">
        <f t="shared" si="87"/>
        <v>3.6580706090039827</v>
      </c>
      <c r="AE110" s="735">
        <f t="shared" si="88"/>
        <v>1.2939035023314029</v>
      </c>
      <c r="AF110" s="732" t="str">
        <f t="shared" si="89"/>
        <v>4.39513750806164-15.6336985063413i</v>
      </c>
      <c r="AG110" s="337">
        <f t="shared" si="90"/>
        <v>16.239758702085094</v>
      </c>
      <c r="AH110" s="730">
        <f t="shared" si="91"/>
        <v>-1.2967379577903542</v>
      </c>
      <c r="AI110" s="731" t="str">
        <f t="shared" si="68"/>
        <v>10000</v>
      </c>
      <c r="AJ110" s="733" t="str">
        <f t="shared" si="92"/>
        <v>1+32890.7152960843i</v>
      </c>
      <c r="AK110" s="734">
        <f t="shared" si="93"/>
        <v>32890.715311286156</v>
      </c>
      <c r="AL110" s="735">
        <f t="shared" si="94"/>
        <v>1.5707659230778996</v>
      </c>
      <c r="AM110" s="340" t="str">
        <f t="shared" si="95"/>
        <v>1+55.8193231539812i</v>
      </c>
      <c r="AN110" s="734">
        <f t="shared" si="96"/>
        <v>55.828279906948424</v>
      </c>
      <c r="AO110" s="735">
        <f t="shared" si="97"/>
        <v>1.5528832998649744</v>
      </c>
      <c r="AP110" s="733" t="str">
        <f t="shared" si="98"/>
        <v>1+2.70732918167571i</v>
      </c>
      <c r="AQ110" s="734">
        <f t="shared" si="99"/>
        <v>2.8861100633816568</v>
      </c>
      <c r="AR110" s="735">
        <f t="shared" si="100"/>
        <v>1.2169726682930548</v>
      </c>
      <c r="AS110" s="732" t="str">
        <f t="shared" si="101"/>
        <v>0.0886205972001294-42.0999298145774i</v>
      </c>
      <c r="AT110" s="337">
        <f t="shared" si="102"/>
        <v>42.100023087910429</v>
      </c>
      <c r="AU110" s="730">
        <f t="shared" si="103"/>
        <v>-1.5686913240859441</v>
      </c>
      <c r="AV110" s="732" t="str">
        <f t="shared" si="104"/>
        <v>-11.451263551748-1.08740233064067i</v>
      </c>
      <c r="AW110" s="337">
        <f t="shared" si="105"/>
        <v>21.21605407463171</v>
      </c>
      <c r="AX110" s="730">
        <f t="shared" si="106"/>
        <v>-174.57550672505459</v>
      </c>
      <c r="AY110" s="360">
        <f t="shared" si="107"/>
        <v>5.4244932749454051</v>
      </c>
      <c r="BB110" s="337">
        <f t="shared" si="108"/>
        <v>-7.5143533198902741</v>
      </c>
      <c r="BC110" s="730">
        <f t="shared" si="109"/>
        <v>-89.879392228913417</v>
      </c>
      <c r="BD110" s="351"/>
      <c r="BE110" s="337">
        <f t="shared" si="69"/>
        <v>41.817654351373726</v>
      </c>
      <c r="BF110" s="730">
        <f t="shared" si="70"/>
        <v>69.309319859437082</v>
      </c>
      <c r="BI110" s="351"/>
      <c r="BJ110" s="351"/>
      <c r="BL110" s="405">
        <f t="shared" si="71"/>
        <v>0</v>
      </c>
      <c r="BM110" s="405">
        <f t="shared" si="110"/>
        <v>0</v>
      </c>
      <c r="BN110" s="405">
        <f t="shared" si="73"/>
        <v>0</v>
      </c>
      <c r="BO110" s="405">
        <f t="shared" si="74"/>
        <v>0</v>
      </c>
    </row>
    <row r="111" spans="4:67" ht="13.5" thickBot="1" x14ac:dyDescent="0.25">
      <c r="D111" s="345">
        <v>5623.4</v>
      </c>
      <c r="E111" s="340" t="str">
        <f t="shared" si="60"/>
        <v>0.0932787616368793i</v>
      </c>
      <c r="F111" s="728" t="str">
        <f t="shared" si="75"/>
        <v>0.005-0.463971516828964i</v>
      </c>
      <c r="G111" s="337" t="str">
        <f t="shared" si="76"/>
        <v>0.005-0.725699039142739i</v>
      </c>
      <c r="H111" s="338" t="str">
        <f t="shared" si="77"/>
        <v>0.321020898833663-0.532034875685132i</v>
      </c>
      <c r="I111" s="338" t="str">
        <f t="shared" si="78"/>
        <v>0.331020898833663-0.532034875685132i</v>
      </c>
      <c r="J111" s="337" t="str">
        <f t="shared" si="79"/>
        <v>0.066275329194726-0.268536247839489i</v>
      </c>
      <c r="K111" s="338" t="str">
        <f t="shared" si="61"/>
        <v>0.999648637471556-0.0294440535469947i</v>
      </c>
      <c r="L111" s="732"/>
      <c r="M111" s="732" t="str">
        <f t="shared" si="62"/>
        <v>44.5515362405425+117.811414033735i</v>
      </c>
      <c r="N111" s="337">
        <f t="shared" si="63"/>
        <v>0</v>
      </c>
      <c r="O111" s="730" t="str">
        <f t="shared" si="64"/>
        <v>34.7924485421349+43.3660954819991i</v>
      </c>
      <c r="P111" s="731" t="str">
        <f t="shared" si="65"/>
        <v>34.5893028077564-4.15571212953835i</v>
      </c>
      <c r="Q111" s="729" t="str">
        <f t="shared" si="66"/>
        <v>34.241378322335-4.58937308435833i</v>
      </c>
      <c r="R111" s="730"/>
      <c r="S111" s="405" t="str">
        <f t="shared" si="80"/>
        <v>37.7240489847062+5.07410622250257i</v>
      </c>
      <c r="T111" s="405" t="str">
        <f t="shared" si="81"/>
        <v>16.5277662126635-3.02288607341432i</v>
      </c>
      <c r="U111" s="405" t="str">
        <f t="shared" si="82"/>
        <v>3.69747754902255-9.76375764666655i</v>
      </c>
      <c r="V111" s="731" t="str">
        <f t="shared" si="67"/>
        <v>6000</v>
      </c>
      <c r="W111" s="733" t="str">
        <f>IMSUM(COMPLEX(1,0),IMDIV(COMPLEX(0,2*PI()*D111),COMPLEX(2*PI()*'Stability Calculations'!EA_Pole1,0)))</f>
        <v>1+35686.1928989576i</v>
      </c>
      <c r="X111" s="734">
        <f t="shared" si="83"/>
        <v>35686.19291296861</v>
      </c>
      <c r="Y111" s="735">
        <f t="shared" si="84"/>
        <v>1.5707683047527985</v>
      </c>
      <c r="Z111" s="340" t="str">
        <f>IMSUM(COMPLEX(1,0),IMDIV(COMPLEX(0,2*PI()*D111),COMPLEX(2*PI()*'Stability Calculations'!EA_Zero1,0)))</f>
        <v>1+353.328642563937i</v>
      </c>
      <c r="AA111" s="734">
        <f t="shared" si="85"/>
        <v>353.33005767422952</v>
      </c>
      <c r="AB111" s="735">
        <f t="shared" si="86"/>
        <v>1.5679661080990781</v>
      </c>
      <c r="AC111" s="733" t="str">
        <f>IMSUM(COMPLEX(1,0),IMDIV(COMPLEX(0,2*PI()*D111),COMPLEX(2*PI()*'Stability Calculations'!EA_Pole2,0)))</f>
        <v>1+3.55924057948553i</v>
      </c>
      <c r="AD111" s="734">
        <f t="shared" si="87"/>
        <v>3.6970520016164898</v>
      </c>
      <c r="AE111" s="735">
        <f t="shared" si="88"/>
        <v>1.2968987404057184</v>
      </c>
      <c r="AF111" s="732" t="str">
        <f t="shared" si="89"/>
        <v>4.30294223542498-15.4816741922404i</v>
      </c>
      <c r="AG111" s="337">
        <f t="shared" si="90"/>
        <v>16.068526618084391</v>
      </c>
      <c r="AH111" s="730">
        <f t="shared" si="91"/>
        <v>-1.2997009370594372</v>
      </c>
      <c r="AI111" s="731" t="str">
        <f t="shared" si="68"/>
        <v>10000</v>
      </c>
      <c r="AJ111" s="733" t="str">
        <f t="shared" si="92"/>
        <v>1+33269.3543180919i</v>
      </c>
      <c r="AK111" s="734">
        <f t="shared" si="93"/>
        <v>33269.354333120747</v>
      </c>
      <c r="AL111" s="735">
        <f t="shared" si="94"/>
        <v>1.5707662691030599</v>
      </c>
      <c r="AM111" s="340" t="str">
        <f t="shared" si="95"/>
        <v>1+56.4619170817171i</v>
      </c>
      <c r="AN111" s="734">
        <f t="shared" si="96"/>
        <v>56.470771913820137</v>
      </c>
      <c r="AO111" s="735">
        <f t="shared" si="97"/>
        <v>1.5530871254271363</v>
      </c>
      <c r="AP111" s="733" t="str">
        <f t="shared" si="98"/>
        <v>1+2.73849604637824i</v>
      </c>
      <c r="AQ111" s="734">
        <f t="shared" si="99"/>
        <v>2.9153662884840474</v>
      </c>
      <c r="AR111" s="735">
        <f t="shared" si="100"/>
        <v>1.2206768142584912</v>
      </c>
      <c r="AS111" s="732" t="str">
        <f t="shared" si="101"/>
        <v>0.0866148999911038-41.6207940539483i</v>
      </c>
      <c r="AT111" s="337">
        <f t="shared" si="102"/>
        <v>41.620884178763895</v>
      </c>
      <c r="AU111" s="730">
        <f t="shared" si="103"/>
        <v>-1.5687152810838769</v>
      </c>
      <c r="AV111" s="732" t="str">
        <f t="shared" si="104"/>
        <v>-11.189092349182-1.03545245073391i</v>
      </c>
      <c r="AW111" s="337">
        <f t="shared" si="105"/>
        <v>21.012931274716532</v>
      </c>
      <c r="AX111" s="730">
        <f t="shared" si="106"/>
        <v>-174.71283623522859</v>
      </c>
      <c r="AY111" s="360">
        <f t="shared" si="107"/>
        <v>5.2871637647714067</v>
      </c>
      <c r="BB111" s="337">
        <f t="shared" si="108"/>
        <v>-7.6137739606812849</v>
      </c>
      <c r="BC111" s="730">
        <f t="shared" si="109"/>
        <v>-89.880764863784776</v>
      </c>
      <c r="BD111" s="351"/>
      <c r="BE111" s="337">
        <f t="shared" si="69"/>
        <v>42.004227934995484</v>
      </c>
      <c r="BF111" s="730">
        <f t="shared" si="70"/>
        <v>69.285399019007841</v>
      </c>
      <c r="BI111" s="351"/>
      <c r="BJ111" s="351"/>
      <c r="BL111" s="405">
        <f t="shared" si="71"/>
        <v>0</v>
      </c>
      <c r="BM111" s="405">
        <f t="shared" si="110"/>
        <v>0</v>
      </c>
      <c r="BN111" s="405">
        <f t="shared" si="73"/>
        <v>0</v>
      </c>
      <c r="BO111" s="405">
        <f t="shared" si="74"/>
        <v>0</v>
      </c>
    </row>
    <row r="112" spans="4:67" ht="13.5" thickBot="1" x14ac:dyDescent="0.25">
      <c r="D112" s="345">
        <v>5688.9</v>
      </c>
      <c r="E112" s="340" t="str">
        <f t="shared" si="60"/>
        <v>0.0943652500401968i</v>
      </c>
      <c r="F112" s="728" t="str">
        <f t="shared" si="75"/>
        <v>0.005-0.458629511458452i</v>
      </c>
      <c r="G112" s="337" t="str">
        <f t="shared" si="76"/>
        <v>0.005-0.717343594845274i</v>
      </c>
      <c r="H112" s="338" t="str">
        <f t="shared" si="77"/>
        <v>0.315640350706224-0.529068586527632i</v>
      </c>
      <c r="I112" s="338" t="str">
        <f t="shared" si="78"/>
        <v>0.325640350706224-0.529068586527632i</v>
      </c>
      <c r="J112" s="337" t="str">
        <f t="shared" si="79"/>
        <v>0.0649233605324793-0.265753825834374i</v>
      </c>
      <c r="K112" s="338" t="str">
        <f t="shared" si="61"/>
        <v>0.999640404631-0.0297870107450116i</v>
      </c>
      <c r="L112" s="732"/>
      <c r="M112" s="732" t="str">
        <f t="shared" si="62"/>
        <v>45.6157478849361+120.419183475173i</v>
      </c>
      <c r="N112" s="337">
        <f t="shared" si="63"/>
        <v>0</v>
      </c>
      <c r="O112" s="730" t="str">
        <f t="shared" si="64"/>
        <v>35.4001884204331+44.2960651657415i</v>
      </c>
      <c r="P112" s="731" t="str">
        <f t="shared" si="65"/>
        <v>34.9633863582711-4.3045414549326i</v>
      </c>
      <c r="Q112" s="729" t="str">
        <f t="shared" si="66"/>
        <v>34.6093844740668-4.74750210659003i</v>
      </c>
      <c r="R112" s="730"/>
      <c r="S112" s="405" t="str">
        <f t="shared" si="80"/>
        <v>37.7741794787587+5.00884455839948i</v>
      </c>
      <c r="T112" s="405" t="str">
        <f t="shared" si="81"/>
        <v>16.507491241999-3.00898409079701i</v>
      </c>
      <c r="U112" s="405" t="str">
        <f t="shared" si="82"/>
        <v>3.6184713651024-9.68335185221036i</v>
      </c>
      <c r="V112" s="731" t="str">
        <f t="shared" si="67"/>
        <v>6000</v>
      </c>
      <c r="W112" s="733" t="str">
        <f>IMSUM(COMPLEX(1,0),IMDIV(COMPLEX(0,2*PI()*D112),COMPLEX(2*PI()*'Stability Calculations'!EA_Pole1,0)))</f>
        <v>1+36101.857022954i</v>
      </c>
      <c r="X112" s="734">
        <f t="shared" si="83"/>
        <v>36101.857036803696</v>
      </c>
      <c r="Y112" s="735">
        <f t="shared" si="84"/>
        <v>1.5707686273887662</v>
      </c>
      <c r="Z112" s="340" t="str">
        <f>IMSUM(COMPLEX(1,0),IMDIV(COMPLEX(0,2*PI()*D112),COMPLEX(2*PI()*'Stability Calculations'!EA_Zero1,0)))</f>
        <v>1+357.444128940139i</v>
      </c>
      <c r="AA112" s="734">
        <f t="shared" si="85"/>
        <v>357.44552775741192</v>
      </c>
      <c r="AB112" s="735">
        <f t="shared" si="86"/>
        <v>1.5679986940738124</v>
      </c>
      <c r="AC112" s="733" t="str">
        <f>IMSUM(COMPLEX(1,0),IMDIV(COMPLEX(0,2*PI()*D112),COMPLEX(2*PI()*'Stability Calculations'!EA_Pole2,0)))</f>
        <v>1+3.60069775093985i</v>
      </c>
      <c r="AD112" s="734">
        <f t="shared" si="87"/>
        <v>3.7369806386471014</v>
      </c>
      <c r="AE112" s="735">
        <f t="shared" si="88"/>
        <v>1.299899449623489</v>
      </c>
      <c r="AF112" s="732" t="str">
        <f t="shared" si="89"/>
        <v>4.21148189656844-15.3288243205216i</v>
      </c>
      <c r="AG112" s="337">
        <f t="shared" si="90"/>
        <v>15.896837258226498</v>
      </c>
      <c r="AH112" s="730">
        <f t="shared" si="91"/>
        <v>-1.3026693829384417</v>
      </c>
      <c r="AI112" s="731" t="str">
        <f t="shared" si="68"/>
        <v>10000</v>
      </c>
      <c r="AJ112" s="733" t="str">
        <f t="shared" si="92"/>
        <v>1+33656.8676921778i</v>
      </c>
      <c r="AK112" s="734">
        <f t="shared" si="93"/>
        <v>33656.867707033605</v>
      </c>
      <c r="AL112" s="735">
        <f t="shared" si="94"/>
        <v>1.570766615176785</v>
      </c>
      <c r="AM112" s="340" t="str">
        <f t="shared" si="95"/>
        <v>1+57.1195718046342i</v>
      </c>
      <c r="AN112" s="734">
        <f t="shared" si="96"/>
        <v>57.12832470101641</v>
      </c>
      <c r="AO112" s="735">
        <f t="shared" si="97"/>
        <v>1.5532909810681559</v>
      </c>
      <c r="AP112" s="733" t="str">
        <f t="shared" si="98"/>
        <v>1+2.77039338447223i</v>
      </c>
      <c r="AQ112" s="734">
        <f t="shared" si="99"/>
        <v>2.9453487916930139</v>
      </c>
      <c r="AR112" s="735">
        <f t="shared" si="100"/>
        <v>1.2243915299568069</v>
      </c>
      <c r="AS112" s="732" t="str">
        <f t="shared" si="101"/>
        <v>0.0846318832302043-41.1415909032262i</v>
      </c>
      <c r="AT112" s="337">
        <f t="shared" si="102"/>
        <v>41.141677950760396</v>
      </c>
      <c r="AU112" s="730">
        <f t="shared" si="103"/>
        <v>-1.5687392414465651</v>
      </c>
      <c r="AV112" s="732" t="str">
        <f t="shared" si="104"/>
        <v>-10.9298637121991-0.985069835742108i</v>
      </c>
      <c r="AW112" s="337">
        <f t="shared" si="105"/>
        <v>20.807429204830829</v>
      </c>
      <c r="AX112" s="730">
        <f t="shared" si="106"/>
        <v>-174.85004857939069</v>
      </c>
      <c r="AY112" s="360">
        <f t="shared" si="107"/>
        <v>5.1499514206093124</v>
      </c>
      <c r="BB112" s="337">
        <f t="shared" si="108"/>
        <v>-7.7143599942476087</v>
      </c>
      <c r="BC112" s="730">
        <f t="shared" si="109"/>
        <v>-89.882137691442409</v>
      </c>
      <c r="BD112" s="351"/>
      <c r="BE112" s="337">
        <f t="shared" si="69"/>
        <v>42.196258111438496</v>
      </c>
      <c r="BF112" s="730">
        <f t="shared" si="70"/>
        <v>69.252912430247449</v>
      </c>
      <c r="BI112" s="351"/>
      <c r="BJ112" s="351"/>
      <c r="BL112" s="405">
        <f t="shared" si="71"/>
        <v>0</v>
      </c>
      <c r="BM112" s="405">
        <f t="shared" si="110"/>
        <v>0</v>
      </c>
      <c r="BN112" s="405">
        <f t="shared" si="73"/>
        <v>0</v>
      </c>
      <c r="BO112" s="405">
        <f t="shared" si="74"/>
        <v>0</v>
      </c>
    </row>
    <row r="113" spans="4:67" ht="13.5" thickBot="1" x14ac:dyDescent="0.25">
      <c r="D113" s="345">
        <v>5754.4</v>
      </c>
      <c r="E113" s="340" t="str">
        <f t="shared" si="60"/>
        <v>0.0954517384435143i</v>
      </c>
      <c r="F113" s="728" t="str">
        <f t="shared" si="75"/>
        <v>0.005-0.453409117846515i</v>
      </c>
      <c r="G113" s="337" t="str">
        <f t="shared" si="76"/>
        <v>0.005-0.709178363811219i</v>
      </c>
      <c r="H113" s="338" t="str">
        <f t="shared" si="77"/>
        <v>0.310380738711145-0.52609962199124i</v>
      </c>
      <c r="I113" s="338" t="str">
        <f t="shared" si="78"/>
        <v>0.320380738711145-0.52609962199124i</v>
      </c>
      <c r="J113" s="337" t="str">
        <f t="shared" si="79"/>
        <v>0.0636143001511479-0.263025044402692i</v>
      </c>
      <c r="K113" s="338" t="str">
        <f t="shared" si="61"/>
        <v>0.999632076451556-0.0301299679430285i</v>
      </c>
      <c r="L113" s="732"/>
      <c r="M113" s="732" t="str">
        <f t="shared" si="62"/>
        <v>46.7292251797973+123.094504375337i</v>
      </c>
      <c r="N113" s="337">
        <f t="shared" si="63"/>
        <v>0</v>
      </c>
      <c r="O113" s="730" t="str">
        <f t="shared" si="64"/>
        <v>36.0333309074905+45.2484629641114i</v>
      </c>
      <c r="P113" s="731" t="str">
        <f t="shared" si="65"/>
        <v>35.3495844354687-4.46038577953008i</v>
      </c>
      <c r="Q113" s="729" t="str">
        <f t="shared" si="66"/>
        <v>34.9892511263937-4.91287040917117i</v>
      </c>
      <c r="R113" s="730"/>
      <c r="S113" s="405" t="str">
        <f t="shared" si="80"/>
        <v>37.8229069120456+4.94419239423948i</v>
      </c>
      <c r="T113" s="405" t="str">
        <f t="shared" si="81"/>
        <v>16.48776470833-2.99532254758862i</v>
      </c>
      <c r="U113" s="405" t="str">
        <f t="shared" si="82"/>
        <v>3.5416465298388-9.60389720553162i</v>
      </c>
      <c r="V113" s="731" t="str">
        <f t="shared" si="67"/>
        <v>6000</v>
      </c>
      <c r="W113" s="733" t="str">
        <f>IMSUM(COMPLEX(1,0),IMDIV(COMPLEX(0,2*PI()*D113),COMPLEX(2*PI()*'Stability Calculations'!EA_Pole1,0)))</f>
        <v>1+36517.5211469506i</v>
      </c>
      <c r="X113" s="734">
        <f t="shared" si="83"/>
        <v>36517.521160642653</v>
      </c>
      <c r="Y113" s="735">
        <f t="shared" si="84"/>
        <v>1.5707689426798652</v>
      </c>
      <c r="Z113" s="340" t="str">
        <f>IMSUM(COMPLEX(1,0),IMDIV(COMPLEX(0,2*PI()*D113),COMPLEX(2*PI()*'Stability Calculations'!EA_Zero1,0)))</f>
        <v>1+361.559615316342i</v>
      </c>
      <c r="AA113" s="734">
        <f t="shared" si="85"/>
        <v>361.56099821150679</v>
      </c>
      <c r="AB113" s="735">
        <f t="shared" si="86"/>
        <v>1.5680305382284341</v>
      </c>
      <c r="AC113" s="733" t="str">
        <f>IMSUM(COMPLEX(1,0),IMDIV(COMPLEX(0,2*PI()*D113),COMPLEX(2*PI()*'Stability Calculations'!EA_Pole2,0)))</f>
        <v>1+3.64215492239419i</v>
      </c>
      <c r="AD113" s="734">
        <f t="shared" si="87"/>
        <v>3.7769422127853938</v>
      </c>
      <c r="AE113" s="735">
        <f t="shared" si="88"/>
        <v>1.3028366873936155</v>
      </c>
      <c r="AF113" s="732" t="str">
        <f t="shared" si="89"/>
        <v>4.12283498444093-15.1786816437968i</v>
      </c>
      <c r="AG113" s="337">
        <f t="shared" si="90"/>
        <v>15.728640906087975</v>
      </c>
      <c r="AH113" s="730">
        <f t="shared" si="91"/>
        <v>-1.3055750918450455</v>
      </c>
      <c r="AI113" s="731" t="str">
        <f t="shared" si="68"/>
        <v>10000</v>
      </c>
      <c r="AJ113" s="733" t="str">
        <f t="shared" si="92"/>
        <v>1+34044.3810662638i</v>
      </c>
      <c r="AK113" s="734">
        <f t="shared" si="93"/>
        <v>34044.381080950508</v>
      </c>
      <c r="AL113" s="735">
        <f t="shared" si="94"/>
        <v>1.5707669533720763</v>
      </c>
      <c r="AM113" s="340" t="str">
        <f t="shared" si="95"/>
        <v>1+57.7772265275514i</v>
      </c>
      <c r="AN113" s="734">
        <f t="shared" si="96"/>
        <v>57.785879808271403</v>
      </c>
      <c r="AO113" s="735">
        <f t="shared" si="97"/>
        <v>1.5534901973030208</v>
      </c>
      <c r="AP113" s="733" t="str">
        <f t="shared" si="98"/>
        <v>1+2.80229072256623i</v>
      </c>
      <c r="AQ113" s="734">
        <f t="shared" si="99"/>
        <v>2.9753711186641514</v>
      </c>
      <c r="AR113" s="735">
        <f t="shared" si="100"/>
        <v>1.2280313299991499</v>
      </c>
      <c r="AS113" s="732" t="str">
        <f t="shared" si="101"/>
        <v>0.0827161955874817-40.6732967655761i</v>
      </c>
      <c r="AT113" s="337">
        <f t="shared" si="102"/>
        <v>40.67338087434625</v>
      </c>
      <c r="AU113" s="730">
        <f t="shared" si="103"/>
        <v>-1.5687626563493653</v>
      </c>
      <c r="AV113" s="732" t="str">
        <f t="shared" si="104"/>
        <v>-10.6794236799612-0.937330452335041i</v>
      </c>
      <c r="AW113" s="337">
        <f t="shared" si="105"/>
        <v>20.604284130734388</v>
      </c>
      <c r="AX113" s="730">
        <f t="shared" si="106"/>
        <v>-174.98401709462388</v>
      </c>
      <c r="AY113" s="360">
        <f t="shared" si="107"/>
        <v>5.01598290537612</v>
      </c>
      <c r="BB113" s="337">
        <f t="shared" si="108"/>
        <v>-7.8137945287724389</v>
      </c>
      <c r="BC113" s="730">
        <f t="shared" si="109"/>
        <v>-89.883479266550566</v>
      </c>
      <c r="BD113" s="351"/>
      <c r="BE113" s="337">
        <f t="shared" si="69"/>
        <v>42.389458293128179</v>
      </c>
      <c r="BF113" s="730">
        <f t="shared" si="70"/>
        <v>69.212200167649598</v>
      </c>
      <c r="BI113" s="351"/>
      <c r="BJ113" s="351"/>
      <c r="BL113" s="405">
        <f t="shared" si="71"/>
        <v>0</v>
      </c>
      <c r="BM113" s="405">
        <f t="shared" si="110"/>
        <v>0</v>
      </c>
      <c r="BN113" s="405">
        <f t="shared" si="73"/>
        <v>0</v>
      </c>
      <c r="BO113" s="405">
        <f t="shared" si="74"/>
        <v>0</v>
      </c>
    </row>
    <row r="114" spans="4:67" ht="13.5" thickBot="1" x14ac:dyDescent="0.25">
      <c r="D114" s="345">
        <v>5821.4</v>
      </c>
      <c r="E114" s="340" t="str">
        <f t="shared" si="60"/>
        <v>0.0965631082606482i</v>
      </c>
      <c r="F114" s="728" t="str">
        <f t="shared" si="75"/>
        <v>0.005-0.448190714902942i</v>
      </c>
      <c r="G114" s="337" t="str">
        <f t="shared" si="76"/>
        <v>0.005-0.701016246386656i</v>
      </c>
      <c r="H114" s="338" t="str">
        <f t="shared" si="77"/>
        <v>0.305122638825515-0.523061805849969i</v>
      </c>
      <c r="I114" s="338" t="str">
        <f t="shared" si="78"/>
        <v>0.315122638825515-0.523061805849969i</v>
      </c>
      <c r="J114" s="337" t="str">
        <f t="shared" si="79"/>
        <v>0.0623178148238246-0.260287792755959i</v>
      </c>
      <c r="K114" s="338" t="str">
        <f t="shared" si="61"/>
        <v>0.999623458911556-0.0304807791226794i</v>
      </c>
      <c r="L114" s="732"/>
      <c r="M114" s="732" t="str">
        <f t="shared" si="62"/>
        <v>47.9222815545106+125.903972242751i</v>
      </c>
      <c r="N114" s="337">
        <f t="shared" si="63"/>
        <v>0</v>
      </c>
      <c r="O114" s="730" t="str">
        <f t="shared" si="64"/>
        <v>36.7087284292763+46.2467862516767i</v>
      </c>
      <c r="P114" s="731" t="str">
        <f t="shared" si="65"/>
        <v>35.7576789021224-4.62752446184547i</v>
      </c>
      <c r="Q114" s="729" t="str">
        <f t="shared" si="66"/>
        <v>35.3905916178296-5.08999232436225i</v>
      </c>
      <c r="R114" s="730"/>
      <c r="S114" s="405" t="str">
        <f t="shared" si="80"/>
        <v>37.8713484379807+4.87868861772886i</v>
      </c>
      <c r="T114" s="405" t="str">
        <f t="shared" si="81"/>
        <v>16.4681341696369-2.98159626202386i</v>
      </c>
      <c r="U114" s="405" t="str">
        <f t="shared" si="82"/>
        <v>3.46524142924252-9.52360451713088i</v>
      </c>
      <c r="V114" s="731" t="str">
        <f t="shared" si="67"/>
        <v>6000</v>
      </c>
      <c r="W114" s="733" t="str">
        <f>IMSUM(COMPLEX(1,0),IMDIV(COMPLEX(0,2*PI()*D114),COMPLEX(2*PI()*'Stability Calculations'!EA_Pole1,0)))</f>
        <v>1+36942.7042966874i</v>
      </c>
      <c r="X114" s="734">
        <f t="shared" si="83"/>
        <v>36942.704310221867</v>
      </c>
      <c r="Y114" s="735">
        <f t="shared" si="84"/>
        <v>1.5707692578507357</v>
      </c>
      <c r="Z114" s="340" t="str">
        <f>IMSUM(COMPLEX(1,0),IMDIV(COMPLEX(0,2*PI()*D114),COMPLEX(2*PI()*'Stability Calculations'!EA_Zero1,0)))</f>
        <v>1+365.769349472152i</v>
      </c>
      <c r="AA114" s="734">
        <f t="shared" si="85"/>
        <v>365.77071645127808</v>
      </c>
      <c r="AB114" s="735">
        <f t="shared" si="86"/>
        <v>1.5680623702456786</v>
      </c>
      <c r="AC114" s="733" t="str">
        <f>IMSUM(COMPLEX(1,0),IMDIV(COMPLEX(0,2*PI()*D114),COMPLEX(2*PI()*'Stability Calculations'!EA_Pole2,0)))</f>
        <v>1+3.68456149472152i</v>
      </c>
      <c r="AD114" s="734">
        <f t="shared" si="87"/>
        <v>3.8178519364145704</v>
      </c>
      <c r="AE114" s="735">
        <f t="shared" si="88"/>
        <v>1.3057775475577504</v>
      </c>
      <c r="AF114" s="732" t="str">
        <f t="shared" si="89"/>
        <v>4.034952894446-15.0278376766883i</v>
      </c>
      <c r="AG114" s="337">
        <f t="shared" si="90"/>
        <v>15.560101223876744</v>
      </c>
      <c r="AH114" s="730">
        <f t="shared" si="91"/>
        <v>-1.3084844351628071</v>
      </c>
      <c r="AI114" s="731" t="str">
        <f t="shared" si="68"/>
        <v>10000</v>
      </c>
      <c r="AJ114" s="733" t="str">
        <f t="shared" si="92"/>
        <v>1+34440.7687924281i</v>
      </c>
      <c r="AK114" s="734">
        <f t="shared" si="93"/>
        <v>34440.768806945773</v>
      </c>
      <c r="AL114" s="735">
        <f t="shared" si="94"/>
        <v>1.5707672914384054</v>
      </c>
      <c r="AM114" s="340" t="str">
        <f t="shared" si="95"/>
        <v>1+58.4499420456499i</v>
      </c>
      <c r="AN114" s="734">
        <f t="shared" si="96"/>
        <v>58.458495748178748</v>
      </c>
      <c r="AO114" s="735">
        <f t="shared" si="97"/>
        <v>1.5536893389447108</v>
      </c>
      <c r="AP114" s="733" t="str">
        <f t="shared" si="98"/>
        <v>1+2.83491853405169i</v>
      </c>
      <c r="AQ114" s="734">
        <f t="shared" si="99"/>
        <v>3.0061209381376828</v>
      </c>
      <c r="AR114" s="735">
        <f t="shared" si="100"/>
        <v>1.2316792164883172</v>
      </c>
      <c r="AS114" s="732" t="str">
        <f t="shared" si="101"/>
        <v>0.0808231558491373-40.2051810666265i</v>
      </c>
      <c r="AT114" s="337">
        <f t="shared" si="102"/>
        <v>40.205262304613107</v>
      </c>
      <c r="AU114" s="730">
        <f t="shared" si="103"/>
        <v>-1.5687860623256984</v>
      </c>
      <c r="AV114" s="732" t="str">
        <f t="shared" si="104"/>
        <v>-10.4319395476589-0.891062906179114i</v>
      </c>
      <c r="AW114" s="337">
        <f t="shared" si="105"/>
        <v>20.398872456395836</v>
      </c>
      <c r="AX114" s="730">
        <f t="shared" si="106"/>
        <v>-175.1178282704002</v>
      </c>
      <c r="AY114" s="360">
        <f t="shared" si="107"/>
        <v>4.8821717295998042</v>
      </c>
      <c r="BB114" s="337">
        <f t="shared" si="108"/>
        <v>-7.9143420028447746</v>
      </c>
      <c r="BC114" s="730">
        <f t="shared" si="109"/>
        <v>-89.884820330209834</v>
      </c>
      <c r="BD114" s="351"/>
      <c r="BE114" s="337">
        <f t="shared" si="69"/>
        <v>42.588372729928892</v>
      </c>
      <c r="BF114" s="730">
        <f t="shared" si="70"/>
        <v>69.161891455348851</v>
      </c>
      <c r="BI114" s="351"/>
      <c r="BJ114" s="351"/>
      <c r="BL114" s="405">
        <f t="shared" si="71"/>
        <v>0</v>
      </c>
      <c r="BM114" s="405">
        <f t="shared" si="110"/>
        <v>0</v>
      </c>
      <c r="BN114" s="405">
        <f t="shared" si="73"/>
        <v>0</v>
      </c>
      <c r="BO114" s="405">
        <f t="shared" si="74"/>
        <v>0</v>
      </c>
    </row>
    <row r="115" spans="4:67" ht="13.5" thickBot="1" x14ac:dyDescent="0.25">
      <c r="D115" s="345">
        <v>5888.4</v>
      </c>
      <c r="E115" s="340" t="str">
        <f t="shared" si="60"/>
        <v>0.0976744780777822i</v>
      </c>
      <c r="F115" s="728" t="str">
        <f t="shared" si="75"/>
        <v>0.005-0.443091065100196i</v>
      </c>
      <c r="G115" s="337" t="str">
        <f t="shared" si="76"/>
        <v>0.005-0.693039871054154i</v>
      </c>
      <c r="H115" s="338" t="str">
        <f t="shared" si="77"/>
        <v>0.299984732082479-0.520024935668675i</v>
      </c>
      <c r="I115" s="338" t="str">
        <f t="shared" si="78"/>
        <v>0.309984732082479-0.520024935668675i</v>
      </c>
      <c r="J115" s="337" t="str">
        <f t="shared" si="79"/>
        <v>0.0610625846113429-0.257603716083717i</v>
      </c>
      <c r="K115" s="338" t="str">
        <f t="shared" si="61"/>
        <v>0.999614741616-0.0308315903023302i</v>
      </c>
      <c r="L115" s="732"/>
      <c r="M115" s="732" t="str">
        <f t="shared" si="62"/>
        <v>49.1734449169652+128.790348881436i</v>
      </c>
      <c r="N115" s="337">
        <f t="shared" si="63"/>
        <v>0</v>
      </c>
      <c r="O115" s="730" t="str">
        <f t="shared" si="64"/>
        <v>37.4138081412961+47.2704655671484i</v>
      </c>
      <c r="P115" s="731" t="str">
        <f t="shared" si="65"/>
        <v>36.1795301084497-4.80299056755115i</v>
      </c>
      <c r="Q115" s="729" t="str">
        <f t="shared" si="66"/>
        <v>35.8053920270368-5.27569522322268i</v>
      </c>
      <c r="R115" s="730"/>
      <c r="S115" s="405" t="str">
        <f t="shared" si="80"/>
        <v>37.9184210558283+4.81381856369457i</v>
      </c>
      <c r="T115" s="405" t="str">
        <f t="shared" si="81"/>
        <v>16.44903832488-2.96811996439572i</v>
      </c>
      <c r="U115" s="405" t="str">
        <f t="shared" si="82"/>
        <v>3.39096396136174-9.44430076901527i</v>
      </c>
      <c r="V115" s="731" t="str">
        <f t="shared" si="67"/>
        <v>6000</v>
      </c>
      <c r="W115" s="733" t="str">
        <f>IMSUM(COMPLEX(1,0),IMDIV(COMPLEX(0,2*PI()*D115),COMPLEX(2*PI()*'Stability Calculations'!EA_Pole1,0)))</f>
        <v>1+37367.8874464243i</v>
      </c>
      <c r="X115" s="734">
        <f t="shared" si="83"/>
        <v>37367.88745980477</v>
      </c>
      <c r="Y115" s="735">
        <f t="shared" si="84"/>
        <v>1.570769565849387</v>
      </c>
      <c r="Z115" s="340" t="str">
        <f>IMSUM(COMPLEX(1,0),IMDIV(COMPLEX(0,2*PI()*D115),COMPLEX(2*PI()*'Stability Calculations'!EA_Zero1,0)))</f>
        <v>1+369.979083627963i</v>
      </c>
      <c r="AA115" s="734">
        <f t="shared" si="85"/>
        <v>369.98043505324341</v>
      </c>
      <c r="AB115" s="735">
        <f t="shared" si="86"/>
        <v>1.5680934778795952</v>
      </c>
      <c r="AC115" s="733" t="str">
        <f>IMSUM(COMPLEX(1,0),IMDIV(COMPLEX(0,2*PI()*D115),COMPLEX(2*PI()*'Stability Calculations'!EA_Pole2,0)))</f>
        <v>1+3.72696806704886i</v>
      </c>
      <c r="AD115" s="734">
        <f t="shared" si="87"/>
        <v>3.8587939790563994</v>
      </c>
      <c r="AE115" s="735">
        <f t="shared" si="88"/>
        <v>1.308656026762413</v>
      </c>
      <c r="AF115" s="732" t="str">
        <f t="shared" si="89"/>
        <v>3.94978491699805-14.8796981712052i</v>
      </c>
      <c r="AG115" s="337">
        <f t="shared" si="90"/>
        <v>15.395006286348593</v>
      </c>
      <c r="AH115" s="730">
        <f t="shared" si="91"/>
        <v>-1.3113321147322039</v>
      </c>
      <c r="AI115" s="731" t="str">
        <f t="shared" si="68"/>
        <v>10000</v>
      </c>
      <c r="AJ115" s="733" t="str">
        <f t="shared" si="92"/>
        <v>1+34837.1565185924i</v>
      </c>
      <c r="AK115" s="734">
        <f t="shared" si="93"/>
        <v>34837.156532944886</v>
      </c>
      <c r="AL115" s="735">
        <f t="shared" si="94"/>
        <v>1.5707676218114921</v>
      </c>
      <c r="AM115" s="340" t="str">
        <f t="shared" si="95"/>
        <v>1+59.1226575637485i</v>
      </c>
      <c r="AN115" s="734">
        <f t="shared" si="96"/>
        <v>59.13111395365614</v>
      </c>
      <c r="AO115" s="735">
        <f t="shared" si="97"/>
        <v>1.5538839501096067</v>
      </c>
      <c r="AP115" s="733" t="str">
        <f t="shared" si="98"/>
        <v>1+2.86754634553716i</v>
      </c>
      <c r="AQ115" s="734">
        <f t="shared" si="99"/>
        <v>3.0369099499003127</v>
      </c>
      <c r="AR115" s="735">
        <f t="shared" si="100"/>
        <v>1.2352531832233853</v>
      </c>
      <c r="AS115" s="732" t="str">
        <f t="shared" si="101"/>
        <v>0.0789943661751955-39.747717964608i</v>
      </c>
      <c r="AT115" s="337">
        <f t="shared" si="102"/>
        <v>39.747796460985214</v>
      </c>
      <c r="AU115" s="730">
        <f t="shared" si="103"/>
        <v>-1.5688089356635733</v>
      </c>
      <c r="AV115" s="732" t="str">
        <f t="shared" si="104"/>
        <v>-10.1928575887858-0.847229021189994i</v>
      </c>
      <c r="AW115" s="337">
        <f t="shared" si="105"/>
        <v>20.195820981274615</v>
      </c>
      <c r="AX115" s="730">
        <f t="shared" si="106"/>
        <v>-175.2485045920545</v>
      </c>
      <c r="AY115" s="360">
        <f t="shared" si="107"/>
        <v>4.7514954079454981</v>
      </c>
      <c r="BB115" s="337">
        <f t="shared" si="108"/>
        <v>-8.0137388553003888</v>
      </c>
      <c r="BC115" s="730">
        <f t="shared" si="109"/>
        <v>-89.886130875933446</v>
      </c>
      <c r="BD115" s="351"/>
      <c r="BE115" s="337">
        <f t="shared" si="69"/>
        <v>42.788674546123175</v>
      </c>
      <c r="BF115" s="730">
        <f t="shared" si="70"/>
        <v>69.102642936779887</v>
      </c>
      <c r="BI115" s="351"/>
      <c r="BJ115" s="351"/>
      <c r="BL115" s="405">
        <f t="shared" si="71"/>
        <v>0</v>
      </c>
      <c r="BM115" s="405">
        <f t="shared" si="110"/>
        <v>0</v>
      </c>
      <c r="BN115" s="405">
        <f t="shared" si="73"/>
        <v>0</v>
      </c>
      <c r="BO115" s="405">
        <f t="shared" si="74"/>
        <v>0</v>
      </c>
    </row>
    <row r="116" spans="4:67" ht="13.5" thickBot="1" x14ac:dyDescent="0.25">
      <c r="D116" s="345">
        <v>5957</v>
      </c>
      <c r="E116" s="340" t="str">
        <f t="shared" si="60"/>
        <v>0.0988123880696536i</v>
      </c>
      <c r="F116" s="728" t="str">
        <f t="shared" si="75"/>
        <v>0.005-0.437988488792343i</v>
      </c>
      <c r="G116" s="337" t="str">
        <f t="shared" si="76"/>
        <v>0.005-0.685058918367513i</v>
      </c>
      <c r="H116" s="338" t="str">
        <f t="shared" si="77"/>
        <v>0.294845425483001-0.516918304840501i</v>
      </c>
      <c r="I116" s="338" t="str">
        <f t="shared" si="78"/>
        <v>0.304845425483001-0.516918304840501i</v>
      </c>
      <c r="J116" s="337" t="str">
        <f t="shared" si="79"/>
        <v>0.0598183451833332-0.25490915163327i</v>
      </c>
      <c r="K116" s="338" t="str">
        <f t="shared" si="61"/>
        <v>0.999605712788889-0.0311907790623907i</v>
      </c>
      <c r="L116" s="732"/>
      <c r="M116" s="732" t="str">
        <f t="shared" si="62"/>
        <v>50.5185735929821+131.828886498719i</v>
      </c>
      <c r="N116" s="337">
        <f t="shared" si="63"/>
        <v>0</v>
      </c>
      <c r="O116" s="730" t="str">
        <f t="shared" si="64"/>
        <v>38.1683044878996+48.3459259149941i</v>
      </c>
      <c r="P116" s="731" t="str">
        <f t="shared" si="65"/>
        <v>36.6263270915018-4.99186089859513i</v>
      </c>
      <c r="Q116" s="729" t="str">
        <f t="shared" si="66"/>
        <v>36.2446440466229-5.4753201577451i</v>
      </c>
      <c r="R116" s="730"/>
      <c r="S116" s="405" t="str">
        <f t="shared" si="80"/>
        <v>37.9652487277715+4.74805280233041i</v>
      </c>
      <c r="T116" s="405" t="str">
        <f t="shared" si="81"/>
        <v>16.4300210068492-2.95457960204736i</v>
      </c>
      <c r="U116" s="405" t="str">
        <f t="shared" si="82"/>
        <v>3.31704025505247-9.36412288724338i</v>
      </c>
      <c r="V116" s="731" t="str">
        <f t="shared" si="67"/>
        <v>6000</v>
      </c>
      <c r="W116" s="733" t="str">
        <f>IMSUM(COMPLEX(1,0),IMDIV(COMPLEX(0,2*PI()*D116),COMPLEX(2*PI()*'Stability Calculations'!EA_Pole1,0)))</f>
        <v>1+37803.2242236175i</v>
      </c>
      <c r="X116" s="734">
        <f t="shared" si="83"/>
        <v>37803.224236843889</v>
      </c>
      <c r="Y116" s="735">
        <f t="shared" si="84"/>
        <v>1.5707698740247875</v>
      </c>
      <c r="Z116" s="340" t="str">
        <f>IMSUM(COMPLEX(1,0),IMDIV(COMPLEX(0,2*PI()*D116),COMPLEX(2*PI()*'Stability Calculations'!EA_Zero1,0)))</f>
        <v>1+374.289348748688i</v>
      </c>
      <c r="AA116" s="734">
        <f t="shared" si="85"/>
        <v>374.29068461119493</v>
      </c>
      <c r="AB116" s="735">
        <f t="shared" si="86"/>
        <v>1.5681246033702965</v>
      </c>
      <c r="AC116" s="733" t="str">
        <f>IMSUM(COMPLEX(1,0),IMDIV(COMPLEX(0,2*PI()*D116),COMPLEX(2*PI()*'Stability Calculations'!EA_Pole2,0)))</f>
        <v>1+3.77038733364073i</v>
      </c>
      <c r="AD116" s="734">
        <f t="shared" si="87"/>
        <v>3.9007461652456259</v>
      </c>
      <c r="AE116" s="735">
        <f t="shared" si="88"/>
        <v>1.3115406148336715</v>
      </c>
      <c r="AF116" s="732" t="str">
        <f t="shared" si="89"/>
        <v>3.86528258752566-14.7307576778399i</v>
      </c>
      <c r="AG116" s="337">
        <f t="shared" si="90"/>
        <v>15.229433057230603</v>
      </c>
      <c r="AH116" s="730">
        <f t="shared" si="91"/>
        <v>-1.3141858854881621</v>
      </c>
      <c r="AI116" s="731" t="str">
        <f t="shared" si="68"/>
        <v>10000</v>
      </c>
      <c r="AJ116" s="733" t="str">
        <f t="shared" si="92"/>
        <v>1+35243.0102203068i</v>
      </c>
      <c r="AK116" s="734">
        <f t="shared" si="93"/>
        <v>35243.01023449401</v>
      </c>
      <c r="AL116" s="735">
        <f t="shared" si="94"/>
        <v>1.570767952374168</v>
      </c>
      <c r="AM116" s="340" t="str">
        <f t="shared" si="95"/>
        <v>1+59.8114379300403i</v>
      </c>
      <c r="AN116" s="734">
        <f t="shared" si="96"/>
        <v>59.819796951001621</v>
      </c>
      <c r="AO116" s="735">
        <f t="shared" si="97"/>
        <v>1.5540786742371242</v>
      </c>
      <c r="AP116" s="733" t="str">
        <f t="shared" si="98"/>
        <v>1+2.90095332864018i</v>
      </c>
      <c r="AQ116" s="734">
        <f t="shared" si="99"/>
        <v>3.0684735969124026</v>
      </c>
      <c r="AR116" s="735">
        <f t="shared" si="100"/>
        <v>1.2388381396592092</v>
      </c>
      <c r="AS116" s="732" t="str">
        <f t="shared" si="101"/>
        <v>0.077185472297046-39.2899922161329i</v>
      </c>
      <c r="AT116" s="337">
        <f t="shared" si="102"/>
        <v>39.29006803176749</v>
      </c>
      <c r="AU116" s="730">
        <f t="shared" si="103"/>
        <v>-1.5688318221297133</v>
      </c>
      <c r="AV116" s="732" t="str">
        <f t="shared" si="104"/>
        <v>-9.95638599067752-0.804713115228859i</v>
      </c>
      <c r="AW116" s="337">
        <f t="shared" si="105"/>
        <v>19.990312479263508</v>
      </c>
      <c r="AX116" s="730">
        <f t="shared" si="106"/>
        <v>-175.37918077463544</v>
      </c>
      <c r="AY116" s="360">
        <f t="shared" si="107"/>
        <v>4.6208192253645564</v>
      </c>
      <c r="BB116" s="337">
        <f t="shared" si="108"/>
        <v>-8.1143443839086267</v>
      </c>
      <c r="BC116" s="730">
        <f t="shared" si="109"/>
        <v>-89.887442173851241</v>
      </c>
      <c r="BD116" s="351"/>
      <c r="BE116" s="337">
        <f t="shared" si="69"/>
        <v>42.995286880674072</v>
      </c>
      <c r="BF116" s="730">
        <f t="shared" si="70"/>
        <v>69.032506527105681</v>
      </c>
      <c r="BI116" s="351"/>
      <c r="BJ116" s="351"/>
      <c r="BL116" s="405">
        <f t="shared" si="71"/>
        <v>0</v>
      </c>
      <c r="BM116" s="405">
        <f t="shared" si="110"/>
        <v>0</v>
      </c>
      <c r="BN116" s="405">
        <f t="shared" si="73"/>
        <v>0</v>
      </c>
      <c r="BO116" s="405">
        <f t="shared" si="74"/>
        <v>0</v>
      </c>
    </row>
    <row r="117" spans="4:67" ht="13.5" thickBot="1" x14ac:dyDescent="0.25">
      <c r="D117" s="345">
        <v>6025.6</v>
      </c>
      <c r="E117" s="340" t="str">
        <f t="shared" si="60"/>
        <v>0.0999502980615251i</v>
      </c>
      <c r="F117" s="728" t="str">
        <f t="shared" si="75"/>
        <v>0.005-0.433002095681092i</v>
      </c>
      <c r="G117" s="337" t="str">
        <f t="shared" si="76"/>
        <v>0.005-0.677259688116581i</v>
      </c>
      <c r="H117" s="338" t="str">
        <f t="shared" si="77"/>
        <v>0.2898256250209-0.5138161594532i</v>
      </c>
      <c r="I117" s="338" t="str">
        <f t="shared" si="78"/>
        <v>0.2998256250209-0.5138161594532i</v>
      </c>
      <c r="J117" s="337" t="str">
        <f t="shared" si="79"/>
        <v>0.0586138341820486-0.252267362883153i</v>
      </c>
      <c r="K117" s="338" t="str">
        <f t="shared" si="61"/>
        <v>0.999596579384889-0.0315499678224511i</v>
      </c>
      <c r="L117" s="732"/>
      <c r="M117" s="732" t="str">
        <f t="shared" si="62"/>
        <v>51.9328300843871+134.955447919782i</v>
      </c>
      <c r="N117" s="337">
        <f t="shared" si="63"/>
        <v>0</v>
      </c>
      <c r="O117" s="730" t="str">
        <f t="shared" si="64"/>
        <v>38.9577700052814+49.4501759742126i</v>
      </c>
      <c r="P117" s="731" t="str">
        <f t="shared" si="65"/>
        <v>37.0888372446088-5.190701846113i</v>
      </c>
      <c r="Q117" s="729" t="str">
        <f t="shared" si="66"/>
        <v>36.6992595445559-5.6852036058551i</v>
      </c>
      <c r="R117" s="730"/>
      <c r="S117" s="405" t="str">
        <f t="shared" si="80"/>
        <v>38.0107393990086+4.68294431108395i</v>
      </c>
      <c r="T117" s="405" t="str">
        <f t="shared" si="81"/>
        <v>16.4115255026469-2.94129850806852i</v>
      </c>
      <c r="U117" s="405" t="str">
        <f t="shared" si="82"/>
        <v>3.24519393312987-9.28497068301229i</v>
      </c>
      <c r="V117" s="731" t="str">
        <f t="shared" si="67"/>
        <v>6000</v>
      </c>
      <c r="W117" s="733" t="str">
        <f>IMSUM(COMPLEX(1,0),IMDIV(COMPLEX(0,2*PI()*D117),COMPLEX(2*PI()*'Stability Calculations'!EA_Pole1,0)))</f>
        <v>1+38238.5610008107i</v>
      </c>
      <c r="X117" s="734">
        <f t="shared" si="83"/>
        <v>38238.561013886509</v>
      </c>
      <c r="Y117" s="735">
        <f t="shared" si="84"/>
        <v>1.5707701751831833</v>
      </c>
      <c r="Z117" s="340" t="str">
        <f>IMSUM(COMPLEX(1,0),IMDIV(COMPLEX(0,2*PI()*D117),COMPLEX(2*PI()*'Stability Calculations'!EA_Zero1,0)))</f>
        <v>1+378.599613869413i</v>
      </c>
      <c r="AA117" s="734">
        <f t="shared" si="85"/>
        <v>378.60093452350151</v>
      </c>
      <c r="AB117" s="735">
        <f t="shared" si="86"/>
        <v>1.5681550201536183</v>
      </c>
      <c r="AC117" s="733" t="str">
        <f>IMSUM(COMPLEX(1,0),IMDIV(COMPLEX(0,2*PI()*D117),COMPLEX(2*PI()*'Stability Calculations'!EA_Pole2,0)))</f>
        <v>1+3.81380660023259i</v>
      </c>
      <c r="AD117" s="734">
        <f t="shared" si="87"/>
        <v>3.9427301180752488</v>
      </c>
      <c r="AE117" s="735">
        <f t="shared" si="88"/>
        <v>1.3143637932145951</v>
      </c>
      <c r="AF117" s="732" t="str">
        <f t="shared" si="89"/>
        <v>3.78340234983262-14.5845209622448i</v>
      </c>
      <c r="AG117" s="337">
        <f t="shared" si="90"/>
        <v>15.067262028612797</v>
      </c>
      <c r="AH117" s="730">
        <f t="shared" si="91"/>
        <v>-1.3169789482441605</v>
      </c>
      <c r="AI117" s="731" t="str">
        <f t="shared" si="68"/>
        <v>10000</v>
      </c>
      <c r="AJ117" s="733" t="str">
        <f t="shared" si="92"/>
        <v>1+35648.8639220213i</v>
      </c>
      <c r="AK117" s="734">
        <f t="shared" si="93"/>
        <v>35648.86393604699</v>
      </c>
      <c r="AL117" s="735">
        <f t="shared" si="94"/>
        <v>1.5707682754100916</v>
      </c>
      <c r="AM117" s="340" t="str">
        <f t="shared" si="95"/>
        <v>1+60.5002182963322i</v>
      </c>
      <c r="AN117" s="734">
        <f t="shared" si="96"/>
        <v>60.508482164931635</v>
      </c>
      <c r="AO117" s="735">
        <f t="shared" si="97"/>
        <v>1.5542689658154041</v>
      </c>
      <c r="AP117" s="733" t="str">
        <f t="shared" si="98"/>
        <v>1+2.9343603117432i</v>
      </c>
      <c r="AQ117" s="734">
        <f t="shared" si="99"/>
        <v>3.100075876351037</v>
      </c>
      <c r="AR117" s="735">
        <f t="shared" si="100"/>
        <v>1.2423500501296321</v>
      </c>
      <c r="AS117" s="732" t="str">
        <f t="shared" si="101"/>
        <v>0.0754380072049023-38.8426885424415i</v>
      </c>
      <c r="AT117" s="337">
        <f t="shared" si="102"/>
        <v>38.842761798024185</v>
      </c>
      <c r="AU117" s="730">
        <f t="shared" si="103"/>
        <v>-1.568854187484068</v>
      </c>
      <c r="AV117" s="732" t="str">
        <f t="shared" si="104"/>
        <v>-9.72796008342158-0.764441459243274i</v>
      </c>
      <c r="AW117" s="337">
        <f t="shared" si="105"/>
        <v>19.78717130945703</v>
      </c>
      <c r="AX117" s="730">
        <f t="shared" si="106"/>
        <v>-175.50682297786912</v>
      </c>
      <c r="AY117" s="360">
        <f t="shared" si="107"/>
        <v>4.4931770221308795</v>
      </c>
      <c r="BB117" s="337">
        <f t="shared" si="108"/>
        <v>-8.213797969204462</v>
      </c>
      <c r="BC117" s="730">
        <f t="shared" si="109"/>
        <v>-89.888723614263071</v>
      </c>
      <c r="BD117" s="351"/>
      <c r="BE117" s="337">
        <f t="shared" si="69"/>
        <v>43.203538617542712</v>
      </c>
      <c r="BF117" s="730">
        <f t="shared" si="70"/>
        <v>68.952545091560083</v>
      </c>
      <c r="BI117" s="351"/>
      <c r="BJ117" s="351"/>
      <c r="BL117" s="405">
        <f t="shared" si="71"/>
        <v>0</v>
      </c>
      <c r="BM117" s="405">
        <f t="shared" si="110"/>
        <v>0</v>
      </c>
      <c r="BN117" s="405">
        <f t="shared" si="73"/>
        <v>0</v>
      </c>
      <c r="BO117" s="405">
        <f t="shared" si="74"/>
        <v>0</v>
      </c>
    </row>
    <row r="118" spans="4:67" ht="13.5" thickBot="1" x14ac:dyDescent="0.25">
      <c r="D118" s="345">
        <v>6095.8</v>
      </c>
      <c r="E118" s="340" t="str">
        <f t="shared" si="60"/>
        <v>0.101114748228134i</v>
      </c>
      <c r="F118" s="728" t="str">
        <f t="shared" si="75"/>
        <v>0.005-0.428015589050819i</v>
      </c>
      <c r="G118" s="337" t="str">
        <f t="shared" si="76"/>
        <v>0.005-0.669460280310256i</v>
      </c>
      <c r="H118" s="338" t="str">
        <f t="shared" si="77"/>
        <v>0.284809160451641-0.510647956878522i</v>
      </c>
      <c r="I118" s="338" t="str">
        <f t="shared" si="78"/>
        <v>0.294809160451641-0.510647956878522i</v>
      </c>
      <c r="J118" s="337" t="str">
        <f t="shared" si="79"/>
        <v>0.0574206408723844-0.249617102323138i</v>
      </c>
      <c r="K118" s="338" t="str">
        <f t="shared" si="61"/>
        <v>0.999587124692889-0.0319175341629211i</v>
      </c>
      <c r="L118" s="732"/>
      <c r="M118" s="732" t="str">
        <f t="shared" si="62"/>
        <v>53.4565243565182+138.250280527568i</v>
      </c>
      <c r="N118" s="337">
        <f t="shared" si="63"/>
        <v>0</v>
      </c>
      <c r="O118" s="730" t="str">
        <f t="shared" si="64"/>
        <v>39.8041284874353+50.611228847572i</v>
      </c>
      <c r="P118" s="731" t="str">
        <f t="shared" si="65"/>
        <v>37.5791423080139-5.40524300146046i</v>
      </c>
      <c r="Q118" s="729" t="str">
        <f t="shared" si="66"/>
        <v>37.1811010231396-5.91135528993619i</v>
      </c>
      <c r="R118" s="730"/>
      <c r="S118" s="405" t="str">
        <f t="shared" si="80"/>
        <v>38.0559555858734+4.6169930333156i</v>
      </c>
      <c r="T118" s="405" t="str">
        <f t="shared" si="81"/>
        <v>16.39311961905-2.92797421542785i</v>
      </c>
      <c r="U118" s="405" t="str">
        <f t="shared" si="82"/>
        <v>3.1737465849837-9.20502691845315i</v>
      </c>
      <c r="V118" s="731" t="str">
        <f t="shared" si="67"/>
        <v>6000</v>
      </c>
      <c r="W118" s="733" t="str">
        <f>IMSUM(COMPLEX(1,0),IMDIV(COMPLEX(0,2*PI()*D118),COMPLEX(2*PI()*'Stability Calculations'!EA_Pole1,0)))</f>
        <v>1+38684.0514054604i</v>
      </c>
      <c r="X118" s="734">
        <f t="shared" si="83"/>
        <v>38684.051418385621</v>
      </c>
      <c r="Y118" s="735">
        <f t="shared" si="84"/>
        <v>1.5707704763484349</v>
      </c>
      <c r="Z118" s="340" t="str">
        <f>IMSUM(COMPLEX(1,0),IMDIV(COMPLEX(0,2*PI()*D118),COMPLEX(2*PI()*'Stability Calculations'!EA_Zero1,0)))</f>
        <v>1+383.010409955053i</v>
      </c>
      <c r="AA118" s="734">
        <f t="shared" si="85"/>
        <v>383.0117154003749</v>
      </c>
      <c r="AB118" s="735">
        <f t="shared" si="86"/>
        <v>1.568185437634289</v>
      </c>
      <c r="AC118" s="733" t="str">
        <f>IMSUM(COMPLEX(1,0),IMDIV(COMPLEX(0,2*PI()*D118),COMPLEX(2*PI()*'Stability Calculations'!EA_Pole2,0)))</f>
        <v>1+3.85823856108899i</v>
      </c>
      <c r="AD118" s="734">
        <f t="shared" si="87"/>
        <v>3.9857251277871684</v>
      </c>
      <c r="AE118" s="735">
        <f t="shared" si="88"/>
        <v>1.317191221923617</v>
      </c>
      <c r="AF118" s="732" t="str">
        <f t="shared" si="89"/>
        <v>3.70221759159265-14.4376056820396i</v>
      </c>
      <c r="AG118" s="337">
        <f t="shared" si="90"/>
        <v>14.904726529713994</v>
      </c>
      <c r="AH118" s="730">
        <f t="shared" si="91"/>
        <v>-1.3197762606377643</v>
      </c>
      <c r="AI118" s="731" t="str">
        <f t="shared" si="68"/>
        <v>10000</v>
      </c>
      <c r="AJ118" s="733" t="str">
        <f t="shared" si="92"/>
        <v>1+36064.1835992859i</v>
      </c>
      <c r="AK118" s="734">
        <f t="shared" si="93"/>
        <v>36064.183613150068</v>
      </c>
      <c r="AL118" s="735">
        <f t="shared" si="94"/>
        <v>1.5707685984533692</v>
      </c>
      <c r="AM118" s="340" t="str">
        <f t="shared" si="95"/>
        <v>1+61.2050635108175i</v>
      </c>
      <c r="AN118" s="734">
        <f t="shared" si="96"/>
        <v>61.213232224439878</v>
      </c>
      <c r="AO118" s="735">
        <f t="shared" si="97"/>
        <v>1.5544592629229141</v>
      </c>
      <c r="AP118" s="733" t="str">
        <f t="shared" si="98"/>
        <v>1+2.96854646646379i</v>
      </c>
      <c r="AQ118" s="734">
        <f t="shared" si="99"/>
        <v>3.1324540098067928</v>
      </c>
      <c r="AR118" s="735">
        <f t="shared" si="100"/>
        <v>1.2458704672455827</v>
      </c>
      <c r="AS118" s="732" t="str">
        <f t="shared" si="101"/>
        <v>0.0737105110765171-38.3953745689621i</v>
      </c>
      <c r="AT118" s="337">
        <f t="shared" si="102"/>
        <v>38.395445322724733</v>
      </c>
      <c r="AU118" s="730">
        <f t="shared" si="103"/>
        <v>-1.5688765533495301</v>
      </c>
      <c r="AV118" s="732" t="str">
        <f t="shared" si="104"/>
        <v>-9.50216548110158-0.725409055402897i</v>
      </c>
      <c r="AW118" s="337">
        <f t="shared" si="105"/>
        <v>19.581689071839794</v>
      </c>
      <c r="AX118" s="730">
        <f t="shared" si="106"/>
        <v>-175.63442506795496</v>
      </c>
      <c r="AY118" s="360">
        <f t="shared" si="107"/>
        <v>4.3655749320450354</v>
      </c>
      <c r="BB118" s="337">
        <f t="shared" si="108"/>
        <v>-8.3144058191742154</v>
      </c>
      <c r="BC118" s="730">
        <f t="shared" si="109"/>
        <v>-89.89000508395921</v>
      </c>
      <c r="BD118" s="351"/>
      <c r="BE118" s="337">
        <f t="shared" si="69"/>
        <v>43.418446859387039</v>
      </c>
      <c r="BF118" s="730">
        <f t="shared" si="70"/>
        <v>68.860265605824694</v>
      </c>
      <c r="BI118" s="351"/>
      <c r="BJ118" s="351"/>
      <c r="BL118" s="405">
        <f t="shared" si="71"/>
        <v>0</v>
      </c>
      <c r="BM118" s="405">
        <f t="shared" si="110"/>
        <v>0</v>
      </c>
      <c r="BN118" s="405">
        <f t="shared" si="73"/>
        <v>0</v>
      </c>
      <c r="BO118" s="405">
        <f t="shared" si="74"/>
        <v>0</v>
      </c>
    </row>
    <row r="119" spans="4:67" ht="13.5" thickBot="1" x14ac:dyDescent="0.25">
      <c r="D119" s="345">
        <v>6166</v>
      </c>
      <c r="E119" s="340" t="str">
        <f t="shared" si="60"/>
        <v>0.102279198394743i</v>
      </c>
      <c r="F119" s="728" t="str">
        <f t="shared" si="75"/>
        <v>0.005-0.423142625322087i</v>
      </c>
      <c r="G119" s="337" t="str">
        <f t="shared" si="76"/>
        <v>0.005-0.661838465247369i</v>
      </c>
      <c r="H119" s="338" t="str">
        <f t="shared" si="77"/>
        <v>0.27991121750738-0.507487685225396i</v>
      </c>
      <c r="I119" s="338" t="str">
        <f t="shared" si="78"/>
        <v>0.28991121750738-0.507487685225396i</v>
      </c>
      <c r="J119" s="337" t="str">
        <f t="shared" si="79"/>
        <v>0.0562656513105081-0.247019127234267i</v>
      </c>
      <c r="K119" s="338" t="str">
        <f t="shared" si="61"/>
        <v>0.999577560488889-0.0322851005033911i</v>
      </c>
      <c r="L119" s="732"/>
      <c r="M119" s="732" t="str">
        <f t="shared" si="62"/>
        <v>55.062967564503+141.646098842736i</v>
      </c>
      <c r="N119" s="337">
        <f t="shared" si="63"/>
        <v>0</v>
      </c>
      <c r="O119" s="730" t="str">
        <f t="shared" si="64"/>
        <v>40.6919227574885+51.8050099370611i</v>
      </c>
      <c r="P119" s="731" t="str">
        <f t="shared" si="65"/>
        <v>38.0874494453776-5.6317961837331i</v>
      </c>
      <c r="Q119" s="729" t="str">
        <f t="shared" si="66"/>
        <v>37.6805302178027-6.1498462831037i</v>
      </c>
      <c r="R119" s="730"/>
      <c r="S119" s="405" t="str">
        <f t="shared" si="80"/>
        <v>38.0998684486193+4.55172002230597i</v>
      </c>
      <c r="T119" s="405" t="str">
        <f t="shared" si="81"/>
        <v>16.3752219639708-2.91491746334761i</v>
      </c>
      <c r="U119" s="405" t="str">
        <f t="shared" si="82"/>
        <v>3.10432360079131-9.12614158564672i</v>
      </c>
      <c r="V119" s="731" t="str">
        <f t="shared" si="67"/>
        <v>6000</v>
      </c>
      <c r="W119" s="733" t="str">
        <f>IMSUM(COMPLEX(1,0),IMDIV(COMPLEX(0,2*PI()*D119),COMPLEX(2*PI()*'Stability Calculations'!EA_Pole1,0)))</f>
        <v>1+39129.54181011i</v>
      </c>
      <c r="X119" s="734">
        <f t="shared" si="83"/>
        <v>39129.541822888066</v>
      </c>
      <c r="Y119" s="735">
        <f t="shared" si="84"/>
        <v>1.5707707706561451</v>
      </c>
      <c r="Z119" s="340" t="str">
        <f>IMSUM(COMPLEX(1,0),IMDIV(COMPLEX(0,2*PI()*D119),COMPLEX(2*PI()*'Stability Calculations'!EA_Zero1,0)))</f>
        <v>1+387.421206040693i</v>
      </c>
      <c r="AA119" s="734">
        <f t="shared" si="85"/>
        <v>387.42249662355061</v>
      </c>
      <c r="AB119" s="735">
        <f t="shared" si="86"/>
        <v>1.5682151625127045</v>
      </c>
      <c r="AC119" s="733" t="str">
        <f>IMSUM(COMPLEX(1,0),IMDIV(COMPLEX(0,2*PI()*D119),COMPLEX(2*PI()*'Stability Calculations'!EA_Pole2,0)))</f>
        <v>1+3.90267052194539i</v>
      </c>
      <c r="AD119" s="734">
        <f t="shared" si="87"/>
        <v>4.0287513205534919</v>
      </c>
      <c r="AE119" s="735">
        <f t="shared" si="88"/>
        <v>1.3199582797073481</v>
      </c>
      <c r="AF119" s="732" t="str">
        <f t="shared" si="89"/>
        <v>3.6235620864481-14.2933875852024i</v>
      </c>
      <c r="AG119" s="337">
        <f t="shared" si="90"/>
        <v>14.745546136212187</v>
      </c>
      <c r="AH119" s="730">
        <f t="shared" si="91"/>
        <v>-1.3225138878507883</v>
      </c>
      <c r="AI119" s="731" t="str">
        <f t="shared" si="68"/>
        <v>10000</v>
      </c>
      <c r="AJ119" s="733" t="str">
        <f t="shared" si="92"/>
        <v>1+36479.5032765506i</v>
      </c>
      <c r="AK119" s="734">
        <f t="shared" si="93"/>
        <v>36479.503290256922</v>
      </c>
      <c r="AL119" s="735">
        <f t="shared" si="94"/>
        <v>1.5707689141409422</v>
      </c>
      <c r="AM119" s="340" t="str">
        <f t="shared" si="95"/>
        <v>1+61.9099087253027i</v>
      </c>
      <c r="AN119" s="734">
        <f t="shared" si="96"/>
        <v>61.917984450200834</v>
      </c>
      <c r="AO119" s="735">
        <f t="shared" si="97"/>
        <v>1.5546452281030623</v>
      </c>
      <c r="AP119" s="733" t="str">
        <f t="shared" si="98"/>
        <v>1+3.00273262118438i</v>
      </c>
      <c r="AQ119" s="734">
        <f t="shared" si="99"/>
        <v>3.1648701702162785</v>
      </c>
      <c r="AR119" s="735">
        <f t="shared" si="100"/>
        <v>1.2493188106768467</v>
      </c>
      <c r="AS119" s="732" t="str">
        <f t="shared" si="101"/>
        <v>0.0720416808489183-37.9582458363738i</v>
      </c>
      <c r="AT119" s="337">
        <f t="shared" si="102"/>
        <v>37.958314200954298</v>
      </c>
      <c r="AU119" s="730">
        <f t="shared" si="103"/>
        <v>-1.5688984099454384</v>
      </c>
      <c r="AV119" s="732" t="str">
        <f t="shared" si="104"/>
        <v>-9.28406453450311-0.688443274447496i</v>
      </c>
      <c r="AW119" s="337">
        <f t="shared" si="105"/>
        <v>19.378578146571652</v>
      </c>
      <c r="AX119" s="730">
        <f t="shared" si="106"/>
        <v>-175.75909527944674</v>
      </c>
      <c r="AY119" s="360">
        <f t="shared" si="107"/>
        <v>4.2409047205532602</v>
      </c>
      <c r="BB119" s="337">
        <f t="shared" si="108"/>
        <v>-8.4138616727771964</v>
      </c>
      <c r="BC119" s="730">
        <f t="shared" si="109"/>
        <v>-89.891257374659276</v>
      </c>
      <c r="BD119" s="351"/>
      <c r="BE119" s="337">
        <f t="shared" si="69"/>
        <v>43.635282660634246</v>
      </c>
      <c r="BF119" s="730">
        <f t="shared" si="70"/>
        <v>68.757093579952752</v>
      </c>
      <c r="BI119" s="351"/>
      <c r="BJ119" s="351"/>
      <c r="BL119" s="405">
        <f t="shared" si="71"/>
        <v>0</v>
      </c>
      <c r="BM119" s="405">
        <f t="shared" si="110"/>
        <v>0</v>
      </c>
      <c r="BN119" s="405">
        <f t="shared" si="73"/>
        <v>0</v>
      </c>
      <c r="BO119" s="405">
        <f t="shared" si="74"/>
        <v>0</v>
      </c>
    </row>
    <row r="120" spans="4:67" ht="13.5" thickBot="1" x14ac:dyDescent="0.25">
      <c r="D120" s="345">
        <v>6237.8</v>
      </c>
      <c r="E120" s="340" t="str">
        <f t="shared" si="60"/>
        <v>0.10347018873609i</v>
      </c>
      <c r="F120" s="728" t="str">
        <f t="shared" si="75"/>
        <v>0.005-0.418272055490076i</v>
      </c>
      <c r="G120" s="337" t="str">
        <f t="shared" si="76"/>
        <v>0.005-0.654220394484475i</v>
      </c>
      <c r="H120" s="338" t="str">
        <f t="shared" si="77"/>
        <v>0.275020887533466-0.504265107576395i</v>
      </c>
      <c r="I120" s="338" t="str">
        <f t="shared" si="78"/>
        <v>0.285020887533466-0.504265107576395i</v>
      </c>
      <c r="J120" s="337" t="str">
        <f t="shared" si="79"/>
        <v>0.055122200813235-0.244414531197202i</v>
      </c>
      <c r="K120" s="338" t="str">
        <f t="shared" si="61"/>
        <v>0.999567665012889-0.0326610444242707i</v>
      </c>
      <c r="L120" s="732"/>
      <c r="M120" s="732" t="str">
        <f t="shared" si="62"/>
        <v>56.7978215178168+145.228809607511i</v>
      </c>
      <c r="N120" s="337">
        <f t="shared" si="63"/>
        <v>0</v>
      </c>
      <c r="O120" s="730" t="str">
        <f t="shared" si="64"/>
        <v>41.6456765149203+53.0613049679212i</v>
      </c>
      <c r="P120" s="731" t="str">
        <f t="shared" si="65"/>
        <v>38.6268523400068-5.87688131224723i</v>
      </c>
      <c r="Q120" s="729" t="str">
        <f t="shared" si="66"/>
        <v>38.2103955748576-6.40749436192642i</v>
      </c>
      <c r="R120" s="730"/>
      <c r="S120" s="405" t="str">
        <f t="shared" si="80"/>
        <v>38.1434818489469+4.4856548570189i</v>
      </c>
      <c r="T120" s="405" t="str">
        <f t="shared" si="81"/>
        <v>16.3574232094152-2.90183747346029i</v>
      </c>
      <c r="U120" s="405" t="str">
        <f t="shared" si="82"/>
        <v>3.0353376630902-9.04654369179727i</v>
      </c>
      <c r="V120" s="731" t="str">
        <f t="shared" si="67"/>
        <v>6000</v>
      </c>
      <c r="W120" s="733" t="str">
        <f>IMSUM(COMPLEX(1,0),IMDIV(COMPLEX(0,2*PI()*D120),COMPLEX(2*PI()*'Stability Calculations'!EA_Pole1,0)))</f>
        <v>1+39585.1858422161i</v>
      </c>
      <c r="X120" s="734">
        <f t="shared" si="83"/>
        <v>39585.185854847099</v>
      </c>
      <c r="Y120" s="735">
        <f t="shared" si="84"/>
        <v>1.5707710648192734</v>
      </c>
      <c r="Z120" s="340" t="str">
        <f>IMSUM(COMPLEX(1,0),IMDIV(COMPLEX(0,2*PI()*D120),COMPLEX(2*PI()*'Stability Calculations'!EA_Zero1,0)))</f>
        <v>1+391.932533091248i</v>
      </c>
      <c r="AA120" s="734">
        <f t="shared" si="85"/>
        <v>391.93380881894097</v>
      </c>
      <c r="AB120" s="735">
        <f t="shared" si="86"/>
        <v>1.5682448727930067</v>
      </c>
      <c r="AC120" s="733" t="str">
        <f>IMSUM(COMPLEX(1,0),IMDIV(COMPLEX(0,2*PI()*D120),COMPLEX(2*PI()*'Stability Calculations'!EA_Pole2,0)))</f>
        <v>1+3.94811517706633i</v>
      </c>
      <c r="AD120" s="734">
        <f t="shared" si="87"/>
        <v>4.0727893944300018</v>
      </c>
      <c r="AE120" s="735">
        <f t="shared" si="88"/>
        <v>1.3227279045953819</v>
      </c>
      <c r="AF120" s="732" t="str">
        <f t="shared" si="89"/>
        <v>3.54562435417061-14.1486044671294i</v>
      </c>
      <c r="AG120" s="337">
        <f t="shared" si="90"/>
        <v>14.586105046521562</v>
      </c>
      <c r="AH120" s="730">
        <f t="shared" si="91"/>
        <v>-1.3252540966216491</v>
      </c>
      <c r="AI120" s="731" t="str">
        <f t="shared" si="68"/>
        <v>10000</v>
      </c>
      <c r="AJ120" s="733" t="str">
        <f t="shared" si="92"/>
        <v>1+36904.2889293654i</v>
      </c>
      <c r="AK120" s="734">
        <f t="shared" si="93"/>
        <v>36904.288942913961</v>
      </c>
      <c r="AL120" s="735">
        <f t="shared" si="94"/>
        <v>1.5707692296734301</v>
      </c>
      <c r="AM120" s="340" t="str">
        <f t="shared" si="95"/>
        <v>1+62.6308187879814i</v>
      </c>
      <c r="AN120" s="734">
        <f t="shared" si="96"/>
        <v>62.63880156941832</v>
      </c>
      <c r="AO120" s="735">
        <f t="shared" si="97"/>
        <v>1.5548311030421731</v>
      </c>
      <c r="AP120" s="733" t="str">
        <f t="shared" si="98"/>
        <v>1+3.03769794752253i</v>
      </c>
      <c r="AQ120" s="734">
        <f t="shared" si="99"/>
        <v>3.1980632921164318</v>
      </c>
      <c r="AR120" s="735">
        <f t="shared" si="100"/>
        <v>1.252773392600635</v>
      </c>
      <c r="AS120" s="732" t="str">
        <f t="shared" si="101"/>
        <v>0.0703927645317346-37.5213317393372i</v>
      </c>
      <c r="AT120" s="337">
        <f t="shared" si="102"/>
        <v>37.521397770268251</v>
      </c>
      <c r="AU120" s="730">
        <f t="shared" si="103"/>
        <v>-1.5689202558058668</v>
      </c>
      <c r="AV120" s="732" t="str">
        <f t="shared" si="104"/>
        <v>-9.0685965335897-0.652639234509613i</v>
      </c>
      <c r="AW120" s="337">
        <f t="shared" si="105"/>
        <v>19.173236720364869</v>
      </c>
      <c r="AX120" s="730">
        <f t="shared" si="106"/>
        <v>-175.88369415247109</v>
      </c>
      <c r="AY120" s="360">
        <f t="shared" si="107"/>
        <v>4.1163058475289063</v>
      </c>
      <c r="BB120" s="337">
        <f t="shared" si="108"/>
        <v>-8.5144198277105723</v>
      </c>
      <c r="BC120" s="730">
        <f t="shared" si="109"/>
        <v>-89.892509050261665</v>
      </c>
      <c r="BD120" s="351"/>
      <c r="BE120" s="337">
        <f t="shared" si="69"/>
        <v>43.859171327017528</v>
      </c>
      <c r="BF120" s="730">
        <f t="shared" si="70"/>
        <v>68.639930954908309</v>
      </c>
      <c r="BI120" s="351"/>
      <c r="BJ120" s="351"/>
      <c r="BL120" s="405">
        <f t="shared" si="71"/>
        <v>0</v>
      </c>
      <c r="BM120" s="405">
        <f t="shared" si="110"/>
        <v>0</v>
      </c>
      <c r="BN120" s="405">
        <f t="shared" si="73"/>
        <v>0</v>
      </c>
      <c r="BO120" s="405">
        <f t="shared" si="74"/>
        <v>0</v>
      </c>
    </row>
    <row r="121" spans="4:67" ht="13.5" thickBot="1" x14ac:dyDescent="0.25">
      <c r="D121" s="345">
        <v>6309.6</v>
      </c>
      <c r="E121" s="340" t="str">
        <f t="shared" si="60"/>
        <v>0.104661179077436i</v>
      </c>
      <c r="F121" s="728" t="str">
        <f t="shared" si="75"/>
        <v>0.005-0.413512334812982i</v>
      </c>
      <c r="G121" s="337" t="str">
        <f t="shared" si="76"/>
        <v>0.005-0.646775703169024i</v>
      </c>
      <c r="H121" s="338" t="str">
        <f t="shared" si="77"/>
        <v>0.270247818783513-0.501053791949833i</v>
      </c>
      <c r="I121" s="338" t="str">
        <f t="shared" si="78"/>
        <v>0.280247818783513-0.501053791949833i</v>
      </c>
      <c r="J121" s="337" t="str">
        <f t="shared" si="79"/>
        <v>0.0540154395164346-0.241861647957379i</v>
      </c>
      <c r="K121" s="338" t="str">
        <f t="shared" si="61"/>
        <v>0.999557654976-0.0330369883451503i</v>
      </c>
      <c r="L121" s="732"/>
      <c r="M121" s="732" t="str">
        <f t="shared" si="62"/>
        <v>58.6324024129563+148.927661695089i</v>
      </c>
      <c r="N121" s="337">
        <f t="shared" si="63"/>
        <v>0</v>
      </c>
      <c r="O121" s="730" t="str">
        <f t="shared" si="64"/>
        <v>42.6488394013022+54.3548435157181i</v>
      </c>
      <c r="P121" s="731" t="str">
        <f t="shared" si="65"/>
        <v>39.1869446702535-6.1365363686827i</v>
      </c>
      <c r="Q121" s="729" t="str">
        <f t="shared" si="66"/>
        <v>38.7604562762405-6.68008480383987i</v>
      </c>
      <c r="R121" s="730"/>
      <c r="S121" s="405" t="str">
        <f t="shared" si="80"/>
        <v>38.1858270464325+4.4202864173825i</v>
      </c>
      <c r="T121" s="405" t="str">
        <f t="shared" si="81"/>
        <v>16.340118521-2.88903229327507i</v>
      </c>
      <c r="U121" s="405" t="str">
        <f t="shared" si="82"/>
        <v>2.96832080335335-8.96803302150942i</v>
      </c>
      <c r="V121" s="731" t="str">
        <f t="shared" si="67"/>
        <v>6000</v>
      </c>
      <c r="W121" s="733" t="str">
        <f>IMSUM(COMPLEX(1,0),IMDIV(COMPLEX(0,2*PI()*D121),COMPLEX(2*PI()*'Stability Calculations'!EA_Pole1,0)))</f>
        <v>1+40040.8298743221i</v>
      </c>
      <c r="X121" s="734">
        <f t="shared" si="83"/>
        <v>40040.829886809355</v>
      </c>
      <c r="Y121" s="735">
        <f t="shared" si="84"/>
        <v>1.5707713522875517</v>
      </c>
      <c r="Z121" s="340" t="str">
        <f>IMSUM(COMPLEX(1,0),IMDIV(COMPLEX(0,2*PI()*D121),COMPLEX(2*PI()*'Stability Calculations'!EA_Zero1,0)))</f>
        <v>1+396.443860141803i</v>
      </c>
      <c r="AA121" s="734">
        <f t="shared" si="85"/>
        <v>396.44512135241808</v>
      </c>
      <c r="AB121" s="735">
        <f t="shared" si="86"/>
        <v>1.5682739069022691</v>
      </c>
      <c r="AC121" s="733" t="str">
        <f>IMSUM(COMPLEX(1,0),IMDIV(COMPLEX(0,2*PI()*D121),COMPLEX(2*PI()*'Stability Calculations'!EA_Pole2,0)))</f>
        <v>1+3.99355983218726i</v>
      </c>
      <c r="AD121" s="734">
        <f t="shared" si="87"/>
        <v>4.1168580414266813</v>
      </c>
      <c r="AE121" s="735">
        <f t="shared" si="88"/>
        <v>1.3254382553552952</v>
      </c>
      <c r="AF121" s="732" t="str">
        <f t="shared" si="89"/>
        <v>3.470122800254-14.0065064377595i</v>
      </c>
      <c r="AG121" s="337">
        <f t="shared" si="90"/>
        <v>14.429967943132826</v>
      </c>
      <c r="AH121" s="730">
        <f t="shared" si="91"/>
        <v>-1.327935700740577</v>
      </c>
      <c r="AI121" s="731" t="str">
        <f t="shared" si="68"/>
        <v>10000</v>
      </c>
      <c r="AJ121" s="733" t="str">
        <f t="shared" si="92"/>
        <v>1+37329.0745821803i</v>
      </c>
      <c r="AK121" s="734">
        <f t="shared" si="93"/>
        <v>37329.074595574682</v>
      </c>
      <c r="AL121" s="735">
        <f t="shared" si="94"/>
        <v>1.5707695380247233</v>
      </c>
      <c r="AM121" s="340" t="str">
        <f t="shared" si="95"/>
        <v>1+63.3517288506601i</v>
      </c>
      <c r="AN121" s="734">
        <f t="shared" si="96"/>
        <v>63.359620803533531</v>
      </c>
      <c r="AO121" s="735">
        <f t="shared" si="97"/>
        <v>1.5550127487250325</v>
      </c>
      <c r="AP121" s="733" t="str">
        <f t="shared" si="98"/>
        <v>1+3.07266327386068i</v>
      </c>
      <c r="AQ121" s="734">
        <f t="shared" si="99"/>
        <v>3.2312937957623462</v>
      </c>
      <c r="AR121" s="735">
        <f t="shared" si="100"/>
        <v>1.2561569606347858</v>
      </c>
      <c r="AS121" s="732" t="str">
        <f t="shared" si="101"/>
        <v>0.0687998185110774-37.0943612535183i</v>
      </c>
      <c r="AT121" s="337">
        <f t="shared" si="102"/>
        <v>37.094425055815961</v>
      </c>
      <c r="AU121" s="730">
        <f t="shared" si="103"/>
        <v>-1.5689416044787334</v>
      </c>
      <c r="AV121" s="732" t="str">
        <f t="shared" si="104"/>
        <v>-8.86047623544977-0.618735786142237i</v>
      </c>
      <c r="AW121" s="337">
        <f t="shared" si="105"/>
        <v>18.970267624610432</v>
      </c>
      <c r="AX121" s="730">
        <f t="shared" si="106"/>
        <v>-176.00546377972231</v>
      </c>
      <c r="AY121" s="360">
        <f t="shared" si="107"/>
        <v>3.9945362202776948</v>
      </c>
      <c r="BB121" s="337">
        <f t="shared" si="108"/>
        <v>-8.613827117362856</v>
      </c>
      <c r="BC121" s="730">
        <f t="shared" si="109"/>
        <v>-89.893732239115124</v>
      </c>
      <c r="BD121" s="351"/>
      <c r="BE121" s="337">
        <f t="shared" si="69"/>
        <v>44.08531778129823</v>
      </c>
      <c r="BF121" s="730">
        <f t="shared" si="70"/>
        <v>68.510579493594904</v>
      </c>
      <c r="BI121" s="351"/>
      <c r="BJ121" s="351"/>
      <c r="BL121" s="405">
        <f t="shared" si="71"/>
        <v>0</v>
      </c>
      <c r="BM121" s="405">
        <f t="shared" si="110"/>
        <v>0</v>
      </c>
      <c r="BN121" s="405">
        <f t="shared" si="73"/>
        <v>0</v>
      </c>
      <c r="BO121" s="405">
        <f t="shared" si="74"/>
        <v>0</v>
      </c>
    </row>
    <row r="122" spans="4:67" ht="13.5" thickBot="1" x14ac:dyDescent="0.25">
      <c r="D122" s="345">
        <v>6383.05</v>
      </c>
      <c r="E122" s="340" t="str">
        <f t="shared" si="60"/>
        <v>0.105879538973981i</v>
      </c>
      <c r="F122" s="728" t="str">
        <f t="shared" si="75"/>
        <v>0.005-0.408754032591941i</v>
      </c>
      <c r="G122" s="337" t="str">
        <f t="shared" si="76"/>
        <v>0.005-0.63933323046432i</v>
      </c>
      <c r="H122" s="338" t="str">
        <f t="shared" si="77"/>
        <v>0.265482995165243-0.497781715797477i</v>
      </c>
      <c r="I122" s="338" t="str">
        <f t="shared" si="78"/>
        <v>0.275482995165243-0.497781715797477i</v>
      </c>
      <c r="J122" s="337" t="str">
        <f t="shared" si="79"/>
        <v>0.0529196123288511-0.239302112973838i</v>
      </c>
      <c r="K122" s="338" t="str">
        <f t="shared" si="61"/>
        <v>0.999547296363306-0.0334215716458272i</v>
      </c>
      <c r="L122" s="732"/>
      <c r="M122" s="732" t="str">
        <f t="shared" si="62"/>
        <v>60.6202645903423+152.837698204118i</v>
      </c>
      <c r="N122" s="337">
        <f t="shared" si="63"/>
        <v>0</v>
      </c>
      <c r="O122" s="730" t="str">
        <f t="shared" si="64"/>
        <v>43.7298073721189+55.7183316112606i</v>
      </c>
      <c r="P122" s="731" t="str">
        <f t="shared" si="65"/>
        <v>39.7823850236965-6.41844566730617i</v>
      </c>
      <c r="Q122" s="729" t="str">
        <f t="shared" si="66"/>
        <v>39.3450869499753-6.97562898341876i</v>
      </c>
      <c r="R122" s="730"/>
      <c r="S122" s="405" t="str">
        <f t="shared" si="80"/>
        <v>38.2278801836326+4.3541292767497i</v>
      </c>
      <c r="T122" s="405" t="str">
        <f t="shared" si="81"/>
        <v>16.3229088001873-2.87621426237387i</v>
      </c>
      <c r="U122" s="405" t="str">
        <f t="shared" si="82"/>
        <v>2.90172784755718-8.88883152647496i</v>
      </c>
      <c r="V122" s="731" t="str">
        <f t="shared" si="67"/>
        <v>6000</v>
      </c>
      <c r="W122" s="733" t="str">
        <f>IMSUM(COMPLEX(1,0),IMDIV(COMPLEX(0,2*PI()*D122),COMPLEX(2*PI()*'Stability Calculations'!EA_Pole1,0)))</f>
        <v>1+40506.9448347426i</v>
      </c>
      <c r="X122" s="734">
        <f t="shared" si="83"/>
        <v>40506.944847086153</v>
      </c>
      <c r="Y122" s="735">
        <f t="shared" si="84"/>
        <v>1.570771639670161</v>
      </c>
      <c r="Z122" s="340" t="str">
        <f>IMSUM(COMPLEX(1,0),IMDIV(COMPLEX(0,2*PI()*D122),COMPLEX(2*PI()*'Stability Calculations'!EA_Zero1,0)))</f>
        <v>1+401.058859749927i</v>
      </c>
      <c r="AA122" s="734">
        <f t="shared" si="85"/>
        <v>401.06010644778871</v>
      </c>
      <c r="AB122" s="735">
        <f t="shared" si="86"/>
        <v>1.5683029323632562</v>
      </c>
      <c r="AC122" s="733" t="str">
        <f>IMSUM(COMPLEX(1,0),IMDIV(COMPLEX(0,2*PI()*D122),COMPLEX(2*PI()*'Stability Calculations'!EA_Pole2,0)))</f>
        <v>1+4.0400488282685i</v>
      </c>
      <c r="AD122" s="734">
        <f t="shared" si="87"/>
        <v>4.1619700305016218</v>
      </c>
      <c r="AE122" s="735">
        <f t="shared" si="88"/>
        <v>1.3281514806687411</v>
      </c>
      <c r="AF122" s="732" t="str">
        <f t="shared" si="89"/>
        <v>3.39530450388148-13.8638521690102i</v>
      </c>
      <c r="AG122" s="337">
        <f t="shared" si="90"/>
        <v>14.273559109004546</v>
      </c>
      <c r="AH122" s="730">
        <f t="shared" si="91"/>
        <v>-1.3306201879756463</v>
      </c>
      <c r="AI122" s="731" t="str">
        <f t="shared" si="68"/>
        <v>10000</v>
      </c>
      <c r="AJ122" s="733" t="str">
        <f t="shared" si="92"/>
        <v>1+37763.6220222813i</v>
      </c>
      <c r="AK122" s="734">
        <f t="shared" si="93"/>
        <v>37763.622035521548</v>
      </c>
      <c r="AL122" s="735">
        <f t="shared" si="94"/>
        <v>1.5707698462841242</v>
      </c>
      <c r="AM122" s="340" t="str">
        <f t="shared" si="95"/>
        <v>1+64.0892057880383i</v>
      </c>
      <c r="AN122" s="734">
        <f t="shared" si="96"/>
        <v>64.097006939025803</v>
      </c>
      <c r="AO122" s="735">
        <f t="shared" si="97"/>
        <v>1.5551943413164069</v>
      </c>
      <c r="AP122" s="733" t="str">
        <f t="shared" si="98"/>
        <v>1+3.10843212092945i</v>
      </c>
      <c r="AQ122" s="734">
        <f t="shared" si="99"/>
        <v>3.2653254432638041</v>
      </c>
      <c r="AR122" s="735">
        <f t="shared" si="100"/>
        <v>1.2595469852728616</v>
      </c>
      <c r="AS122" s="732" t="str">
        <f t="shared" si="101"/>
        <v>0.0672255694435782-36.6675179088301i</v>
      </c>
      <c r="AT122" s="337">
        <f t="shared" si="102"/>
        <v>36.667579533854749</v>
      </c>
      <c r="AU122" s="730">
        <f t="shared" si="103"/>
        <v>-1.5689629467911195</v>
      </c>
      <c r="AV122" s="732" t="str">
        <f t="shared" si="104"/>
        <v>-8.65483652308964-0.585896773572389i</v>
      </c>
      <c r="AW122" s="337">
        <f t="shared" si="105"/>
        <v>18.765034469990841</v>
      </c>
      <c r="AX122" s="730">
        <f t="shared" si="106"/>
        <v>-176.12722055087318</v>
      </c>
      <c r="AY122" s="360">
        <f t="shared" si="107"/>
        <v>3.8727794491268241</v>
      </c>
      <c r="BB122" s="337">
        <f t="shared" si="108"/>
        <v>-8.7143551467301492</v>
      </c>
      <c r="BC122" s="730">
        <f t="shared" si="109"/>
        <v>-89.894955063539896</v>
      </c>
      <c r="BD122" s="351"/>
      <c r="BE122" s="337">
        <f t="shared" si="69"/>
        <v>44.319131765457669</v>
      </c>
      <c r="BF122" s="730">
        <f t="shared" si="70"/>
        <v>68.365157371483747</v>
      </c>
      <c r="BI122" s="351"/>
      <c r="BJ122" s="351"/>
      <c r="BL122" s="405">
        <f t="shared" si="71"/>
        <v>0</v>
      </c>
      <c r="BM122" s="405">
        <f t="shared" si="110"/>
        <v>0</v>
      </c>
      <c r="BN122" s="405">
        <f t="shared" si="73"/>
        <v>0</v>
      </c>
      <c r="BO122" s="405">
        <f t="shared" si="74"/>
        <v>0</v>
      </c>
    </row>
    <row r="123" spans="4:67" ht="13.5" thickBot="1" x14ac:dyDescent="0.25">
      <c r="D123" s="345">
        <v>6456.5</v>
      </c>
      <c r="E123" s="340" t="str">
        <f t="shared" si="60"/>
        <v>0.107097898870525i</v>
      </c>
      <c r="F123" s="728" t="str">
        <f t="shared" si="75"/>
        <v>0.005-0.404103992524742i</v>
      </c>
      <c r="G123" s="337" t="str">
        <f t="shared" si="76"/>
        <v>0.005-0.632060090872033i</v>
      </c>
      <c r="H123" s="338" t="str">
        <f t="shared" si="77"/>
        <v>0.260834074591035-0.494524121423553i</v>
      </c>
      <c r="I123" s="338" t="str">
        <f t="shared" si="78"/>
        <v>0.270834074591035-0.494524121423553i</v>
      </c>
      <c r="J123" s="337" t="str">
        <f t="shared" si="79"/>
        <v>0.0518590239354965-0.236793712624462i</v>
      </c>
      <c r="K123" s="338" t="str">
        <f t="shared" si="61"/>
        <v>0.999536817863889-0.0338061549465042i</v>
      </c>
      <c r="L123" s="732"/>
      <c r="M123" s="732" t="str">
        <f t="shared" si="62"/>
        <v>62.7293812112651+156.881821620773i</v>
      </c>
      <c r="N123" s="337">
        <f t="shared" si="63"/>
        <v>0</v>
      </c>
      <c r="O123" s="730" t="str">
        <f t="shared" si="64"/>
        <v>44.8701847541791+57.1242883372785i</v>
      </c>
      <c r="P123" s="731" t="str">
        <f t="shared" si="65"/>
        <v>40.4017134665653-6.71818492517465i</v>
      </c>
      <c r="Q123" s="729" t="str">
        <f t="shared" si="66"/>
        <v>39.9530116190235-7.28942780854744i</v>
      </c>
      <c r="R123" s="730"/>
      <c r="S123" s="405" t="str">
        <f t="shared" si="80"/>
        <v>38.2686997299667+4.28868578653308i</v>
      </c>
      <c r="T123" s="405" t="str">
        <f t="shared" si="81"/>
        <v>16.3061791680878-2.86367770307846i</v>
      </c>
      <c r="U123" s="405" t="str">
        <f t="shared" si="82"/>
        <v>2.83704945326873-8.81074365048313i</v>
      </c>
      <c r="V123" s="731" t="str">
        <f t="shared" si="67"/>
        <v>6000</v>
      </c>
      <c r="W123" s="733" t="str">
        <f>IMSUM(COMPLEX(1,0),IMDIV(COMPLEX(0,2*PI()*D123),COMPLEX(2*PI()*'Stability Calculations'!EA_Pole1,0)))</f>
        <v>1+40973.0597951631i</v>
      </c>
      <c r="X123" s="734">
        <f t="shared" si="83"/>
        <v>40973.05980736624</v>
      </c>
      <c r="Y123" s="735">
        <f t="shared" si="84"/>
        <v>1.5707719205141648</v>
      </c>
      <c r="Z123" s="340" t="str">
        <f>IMSUM(COMPLEX(1,0),IMDIV(COMPLEX(0,2*PI()*D123),COMPLEX(2*PI()*'Stability Calculations'!EA_Zero1,0)))</f>
        <v>1+405.67385935805i</v>
      </c>
      <c r="AA123" s="734">
        <f t="shared" si="85"/>
        <v>405.67509187335486</v>
      </c>
      <c r="AB123" s="735">
        <f t="shared" si="86"/>
        <v>1.5683312974333179</v>
      </c>
      <c r="AC123" s="733" t="str">
        <f>IMSUM(COMPLEX(1,0),IMDIV(COMPLEX(0,2*PI()*D123),COMPLEX(2*PI()*'Stability Calculations'!EA_Pole2,0)))</f>
        <v>1+4.08653782434973i</v>
      </c>
      <c r="AD123" s="734">
        <f t="shared" si="87"/>
        <v>4.2071120011049175</v>
      </c>
      <c r="AE123" s="735">
        <f t="shared" si="88"/>
        <v>1.3308064998042481</v>
      </c>
      <c r="AF123" s="732" t="str">
        <f t="shared" si="89"/>
        <v>3.32283272061825-13.7238694030633i</v>
      </c>
      <c r="AG123" s="337">
        <f t="shared" si="90"/>
        <v>14.120403984360657</v>
      </c>
      <c r="AH123" s="730">
        <f t="shared" si="91"/>
        <v>-1.3332471228850948</v>
      </c>
      <c r="AI123" s="731" t="str">
        <f t="shared" si="68"/>
        <v>10000</v>
      </c>
      <c r="AJ123" s="733" t="str">
        <f t="shared" si="92"/>
        <v>1+38198.1694623823i</v>
      </c>
      <c r="AK123" s="734">
        <f t="shared" si="93"/>
        <v>38198.169475471936</v>
      </c>
      <c r="AL123" s="735">
        <f t="shared" si="94"/>
        <v>1.5707701475299254</v>
      </c>
      <c r="AM123" s="340" t="str">
        <f t="shared" si="95"/>
        <v>1+64.8266827254164i</v>
      </c>
      <c r="AN123" s="734">
        <f t="shared" si="96"/>
        <v>64.834395140093662</v>
      </c>
      <c r="AO123" s="735">
        <f t="shared" si="97"/>
        <v>1.5553718032592923</v>
      </c>
      <c r="AP123" s="733" t="str">
        <f t="shared" si="98"/>
        <v>1+3.14420096799821i</v>
      </c>
      <c r="AQ123" s="734">
        <f t="shared" si="99"/>
        <v>3.2993938423839126</v>
      </c>
      <c r="AR123" s="735">
        <f t="shared" si="100"/>
        <v>1.262867038969572</v>
      </c>
      <c r="AS123" s="732" t="str">
        <f t="shared" si="101"/>
        <v>0.0657047405491023-36.2503861202762i</v>
      </c>
      <c r="AT123" s="337">
        <f t="shared" si="102"/>
        <v>36.250445665978283</v>
      </c>
      <c r="AU123" s="730">
        <f t="shared" si="103"/>
        <v>-1.5689838035191688</v>
      </c>
      <c r="AV123" s="732" t="str">
        <f t="shared" si="104"/>
        <v>-8.45621534688884-0.554805921814803i</v>
      </c>
      <c r="AW123" s="337">
        <f t="shared" si="105"/>
        <v>18.562175088027782</v>
      </c>
      <c r="AX123" s="730">
        <f t="shared" si="106"/>
        <v>-176.24624697986056</v>
      </c>
      <c r="AY123" s="360">
        <f t="shared" si="107"/>
        <v>3.7537530201394418</v>
      </c>
      <c r="BB123" s="337">
        <f t="shared" si="108"/>
        <v>-8.8137329961574711</v>
      </c>
      <c r="BC123" s="730">
        <f t="shared" si="109"/>
        <v>-89.896150066031566</v>
      </c>
      <c r="BD123" s="351"/>
      <c r="BE123" s="337">
        <f t="shared" si="69"/>
        <v>44.55558668029343</v>
      </c>
      <c r="BF123" s="730">
        <f t="shared" si="70"/>
        <v>68.205941633745226</v>
      </c>
      <c r="BI123" s="351"/>
      <c r="BJ123" s="351"/>
      <c r="BL123" s="405">
        <f t="shared" si="71"/>
        <v>0</v>
      </c>
      <c r="BM123" s="405">
        <f t="shared" si="110"/>
        <v>0</v>
      </c>
      <c r="BN123" s="405">
        <f t="shared" si="73"/>
        <v>0</v>
      </c>
      <c r="BO123" s="405">
        <f t="shared" si="74"/>
        <v>0</v>
      </c>
    </row>
    <row r="124" spans="4:67" ht="13.5" thickBot="1" x14ac:dyDescent="0.25">
      <c r="D124" s="345">
        <v>6531.7</v>
      </c>
      <c r="E124" s="340" t="str">
        <f t="shared" si="60"/>
        <v>0.108345287083189i</v>
      </c>
      <c r="F124" s="728" t="str">
        <f t="shared" si="75"/>
        <v>0.005-0.399451509979942i</v>
      </c>
      <c r="G124" s="337" t="str">
        <f t="shared" si="76"/>
        <v>0.005-0.624783130994269i</v>
      </c>
      <c r="H124" s="338" t="str">
        <f t="shared" si="77"/>
        <v>0.256191024869689-0.49120516676042i</v>
      </c>
      <c r="I124" s="338" t="str">
        <f t="shared" si="78"/>
        <v>0.266191024869689-0.49120516676042i</v>
      </c>
      <c r="J124" s="337" t="str">
        <f t="shared" si="79"/>
        <v>0.0508081352268344-0.234277029703063i</v>
      </c>
      <c r="K124" s="338" t="str">
        <f t="shared" si="61"/>
        <v>0.999525965501222-0.0341999012257541i</v>
      </c>
      <c r="L124" s="732"/>
      <c r="M124" s="732" t="str">
        <f t="shared" si="62"/>
        <v>65.0246425377938+161.168413512132i</v>
      </c>
      <c r="N124" s="337">
        <f t="shared" si="63"/>
        <v>0</v>
      </c>
      <c r="O124" s="730" t="str">
        <f t="shared" si="64"/>
        <v>46.103930109177+58.6096962584953i</v>
      </c>
      <c r="P124" s="731" t="str">
        <f t="shared" si="65"/>
        <v>41.061838030714-7.04511356323903i</v>
      </c>
      <c r="Q124" s="729" t="str">
        <f t="shared" si="66"/>
        <v>40.6007987296223-7.631210525824i</v>
      </c>
      <c r="R124" s="730"/>
      <c r="S124" s="405" t="str">
        <f t="shared" si="80"/>
        <v>38.309260103614+4.22241369676341i</v>
      </c>
      <c r="T124" s="405" t="str">
        <f t="shared" si="81"/>
        <v>16.2895300414795-2.85113061571368i</v>
      </c>
      <c r="U124" s="405" t="str">
        <f t="shared" si="82"/>
        <v>2.77274130642487-8.73193539495086i</v>
      </c>
      <c r="V124" s="731" t="str">
        <f t="shared" si="67"/>
        <v>6000</v>
      </c>
      <c r="W124" s="733" t="str">
        <f>IMSUM(COMPLEX(1,0),IMDIV(COMPLEX(0,2*PI()*D124),COMPLEX(2*PI()*'Stability Calculations'!EA_Pole1,0)))</f>
        <v>1+41450.280285614i</v>
      </c>
      <c r="X124" s="734">
        <f t="shared" si="83"/>
        <v>41450.28029767664</v>
      </c>
      <c r="Y124" s="735">
        <f t="shared" si="84"/>
        <v>1.5707722015056846</v>
      </c>
      <c r="Z124" s="340" t="str">
        <f>IMSUM(COMPLEX(1,0),IMDIV(COMPLEX(0,2*PI()*D124),COMPLEX(2*PI()*'Stability Calculations'!EA_Zero1,0)))</f>
        <v>1+410.398814709049i</v>
      </c>
      <c r="AA124" s="734">
        <f t="shared" si="85"/>
        <v>410.40003303434605</v>
      </c>
      <c r="AB124" s="735">
        <f t="shared" si="86"/>
        <v>1.5683596774063708</v>
      </c>
      <c r="AC124" s="733" t="str">
        <f>IMSUM(COMPLEX(1,0),IMDIV(COMPLEX(0,2*PI()*D124),COMPLEX(2*PI()*'Stability Calculations'!EA_Pole2,0)))</f>
        <v>1+4.1341344547828i</v>
      </c>
      <c r="AD124" s="734">
        <f t="shared" si="87"/>
        <v>4.2533595768782915</v>
      </c>
      <c r="AE124" s="735">
        <f t="shared" si="88"/>
        <v>1.3334663706370251</v>
      </c>
      <c r="AF124" s="732" t="str">
        <f t="shared" si="89"/>
        <v>3.25096599627717-13.583249086255i</v>
      </c>
      <c r="AG124" s="337">
        <f t="shared" si="90"/>
        <v>13.966869214258351</v>
      </c>
      <c r="AH124" s="730">
        <f t="shared" si="91"/>
        <v>-1.3358788947363394</v>
      </c>
      <c r="AI124" s="731" t="str">
        <f t="shared" si="68"/>
        <v>10000</v>
      </c>
      <c r="AJ124" s="733" t="str">
        <f t="shared" si="92"/>
        <v>1+38643.0703132413i</v>
      </c>
      <c r="AK124" s="734">
        <f t="shared" si="93"/>
        <v>38643.070326180219</v>
      </c>
      <c r="AL124" s="735">
        <f t="shared" si="94"/>
        <v>1.5707704489339589</v>
      </c>
      <c r="AM124" s="340" t="str">
        <f t="shared" si="95"/>
        <v>1+65.581730590506i</v>
      </c>
      <c r="AN124" s="734">
        <f t="shared" si="96"/>
        <v>65.589354221898773</v>
      </c>
      <c r="AO124" s="735">
        <f t="shared" si="97"/>
        <v>1.5555493593881116</v>
      </c>
      <c r="AP124" s="733" t="str">
        <f t="shared" si="98"/>
        <v>1+3.18082203402368i</v>
      </c>
      <c r="AQ124" s="734">
        <f t="shared" si="99"/>
        <v>3.3343108451568431</v>
      </c>
      <c r="AR124" s="735">
        <f t="shared" si="100"/>
        <v>1.2661958683799903</v>
      </c>
      <c r="AS124" s="732" t="str">
        <f t="shared" si="101"/>
        <v>0.0642005264332904-35.8330351346103i</v>
      </c>
      <c r="AT124" s="337">
        <f t="shared" si="102"/>
        <v>35.833092647241749</v>
      </c>
      <c r="AU124" s="730">
        <f t="shared" si="103"/>
        <v>-1.56900467120399</v>
      </c>
      <c r="AV124" s="732" t="str">
        <f t="shared" si="104"/>
        <v>-8.25980767966269-0.524671898360423i</v>
      </c>
      <c r="AW124" s="337">
        <f t="shared" si="105"/>
        <v>18.35688691696642</v>
      </c>
      <c r="AX124" s="730">
        <f t="shared" si="106"/>
        <v>-176.36539345699234</v>
      </c>
      <c r="AY124" s="360">
        <f t="shared" si="107"/>
        <v>3.6346065430076635</v>
      </c>
      <c r="BB124" s="337">
        <f t="shared" si="108"/>
        <v>-8.9143141511240334</v>
      </c>
      <c r="BC124" s="730">
        <f t="shared" si="109"/>
        <v>-89.897345696300036</v>
      </c>
      <c r="BD124" s="351"/>
      <c r="BE124" s="337">
        <f t="shared" si="69"/>
        <v>44.800567207668543</v>
      </c>
      <c r="BF124" s="730">
        <f t="shared" si="70"/>
        <v>68.028006966180712</v>
      </c>
      <c r="BI124" s="351"/>
      <c r="BJ124" s="351"/>
      <c r="BL124" s="405">
        <f t="shared" si="71"/>
        <v>0</v>
      </c>
      <c r="BM124" s="405">
        <f t="shared" si="110"/>
        <v>0</v>
      </c>
      <c r="BN124" s="405">
        <f t="shared" si="73"/>
        <v>0</v>
      </c>
      <c r="BO124" s="405">
        <f t="shared" si="74"/>
        <v>0</v>
      </c>
    </row>
    <row r="125" spans="4:67" ht="13.5" thickBot="1" x14ac:dyDescent="0.25">
      <c r="D125" s="345">
        <v>6606.9</v>
      </c>
      <c r="E125" s="340" t="str">
        <f t="shared" si="60"/>
        <v>0.109592675295853i</v>
      </c>
      <c r="F125" s="728" t="str">
        <f t="shared" si="75"/>
        <v>0.005-0.394904936919886i</v>
      </c>
      <c r="G125" s="337" t="str">
        <f t="shared" si="76"/>
        <v>0.005-0.617671824413153i</v>
      </c>
      <c r="H125" s="338" t="str">
        <f t="shared" si="77"/>
        <v>0.251662574404795-0.487903823929236i</v>
      </c>
      <c r="I125" s="338" t="str">
        <f t="shared" si="78"/>
        <v>0.261662574404795-0.487903823929236i</v>
      </c>
      <c r="J125" s="337" t="str">
        <f t="shared" si="79"/>
        <v>0.0497911385773505-0.231810963156356i</v>
      </c>
      <c r="K125" s="338" t="str">
        <f t="shared" si="61"/>
        <v>0.999514987471-0.034593647505004i</v>
      </c>
      <c r="L125" s="732"/>
      <c r="M125" s="732" t="str">
        <f t="shared" si="62"/>
        <v>67.4689559926903+165.610599009544i</v>
      </c>
      <c r="N125" s="337">
        <f t="shared" si="63"/>
        <v>0</v>
      </c>
      <c r="O125" s="730" t="str">
        <f t="shared" si="64"/>
        <v>47.4098548816588+60.143664556661i</v>
      </c>
      <c r="P125" s="731" t="str">
        <f t="shared" si="65"/>
        <v>41.7497086028047-7.39410338665711i</v>
      </c>
      <c r="Q125" s="729" t="str">
        <f t="shared" si="66"/>
        <v>41.2756100539882-7.99554003222374i</v>
      </c>
      <c r="R125" s="730"/>
      <c r="S125" s="405" t="str">
        <f t="shared" si="80"/>
        <v>38.348619444991+4.1568716508698i</v>
      </c>
      <c r="T125" s="405" t="str">
        <f t="shared" si="81"/>
        <v>16.2733478103995-2.83887145002899i</v>
      </c>
      <c r="U125" s="405" t="str">
        <f t="shared" si="82"/>
        <v>2.71029636803712-8.65426632234295i</v>
      </c>
      <c r="V125" s="731" t="str">
        <f t="shared" si="67"/>
        <v>6000</v>
      </c>
      <c r="W125" s="733" t="str">
        <f>IMSUM(COMPLEX(1,0),IMDIV(COMPLEX(0,2*PI()*D125),COMPLEX(2*PI()*'Stability Calculations'!EA_Pole1,0)))</f>
        <v>1+41927.5007760649i</v>
      </c>
      <c r="X125" s="734">
        <f t="shared" si="83"/>
        <v>41927.500787990248</v>
      </c>
      <c r="Y125" s="735">
        <f t="shared" si="84"/>
        <v>1.5707724761006912</v>
      </c>
      <c r="Z125" s="340" t="str">
        <f>IMSUM(COMPLEX(1,0),IMDIV(COMPLEX(0,2*PI()*D125),COMPLEX(2*PI()*'Stability Calculations'!EA_Zero1,0)))</f>
        <v>1+415.123770060048i</v>
      </c>
      <c r="AA125" s="734">
        <f t="shared" si="85"/>
        <v>415.12497451835833</v>
      </c>
      <c r="AB125" s="735">
        <f t="shared" si="86"/>
        <v>1.5683874113392402</v>
      </c>
      <c r="AC125" s="733" t="str">
        <f>IMSUM(COMPLEX(1,0),IMDIV(COMPLEX(0,2*PI()*D125),COMPLEX(2*PI()*'Stability Calculations'!EA_Pole2,0)))</f>
        <v>1+4.18173108521587i</v>
      </c>
      <c r="AD125" s="734">
        <f t="shared" si="87"/>
        <v>4.2996365973254882</v>
      </c>
      <c r="AE125" s="735">
        <f t="shared" si="88"/>
        <v>1.33606900313558</v>
      </c>
      <c r="AF125" s="732" t="str">
        <f t="shared" si="89"/>
        <v>3.18136224946388-13.4452887041715i</v>
      </c>
      <c r="AG125" s="337">
        <f t="shared" si="90"/>
        <v>13.816542769478753</v>
      </c>
      <c r="AH125" s="730">
        <f t="shared" si="91"/>
        <v>-1.3384540678970309</v>
      </c>
      <c r="AI125" s="731" t="str">
        <f t="shared" si="68"/>
        <v>10000</v>
      </c>
      <c r="AJ125" s="733" t="str">
        <f t="shared" si="92"/>
        <v>1+39087.9711641003i</v>
      </c>
      <c r="AK125" s="734">
        <f t="shared" si="93"/>
        <v>39087.971176891959</v>
      </c>
      <c r="AL125" s="735">
        <f t="shared" si="94"/>
        <v>1.5707707434768066</v>
      </c>
      <c r="AM125" s="340" t="str">
        <f t="shared" si="95"/>
        <v>1+66.3367784555956i</v>
      </c>
      <c r="AN125" s="734">
        <f t="shared" si="96"/>
        <v>66.344315324425295</v>
      </c>
      <c r="AO125" s="735">
        <f t="shared" si="97"/>
        <v>1.5557228745439529</v>
      </c>
      <c r="AP125" s="733" t="str">
        <f t="shared" si="98"/>
        <v>1+3.21744310004915i</v>
      </c>
      <c r="AQ125" s="734">
        <f t="shared" si="99"/>
        <v>3.3692640297331828</v>
      </c>
      <c r="AR125" s="735">
        <f t="shared" si="100"/>
        <v>1.2694556658697653</v>
      </c>
      <c r="AS125" s="732" t="str">
        <f t="shared" si="101"/>
        <v>0.0627473823058233-35.4251846697019i</v>
      </c>
      <c r="AT125" s="337">
        <f t="shared" si="102"/>
        <v>35.425240240772801</v>
      </c>
      <c r="AU125" s="730">
        <f t="shared" si="103"/>
        <v>-1.569025063856673</v>
      </c>
      <c r="AV125" s="732" t="str">
        <f t="shared" si="104"/>
        <v>-8.07011373275545-0.496148053887596i</v>
      </c>
      <c r="AW125" s="337">
        <f t="shared" si="105"/>
        <v>18.153977414565155</v>
      </c>
      <c r="AX125" s="730">
        <f t="shared" si="106"/>
        <v>-176.48190155158943</v>
      </c>
      <c r="AY125" s="360">
        <f t="shared" si="107"/>
        <v>3.5180984484105693</v>
      </c>
      <c r="BB125" s="337">
        <f t="shared" si="108"/>
        <v>-9.0137439169448754</v>
      </c>
      <c r="BC125" s="730">
        <f t="shared" si="109"/>
        <v>-89.89851410923184</v>
      </c>
      <c r="BD125" s="351"/>
      <c r="BE125" s="337">
        <f t="shared" si="69"/>
        <v>45.048639355212217</v>
      </c>
      <c r="BF125" s="730">
        <f t="shared" si="70"/>
        <v>67.834256157612089</v>
      </c>
      <c r="BI125" s="351"/>
      <c r="BJ125" s="351"/>
      <c r="BL125" s="405">
        <f t="shared" si="71"/>
        <v>0</v>
      </c>
      <c r="BM125" s="405">
        <f t="shared" si="110"/>
        <v>0</v>
      </c>
      <c r="BN125" s="405">
        <f t="shared" si="73"/>
        <v>0</v>
      </c>
      <c r="BO125" s="405">
        <f t="shared" si="74"/>
        <v>0</v>
      </c>
    </row>
    <row r="126" spans="4:67" ht="13.5" thickBot="1" x14ac:dyDescent="0.25">
      <c r="D126" s="345">
        <v>6683.85</v>
      </c>
      <c r="E126" s="340" t="str">
        <f t="shared" si="60"/>
        <v>0.110869091824636i</v>
      </c>
      <c r="F126" s="728" t="str">
        <f t="shared" si="75"/>
        <v>0.005-0.390358465216303i</v>
      </c>
      <c r="G126" s="337" t="str">
        <f t="shared" si="76"/>
        <v>0.005-0.610560676363961i</v>
      </c>
      <c r="H126" s="338" t="str">
        <f t="shared" si="77"/>
        <v>0.247143894986266-0.484545003460394i</v>
      </c>
      <c r="I126" s="338" t="str">
        <f t="shared" si="78"/>
        <v>0.257143894986266-0.484545003460394i</v>
      </c>
      <c r="J126" s="337" t="str">
        <f t="shared" si="79"/>
        <v>0.0487840752883698-0.229338411718698i</v>
      </c>
      <c r="K126" s="338" t="str">
        <f t="shared" si="61"/>
        <v>0.99950362387975-0.0349965567628269i</v>
      </c>
      <c r="L126" s="732"/>
      <c r="M126" s="732" t="str">
        <f t="shared" si="62"/>
        <v>70.1378977925075+170.325849186661i</v>
      </c>
      <c r="N126" s="337">
        <f t="shared" si="63"/>
        <v>0</v>
      </c>
      <c r="O126" s="730" t="str">
        <f t="shared" si="64"/>
        <v>48.8269085319512+61.7658433371653i</v>
      </c>
      <c r="P126" s="731" t="str">
        <f t="shared" si="65"/>
        <v>42.483872213585-7.77612503074443i</v>
      </c>
      <c r="Q126" s="729" t="str">
        <f t="shared" si="66"/>
        <v>41.9956031282656-8.39378346411612i</v>
      </c>
      <c r="R126" s="730"/>
      <c r="S126" s="405" t="str">
        <f t="shared" si="80"/>
        <v>38.3876969207372+4.09055014072911i</v>
      </c>
      <c r="T126" s="405" t="str">
        <f t="shared" si="81"/>
        <v>16.2572543624797-2.82662111818387i</v>
      </c>
      <c r="U126" s="405" t="str">
        <f t="shared" si="82"/>
        <v>2.6482560254341-8.57595352412263i</v>
      </c>
      <c r="V126" s="731" t="str">
        <f t="shared" si="67"/>
        <v>6000</v>
      </c>
      <c r="W126" s="733" t="str">
        <f>IMSUM(COMPLEX(1,0),IMDIV(COMPLEX(0,2*PI()*D126),COMPLEX(2*PI()*'Stability Calculations'!EA_Pole1,0)))</f>
        <v>1+42415.8267965462i</v>
      </c>
      <c r="X126" s="734">
        <f t="shared" si="83"/>
        <v>42415.826808334255</v>
      </c>
      <c r="Y126" s="735">
        <f t="shared" si="84"/>
        <v>1.5707727506895761</v>
      </c>
      <c r="Z126" s="340" t="str">
        <f>IMSUM(COMPLEX(1,0),IMDIV(COMPLEX(0,2*PI()*D126),COMPLEX(2*PI()*'Stability Calculations'!EA_Zero1,0)))</f>
        <v>1+419.958681153923i</v>
      </c>
      <c r="AA126" s="734">
        <f t="shared" si="85"/>
        <v>419.95987174555427</v>
      </c>
      <c r="AB126" s="735">
        <f t="shared" si="86"/>
        <v>1.5684151446575441</v>
      </c>
      <c r="AC126" s="733" t="str">
        <f>IMSUM(COMPLEX(1,0),IMDIV(COMPLEX(0,2*PI()*D126),COMPLEX(2*PI()*'Stability Calculations'!EA_Pole2,0)))</f>
        <v>1+4.23043535000077i</v>
      </c>
      <c r="AD126" s="734">
        <f t="shared" si="87"/>
        <v>4.3470200425735479</v>
      </c>
      <c r="AE126" s="735">
        <f t="shared" si="88"/>
        <v>1.3386748211970299</v>
      </c>
      <c r="AF126" s="732" t="str">
        <f t="shared" si="89"/>
        <v>3.11238518423442-13.3068003773634i</v>
      </c>
      <c r="AG126" s="337">
        <f t="shared" si="90"/>
        <v>13.665938599965999</v>
      </c>
      <c r="AH126" s="730">
        <f t="shared" si="91"/>
        <v>-1.3410324272290619</v>
      </c>
      <c r="AI126" s="731" t="str">
        <f t="shared" si="68"/>
        <v>10000</v>
      </c>
      <c r="AJ126" s="733" t="str">
        <f t="shared" si="92"/>
        <v>1+39543.2254257173i</v>
      </c>
      <c r="AK126" s="734">
        <f t="shared" si="93"/>
        <v>39543.225438361682</v>
      </c>
      <c r="AL126" s="735">
        <f t="shared" si="94"/>
        <v>1.5707710380130884</v>
      </c>
      <c r="AM126" s="340" t="str">
        <f t="shared" si="95"/>
        <v>1+67.1093972483969i</v>
      </c>
      <c r="AN126" s="734">
        <f t="shared" si="96"/>
        <v>67.116847356257296</v>
      </c>
      <c r="AO126" s="735">
        <f t="shared" si="97"/>
        <v>1.5558963867393227</v>
      </c>
      <c r="AP126" s="733" t="str">
        <f t="shared" si="98"/>
        <v>1+3.25491638503134i</v>
      </c>
      <c r="AQ126" s="734">
        <f t="shared" si="99"/>
        <v>3.4050669117574595</v>
      </c>
      <c r="AR126" s="735">
        <f t="shared" si="100"/>
        <v>1.2727220092753626</v>
      </c>
      <c r="AS126" s="732" t="str">
        <f t="shared" si="101"/>
        <v>0.0613109042207597-35.0173432085905i</v>
      </c>
      <c r="AT126" s="337">
        <f t="shared" si="102"/>
        <v>35.017396882338296</v>
      </c>
      <c r="AU126" s="730">
        <f t="shared" si="103"/>
        <v>-1.5690454560562166</v>
      </c>
      <c r="AV126" s="732" t="str">
        <f t="shared" si="104"/>
        <v>-7.88264333916521-0.468522521639879i</v>
      </c>
      <c r="AW126" s="337">
        <f t="shared" si="105"/>
        <v>17.948753187505375</v>
      </c>
      <c r="AX126" s="730">
        <f t="shared" si="106"/>
        <v>-176.59849913353011</v>
      </c>
      <c r="AY126" s="360">
        <f t="shared" si="107"/>
        <v>3.4015008664698883</v>
      </c>
      <c r="BB126" s="337">
        <f t="shared" si="108"/>
        <v>-9.1143228313309361</v>
      </c>
      <c r="BC126" s="730">
        <f t="shared" si="109"/>
        <v>-89.899682496200683</v>
      </c>
      <c r="BD126" s="351"/>
      <c r="BE126" s="337">
        <f t="shared" si="69"/>
        <v>45.305866705556568</v>
      </c>
      <c r="BF126" s="730">
        <f t="shared" si="70"/>
        <v>67.618793677223735</v>
      </c>
      <c r="BI126" s="351"/>
      <c r="BJ126" s="351"/>
      <c r="BL126" s="405">
        <f t="shared" si="71"/>
        <v>0</v>
      </c>
      <c r="BM126" s="405">
        <f t="shared" si="110"/>
        <v>0</v>
      </c>
      <c r="BN126" s="405">
        <f t="shared" si="73"/>
        <v>0</v>
      </c>
      <c r="BO126" s="405">
        <f t="shared" si="74"/>
        <v>0</v>
      </c>
    </row>
    <row r="127" spans="4:67" ht="13.5" thickBot="1" x14ac:dyDescent="0.25">
      <c r="D127" s="345">
        <v>6760.8</v>
      </c>
      <c r="E127" s="340" t="str">
        <f t="shared" si="60"/>
        <v>0.112145508353419i</v>
      </c>
      <c r="F127" s="728" t="str">
        <f t="shared" si="75"/>
        <v>0.005-0.385915487477221i</v>
      </c>
      <c r="G127" s="337" t="str">
        <f t="shared" si="76"/>
        <v>0.005-0.603611403490011i</v>
      </c>
      <c r="H127" s="338" t="str">
        <f t="shared" si="77"/>
        <v>0.242738257979061-0.481206788813139i</v>
      </c>
      <c r="I127" s="338" t="str">
        <f t="shared" si="78"/>
        <v>0.252738257979061-0.481206788813139i</v>
      </c>
      <c r="J127" s="337" t="str">
        <f t="shared" si="79"/>
        <v>0.0478095642463361-0.226915880696366i</v>
      </c>
      <c r="K127" s="338" t="str">
        <f t="shared" si="61"/>
        <v>0.999492128704-0.0353994660206498i</v>
      </c>
      <c r="L127" s="732"/>
      <c r="M127" s="732" t="str">
        <f t="shared" si="62"/>
        <v>72.9917351319135+175.222024109736i</v>
      </c>
      <c r="N127" s="337">
        <f t="shared" si="63"/>
        <v>0</v>
      </c>
      <c r="O127" s="730" t="str">
        <f t="shared" si="64"/>
        <v>50.3324012078695+63.4434930617246i</v>
      </c>
      <c r="P127" s="731" t="str">
        <f t="shared" si="65"/>
        <v>43.2503629685014-8.18569524196658i</v>
      </c>
      <c r="Q127" s="729" t="str">
        <f t="shared" si="66"/>
        <v>42.7470389564227-8.82013017258381i</v>
      </c>
      <c r="R127" s="730"/>
      <c r="S127" s="405" t="str">
        <f t="shared" si="80"/>
        <v>38.4256071558207+4.02497262611849i</v>
      </c>
      <c r="T127" s="405" t="str">
        <f t="shared" si="81"/>
        <v>16.2416141221214-2.81466419266149i</v>
      </c>
      <c r="U127" s="405" t="str">
        <f t="shared" si="82"/>
        <v>2.58802560103392-8.49880165977089i</v>
      </c>
      <c r="V127" s="731" t="str">
        <f t="shared" si="67"/>
        <v>6000</v>
      </c>
      <c r="W127" s="733" t="str">
        <f>IMSUM(COMPLEX(1,0),IMDIV(COMPLEX(0,2*PI()*D127),COMPLEX(2*PI()*'Stability Calculations'!EA_Pole1,0)))</f>
        <v>1+42904.1528170275i</v>
      </c>
      <c r="X127" s="734">
        <f t="shared" si="83"/>
        <v>42904.152828681385</v>
      </c>
      <c r="Y127" s="735">
        <f t="shared" si="84"/>
        <v>1.5707730190278353</v>
      </c>
      <c r="Z127" s="340" t="str">
        <f>IMSUM(COMPLEX(1,0),IMDIV(COMPLEX(0,2*PI()*D127),COMPLEX(2*PI()*'Stability Calculations'!EA_Zero1,0)))</f>
        <v>1+424.793592247797i</v>
      </c>
      <c r="AA127" s="734">
        <f t="shared" si="85"/>
        <v>424.79476928840313</v>
      </c>
      <c r="AB127" s="735">
        <f t="shared" si="86"/>
        <v>1.5684422466698251</v>
      </c>
      <c r="AC127" s="733" t="str">
        <f>IMSUM(COMPLEX(1,0),IMDIV(COMPLEX(0,2*PI()*D127),COMPLEX(2*PI()*'Stability Calculations'!EA_Pole2,0)))</f>
        <v>1+4.27913961478566i</v>
      </c>
      <c r="AD127" s="734">
        <f t="shared" si="87"/>
        <v>4.3944323686715192</v>
      </c>
      <c r="AE127" s="735">
        <f t="shared" si="88"/>
        <v>1.3412244269758562</v>
      </c>
      <c r="AF127" s="732" t="str">
        <f t="shared" si="89"/>
        <v>3.04558730798066-13.1709552823603i</v>
      </c>
      <c r="AG127" s="337">
        <f t="shared" si="90"/>
        <v>13.518493447883444</v>
      </c>
      <c r="AH127" s="730">
        <f t="shared" si="91"/>
        <v>-1.3435551993338664</v>
      </c>
      <c r="AI127" s="731" t="str">
        <f t="shared" si="68"/>
        <v>10000</v>
      </c>
      <c r="AJ127" s="733" t="str">
        <f t="shared" si="92"/>
        <v>1+39998.4796873343i</v>
      </c>
      <c r="AK127" s="734">
        <f t="shared" si="93"/>
        <v>39998.479699834774</v>
      </c>
      <c r="AL127" s="735">
        <f t="shared" si="94"/>
        <v>1.5707713258446703</v>
      </c>
      <c r="AM127" s="340" t="str">
        <f t="shared" si="95"/>
        <v>1+67.8820160411979i</v>
      </c>
      <c r="AN127" s="734">
        <f t="shared" si="96"/>
        <v>67.889381362753994</v>
      </c>
      <c r="AO127" s="735">
        <f t="shared" si="97"/>
        <v>1.5560659500431646</v>
      </c>
      <c r="AP127" s="733" t="str">
        <f t="shared" si="98"/>
        <v>1+3.29238967001351i</v>
      </c>
      <c r="AQ127" s="734">
        <f t="shared" si="99"/>
        <v>3.4409053662098397</v>
      </c>
      <c r="AR127" s="735">
        <f t="shared" si="100"/>
        <v>1.2759203455757175</v>
      </c>
      <c r="AS127" s="732" t="str">
        <f t="shared" si="101"/>
        <v>0.0599231953399322-34.6187855940861i</v>
      </c>
      <c r="AT127" s="337">
        <f t="shared" si="102"/>
        <v>34.618837455908931</v>
      </c>
      <c r="AU127" s="730">
        <f t="shared" si="103"/>
        <v>-1.5690653840577369</v>
      </c>
      <c r="AV127" s="732" t="str">
        <f t="shared" si="104"/>
        <v>-7.7015867586288-0.442378064040917i</v>
      </c>
      <c r="AW127" s="337">
        <f t="shared" si="105"/>
        <v>17.745909497191683</v>
      </c>
      <c r="AX127" s="730">
        <f t="shared" si="106"/>
        <v>-176.71255074746367</v>
      </c>
      <c r="AY127" s="360">
        <f t="shared" si="107"/>
        <v>3.2874492525363337</v>
      </c>
      <c r="BB127" s="337">
        <f t="shared" si="108"/>
        <v>-9.2137504074106502</v>
      </c>
      <c r="BC127" s="730">
        <f t="shared" si="109"/>
        <v>-89.900824286581923</v>
      </c>
      <c r="BD127" s="351"/>
      <c r="BE127" s="337">
        <f t="shared" si="69"/>
        <v>45.566709052306081</v>
      </c>
      <c r="BF127" s="730">
        <f t="shared" si="70"/>
        <v>67.384994768185891</v>
      </c>
      <c r="BI127" s="351"/>
      <c r="BJ127" s="351"/>
      <c r="BL127" s="405">
        <f t="shared" si="71"/>
        <v>0</v>
      </c>
      <c r="BM127" s="405">
        <f t="shared" si="110"/>
        <v>0</v>
      </c>
      <c r="BN127" s="405">
        <f t="shared" si="73"/>
        <v>0</v>
      </c>
      <c r="BO127" s="405">
        <f t="shared" si="74"/>
        <v>0</v>
      </c>
    </row>
    <row r="128" spans="4:67" ht="13.5" thickBot="1" x14ac:dyDescent="0.25">
      <c r="D128" s="345">
        <v>6839.55</v>
      </c>
      <c r="E128" s="340" t="str">
        <f t="shared" si="60"/>
        <v>0.113451782578781i</v>
      </c>
      <c r="F128" s="728" t="str">
        <f t="shared" si="75"/>
        <v>0.005-0.381472089207037i</v>
      </c>
      <c r="G128" s="337" t="str">
        <f t="shared" si="76"/>
        <v>0.005-0.596661472862287i</v>
      </c>
      <c r="H128" s="338" t="str">
        <f t="shared" si="77"/>
        <v>0.238343104296679-0.477812805724056i</v>
      </c>
      <c r="I128" s="338" t="str">
        <f t="shared" si="78"/>
        <v>0.248343104296679-0.477812805724056i</v>
      </c>
      <c r="J128" s="337" t="str">
        <f t="shared" si="79"/>
        <v>0.0468445311123129-0.224486981904567i</v>
      </c>
      <c r="K128" s="338" t="str">
        <f t="shared" si="61"/>
        <v>0.99948022839775-0.0358118000564335i</v>
      </c>
      <c r="L128" s="732"/>
      <c r="M128" s="732" t="str">
        <f t="shared" si="62"/>
        <v>76.121583860428+180.430351980096i</v>
      </c>
      <c r="N128" s="337">
        <f t="shared" si="63"/>
        <v>0</v>
      </c>
      <c r="O128" s="730" t="str">
        <f t="shared" si="64"/>
        <v>51.9725578914211+65.2203505748266i</v>
      </c>
      <c r="P128" s="731" t="str">
        <f t="shared" si="65"/>
        <v>44.0701450634587-8.63612938168575i</v>
      </c>
      <c r="Q128" s="729" t="str">
        <f t="shared" si="66"/>
        <v>43.5504194845445-9.28833288743403i</v>
      </c>
      <c r="R128" s="730"/>
      <c r="S128" s="405" t="str">
        <f t="shared" si="80"/>
        <v>38.4632402559311+3.95862034364014i</v>
      </c>
      <c r="T128" s="405" t="str">
        <f t="shared" si="81"/>
        <v>16.2260596546653-2.80272696922433i</v>
      </c>
      <c r="U128" s="405" t="str">
        <f t="shared" si="82"/>
        <v>2.52819059175247-8.42102973578248i</v>
      </c>
      <c r="V128" s="731" t="str">
        <f t="shared" si="67"/>
        <v>6000</v>
      </c>
      <c r="W128" s="733" t="str">
        <f>IMSUM(COMPLEX(1,0),IMDIV(COMPLEX(0,2*PI()*D128),COMPLEX(2*PI()*'Stability Calculations'!EA_Pole1,0)))</f>
        <v>1+43403.9016683973i</v>
      </c>
      <c r="X128" s="734">
        <f t="shared" si="83"/>
        <v>43403.901679917006</v>
      </c>
      <c r="Y128" s="735">
        <f t="shared" si="84"/>
        <v>1.5707732873914932</v>
      </c>
      <c r="Z128" s="340" t="str">
        <f>IMSUM(COMPLEX(1,0),IMDIV(COMPLEX(0,2*PI()*D128),COMPLEX(2*PI()*'Stability Calculations'!EA_Zero1,0)))</f>
        <v>1+429.741600677201i</v>
      </c>
      <c r="AA128" s="734">
        <f t="shared" si="85"/>
        <v>429.7427641654981</v>
      </c>
      <c r="AB128" s="735">
        <f t="shared" si="86"/>
        <v>1.5684693512507903</v>
      </c>
      <c r="AC128" s="733" t="str">
        <f>IMSUM(COMPLEX(1,0),IMDIV(COMPLEX(0,2*PI()*D128),COMPLEX(2*PI()*'Stability Calculations'!EA_Pole2,0)))</f>
        <v>1+4.32898316061817i</v>
      </c>
      <c r="AD128" s="734">
        <f t="shared" si="87"/>
        <v>4.4429826923943434</v>
      </c>
      <c r="AE128" s="735">
        <f t="shared" si="88"/>
        <v>1.3437773163486695</v>
      </c>
      <c r="AF128" s="732" t="str">
        <f t="shared" si="89"/>
        <v>2.97939016921938-13.0345976144045i</v>
      </c>
      <c r="AG128" s="337">
        <f t="shared" si="90"/>
        <v>13.370770387299327</v>
      </c>
      <c r="AH128" s="730">
        <f t="shared" si="91"/>
        <v>-1.3460812524893717</v>
      </c>
      <c r="AI128" s="731" t="str">
        <f t="shared" si="68"/>
        <v>10000</v>
      </c>
      <c r="AJ128" s="733" t="str">
        <f t="shared" si="92"/>
        <v>1+40464.3831714453i</v>
      </c>
      <c r="AK128" s="734">
        <f t="shared" si="93"/>
        <v>40464.383183801838</v>
      </c>
      <c r="AL128" s="735">
        <f t="shared" si="94"/>
        <v>1.5707716137034957</v>
      </c>
      <c r="AM128" s="340" t="str">
        <f t="shared" si="95"/>
        <v>1+68.6727077882167i</v>
      </c>
      <c r="AN128" s="734">
        <f t="shared" si="96"/>
        <v>68.679988315125669</v>
      </c>
      <c r="AO128" s="735">
        <f t="shared" si="97"/>
        <v>1.5562355302435302</v>
      </c>
      <c r="AP128" s="733" t="str">
        <f t="shared" si="98"/>
        <v>1+3.33073952306546i</v>
      </c>
      <c r="AQ128" s="734">
        <f t="shared" si="99"/>
        <v>3.4776178298528335</v>
      </c>
      <c r="AR128" s="735">
        <f t="shared" si="100"/>
        <v>1.2791252114979501</v>
      </c>
      <c r="AS128" s="732" t="str">
        <f t="shared" si="101"/>
        <v>0.058551242187279-34.2201901733117i</v>
      </c>
      <c r="AT128" s="337">
        <f t="shared" si="102"/>
        <v>34.220240264287746</v>
      </c>
      <c r="AU128" s="730">
        <f t="shared" si="103"/>
        <v>-1.5690853139468321</v>
      </c>
      <c r="AV128" s="732" t="str">
        <f t="shared" si="104"/>
        <v>-7.5226369394001-0.417058974275368i</v>
      </c>
      <c r="AW128" s="337">
        <f t="shared" si="105"/>
        <v>17.54073027414821</v>
      </c>
      <c r="AX128" s="730">
        <f t="shared" si="106"/>
        <v>-176.82674015768802</v>
      </c>
      <c r="AY128" s="360">
        <f t="shared" si="107"/>
        <v>3.1732598423119782</v>
      </c>
      <c r="BB128" s="337">
        <f t="shared" si="108"/>
        <v>-9.3143389110427108</v>
      </c>
      <c r="BC128" s="730">
        <f t="shared" si="109"/>
        <v>-89.901966185113253</v>
      </c>
      <c r="BD128" s="351"/>
      <c r="BE128" s="337">
        <f t="shared" si="69"/>
        <v>45.837609227750264</v>
      </c>
      <c r="BF128" s="730">
        <f t="shared" si="70"/>
        <v>67.125653031785689</v>
      </c>
      <c r="BI128" s="351"/>
      <c r="BJ128" s="351"/>
      <c r="BL128" s="405">
        <f t="shared" si="71"/>
        <v>0</v>
      </c>
      <c r="BM128" s="405">
        <f t="shared" si="110"/>
        <v>0</v>
      </c>
      <c r="BN128" s="405">
        <f t="shared" si="73"/>
        <v>0</v>
      </c>
      <c r="BO128" s="405">
        <f t="shared" si="74"/>
        <v>0</v>
      </c>
    </row>
    <row r="129" spans="4:67" ht="13.5" thickBot="1" x14ac:dyDescent="0.25">
      <c r="D129" s="345">
        <v>6918.3</v>
      </c>
      <c r="E129" s="340" t="str">
        <f t="shared" si="60"/>
        <v>0.114758056804144i</v>
      </c>
      <c r="F129" s="728" t="str">
        <f t="shared" si="75"/>
        <v>0.005-0.377129848045906i</v>
      </c>
      <c r="G129" s="337" t="str">
        <f t="shared" si="76"/>
        <v>0.005-0.589869762328212i</v>
      </c>
      <c r="H129" s="338" t="str">
        <f t="shared" si="77"/>
        <v>0.234059346498222-0.474442302654616i</v>
      </c>
      <c r="I129" s="338" t="str">
        <f t="shared" si="78"/>
        <v>0.244059346498222-0.474442302654616i</v>
      </c>
      <c r="J129" s="337" t="str">
        <f t="shared" si="79"/>
        <v>0.0459107627821151-0.222107499868744i</v>
      </c>
      <c r="K129" s="338" t="str">
        <f t="shared" si="61"/>
        <v>0.999468190279-0.0362241340922171i</v>
      </c>
      <c r="L129" s="732"/>
      <c r="M129" s="732" t="str">
        <f t="shared" si="62"/>
        <v>79.4834039017234+185.84964885516i</v>
      </c>
      <c r="N129" s="337">
        <f t="shared" si="63"/>
        <v>0</v>
      </c>
      <c r="O129" s="730" t="str">
        <f t="shared" si="64"/>
        <v>53.7222321423576+67.0604866244878i</v>
      </c>
      <c r="P129" s="731" t="str">
        <f t="shared" si="65"/>
        <v>44.9277445603507-9.12136097994067i</v>
      </c>
      <c r="Q129" s="729" t="str">
        <f t="shared" si="66"/>
        <v>44.3905222389272-9.79196584618556i</v>
      </c>
      <c r="R129" s="730"/>
      <c r="S129" s="405" t="str">
        <f t="shared" si="80"/>
        <v>38.4997394391752+3.89302457919905i</v>
      </c>
      <c r="T129" s="405" t="str">
        <f t="shared" si="81"/>
        <v>16.2109448733876-2.79108807062467i</v>
      </c>
      <c r="U129" s="405" t="str">
        <f t="shared" si="82"/>
        <v>2.47011291204481-8.34443826376648i</v>
      </c>
      <c r="V129" s="731" t="str">
        <f t="shared" si="67"/>
        <v>6000</v>
      </c>
      <c r="W129" s="733" t="str">
        <f>IMSUM(COMPLEX(1,0),IMDIV(COMPLEX(0,2*PI()*D129),COMPLEX(2*PI()*'Stability Calculations'!EA_Pole1,0)))</f>
        <v>1+43903.6505197671i</v>
      </c>
      <c r="X129" s="734">
        <f t="shared" si="83"/>
        <v>43903.650531155668</v>
      </c>
      <c r="Y129" s="735">
        <f t="shared" si="84"/>
        <v>1.5707735496456621</v>
      </c>
      <c r="Z129" s="340" t="str">
        <f>IMSUM(COMPLEX(1,0),IMDIV(COMPLEX(0,2*PI()*D129),COMPLEX(2*PI()*'Stability Calculations'!EA_Zero1,0)))</f>
        <v>1+434.689609106605i</v>
      </c>
      <c r="AA129" s="734">
        <f t="shared" si="85"/>
        <v>434.69075935111971</v>
      </c>
      <c r="AB129" s="735">
        <f t="shared" si="86"/>
        <v>1.568495838780074</v>
      </c>
      <c r="AC129" s="733" t="str">
        <f>IMSUM(COMPLEX(1,0),IMDIV(COMPLEX(0,2*PI()*D129),COMPLEX(2*PI()*'Stability Calculations'!EA_Pole2,0)))</f>
        <v>1+4.37882670645067i</v>
      </c>
      <c r="AD129" s="734">
        <f t="shared" si="87"/>
        <v>4.4915613460271935</v>
      </c>
      <c r="AE129" s="735">
        <f t="shared" si="88"/>
        <v>1.346274999961991</v>
      </c>
      <c r="AF129" s="732" t="str">
        <f t="shared" si="89"/>
        <v>2.91529126563559-12.9008650484332i</v>
      </c>
      <c r="AG129" s="337">
        <f t="shared" si="90"/>
        <v>13.226157497980148</v>
      </c>
      <c r="AH129" s="730">
        <f t="shared" si="91"/>
        <v>-1.3485527108275788</v>
      </c>
      <c r="AI129" s="731" t="str">
        <f t="shared" si="68"/>
        <v>10000</v>
      </c>
      <c r="AJ129" s="733" t="str">
        <f t="shared" si="92"/>
        <v>1+40930.2866555563i</v>
      </c>
      <c r="AK129" s="734">
        <f t="shared" si="93"/>
        <v>40930.28666777219</v>
      </c>
      <c r="AL129" s="735">
        <f t="shared" si="94"/>
        <v>1.570771895009011</v>
      </c>
      <c r="AM129" s="340" t="str">
        <f t="shared" si="95"/>
        <v>1+69.4633995352355i</v>
      </c>
      <c r="AN129" s="734">
        <f t="shared" si="96"/>
        <v>69.470597197604064</v>
      </c>
      <c r="AO129" s="735">
        <f t="shared" si="97"/>
        <v>1.5564012506397282</v>
      </c>
      <c r="AP129" s="733" t="str">
        <f t="shared" si="98"/>
        <v>1+3.3690893761174i</v>
      </c>
      <c r="AQ129" s="734">
        <f t="shared" si="99"/>
        <v>3.5143652661991651</v>
      </c>
      <c r="AR129" s="735">
        <f t="shared" si="100"/>
        <v>1.2822630866855131</v>
      </c>
      <c r="AS129" s="732" t="str">
        <f t="shared" si="101"/>
        <v>0.0572258719245627-33.8306689808351i</v>
      </c>
      <c r="AT129" s="337">
        <f t="shared" si="102"/>
        <v>33.830717380677221</v>
      </c>
      <c r="AU129" s="730">
        <f t="shared" si="103"/>
        <v>-1.5691047901191983</v>
      </c>
      <c r="AV129" s="732" t="str">
        <f t="shared" si="104"/>
        <v>-7.34981477829332-0.393102205612814i</v>
      </c>
      <c r="AW129" s="337">
        <f t="shared" si="105"/>
        <v>17.337933614621068</v>
      </c>
      <c r="AX129" s="730">
        <f t="shared" si="106"/>
        <v>-176.93847284744223</v>
      </c>
      <c r="AY129" s="360">
        <f t="shared" si="107"/>
        <v>3.0615271525577725</v>
      </c>
      <c r="BB129" s="337">
        <f t="shared" si="108"/>
        <v>-9.4137758579168587</v>
      </c>
      <c r="BC129" s="730">
        <f t="shared" si="109"/>
        <v>-89.903082087590903</v>
      </c>
      <c r="BD129" s="351"/>
      <c r="BE129" s="337">
        <f t="shared" si="69"/>
        <v>46.112739522133452</v>
      </c>
      <c r="BF129" s="730">
        <f t="shared" si="70"/>
        <v>66.844774758870258</v>
      </c>
      <c r="BI129" s="351"/>
      <c r="BJ129" s="351"/>
      <c r="BL129" s="405">
        <f t="shared" si="71"/>
        <v>0</v>
      </c>
      <c r="BM129" s="405">
        <f t="shared" si="110"/>
        <v>0</v>
      </c>
      <c r="BN129" s="405">
        <f t="shared" si="73"/>
        <v>0</v>
      </c>
      <c r="BO129" s="405">
        <f t="shared" si="74"/>
        <v>0</v>
      </c>
    </row>
    <row r="130" spans="4:67" ht="13.5" thickBot="1" x14ac:dyDescent="0.25">
      <c r="D130" s="345">
        <v>6998.9</v>
      </c>
      <c r="E130" s="340" t="str">
        <f t="shared" si="60"/>
        <v>0.116095018106547i</v>
      </c>
      <c r="F130" s="728" t="str">
        <f t="shared" si="75"/>
        <v>0.005-0.372786784742744i</v>
      </c>
      <c r="G130" s="337" t="str">
        <f t="shared" si="76"/>
        <v>0.005-0.583076765879676i</v>
      </c>
      <c r="H130" s="338" t="str">
        <f t="shared" si="77"/>
        <v>0.229786788693552-0.471017785178959i</v>
      </c>
      <c r="I130" s="338" t="str">
        <f t="shared" si="78"/>
        <v>0.239786788693552-0.471017785178959i</v>
      </c>
      <c r="J130" s="337" t="str">
        <f t="shared" si="79"/>
        <v>0.0449860559974985-0.219721805904493i</v>
      </c>
      <c r="K130" s="338" t="str">
        <f t="shared" si="61"/>
        <v>0.999455726653222-0.0366461547053493i</v>
      </c>
      <c r="L130" s="732"/>
      <c r="M130" s="732" t="str">
        <f t="shared" si="62"/>
        <v>83.1883398699799+191.626944212428i</v>
      </c>
      <c r="N130" s="337">
        <f t="shared" si="63"/>
        <v>0</v>
      </c>
      <c r="O130" s="730" t="str">
        <f t="shared" si="64"/>
        <v>55.6368647852046+69.0121465495666i</v>
      </c>
      <c r="P130" s="731" t="str">
        <f t="shared" si="65"/>
        <v>45.8469335580441-9.65775182345892i</v>
      </c>
      <c r="Q130" s="729" t="str">
        <f t="shared" si="66"/>
        <v>45.290564910192-10.3478732889545i</v>
      </c>
      <c r="R130" s="730"/>
      <c r="S130" s="405" t="str">
        <f t="shared" si="80"/>
        <v>38.5359655674936+3.82665903573156i</v>
      </c>
      <c r="T130" s="405" t="str">
        <f t="shared" si="81"/>
        <v>16.195913064573-2.77947985417972i</v>
      </c>
      <c r="U130" s="405" t="str">
        <f t="shared" si="82"/>
        <v>2.4124224082029-8.26725085055646i</v>
      </c>
      <c r="V130" s="731" t="str">
        <f t="shared" si="67"/>
        <v>6000</v>
      </c>
      <c r="W130" s="733" t="str">
        <f>IMSUM(COMPLEX(1,0),IMDIV(COMPLEX(0,2*PI()*D130),COMPLEX(2*PI()*'Stability Calculations'!EA_Pole1,0)))</f>
        <v>1+44415.1395028834i</v>
      </c>
      <c r="X130" s="734">
        <f t="shared" si="83"/>
        <v>44415.139514140821</v>
      </c>
      <c r="Y130" s="735">
        <f t="shared" si="84"/>
        <v>1.5707738119494852</v>
      </c>
      <c r="Z130" s="340" t="str">
        <f>IMSUM(COMPLEX(1,0),IMDIV(COMPLEX(0,2*PI()*D130),COMPLEX(2*PI()*'Stability Calculations'!EA_Zero1,0)))</f>
        <v>1+439.753856464192i</v>
      </c>
      <c r="AA130" s="734">
        <f t="shared" si="85"/>
        <v>439.7549934624156</v>
      </c>
      <c r="AB130" s="735">
        <f t="shared" si="86"/>
        <v>1.5685223313276262</v>
      </c>
      <c r="AC130" s="733" t="str">
        <f>IMSUM(COMPLEX(1,0),IMDIV(COMPLEX(0,2*PI()*D130),COMPLEX(2*PI()*'Stability Calculations'!EA_Pole2,0)))</f>
        <v>1+4.42984118002654i</v>
      </c>
      <c r="AD130" s="734">
        <f t="shared" si="87"/>
        <v>4.5413095996924637</v>
      </c>
      <c r="AE130" s="735">
        <f t="shared" si="88"/>
        <v>1.3487760098917259</v>
      </c>
      <c r="AF130" s="732" t="str">
        <f t="shared" si="89"/>
        <v>2.85176937740299-12.7666369808123i</v>
      </c>
      <c r="AG130" s="337">
        <f t="shared" si="90"/>
        <v>13.081269371958427</v>
      </c>
      <c r="AH130" s="730">
        <f t="shared" si="91"/>
        <v>-1.3510274905135846</v>
      </c>
      <c r="AI130" s="731" t="str">
        <f t="shared" si="68"/>
        <v>10000</v>
      </c>
      <c r="AJ130" s="733" t="str">
        <f t="shared" si="92"/>
        <v>1+41407.1351738972i</v>
      </c>
      <c r="AK130" s="734">
        <f t="shared" si="93"/>
        <v>41407.135185972416</v>
      </c>
      <c r="AL130" s="735">
        <f t="shared" si="94"/>
        <v>1.5707721763677878</v>
      </c>
      <c r="AM130" s="340" t="str">
        <f t="shared" si="95"/>
        <v>1+70.2726662629779i</v>
      </c>
      <c r="AN130" s="734">
        <f t="shared" si="96"/>
        <v>70.27978104482024</v>
      </c>
      <c r="AO130" s="735">
        <f t="shared" si="97"/>
        <v>1.5565670032036962</v>
      </c>
      <c r="AP130" s="733" t="str">
        <f t="shared" si="98"/>
        <v>1+3.40834014635215i</v>
      </c>
      <c r="AQ130" s="734">
        <f t="shared" si="99"/>
        <v>3.5520110575891786</v>
      </c>
      <c r="AR130" s="735">
        <f t="shared" si="100"/>
        <v>1.2854074135921987</v>
      </c>
      <c r="AS130" s="732" t="str">
        <f t="shared" si="101"/>
        <v>0.055915427710022-33.4410739610047i</v>
      </c>
      <c r="AT130" s="337">
        <f t="shared" si="102"/>
        <v>33.441120707901561</v>
      </c>
      <c r="AU130" s="730">
        <f t="shared" si="103"/>
        <v>-1.5691242699803862</v>
      </c>
      <c r="AV130" s="732" t="str">
        <f t="shared" si="104"/>
        <v>-7.17899208660594-0.369904398341252i</v>
      </c>
      <c r="AW130" s="337">
        <f t="shared" si="105"/>
        <v>17.132784400424306</v>
      </c>
      <c r="AX130" s="730">
        <f t="shared" si="106"/>
        <v>-177.05038892678408</v>
      </c>
      <c r="AY130" s="360">
        <f t="shared" si="107"/>
        <v>2.9496110732159195</v>
      </c>
      <c r="BB130" s="337">
        <f t="shared" si="108"/>
        <v>-9.5143835307000462</v>
      </c>
      <c r="BC130" s="730">
        <f t="shared" si="109"/>
        <v>-89.904198201422474</v>
      </c>
      <c r="BD130" s="351"/>
      <c r="BE130" s="337">
        <f t="shared" si="69"/>
        <v>46.398965409371684</v>
      </c>
      <c r="BF130" s="730">
        <f t="shared" si="70"/>
        <v>66.533559494040063</v>
      </c>
      <c r="BI130" s="351"/>
      <c r="BJ130" s="351"/>
      <c r="BL130" s="405">
        <f t="shared" si="71"/>
        <v>0</v>
      </c>
      <c r="BM130" s="405">
        <f t="shared" si="110"/>
        <v>0</v>
      </c>
      <c r="BN130" s="405">
        <f t="shared" si="73"/>
        <v>0</v>
      </c>
      <c r="BO130" s="405">
        <f t="shared" si="74"/>
        <v>0</v>
      </c>
    </row>
    <row r="131" spans="4:67" ht="13.5" thickBot="1" x14ac:dyDescent="0.25">
      <c r="D131" s="345">
        <v>7079.5</v>
      </c>
      <c r="E131" s="340" t="str">
        <f t="shared" si="60"/>
        <v>0.11743197940895i</v>
      </c>
      <c r="F131" s="728" t="str">
        <f t="shared" si="75"/>
        <v>0.005-0.368542612859099i</v>
      </c>
      <c r="G131" s="337" t="str">
        <f t="shared" si="76"/>
        <v>0.005-0.576438445753974i</v>
      </c>
      <c r="H131" s="338" t="str">
        <f t="shared" si="77"/>
        <v>0.225623894322266-0.467619499617395i</v>
      </c>
      <c r="I131" s="338" t="str">
        <f t="shared" si="78"/>
        <v>0.235623894322266-0.467619499617395i</v>
      </c>
      <c r="J131" s="337" t="str">
        <f t="shared" si="79"/>
        <v>0.0440913757710693-0.217384916839818i</v>
      </c>
      <c r="K131" s="338" t="str">
        <f t="shared" si="61"/>
        <v>0.999443118663889-0.0370681753184816i</v>
      </c>
      <c r="L131" s="732"/>
      <c r="M131" s="732" t="str">
        <f t="shared" si="62"/>
        <v>87.187929008183+197.650662073467i</v>
      </c>
      <c r="N131" s="337">
        <f t="shared" si="63"/>
        <v>0</v>
      </c>
      <c r="O131" s="730" t="str">
        <f t="shared" si="64"/>
        <v>57.6886918497348+71.0356909281231i</v>
      </c>
      <c r="P131" s="731" t="str">
        <f t="shared" si="65"/>
        <v>46.8105084787768-10.2386510839979i</v>
      </c>
      <c r="Q131" s="729" t="str">
        <f t="shared" si="66"/>
        <v>46.2336215602794-10.9490079932791i</v>
      </c>
      <c r="R131" s="730"/>
      <c r="S131" s="405" t="str">
        <f t="shared" si="80"/>
        <v>38.5710906398412+3.76106113794152i</v>
      </c>
      <c r="T131" s="405" t="str">
        <f t="shared" si="81"/>
        <v>16.1813075845008-2.76817432836633i</v>
      </c>
      <c r="U131" s="405" t="str">
        <f t="shared" si="82"/>
        <v>2.35643733815712-8.19126122794837i</v>
      </c>
      <c r="V131" s="731" t="str">
        <f t="shared" si="67"/>
        <v>6000</v>
      </c>
      <c r="W131" s="733" t="str">
        <f>IMSUM(COMPLEX(1,0),IMDIV(COMPLEX(0,2*PI()*D131),COMPLEX(2*PI()*'Stability Calculations'!EA_Pole1,0)))</f>
        <v>1+44926.6284859997i</v>
      </c>
      <c r="X131" s="734">
        <f t="shared" si="83"/>
        <v>44926.628497128957</v>
      </c>
      <c r="Y131" s="735">
        <f t="shared" si="84"/>
        <v>1.5707740682806584</v>
      </c>
      <c r="Z131" s="340" t="str">
        <f>IMSUM(COMPLEX(1,0),IMDIV(COMPLEX(0,2*PI()*D131),COMPLEX(2*PI()*'Stability Calculations'!EA_Zero1,0)))</f>
        <v>1+444.818103821779i</v>
      </c>
      <c r="AA131" s="734">
        <f t="shared" si="85"/>
        <v>444.81922787532807</v>
      </c>
      <c r="AB131" s="735">
        <f t="shared" si="86"/>
        <v>1.5685482206437593</v>
      </c>
      <c r="AC131" s="733" t="str">
        <f>IMSUM(COMPLEX(1,0),IMDIV(COMPLEX(0,2*PI()*D131),COMPLEX(2*PI()*'Stability Calculations'!EA_Pole2,0)))</f>
        <v>1+4.48085565360241i</v>
      </c>
      <c r="AD131" s="734">
        <f t="shared" si="87"/>
        <v>4.5910856437688761</v>
      </c>
      <c r="AE131" s="735">
        <f t="shared" si="88"/>
        <v>1.3512228035034812</v>
      </c>
      <c r="AF131" s="732" t="str">
        <f t="shared" si="89"/>
        <v>2.79026745189809-12.635014484312i</v>
      </c>
      <c r="AG131" s="337">
        <f t="shared" si="90"/>
        <v>12.939442935145852</v>
      </c>
      <c r="AH131" s="730">
        <f t="shared" si="91"/>
        <v>-1.3534486511403807</v>
      </c>
      <c r="AI131" s="731" t="str">
        <f t="shared" si="68"/>
        <v>10000</v>
      </c>
      <c r="AJ131" s="733" t="str">
        <f t="shared" si="92"/>
        <v>1+41883.9836922381i</v>
      </c>
      <c r="AK131" s="734">
        <f t="shared" si="93"/>
        <v>41883.983704175836</v>
      </c>
      <c r="AL131" s="735">
        <f t="shared" si="94"/>
        <v>1.5707724513200336</v>
      </c>
      <c r="AM131" s="340" t="str">
        <f t="shared" si="95"/>
        <v>1+71.0819329907203i</v>
      </c>
      <c r="AN131" s="734">
        <f t="shared" si="96"/>
        <v>71.088966778940119</v>
      </c>
      <c r="AO131" s="735">
        <f t="shared" si="97"/>
        <v>1.5567289823423058</v>
      </c>
      <c r="AP131" s="733" t="str">
        <f t="shared" si="98"/>
        <v>1+3.4475909165869i</v>
      </c>
      <c r="AQ131" s="734">
        <f t="shared" si="99"/>
        <v>3.5896912301941097</v>
      </c>
      <c r="AR131" s="735">
        <f t="shared" si="100"/>
        <v>1.2884857598347161</v>
      </c>
      <c r="AS131" s="732" t="str">
        <f t="shared" si="101"/>
        <v>0.0546494862175004-33.0603499343801i</v>
      </c>
      <c r="AT131" s="337">
        <f t="shared" si="102"/>
        <v>33.060395102751116</v>
      </c>
      <c r="AU131" s="730">
        <f t="shared" si="103"/>
        <v>-1.5691433062869524</v>
      </c>
      <c r="AV131" s="732" t="str">
        <f t="shared" si="104"/>
        <v>-7.01402381011841-0.3479596242709i</v>
      </c>
      <c r="AW131" s="337">
        <f t="shared" si="105"/>
        <v>16.930019858934124</v>
      </c>
      <c r="AX131" s="730">
        <f t="shared" si="106"/>
        <v>-177.15993451842698</v>
      </c>
      <c r="AY131" s="360">
        <f t="shared" si="107"/>
        <v>2.8400654815730206</v>
      </c>
      <c r="BB131" s="337">
        <f t="shared" si="108"/>
        <v>-9.6138392101376162</v>
      </c>
      <c r="BC131" s="730">
        <f t="shared" si="109"/>
        <v>-89.905288901446227</v>
      </c>
      <c r="BD131" s="351"/>
      <c r="BE131" s="337">
        <f t="shared" si="69"/>
        <v>46.690147146659513</v>
      </c>
      <c r="BF131" s="730">
        <f t="shared" si="70"/>
        <v>66.196699649220577</v>
      </c>
      <c r="BI131" s="351"/>
      <c r="BJ131" s="351"/>
      <c r="BL131" s="405">
        <f t="shared" si="71"/>
        <v>0</v>
      </c>
      <c r="BM131" s="405">
        <f t="shared" si="110"/>
        <v>0</v>
      </c>
      <c r="BN131" s="405">
        <f t="shared" si="73"/>
        <v>0</v>
      </c>
      <c r="BO131" s="405">
        <f t="shared" si="74"/>
        <v>0</v>
      </c>
    </row>
    <row r="132" spans="4:67" ht="13.5" thickBot="1" x14ac:dyDescent="0.25">
      <c r="D132" s="345">
        <v>7161.95</v>
      </c>
      <c r="E132" s="340" t="str">
        <f t="shared" si="60"/>
        <v>0.118799627788393i</v>
      </c>
      <c r="F132" s="728" t="str">
        <f t="shared" si="75"/>
        <v>0.005-0.36429986634031i</v>
      </c>
      <c r="G132" s="337" t="str">
        <f t="shared" si="76"/>
        <v>0.005-0.569802355045101i</v>
      </c>
      <c r="H132" s="338" t="str">
        <f t="shared" si="77"/>
        <v>0.221475393400352-0.464171076038865i</v>
      </c>
      <c r="I132" s="338" t="str">
        <f t="shared" si="78"/>
        <v>0.231475393400352-0.464171076038865i</v>
      </c>
      <c r="J132" s="337" t="str">
        <f t="shared" si="79"/>
        <v>0.0432059029995538-0.215043410442864i</v>
      </c>
      <c r="K132" s="338" t="str">
        <f t="shared" si="61"/>
        <v>0.999430071913306-0.0374998825089624i</v>
      </c>
      <c r="L132" s="732"/>
      <c r="M132" s="732" t="str">
        <f t="shared" si="62"/>
        <v>91.6167577892579+204.081912702246i</v>
      </c>
      <c r="N132" s="337">
        <f t="shared" si="63"/>
        <v>0</v>
      </c>
      <c r="O132" s="730" t="str">
        <f t="shared" si="64"/>
        <v>59.9435873950919+73.1829093771855i</v>
      </c>
      <c r="P132" s="731" t="str">
        <f t="shared" si="65"/>
        <v>47.8448552673702-10.8840367245432i</v>
      </c>
      <c r="Q132" s="729" t="str">
        <f t="shared" si="66"/>
        <v>47.2454193934193-11.6158658183151i</v>
      </c>
      <c r="R132" s="730"/>
      <c r="S132" s="405" t="str">
        <f t="shared" si="80"/>
        <v>38.6059254029703+3.69473866306607i</v>
      </c>
      <c r="T132" s="405" t="str">
        <f t="shared" si="81"/>
        <v>16.1667911163378-2.75691728495135i</v>
      </c>
      <c r="U132" s="405" t="str">
        <f t="shared" si="82"/>
        <v>2.3008651598062-8.11474616882289i</v>
      </c>
      <c r="V132" s="731" t="str">
        <f t="shared" si="67"/>
        <v>6000</v>
      </c>
      <c r="W132" s="733" t="str">
        <f>IMSUM(COMPLEX(1,0),IMDIV(COMPLEX(0,2*PI()*D132),COMPLEX(2*PI()*'Stability Calculations'!EA_Pole1,0)))</f>
        <v>1+45449.8576008624i</v>
      </c>
      <c r="X132" s="734">
        <f t="shared" si="83"/>
        <v>45449.857611863532</v>
      </c>
      <c r="Y132" s="735">
        <f t="shared" si="84"/>
        <v>1.5707743245257451</v>
      </c>
      <c r="Z132" s="340" t="str">
        <f>IMSUM(COMPLEX(1,0),IMDIV(COMPLEX(0,2*PI()*D132),COMPLEX(2*PI()*'Stability Calculations'!EA_Zero1,0)))</f>
        <v>1+449.998590107548i</v>
      </c>
      <c r="AA132" s="734">
        <f t="shared" si="85"/>
        <v>449.9997012207686</v>
      </c>
      <c r="AB132" s="735">
        <f t="shared" si="86"/>
        <v>1.5685741012682233</v>
      </c>
      <c r="AC132" s="733" t="str">
        <f>IMSUM(COMPLEX(1,0),IMDIV(COMPLEX(0,2*PI()*D132),COMPLEX(2*PI()*'Stability Calculations'!EA_Pole2,0)))</f>
        <v>1+4.53304105492164i</v>
      </c>
      <c r="AD132" s="734">
        <f t="shared" si="87"/>
        <v>4.6420320125571184</v>
      </c>
      <c r="AE132" s="735">
        <f t="shared" si="88"/>
        <v>1.3536714491220529</v>
      </c>
      <c r="AF132" s="732" t="str">
        <f t="shared" si="89"/>
        <v>2.72935708746311-12.5029942803853i</v>
      </c>
      <c r="AG132" s="337">
        <f t="shared" si="90"/>
        <v>12.797431620689858</v>
      </c>
      <c r="AH132" s="730">
        <f t="shared" si="91"/>
        <v>-1.3558716723795758</v>
      </c>
      <c r="AI132" s="731" t="str">
        <f t="shared" si="68"/>
        <v>10000</v>
      </c>
      <c r="AJ132" s="733" t="str">
        <f t="shared" si="92"/>
        <v>1+42371.7772448089i</v>
      </c>
      <c r="AK132" s="734">
        <f t="shared" si="93"/>
        <v>42371.77725660921</v>
      </c>
      <c r="AL132" s="735">
        <f t="shared" si="94"/>
        <v>1.5707727261799393</v>
      </c>
      <c r="AM132" s="340" t="str">
        <f t="shared" si="95"/>
        <v>1+71.9097746991862i</v>
      </c>
      <c r="AN132" s="734">
        <f t="shared" si="96"/>
        <v>71.916727520707724</v>
      </c>
      <c r="AO132" s="735">
        <f t="shared" si="97"/>
        <v>1.5568909078196167</v>
      </c>
      <c r="AP132" s="733" t="str">
        <f t="shared" si="98"/>
        <v>1+3.48774260400445i</v>
      </c>
      <c r="AQ132" s="734">
        <f t="shared" si="99"/>
        <v>3.6282707274661496</v>
      </c>
      <c r="AR132" s="735">
        <f t="shared" si="100"/>
        <v>1.2915685765889533</v>
      </c>
      <c r="AS132" s="732" t="str">
        <f t="shared" si="101"/>
        <v>0.0533984576593676-32.6797536984609i</v>
      </c>
      <c r="AT132" s="337">
        <f t="shared" si="102"/>
        <v>32.67979732475937</v>
      </c>
      <c r="AU132" s="730">
        <f t="shared" si="103"/>
        <v>-1.5691623362015532</v>
      </c>
      <c r="AV132" s="732" t="str">
        <f t="shared" si="104"/>
        <v>-6.85105323957149-0.326725779598921i</v>
      </c>
      <c r="AW132" s="337">
        <f t="shared" si="105"/>
        <v>16.725012892487968</v>
      </c>
      <c r="AX132" s="730">
        <f t="shared" si="106"/>
        <v>-177.26964086708887</v>
      </c>
      <c r="AY132" s="360">
        <f t="shared" si="107"/>
        <v>2.7303591329111327</v>
      </c>
      <c r="BB132" s="337">
        <f t="shared" si="108"/>
        <v>-9.7144129112205668</v>
      </c>
      <c r="BC132" s="730">
        <f t="shared" si="109"/>
        <v>-89.906379235237353</v>
      </c>
      <c r="BD132" s="351"/>
      <c r="BE132" s="337">
        <f t="shared" si="69"/>
        <v>46.993438352219499</v>
      </c>
      <c r="BF132" s="730">
        <f t="shared" si="70"/>
        <v>65.823663077387579</v>
      </c>
      <c r="BI132" s="351"/>
      <c r="BJ132" s="351"/>
      <c r="BL132" s="405">
        <f t="shared" si="71"/>
        <v>0</v>
      </c>
      <c r="BM132" s="405">
        <f t="shared" si="110"/>
        <v>0</v>
      </c>
      <c r="BN132" s="405">
        <f t="shared" si="73"/>
        <v>0</v>
      </c>
      <c r="BO132" s="405">
        <f t="shared" si="74"/>
        <v>0</v>
      </c>
    </row>
    <row r="133" spans="4:67" ht="13.5" thickBot="1" x14ac:dyDescent="0.25">
      <c r="D133" s="345">
        <v>7244.4</v>
      </c>
      <c r="E133" s="340" t="str">
        <f t="shared" si="60"/>
        <v>0.120167276167836i</v>
      </c>
      <c r="F133" s="728" t="str">
        <f t="shared" si="75"/>
        <v>0.005-0.36015369495555i</v>
      </c>
      <c r="G133" s="337" t="str">
        <f t="shared" si="76"/>
        <v>0.005-0.563317317750989i</v>
      </c>
      <c r="H133" s="338" t="str">
        <f t="shared" si="77"/>
        <v>0.217434613177315-0.460751476274845i</v>
      </c>
      <c r="I133" s="338" t="str">
        <f t="shared" si="78"/>
        <v>0.227434613177315-0.460751476274845i</v>
      </c>
      <c r="J133" s="337" t="str">
        <f t="shared" si="79"/>
        <v>0.0423492307450018-0.212750031012142i</v>
      </c>
      <c r="K133" s="338" t="str">
        <f t="shared" si="61"/>
        <v>0.999416874096-0.0379315896994432i</v>
      </c>
      <c r="L133" s="732"/>
      <c r="M133" s="732" t="str">
        <f t="shared" si="62"/>
        <v>96.4244618325884+210.800577809652i</v>
      </c>
      <c r="N133" s="337">
        <f t="shared" si="63"/>
        <v>0</v>
      </c>
      <c r="O133" s="730" t="str">
        <f t="shared" si="64"/>
        <v>62.3722969217401+75.4109619084302i</v>
      </c>
      <c r="P133" s="731" t="str">
        <f t="shared" si="65"/>
        <v>48.9313312499919-11.5870649343716i</v>
      </c>
      <c r="Q133" s="729" t="str">
        <f t="shared" si="66"/>
        <v>48.3076082807744-12.3411745534559i</v>
      </c>
      <c r="R133" s="730"/>
      <c r="S133" s="405" t="str">
        <f t="shared" si="80"/>
        <v>38.6396927785817+3.62919266684461i</v>
      </c>
      <c r="T133" s="405" t="str">
        <f t="shared" si="81"/>
        <v>16.1526872917652-2.74596639036201i</v>
      </c>
      <c r="U133" s="405" t="str">
        <f t="shared" si="82"/>
        <v>2.2469452448987-8.03944265537297i</v>
      </c>
      <c r="V133" s="731" t="str">
        <f t="shared" si="67"/>
        <v>6000</v>
      </c>
      <c r="W133" s="733" t="str">
        <f>IMSUM(COMPLEX(1,0),IMDIV(COMPLEX(0,2*PI()*D133),COMPLEX(2*PI()*'Stability Calculations'!EA_Pole1,0)))</f>
        <v>1+45973.0867157251i</v>
      </c>
      <c r="X133" s="734">
        <f t="shared" si="83"/>
        <v>45973.086726601025</v>
      </c>
      <c r="Y133" s="735">
        <f t="shared" si="84"/>
        <v>1.5707745749380759</v>
      </c>
      <c r="Z133" s="340" t="str">
        <f>IMSUM(COMPLEX(1,0),IMDIV(COMPLEX(0,2*PI()*D133),COMPLEX(2*PI()*'Stability Calculations'!EA_Zero1,0)))</f>
        <v>1+455.179076393318i</v>
      </c>
      <c r="AA133" s="734">
        <f t="shared" si="85"/>
        <v>455.18017486076212</v>
      </c>
      <c r="AB133" s="735">
        <f t="shared" si="86"/>
        <v>1.5685993927901891</v>
      </c>
      <c r="AC133" s="733" t="str">
        <f>IMSUM(COMPLEX(1,0),IMDIV(COMPLEX(0,2*PI()*D133),COMPLEX(2*PI()*'Stability Calculations'!EA_Pole2,0)))</f>
        <v>1+4.58522645624087i</v>
      </c>
      <c r="AD133" s="734">
        <f t="shared" si="87"/>
        <v>4.6930056099488322</v>
      </c>
      <c r="AE133" s="735">
        <f t="shared" si="88"/>
        <v>1.3560669163764734</v>
      </c>
      <c r="AF133" s="732" t="str">
        <f t="shared" si="89"/>
        <v>2.67038865393336-12.3735556558295i</v>
      </c>
      <c r="AG133" s="337">
        <f t="shared" si="90"/>
        <v>12.658430200106418</v>
      </c>
      <c r="AH133" s="730">
        <f t="shared" si="91"/>
        <v>-1.3582420985243595</v>
      </c>
      <c r="AI133" s="731" t="str">
        <f t="shared" si="68"/>
        <v>10000</v>
      </c>
      <c r="AJ133" s="733" t="str">
        <f t="shared" si="92"/>
        <v>1+42859.5707973797i</v>
      </c>
      <c r="AK133" s="734">
        <f t="shared" si="93"/>
        <v>42859.570809045712</v>
      </c>
      <c r="AL133" s="735">
        <f t="shared" si="94"/>
        <v>1.5707729947833713</v>
      </c>
      <c r="AM133" s="340" t="str">
        <f t="shared" si="95"/>
        <v>1+72.7376164076522i</v>
      </c>
      <c r="AN133" s="734">
        <f t="shared" si="96"/>
        <v>72.744490105208328</v>
      </c>
      <c r="AO133" s="735">
        <f t="shared" si="97"/>
        <v>1.5570491481874891</v>
      </c>
      <c r="AP133" s="733" t="str">
        <f t="shared" si="98"/>
        <v>1+3.52789429142201i</v>
      </c>
      <c r="AQ133" s="734">
        <f t="shared" si="99"/>
        <v>3.6668839811818432</v>
      </c>
      <c r="AR133" s="735">
        <f t="shared" si="100"/>
        <v>1.2945864957796169</v>
      </c>
      <c r="AS133" s="732" t="str">
        <f t="shared" si="101"/>
        <v>0.0521899000481743-32.3078206813431i</v>
      </c>
      <c r="AT133" s="337">
        <f t="shared" si="102"/>
        <v>32.307862834973911</v>
      </c>
      <c r="AU133" s="730">
        <f t="shared" si="103"/>
        <v>-1.569180932950587</v>
      </c>
      <c r="AV133" s="732" t="str">
        <f t="shared" si="104"/>
        <v>-6.69366937373588-0.306642997138819i</v>
      </c>
      <c r="AW133" s="337">
        <f t="shared" si="105"/>
        <v>16.522389861067712</v>
      </c>
      <c r="AX133" s="730">
        <f t="shared" si="106"/>
        <v>-177.37706279528498</v>
      </c>
      <c r="AY133" s="360">
        <f t="shared" si="107"/>
        <v>2.622937204715015</v>
      </c>
      <c r="BB133" s="337">
        <f t="shared" si="108"/>
        <v>-9.8138353922165606</v>
      </c>
      <c r="BC133" s="730">
        <f t="shared" si="109"/>
        <v>-89.907444750469651</v>
      </c>
      <c r="BD133" s="351"/>
      <c r="BE133" s="337">
        <f t="shared" si="69"/>
        <v>47.302537006444688</v>
      </c>
      <c r="BF133" s="730">
        <f t="shared" si="70"/>
        <v>65.41968191278086</v>
      </c>
      <c r="BI133" s="351"/>
      <c r="BJ133" s="351"/>
      <c r="BL133" s="405">
        <f t="shared" si="71"/>
        <v>0</v>
      </c>
      <c r="BM133" s="405">
        <f t="shared" si="110"/>
        <v>0</v>
      </c>
      <c r="BN133" s="405">
        <f t="shared" si="73"/>
        <v>0</v>
      </c>
      <c r="BO133" s="405">
        <f t="shared" si="74"/>
        <v>0</v>
      </c>
    </row>
    <row r="134" spans="4:67" ht="13.5" thickBot="1" x14ac:dyDescent="0.25">
      <c r="D134" s="345">
        <v>7328.75</v>
      </c>
      <c r="E134" s="340" t="str">
        <f t="shared" si="60"/>
        <v>0.12156644100478i</v>
      </c>
      <c r="F134" s="728" t="str">
        <f t="shared" si="75"/>
        <v>0.005-0.356008518196962i</v>
      </c>
      <c r="G134" s="337" t="str">
        <f t="shared" si="76"/>
        <v>0.005-0.556833836154225i</v>
      </c>
      <c r="H134" s="338" t="str">
        <f t="shared" si="77"/>
        <v>0.21340866706447-0.457283492963906i</v>
      </c>
      <c r="I134" s="338" t="str">
        <f t="shared" si="78"/>
        <v>0.22340866706447-0.457283492963906i</v>
      </c>
      <c r="J134" s="337" t="str">
        <f t="shared" si="79"/>
        <v>0.0415013465910722-0.210452138098134i</v>
      </c>
      <c r="K134" s="338" t="str">
        <f t="shared" si="61"/>
        <v>0.999403215815972-0.0383732452666603i</v>
      </c>
      <c r="L134" s="732"/>
      <c r="M134" s="732" t="str">
        <f t="shared" si="62"/>
        <v>101.779989235541+217.987753084168i</v>
      </c>
      <c r="N134" s="337">
        <f t="shared" si="63"/>
        <v>0</v>
      </c>
      <c r="O134" s="730" t="str">
        <f t="shared" si="64"/>
        <v>65.0559045710506+77.7765717490845i</v>
      </c>
      <c r="P134" s="731" t="str">
        <f t="shared" si="65"/>
        <v>50.0999953250711-12.3730310568695i</v>
      </c>
      <c r="Q134" s="729" t="str">
        <f t="shared" si="66"/>
        <v>49.4494362793606-13.1507967743604i</v>
      </c>
      <c r="R134" s="730"/>
      <c r="S134" s="405" t="str">
        <f t="shared" si="80"/>
        <v>38.6731754506905+3.56292560280948i</v>
      </c>
      <c r="T134" s="405" t="str">
        <f t="shared" si="81"/>
        <v>16.1386689989859-2.73507436710497i</v>
      </c>
      <c r="U134" s="405" t="str">
        <f t="shared" si="82"/>
        <v>2.19342747916242-7.96363550665063i</v>
      </c>
      <c r="V134" s="731" t="str">
        <f t="shared" si="67"/>
        <v>6000</v>
      </c>
      <c r="W134" s="733" t="str">
        <f>IMSUM(COMPLEX(1,0),IMDIV(COMPLEX(0,2*PI()*D134),COMPLEX(2*PI()*'Stability Calculations'!EA_Pole1,0)))</f>
        <v>1+46508.3732631923i</v>
      </c>
      <c r="X134" s="734">
        <f t="shared" si="83"/>
        <v>46508.373273943049</v>
      </c>
      <c r="Y134" s="735">
        <f t="shared" si="84"/>
        <v>1.5707748252903355</v>
      </c>
      <c r="Z134" s="340" t="str">
        <f>IMSUM(COMPLEX(1,0),IMDIV(COMPLEX(0,2*PI()*D134),COMPLEX(2*PI()*'Stability Calculations'!EA_Zero1,0)))</f>
        <v>1+460.478943199924i</v>
      </c>
      <c r="AA134" s="734">
        <f t="shared" si="85"/>
        <v>460.48002902462429</v>
      </c>
      <c r="AB134" s="735">
        <f t="shared" si="86"/>
        <v>1.5686246782477746</v>
      </c>
      <c r="AC134" s="733" t="str">
        <f>IMSUM(COMPLEX(1,0),IMDIV(COMPLEX(0,2*PI()*D134),COMPLEX(2*PI()*'Stability Calculations'!EA_Pole2,0)))</f>
        <v>1+4.63861443199924i</v>
      </c>
      <c r="AD134" s="734">
        <f t="shared" si="87"/>
        <v>4.7451811186456982</v>
      </c>
      <c r="AE134" s="735">
        <f t="shared" si="88"/>
        <v>1.3584643136307875</v>
      </c>
      <c r="AF134" s="732" t="str">
        <f t="shared" si="89"/>
        <v>2.61198713193488-12.2437329166138i</v>
      </c>
      <c r="AG134" s="337">
        <f t="shared" si="90"/>
        <v>12.519244087035194</v>
      </c>
      <c r="AH134" s="730">
        <f t="shared" si="91"/>
        <v>-1.3606144606733486</v>
      </c>
      <c r="AI134" s="731" t="str">
        <f t="shared" si="68"/>
        <v>10000</v>
      </c>
      <c r="AJ134" s="733" t="str">
        <f t="shared" si="92"/>
        <v>1+43358.6051959164i</v>
      </c>
      <c r="AK134" s="734">
        <f t="shared" si="93"/>
        <v>43358.605207448141</v>
      </c>
      <c r="AL134" s="735">
        <f t="shared" si="94"/>
        <v>1.5707732633223679</v>
      </c>
      <c r="AM134" s="340" t="str">
        <f t="shared" si="95"/>
        <v>1+73.5845351233478i</v>
      </c>
      <c r="AN134" s="734">
        <f t="shared" si="96"/>
        <v>73.59132971566153</v>
      </c>
      <c r="AO134" s="735">
        <f t="shared" si="97"/>
        <v>1.5572073512832953</v>
      </c>
      <c r="AP134" s="733" t="str">
        <f t="shared" si="98"/>
        <v>1+3.56897124513542i</v>
      </c>
      <c r="AQ134" s="734">
        <f t="shared" si="99"/>
        <v>3.7064208812010904</v>
      </c>
      <c r="AR134" s="735">
        <f t="shared" si="100"/>
        <v>1.2976088613036545</v>
      </c>
      <c r="AS134" s="732" t="str">
        <f t="shared" si="101"/>
        <v>0.0509954608002562-31.9359768203213i</v>
      </c>
      <c r="AT134" s="337">
        <f t="shared" si="102"/>
        <v>31.93601753514551</v>
      </c>
      <c r="AU134" s="730">
        <f t="shared" si="103"/>
        <v>-1.5691995252395585</v>
      </c>
      <c r="AV134" s="732" t="str">
        <f t="shared" si="104"/>
        <v>-6.53817886615303-0.287213255641836i</v>
      </c>
      <c r="AW134" s="337">
        <f t="shared" si="105"/>
        <v>16.317508561845241</v>
      </c>
      <c r="AX134" s="730">
        <f t="shared" si="106"/>
        <v>-177.48469188565238</v>
      </c>
      <c r="AY134" s="360">
        <f t="shared" si="107"/>
        <v>2.5153081143476186</v>
      </c>
      <c r="BB134" s="337">
        <f t="shared" si="108"/>
        <v>-9.9143848386818387</v>
      </c>
      <c r="BC134" s="730">
        <f t="shared" si="109"/>
        <v>-89.908510010159205</v>
      </c>
      <c r="BD134" s="351"/>
      <c r="BE134" s="337">
        <f t="shared" si="69"/>
        <v>47.625122151144062</v>
      </c>
      <c r="BF134" s="730">
        <f t="shared" si="70"/>
        <v>64.97180402369743</v>
      </c>
      <c r="BI134" s="351"/>
      <c r="BJ134" s="351"/>
      <c r="BL134" s="405">
        <f t="shared" si="71"/>
        <v>0</v>
      </c>
      <c r="BM134" s="405">
        <f t="shared" si="110"/>
        <v>0</v>
      </c>
      <c r="BN134" s="405">
        <f t="shared" si="73"/>
        <v>0</v>
      </c>
      <c r="BO134" s="405">
        <f t="shared" si="74"/>
        <v>0</v>
      </c>
    </row>
    <row r="135" spans="4:67" ht="13.5" thickBot="1" x14ac:dyDescent="0.25">
      <c r="D135" s="345">
        <v>7413.1</v>
      </c>
      <c r="E135" s="340" t="str">
        <f t="shared" si="60"/>
        <v>0.122965605841724i</v>
      </c>
      <c r="F135" s="728" t="str">
        <f t="shared" si="75"/>
        <v>0.005-0.351957673272449i</v>
      </c>
      <c r="G135" s="337" t="str">
        <f t="shared" si="76"/>
        <v>0.005-0.550497899221008i</v>
      </c>
      <c r="H135" s="338" t="str">
        <f t="shared" si="77"/>
        <v>0.20948843650293-0.453846793871434i</v>
      </c>
      <c r="I135" s="338" t="str">
        <f t="shared" si="78"/>
        <v>0.21948843650293-0.453846793871434i</v>
      </c>
      <c r="J135" s="337" t="str">
        <f t="shared" si="79"/>
        <v>0.0406810865052709-0.208201691298751i</v>
      </c>
      <c r="K135" s="338" t="str">
        <f t="shared" si="61"/>
        <v>0.999389399426556-0.0388149008338775i</v>
      </c>
      <c r="L135" s="732"/>
      <c r="M135" s="732" t="str">
        <f t="shared" si="62"/>
        <v>107.629872074088+225.508946833247i</v>
      </c>
      <c r="N135" s="337">
        <f t="shared" si="63"/>
        <v>0</v>
      </c>
      <c r="O135" s="730" t="str">
        <f t="shared" si="64"/>
        <v>67.9627169913377+80.2315104322945i</v>
      </c>
      <c r="P135" s="731" t="str">
        <f t="shared" si="65"/>
        <v>51.3298442700793-13.2347724262575i</v>
      </c>
      <c r="Q135" s="729" t="str">
        <f t="shared" si="66"/>
        <v>50.650217100166-14.0370875305805i</v>
      </c>
      <c r="R135" s="730"/>
      <c r="S135" s="405" t="str">
        <f t="shared" si="80"/>
        <v>38.7056237558318+3.49744256560653i</v>
      </c>
      <c r="T135" s="405" t="str">
        <f t="shared" si="81"/>
        <v>16.1250499006867-2.72449144138439i</v>
      </c>
      <c r="U135" s="405" t="str">
        <f t="shared" si="82"/>
        <v>2.14150978662409-7.88905165076479i</v>
      </c>
      <c r="V135" s="731" t="str">
        <f t="shared" si="67"/>
        <v>6000</v>
      </c>
      <c r="W135" s="733" t="str">
        <f>IMSUM(COMPLEX(1,0),IMDIV(COMPLEX(0,2*PI()*D135),COMPLEX(2*PI()*'Stability Calculations'!EA_Pole1,0)))</f>
        <v>1+47043.6598106595i</v>
      </c>
      <c r="X135" s="734">
        <f t="shared" si="83"/>
        <v>47043.659821287925</v>
      </c>
      <c r="Y135" s="735">
        <f t="shared" si="84"/>
        <v>1.570775069945326</v>
      </c>
      <c r="Z135" s="340" t="str">
        <f>IMSUM(COMPLEX(1,0),IMDIV(COMPLEX(0,2*PI()*D135),COMPLEX(2*PI()*'Stability Calculations'!EA_Zero1,0)))</f>
        <v>1+465.77881000653i</v>
      </c>
      <c r="AA135" s="734">
        <f t="shared" si="85"/>
        <v>465.7798834761964</v>
      </c>
      <c r="AB135" s="735">
        <f t="shared" si="86"/>
        <v>1.5686493882866008</v>
      </c>
      <c r="AC135" s="733" t="str">
        <f>IMSUM(COMPLEX(1,0),IMDIV(COMPLEX(0,2*PI()*D135),COMPLEX(2*PI()*'Stability Calculations'!EA_Pole2,0)))</f>
        <v>1+4.69200240775761i</v>
      </c>
      <c r="AD135" s="734">
        <f t="shared" si="87"/>
        <v>4.7973833070126064</v>
      </c>
      <c r="AE135" s="735">
        <f t="shared" si="88"/>
        <v>1.3608095501023965</v>
      </c>
      <c r="AF135" s="732" t="str">
        <f t="shared" si="89"/>
        <v>2.55545231051299-12.1164667080799i</v>
      </c>
      <c r="AG135" s="337">
        <f t="shared" si="90"/>
        <v>12.383016676049287</v>
      </c>
      <c r="AH135" s="730">
        <f t="shared" si="91"/>
        <v>-1.3629352317611212</v>
      </c>
      <c r="AI135" s="731" t="str">
        <f t="shared" si="68"/>
        <v>10000</v>
      </c>
      <c r="AJ135" s="733" t="str">
        <f t="shared" si="92"/>
        <v>1+43857.639594453i</v>
      </c>
      <c r="AK135" s="734">
        <f t="shared" si="93"/>
        <v>43857.639605853525</v>
      </c>
      <c r="AL135" s="735">
        <f t="shared" si="94"/>
        <v>1.5707735257502196</v>
      </c>
      <c r="AM135" s="340" t="str">
        <f t="shared" si="95"/>
        <v>1+74.4314538390435i</v>
      </c>
      <c r="AN135" s="734">
        <f t="shared" si="96"/>
        <v>74.438171126067203</v>
      </c>
      <c r="AO135" s="735">
        <f t="shared" si="97"/>
        <v>1.5573619548067463</v>
      </c>
      <c r="AP135" s="733" t="str">
        <f t="shared" si="98"/>
        <v>1+3.61004819884884i</v>
      </c>
      <c r="AQ135" s="734">
        <f t="shared" si="99"/>
        <v>3.7459909233755164</v>
      </c>
      <c r="AR135" s="735">
        <f t="shared" si="100"/>
        <v>1.3005674010457307</v>
      </c>
      <c r="AS135" s="732" t="str">
        <f t="shared" si="101"/>
        <v>0.0498415618036129-31.572594950225i</v>
      </c>
      <c r="AT135" s="337">
        <f t="shared" si="102"/>
        <v>31.572634290984595</v>
      </c>
      <c r="AU135" s="730">
        <f t="shared" si="103"/>
        <v>-1.5692176944246676</v>
      </c>
      <c r="AV135" s="732" t="str">
        <f t="shared" si="104"/>
        <v>-6.38802000397934-0.268840911215047i</v>
      </c>
      <c r="AW135" s="337">
        <f t="shared" si="105"/>
        <v>16.115010602187599</v>
      </c>
      <c r="AX135" s="730">
        <f t="shared" si="106"/>
        <v>-177.59011943981292</v>
      </c>
      <c r="AY135" s="360">
        <f t="shared" si="107"/>
        <v>2.4098805601870765</v>
      </c>
      <c r="BB135" s="337">
        <f t="shared" si="108"/>
        <v>-10.013783616948647</v>
      </c>
      <c r="BC135" s="730">
        <f t="shared" si="109"/>
        <v>-89.909551027783152</v>
      </c>
      <c r="BD135" s="351"/>
      <c r="BE135" s="337">
        <f t="shared" si="69"/>
        <v>47.95452283568271</v>
      </c>
      <c r="BF135" s="730">
        <f t="shared" si="70"/>
        <v>64.486004998537325</v>
      </c>
      <c r="BI135" s="351"/>
      <c r="BJ135" s="351"/>
      <c r="BL135" s="405">
        <f t="shared" si="71"/>
        <v>0</v>
      </c>
      <c r="BM135" s="405">
        <f t="shared" si="110"/>
        <v>0</v>
      </c>
      <c r="BN135" s="405">
        <f t="shared" si="73"/>
        <v>0</v>
      </c>
      <c r="BO135" s="405">
        <f t="shared" si="74"/>
        <v>0</v>
      </c>
    </row>
    <row r="136" spans="4:67" ht="13.5" thickBot="1" x14ac:dyDescent="0.25">
      <c r="D136" s="345">
        <v>7499.45</v>
      </c>
      <c r="E136" s="340" t="str">
        <f t="shared" si="60"/>
        <v>0.12439794589709i</v>
      </c>
      <c r="F136" s="728" t="str">
        <f t="shared" si="75"/>
        <v>0.005-0.34790517007727i</v>
      </c>
      <c r="G136" s="337" t="str">
        <f t="shared" si="76"/>
        <v>0.005-0.544159368582398i</v>
      </c>
      <c r="H136" s="338" t="str">
        <f t="shared" si="77"/>
        <v>0.205581242327942-0.450361478382831i</v>
      </c>
      <c r="I136" s="338" t="str">
        <f t="shared" si="78"/>
        <v>0.215581242327942-0.450361478382831i</v>
      </c>
      <c r="J136" s="337" t="str">
        <f t="shared" si="79"/>
        <v>0.039868765506195-0.205945573028716i</v>
      </c>
      <c r="K136" s="338" t="str">
        <f t="shared" si="61"/>
        <v>0.999375091663306-0.0392670283766066i</v>
      </c>
      <c r="L136" s="732"/>
      <c r="M136" s="732" t="str">
        <f t="shared" si="62"/>
        <v>114.193699695089+233.571948498606i</v>
      </c>
      <c r="N136" s="337">
        <f t="shared" si="63"/>
        <v>0</v>
      </c>
      <c r="O136" s="730" t="str">
        <f t="shared" si="64"/>
        <v>71.1959828295402+82.8386839816329i</v>
      </c>
      <c r="P136" s="731" t="str">
        <f t="shared" si="65"/>
        <v>52.6558706124075-14.2054616764582i</v>
      </c>
      <c r="Q136" s="729" t="str">
        <f t="shared" si="66"/>
        <v>51.9439107841122-15.0338485162746i</v>
      </c>
      <c r="R136" s="730"/>
      <c r="S136" s="405" t="str">
        <f t="shared" si="80"/>
        <v>38.7378107375875+3.43120398654537i</v>
      </c>
      <c r="T136" s="405" t="str">
        <f t="shared" si="81"/>
        <v>16.1115052980751-2.71397182683885i</v>
      </c>
      <c r="U136" s="405" t="str">
        <f t="shared" si="82"/>
        <v>2.08995491072699-7.81394304481852i</v>
      </c>
      <c r="V136" s="731" t="str">
        <f t="shared" si="67"/>
        <v>6000</v>
      </c>
      <c r="W136" s="733" t="str">
        <f>IMSUM(COMPLEX(1,0),IMDIV(COMPLEX(0,2*PI()*D136),COMPLEX(2*PI()*'Stability Calculations'!EA_Pole1,0)))</f>
        <v>1+47591.6383924473i</v>
      </c>
      <c r="X136" s="734">
        <f t="shared" si="83"/>
        <v>47591.638402953344</v>
      </c>
      <c r="Y136" s="735">
        <f t="shared" si="84"/>
        <v>1.5707753147004693</v>
      </c>
      <c r="Z136" s="340" t="str">
        <f>IMSUM(COMPLEX(1,0),IMDIV(COMPLEX(0,2*PI()*D136),COMPLEX(2*PI()*'Stability Calculations'!EA_Zero1,0)))</f>
        <v>1+471.20434051928i</v>
      </c>
      <c r="AA136" s="734">
        <f t="shared" si="85"/>
        <v>471.20540162885396</v>
      </c>
      <c r="AB136" s="735">
        <f t="shared" si="86"/>
        <v>1.5686741084434543</v>
      </c>
      <c r="AC136" s="733" t="str">
        <f>IMSUM(COMPLEX(1,0),IMDIV(COMPLEX(0,2*PI()*D136),COMPLEX(2*PI()*'Stability Calculations'!EA_Pole2,0)))</f>
        <v>1+4.74665625134665i</v>
      </c>
      <c r="AD136" s="734">
        <f t="shared" si="87"/>
        <v>4.8508499841211572</v>
      </c>
      <c r="AE136" s="735">
        <f t="shared" si="88"/>
        <v>1.3631580948816526</v>
      </c>
      <c r="AF136" s="732" t="str">
        <f t="shared" si="89"/>
        <v>2.4994297308309-11.988758079944i</v>
      </c>
      <c r="AG136" s="337">
        <f t="shared" si="90"/>
        <v>12.246528866531282</v>
      </c>
      <c r="AH136" s="730">
        <f t="shared" si="91"/>
        <v>-1.3652593011386673</v>
      </c>
      <c r="AI136" s="731" t="str">
        <f t="shared" si="68"/>
        <v>10000</v>
      </c>
      <c r="AJ136" s="733" t="str">
        <f t="shared" si="92"/>
        <v>1+44368.5064624275i</v>
      </c>
      <c r="AK136" s="734">
        <f t="shared" si="93"/>
        <v>44368.506473696747</v>
      </c>
      <c r="AL136" s="735">
        <f t="shared" si="94"/>
        <v>1.5707737882854997</v>
      </c>
      <c r="AM136" s="340" t="str">
        <f t="shared" si="95"/>
        <v>1+75.2984536149809i</v>
      </c>
      <c r="AN136" s="734">
        <f t="shared" si="96"/>
        <v>75.305093564827544</v>
      </c>
      <c r="AO136" s="735">
        <f t="shared" si="97"/>
        <v>1.5575166222619943</v>
      </c>
      <c r="AP136" s="733" t="str">
        <f t="shared" si="98"/>
        <v>1+3.65209911708421i</v>
      </c>
      <c r="AQ136" s="734">
        <f t="shared" si="99"/>
        <v>3.7865324455241725</v>
      </c>
      <c r="AR136" s="735">
        <f t="shared" si="100"/>
        <v>1.3035320120514735</v>
      </c>
      <c r="AS136" s="732" t="str">
        <f t="shared" si="101"/>
        <v>0.0487004031920893-31.209064262046i</v>
      </c>
      <c r="AT136" s="337">
        <f t="shared" si="102"/>
        <v>31.209102259465716</v>
      </c>
      <c r="AU136" s="730">
        <f t="shared" si="103"/>
        <v>-1.5692358710486327</v>
      </c>
      <c r="AV136" s="732" t="str">
        <f t="shared" si="104"/>
        <v>-6.23957376059778-0.25105888187111i</v>
      </c>
      <c r="AW136" s="337">
        <f t="shared" si="105"/>
        <v>15.910123914026837</v>
      </c>
      <c r="AX136" s="730">
        <f t="shared" si="106"/>
        <v>-177.69585878366456</v>
      </c>
      <c r="AY136" s="360">
        <f t="shared" si="107"/>
        <v>2.304141216335438</v>
      </c>
      <c r="BB136" s="337">
        <f t="shared" si="108"/>
        <v>-10.114374475695424</v>
      </c>
      <c r="BC136" s="730">
        <f t="shared" si="109"/>
        <v>-89.910592471622138</v>
      </c>
      <c r="BD136" s="351"/>
      <c r="BE136" s="337">
        <f t="shared" si="69"/>
        <v>48.299213582021743</v>
      </c>
      <c r="BF136" s="730">
        <f t="shared" si="70"/>
        <v>63.945916820120374</v>
      </c>
      <c r="BI136" s="351"/>
      <c r="BJ136" s="351"/>
      <c r="BL136" s="405">
        <f t="shared" si="71"/>
        <v>0</v>
      </c>
      <c r="BM136" s="405">
        <f t="shared" si="110"/>
        <v>0</v>
      </c>
      <c r="BN136" s="405">
        <f t="shared" si="73"/>
        <v>0</v>
      </c>
      <c r="BO136" s="405">
        <f t="shared" si="74"/>
        <v>0</v>
      </c>
    </row>
    <row r="137" spans="4:67" ht="13.5" thickBot="1" x14ac:dyDescent="0.25">
      <c r="D137" s="345">
        <v>7585.8</v>
      </c>
      <c r="E137" s="340" t="str">
        <f t="shared" si="60"/>
        <v>0.125830285952456i</v>
      </c>
      <c r="F137" s="728" t="str">
        <f t="shared" si="75"/>
        <v>0.005-0.343944927065832i</v>
      </c>
      <c r="G137" s="337" t="str">
        <f t="shared" si="76"/>
        <v>0.005-0.537965142333738i</v>
      </c>
      <c r="H137" s="338" t="str">
        <f t="shared" si="77"/>
        <v>0.201777818834968-0.446909814578474i</v>
      </c>
      <c r="I137" s="338" t="str">
        <f t="shared" si="78"/>
        <v>0.211777818834968-0.446909814578474i</v>
      </c>
      <c r="J137" s="337" t="str">
        <f t="shared" si="79"/>
        <v>0.0390829689101284-0.203736270082861i</v>
      </c>
      <c r="K137" s="338" t="str">
        <f t="shared" si="61"/>
        <v>0.999360618204-0.0397191559193358i</v>
      </c>
      <c r="L137" s="732"/>
      <c r="M137" s="732" t="str">
        <f t="shared" si="62"/>
        <v>121.413692368375+242.019822307133i</v>
      </c>
      <c r="N137" s="337">
        <f t="shared" si="63"/>
        <v>0</v>
      </c>
      <c r="O137" s="730" t="str">
        <f t="shared" si="64"/>
        <v>74.7204271339745+85.5414070560897i</v>
      </c>
      <c r="P137" s="731" t="str">
        <f t="shared" si="65"/>
        <v>54.0534234470691-15.2775196292561i</v>
      </c>
      <c r="Q137" s="729" t="str">
        <f t="shared" si="66"/>
        <v>53.3062191757294-16.132933699817i</v>
      </c>
      <c r="R137" s="730"/>
      <c r="S137" s="405" t="str">
        <f t="shared" si="80"/>
        <v>38.7689945941808+3.36575664570103i</v>
      </c>
      <c r="T137" s="405" t="str">
        <f t="shared" si="81"/>
        <v>16.0983471114598-2.70376412263362i</v>
      </c>
      <c r="U137" s="405" t="str">
        <f t="shared" si="82"/>
        <v>2.03995064428843-7.74006894991166i</v>
      </c>
      <c r="V137" s="731" t="str">
        <f t="shared" si="67"/>
        <v>6000</v>
      </c>
      <c r="W137" s="733" t="str">
        <f>IMSUM(COMPLEX(1,0),IMDIV(COMPLEX(0,2*PI()*D137),COMPLEX(2*PI()*'Stability Calculations'!EA_Pole1,0)))</f>
        <v>1+48139.6169742349i</v>
      </c>
      <c r="X137" s="734">
        <f t="shared" si="83"/>
        <v>48139.61698462136</v>
      </c>
      <c r="Y137" s="735">
        <f t="shared" si="84"/>
        <v>1.5707755538834629</v>
      </c>
      <c r="Z137" s="340" t="str">
        <f>IMSUM(COMPLEX(1,0),IMDIV(COMPLEX(0,2*PI()*D137),COMPLEX(2*PI()*'Stability Calculations'!EA_Zero1,0)))</f>
        <v>1+476.629871032029i</v>
      </c>
      <c r="AA137" s="734">
        <f t="shared" si="85"/>
        <v>476.63092006290219</v>
      </c>
      <c r="AB137" s="735">
        <f t="shared" si="86"/>
        <v>1.5686982658182573</v>
      </c>
      <c r="AC137" s="733" t="str">
        <f>IMSUM(COMPLEX(1,0),IMDIV(COMPLEX(0,2*PI()*D137),COMPLEX(2*PI()*'Stability Calculations'!EA_Pole2,0)))</f>
        <v>1+4.80131009493568i</v>
      </c>
      <c r="AD137" s="734">
        <f t="shared" si="87"/>
        <v>4.9043428334213406</v>
      </c>
      <c r="AE137" s="735">
        <f t="shared" si="88"/>
        <v>1.3654554198150053</v>
      </c>
      <c r="AF137" s="732" t="str">
        <f t="shared" si="89"/>
        <v>2.44520331534061-11.8635827963389i</v>
      </c>
      <c r="AG137" s="337">
        <f t="shared" si="90"/>
        <v>12.112952407193756</v>
      </c>
      <c r="AH137" s="730">
        <f t="shared" si="91"/>
        <v>-1.3675327078802104</v>
      </c>
      <c r="AI137" s="731" t="str">
        <f t="shared" si="68"/>
        <v>10000</v>
      </c>
      <c r="AJ137" s="733" t="str">
        <f t="shared" si="92"/>
        <v>1+44879.3733304018i</v>
      </c>
      <c r="AK137" s="734">
        <f t="shared" si="93"/>
        <v>44879.373341542785</v>
      </c>
      <c r="AL137" s="735">
        <f t="shared" si="94"/>
        <v>1.5707740448438436</v>
      </c>
      <c r="AM137" s="340" t="str">
        <f t="shared" si="95"/>
        <v>1+76.1654533909182i</v>
      </c>
      <c r="AN137" s="734">
        <f t="shared" si="96"/>
        <v>76.17201776403283</v>
      </c>
      <c r="AO137" s="735">
        <f t="shared" si="97"/>
        <v>1.557667769137675</v>
      </c>
      <c r="AP137" s="733" t="str">
        <f t="shared" si="98"/>
        <v>1+3.69415003531957i</v>
      </c>
      <c r="AQ137" s="734">
        <f t="shared" si="99"/>
        <v>3.8271065419519723</v>
      </c>
      <c r="AR137" s="735">
        <f t="shared" si="100"/>
        <v>1.3064337878747601</v>
      </c>
      <c r="AS137" s="732" t="str">
        <f t="shared" si="101"/>
        <v>0.0475979920338883-30.8538097341142i</v>
      </c>
      <c r="AT137" s="337">
        <f t="shared" si="102"/>
        <v>30.853846448664481</v>
      </c>
      <c r="AU137" s="730">
        <f t="shared" si="103"/>
        <v>-1.5692536338605538</v>
      </c>
      <c r="AV137" s="732" t="str">
        <f t="shared" si="104"/>
        <v>-6.09622175288471-0.23424926165997i</v>
      </c>
      <c r="AW137" s="337">
        <f t="shared" si="105"/>
        <v>15.707622776463687</v>
      </c>
      <c r="AX137" s="730">
        <f t="shared" si="106"/>
        <v>-177.79947403457768</v>
      </c>
      <c r="AY137" s="360">
        <f t="shared" si="107"/>
        <v>2.2005259654223153</v>
      </c>
      <c r="BB137" s="337">
        <f t="shared" si="108"/>
        <v>-10.213813723507352</v>
      </c>
      <c r="BC137" s="730">
        <f t="shared" si="109"/>
        <v>-89.911610205777507</v>
      </c>
      <c r="BD137" s="351"/>
      <c r="BE137" s="337">
        <f t="shared" si="69"/>
        <v>48.651921226405996</v>
      </c>
      <c r="BF137" s="730">
        <f t="shared" si="70"/>
        <v>63.358526927715346</v>
      </c>
      <c r="BI137" s="351"/>
      <c r="BJ137" s="351"/>
      <c r="BL137" s="405">
        <f t="shared" si="71"/>
        <v>0</v>
      </c>
      <c r="BM137" s="405">
        <f t="shared" si="110"/>
        <v>0</v>
      </c>
      <c r="BN137" s="405">
        <f t="shared" si="73"/>
        <v>0</v>
      </c>
      <c r="BO137" s="405">
        <f t="shared" si="74"/>
        <v>0</v>
      </c>
    </row>
    <row r="138" spans="4:67" ht="13.5" thickBot="1" x14ac:dyDescent="0.25">
      <c r="D138" s="345">
        <v>7674.15</v>
      </c>
      <c r="E138" s="340" t="str">
        <f t="shared" si="60"/>
        <v>0.127295801226243i</v>
      </c>
      <c r="F138" s="728" t="str">
        <f t="shared" si="75"/>
        <v>0.005-0.339985200671864i</v>
      </c>
      <c r="G138" s="337" t="str">
        <f t="shared" si="76"/>
        <v>0.005-0.531771724127787i</v>
      </c>
      <c r="H138" s="338" t="str">
        <f t="shared" si="77"/>
        <v>0.197990200771483-0.443413375659603i</v>
      </c>
      <c r="I138" s="338" t="str">
        <f t="shared" si="78"/>
        <v>0.207990200771483-0.443413375659603i</v>
      </c>
      <c r="J138" s="337" t="str">
        <f t="shared" si="79"/>
        <v>0.0383052456308145-0.201522802348151i</v>
      </c>
      <c r="K138" s="338" t="str">
        <f t="shared" si="61"/>
        <v>0.99934563801975-0.0401817554375768i</v>
      </c>
      <c r="L138" s="732"/>
      <c r="M138" s="732" t="str">
        <f t="shared" si="62"/>
        <v>129.570249521754+251.078172146748i</v>
      </c>
      <c r="N138" s="337">
        <f t="shared" si="63"/>
        <v>0</v>
      </c>
      <c r="O138" s="730" t="str">
        <f t="shared" si="64"/>
        <v>78.6647469475171+88.4044161371476i</v>
      </c>
      <c r="P138" s="731" t="str">
        <f t="shared" si="65"/>
        <v>55.5611970938409-16.4937487279559i</v>
      </c>
      <c r="Q138" s="729" t="str">
        <f t="shared" si="66"/>
        <v>54.7745496243657-17.3777928893274i</v>
      </c>
      <c r="R138" s="730"/>
      <c r="S138" s="405" t="str">
        <f t="shared" si="80"/>
        <v>38.799902227866+3.29959653657165i</v>
      </c>
      <c r="T138" s="405" t="str">
        <f t="shared" si="81"/>
        <v>16.085268407931-2.69363655955093i</v>
      </c>
      <c r="U138" s="405" t="str">
        <f t="shared" si="82"/>
        <v>1.99033104187884-7.66573680638233i</v>
      </c>
      <c r="V138" s="731" t="str">
        <f t="shared" si="67"/>
        <v>6000</v>
      </c>
      <c r="W138" s="733" t="str">
        <f>IMSUM(COMPLEX(1,0),IMDIV(COMPLEX(0,2*PI()*D138),COMPLEX(2*PI()*'Stability Calculations'!EA_Pole1,0)))</f>
        <v>1+48700.2875903431i</v>
      </c>
      <c r="X138" s="734">
        <f t="shared" si="83"/>
        <v>48700.287600609976</v>
      </c>
      <c r="Y138" s="735">
        <f t="shared" si="84"/>
        <v>1.5707757930352551</v>
      </c>
      <c r="Z138" s="340" t="str">
        <f>IMSUM(COMPLEX(1,0),IMDIV(COMPLEX(0,2*PI()*D138),COMPLEX(2*PI()*'Stability Calculations'!EA_Zero1,0)))</f>
        <v>1+482.181065250922i</v>
      </c>
      <c r="AA138" s="734">
        <f t="shared" si="85"/>
        <v>482.18210220466909</v>
      </c>
      <c r="AB138" s="735">
        <f t="shared" si="86"/>
        <v>1.5687224200441561</v>
      </c>
      <c r="AC138" s="733" t="str">
        <f>IMSUM(COMPLEX(1,0),IMDIV(COMPLEX(0,2*PI()*D138),COMPLEX(2*PI()*'Stability Calculations'!EA_Pole2,0)))</f>
        <v>1+4.85722980635537i</v>
      </c>
      <c r="AD138" s="734">
        <f t="shared" si="87"/>
        <v>4.9591008652523927</v>
      </c>
      <c r="AE138" s="735">
        <f t="shared" si="88"/>
        <v>1.3677546451748315</v>
      </c>
      <c r="AF138" s="732" t="str">
        <f t="shared" si="89"/>
        <v>2.39150192723864-11.73805717345i</v>
      </c>
      <c r="AG138" s="337">
        <f t="shared" si="90"/>
        <v>11.979201462333252</v>
      </c>
      <c r="AH138" s="730">
        <f t="shared" si="91"/>
        <v>-1.3698080181659302</v>
      </c>
      <c r="AI138" s="731" t="str">
        <f t="shared" si="68"/>
        <v>10000</v>
      </c>
      <c r="AJ138" s="733" t="str">
        <f t="shared" si="92"/>
        <v>1+45402.0726678139i</v>
      </c>
      <c r="AK138" s="734">
        <f t="shared" si="93"/>
        <v>45402.072678826618</v>
      </c>
      <c r="AL138" s="735">
        <f t="shared" si="94"/>
        <v>1.5707743013687194</v>
      </c>
      <c r="AM138" s="340" t="str">
        <f t="shared" si="95"/>
        <v>1+77.0525342270973i</v>
      </c>
      <c r="AN138" s="734">
        <f t="shared" si="96"/>
        <v>77.059023033114045</v>
      </c>
      <c r="AO138" s="735">
        <f t="shared" si="97"/>
        <v>1.5578188968958753</v>
      </c>
      <c r="AP138" s="733" t="str">
        <f t="shared" si="98"/>
        <v>1+3.73717491807689i</v>
      </c>
      <c r="AQ138" s="734">
        <f t="shared" si="99"/>
        <v>3.8686530431537807</v>
      </c>
      <c r="AR138" s="735">
        <f t="shared" si="100"/>
        <v>1.3093397501498791</v>
      </c>
      <c r="AS138" s="732" t="str">
        <f t="shared" si="101"/>
        <v>0.0465083427968701-30.4986014910758i</v>
      </c>
      <c r="AT138" s="337">
        <f t="shared" si="102"/>
        <v>30.498636952122972</v>
      </c>
      <c r="AU138" s="730">
        <f t="shared" si="103"/>
        <v>-1.5692713943562728</v>
      </c>
      <c r="AV138" s="732" t="str">
        <f t="shared" si="104"/>
        <v>-5.95458329779325-0.217992909388776i</v>
      </c>
      <c r="AW138" s="337">
        <f t="shared" si="105"/>
        <v>15.502844181859656</v>
      </c>
      <c r="AX138" s="730">
        <f t="shared" si="106"/>
        <v>-177.90338002863737</v>
      </c>
      <c r="AY138" s="360">
        <f t="shared" si="107"/>
        <v>2.0966199713626281</v>
      </c>
      <c r="BB138" s="337">
        <f t="shared" si="108"/>
        <v>-10.314391394965538</v>
      </c>
      <c r="BC138" s="730">
        <f t="shared" si="109"/>
        <v>-89.912627807224268</v>
      </c>
      <c r="BD138" s="351"/>
      <c r="BE138" s="337">
        <f t="shared" si="69"/>
        <v>49.021590465067042</v>
      </c>
      <c r="BF138" s="730">
        <f t="shared" si="70"/>
        <v>62.703758729928325</v>
      </c>
      <c r="BI138" s="351"/>
      <c r="BJ138" s="351"/>
      <c r="BL138" s="405">
        <f t="shared" si="71"/>
        <v>0</v>
      </c>
      <c r="BM138" s="405">
        <f t="shared" si="110"/>
        <v>0</v>
      </c>
      <c r="BN138" s="405">
        <f t="shared" si="73"/>
        <v>0</v>
      </c>
      <c r="BO138" s="405">
        <f t="shared" si="74"/>
        <v>0</v>
      </c>
    </row>
    <row r="139" spans="4:67" ht="13.5" thickBot="1" x14ac:dyDescent="0.25">
      <c r="D139" s="345">
        <v>7762.5</v>
      </c>
      <c r="E139" s="340" t="str">
        <f t="shared" si="60"/>
        <v>0.128761316500031i</v>
      </c>
      <c r="F139" s="728" t="str">
        <f t="shared" si="75"/>
        <v>0.005-0.336115610658421i</v>
      </c>
      <c r="G139" s="337" t="str">
        <f t="shared" si="76"/>
        <v>0.005-0.525719288465735i</v>
      </c>
      <c r="H139" s="338" t="str">
        <f t="shared" si="77"/>
        <v>0.194304228354922-0.439952786049123i</v>
      </c>
      <c r="I139" s="338" t="str">
        <f t="shared" si="78"/>
        <v>0.204304228354922-0.439952786049123i</v>
      </c>
      <c r="J139" s="337" t="str">
        <f t="shared" si="79"/>
        <v>0.0375529580903022-0.199355458583167i</v>
      </c>
      <c r="K139" s="338" t="str">
        <f t="shared" si="61"/>
        <v>0.999330484375-0.040644354955818i</v>
      </c>
      <c r="L139" s="732"/>
      <c r="M139" s="732" t="str">
        <f t="shared" si="62"/>
        <v>138.611732290647+260.570054166851i</v>
      </c>
      <c r="N139" s="337">
        <f t="shared" si="63"/>
        <v>0</v>
      </c>
      <c r="O139" s="730" t="str">
        <f t="shared" si="64"/>
        <v>82.9943623883516+91.3626310004982i</v>
      </c>
      <c r="P139" s="731" t="str">
        <f t="shared" si="65"/>
        <v>57.1513432150082-17.8478291320936i</v>
      </c>
      <c r="Q139" s="729" t="str">
        <f t="shared" si="66"/>
        <v>56.3213995911246-18.7614554420986i</v>
      </c>
      <c r="R139" s="730"/>
      <c r="S139" s="405" t="str">
        <f t="shared" si="80"/>
        <v>38.8298385861539+3.23423273289871i</v>
      </c>
      <c r="T139" s="405" t="str">
        <f t="shared" si="81"/>
        <v>16.0725630915223-2.6838228710675i</v>
      </c>
      <c r="U139" s="405" t="str">
        <f t="shared" si="82"/>
        <v>1.94221161979552-7.59264704306957i</v>
      </c>
      <c r="V139" s="731" t="str">
        <f t="shared" si="67"/>
        <v>6000</v>
      </c>
      <c r="W139" s="733" t="str">
        <f>IMSUM(COMPLEX(1,0),IMDIV(COMPLEX(0,2*PI()*D139),COMPLEX(2*PI()*'Stability Calculations'!EA_Pole1,0)))</f>
        <v>1+49260.9582064513i</v>
      </c>
      <c r="X139" s="734">
        <f t="shared" si="83"/>
        <v>49260.958216601328</v>
      </c>
      <c r="Y139" s="735">
        <f t="shared" si="84"/>
        <v>1.5707760267431665</v>
      </c>
      <c r="Z139" s="340" t="str">
        <f>IMSUM(COMPLEX(1,0),IMDIV(COMPLEX(0,2*PI()*D139),COMPLEX(2*PI()*'Stability Calculations'!EA_Zero1,0)))</f>
        <v>1+487.732259469815i</v>
      </c>
      <c r="AA139" s="734">
        <f t="shared" si="85"/>
        <v>487.73328462135015</v>
      </c>
      <c r="AB139" s="735">
        <f t="shared" si="86"/>
        <v>1.5687460244428642</v>
      </c>
      <c r="AC139" s="733" t="str">
        <f>IMSUM(COMPLEX(1,0),IMDIV(COMPLEX(0,2*PI()*D139),COMPLEX(2*PI()*'Stability Calculations'!EA_Pole2,0)))</f>
        <v>1+4.91314951777508i</v>
      </c>
      <c r="AD139" s="734">
        <f t="shared" si="87"/>
        <v>5.0138845403552637</v>
      </c>
      <c r="AE139" s="735">
        <f t="shared" si="88"/>
        <v>1.370003637726565</v>
      </c>
      <c r="AF139" s="732" t="str">
        <f t="shared" si="89"/>
        <v>2.33952645511441-11.6150376414474i</v>
      </c>
      <c r="AG139" s="337">
        <f t="shared" si="90"/>
        <v>11.848311417515163</v>
      </c>
      <c r="AH139" s="730">
        <f t="shared" si="91"/>
        <v>-1.3720336400268669</v>
      </c>
      <c r="AI139" s="731" t="str">
        <f t="shared" si="68"/>
        <v>10000</v>
      </c>
      <c r="AJ139" s="733" t="str">
        <f t="shared" si="92"/>
        <v>1+45924.7720052261i</v>
      </c>
      <c r="AK139" s="734">
        <f t="shared" si="93"/>
        <v>45924.772016113471</v>
      </c>
      <c r="AL139" s="735">
        <f t="shared" si="94"/>
        <v>1.5707745520542462</v>
      </c>
      <c r="AM139" s="340" t="str">
        <f t="shared" si="95"/>
        <v>1+77.9396150632764i</v>
      </c>
      <c r="AN139" s="734">
        <f t="shared" si="96"/>
        <v>77.946030022135858</v>
      </c>
      <c r="AO139" s="735">
        <f t="shared" si="97"/>
        <v>1.5579665850626365</v>
      </c>
      <c r="AP139" s="733" t="str">
        <f t="shared" si="98"/>
        <v>1+3.78019980083421i</v>
      </c>
      <c r="AQ139" s="734">
        <f t="shared" si="99"/>
        <v>3.9102315192616151</v>
      </c>
      <c r="AR139" s="735">
        <f t="shared" si="100"/>
        <v>1.3121839363625272</v>
      </c>
      <c r="AS139" s="732" t="str">
        <f t="shared" si="101"/>
        <v>0.0454556873000505-30.1514788987456i</v>
      </c>
      <c r="AT139" s="337">
        <f t="shared" si="102"/>
        <v>30.151513162708923</v>
      </c>
      <c r="AU139" s="730">
        <f t="shared" si="103"/>
        <v>-1.5692887505656949</v>
      </c>
      <c r="AV139" s="732" t="str">
        <f t="shared" si="104"/>
        <v>-5.81780645743456-0.202629651462707i</v>
      </c>
      <c r="AW139" s="337">
        <f t="shared" si="105"/>
        <v>15.300450509706645</v>
      </c>
      <c r="AX139" s="730">
        <f t="shared" si="106"/>
        <v>-178.00523912148606</v>
      </c>
      <c r="AY139" s="360">
        <f t="shared" si="107"/>
        <v>1.9947608785139437</v>
      </c>
      <c r="BB139" s="337">
        <f t="shared" si="108"/>
        <v>-10.413817755568086</v>
      </c>
      <c r="BC139" s="730">
        <f t="shared" si="109"/>
        <v>-89.913622244772498</v>
      </c>
      <c r="BD139" s="351"/>
      <c r="BE139" s="337">
        <f t="shared" si="69"/>
        <v>49.400678415228334</v>
      </c>
      <c r="BF139" s="730">
        <f t="shared" si="70"/>
        <v>61.988999757690699</v>
      </c>
      <c r="BI139" s="351"/>
      <c r="BJ139" s="351"/>
      <c r="BL139" s="405">
        <f t="shared" si="71"/>
        <v>0</v>
      </c>
      <c r="BM139" s="405">
        <f t="shared" si="110"/>
        <v>0</v>
      </c>
      <c r="BN139" s="405">
        <f t="shared" si="73"/>
        <v>0</v>
      </c>
      <c r="BO139" s="405">
        <f t="shared" si="74"/>
        <v>0</v>
      </c>
    </row>
    <row r="140" spans="4:67" ht="13.5" thickBot="1" x14ac:dyDescent="0.25">
      <c r="D140" s="345">
        <v>7852.9</v>
      </c>
      <c r="E140" s="340" t="str">
        <f t="shared" si="60"/>
        <v>0.130260836372701i</v>
      </c>
      <c r="F140" s="728" t="str">
        <f t="shared" si="75"/>
        <v>0.005-0.332246358381742i</v>
      </c>
      <c r="G140" s="337" t="str">
        <f t="shared" si="76"/>
        <v>0.005-0.519667381058624i</v>
      </c>
      <c r="H140" s="338" t="str">
        <f t="shared" si="77"/>
        <v>0.190634455625161-0.436449226734294i</v>
      </c>
      <c r="I140" s="338" t="str">
        <f t="shared" si="78"/>
        <v>0.200634455625161-0.436449226734294i</v>
      </c>
      <c r="J140" s="337" t="str">
        <f t="shared" si="79"/>
        <v>0.0368084095106445-0.197184131286691i</v>
      </c>
      <c r="K140" s="338" t="str">
        <f t="shared" si="61"/>
        <v>0.999314799573222-0.0411176882489588i</v>
      </c>
      <c r="L140" s="732"/>
      <c r="M140" s="732" t="str">
        <f t="shared" si="62"/>
        <v>148.909847729004+270.740784175518i</v>
      </c>
      <c r="N140" s="337">
        <f t="shared" si="63"/>
        <v>0</v>
      </c>
      <c r="O140" s="730" t="str">
        <f t="shared" si="64"/>
        <v>87.8755552710265+94.4807649239959i</v>
      </c>
      <c r="P140" s="731" t="str">
        <f t="shared" si="65"/>
        <v>58.8669209869039-19.3971213093116i</v>
      </c>
      <c r="Q140" s="729" t="str">
        <f t="shared" si="66"/>
        <v>57.9881654341936-20.3419289585515i</v>
      </c>
      <c r="R140" s="730"/>
      <c r="S140" s="405" t="str">
        <f t="shared" si="80"/>
        <v>38.8595029501481+3.16815991928657i</v>
      </c>
      <c r="T140" s="405" t="str">
        <f t="shared" si="81"/>
        <v>16.059934162605-2.67409979711046i</v>
      </c>
      <c r="U140" s="405" t="str">
        <f t="shared" si="82"/>
        <v>1.89446801780495-7.51912140578216i</v>
      </c>
      <c r="V140" s="731" t="str">
        <f t="shared" si="67"/>
        <v>6000</v>
      </c>
      <c r="W140" s="733" t="str">
        <f>IMSUM(COMPLEX(1,0),IMDIV(COMPLEX(0,2*PI()*D140),COMPLEX(2*PI()*'Stability Calculations'!EA_Pole1,0)))</f>
        <v>1+49834.6381577381i</v>
      </c>
      <c r="X140" s="734">
        <f t="shared" si="83"/>
        <v>49834.638167771293</v>
      </c>
      <c r="Y140" s="735">
        <f t="shared" si="84"/>
        <v>1.5707762604306803</v>
      </c>
      <c r="Z140" s="340" t="str">
        <f>IMSUM(COMPLEX(1,0),IMDIV(COMPLEX(0,2*PI()*D140),COMPLEX(2*PI()*'Stability Calculations'!EA_Zero1,0)))</f>
        <v>1+493.412258987506i</v>
      </c>
      <c r="AA140" s="734">
        <f t="shared" si="85"/>
        <v>493.41327233785847</v>
      </c>
      <c r="AB140" s="735">
        <f t="shared" si="86"/>
        <v>1.5687696267836715</v>
      </c>
      <c r="AC140" s="733" t="str">
        <f>IMSUM(COMPLEX(1,0),IMDIV(COMPLEX(0,2*PI()*D140),COMPLEX(2*PI()*'Stability Calculations'!EA_Pole2,0)))</f>
        <v>1+4.97036674372122i</v>
      </c>
      <c r="AD140" s="734">
        <f t="shared" si="87"/>
        <v>5.0699650459435999</v>
      </c>
      <c r="AE140" s="735">
        <f t="shared" si="88"/>
        <v>1.3722544945520183</v>
      </c>
      <c r="AF140" s="732" t="str">
        <f t="shared" si="89"/>
        <v>2.28805619916841-11.4916845641377i</v>
      </c>
      <c r="AG140" s="337">
        <f t="shared" si="90"/>
        <v>11.717252890169847</v>
      </c>
      <c r="AH140" s="730">
        <f t="shared" si="91"/>
        <v>-1.3742611281990276</v>
      </c>
      <c r="AI140" s="731" t="str">
        <f t="shared" si="68"/>
        <v>10000</v>
      </c>
      <c r="AJ140" s="733" t="str">
        <f t="shared" si="92"/>
        <v>1+46459.5996238119i</v>
      </c>
      <c r="AK140" s="734">
        <f t="shared" si="93"/>
        <v>46459.599634573933</v>
      </c>
      <c r="AL140" s="735">
        <f t="shared" si="94"/>
        <v>1.5707748027178934</v>
      </c>
      <c r="AM140" s="340" t="str">
        <f t="shared" si="95"/>
        <v>1+78.8472789862034i</v>
      </c>
      <c r="AN140" s="734">
        <f t="shared" si="96"/>
        <v>78.853620104141015</v>
      </c>
      <c r="AO140" s="735">
        <f t="shared" si="97"/>
        <v>1.5581142608988541</v>
      </c>
      <c r="AP140" s="733" t="str">
        <f t="shared" si="98"/>
        <v>1+3.82422299722654i</v>
      </c>
      <c r="AQ140" s="734">
        <f t="shared" si="99"/>
        <v>3.952806791700846</v>
      </c>
      <c r="AR140" s="735">
        <f t="shared" si="100"/>
        <v>1.3150321600907451</v>
      </c>
      <c r="AS140" s="732" t="str">
        <f t="shared" si="101"/>
        <v>0.0444151715125649-29.8043865486917i</v>
      </c>
      <c r="AT140" s="337">
        <f t="shared" si="102"/>
        <v>29.80441964292033</v>
      </c>
      <c r="AU140" s="730">
        <f t="shared" si="103"/>
        <v>-1.5693061052611799</v>
      </c>
      <c r="AV140" s="732" t="str">
        <f t="shared" si="104"/>
        <v>-5.68266000102049-0.187775609390308i</v>
      </c>
      <c r="AW140" s="337">
        <f t="shared" si="105"/>
        <v>15.095772840133293</v>
      </c>
      <c r="AX140" s="730">
        <f t="shared" si="106"/>
        <v>-178.10742914068456</v>
      </c>
      <c r="AY140" s="360">
        <f t="shared" si="107"/>
        <v>1.8925708593154411</v>
      </c>
      <c r="BB140" s="337">
        <f t="shared" si="108"/>
        <v>-10.514386608266097</v>
      </c>
      <c r="BC140" s="730">
        <f t="shared" si="109"/>
        <v>-89.914616595578522</v>
      </c>
      <c r="BD140" s="351"/>
      <c r="BE140" s="337">
        <f t="shared" si="69"/>
        <v>49.798883704902785</v>
      </c>
      <c r="BF140" s="730">
        <f t="shared" si="70"/>
        <v>61.188813644417323</v>
      </c>
      <c r="BI140" s="351"/>
      <c r="BJ140" s="351"/>
      <c r="BL140" s="405">
        <f t="shared" si="71"/>
        <v>0</v>
      </c>
      <c r="BM140" s="405">
        <f t="shared" si="110"/>
        <v>0</v>
      </c>
      <c r="BN140" s="405">
        <f t="shared" si="73"/>
        <v>0</v>
      </c>
      <c r="BO140" s="405">
        <f t="shared" si="74"/>
        <v>0</v>
      </c>
    </row>
    <row r="141" spans="4:67" ht="13.5" thickBot="1" x14ac:dyDescent="0.25">
      <c r="D141" s="345">
        <v>7943.3</v>
      </c>
      <c r="E141" s="340" t="str">
        <f t="shared" ref="E141:E204" si="111">COMPLEX(0,2*PI()*D141*L)</f>
        <v>0.131760356245372i</v>
      </c>
      <c r="F141" s="728" t="str">
        <f t="shared" si="75"/>
        <v>0.005-0.328465175397629i</v>
      </c>
      <c r="G141" s="337" t="str">
        <f t="shared" si="76"/>
        <v>0.005-0.513753223057832i</v>
      </c>
      <c r="H141" s="338" t="str">
        <f t="shared" si="77"/>
        <v>0.187064155843309-0.432983581231053i</v>
      </c>
      <c r="I141" s="338" t="str">
        <f t="shared" si="78"/>
        <v>0.197064155843309-0.432983581231053i</v>
      </c>
      <c r="J141" s="337" t="str">
        <f t="shared" si="79"/>
        <v>0.0360882501816603-0.195058232993324i</v>
      </c>
      <c r="K141" s="338" t="str">
        <f t="shared" ref="K141:K204" si="112">IMSUM(COMPLEX(1,0),COMPLEX(0,2*PI()*D141/(Fsw*PI()*(-2)/PI())),IMPRODUCT(COMPLEX(0,2*PI()*D141/(Fsw*PI())),COMPLEX(0,2*PI()*D141/(Fsw*PI()))))</f>
        <v>0.999298933167889-0.0415910215420997i</v>
      </c>
      <c r="L141" s="732"/>
      <c r="M141" s="732" t="str">
        <f t="shared" ref="M141:M204" si="113">IF(Vin&gt;=Vout,IMDIV(COMPLEX(Vin,0),IMSUM(E141,J141)),IMDIV(IMSUM(COMPLEX(Vout,0),IMPRODUCT(J141,COMPLEX($B$4,0))),IMSUM(E141,IMPRODUCT(J141,COMPLEX((1-$B$11)^2,0)))))</f>
        <v>160.422948043093+281.377787553002i</v>
      </c>
      <c r="N141" s="337">
        <f t="shared" ref="N141:N204" si="114">IF(Vin&gt;=Vout,0,IMSUB(IMPRODUCT(M141,COMPLEX(1-$B$11,0)),COMPLEX($B$4/(1-$B$11),0)))</f>
        <v>0</v>
      </c>
      <c r="O141" s="730" t="str">
        <f t="shared" ref="O141:O204" si="115">IMDIV(IF(Vin&gt;=Vout,M141,N141),IMPRODUCT(I141,IMSUM(IMDIV(COMPLEX(1,0),F141),IMDIV(COMPLEX(1,0),I141))))</f>
        <v>93.2746443380949+97.6788735480425i</v>
      </c>
      <c r="P141" s="731" t="str">
        <f t="shared" ref="P141:P204" si="116">IF(Vin&gt;=Vout,IMDIV(IMPRODUCT(COMPLEX(Vin,0),J141),IMSUM(J141,E141)),IMPRODUCT(N141,J141))</f>
        <v>60.6744375275182-21.1373847840908i</v>
      </c>
      <c r="Q141" s="729" t="str">
        <f t="shared" ref="Q141:Q204" si="117">IF(Vin&gt;=Vout,IMDIV(IMPRODUCT(P141,H141),IMSUM(COMPLEX($B$15,0),H141)),IMPRODUCT(O141,H141))</f>
        <v>59.7416910841373-22.1141735195712i</v>
      </c>
      <c r="R141" s="730"/>
      <c r="S141" s="405" t="str">
        <f t="shared" si="80"/>
        <v>38.8882272477535+3.10288731343686i</v>
      </c>
      <c r="T141" s="405" t="str">
        <f t="shared" si="81"/>
        <v>16.0476658228816-2.6646920993787i</v>
      </c>
      <c r="U141" s="405" t="str">
        <f t="shared" si="82"/>
        <v>1.84817513234579-7.44684419654307i</v>
      </c>
      <c r="V141" s="731" t="str">
        <f t="shared" ref="V141:V204" si="118">COMPLEX(AEA,0)</f>
        <v>6000</v>
      </c>
      <c r="W141" s="733" t="str">
        <f>IMSUM(COMPLEX(1,0),IMDIV(COMPLEX(0,2*PI()*D141),COMPLEX(2*PI()*'Stability Calculations'!EA_Pole1,0)))</f>
        <v>1+50408.3181090248i</v>
      </c>
      <c r="X141" s="734">
        <f t="shared" si="83"/>
        <v>50408.318118943804</v>
      </c>
      <c r="Y141" s="735">
        <f t="shared" si="84"/>
        <v>1.5707764887991573</v>
      </c>
      <c r="Z141" s="340" t="str">
        <f>IMSUM(COMPLEX(1,0),IMDIV(COMPLEX(0,2*PI()*D141),COMPLEX(2*PI()*'Stability Calculations'!EA_Zero1,0)))</f>
        <v>1+499.092258505196i</v>
      </c>
      <c r="AA141" s="734">
        <f t="shared" si="85"/>
        <v>499.09326032297554</v>
      </c>
      <c r="AB141" s="735">
        <f t="shared" si="86"/>
        <v>1.5687926919062081</v>
      </c>
      <c r="AC141" s="733" t="str">
        <f>IMSUM(COMPLEX(1,0),IMDIV(COMPLEX(0,2*PI()*D141),COMPLEX(2*PI()*'Stability Calculations'!EA_Pole2,0)))</f>
        <v>1+5.02758396966735i</v>
      </c>
      <c r="AD141" s="734">
        <f t="shared" si="87"/>
        <v>5.1260706756789949</v>
      </c>
      <c r="AE141" s="735">
        <f t="shared" si="88"/>
        <v>1.374456090382659</v>
      </c>
      <c r="AF141" s="732" t="str">
        <f t="shared" si="89"/>
        <v>2.23824404592088-11.3708093650833i</v>
      </c>
      <c r="AG141" s="337">
        <f t="shared" si="90"/>
        <v>11.589005221595437</v>
      </c>
      <c r="AH141" s="730">
        <f t="shared" si="91"/>
        <v>-1.3764398872756083</v>
      </c>
      <c r="AI141" s="731" t="str">
        <f t="shared" ref="AI141:AI204" si="119">COMPLEX(AIL,0)</f>
        <v>10000</v>
      </c>
      <c r="AJ141" s="733" t="str">
        <f t="shared" si="92"/>
        <v>1+46994.4272423977i</v>
      </c>
      <c r="AK141" s="734">
        <f t="shared" si="93"/>
        <v>46994.427253037262</v>
      </c>
      <c r="AL141" s="735">
        <f t="shared" si="94"/>
        <v>1.5707750476761047</v>
      </c>
      <c r="AM141" s="340" t="str">
        <f t="shared" si="95"/>
        <v>1+79.7549429091303i</v>
      </c>
      <c r="AN141" s="734">
        <f t="shared" si="96"/>
        <v>79.761211866662578</v>
      </c>
      <c r="AO141" s="735">
        <f t="shared" si="97"/>
        <v>1.5582585759724603</v>
      </c>
      <c r="AP141" s="733" t="str">
        <f t="shared" si="98"/>
        <v>1+3.86824619361886i</v>
      </c>
      <c r="AQ141" s="734">
        <f t="shared" si="99"/>
        <v>3.9954134472475809</v>
      </c>
      <c r="AR141" s="735">
        <f t="shared" si="100"/>
        <v>1.3178196597344727</v>
      </c>
      <c r="AS141" s="732" t="str">
        <f t="shared" si="101"/>
        <v>0.0434099783521991-29.4651944269465i</v>
      </c>
      <c r="AT141" s="337">
        <f t="shared" si="102"/>
        <v>29.465226404084856</v>
      </c>
      <c r="AU141" s="730">
        <f t="shared" si="103"/>
        <v>-1.5693230649417398</v>
      </c>
      <c r="AV141" s="732" t="str">
        <f t="shared" si="104"/>
        <v>-5.55215316214665-0.173741726867987i</v>
      </c>
      <c r="AW141" s="337">
        <f t="shared" si="105"/>
        <v>14.893479429566707</v>
      </c>
      <c r="AX141" s="730">
        <f t="shared" si="106"/>
        <v>-178.20764665818561</v>
      </c>
      <c r="AY141" s="360">
        <f t="shared" si="107"/>
        <v>1.7923533418143904</v>
      </c>
      <c r="BB141" s="337">
        <f t="shared" si="108"/>
        <v>-10.613804350723665</v>
      </c>
      <c r="BC141" s="730">
        <f t="shared" si="109"/>
        <v>-89.915588313696489</v>
      </c>
      <c r="BD141" s="351"/>
      <c r="BE141" s="337">
        <f t="shared" ref="BE141:BE204" si="120">20*LOG10(IMABS(M141))</f>
        <v>50.208126710984217</v>
      </c>
      <c r="BF141" s="730">
        <f t="shared" ref="BF141:BF204" si="121">180/PI()*IMARGUMENT(IMPRODUCT(COMPLEX(1,0),M141))</f>
        <v>60.311079950141178</v>
      </c>
      <c r="BI141" s="351"/>
      <c r="BJ141" s="351"/>
      <c r="BL141" s="405">
        <f t="shared" ref="BL141:BL204" si="122">SUM((AW142&lt;0)*(AW141&gt;0))*D141</f>
        <v>0</v>
      </c>
      <c r="BM141" s="405">
        <f t="shared" si="110"/>
        <v>0</v>
      </c>
      <c r="BN141" s="405">
        <f t="shared" ref="BN141:BN204" si="123">SUM((BB142&lt;0)*(BB141&gt;0))*D141</f>
        <v>0</v>
      </c>
      <c r="BO141" s="405">
        <f t="shared" ref="BO141:BO204" si="124">IF(BN141&gt;0,BC141,0)</f>
        <v>0</v>
      </c>
    </row>
    <row r="142" spans="4:67" ht="13.5" thickBot="1" x14ac:dyDescent="0.25">
      <c r="D142" s="345">
        <v>8035.8</v>
      </c>
      <c r="E142" s="340" t="str">
        <f t="shared" si="111"/>
        <v>0.133294710097385i</v>
      </c>
      <c r="F142" s="728" t="str">
        <f t="shared" ref="F142:F205" si="125">IMSUM(COMPLEX($B$8,0),IMDIV(COMPLEX(1,0),COMPLEX(0,2*PI()*D142*$B$6)))</f>
        <v>0.005-0.324684216597724i</v>
      </c>
      <c r="G142" s="337" t="str">
        <f t="shared" ref="G142:G205" si="126">IMSUM(COMPLEX($B$9,0),IMDIV(COMPLEX(1,0),COMPLEX(0,2*PI()*D142*$B$7)))</f>
        <v>0.005-0.507839415704133i</v>
      </c>
      <c r="H142" s="338" t="str">
        <f t="shared" ref="H142:H205" si="127">IMDIV(COMPLEX(1,0),IMSUM(IMDIV(COMPLEX(1,0),COMPLEX($B$5,0)), IMDIV(COMPLEX(1,0),G142)))</f>
        <v>0.183510424595264-0.429476776784135i</v>
      </c>
      <c r="I142" s="338" t="str">
        <f t="shared" ref="I142:I205" si="128">IMSUM(H142,COMPLEX($B$15,0))</f>
        <v>0.193510424595264-0.429476776784135i</v>
      </c>
      <c r="J142" s="337" t="str">
        <f t="shared" ref="J142:J205" si="129">IMDIV(COMPLEX(1,0),IMSUM(IMDIV(COMPLEX(1,0),F142),IMDIV(COMPLEX(1,0),IMSUM(COMPLEX($B$15,0),H142))))</f>
        <v>0.0353755181166318-0.192928551188055i</v>
      </c>
      <c r="K142" s="338" t="str">
        <f t="shared" si="112"/>
        <v>0.999282510204-0.0420753504095281i</v>
      </c>
      <c r="L142" s="732"/>
      <c r="M142" s="732" t="str">
        <f t="shared" si="113"/>
        <v>173.653872542016+292.734862732125i</v>
      </c>
      <c r="N142" s="337">
        <f t="shared" si="114"/>
        <v>0</v>
      </c>
      <c r="O142" s="730" t="str">
        <f t="shared" si="115"/>
        <v>99.4102028995821+101.013839248594i</v>
      </c>
      <c r="P142" s="731" t="str">
        <f t="shared" si="116"/>
        <v>62.6200086632765-23.1471425977762i</v>
      </c>
      <c r="Q142" s="729" t="str">
        <f t="shared" si="117"/>
        <v>61.6259066342806-24.1572809902621i</v>
      </c>
      <c r="R142" s="730"/>
      <c r="S142" s="405" t="str">
        <f t="shared" ref="S142:S205" si="130">IMDIV(IMPRODUCT(COMPLEX($B$34,0),M142),IMSUM(COMPLEX(1,0),IMPRODUCT(M142,COMPLEX($B$29,0),K142,COMPLEX($B$34,0))))</f>
        <v>38.9166834367346+3.03690943723478i</v>
      </c>
      <c r="T142" s="405" t="str">
        <f t="shared" ref="T142:T205" si="131">IMDIV(IMPRODUCT(COMPLEX($B$34,0),O142),IMSUM(COMPLEX(1,0),IMPRODUCT(M142,COMPLEX($B$29,0),K142,COMPLEX($B$34,0))))</f>
        <v>16.0354708539456-2.65538547695377i</v>
      </c>
      <c r="U142" s="405" t="str">
        <f t="shared" ref="U142:U205" si="132">IMDIV(IMPRODUCT(COMPLEX($B$34,0),Q142),IMSUM(COMPLEX(1,0),IMPRODUCT(M142,COMPLEX($B$29,0),K142,COMPLEX($B$34,0))))</f>
        <v>1.80224966923104-7.37415325290839i</v>
      </c>
      <c r="V142" s="731" t="str">
        <f t="shared" si="118"/>
        <v>6000</v>
      </c>
      <c r="W142" s="733" t="str">
        <f>IMSUM(COMPLEX(1,0),IMDIV(COMPLEX(0,2*PI()*D142),COMPLEX(2*PI()*'Stability Calculations'!EA_Pole1,0)))</f>
        <v>1+50995.324696348i</v>
      </c>
      <c r="X142" s="734">
        <f t="shared" ref="X142:X205" si="133">IMABS(W142)</f>
        <v>50995.324706152809</v>
      </c>
      <c r="Y142" s="735">
        <f t="shared" ref="Y142:Y205" si="134">IMARGUMENT(W142)</f>
        <v>1.5707767171540947</v>
      </c>
      <c r="Z142" s="340" t="str">
        <f>IMSUM(COMPLEX(1,0),IMDIV(COMPLEX(0,2*PI()*D142),COMPLEX(2*PI()*'Stability Calculations'!EA_Zero1,0)))</f>
        <v>1+504.904204914337i</v>
      </c>
      <c r="AA142" s="734">
        <f t="shared" ref="AA142:AA205" si="135">IMABS(Z142)</f>
        <v>504.9051952002265</v>
      </c>
      <c r="AB142" s="735">
        <f t="shared" ref="AB142:AB205" si="136">IMARGUMENT(Z142)</f>
        <v>1.5688157556633582</v>
      </c>
      <c r="AC142" s="733" t="str">
        <f>IMSUM(COMPLEX(1,0),IMDIV(COMPLEX(0,2*PI()*D142),COMPLEX(2*PI()*'Stability Calculations'!EA_Pole2,0)))</f>
        <v>1+5.08613035683568i</v>
      </c>
      <c r="AD142" s="734">
        <f t="shared" ref="AD142:AD205" si="137">IMABS(AC142)</f>
        <v>5.1835047995275785</v>
      </c>
      <c r="AE142" s="735">
        <f t="shared" ref="AE142:AE205" si="138">IMARGUMENT(AC142)</f>
        <v>1.3766594853700838</v>
      </c>
      <c r="AF142" s="732" t="str">
        <f t="shared" ref="AF142:AF205" si="139">IMPRODUCT(V142,IMDIV(Z142,IMPRODUCT(W142,AC142)))</f>
        <v>2.18891857637313-11.249618135558i</v>
      </c>
      <c r="AG142" s="337">
        <f t="shared" ref="AG142:AG205" si="140">IMABS(AF142)</f>
        <v>11.460596525917262</v>
      </c>
      <c r="AH142" s="730">
        <f t="shared" ref="AH142:AH205" si="141">IMARGUMENT(AF142)</f>
        <v>-1.3786204468608214</v>
      </c>
      <c r="AI142" s="731" t="str">
        <f t="shared" si="119"/>
        <v>10000</v>
      </c>
      <c r="AJ142" s="733" t="str">
        <f t="shared" ref="AJ142:AJ205" si="142">IMSUM(COMPLEX(1,0),IMDIV(COMPLEX(0,2*PI()*D142),COMPLEX(2*PI()*IL_Pole1,0)))</f>
        <v>1+47541.6789538932i</v>
      </c>
      <c r="AK142" s="734">
        <f t="shared" ref="AK142:AK205" si="143">IMABS(AJ142)</f>
        <v>47541.678964410283</v>
      </c>
      <c r="AL142" s="735">
        <f t="shared" ref="AL142:AL205" si="144">IMARGUMENT(AJ142)</f>
        <v>1.5707752926197927</v>
      </c>
      <c r="AM142" s="340" t="str">
        <f t="shared" ref="AM142:AM205" si="145">IMSUM(COMPLEX(1,0),IMDIV(COMPLEX(0,2*PI()*D142),COMPLEX(2*PI()*IL_Zero1,0)))</f>
        <v>1+80.683691945311i</v>
      </c>
      <c r="AN142" s="734">
        <f t="shared" ref="AN142:AN205" si="146">IMABS(AM142)</f>
        <v>80.689888746520424</v>
      </c>
      <c r="AO142" s="735">
        <f t="shared" ref="AO142:AO205" si="147">IMARGUMENT(AM142)</f>
        <v>1.5584028830119336</v>
      </c>
      <c r="AP142" s="733" t="str">
        <f t="shared" ref="AP142:AP205" si="148">IMSUM(COMPLEX(1,0),IMDIV(COMPLEX(0,2*PI()*D142),COMPLEX(2*PI()*IL_Pole2,0)))</f>
        <v>1+3.91329205275923i</v>
      </c>
      <c r="AQ142" s="734">
        <f t="shared" ref="AQ142:AQ205" si="149">IMABS(AP142)</f>
        <v>4.0390413083043049</v>
      </c>
      <c r="AR142" s="735">
        <f t="shared" ref="AR142:AR205" si="150">IMARGUMENT(AP142)</f>
        <v>1.3206110169438938</v>
      </c>
      <c r="AS142" s="732" t="str">
        <f t="shared" ref="AS142:AS205" si="151">_xlfn.SWITCH(IMONLIM_select,0,COMPLEX(1,0),1,IMPRODUCT(gm_IL,IMDIV(COMPLEX(1,0),IMSUM(COMPLEX(1/20000000,0),COMPLEX(0,2*PI()*D142*CISET),COMPLEX(1/RISET,0)))),2,IMPRODUCT(gm_IL,IMDIV(COMPLEX(1,0),IMSUM(COMPLEX(1/20000000,0),COMPLEX(0,2*PI()*D142*CcIL)))),3,IMPRODUCT(AI142,IMDIV(AM142,IMPRODUCT(AJ142,AP142))))</f>
        <v>0.0424163488972634-29.126022364865i</v>
      </c>
      <c r="AT142" s="337">
        <f t="shared" ref="AT142:AT205" si="152">IMABS(AS142)</f>
        <v>29.12605325040229</v>
      </c>
      <c r="AU142" s="730">
        <f t="shared" ref="AU142:AU205" si="153">IMARGUMENT(AS142)</f>
        <v>-1.5693400236176174</v>
      </c>
      <c r="AV142" s="732" t="str">
        <f t="shared" ref="AV142:AV205" si="154">IMPRODUCT(T142,AS142,COMPLEX($B$15,0),IMPRODUCT(COMPLEX(0.1,0),AF142))</f>
        <v>-5.42319931761218-0.160176784585149i</v>
      </c>
      <c r="AW142" s="337">
        <f t="shared" ref="AW142:AW205" si="155">20*LOG10(IMABS(AV142))</f>
        <v>14.688898217483676</v>
      </c>
      <c r="AX142" s="730">
        <f t="shared" ref="AX142:AX205" si="156">(180/PI())*IMARGUMENT(AV142)</f>
        <v>-178.30823357991599</v>
      </c>
      <c r="AY142" s="360">
        <f t="shared" ref="AY142:AY205" si="157">IF(AX142&gt;0,AX142-180,AX142+180)</f>
        <v>1.6917664200840079</v>
      </c>
      <c r="BB142" s="337">
        <f t="shared" ref="BB142:BB205" si="158">20*LOG10(IMPRODUCT(COMPLEX($B$15,0),IMABS(AS142)))</f>
        <v>-10.714367216268121</v>
      </c>
      <c r="BC142" s="730">
        <f t="shared" ref="BC142:BC205" si="159">(180/PI())*IMARGUMENT(AS142)</f>
        <v>-89.916559974250404</v>
      </c>
      <c r="BD142" s="351"/>
      <c r="BE142" s="337">
        <f t="shared" si="120"/>
        <v>50.638936663042138</v>
      </c>
      <c r="BF142" s="730">
        <f t="shared" si="121"/>
        <v>59.323067728602524</v>
      </c>
      <c r="BI142" s="351"/>
      <c r="BJ142" s="351"/>
      <c r="BL142" s="405">
        <f t="shared" si="122"/>
        <v>0</v>
      </c>
      <c r="BM142" s="405">
        <f t="shared" si="110"/>
        <v>0</v>
      </c>
      <c r="BN142" s="405">
        <f t="shared" si="123"/>
        <v>0</v>
      </c>
      <c r="BO142" s="405">
        <f t="shared" si="124"/>
        <v>0</v>
      </c>
    </row>
    <row r="143" spans="4:67" ht="13.5" thickBot="1" x14ac:dyDescent="0.25">
      <c r="D143" s="345">
        <v>8128.3</v>
      </c>
      <c r="E143" s="340" t="str">
        <f t="shared" si="111"/>
        <v>0.134829063949398i</v>
      </c>
      <c r="F143" s="728" t="str">
        <f t="shared" si="125"/>
        <v>0.005-0.320989312369867i</v>
      </c>
      <c r="G143" s="337" t="str">
        <f t="shared" si="126"/>
        <v>0.005-0.502060206527227i</v>
      </c>
      <c r="H143" s="338" t="str">
        <f t="shared" si="127"/>
        <v>0.180053951222442-0.426009817739163i</v>
      </c>
      <c r="I143" s="338" t="str">
        <f t="shared" si="128"/>
        <v>0.190053951222442-0.426009817739163i</v>
      </c>
      <c r="J143" s="337" t="str">
        <f t="shared" si="129"/>
        <v>0.0346861689163654-0.190843599753446i</v>
      </c>
      <c r="K143" s="338" t="str">
        <f t="shared" si="112"/>
        <v>0.999265897101222-0.0425596792769565i</v>
      </c>
      <c r="L143" s="732"/>
      <c r="M143" s="732" t="str">
        <f t="shared" si="113"/>
        <v>188.583073613354+304.541944497326i</v>
      </c>
      <c r="N143" s="337">
        <f t="shared" si="114"/>
        <v>0</v>
      </c>
      <c r="O143" s="730" t="str">
        <f t="shared" si="115"/>
        <v>106.25234835065+104.381225097554i</v>
      </c>
      <c r="P143" s="731" t="str">
        <f t="shared" si="116"/>
        <v>64.661105309904-25.4264792919889i</v>
      </c>
      <c r="Q143" s="729" t="str">
        <f t="shared" si="117"/>
        <v>63.5985818263974-26.4702915429644i</v>
      </c>
      <c r="R143" s="730"/>
      <c r="S143" s="405" t="str">
        <f t="shared" si="130"/>
        <v>38.9442301269292+2.97173454723335i</v>
      </c>
      <c r="T143" s="405" t="str">
        <f t="shared" si="131"/>
        <v>16.0236239066904-2.64639528578433i</v>
      </c>
      <c r="U143" s="405" t="str">
        <f t="shared" si="132"/>
        <v>1.75772642393926-7.30271502771197i</v>
      </c>
      <c r="V143" s="731" t="str">
        <f t="shared" si="118"/>
        <v>6000</v>
      </c>
      <c r="W143" s="733" t="str">
        <f>IMSUM(COMPLEX(1,0),IMDIV(COMPLEX(0,2*PI()*D143),COMPLEX(2*PI()*'Stability Calculations'!EA_Pole1,0)))</f>
        <v>1+51582.3312836713i</v>
      </c>
      <c r="X143" s="734">
        <f t="shared" si="133"/>
        <v>51582.331293364543</v>
      </c>
      <c r="Y143" s="735">
        <f t="shared" si="134"/>
        <v>1.5707769403116767</v>
      </c>
      <c r="Z143" s="340" t="str">
        <f>IMSUM(COMPLEX(1,0),IMDIV(COMPLEX(0,2*PI()*D143),COMPLEX(2*PI()*'Stability Calculations'!EA_Zero1,0)))</f>
        <v>1+510.716151323478i</v>
      </c>
      <c r="AA143" s="734">
        <f t="shared" si="135"/>
        <v>510.71713033994234</v>
      </c>
      <c r="AB143" s="735">
        <f t="shared" si="136"/>
        <v>1.5688382944917381</v>
      </c>
      <c r="AC143" s="733" t="str">
        <f>IMSUM(COMPLEX(1,0),IMDIV(COMPLEX(0,2*PI()*D143),COMPLEX(2*PI()*'Stability Calculations'!EA_Pole2,0)))</f>
        <v>1+5.14467674400401i</v>
      </c>
      <c r="AD143" s="734">
        <f t="shared" si="137"/>
        <v>5.2409635373942169</v>
      </c>
      <c r="AE143" s="735">
        <f t="shared" si="138"/>
        <v>1.3788145772639837</v>
      </c>
      <c r="AF143" s="732" t="str">
        <f t="shared" si="139"/>
        <v>2.1411857287292-11.1308756502065i</v>
      </c>
      <c r="AG143" s="337">
        <f t="shared" si="140"/>
        <v>11.334949010263502</v>
      </c>
      <c r="AH143" s="730">
        <f t="shared" si="141"/>
        <v>-1.3807532230839223</v>
      </c>
      <c r="AI143" s="731" t="str">
        <f t="shared" si="119"/>
        <v>10000</v>
      </c>
      <c r="AJ143" s="733" t="str">
        <f t="shared" si="142"/>
        <v>1+48088.9306653886i</v>
      </c>
      <c r="AK143" s="734">
        <f t="shared" si="143"/>
        <v>48088.930675786003</v>
      </c>
      <c r="AL143" s="735">
        <f t="shared" si="144"/>
        <v>1.5707755319885655</v>
      </c>
      <c r="AM143" s="340" t="str">
        <f t="shared" si="145"/>
        <v>1+81.6124409814918i</v>
      </c>
      <c r="AN143" s="734">
        <f t="shared" si="146"/>
        <v>81.618567268468297</v>
      </c>
      <c r="AO143" s="735">
        <f t="shared" si="147"/>
        <v>1.5585439061238637</v>
      </c>
      <c r="AP143" s="733" t="str">
        <f t="shared" si="148"/>
        <v>1+3.95833791189961i</v>
      </c>
      <c r="AQ143" s="734">
        <f t="shared" si="149"/>
        <v>4.0826999675192601</v>
      </c>
      <c r="AR143" s="735">
        <f t="shared" si="150"/>
        <v>1.3233426958834833</v>
      </c>
      <c r="AS143" s="732" t="str">
        <f t="shared" si="151"/>
        <v>0.0414564484470518-28.7945698058491i</v>
      </c>
      <c r="AT143" s="337">
        <f t="shared" si="152"/>
        <v>28.794599648910463</v>
      </c>
      <c r="AU143" s="730">
        <f t="shared" si="153"/>
        <v>-1.5693565963150666</v>
      </c>
      <c r="AV143" s="732" t="str">
        <f t="shared" si="154"/>
        <v>-5.29867313791152-0.147364914121794i</v>
      </c>
      <c r="AW143" s="337">
        <f t="shared" si="155"/>
        <v>14.486700515611073</v>
      </c>
      <c r="AX143" s="730">
        <f t="shared" si="156"/>
        <v>-178.40691972069737</v>
      </c>
      <c r="AY143" s="360">
        <f t="shared" si="157"/>
        <v>1.593080279302626</v>
      </c>
      <c r="BB143" s="337">
        <f t="shared" si="158"/>
        <v>-10.813779107729392</v>
      </c>
      <c r="BC143" s="730">
        <f t="shared" si="159"/>
        <v>-89.917509519869398</v>
      </c>
      <c r="BD143" s="351"/>
      <c r="BE143" s="337">
        <f t="shared" si="120"/>
        <v>51.082583780475389</v>
      </c>
      <c r="BF143" s="730">
        <f t="shared" si="121"/>
        <v>58.232753071567416</v>
      </c>
      <c r="BI143" s="351"/>
      <c r="BJ143" s="351"/>
      <c r="BL143" s="405">
        <f t="shared" si="122"/>
        <v>0</v>
      </c>
      <c r="BM143" s="405">
        <f t="shared" si="110"/>
        <v>0</v>
      </c>
      <c r="BN143" s="405">
        <f t="shared" si="123"/>
        <v>0</v>
      </c>
      <c r="BO143" s="405">
        <f t="shared" si="124"/>
        <v>0</v>
      </c>
    </row>
    <row r="144" spans="4:67" ht="13.5" thickBot="1" x14ac:dyDescent="0.25">
      <c r="D144" s="345">
        <v>8222.9500000000007</v>
      </c>
      <c r="E144" s="340" t="str">
        <f t="shared" si="111"/>
        <v>0.136399081161215i</v>
      </c>
      <c r="F144" s="728" t="str">
        <f t="shared" si="125"/>
        <v>0.005-0.317294575272376i</v>
      </c>
      <c r="G144" s="337" t="str">
        <f t="shared" si="126"/>
        <v>0.005-0.496281258759359i</v>
      </c>
      <c r="H144" s="338" t="str">
        <f t="shared" si="127"/>
        <v>0.176614385298485-0.422503510537199i</v>
      </c>
      <c r="I144" s="338" t="str">
        <f t="shared" si="128"/>
        <v>0.186614385298485-0.422503510537199i</v>
      </c>
      <c r="J144" s="337" t="str">
        <f t="shared" si="129"/>
        <v>0.0340039552708339-0.188755080157612i</v>
      </c>
      <c r="K144" s="338" t="str">
        <f t="shared" si="112"/>
        <v>0.999248701036639-0.0430552655180603i</v>
      </c>
      <c r="L144" s="732"/>
      <c r="M144" s="732" t="str">
        <f t="shared" si="113"/>
        <v>205.90375831435+317.030677102055i</v>
      </c>
      <c r="N144" s="337">
        <f t="shared" si="114"/>
        <v>0</v>
      </c>
      <c r="O144" s="730" t="str">
        <f t="shared" si="115"/>
        <v>114.092633411331+107.812989169203i</v>
      </c>
      <c r="P144" s="731" t="str">
        <f t="shared" si="116"/>
        <v>66.8426930566381-28.0850834417182i</v>
      </c>
      <c r="Q144" s="729" t="str">
        <f t="shared" si="117"/>
        <v>65.7017667225248-29.1632133334102i</v>
      </c>
      <c r="R144" s="730"/>
      <c r="S144" s="405" t="str">
        <f t="shared" si="130"/>
        <v>38.9715123075765+2.9058580588761i</v>
      </c>
      <c r="T144" s="405" t="str">
        <f t="shared" si="131"/>
        <v>16.0118473682829-2.63751659846564i</v>
      </c>
      <c r="U144" s="405" t="str">
        <f t="shared" si="132"/>
        <v>1.71356255849057-7.23088509603791i</v>
      </c>
      <c r="V144" s="731" t="str">
        <f t="shared" si="118"/>
        <v>6000</v>
      </c>
      <c r="W144" s="733" t="str">
        <f>IMSUM(COMPLEX(1,0),IMDIV(COMPLEX(0,2*PI()*D144),COMPLEX(2*PI()*'Stability Calculations'!EA_Pole1,0)))</f>
        <v>1+52182.9818078891i</v>
      </c>
      <c r="X144" s="734">
        <f t="shared" si="133"/>
        <v>52182.981817470762</v>
      </c>
      <c r="Y144" s="735">
        <f t="shared" si="134"/>
        <v>1.5707771634591647</v>
      </c>
      <c r="Z144" s="340" t="str">
        <f>IMSUM(COMPLEX(1,0),IMDIV(COMPLEX(0,2*PI()*D144),COMPLEX(2*PI()*'Stability Calculations'!EA_Zero1,0)))</f>
        <v>1+516.663186216724i</v>
      </c>
      <c r="AA144" s="734">
        <f t="shared" si="135"/>
        <v>516.66415396427226</v>
      </c>
      <c r="AB144" s="735">
        <f t="shared" si="136"/>
        <v>1.5688608323026159</v>
      </c>
      <c r="AC144" s="733" t="str">
        <f>IMSUM(COMPLEX(1,0),IMDIV(COMPLEX(0,2*PI()*D144),COMPLEX(2*PI()*'Stability Calculations'!EA_Pole2,0)))</f>
        <v>1+5.20458393909032i</v>
      </c>
      <c r="AD144" s="734">
        <f t="shared" si="137"/>
        <v>5.2997824463874839</v>
      </c>
      <c r="AE144" s="735">
        <f t="shared" si="138"/>
        <v>1.3809713785910587</v>
      </c>
      <c r="AF144" s="732" t="str">
        <f t="shared" si="139"/>
        <v>2.09392215199341-11.0118352003499i</v>
      </c>
      <c r="AG144" s="337">
        <f t="shared" si="140"/>
        <v>11.209149140691894</v>
      </c>
      <c r="AH144" s="730">
        <f t="shared" si="141"/>
        <v>-1.3828877097476067</v>
      </c>
      <c r="AI144" s="731" t="str">
        <f t="shared" si="119"/>
        <v>10000</v>
      </c>
      <c r="AJ144" s="733" t="str">
        <f t="shared" si="142"/>
        <v>1+48648.9022815297i</v>
      </c>
      <c r="AK144" s="734">
        <f t="shared" si="143"/>
        <v>48648.902291807426</v>
      </c>
      <c r="AL144" s="735">
        <f t="shared" si="144"/>
        <v>1.5707757713465111</v>
      </c>
      <c r="AM144" s="340" t="str">
        <f t="shared" si="145"/>
        <v>1+82.5627771574325i</v>
      </c>
      <c r="AN144" s="734">
        <f t="shared" si="146"/>
        <v>82.568832933182833</v>
      </c>
      <c r="AO144" s="735">
        <f t="shared" si="147"/>
        <v>1.5586849233442763</v>
      </c>
      <c r="AP144" s="733" t="str">
        <f t="shared" si="148"/>
        <v>1+4.00443078290109i</v>
      </c>
      <c r="AQ144" s="734">
        <f t="shared" si="149"/>
        <v>4.1274042563148372</v>
      </c>
      <c r="AR144" s="735">
        <f t="shared" si="150"/>
        <v>1.3260780265125038</v>
      </c>
      <c r="AS144" s="732" t="str">
        <f t="shared" si="151"/>
        <v>0.0405075767517761-28.4631321918679i</v>
      </c>
      <c r="AT144" s="337">
        <f t="shared" si="152"/>
        <v>28.463161016224479</v>
      </c>
      <c r="AU144" s="730">
        <f t="shared" si="153"/>
        <v>-1.5693731682636793</v>
      </c>
      <c r="AV144" s="732" t="str">
        <f t="shared" si="154"/>
        <v>-5.17562773911333-0.134985117047182i</v>
      </c>
      <c r="AW144" s="337">
        <f t="shared" si="155"/>
        <v>14.282213765173797</v>
      </c>
      <c r="AX144" s="730">
        <f t="shared" si="156"/>
        <v>-178.50601221742667</v>
      </c>
      <c r="AY144" s="360">
        <f t="shared" si="157"/>
        <v>1.4939877825733276</v>
      </c>
      <c r="BB144" s="337">
        <f t="shared" si="158"/>
        <v>-10.914337407823931</v>
      </c>
      <c r="BC144" s="730">
        <f t="shared" si="159"/>
        <v>-89.918459022583221</v>
      </c>
      <c r="BD144" s="351"/>
      <c r="BE144" s="337">
        <f t="shared" si="120"/>
        <v>51.550468405084082</v>
      </c>
      <c r="BF144" s="730">
        <f t="shared" si="121"/>
        <v>56.997250627175248</v>
      </c>
      <c r="BI144" s="351"/>
      <c r="BJ144" s="351"/>
      <c r="BL144" s="405">
        <f t="shared" si="122"/>
        <v>0</v>
      </c>
      <c r="BM144" s="405">
        <f t="shared" si="110"/>
        <v>0</v>
      </c>
      <c r="BN144" s="405">
        <f t="shared" si="123"/>
        <v>0</v>
      </c>
      <c r="BO144" s="405">
        <f t="shared" si="124"/>
        <v>0</v>
      </c>
    </row>
    <row r="145" spans="4:67" ht="13.5" thickBot="1" x14ac:dyDescent="0.25">
      <c r="D145" s="345">
        <v>8270.2750000000015</v>
      </c>
      <c r="E145" s="340" t="str">
        <f t="shared" si="111"/>
        <v>0.137184089767124i</v>
      </c>
      <c r="F145" s="728" t="str">
        <f t="shared" si="125"/>
        <v>0.005-0.315478920318368i</v>
      </c>
      <c r="G145" s="337" t="str">
        <f t="shared" si="126"/>
        <v>0.005-0.493441388190268i</v>
      </c>
      <c r="H145" s="338" t="str">
        <f t="shared" si="127"/>
        <v>0.174930435846115-0.420765979697836i</v>
      </c>
      <c r="I145" s="338" t="str">
        <f t="shared" si="128"/>
        <v>0.184930435846115-0.420765979697836i</v>
      </c>
      <c r="J145" s="337" t="str">
        <f t="shared" si="129"/>
        <v>0.0336713154082645-0.187727415715212i</v>
      </c>
      <c r="K145" s="338" t="str">
        <f t="shared" si="112"/>
        <v>0.99924002834916-0.0433030586386122i</v>
      </c>
      <c r="L145" s="732"/>
      <c r="M145" s="732" t="str">
        <f t="shared" si="113"/>
        <v>215.444695572483+323.399645664983i</v>
      </c>
      <c r="N145" s="337">
        <f t="shared" si="114"/>
        <v>0</v>
      </c>
      <c r="O145" s="730" t="str">
        <f t="shared" si="115"/>
        <v>118.369847866352+109.502908238176i</v>
      </c>
      <c r="P145" s="731" t="str">
        <f t="shared" si="116"/>
        <v>67.9652860215611-29.5555844572662i</v>
      </c>
      <c r="Q145" s="729" t="str">
        <f t="shared" si="117"/>
        <v>66.7815875428975-30.6506135396479i</v>
      </c>
      <c r="R145" s="730"/>
      <c r="S145" s="405" t="str">
        <f t="shared" si="130"/>
        <v>38.9848213822975+2.87322268701412i</v>
      </c>
      <c r="T145" s="405" t="str">
        <f t="shared" si="131"/>
        <v>16.0060858396342-2.63319659209109i</v>
      </c>
      <c r="U145" s="405" t="str">
        <f t="shared" si="132"/>
        <v>1.69199202830932-7.1954426169643i</v>
      </c>
      <c r="V145" s="731" t="str">
        <f t="shared" si="118"/>
        <v>6000</v>
      </c>
      <c r="W145" s="733" t="str">
        <f>IMSUM(COMPLEX(1,0),IMDIV(COMPLEX(0,2*PI()*D145),COMPLEX(2*PI()*'Stability Calculations'!EA_Pole1,0)))</f>
        <v>1+52483.3070699981i</v>
      </c>
      <c r="X145" s="734">
        <f t="shared" si="133"/>
        <v>52483.307079524951</v>
      </c>
      <c r="Y145" s="735">
        <f t="shared" si="134"/>
        <v>1.5707772731175331</v>
      </c>
      <c r="Z145" s="340" t="str">
        <f>IMSUM(COMPLEX(1,0),IMDIV(COMPLEX(0,2*PI()*D145),COMPLEX(2*PI()*'Stability Calculations'!EA_Zero1,0)))</f>
        <v>1+519.636703663347i</v>
      </c>
      <c r="AA145" s="734">
        <f t="shared" si="135"/>
        <v>519.6376658731632</v>
      </c>
      <c r="AB145" s="735">
        <f t="shared" si="136"/>
        <v>1.568871907756582</v>
      </c>
      <c r="AC145" s="733" t="str">
        <f>IMSUM(COMPLEX(1,0),IMDIV(COMPLEX(0,2*PI()*D145),COMPLEX(2*PI()*'Stability Calculations'!EA_Pole2,0)))</f>
        <v>1+5.23453753663347i</v>
      </c>
      <c r="AD145" s="734">
        <f t="shared" si="137"/>
        <v>5.3292009928717077</v>
      </c>
      <c r="AE145" s="735">
        <f t="shared" si="138"/>
        <v>1.3820319231720333</v>
      </c>
      <c r="AF145" s="732" t="str">
        <f t="shared" si="139"/>
        <v>2.07086799271708-10.9532264038182i</v>
      </c>
      <c r="AG145" s="337">
        <f t="shared" si="140"/>
        <v>11.147271544936917</v>
      </c>
      <c r="AH145" s="730">
        <f t="shared" si="141"/>
        <v>-1.3839372885329853</v>
      </c>
      <c r="AI145" s="731" t="str">
        <f t="shared" si="119"/>
        <v>10000</v>
      </c>
      <c r="AJ145" s="733" t="str">
        <f t="shared" si="142"/>
        <v>1+48928.8880896002i</v>
      </c>
      <c r="AK145" s="734">
        <f t="shared" si="143"/>
        <v>48928.888099819109</v>
      </c>
      <c r="AL145" s="735">
        <f t="shared" si="144"/>
        <v>1.5707758889709666</v>
      </c>
      <c r="AM145" s="340" t="str">
        <f t="shared" si="145"/>
        <v>1+83.0379452454028i</v>
      </c>
      <c r="AN145" s="734">
        <f t="shared" si="146"/>
        <v>83.043966370703373</v>
      </c>
      <c r="AO145" s="735">
        <f t="shared" si="147"/>
        <v>1.5587542217169597</v>
      </c>
      <c r="AP145" s="733" t="str">
        <f t="shared" si="148"/>
        <v>1+4.02747721840183i</v>
      </c>
      <c r="AQ145" s="734">
        <f t="shared" si="149"/>
        <v>4.1497677940754398</v>
      </c>
      <c r="AR145" s="735">
        <f t="shared" si="150"/>
        <v>1.3274235865857791</v>
      </c>
      <c r="AS145" s="732" t="str">
        <f t="shared" si="151"/>
        <v>0.0400453110213332-28.3002582461667i</v>
      </c>
      <c r="AT145" s="337">
        <f t="shared" si="152"/>
        <v>28.300286578525334</v>
      </c>
      <c r="AU145" s="730">
        <f t="shared" si="153"/>
        <v>-1.5693813119937641</v>
      </c>
      <c r="AV145" s="732" t="str">
        <f t="shared" si="154"/>
        <v>-5.11570166241175-0.129057289279215i</v>
      </c>
      <c r="AW145" s="337">
        <f t="shared" si="155"/>
        <v>14.180867313769461</v>
      </c>
      <c r="AX145" s="730">
        <f t="shared" si="156"/>
        <v>-178.5548668819097</v>
      </c>
      <c r="AY145" s="360">
        <f t="shared" si="157"/>
        <v>1.4451331180902969</v>
      </c>
      <c r="BB145" s="337">
        <f t="shared" si="158"/>
        <v>-10.964183332735391</v>
      </c>
      <c r="BC145" s="730">
        <f t="shared" si="159"/>
        <v>-89.918925623946564</v>
      </c>
      <c r="BD145" s="351"/>
      <c r="BE145" s="337">
        <f t="shared" si="120"/>
        <v>51.789877259071311</v>
      </c>
      <c r="BF145" s="730">
        <f t="shared" si="121"/>
        <v>56.328956442311444</v>
      </c>
      <c r="BI145" s="351"/>
      <c r="BJ145" s="351"/>
      <c r="BL145" s="405">
        <f t="shared" si="122"/>
        <v>0</v>
      </c>
      <c r="BM145" s="405">
        <f t="shared" si="110"/>
        <v>0</v>
      </c>
      <c r="BN145" s="405">
        <f t="shared" si="123"/>
        <v>0</v>
      </c>
      <c r="BO145" s="405">
        <f t="shared" si="124"/>
        <v>0</v>
      </c>
    </row>
    <row r="146" spans="4:67" ht="13.5" thickBot="1" x14ac:dyDescent="0.25">
      <c r="D146" s="345">
        <v>8317.6</v>
      </c>
      <c r="E146" s="340" t="str">
        <f t="shared" si="111"/>
        <v>0.137969098373032i</v>
      </c>
      <c r="F146" s="728" t="str">
        <f t="shared" si="125"/>
        <v>0.005-0.313683926581705i</v>
      </c>
      <c r="G146" s="337" t="str">
        <f t="shared" si="126"/>
        <v>0.005-0.490633833884205i</v>
      </c>
      <c r="H146" s="338" t="str">
        <f t="shared" si="127"/>
        <v>0.173269825248283-0.419038847940877i</v>
      </c>
      <c r="I146" s="338" t="str">
        <f t="shared" si="128"/>
        <v>0.183269825248283-0.419038847940877i</v>
      </c>
      <c r="J146" s="337" t="str">
        <f t="shared" si="129"/>
        <v>0.0333441563354192-0.186710588682857i</v>
      </c>
      <c r="K146" s="338" t="str">
        <f t="shared" si="112"/>
        <v>0.999231305891556-0.0435508517591641i</v>
      </c>
      <c r="L146" s="732"/>
      <c r="M146" s="732" t="str">
        <f t="shared" si="113"/>
        <v>225.636495737466+329.828680021161i</v>
      </c>
      <c r="N146" s="337">
        <f t="shared" si="114"/>
        <v>0</v>
      </c>
      <c r="O146" s="730" t="str">
        <f t="shared" si="115"/>
        <v>122.908241744802+111.161038750554i</v>
      </c>
      <c r="P146" s="731" t="str">
        <f t="shared" si="116"/>
        <v>69.1061656000869-31.1308638769487i</v>
      </c>
      <c r="Q146" s="729" t="str">
        <f t="shared" si="117"/>
        <v>67.877083182639-32.2424742644543i</v>
      </c>
      <c r="R146" s="730"/>
      <c r="S146" s="405" t="str">
        <f t="shared" si="130"/>
        <v>38.9979149130136+2.84078625272532i</v>
      </c>
      <c r="T146" s="405" t="str">
        <f t="shared" si="131"/>
        <v>16.00040651468-2.62895496700805i</v>
      </c>
      <c r="U146" s="405" t="str">
        <f t="shared" si="132"/>
        <v>1.6707533800366-7.16031048021629i</v>
      </c>
      <c r="V146" s="731" t="str">
        <f t="shared" si="118"/>
        <v>6000</v>
      </c>
      <c r="W146" s="733" t="str">
        <f>IMSUM(COMPLEX(1,0),IMDIV(COMPLEX(0,2*PI()*D146),COMPLEX(2*PI()*'Stability Calculations'!EA_Pole1,0)))</f>
        <v>1+52783.6323321069i</v>
      </c>
      <c r="X146" s="734">
        <f t="shared" si="133"/>
        <v>52783.632341579534</v>
      </c>
      <c r="Y146" s="735">
        <f t="shared" si="134"/>
        <v>1.5707773815280459</v>
      </c>
      <c r="Z146" s="340" t="str">
        <f>IMSUM(COMPLEX(1,0),IMDIV(COMPLEX(0,2*PI()*D146),COMPLEX(2*PI()*'Stability Calculations'!EA_Zero1,0)))</f>
        <v>1+522.610221109969i</v>
      </c>
      <c r="AA146" s="734">
        <f t="shared" si="135"/>
        <v>522.61117784506928</v>
      </c>
      <c r="AB146" s="735">
        <f t="shared" si="136"/>
        <v>1.5688828571780558</v>
      </c>
      <c r="AC146" s="733" t="str">
        <f>IMSUM(COMPLEX(1,0),IMDIV(COMPLEX(0,2*PI()*D146),COMPLEX(2*PI()*'Stability Calculations'!EA_Pole2,0)))</f>
        <v>1+5.26449113417661i</v>
      </c>
      <c r="AD146" s="734">
        <f t="shared" si="137"/>
        <v>5.3586254675825344</v>
      </c>
      <c r="AE146" s="735">
        <f t="shared" si="138"/>
        <v>1.3830808219175883</v>
      </c>
      <c r="AF146" s="732" t="str">
        <f t="shared" si="139"/>
        <v>2.04818795688055-10.8952134798051i</v>
      </c>
      <c r="AG146" s="337">
        <f t="shared" si="140"/>
        <v>11.086061098390054</v>
      </c>
      <c r="AH146" s="730">
        <f t="shared" si="141"/>
        <v>-1.3849753462675787</v>
      </c>
      <c r="AI146" s="731" t="str">
        <f t="shared" si="119"/>
        <v>10000</v>
      </c>
      <c r="AJ146" s="733" t="str">
        <f t="shared" si="142"/>
        <v>1+49208.8738976707i</v>
      </c>
      <c r="AK146" s="734">
        <f t="shared" si="143"/>
        <v>49208.873907831468</v>
      </c>
      <c r="AL146" s="735">
        <f t="shared" si="144"/>
        <v>1.5707760052569166</v>
      </c>
      <c r="AM146" s="340" t="str">
        <f t="shared" si="145"/>
        <v>1+83.513113333373i</v>
      </c>
      <c r="AN146" s="734">
        <f t="shared" si="146"/>
        <v>83.519100202485433</v>
      </c>
      <c r="AO146" s="735">
        <f t="shared" si="147"/>
        <v>1.5588227316235876</v>
      </c>
      <c r="AP146" s="733" t="str">
        <f t="shared" si="148"/>
        <v>1+4.05052365390256i</v>
      </c>
      <c r="AQ146" s="734">
        <f t="shared" si="149"/>
        <v>4.1721387645695751</v>
      </c>
      <c r="AR146" s="735">
        <f t="shared" si="150"/>
        <v>1.3287547192856257</v>
      </c>
      <c r="AS146" s="732" t="str">
        <f t="shared" si="151"/>
        <v>0.0395909133196342-28.1392377109307i</v>
      </c>
      <c r="AT146" s="337">
        <f t="shared" si="152"/>
        <v>28.139265562425081</v>
      </c>
      <c r="AU146" s="730">
        <f t="shared" si="153"/>
        <v>-1.5693893630525837</v>
      </c>
      <c r="AV146" s="732" t="str">
        <f t="shared" si="154"/>
        <v>-5.05680756707599-0.123296667595549i</v>
      </c>
      <c r="AW146" s="337">
        <f t="shared" si="155"/>
        <v>14.080109645527951</v>
      </c>
      <c r="AX146" s="730">
        <f t="shared" si="156"/>
        <v>-178.60327307913371</v>
      </c>
      <c r="AY146" s="360">
        <f t="shared" si="157"/>
        <v>1.3967269208662856</v>
      </c>
      <c r="BB146" s="337">
        <f t="shared" si="158"/>
        <v>-11.013744837633507</v>
      </c>
      <c r="BC146" s="730">
        <f t="shared" si="159"/>
        <v>-89.919386915637546</v>
      </c>
      <c r="BD146" s="351"/>
      <c r="BE146" s="337">
        <f t="shared" si="120"/>
        <v>52.033016157412902</v>
      </c>
      <c r="BF146" s="730">
        <f t="shared" si="121"/>
        <v>55.623886568425284</v>
      </c>
      <c r="BI146" s="351"/>
      <c r="BJ146" s="351"/>
      <c r="BL146" s="405">
        <f t="shared" si="122"/>
        <v>0</v>
      </c>
      <c r="BM146" s="405">
        <f t="shared" si="110"/>
        <v>0</v>
      </c>
      <c r="BN146" s="405">
        <f t="shared" si="123"/>
        <v>0</v>
      </c>
      <c r="BO146" s="405">
        <f t="shared" si="124"/>
        <v>0</v>
      </c>
    </row>
    <row r="147" spans="4:67" ht="13.5" thickBot="1" x14ac:dyDescent="0.25">
      <c r="D147" s="345">
        <v>8366.0499999999993</v>
      </c>
      <c r="E147" s="340" t="str">
        <f t="shared" si="111"/>
        <v>0.138772768039303i</v>
      </c>
      <c r="F147" s="728" t="str">
        <f t="shared" si="125"/>
        <v>0.005-0.311867300307312i</v>
      </c>
      <c r="G147" s="337" t="str">
        <f t="shared" si="126"/>
        <v>0.005-0.487792444070412i</v>
      </c>
      <c r="H147" s="338" t="str">
        <f t="shared" si="127"/>
        <v>0.171593496474087-0.417281415487573i</v>
      </c>
      <c r="I147" s="338" t="str">
        <f t="shared" si="128"/>
        <v>0.181593496474087-0.417281415487573i</v>
      </c>
      <c r="J147" s="337" t="str">
        <f t="shared" si="129"/>
        <v>0.0330147738876777-0.185680644011779i</v>
      </c>
      <c r="K147" s="338" t="str">
        <f t="shared" si="112"/>
        <v>0.999222324526639-0.0438045353659415i</v>
      </c>
      <c r="L147" s="732"/>
      <c r="M147" s="732" t="str">
        <f t="shared" si="113"/>
        <v>236.799973072028+336.448882095605i</v>
      </c>
      <c r="N147" s="337">
        <f t="shared" si="114"/>
        <v>0</v>
      </c>
      <c r="O147" s="730" t="str">
        <f t="shared" si="115"/>
        <v>127.844740222431+112.811564431452i</v>
      </c>
      <c r="P147" s="731" t="str">
        <f t="shared" si="116"/>
        <v>70.2899426721361-32.8613877348377i</v>
      </c>
      <c r="Q147" s="729" t="str">
        <f t="shared" si="117"/>
        <v>69.0114952699118-33.9895033791522i</v>
      </c>
      <c r="R147" s="730"/>
      <c r="S147" s="405" t="str">
        <f t="shared" si="130"/>
        <v>39.0111008146038+2.80778253056579i</v>
      </c>
      <c r="T147" s="405" t="str">
        <f t="shared" si="131"/>
        <v>15.9946756008502-2.62469279879959i</v>
      </c>
      <c r="U147" s="405" t="str">
        <f t="shared" si="132"/>
        <v>1.64934678501552-7.12466108950366i</v>
      </c>
      <c r="V147" s="731" t="str">
        <f t="shared" si="118"/>
        <v>6000</v>
      </c>
      <c r="W147" s="733" t="str">
        <f>IMSUM(COMPLEX(1,0),IMDIV(COMPLEX(0,2*PI()*D147),COMPLEX(2*PI()*'Stability Calculations'!EA_Pole1,0)))</f>
        <v>1+53091.0968635211i</v>
      </c>
      <c r="X147" s="734">
        <f t="shared" si="133"/>
        <v>53091.096872938877</v>
      </c>
      <c r="Y147" s="735">
        <f t="shared" si="134"/>
        <v>1.5707774912450783</v>
      </c>
      <c r="Z147" s="340" t="str">
        <f>IMSUM(COMPLEX(1,0),IMDIV(COMPLEX(0,2*PI()*D147),COMPLEX(2*PI()*'Stability Calculations'!EA_Zero1,0)))</f>
        <v>1+525.654424391298i</v>
      </c>
      <c r="AA147" s="734">
        <f t="shared" si="135"/>
        <v>525.65537558570327</v>
      </c>
      <c r="AB147" s="735">
        <f t="shared" si="136"/>
        <v>1.568893938557991</v>
      </c>
      <c r="AC147" s="733" t="str">
        <f>IMSUM(COMPLEX(1,0),IMDIV(COMPLEX(0,2*PI()*D147),COMPLEX(2*PI()*'Stability Calculations'!EA_Pole2,0)))</f>
        <v>1+5.29515678237452i</v>
      </c>
      <c r="AD147" s="734">
        <f t="shared" si="137"/>
        <v>5.3887554546413483</v>
      </c>
      <c r="AE147" s="735">
        <f t="shared" si="138"/>
        <v>1.3841427872790553</v>
      </c>
      <c r="AF147" s="732" t="str">
        <f t="shared" si="139"/>
        <v>2.02534804308092-10.8364297823187i</v>
      </c>
      <c r="AG147" s="337">
        <f t="shared" si="140"/>
        <v>11.024075703782852</v>
      </c>
      <c r="AH147" s="730">
        <f t="shared" si="141"/>
        <v>-1.3860263399661419</v>
      </c>
      <c r="AI147" s="731" t="str">
        <f t="shared" si="119"/>
        <v>10000</v>
      </c>
      <c r="AJ147" s="733" t="str">
        <f t="shared" si="142"/>
        <v>1+49495.5154697999i</v>
      </c>
      <c r="AK147" s="734">
        <f t="shared" si="143"/>
        <v>49495.51547990182</v>
      </c>
      <c r="AL147" s="735">
        <f t="shared" si="144"/>
        <v>1.5707761229442978</v>
      </c>
      <c r="AM147" s="340" t="str">
        <f t="shared" si="145"/>
        <v>1+83.9995770177294i</v>
      </c>
      <c r="AN147" s="734">
        <f t="shared" si="146"/>
        <v>84.005529217769066</v>
      </c>
      <c r="AO147" s="735">
        <f t="shared" si="147"/>
        <v>1.5588920672983126</v>
      </c>
      <c r="AP147" s="733" t="str">
        <f t="shared" si="148"/>
        <v>1+4.0741179444469i</v>
      </c>
      <c r="AQ147" s="734">
        <f t="shared" si="149"/>
        <v>4.1950491088024506</v>
      </c>
      <c r="AR147" s="735">
        <f t="shared" si="150"/>
        <v>1.3301027856131695</v>
      </c>
      <c r="AS147" s="732" t="str">
        <f t="shared" si="151"/>
        <v>0.0391336792209266-27.9762766102582i</v>
      </c>
      <c r="AT147" s="337">
        <f t="shared" si="152"/>
        <v>27.976303980664234</v>
      </c>
      <c r="AU147" s="730">
        <f t="shared" si="153"/>
        <v>-1.5693975111396898</v>
      </c>
      <c r="AV147" s="732" t="str">
        <f t="shared" si="154"/>
        <v>-4.99755802533325-0.117566716945815i</v>
      </c>
      <c r="AW147" s="337">
        <f t="shared" si="155"/>
        <v>13.977559703942614</v>
      </c>
      <c r="AX147" s="730">
        <f t="shared" si="156"/>
        <v>-178.65237493011034</v>
      </c>
      <c r="AY147" s="360">
        <f t="shared" si="157"/>
        <v>1.3476250698896592</v>
      </c>
      <c r="BB147" s="337">
        <f t="shared" si="158"/>
        <v>-11.064193235646352</v>
      </c>
      <c r="BC147" s="730">
        <f t="shared" si="159"/>
        <v>-89.919853766639832</v>
      </c>
      <c r="BD147" s="351"/>
      <c r="BE147" s="337">
        <f t="shared" si="120"/>
        <v>52.285853244212646</v>
      </c>
      <c r="BF147" s="730">
        <f t="shared" si="121"/>
        <v>54.86129141321581</v>
      </c>
      <c r="BI147" s="351"/>
      <c r="BJ147" s="351"/>
      <c r="BL147" s="405">
        <f t="shared" si="122"/>
        <v>0</v>
      </c>
      <c r="BM147" s="405">
        <f t="shared" si="110"/>
        <v>0</v>
      </c>
      <c r="BN147" s="405">
        <f t="shared" si="123"/>
        <v>0</v>
      </c>
      <c r="BO147" s="405">
        <f t="shared" si="124"/>
        <v>0</v>
      </c>
    </row>
    <row r="148" spans="4:67" ht="13.5" thickBot="1" x14ac:dyDescent="0.25">
      <c r="D148" s="345">
        <v>8414.5</v>
      </c>
      <c r="E148" s="340" t="str">
        <f t="shared" si="111"/>
        <v>0.139576437705573i</v>
      </c>
      <c r="F148" s="728" t="str">
        <f t="shared" si="125"/>
        <v>0.005-0.310071594002732i</v>
      </c>
      <c r="G148" s="337" t="str">
        <f t="shared" si="126"/>
        <v>0.005-0.484983775235043i</v>
      </c>
      <c r="H148" s="338" t="str">
        <f t="shared" si="127"/>
        <v>0.169940784406009-0.4155348458513i</v>
      </c>
      <c r="I148" s="338" t="str">
        <f t="shared" si="128"/>
        <v>0.179940784406009-0.4155348458513i</v>
      </c>
      <c r="J148" s="337" t="str">
        <f t="shared" si="129"/>
        <v>0.032690887443855-0.184661710676813i</v>
      </c>
      <c r="K148" s="338" t="str">
        <f t="shared" si="112"/>
        <v>0.999213290997222-0.0440582189727189i</v>
      </c>
      <c r="L148" s="732"/>
      <c r="M148" s="732" t="str">
        <f t="shared" si="113"/>
        <v>248.762147329733+343.077542221358i</v>
      </c>
      <c r="N148" s="337">
        <f t="shared" si="114"/>
        <v>0</v>
      </c>
      <c r="O148" s="730" t="str">
        <f t="shared" si="115"/>
        <v>133.09616667963+114.397415862653i</v>
      </c>
      <c r="P148" s="731" t="str">
        <f t="shared" si="116"/>
        <v>71.4855412000405-34.721334360273i</v>
      </c>
      <c r="Q148" s="729" t="str">
        <f t="shared" si="117"/>
        <v>70.1545795332442-35.8653085188995i</v>
      </c>
      <c r="R148" s="730"/>
      <c r="S148" s="405" t="str">
        <f t="shared" si="130"/>
        <v>39.0240696422532+2.77498266138503i</v>
      </c>
      <c r="T148" s="405" t="str">
        <f t="shared" si="131"/>
        <v>15.9890273551352-2.6205109425069i</v>
      </c>
      <c r="U148" s="405" t="str">
        <f t="shared" si="132"/>
        <v>1.62827424007458-7.08932970244252i</v>
      </c>
      <c r="V148" s="731" t="str">
        <f t="shared" si="118"/>
        <v>6000</v>
      </c>
      <c r="W148" s="733" t="str">
        <f>IMSUM(COMPLEX(1,0),IMDIV(COMPLEX(0,2*PI()*D148),COMPLEX(2*PI()*'Stability Calculations'!EA_Pole1,0)))</f>
        <v>1+53398.5613949352i</v>
      </c>
      <c r="X148" s="734">
        <f t="shared" si="133"/>
        <v>53398.561404298751</v>
      </c>
      <c r="Y148" s="735">
        <f t="shared" si="134"/>
        <v>1.5707775996986273</v>
      </c>
      <c r="Z148" s="340" t="str">
        <f>IMSUM(COMPLEX(1,0),IMDIV(COMPLEX(0,2*PI()*D148),COMPLEX(2*PI()*'Stability Calculations'!EA_Zero1,0)))</f>
        <v>1+528.698627672626i</v>
      </c>
      <c r="AA148" s="734">
        <f t="shared" si="135"/>
        <v>528.69957339014184</v>
      </c>
      <c r="AB148" s="735">
        <f t="shared" si="136"/>
        <v>1.5689048923270341</v>
      </c>
      <c r="AC148" s="733" t="str">
        <f>IMSUM(COMPLEX(1,0),IMDIV(COMPLEX(0,2*PI()*D148),COMPLEX(2*PI()*'Stability Calculations'!EA_Pole2,0)))</f>
        <v>1+5.32582243057242i</v>
      </c>
      <c r="AD148" s="734">
        <f t="shared" si="137"/>
        <v>5.4188914513937547</v>
      </c>
      <c r="AE148" s="735">
        <f t="shared" si="138"/>
        <v>1.3851929420310061</v>
      </c>
      <c r="AF148" s="732" t="str">
        <f t="shared" si="139"/>
        <v>2.00288360884112-10.778252526613i</v>
      </c>
      <c r="AG148" s="337">
        <f t="shared" si="140"/>
        <v>10.962767455255264</v>
      </c>
      <c r="AH148" s="730">
        <f t="shared" si="141"/>
        <v>-1.3870656494025997</v>
      </c>
      <c r="AI148" s="731" t="str">
        <f t="shared" si="119"/>
        <v>10000</v>
      </c>
      <c r="AJ148" s="733" t="str">
        <f t="shared" si="142"/>
        <v>1+49782.1570419291i</v>
      </c>
      <c r="AK148" s="734">
        <f t="shared" si="143"/>
        <v>49782.157051972863</v>
      </c>
      <c r="AL148" s="735">
        <f t="shared" si="144"/>
        <v>1.5707762392764104</v>
      </c>
      <c r="AM148" s="340" t="str">
        <f t="shared" si="145"/>
        <v>1+84.4860407020856i</v>
      </c>
      <c r="AN148" s="734">
        <f t="shared" si="146"/>
        <v>84.49195863225367</v>
      </c>
      <c r="AO148" s="735">
        <f t="shared" si="147"/>
        <v>1.5589606046272917</v>
      </c>
      <c r="AP148" s="733" t="str">
        <f t="shared" si="148"/>
        <v>1+4.09771223499123i</v>
      </c>
      <c r="AQ148" s="734">
        <f t="shared" si="149"/>
        <v>4.2179669938012578</v>
      </c>
      <c r="AR148" s="735">
        <f t="shared" si="150"/>
        <v>1.3314362051856323</v>
      </c>
      <c r="AS148" s="732" t="str">
        <f t="shared" si="151"/>
        <v>0.0386843204905682-27.8151921319036i</v>
      </c>
      <c r="AT148" s="337">
        <f t="shared" si="152"/>
        <v>27.815219032237799</v>
      </c>
      <c r="AU148" s="730">
        <f t="shared" si="153"/>
        <v>-1.5694055653949457</v>
      </c>
      <c r="AV148" s="732" t="str">
        <f t="shared" si="154"/>
        <v>-4.93934105270718-0.112000846365119i</v>
      </c>
      <c r="AW148" s="337">
        <f t="shared" si="155"/>
        <v>13.87561271614979</v>
      </c>
      <c r="AX148" s="730">
        <f t="shared" si="156"/>
        <v>-178.7010258585068</v>
      </c>
      <c r="AY148" s="360">
        <f t="shared" si="157"/>
        <v>1.2989741414932041</v>
      </c>
      <c r="BB148" s="337">
        <f t="shared" si="158"/>
        <v>-11.114350316751251</v>
      </c>
      <c r="BC148" s="730">
        <f t="shared" si="159"/>
        <v>-89.920315241473105</v>
      </c>
      <c r="BD148" s="351"/>
      <c r="BE148" s="337">
        <f t="shared" si="120"/>
        <v>52.542695896591454</v>
      </c>
      <c r="BF148" s="730">
        <f t="shared" si="121"/>
        <v>54.054502550050863</v>
      </c>
      <c r="BI148" s="351"/>
      <c r="BJ148" s="351"/>
      <c r="BL148" s="405">
        <f t="shared" si="122"/>
        <v>0</v>
      </c>
      <c r="BM148" s="405">
        <f t="shared" si="110"/>
        <v>0</v>
      </c>
      <c r="BN148" s="405">
        <f t="shared" si="123"/>
        <v>0</v>
      </c>
      <c r="BO148" s="405">
        <f t="shared" si="124"/>
        <v>0</v>
      </c>
    </row>
    <row r="149" spans="4:67" ht="13.5" thickBot="1" x14ac:dyDescent="0.25">
      <c r="D149" s="345">
        <v>8462.9500000000007</v>
      </c>
      <c r="E149" s="340" t="str">
        <f t="shared" si="111"/>
        <v>0.140380107371844i</v>
      </c>
      <c r="F149" s="728" t="str">
        <f t="shared" si="125"/>
        <v>0.005-0.308296448370366i</v>
      </c>
      <c r="G149" s="337" t="str">
        <f t="shared" si="126"/>
        <v>0.005-0.482207265399804i</v>
      </c>
      <c r="H149" s="338" t="str">
        <f t="shared" si="127"/>
        <v>0.168311274391876-0.413799116133123i</v>
      </c>
      <c r="I149" s="338" t="str">
        <f t="shared" si="128"/>
        <v>0.178311274391876-0.413799116133123i</v>
      </c>
      <c r="J149" s="337" t="str">
        <f t="shared" si="129"/>
        <v>0.0323723763823281-0.183653618107463i</v>
      </c>
      <c r="K149" s="338" t="str">
        <f t="shared" si="112"/>
        <v>0.999204205303306-0.0443119025794962i</v>
      </c>
      <c r="L149" s="732"/>
      <c r="M149" s="732" t="str">
        <f t="shared" si="113"/>
        <v>261.588916127385+349.676855250478i</v>
      </c>
      <c r="N149" s="337">
        <f t="shared" si="114"/>
        <v>0</v>
      </c>
      <c r="O149" s="730" t="str">
        <f t="shared" si="115"/>
        <v>138.685217282932+115.898112834655i</v>
      </c>
      <c r="P149" s="731" t="str">
        <f t="shared" si="116"/>
        <v>72.6876744855109-36.7218801332466i</v>
      </c>
      <c r="Q149" s="729" t="str">
        <f t="shared" si="117"/>
        <v>71.3008223126816-37.8808612615931i</v>
      </c>
      <c r="R149" s="730"/>
      <c r="S149" s="405" t="str">
        <f t="shared" si="130"/>
        <v>39.0368257059568+2.74238432610911i</v>
      </c>
      <c r="T149" s="405" t="str">
        <f t="shared" si="131"/>
        <v>15.9834600757471-2.61640848139007i</v>
      </c>
      <c r="U149" s="405" t="str">
        <f t="shared" si="132"/>
        <v>1.60752901749824-7.05431269792568i</v>
      </c>
      <c r="V149" s="731" t="str">
        <f t="shared" si="118"/>
        <v>6000</v>
      </c>
      <c r="W149" s="733" t="str">
        <f>IMSUM(COMPLEX(1,0),IMDIV(COMPLEX(0,2*PI()*D149),COMPLEX(2*PI()*'Stability Calculations'!EA_Pole1,0)))</f>
        <v>1+53706.0259263495i</v>
      </c>
      <c r="X149" s="734">
        <f t="shared" si="133"/>
        <v>53706.02593565944</v>
      </c>
      <c r="Y149" s="735">
        <f t="shared" si="134"/>
        <v>1.5707777069103932</v>
      </c>
      <c r="Z149" s="340" t="str">
        <f>IMSUM(COMPLEX(1,0),IMDIV(COMPLEX(0,2*PI()*D149),COMPLEX(2*PI()*'Stability Calculations'!EA_Zero1,0)))</f>
        <v>1+531.742830953955i</v>
      </c>
      <c r="AA149" s="734">
        <f t="shared" si="135"/>
        <v>531.7437712572912</v>
      </c>
      <c r="AB149" s="735">
        <f t="shared" si="136"/>
        <v>1.5689157206768742</v>
      </c>
      <c r="AC149" s="733" t="str">
        <f>IMSUM(COMPLEX(1,0),IMDIV(COMPLEX(0,2*PI()*D149),COMPLEX(2*PI()*'Stability Calculations'!EA_Pole2,0)))</f>
        <v>1+5.35648807877032i</v>
      </c>
      <c r="AD149" s="734">
        <f t="shared" si="137"/>
        <v>5.4490333581295456</v>
      </c>
      <c r="AE149" s="735">
        <f t="shared" si="138"/>
        <v>1.3862314798326627</v>
      </c>
      <c r="AF149" s="732" t="str">
        <f t="shared" si="139"/>
        <v>1.9807865668113-10.7206728069552i</v>
      </c>
      <c r="AG149" s="337">
        <f t="shared" si="140"/>
        <v>10.902125520147381</v>
      </c>
      <c r="AH149" s="730">
        <f t="shared" si="141"/>
        <v>-1.3880934660661821</v>
      </c>
      <c r="AI149" s="731" t="str">
        <f t="shared" si="119"/>
        <v>10000</v>
      </c>
      <c r="AJ149" s="733" t="str">
        <f t="shared" si="142"/>
        <v>1+50068.7986140584i</v>
      </c>
      <c r="AK149" s="734">
        <f t="shared" si="143"/>
        <v>50068.798624044663</v>
      </c>
      <c r="AL149" s="735">
        <f t="shared" si="144"/>
        <v>1.570776354276531</v>
      </c>
      <c r="AM149" s="340" t="str">
        <f t="shared" si="145"/>
        <v>1+84.972504386442i</v>
      </c>
      <c r="AN149" s="734">
        <f t="shared" si="146"/>
        <v>84.978388439084341</v>
      </c>
      <c r="AO149" s="735">
        <f t="shared" si="147"/>
        <v>1.5590283573194494</v>
      </c>
      <c r="AP149" s="733" t="str">
        <f t="shared" si="148"/>
        <v>1+4.12130652553557i</v>
      </c>
      <c r="AQ149" s="734">
        <f t="shared" si="149"/>
        <v>4.2408922973145726</v>
      </c>
      <c r="AR149" s="735">
        <f t="shared" si="150"/>
        <v>1.3327552107536402</v>
      </c>
      <c r="AS149" s="732" t="str">
        <f t="shared" si="151"/>
        <v>0.0382426573018757-27.6559520453857i</v>
      </c>
      <c r="AT149" s="337">
        <f t="shared" si="152"/>
        <v>27.655978486351028</v>
      </c>
      <c r="AU149" s="730">
        <f t="shared" si="153"/>
        <v>-1.5694135274298961</v>
      </c>
      <c r="AV149" s="732" t="str">
        <f t="shared" si="154"/>
        <v>-4.88213288249958-0.10659372103554i</v>
      </c>
      <c r="AW149" s="337">
        <f t="shared" si="155"/>
        <v>13.774261701735018</v>
      </c>
      <c r="AX149" s="730">
        <f t="shared" si="156"/>
        <v>-178.74923515937027</v>
      </c>
      <c r="AY149" s="360">
        <f t="shared" si="157"/>
        <v>1.2507648406297278</v>
      </c>
      <c r="BB149" s="337">
        <f t="shared" si="158"/>
        <v>-11.164219426083806</v>
      </c>
      <c r="BC149" s="730">
        <f t="shared" si="159"/>
        <v>-89.920771432472108</v>
      </c>
      <c r="BD149" s="351"/>
      <c r="BE149" s="337">
        <f t="shared" si="120"/>
        <v>52.803567602331867</v>
      </c>
      <c r="BF149" s="730">
        <f t="shared" si="121"/>
        <v>53.200293463926513</v>
      </c>
      <c r="BI149" s="351"/>
      <c r="BJ149" s="351"/>
      <c r="BL149" s="405">
        <f t="shared" si="122"/>
        <v>0</v>
      </c>
      <c r="BM149" s="405">
        <f t="shared" si="110"/>
        <v>0</v>
      </c>
      <c r="BN149" s="405">
        <f t="shared" si="123"/>
        <v>0</v>
      </c>
      <c r="BO149" s="405">
        <f t="shared" si="124"/>
        <v>0</v>
      </c>
    </row>
    <row r="150" spans="4:67" ht="13.5" thickBot="1" x14ac:dyDescent="0.25">
      <c r="D150" s="345">
        <v>8511.4</v>
      </c>
      <c r="E150" s="340" t="str">
        <f t="shared" si="111"/>
        <v>0.141183777038115i</v>
      </c>
      <c r="F150" s="728" t="str">
        <f t="shared" si="125"/>
        <v>0.005-0.306541512293628i</v>
      </c>
      <c r="G150" s="337" t="str">
        <f t="shared" si="126"/>
        <v>0.005-0.479462365382343i</v>
      </c>
      <c r="H150" s="338" t="str">
        <f t="shared" si="127"/>
        <v>0.166704560138088-0.412074200675051i</v>
      </c>
      <c r="I150" s="338" t="str">
        <f t="shared" si="128"/>
        <v>0.176704560138088-0.412074200675051i</v>
      </c>
      <c r="J150" s="337" t="str">
        <f t="shared" si="129"/>
        <v>0.0320591233454682-0.182656199117997i</v>
      </c>
      <c r="K150" s="338" t="str">
        <f t="shared" si="112"/>
        <v>0.999195067444889-0.0445655861862736i</v>
      </c>
      <c r="L150" s="732"/>
      <c r="M150" s="732" t="str">
        <f t="shared" si="113"/>
        <v>275.350936568306+356.200328324506i</v>
      </c>
      <c r="N150" s="337">
        <f t="shared" si="114"/>
        <v>0</v>
      </c>
      <c r="O150" s="730" t="str">
        <f t="shared" si="115"/>
        <v>144.635720178605+117.289353086115i</v>
      </c>
      <c r="P150" s="731" t="str">
        <f t="shared" si="116"/>
        <v>73.8897077350705-38.8750852356959i</v>
      </c>
      <c r="Q150" s="729" t="str">
        <f t="shared" si="117"/>
        <v>72.4433505332845-40.0479787665571i</v>
      </c>
      <c r="R150" s="730"/>
      <c r="S150" s="405" t="str">
        <f t="shared" si="130"/>
        <v>39.0493732109552+2.70998522999063i</v>
      </c>
      <c r="T150" s="405" t="str">
        <f t="shared" si="131"/>
        <v>15.9779721022608-2.61238450831408i</v>
      </c>
      <c r="U150" s="405" t="str">
        <f t="shared" si="132"/>
        <v>1.58710455308663-7.01960649281744i</v>
      </c>
      <c r="V150" s="731" t="str">
        <f t="shared" si="118"/>
        <v>6000</v>
      </c>
      <c r="W150" s="733" t="str">
        <f>IMSUM(COMPLEX(1,0),IMDIV(COMPLEX(0,2*PI()*D150),COMPLEX(2*PI()*'Stability Calculations'!EA_Pole1,0)))</f>
        <v>1+54013.4904577636i</v>
      </c>
      <c r="X150" s="734">
        <f t="shared" si="133"/>
        <v>54013.490467020536</v>
      </c>
      <c r="Y150" s="735">
        <f t="shared" si="134"/>
        <v>1.5707778129015819</v>
      </c>
      <c r="Z150" s="340" t="str">
        <f>IMSUM(COMPLEX(1,0),IMDIV(COMPLEX(0,2*PI()*D150),COMPLEX(2*PI()*'Stability Calculations'!EA_Zero1,0)))</f>
        <v>1+534.787034235283i</v>
      </c>
      <c r="AA150" s="734">
        <f t="shared" si="135"/>
        <v>534.78796918607827</v>
      </c>
      <c r="AB150" s="735">
        <f t="shared" si="136"/>
        <v>1.5689264257492967</v>
      </c>
      <c r="AC150" s="733" t="str">
        <f>IMSUM(COMPLEX(1,0),IMDIV(COMPLEX(0,2*PI()*D150),COMPLEX(2*PI()*'Stability Calculations'!EA_Pole2,0)))</f>
        <v>1+5.38715372696822i</v>
      </c>
      <c r="AD150" s="734">
        <f t="shared" si="137"/>
        <v>5.4791810773132505</v>
      </c>
      <c r="AE150" s="735">
        <f t="shared" si="138"/>
        <v>1.3872585901825121</v>
      </c>
      <c r="AF150" s="732" t="str">
        <f t="shared" si="139"/>
        <v>1.95904904351308-10.6636818806913i</v>
      </c>
      <c r="AG150" s="337">
        <f t="shared" si="140"/>
        <v>10.842139291093501</v>
      </c>
      <c r="AH150" s="730">
        <f t="shared" si="141"/>
        <v>-1.3891099773347984</v>
      </c>
      <c r="AI150" s="731" t="str">
        <f t="shared" si="119"/>
        <v>10000</v>
      </c>
      <c r="AJ150" s="733" t="str">
        <f t="shared" si="142"/>
        <v>1+50355.4401861876i</v>
      </c>
      <c r="AK150" s="734">
        <f t="shared" si="143"/>
        <v>50355.440196117015</v>
      </c>
      <c r="AL150" s="735">
        <f t="shared" si="144"/>
        <v>1.5707764679674061</v>
      </c>
      <c r="AM150" s="340" t="str">
        <f t="shared" si="145"/>
        <v>1+85.4589680707982i</v>
      </c>
      <c r="AN150" s="734">
        <f t="shared" si="146"/>
        <v>85.464818631561528</v>
      </c>
      <c r="AO150" s="735">
        <f t="shared" si="147"/>
        <v>1.5590953387716371</v>
      </c>
      <c r="AP150" s="733" t="str">
        <f t="shared" si="148"/>
        <v>1+4.14490081607991i</v>
      </c>
      <c r="AQ150" s="734">
        <f t="shared" si="149"/>
        <v>4.2638248996810253</v>
      </c>
      <c r="AR150" s="735">
        <f t="shared" si="150"/>
        <v>1.3340600302635595</v>
      </c>
      <c r="AS150" s="732" t="str">
        <f t="shared" si="151"/>
        <v>0.0378085149317327-27.4985248540872i</v>
      </c>
      <c r="AT150" s="337">
        <f t="shared" si="152"/>
        <v>27.498550846083738</v>
      </c>
      <c r="AU150" s="730">
        <f t="shared" si="153"/>
        <v>-1.5694213988193924</v>
      </c>
      <c r="AV150" s="732" t="str">
        <f t="shared" si="154"/>
        <v>-4.82591042360919-0.10134020655078i</v>
      </c>
      <c r="AW150" s="337">
        <f t="shared" si="155"/>
        <v>13.673499798026389</v>
      </c>
      <c r="AX150" s="730">
        <f t="shared" si="156"/>
        <v>-178.7970118844809</v>
      </c>
      <c r="AY150" s="360">
        <f t="shared" si="157"/>
        <v>1.2029881155191049</v>
      </c>
      <c r="BB150" s="337">
        <f t="shared" si="158"/>
        <v>-11.213803851491026</v>
      </c>
      <c r="BC150" s="730">
        <f t="shared" si="159"/>
        <v>-89.921222429869147</v>
      </c>
      <c r="BD150" s="351"/>
      <c r="BE150" s="337">
        <f t="shared" si="120"/>
        <v>53.068469185551798</v>
      </c>
      <c r="BF150" s="730">
        <f t="shared" si="121"/>
        <v>52.295162977345427</v>
      </c>
      <c r="BI150" s="351"/>
      <c r="BJ150" s="351"/>
      <c r="BL150" s="405">
        <f t="shared" si="122"/>
        <v>0</v>
      </c>
      <c r="BM150" s="405">
        <f t="shared" si="110"/>
        <v>0</v>
      </c>
      <c r="BN150" s="405">
        <f t="shared" si="123"/>
        <v>0</v>
      </c>
      <c r="BO150" s="405">
        <f t="shared" si="124"/>
        <v>0</v>
      </c>
    </row>
    <row r="151" spans="4:67" ht="13.5" thickBot="1" x14ac:dyDescent="0.25">
      <c r="D151" s="345">
        <v>8560.9500000000007</v>
      </c>
      <c r="E151" s="340" t="str">
        <f t="shared" si="111"/>
        <v>0.142005693074518i</v>
      </c>
      <c r="F151" s="728" t="str">
        <f t="shared" si="125"/>
        <v>0.005-0.304767277899765i</v>
      </c>
      <c r="G151" s="337" t="str">
        <f t="shared" si="126"/>
        <v>0.005-0.476687280817581i</v>
      </c>
      <c r="H151" s="338" t="str">
        <f t="shared" si="127"/>
        <v>0.165084530454171-0.410321278909258i</v>
      </c>
      <c r="I151" s="338" t="str">
        <f t="shared" si="128"/>
        <v>0.175084530454171-0.410321278909258i</v>
      </c>
      <c r="J151" s="337" t="str">
        <f t="shared" si="129"/>
        <v>0.0317440777218539-0.181647003968468i</v>
      </c>
      <c r="K151" s="338" t="str">
        <f t="shared" si="112"/>
        <v>0.99918566816775-0.0448250293795826i</v>
      </c>
      <c r="L151" s="732"/>
      <c r="M151" s="732" t="str">
        <f t="shared" si="113"/>
        <v>290.4712593029+362.734164043968i</v>
      </c>
      <c r="N151" s="337">
        <f t="shared" si="114"/>
        <v>0</v>
      </c>
      <c r="O151" s="730" t="str">
        <f t="shared" si="115"/>
        <v>151.121002226691+118.568958401509i</v>
      </c>
      <c r="P151" s="731" t="str">
        <f t="shared" si="116"/>
        <v>75.1103163668695-41.2485724955362i</v>
      </c>
      <c r="Q151" s="729" t="str">
        <f t="shared" si="117"/>
        <v>73.5991063446026-42.4342620795513i</v>
      </c>
      <c r="R151" s="730"/>
      <c r="S151" s="405" t="str">
        <f t="shared" si="130"/>
        <v>39.0619941529091+2.67705426057561i</v>
      </c>
      <c r="T151" s="405" t="str">
        <f t="shared" si="131"/>
        <v>15.9724398697159-2.60834942166925i</v>
      </c>
      <c r="U151" s="405" t="str">
        <f t="shared" si="132"/>
        <v>1.56654146555796-6.9844300941797i</v>
      </c>
      <c r="V151" s="731" t="str">
        <f t="shared" si="118"/>
        <v>6000</v>
      </c>
      <c r="W151" s="733" t="str">
        <f>IMSUM(COMPLEX(1,0),IMDIV(COMPLEX(0,2*PI()*D151),COMPLEX(2*PI()*'Stability Calculations'!EA_Pole1,0)))</f>
        <v>1+54327.9356080541i</v>
      </c>
      <c r="X151" s="734">
        <f t="shared" si="133"/>
        <v>54327.93561725747</v>
      </c>
      <c r="Y151" s="735">
        <f t="shared" si="134"/>
        <v>1.5707779200583127</v>
      </c>
      <c r="Z151" s="340" t="str">
        <f>IMSUM(COMPLEX(1,0),IMDIV(COMPLEX(0,2*PI()*D151),COMPLEX(2*PI()*'Stability Calculations'!EA_Zero1,0)))</f>
        <v>1+537.900352554991i</v>
      </c>
      <c r="AA151" s="734">
        <f t="shared" si="135"/>
        <v>537.90128209438535</v>
      </c>
      <c r="AB151" s="735">
        <f t="shared" si="136"/>
        <v>1.5689372485414756</v>
      </c>
      <c r="AC151" s="733" t="str">
        <f>IMSUM(COMPLEX(1,0),IMDIV(COMPLEX(0,2*PI()*D151),COMPLEX(2*PI()*'Stability Calculations'!EA_Pole2,0)))</f>
        <v>1+5.41851560247299i</v>
      </c>
      <c r="AD151" s="734">
        <f t="shared" si="137"/>
        <v>5.5100191773026728</v>
      </c>
      <c r="AE151" s="735">
        <f t="shared" si="138"/>
        <v>1.388297393531003</v>
      </c>
      <c r="AF151" s="732" t="str">
        <f t="shared" si="139"/>
        <v>1.93718186235794-10.6059970959931i</v>
      </c>
      <c r="AG151" s="337">
        <f t="shared" si="140"/>
        <v>10.781458526937005</v>
      </c>
      <c r="AH151" s="730">
        <f t="shared" si="141"/>
        <v>-1.3901380650478397</v>
      </c>
      <c r="AI151" s="731" t="str">
        <f t="shared" si="119"/>
        <v>10000</v>
      </c>
      <c r="AJ151" s="733" t="str">
        <f t="shared" si="142"/>
        <v>1+50648.5896165076i</v>
      </c>
      <c r="AK151" s="734">
        <f t="shared" si="143"/>
        <v>50648.589626379544</v>
      </c>
      <c r="AL151" s="735">
        <f t="shared" si="144"/>
        <v>1.5707765829084934</v>
      </c>
      <c r="AM151" s="340" t="str">
        <f t="shared" si="145"/>
        <v>1+85.9564763382875i</v>
      </c>
      <c r="AN151" s="734">
        <f t="shared" si="146"/>
        <v>85.962293038835227</v>
      </c>
      <c r="AO151" s="735">
        <f t="shared" si="147"/>
        <v>1.5591630568983026</v>
      </c>
      <c r="AP151" s="733" t="str">
        <f t="shared" si="148"/>
        <v>1+4.16903078711132i</v>
      </c>
      <c r="AQ151" s="734">
        <f t="shared" si="149"/>
        <v>4.2872855869281716</v>
      </c>
      <c r="AR151" s="735">
        <f t="shared" si="150"/>
        <v>1.3353800339718913</v>
      </c>
      <c r="AS151" s="732" t="str">
        <f t="shared" si="151"/>
        <v>0.0373721178366815-27.3393664897056i</v>
      </c>
      <c r="AT151" s="337">
        <f t="shared" si="152"/>
        <v>27.339392032992048</v>
      </c>
      <c r="AU151" s="730">
        <f t="shared" si="153"/>
        <v>-1.5694293567675255</v>
      </c>
      <c r="AV151" s="732" t="str">
        <f t="shared" si="154"/>
        <v>-4.76940765467237-0.0961211492407111i</v>
      </c>
      <c r="AW151" s="337">
        <f t="shared" si="155"/>
        <v>13.571052508336743</v>
      </c>
      <c r="AX151" s="730">
        <f t="shared" si="156"/>
        <v>-178.84543509099274</v>
      </c>
      <c r="AY151" s="360">
        <f t="shared" si="157"/>
        <v>1.1545649090072629</v>
      </c>
      <c r="BB151" s="337">
        <f t="shared" si="158"/>
        <v>-11.264222947999283</v>
      </c>
      <c r="BC151" s="730">
        <f t="shared" si="159"/>
        <v>-89.921678386710752</v>
      </c>
      <c r="BD151" s="351"/>
      <c r="BE151" s="337">
        <f t="shared" si="120"/>
        <v>53.343524567300079</v>
      </c>
      <c r="BF151" s="730">
        <f t="shared" si="121"/>
        <v>51.312855880762186</v>
      </c>
      <c r="BI151" s="351"/>
      <c r="BJ151" s="351"/>
      <c r="BL151" s="405">
        <f t="shared" si="122"/>
        <v>0</v>
      </c>
      <c r="BM151" s="405">
        <f t="shared" si="110"/>
        <v>0</v>
      </c>
      <c r="BN151" s="405">
        <f t="shared" si="123"/>
        <v>0</v>
      </c>
      <c r="BO151" s="405">
        <f t="shared" si="124"/>
        <v>0</v>
      </c>
    </row>
    <row r="152" spans="4:67" ht="13.5" thickBot="1" x14ac:dyDescent="0.25">
      <c r="D152" s="345">
        <v>8610.5</v>
      </c>
      <c r="E152" s="340" t="str">
        <f t="shared" si="111"/>
        <v>0.14282760911092i</v>
      </c>
      <c r="F152" s="728" t="str">
        <f t="shared" si="125"/>
        <v>0.005-0.303013463531269i</v>
      </c>
      <c r="G152" s="337" t="str">
        <f t="shared" si="126"/>
        <v>0.005-0.473944135266857i</v>
      </c>
      <c r="H152" s="338" t="str">
        <f t="shared" si="127"/>
        <v>0.163487509825028-0.408579605541928i</v>
      </c>
      <c r="I152" s="338" t="str">
        <f t="shared" si="128"/>
        <v>0.173487509825028-0.408579605541928i</v>
      </c>
      <c r="J152" s="337" t="str">
        <f t="shared" si="129"/>
        <v>0.0314342933110131-0.180648629360587i</v>
      </c>
      <c r="K152" s="338" t="str">
        <f t="shared" si="112"/>
        <v>0.999176214330556-0.0450844725728915i</v>
      </c>
      <c r="L152" s="732"/>
      <c r="M152" s="732" t="str">
        <f t="shared" si="113"/>
        <v>306.733807220656+369.055076866813i</v>
      </c>
      <c r="N152" s="337">
        <f t="shared" si="114"/>
        <v>0</v>
      </c>
      <c r="O152" s="730" t="str">
        <f t="shared" si="115"/>
        <v>158.03746438007+119.667568918234i</v>
      </c>
      <c r="P152" s="731" t="str">
        <f t="shared" si="116"/>
        <v>76.3112542591337-43.8100563188161i</v>
      </c>
      <c r="Q152" s="729" t="str">
        <f t="shared" si="117"/>
        <v>74.730879615333-45.0067320079984i</v>
      </c>
      <c r="R152" s="730"/>
      <c r="S152" s="405" t="str">
        <f t="shared" si="130"/>
        <v>39.0744055322323+2.64432690354638i</v>
      </c>
      <c r="T152" s="405" t="str">
        <f t="shared" si="131"/>
        <v>15.9669871997372-2.60439453926848i</v>
      </c>
      <c r="U152" s="405" t="str">
        <f t="shared" si="132"/>
        <v>1.54630048316327-6.94957130958853i</v>
      </c>
      <c r="V152" s="731" t="str">
        <f t="shared" si="118"/>
        <v>6000</v>
      </c>
      <c r="W152" s="733" t="str">
        <f>IMSUM(COMPLEX(1,0),IMDIV(COMPLEX(0,2*PI()*D152),COMPLEX(2*PI()*'Stability Calculations'!EA_Pole1,0)))</f>
        <v>1+54642.3807583445i</v>
      </c>
      <c r="X152" s="734">
        <f t="shared" si="133"/>
        <v>54642.380767494906</v>
      </c>
      <c r="Y152" s="735">
        <f t="shared" si="134"/>
        <v>1.5707780259817548</v>
      </c>
      <c r="Z152" s="340" t="str">
        <f>IMSUM(COMPLEX(1,0),IMDIV(COMPLEX(0,2*PI()*D152),COMPLEX(2*PI()*'Stability Calculations'!EA_Zero1,0)))</f>
        <v>1+541.013670874698i</v>
      </c>
      <c r="AA152" s="734">
        <f t="shared" si="135"/>
        <v>541.01459506497247</v>
      </c>
      <c r="AB152" s="735">
        <f t="shared" si="136"/>
        <v>1.5689479467723608</v>
      </c>
      <c r="AC152" s="733" t="str">
        <f>IMSUM(COMPLEX(1,0),IMDIV(COMPLEX(0,2*PI()*D152),COMPLEX(2*PI()*'Stability Calculations'!EA_Pole2,0)))</f>
        <v>1+5.44987747797775i</v>
      </c>
      <c r="AD152" s="734">
        <f t="shared" si="137"/>
        <v>5.5408631570333089</v>
      </c>
      <c r="AE152" s="735">
        <f t="shared" si="138"/>
        <v>1.389324632693228</v>
      </c>
      <c r="AF152" s="732" t="str">
        <f t="shared" si="139"/>
        <v>1.9156747093845-10.5489101556151i</v>
      </c>
      <c r="AG152" s="337">
        <f t="shared" si="140"/>
        <v>10.721441836964598</v>
      </c>
      <c r="AH152" s="730">
        <f t="shared" si="141"/>
        <v>-1.391154711902622</v>
      </c>
      <c r="AI152" s="731" t="str">
        <f t="shared" si="119"/>
        <v>10000</v>
      </c>
      <c r="AJ152" s="733" t="str">
        <f t="shared" si="142"/>
        <v>1+50941.7390468276i</v>
      </c>
      <c r="AK152" s="734">
        <f t="shared" si="143"/>
        <v>50941.739056642742</v>
      </c>
      <c r="AL152" s="735">
        <f t="shared" si="144"/>
        <v>1.5707766965267005</v>
      </c>
      <c r="AM152" s="340" t="str">
        <f t="shared" si="145"/>
        <v>1+86.4539846057767i</v>
      </c>
      <c r="AN152" s="734">
        <f t="shared" si="146"/>
        <v>86.459767835773633</v>
      </c>
      <c r="AO152" s="735">
        <f t="shared" si="147"/>
        <v>1.5592299957481086</v>
      </c>
      <c r="AP152" s="733" t="str">
        <f t="shared" si="148"/>
        <v>1+4.19316075814273i</v>
      </c>
      <c r="AQ152" s="734">
        <f t="shared" si="149"/>
        <v>4.3107536630649754</v>
      </c>
      <c r="AR152" s="735">
        <f t="shared" si="150"/>
        <v>1.3366856675301453</v>
      </c>
      <c r="AS152" s="732" t="str">
        <f t="shared" si="151"/>
        <v>0.036943232899587-27.1820399011789i</v>
      </c>
      <c r="AT152" s="337">
        <f t="shared" si="152"/>
        <v>27.182065006024445</v>
      </c>
      <c r="AU152" s="730">
        <f t="shared" si="153"/>
        <v>-1.5694372231261811</v>
      </c>
      <c r="AV152" s="732" t="str">
        <f t="shared" si="154"/>
        <v>-4.71388907877322-0.0910524999686267i</v>
      </c>
      <c r="AW152" s="337">
        <f t="shared" si="155"/>
        <v>13.469207230588081</v>
      </c>
      <c r="AX152" s="730">
        <f t="shared" si="156"/>
        <v>-178.89342425983395</v>
      </c>
      <c r="AY152" s="360">
        <f t="shared" si="157"/>
        <v>1.1065757401660505</v>
      </c>
      <c r="BB152" s="337">
        <f t="shared" si="158"/>
        <v>-11.314351064907024</v>
      </c>
      <c r="BC152" s="730">
        <f t="shared" si="159"/>
        <v>-89.922129095861848</v>
      </c>
      <c r="BD152" s="351"/>
      <c r="BE152" s="337">
        <f t="shared" si="120"/>
        <v>53.622699469220258</v>
      </c>
      <c r="BF152" s="730">
        <f t="shared" si="121"/>
        <v>50.268915544754755</v>
      </c>
      <c r="BI152" s="351"/>
      <c r="BJ152" s="351"/>
      <c r="BL152" s="405">
        <f t="shared" si="122"/>
        <v>0</v>
      </c>
      <c r="BM152" s="405">
        <f t="shared" si="110"/>
        <v>0</v>
      </c>
      <c r="BN152" s="405">
        <f t="shared" si="123"/>
        <v>0</v>
      </c>
      <c r="BO152" s="405">
        <f t="shared" si="124"/>
        <v>0</v>
      </c>
    </row>
    <row r="153" spans="4:67" ht="13.5" thickBot="1" x14ac:dyDescent="0.25">
      <c r="D153" s="345">
        <v>8660.0499999999993</v>
      </c>
      <c r="E153" s="340" t="str">
        <f t="shared" si="111"/>
        <v>0.143649525147323i</v>
      </c>
      <c r="F153" s="728" t="str">
        <f t="shared" si="125"/>
        <v>0.005-0.301279718677835i</v>
      </c>
      <c r="G153" s="337" t="str">
        <f t="shared" si="126"/>
        <v>0.005-0.471232380496102i</v>
      </c>
      <c r="H153" s="338" t="str">
        <f t="shared" si="127"/>
        <v>0.16191308962198-0.406849145113954i</v>
      </c>
      <c r="I153" s="338" t="str">
        <f t="shared" si="128"/>
        <v>0.17191308962198-0.406849145113954i</v>
      </c>
      <c r="J153" s="337" t="str">
        <f t="shared" si="129"/>
        <v>0.0311296545042722-0.179660906931712i</v>
      </c>
      <c r="K153" s="338" t="str">
        <f t="shared" si="112"/>
        <v>0.999166705933306-0.0453439157662005i</v>
      </c>
      <c r="L153" s="732"/>
      <c r="M153" s="732" t="str">
        <f t="shared" si="113"/>
        <v>324.227878344724+375.07303239141i</v>
      </c>
      <c r="N153" s="337">
        <f t="shared" si="114"/>
        <v>0</v>
      </c>
      <c r="O153" s="730" t="str">
        <f t="shared" si="115"/>
        <v>165.412557877644+120.542170729733i</v>
      </c>
      <c r="P153" s="731" t="str">
        <f t="shared" si="116"/>
        <v>77.4790629985924-46.5751807637435i</v>
      </c>
      <c r="Q153" s="729" t="str">
        <f t="shared" si="117"/>
        <v>75.8249374198159-47.7806024710408i</v>
      </c>
      <c r="R153" s="730"/>
      <c r="S153" s="405" t="str">
        <f t="shared" si="130"/>
        <v>39.0866115260027+2.61180078379827i</v>
      </c>
      <c r="T153" s="405" t="str">
        <f t="shared" si="131"/>
        <v>15.9616124430227-2.60051892217451i</v>
      </c>
      <c r="U153" s="405" t="str">
        <f t="shared" si="132"/>
        <v>1.52637508565907-6.91502643039376i</v>
      </c>
      <c r="V153" s="731" t="str">
        <f t="shared" si="118"/>
        <v>6000</v>
      </c>
      <c r="W153" s="733" t="str">
        <f>IMSUM(COMPLEX(1,0),IMDIV(COMPLEX(0,2*PI()*D153),COMPLEX(2*PI()*'Stability Calculations'!EA_Pole1,0)))</f>
        <v>1+54956.825908635i</v>
      </c>
      <c r="X153" s="734">
        <f t="shared" si="133"/>
        <v>54956.82591773304</v>
      </c>
      <c r="Y153" s="735">
        <f t="shared" si="134"/>
        <v>1.5707781306930775</v>
      </c>
      <c r="Z153" s="340" t="str">
        <f>IMSUM(COMPLEX(1,0),IMDIV(COMPLEX(0,2*PI()*D153),COMPLEX(2*PI()*'Stability Calculations'!EA_Zero1,0)))</f>
        <v>1+544.126989194406i</v>
      </c>
      <c r="AA153" s="734">
        <f t="shared" si="135"/>
        <v>544.12790809677199</v>
      </c>
      <c r="AB153" s="735">
        <f t="shared" si="136"/>
        <v>1.5689585225800409</v>
      </c>
      <c r="AC153" s="733" t="str">
        <f>IMSUM(COMPLEX(1,0),IMDIV(COMPLEX(0,2*PI()*D153),COMPLEX(2*PI()*'Stability Calculations'!EA_Pole2,0)))</f>
        <v>1+5.48123935348252i</v>
      </c>
      <c r="AD153" s="734">
        <f t="shared" si="137"/>
        <v>5.5717129188576715</v>
      </c>
      <c r="AE153" s="735">
        <f t="shared" si="138"/>
        <v>1.3903404975706986</v>
      </c>
      <c r="AF153" s="732" t="str">
        <f t="shared" si="139"/>
        <v>1.89451981407332-10.4924122151983i</v>
      </c>
      <c r="AG153" s="337">
        <f t="shared" si="140"/>
        <v>10.662078569376561</v>
      </c>
      <c r="AH153" s="730">
        <f t="shared" si="141"/>
        <v>-1.3921601056837358</v>
      </c>
      <c r="AI153" s="731" t="str">
        <f t="shared" si="119"/>
        <v>10000</v>
      </c>
      <c r="AJ153" s="733" t="str">
        <f t="shared" si="142"/>
        <v>1+51234.8884771476i</v>
      </c>
      <c r="AK153" s="734">
        <f t="shared" si="143"/>
        <v>51234.888486906573</v>
      </c>
      <c r="AL153" s="735">
        <f t="shared" si="144"/>
        <v>1.5707768088447343</v>
      </c>
      <c r="AM153" s="340" t="str">
        <f t="shared" si="145"/>
        <v>1+86.9514928732661i</v>
      </c>
      <c r="AN153" s="734">
        <f t="shared" si="146"/>
        <v>86.957243015689301</v>
      </c>
      <c r="AO153" s="735">
        <f t="shared" si="147"/>
        <v>1.5592961686949853</v>
      </c>
      <c r="AP153" s="733" t="str">
        <f t="shared" si="148"/>
        <v>1+4.21729072917415i</v>
      </c>
      <c r="AQ153" s="734">
        <f t="shared" si="149"/>
        <v>4.3342290080680126</v>
      </c>
      <c r="AR153" s="735">
        <f t="shared" si="150"/>
        <v>1.337977159948158</v>
      </c>
      <c r="AS153" s="732" t="str">
        <f t="shared" si="151"/>
        <v>0.0365216886852479-27.0265136462551i</v>
      </c>
      <c r="AT153" s="337">
        <f t="shared" si="152"/>
        <v>27.026538322636835</v>
      </c>
      <c r="AU153" s="730">
        <f t="shared" si="153"/>
        <v>-1.5694449994674915</v>
      </c>
      <c r="AV153" s="732" t="str">
        <f t="shared" si="154"/>
        <v>-4.65933204369285-0.0861293627076687i</v>
      </c>
      <c r="AW153" s="337">
        <f t="shared" si="155"/>
        <v>13.367956989716285</v>
      </c>
      <c r="AX153" s="730">
        <f t="shared" si="156"/>
        <v>-178.94098833227847</v>
      </c>
      <c r="AY153" s="360">
        <f t="shared" si="157"/>
        <v>1.0590116677215349</v>
      </c>
      <c r="BB153" s="337">
        <f t="shared" si="158"/>
        <v>-11.364191541558659</v>
      </c>
      <c r="BC153" s="730">
        <f t="shared" si="159"/>
        <v>-89.922574647399003</v>
      </c>
      <c r="BD153" s="351"/>
      <c r="BE153" s="337">
        <f t="shared" si="120"/>
        <v>53.905880567310405</v>
      </c>
      <c r="BF153" s="730">
        <f t="shared" si="121"/>
        <v>49.158575106409771</v>
      </c>
      <c r="BI153" s="351"/>
      <c r="BJ153" s="351"/>
      <c r="BL153" s="405">
        <f t="shared" si="122"/>
        <v>0</v>
      </c>
      <c r="BM153" s="405">
        <f t="shared" si="110"/>
        <v>0</v>
      </c>
      <c r="BN153" s="405">
        <f t="shared" si="123"/>
        <v>0</v>
      </c>
      <c r="BO153" s="405">
        <f t="shared" si="124"/>
        <v>0</v>
      </c>
    </row>
    <row r="154" spans="4:67" ht="13.5" thickBot="1" x14ac:dyDescent="0.25">
      <c r="D154" s="345">
        <v>8709.6</v>
      </c>
      <c r="E154" s="340" t="str">
        <f t="shared" si="111"/>
        <v>0.144471441183726i</v>
      </c>
      <c r="F154" s="728" t="str">
        <f t="shared" si="125"/>
        <v>0.005-0.299565700805547i</v>
      </c>
      <c r="G154" s="337" t="str">
        <f t="shared" si="126"/>
        <v>0.005-0.468551480747137i</v>
      </c>
      <c r="H154" s="338" t="str">
        <f t="shared" si="127"/>
        <v>0.160360869592651-0.405129859760557i</v>
      </c>
      <c r="I154" s="338" t="str">
        <f t="shared" si="128"/>
        <v>0.170360869592651-0.405129859760557i</v>
      </c>
      <c r="J154" s="337" t="str">
        <f t="shared" si="129"/>
        <v>0.0308300488263105-0.178683671682383i</v>
      </c>
      <c r="K154" s="338" t="str">
        <f t="shared" si="112"/>
        <v>0.999157142976-0.0456033589595094i</v>
      </c>
      <c r="L154" s="732"/>
      <c r="M154" s="732" t="str">
        <f t="shared" si="113"/>
        <v>343.045693024372+380.679199940335i</v>
      </c>
      <c r="N154" s="337">
        <f t="shared" si="114"/>
        <v>0</v>
      </c>
      <c r="O154" s="730" t="str">
        <f t="shared" si="115"/>
        <v>173.273282558052+121.142108802574i</v>
      </c>
      <c r="P154" s="731" t="str">
        <f t="shared" si="116"/>
        <v>78.597272644048-49.5603056631011i</v>
      </c>
      <c r="Q154" s="729" t="str">
        <f t="shared" si="117"/>
        <v>76.8645398184674-50.7717267511268i</v>
      </c>
      <c r="R154" s="730"/>
      <c r="S154" s="405" t="str">
        <f t="shared" si="130"/>
        <v>39.09861620909+2.57947355312423i</v>
      </c>
      <c r="T154" s="405" t="str">
        <f t="shared" si="131"/>
        <v>15.9563139906273-2.59672164207094i</v>
      </c>
      <c r="U154" s="405" t="str">
        <f t="shared" si="132"/>
        <v>1.50675891234096-6.88079178993079i</v>
      </c>
      <c r="V154" s="731" t="str">
        <f t="shared" si="118"/>
        <v>6000</v>
      </c>
      <c r="W154" s="733" t="str">
        <f>IMSUM(COMPLEX(1,0),IMDIV(COMPLEX(0,2*PI()*D154),COMPLEX(2*PI()*'Stability Calculations'!EA_Pole1,0)))</f>
        <v>1+55271.2710589254i</v>
      </c>
      <c r="X154" s="734">
        <f t="shared" si="133"/>
        <v>55271.271067971691</v>
      </c>
      <c r="Y154" s="735">
        <f t="shared" si="134"/>
        <v>1.5707782342129688</v>
      </c>
      <c r="Z154" s="340" t="str">
        <f>IMSUM(COMPLEX(1,0),IMDIV(COMPLEX(0,2*PI()*D154),COMPLEX(2*PI()*'Stability Calculations'!EA_Zero1,0)))</f>
        <v>1+547.240307514113i</v>
      </c>
      <c r="AA154" s="734">
        <f t="shared" si="135"/>
        <v>547.24122118873777</v>
      </c>
      <c r="AB154" s="735">
        <f t="shared" si="136"/>
        <v>1.5689689780539486</v>
      </c>
      <c r="AC154" s="733" t="str">
        <f>IMSUM(COMPLEX(1,0),IMDIV(COMPLEX(0,2*PI()*D154),COMPLEX(2*PI()*'Stability Calculations'!EA_Pole2,0)))</f>
        <v>1+5.51260122898729i</v>
      </c>
      <c r="AD154" s="734">
        <f t="shared" si="137"/>
        <v>5.6025683672608748</v>
      </c>
      <c r="AE154" s="735">
        <f t="shared" si="138"/>
        <v>1.3913451739765741</v>
      </c>
      <c r="AF154" s="732" t="str">
        <f t="shared" si="139"/>
        <v>1.87370961194584-10.4364945942745i</v>
      </c>
      <c r="AG154" s="337">
        <f t="shared" si="140"/>
        <v>10.60335829472055</v>
      </c>
      <c r="AH154" s="730">
        <f t="shared" si="141"/>
        <v>-1.3931544301355947</v>
      </c>
      <c r="AI154" s="731" t="str">
        <f t="shared" si="119"/>
        <v>10000</v>
      </c>
      <c r="AJ154" s="733" t="str">
        <f t="shared" si="142"/>
        <v>1+51528.0379074676i</v>
      </c>
      <c r="AK154" s="734">
        <f t="shared" si="143"/>
        <v>51528.037917171052</v>
      </c>
      <c r="AL154" s="735">
        <f t="shared" si="144"/>
        <v>1.5707769198847854</v>
      </c>
      <c r="AM154" s="340" t="str">
        <f t="shared" si="145"/>
        <v>1+87.4490011407552i</v>
      </c>
      <c r="AN154" s="734">
        <f t="shared" si="146"/>
        <v>87.454718572046204</v>
      </c>
      <c r="AO154" s="735">
        <f t="shared" si="147"/>
        <v>1.5593615888085857</v>
      </c>
      <c r="AP154" s="733" t="str">
        <f t="shared" si="148"/>
        <v>1+4.24142070020556i</v>
      </c>
      <c r="AQ154" s="734">
        <f t="shared" si="149"/>
        <v>4.3577115044633485</v>
      </c>
      <c r="AR154" s="735">
        <f t="shared" si="150"/>
        <v>1.3392547354904787</v>
      </c>
      <c r="AS154" s="732" t="str">
        <f t="shared" si="151"/>
        <v>0.0361073186211146-26.8727569981912i</v>
      </c>
      <c r="AT154" s="337">
        <f t="shared" si="152"/>
        <v>26.872781255804025</v>
      </c>
      <c r="AU154" s="730">
        <f t="shared" si="153"/>
        <v>-1.5694526873278127</v>
      </c>
      <c r="AV154" s="732" t="str">
        <f t="shared" si="154"/>
        <v>-4.60571454149706-0.0813470254256056i</v>
      </c>
      <c r="AW154" s="337">
        <f t="shared" si="155"/>
        <v>13.267294928624871</v>
      </c>
      <c r="AX154" s="730">
        <f t="shared" si="156"/>
        <v>-178.98813601518381</v>
      </c>
      <c r="AY154" s="360">
        <f t="shared" si="157"/>
        <v>1.0118639848161877</v>
      </c>
      <c r="BB154" s="337">
        <f t="shared" si="158"/>
        <v>-11.413747660141979</v>
      </c>
      <c r="BC154" s="730">
        <f t="shared" si="159"/>
        <v>-89.923015129348883</v>
      </c>
      <c r="BD154" s="351"/>
      <c r="BE154" s="337">
        <f t="shared" si="120"/>
        <v>54.192897615228034</v>
      </c>
      <c r="BF154" s="730">
        <f t="shared" si="121"/>
        <v>47.976684662723187</v>
      </c>
      <c r="BI154" s="351"/>
      <c r="BJ154" s="351"/>
      <c r="BL154" s="405">
        <f t="shared" si="122"/>
        <v>0</v>
      </c>
      <c r="BM154" s="405">
        <f t="shared" ref="BM154:BM217" si="160">IF(BL154&gt;0,AY154,0)</f>
        <v>0</v>
      </c>
      <c r="BN154" s="405">
        <f t="shared" si="123"/>
        <v>0</v>
      </c>
      <c r="BO154" s="405">
        <f t="shared" si="124"/>
        <v>0</v>
      </c>
    </row>
    <row r="155" spans="4:67" ht="13.5" thickBot="1" x14ac:dyDescent="0.25">
      <c r="D155" s="345">
        <v>8760.3250000000007</v>
      </c>
      <c r="E155" s="340" t="str">
        <f t="shared" si="111"/>
        <v>0.145312847660952i</v>
      </c>
      <c r="F155" s="728" t="str">
        <f t="shared" si="125"/>
        <v>0.005-0.297831122445342i</v>
      </c>
      <c r="G155" s="337" t="str">
        <f t="shared" si="126"/>
        <v>0.005-0.465838422286304i</v>
      </c>
      <c r="H155" s="338" t="str">
        <f t="shared" si="127"/>
        <v>0.158794427918834-0.403381338072665i</v>
      </c>
      <c r="I155" s="338" t="str">
        <f t="shared" si="128"/>
        <v>0.168794427918834-0.403381338072665i</v>
      </c>
      <c r="J155" s="337" t="str">
        <f t="shared" si="129"/>
        <v>0.0305284378018193-0.177693957182489i</v>
      </c>
      <c r="K155" s="338" t="str">
        <f t="shared" si="112"/>
        <v>0.99914729673216-0.0458689544384317i</v>
      </c>
      <c r="L155" s="732"/>
      <c r="M155" s="732" t="str">
        <f t="shared" si="113"/>
        <v>363.778446465255+385.854978660717i</v>
      </c>
      <c r="N155" s="337">
        <f t="shared" si="114"/>
        <v>0</v>
      </c>
      <c r="O155" s="730" t="str">
        <f t="shared" si="115"/>
        <v>181.850150687141+121.409666136644i</v>
      </c>
      <c r="P155" s="731" t="str">
        <f t="shared" si="116"/>
        <v>79.6696857333447-52.8616819735434i</v>
      </c>
      <c r="Q155" s="729" t="str">
        <f t="shared" si="117"/>
        <v>77.8511842264734-54.0757786349099i</v>
      </c>
      <c r="R155" s="730"/>
      <c r="S155" s="405" t="str">
        <f t="shared" si="130"/>
        <v>39.1107011863799+2.54658332936336i</v>
      </c>
      <c r="T155" s="405" t="str">
        <f t="shared" si="131"/>
        <v>15.9509672951065-2.59291450289563i</v>
      </c>
      <c r="U155" s="405" t="str">
        <f t="shared" si="132"/>
        <v>1.4869914046924-6.84606290618314i</v>
      </c>
      <c r="V155" s="731" t="str">
        <f t="shared" si="118"/>
        <v>6000</v>
      </c>
      <c r="W155" s="733" t="str">
        <f>IMSUM(COMPLEX(1,0),IMDIV(COMPLEX(0,2*PI()*D155),COMPLEX(2*PI()*'Stability Calculations'!EA_Pole1,0)))</f>
        <v>1+55593.1727793792i</v>
      </c>
      <c r="X155" s="734">
        <f t="shared" si="133"/>
        <v>55593.172788373107</v>
      </c>
      <c r="Y155" s="735">
        <f t="shared" si="134"/>
        <v>1.5707783389746321</v>
      </c>
      <c r="Z155" s="340" t="str">
        <f>IMSUM(COMPLEX(1,0),IMDIV(COMPLEX(0,2*PI()*D155),COMPLEX(2*PI()*'Stability Calculations'!EA_Zero1,0)))</f>
        <v>1+550.42745326118i</v>
      </c>
      <c r="AA155" s="734">
        <f t="shared" si="135"/>
        <v>550.4283616453539</v>
      </c>
      <c r="AB155" s="735">
        <f t="shared" si="136"/>
        <v>1.5689795589468181</v>
      </c>
      <c r="AC155" s="733" t="str">
        <f>IMSUM(COMPLEX(1,0),IMDIV(COMPLEX(0,2*PI()*D155),COMPLEX(2*PI()*'Stability Calculations'!EA_Pole2,0)))</f>
        <v>1+5.54470680184257i</v>
      </c>
      <c r="AD155" s="734">
        <f t="shared" si="137"/>
        <v>5.6341612968035681</v>
      </c>
      <c r="AE155" s="735">
        <f t="shared" si="138"/>
        <v>1.3923622749206443</v>
      </c>
      <c r="AF155" s="732" t="str">
        <f t="shared" si="139"/>
        <v>1.8527552916028-10.3798432056821i</v>
      </c>
      <c r="AG155" s="337">
        <f t="shared" si="140"/>
        <v>10.543900945338354</v>
      </c>
      <c r="AH155" s="730">
        <f t="shared" si="141"/>
        <v>-1.394161054948458</v>
      </c>
      <c r="AI155" s="731" t="str">
        <f t="shared" si="119"/>
        <v>10000</v>
      </c>
      <c r="AJ155" s="733" t="str">
        <f t="shared" si="142"/>
        <v>1+51828.1389135823i</v>
      </c>
      <c r="AK155" s="734">
        <f t="shared" si="143"/>
        <v>51828.138923229562</v>
      </c>
      <c r="AL155" s="735">
        <f t="shared" si="144"/>
        <v>1.5707770322568169</v>
      </c>
      <c r="AM155" s="340" t="str">
        <f t="shared" si="145"/>
        <v>1+87.9583070311365i</v>
      </c>
      <c r="AN155" s="734">
        <f t="shared" si="146"/>
        <v>87.963991358871837</v>
      </c>
      <c r="AO155" s="735">
        <f t="shared" si="147"/>
        <v>1.5594277937682917</v>
      </c>
      <c r="AP155" s="733" t="str">
        <f t="shared" si="148"/>
        <v>1+4.26612287539362i</v>
      </c>
      <c r="AQ155" s="734">
        <f t="shared" si="149"/>
        <v>4.3817581389160143</v>
      </c>
      <c r="AR155" s="735">
        <f t="shared" si="150"/>
        <v>1.3405484201891442</v>
      </c>
      <c r="AS155" s="732" t="str">
        <f t="shared" si="151"/>
        <v>0.0356903848030612-26.7171559537623i</v>
      </c>
      <c r="AT155" s="337">
        <f t="shared" si="152"/>
        <v>26.71717979243363</v>
      </c>
      <c r="AU155" s="730">
        <f t="shared" si="153"/>
        <v>-1.5694604674079635</v>
      </c>
      <c r="AV155" s="732" t="str">
        <f t="shared" si="154"/>
        <v>-4.55177647788014-0.0765923957960747i</v>
      </c>
      <c r="AW155" s="337">
        <f t="shared" si="155"/>
        <v>13.164848054617362</v>
      </c>
      <c r="AX155" s="730">
        <f t="shared" si="156"/>
        <v>-179.03597926511466</v>
      </c>
      <c r="AY155" s="360">
        <f t="shared" si="157"/>
        <v>0.96402073488533802</v>
      </c>
      <c r="BB155" s="337">
        <f t="shared" si="158"/>
        <v>-11.464187739218223</v>
      </c>
      <c r="BC155" s="730">
        <f t="shared" si="159"/>
        <v>-89.923460895105805</v>
      </c>
      <c r="BD155" s="351"/>
      <c r="BE155" s="337">
        <f t="shared" si="120"/>
        <v>54.490443857222878</v>
      </c>
      <c r="BF155" s="730">
        <f t="shared" si="121"/>
        <v>46.686859994776476</v>
      </c>
      <c r="BI155" s="351"/>
      <c r="BJ155" s="351"/>
      <c r="BL155" s="405">
        <f t="shared" si="122"/>
        <v>0</v>
      </c>
      <c r="BM155" s="405">
        <f t="shared" si="160"/>
        <v>0</v>
      </c>
      <c r="BN155" s="405">
        <f t="shared" si="123"/>
        <v>0</v>
      </c>
      <c r="BO155" s="405">
        <f t="shared" si="124"/>
        <v>0</v>
      </c>
    </row>
    <row r="156" spans="4:67" ht="13.5" thickBot="1" x14ac:dyDescent="0.25">
      <c r="D156" s="345">
        <v>8811.0499999999993</v>
      </c>
      <c r="E156" s="340" t="str">
        <f t="shared" si="111"/>
        <v>0.146154254138177i</v>
      </c>
      <c r="F156" s="728" t="str">
        <f t="shared" si="125"/>
        <v>0.005-0.296116515935784i</v>
      </c>
      <c r="G156" s="337" t="str">
        <f t="shared" si="126"/>
        <v>0.005-0.463156601848278i</v>
      </c>
      <c r="H156" s="338" t="str">
        <f t="shared" si="127"/>
        <v>0.157250429022143-0.401644440303131i</v>
      </c>
      <c r="I156" s="338" t="str">
        <f t="shared" si="128"/>
        <v>0.167250429022143-0.401644440303131i</v>
      </c>
      <c r="J156" s="337" t="str">
        <f t="shared" si="129"/>
        <v>0.0302318725311271-0.176714893651688i</v>
      </c>
      <c r="K156" s="338" t="str">
        <f t="shared" si="112"/>
        <v>0.999137393309972-0.0461345499173539i</v>
      </c>
      <c r="L156" s="732"/>
      <c r="M156" s="732" t="str">
        <f t="shared" si="113"/>
        <v>386.09498973004+390.293713595272i</v>
      </c>
      <c r="N156" s="337">
        <f t="shared" si="114"/>
        <v>0</v>
      </c>
      <c r="O156" s="730" t="str">
        <f t="shared" si="115"/>
        <v>190.987225638296+121.252496717811i</v>
      </c>
      <c r="P156" s="731" t="str">
        <f t="shared" si="116"/>
        <v>80.6430866053363-56.4294252504811i</v>
      </c>
      <c r="Q156" s="729" t="str">
        <f t="shared" si="117"/>
        <v>78.7332143489533-57.6419502176592i</v>
      </c>
      <c r="R156" s="730"/>
      <c r="S156" s="405" t="str">
        <f t="shared" si="130"/>
        <v>39.1225835185809+2.51389664539451i</v>
      </c>
      <c r="T156" s="405" t="str">
        <f t="shared" si="131"/>
        <v>15.9456972780741-2.5891875253294i</v>
      </c>
      <c r="U156" s="405" t="str">
        <f t="shared" si="132"/>
        <v>1.46753496358359-6.81165150767204i</v>
      </c>
      <c r="V156" s="731" t="str">
        <f t="shared" si="118"/>
        <v>6000</v>
      </c>
      <c r="W156" s="733" t="str">
        <f>IMSUM(COMPLEX(1,0),IMDIV(COMPLEX(0,2*PI()*D156),COMPLEX(2*PI()*'Stability Calculations'!EA_Pole1,0)))</f>
        <v>1+55915.074499833i</v>
      </c>
      <c r="X156" s="734">
        <f t="shared" si="133"/>
        <v>55915.074508775142</v>
      </c>
      <c r="Y156" s="735">
        <f t="shared" si="134"/>
        <v>1.5707784425300746</v>
      </c>
      <c r="Z156" s="340" t="str">
        <f>IMSUM(COMPLEX(1,0),IMDIV(COMPLEX(0,2*PI()*D156),COMPLEX(2*PI()*'Stability Calculations'!EA_Zero1,0)))</f>
        <v>1+553.614599008247i</v>
      </c>
      <c r="AA156" s="734">
        <f t="shared" si="135"/>
        <v>553.6155021628839</v>
      </c>
      <c r="AB156" s="735">
        <f t="shared" si="136"/>
        <v>1.5689900180122032</v>
      </c>
      <c r="AC156" s="733" t="str">
        <f>IMSUM(COMPLEX(1,0),IMDIV(COMPLEX(0,2*PI()*D156),COMPLEX(2*PI()*'Stability Calculations'!EA_Pole2,0)))</f>
        <v>1+5.57681237469786i</v>
      </c>
      <c r="AD156" s="734">
        <f t="shared" si="137"/>
        <v>5.6657599898498328</v>
      </c>
      <c r="AE156" s="735">
        <f t="shared" si="138"/>
        <v>1.3933680318824597</v>
      </c>
      <c r="AF156" s="732" t="str">
        <f t="shared" si="139"/>
        <v>1.83214679700224-10.3237820871205i</v>
      </c>
      <c r="AG156" s="337">
        <f t="shared" si="140"/>
        <v>10.48509601616102</v>
      </c>
      <c r="AH156" s="730">
        <f t="shared" si="141"/>
        <v>-1.3951564564003309</v>
      </c>
      <c r="AI156" s="731" t="str">
        <f t="shared" si="119"/>
        <v>10000</v>
      </c>
      <c r="AJ156" s="733" t="str">
        <f t="shared" si="142"/>
        <v>1+52128.2399196969i</v>
      </c>
      <c r="AK156" s="734">
        <f t="shared" si="143"/>
        <v>52128.239929288626</v>
      </c>
      <c r="AL156" s="735">
        <f t="shared" si="144"/>
        <v>1.570777143335002</v>
      </c>
      <c r="AM156" s="340" t="str">
        <f t="shared" si="145"/>
        <v>1+88.4676129215179i</v>
      </c>
      <c r="AN156" s="734">
        <f t="shared" si="146"/>
        <v>88.473264526813523</v>
      </c>
      <c r="AO156" s="735">
        <f t="shared" si="147"/>
        <v>1.5594932365452709</v>
      </c>
      <c r="AP156" s="733" t="str">
        <f t="shared" si="148"/>
        <v>1+4.29082505058168i</v>
      </c>
      <c r="AQ156" s="734">
        <f t="shared" si="149"/>
        <v>4.4058120267096372</v>
      </c>
      <c r="AR156" s="735">
        <f t="shared" si="150"/>
        <v>1.3418279810569702</v>
      </c>
      <c r="AS156" s="732" t="str">
        <f t="shared" si="151"/>
        <v>0.0352806310539703-26.5633464826343i</v>
      </c>
      <c r="AT156" s="337">
        <f t="shared" si="152"/>
        <v>26.56336991195597</v>
      </c>
      <c r="AU156" s="730">
        <f t="shared" si="153"/>
        <v>-1.5694681579088099</v>
      </c>
      <c r="AV156" s="732" t="str">
        <f t="shared" si="154"/>
        <v>-4.49877833536957-0.0719758868093691i</v>
      </c>
      <c r="AW156" s="337">
        <f t="shared" si="155"/>
        <v>13.063003411669751</v>
      </c>
      <c r="AX156" s="730">
        <f t="shared" si="156"/>
        <v>-179.08340388772356</v>
      </c>
      <c r="AY156" s="360">
        <f t="shared" si="157"/>
        <v>0.91659611227643722</v>
      </c>
      <c r="BB156" s="337">
        <f t="shared" si="158"/>
        <v>-11.514336597127986</v>
      </c>
      <c r="BC156" s="730">
        <f t="shared" si="159"/>
        <v>-89.923901528346647</v>
      </c>
      <c r="BD156" s="351"/>
      <c r="BE156" s="337">
        <f t="shared" si="120"/>
        <v>54.791411211215511</v>
      </c>
      <c r="BF156" s="730">
        <f t="shared" si="121"/>
        <v>45.309853570187649</v>
      </c>
      <c r="BI156" s="351"/>
      <c r="BJ156" s="351"/>
      <c r="BL156" s="405">
        <f t="shared" si="122"/>
        <v>0</v>
      </c>
      <c r="BM156" s="405">
        <f t="shared" si="160"/>
        <v>0</v>
      </c>
      <c r="BN156" s="405">
        <f t="shared" si="123"/>
        <v>0</v>
      </c>
      <c r="BO156" s="405">
        <f t="shared" si="124"/>
        <v>0</v>
      </c>
    </row>
    <row r="157" spans="4:67" ht="13.5" thickBot="1" x14ac:dyDescent="0.25">
      <c r="D157" s="345">
        <v>8861.7749999999996</v>
      </c>
      <c r="E157" s="340" t="str">
        <f t="shared" si="111"/>
        <v>0.146995660615403i</v>
      </c>
      <c r="F157" s="728" t="str">
        <f t="shared" si="125"/>
        <v>0.005-0.294421538318902i</v>
      </c>
      <c r="G157" s="337" t="str">
        <f t="shared" si="126"/>
        <v>0.005-0.460505483011617i</v>
      </c>
      <c r="H157" s="338" t="str">
        <f t="shared" si="127"/>
        <v>0.15572846958037-0.39991911887697i</v>
      </c>
      <c r="I157" s="338" t="str">
        <f t="shared" si="128"/>
        <v>0.16572846958037-0.39991911887697i</v>
      </c>
      <c r="J157" s="337" t="str">
        <f t="shared" si="129"/>
        <v>0.0299402419056007-0.175746314506801i</v>
      </c>
      <c r="K157" s="338" t="str">
        <f t="shared" si="112"/>
        <v>0.999127432709437-0.0464001453962761i</v>
      </c>
      <c r="L157" s="732"/>
      <c r="M157" s="732" t="str">
        <f t="shared" si="113"/>
        <v>410.088364306607+393.7947016007i</v>
      </c>
      <c r="N157" s="337">
        <f t="shared" si="114"/>
        <v>0</v>
      </c>
      <c r="O157" s="730" t="str">
        <f t="shared" si="115"/>
        <v>200.70400620711+120.583743674736i</v>
      </c>
      <c r="P157" s="731" t="str">
        <f t="shared" si="116"/>
        <v>81.4861123086403-60.2812100219397i</v>
      </c>
      <c r="Q157" s="729" t="str">
        <f t="shared" si="117"/>
        <v>79.4790722465692-61.4870474586871i</v>
      </c>
      <c r="R157" s="730"/>
      <c r="S157" s="405" t="str">
        <f t="shared" si="130"/>
        <v>39.1342672631287+2.48141106947839i</v>
      </c>
      <c r="T157" s="405" t="str">
        <f t="shared" si="131"/>
        <v>15.9405023374716-2.58553974799055i</v>
      </c>
      <c r="U157" s="405" t="str">
        <f t="shared" si="132"/>
        <v>1.44838325551898-6.77755379725169i</v>
      </c>
      <c r="V157" s="731" t="str">
        <f t="shared" si="118"/>
        <v>6000</v>
      </c>
      <c r="W157" s="733" t="str">
        <f>IMSUM(COMPLEX(1,0),IMDIV(COMPLEX(0,2*PI()*D157),COMPLEX(2*PI()*'Stability Calculations'!EA_Pole1,0)))</f>
        <v>1+56236.9762202867i</v>
      </c>
      <c r="X157" s="734">
        <f t="shared" si="133"/>
        <v>56236.97622917765</v>
      </c>
      <c r="Y157" s="735">
        <f t="shared" si="134"/>
        <v>1.57077854490001</v>
      </c>
      <c r="Z157" s="340" t="str">
        <f>IMSUM(COMPLEX(1,0),IMDIV(COMPLEX(0,2*PI()*D157),COMPLEX(2*PI()*'Stability Calculations'!EA_Zero1,0)))</f>
        <v>1+556.801744755314i</v>
      </c>
      <c r="AA157" s="734">
        <f t="shared" si="135"/>
        <v>556.80264274028173</v>
      </c>
      <c r="AB157" s="735">
        <f t="shared" si="136"/>
        <v>1.5690003573421241</v>
      </c>
      <c r="AC157" s="733" t="str">
        <f>IMSUM(COMPLEX(1,0),IMDIV(COMPLEX(0,2*PI()*D157),COMPLEX(2*PI()*'Stability Calculations'!EA_Pole2,0)))</f>
        <v>1+5.60891794755314i</v>
      </c>
      <c r="AD157" s="734">
        <f t="shared" si="137"/>
        <v>5.6973643505031095</v>
      </c>
      <c r="AE157" s="735">
        <f t="shared" si="138"/>
        <v>1.3943626315918272</v>
      </c>
      <c r="AF157" s="732" t="str">
        <f t="shared" si="139"/>
        <v>1.811876642336-10.2683024370573i</v>
      </c>
      <c r="AG157" s="337">
        <f t="shared" si="140"/>
        <v>10.42693300572703</v>
      </c>
      <c r="AH157" s="730">
        <f t="shared" si="141"/>
        <v>-1.3961408191497129</v>
      </c>
      <c r="AI157" s="731" t="str">
        <f t="shared" si="119"/>
        <v>10000</v>
      </c>
      <c r="AJ157" s="733" t="str">
        <f t="shared" si="142"/>
        <v>1+52428.3409258116i</v>
      </c>
      <c r="AK157" s="734">
        <f t="shared" si="143"/>
        <v>52428.340935348424</v>
      </c>
      <c r="AL157" s="735">
        <f t="shared" si="144"/>
        <v>1.5707772531415591</v>
      </c>
      <c r="AM157" s="340" t="str">
        <f t="shared" si="145"/>
        <v>1+88.9769188118992i</v>
      </c>
      <c r="AN157" s="734">
        <f t="shared" si="146"/>
        <v>88.982538069327418</v>
      </c>
      <c r="AO157" s="735">
        <f t="shared" si="147"/>
        <v>1.5595579302255536</v>
      </c>
      <c r="AP157" s="733" t="str">
        <f t="shared" si="148"/>
        <v>1+4.31552722576974i</v>
      </c>
      <c r="AQ157" s="734">
        <f t="shared" si="149"/>
        <v>4.4298730496888803</v>
      </c>
      <c r="AR157" s="735">
        <f t="shared" si="150"/>
        <v>1.3430936440118428</v>
      </c>
      <c r="AS157" s="732" t="str">
        <f t="shared" si="151"/>
        <v>0.0348778934502241-26.4112978200055i</v>
      </c>
      <c r="AT157" s="337">
        <f t="shared" si="152"/>
        <v>26.411320849296406</v>
      </c>
      <c r="AU157" s="730">
        <f t="shared" si="153"/>
        <v>-1.5694757603686103</v>
      </c>
      <c r="AV157" s="732" t="str">
        <f t="shared" si="154"/>
        <v>-4.44669846222437-0.0674929923217508i</v>
      </c>
      <c r="AW157" s="337">
        <f t="shared" si="155"/>
        <v>12.961754010818659</v>
      </c>
      <c r="AX157" s="730">
        <f t="shared" si="156"/>
        <v>-179.13041850761326</v>
      </c>
      <c r="AY157" s="360">
        <f t="shared" si="157"/>
        <v>0.86958149238674309</v>
      </c>
      <c r="BB157" s="337">
        <f t="shared" si="158"/>
        <v>-11.564197577363529</v>
      </c>
      <c r="BC157" s="730">
        <f t="shared" si="159"/>
        <v>-89.924337117207116</v>
      </c>
      <c r="BD157" s="351"/>
      <c r="BE157" s="337">
        <f t="shared" si="120"/>
        <v>55.095341449706837</v>
      </c>
      <c r="BF157" s="730">
        <f t="shared" si="121"/>
        <v>43.838848166518567</v>
      </c>
      <c r="BI157" s="351"/>
      <c r="BJ157" s="351"/>
      <c r="BL157" s="405">
        <f t="shared" si="122"/>
        <v>0</v>
      </c>
      <c r="BM157" s="405">
        <f t="shared" si="160"/>
        <v>0</v>
      </c>
      <c r="BN157" s="405">
        <f t="shared" si="123"/>
        <v>0</v>
      </c>
      <c r="BO157" s="405">
        <f t="shared" si="124"/>
        <v>0</v>
      </c>
    </row>
    <row r="158" spans="4:67" ht="13.5" thickBot="1" x14ac:dyDescent="0.25">
      <c r="D158" s="345">
        <v>8912.5</v>
      </c>
      <c r="E158" s="340" t="str">
        <f t="shared" si="111"/>
        <v>0.147837067092628i</v>
      </c>
      <c r="F158" s="728" t="str">
        <f t="shared" si="125"/>
        <v>0.005-0.292745854444431i</v>
      </c>
      <c r="G158" s="337" t="str">
        <f t="shared" si="126"/>
        <v>0.005-0.457884541566931i</v>
      </c>
      <c r="H158" s="338" t="str">
        <f t="shared" si="127"/>
        <v>0.154228154678211-0.39820532415134i</v>
      </c>
      <c r="I158" s="338" t="str">
        <f t="shared" si="128"/>
        <v>0.164228154678211-0.39820532415134i</v>
      </c>
      <c r="J158" s="337" t="str">
        <f t="shared" si="129"/>
        <v>0.0296534378354554-0.17478805651626i</v>
      </c>
      <c r="K158" s="338" t="str">
        <f t="shared" si="112"/>
        <v>0.999117414930556-0.0466657408751984i</v>
      </c>
      <c r="L158" s="732"/>
      <c r="M158" s="732" t="str">
        <f t="shared" si="113"/>
        <v>435.840373729451+396.120320616911i</v>
      </c>
      <c r="N158" s="337">
        <f t="shared" si="114"/>
        <v>0</v>
      </c>
      <c r="O158" s="730" t="str">
        <f t="shared" si="115"/>
        <v>211.012427445466+119.302987581857i</v>
      </c>
      <c r="P158" s="731" t="str">
        <f t="shared" si="116"/>
        <v>82.1612664157957-64.4333625727169i</v>
      </c>
      <c r="Q158" s="729" t="str">
        <f t="shared" si="117"/>
        <v>80.0511421413411-65.6263924485355i</v>
      </c>
      <c r="R158" s="730"/>
      <c r="S158" s="405" t="str">
        <f t="shared" si="130"/>
        <v>39.1457563774496+2.44912419927511i</v>
      </c>
      <c r="T158" s="405" t="str">
        <f t="shared" si="131"/>
        <v>15.9353809107303-2.58197022110654i</v>
      </c>
      <c r="U158" s="405" t="str">
        <f t="shared" si="132"/>
        <v>1.42953010311151-6.7437660236678i</v>
      </c>
      <c r="V158" s="731" t="str">
        <f t="shared" si="118"/>
        <v>6000</v>
      </c>
      <c r="W158" s="733" t="str">
        <f>IMSUM(COMPLEX(1,0),IMDIV(COMPLEX(0,2*PI()*D158),COMPLEX(2*PI()*'Stability Calculations'!EA_Pole1,0)))</f>
        <v>1+56558.8779407405i</v>
      </c>
      <c r="X158" s="734">
        <f t="shared" si="133"/>
        <v>56558.877949580849</v>
      </c>
      <c r="Y158" s="735">
        <f t="shared" si="134"/>
        <v>1.5707786461046795</v>
      </c>
      <c r="Z158" s="340" t="str">
        <f>IMSUM(COMPLEX(1,0),IMDIV(COMPLEX(0,2*PI()*D158),COMPLEX(2*PI()*'Stability Calculations'!EA_Zero1,0)))</f>
        <v>1+559.988890502381i</v>
      </c>
      <c r="AA158" s="734">
        <f t="shared" si="135"/>
        <v>559.98978337652522</v>
      </c>
      <c r="AB158" s="735">
        <f t="shared" si="136"/>
        <v>1.5690105789809756</v>
      </c>
      <c r="AC158" s="733" t="str">
        <f>IMSUM(COMPLEX(1,0),IMDIV(COMPLEX(0,2*PI()*D158),COMPLEX(2*PI()*'Stability Calculations'!EA_Pole2,0)))</f>
        <v>1+5.64102352040843i</v>
      </c>
      <c r="AD158" s="734">
        <f t="shared" si="137"/>
        <v>5.7289742849659495</v>
      </c>
      <c r="AE158" s="735">
        <f t="shared" si="138"/>
        <v>1.3953462567467962</v>
      </c>
      <c r="AF158" s="732" t="str">
        <f t="shared" si="139"/>
        <v>1.79193754098083-10.2133956190236i</v>
      </c>
      <c r="AG158" s="337">
        <f t="shared" si="140"/>
        <v>10.369401632759091</v>
      </c>
      <c r="AH158" s="730">
        <f t="shared" si="141"/>
        <v>-1.3971143238705002</v>
      </c>
      <c r="AI158" s="731" t="str">
        <f t="shared" si="119"/>
        <v>10000</v>
      </c>
      <c r="AJ158" s="733" t="str">
        <f t="shared" si="142"/>
        <v>1+52728.4419319263i</v>
      </c>
      <c r="AK158" s="734">
        <f t="shared" si="143"/>
        <v>52728.441941408855</v>
      </c>
      <c r="AL158" s="735">
        <f t="shared" si="144"/>
        <v>1.5707773616982004</v>
      </c>
      <c r="AM158" s="340" t="str">
        <f t="shared" si="145"/>
        <v>1+89.4862247022805i</v>
      </c>
      <c r="AN158" s="734">
        <f t="shared" si="146"/>
        <v>89.491811980018795</v>
      </c>
      <c r="AO158" s="735">
        <f t="shared" si="147"/>
        <v>1.5596218875973193</v>
      </c>
      <c r="AP158" s="733" t="str">
        <f t="shared" si="148"/>
        <v>1+4.3402294009578i</v>
      </c>
      <c r="AQ158" s="734">
        <f t="shared" si="149"/>
        <v>4.4539410922169269</v>
      </c>
      <c r="AR158" s="735">
        <f t="shared" si="150"/>
        <v>1.3443456302687069</v>
      </c>
      <c r="AS158" s="732" t="str">
        <f t="shared" si="151"/>
        <v>0.0344820127196863-26.2609799014531i</v>
      </c>
      <c r="AT158" s="337">
        <f t="shared" si="152"/>
        <v>26.261002539768448</v>
      </c>
      <c r="AU158" s="730">
        <f t="shared" si="153"/>
        <v>-1.5694832762906028</v>
      </c>
      <c r="AV158" s="732" t="str">
        <f t="shared" si="154"/>
        <v>-4.39551582340777-0.0631393757514969i</v>
      </c>
      <c r="AW158" s="337">
        <f t="shared" si="155"/>
        <v>12.861092981704354</v>
      </c>
      <c r="AX158" s="730">
        <f t="shared" si="156"/>
        <v>-179.17703152272495</v>
      </c>
      <c r="AY158" s="360">
        <f t="shared" si="157"/>
        <v>0.82296847727505451</v>
      </c>
      <c r="BB158" s="337">
        <f t="shared" si="158"/>
        <v>-11.613773966165873</v>
      </c>
      <c r="BC158" s="730">
        <f t="shared" si="159"/>
        <v>-89.924767747816446</v>
      </c>
      <c r="BD158" s="351"/>
      <c r="BE158" s="337">
        <f t="shared" si="120"/>
        <v>55.401644112461298</v>
      </c>
      <c r="BF158" s="730">
        <f t="shared" si="121"/>
        <v>42.266620092243201</v>
      </c>
      <c r="BI158" s="351"/>
      <c r="BJ158" s="351"/>
      <c r="BL158" s="405">
        <f t="shared" si="122"/>
        <v>0</v>
      </c>
      <c r="BM158" s="405">
        <f t="shared" si="160"/>
        <v>0</v>
      </c>
      <c r="BN158" s="405">
        <f t="shared" si="123"/>
        <v>0</v>
      </c>
      <c r="BO158" s="405">
        <f t="shared" si="124"/>
        <v>0</v>
      </c>
    </row>
    <row r="159" spans="4:67" ht="13.5" thickBot="1" x14ac:dyDescent="0.25">
      <c r="D159" s="345">
        <v>8964.4</v>
      </c>
      <c r="E159" s="340" t="str">
        <f t="shared" si="111"/>
        <v>0.148697964010677i</v>
      </c>
      <c r="F159" s="728" t="str">
        <f t="shared" si="125"/>
        <v>0.005-0.29105098252376i</v>
      </c>
      <c r="G159" s="337" t="str">
        <f t="shared" si="126"/>
        <v>0.005-0.455233588049982i</v>
      </c>
      <c r="H159" s="338" t="str">
        <f t="shared" si="127"/>
        <v>0.152715085433085-0.396463707369508i</v>
      </c>
      <c r="I159" s="338" t="str">
        <f t="shared" si="128"/>
        <v>0.162715085433085-0.396463707369508i</v>
      </c>
      <c r="J159" s="337" t="str">
        <f t="shared" si="129"/>
        <v>0.0293648760822219-0.173818117045842i</v>
      </c>
      <c r="K159" s="338" t="str">
        <f t="shared" si="112"/>
        <v>0.999107105918222-0.0469374886397339i</v>
      </c>
      <c r="L159" s="732"/>
      <c r="M159" s="732" t="str">
        <f t="shared" si="113"/>
        <v>464.074670572925+396.992199520754i</v>
      </c>
      <c r="N159" s="337">
        <f t="shared" si="114"/>
        <v>0</v>
      </c>
      <c r="O159" s="730" t="str">
        <f t="shared" si="115"/>
        <v>222.172981382175+117.239069519703i</v>
      </c>
      <c r="P159" s="731" t="str">
        <f t="shared" si="116"/>
        <v>82.6319317968566-69.0069586631196i</v>
      </c>
      <c r="Q159" s="729" t="str">
        <f t="shared" si="117"/>
        <v>80.4102019830349-70.1793493583167i</v>
      </c>
      <c r="R159" s="730"/>
      <c r="S159" s="405" t="str">
        <f t="shared" si="130"/>
        <v>39.1573142076085+2.41629262050242i</v>
      </c>
      <c r="T159" s="405" t="str">
        <f t="shared" si="131"/>
        <v>15.9302153490233-2.57839802114475i</v>
      </c>
      <c r="U159" s="405" t="str">
        <f t="shared" si="132"/>
        <v>1.4105429594563-6.70951251054804i</v>
      </c>
      <c r="V159" s="731" t="str">
        <f t="shared" si="118"/>
        <v>6000</v>
      </c>
      <c r="W159" s="733" t="str">
        <f>IMSUM(COMPLEX(1,0),IMDIV(COMPLEX(0,2*PI()*D159),COMPLEX(2*PI()*'Stability Calculations'!EA_Pole1,0)))</f>
        <v>1+56888.2362313575i</v>
      </c>
      <c r="X159" s="734">
        <f t="shared" si="133"/>
        <v>56888.236240146653</v>
      </c>
      <c r="Y159" s="735">
        <f t="shared" si="134"/>
        <v>1.5707787484682312</v>
      </c>
      <c r="Z159" s="340" t="str">
        <f>IMSUM(COMPLEX(1,0),IMDIV(COMPLEX(0,2*PI()*D159),COMPLEX(2*PI()*'Stability Calculations'!EA_Zero1,0)))</f>
        <v>1+563.249863676807i</v>
      </c>
      <c r="AA159" s="734">
        <f t="shared" si="135"/>
        <v>563.25075138160412</v>
      </c>
      <c r="AB159" s="735">
        <f t="shared" si="136"/>
        <v>1.5690209176669132</v>
      </c>
      <c r="AC159" s="733" t="str">
        <f>IMSUM(COMPLEX(1,0),IMDIV(COMPLEX(0,2*PI()*D159),COMPLEX(2*PI()*'Stability Calculations'!EA_Pole2,0)))</f>
        <v>1+5.67387279061423i</v>
      </c>
      <c r="AD159" s="734">
        <f t="shared" si="137"/>
        <v>5.7613221090364766</v>
      </c>
      <c r="AE159" s="735">
        <f t="shared" si="138"/>
        <v>1.3963414943290196</v>
      </c>
      <c r="AF159" s="732" t="str">
        <f t="shared" si="139"/>
        <v>1.77187181522467-10.1578009838012i</v>
      </c>
      <c r="AG159" s="337">
        <f t="shared" si="140"/>
        <v>10.311180851682323</v>
      </c>
      <c r="AH159" s="730">
        <f t="shared" si="141"/>
        <v>-1.3980993251303384</v>
      </c>
      <c r="AI159" s="731" t="str">
        <f t="shared" si="119"/>
        <v>10000</v>
      </c>
      <c r="AJ159" s="733" t="str">
        <f t="shared" si="142"/>
        <v>1+53035.4945138356i</v>
      </c>
      <c r="AK159" s="734">
        <f t="shared" si="143"/>
        <v>53035.494523263245</v>
      </c>
      <c r="AL159" s="735">
        <f t="shared" si="144"/>
        <v>1.5707774714979101</v>
      </c>
      <c r="AM159" s="340" t="str">
        <f t="shared" si="145"/>
        <v>1+90.0073282155537i</v>
      </c>
      <c r="AN159" s="734">
        <f t="shared" si="146"/>
        <v>90.012883147371795</v>
      </c>
      <c r="AO159" s="735">
        <f t="shared" si="147"/>
        <v>1.5596865774299369</v>
      </c>
      <c r="AP159" s="733" t="str">
        <f t="shared" si="148"/>
        <v>1+4.36550378030251i</v>
      </c>
      <c r="AQ159" s="734">
        <f t="shared" si="149"/>
        <v>4.4785737970737411</v>
      </c>
      <c r="AR159" s="735">
        <f t="shared" si="150"/>
        <v>1.3456126880261379</v>
      </c>
      <c r="AS159" s="732" t="str">
        <f t="shared" si="151"/>
        <v>0.0340838973151154-26.1089407021858i</v>
      </c>
      <c r="AT159" s="337">
        <f t="shared" si="152"/>
        <v>26.108962949575584</v>
      </c>
      <c r="AU159" s="730">
        <f t="shared" si="153"/>
        <v>-1.5694908782766279</v>
      </c>
      <c r="AV159" s="732" t="str">
        <f t="shared" si="154"/>
        <v>-4.34405491965494-0.0588143631437602i</v>
      </c>
      <c r="AW159" s="337">
        <f t="shared" si="155"/>
        <v>12.758702157527321</v>
      </c>
      <c r="AX159" s="730">
        <f t="shared" si="156"/>
        <v>-179.22431714937647</v>
      </c>
      <c r="AY159" s="360">
        <f t="shared" si="157"/>
        <v>0.77568285062352516</v>
      </c>
      <c r="BB159" s="337">
        <f t="shared" si="158"/>
        <v>-11.664207561029681</v>
      </c>
      <c r="BC159" s="730">
        <f t="shared" si="159"/>
        <v>-89.925203309531597</v>
      </c>
      <c r="BD159" s="351"/>
      <c r="BE159" s="337">
        <f t="shared" si="120"/>
        <v>55.7167169553679</v>
      </c>
      <c r="BF159" s="730">
        <f t="shared" si="121"/>
        <v>40.545299877039085</v>
      </c>
      <c r="BI159" s="351"/>
      <c r="BJ159" s="351"/>
      <c r="BL159" s="405">
        <f t="shared" si="122"/>
        <v>0</v>
      </c>
      <c r="BM159" s="405">
        <f t="shared" si="160"/>
        <v>0</v>
      </c>
      <c r="BN159" s="405">
        <f t="shared" si="123"/>
        <v>0</v>
      </c>
      <c r="BO159" s="405">
        <f t="shared" si="124"/>
        <v>0</v>
      </c>
    </row>
    <row r="160" spans="4:67" ht="13.5" thickBot="1" x14ac:dyDescent="0.25">
      <c r="D160" s="345">
        <v>9016.2999999999993</v>
      </c>
      <c r="E160" s="340" t="str">
        <f t="shared" si="111"/>
        <v>0.149558860928726i</v>
      </c>
      <c r="F160" s="728" t="str">
        <f t="shared" si="125"/>
        <v>0.005-0.289375622787173i</v>
      </c>
      <c r="G160" s="337" t="str">
        <f t="shared" si="126"/>
        <v>0.005-0.452613153590194i</v>
      </c>
      <c r="H160" s="338" t="str">
        <f t="shared" si="127"/>
        <v>0.151223864809349-0.394734046263531i</v>
      </c>
      <c r="I160" s="338" t="str">
        <f t="shared" si="128"/>
        <v>0.161223864809349-0.394734046263531i</v>
      </c>
      <c r="J160" s="337" t="str">
        <f t="shared" si="129"/>
        <v>0.0290811474109769-0.172858647106392i</v>
      </c>
      <c r="K160" s="338" t="str">
        <f t="shared" si="112"/>
        <v>0.999096737047889-0.0472092364042694i</v>
      </c>
      <c r="L160" s="732"/>
      <c r="M160" s="732" t="str">
        <f t="shared" si="113"/>
        <v>494.25209154018+395.994280693464i</v>
      </c>
      <c r="N160" s="337">
        <f t="shared" si="114"/>
        <v>0</v>
      </c>
      <c r="O160" s="730" t="str">
        <f t="shared" si="115"/>
        <v>233.938597097991+114.274330348679i</v>
      </c>
      <c r="P160" s="731" t="str">
        <f t="shared" si="116"/>
        <v>82.8244535548047-73.9197798223898i</v>
      </c>
      <c r="Q160" s="729" t="str">
        <f t="shared" si="117"/>
        <v>80.4850675838249-75.0625231258765i</v>
      </c>
      <c r="R160" s="730"/>
      <c r="S160" s="405" t="str">
        <f t="shared" si="130"/>
        <v>39.1686763595775+2.38366406545748i</v>
      </c>
      <c r="T160" s="405" t="str">
        <f t="shared" si="131"/>
        <v>15.9251235586756-2.57490576427427i</v>
      </c>
      <c r="U160" s="405" t="str">
        <f t="shared" si="132"/>
        <v>1.39185576103007-6.67557566075614i</v>
      </c>
      <c r="V160" s="731" t="str">
        <f t="shared" si="118"/>
        <v>6000</v>
      </c>
      <c r="W160" s="733" t="str">
        <f>IMSUM(COMPLEX(1,0),IMDIV(COMPLEX(0,2*PI()*D160),COMPLEX(2*PI()*'Stability Calculations'!EA_Pole1,0)))</f>
        <v>1+57217.5945219745i</v>
      </c>
      <c r="X160" s="734">
        <f t="shared" si="133"/>
        <v>57217.594530713075</v>
      </c>
      <c r="Y160" s="735">
        <f t="shared" si="134"/>
        <v>1.5707788496533241</v>
      </c>
      <c r="Z160" s="340" t="str">
        <f>IMSUM(COMPLEX(1,0),IMDIV(COMPLEX(0,2*PI()*D160),COMPLEX(2*PI()*'Stability Calculations'!EA_Zero1,0)))</f>
        <v>1+566.510836851233i</v>
      </c>
      <c r="AA160" s="734">
        <f t="shared" si="135"/>
        <v>566.51171944619489</v>
      </c>
      <c r="AB160" s="735">
        <f t="shared" si="136"/>
        <v>1.5690311373292782</v>
      </c>
      <c r="AC160" s="733" t="str">
        <f>IMSUM(COMPLEX(1,0),IMDIV(COMPLEX(0,2*PI()*D160),COMPLEX(2*PI()*'Stability Calculations'!EA_Pole2,0)))</f>
        <v>1+5.70672206082002i</v>
      </c>
      <c r="AD160" s="734">
        <f t="shared" si="137"/>
        <v>5.7936755759577956</v>
      </c>
      <c r="AE160" s="735">
        <f t="shared" si="138"/>
        <v>1.3973256175199595</v>
      </c>
      <c r="AF160" s="732" t="str">
        <f t="shared" si="139"/>
        <v>1.75213783645313-10.1027882482644i</v>
      </c>
      <c r="AG160" s="337">
        <f t="shared" si="140"/>
        <v>10.253600215885147</v>
      </c>
      <c r="AH160" s="730">
        <f t="shared" si="141"/>
        <v>-1.3990733298440063</v>
      </c>
      <c r="AI160" s="731" t="str">
        <f t="shared" si="119"/>
        <v>10000</v>
      </c>
      <c r="AJ160" s="733" t="str">
        <f t="shared" si="142"/>
        <v>1+53342.5470957449i</v>
      </c>
      <c r="AK160" s="734">
        <f t="shared" si="143"/>
        <v>53342.547105118283</v>
      </c>
      <c r="AL160" s="735">
        <f t="shared" si="144"/>
        <v>1.5707775800335526</v>
      </c>
      <c r="AM160" s="340" t="str">
        <f t="shared" si="145"/>
        <v>1+90.528431728827i</v>
      </c>
      <c r="AN160" s="734">
        <f t="shared" si="146"/>
        <v>90.533954687072466</v>
      </c>
      <c r="AO160" s="735">
        <f t="shared" si="147"/>
        <v>1.5597505226133495</v>
      </c>
      <c r="AP160" s="733" t="str">
        <f t="shared" si="148"/>
        <v>1+4.39077815964721i</v>
      </c>
      <c r="AQ160" s="734">
        <f t="shared" si="149"/>
        <v>4.5032136133249265</v>
      </c>
      <c r="AR160" s="735">
        <f t="shared" si="150"/>
        <v>1.3468658820923638</v>
      </c>
      <c r="AS160" s="732" t="str">
        <f t="shared" si="151"/>
        <v>0.0336926370342408-25.9586518427099i</v>
      </c>
      <c r="AT160" s="337">
        <f t="shared" si="152"/>
        <v>25.958673708123388</v>
      </c>
      <c r="AU160" s="730">
        <f t="shared" si="153"/>
        <v>-1.5694983927450668</v>
      </c>
      <c r="AV160" s="732" t="str">
        <f t="shared" si="154"/>
        <v>-4.29349063538694-0.0546160149149808i</v>
      </c>
      <c r="AW160" s="337">
        <f t="shared" si="155"/>
        <v>12.656913096844946</v>
      </c>
      <c r="AX160" s="730">
        <f t="shared" si="156"/>
        <v>-179.2711994404936</v>
      </c>
      <c r="AY160" s="360">
        <f t="shared" si="157"/>
        <v>0.72880055950639644</v>
      </c>
      <c r="BB160" s="337">
        <f t="shared" si="158"/>
        <v>-11.714350009357716</v>
      </c>
      <c r="BC160" s="730">
        <f t="shared" si="159"/>
        <v>-89.925633856858425</v>
      </c>
      <c r="BD160" s="351"/>
      <c r="BE160" s="337">
        <f t="shared" si="120"/>
        <v>56.032489809481433</v>
      </c>
      <c r="BF160" s="730">
        <f t="shared" si="121"/>
        <v>38.701672509544167</v>
      </c>
      <c r="BI160" s="351"/>
      <c r="BJ160" s="351"/>
      <c r="BL160" s="405">
        <f t="shared" si="122"/>
        <v>0</v>
      </c>
      <c r="BM160" s="405">
        <f t="shared" si="160"/>
        <v>0</v>
      </c>
      <c r="BN160" s="405">
        <f t="shared" si="123"/>
        <v>0</v>
      </c>
      <c r="BO160" s="405">
        <f t="shared" si="124"/>
        <v>0</v>
      </c>
    </row>
    <row r="161" spans="4:67" ht="13.5" thickBot="1" x14ac:dyDescent="0.25">
      <c r="D161" s="345">
        <v>9068.2000000000007</v>
      </c>
      <c r="E161" s="340" t="str">
        <f t="shared" si="111"/>
        <v>0.150419757846774i</v>
      </c>
      <c r="F161" s="728" t="str">
        <f t="shared" si="125"/>
        <v>0.005-0.28771944021261i</v>
      </c>
      <c r="G161" s="337" t="str">
        <f t="shared" si="126"/>
        <v>0.005-0.450022714178698i</v>
      </c>
      <c r="H161" s="338" t="str">
        <f t="shared" si="127"/>
        <v>0.149754095908034-0.393016281760578i</v>
      </c>
      <c r="I161" s="338" t="str">
        <f t="shared" si="128"/>
        <v>0.159754095908034-0.393016281760578i</v>
      </c>
      <c r="J161" s="337" t="str">
        <f t="shared" si="129"/>
        <v>0.0288021452363942-0.171909482232663i</v>
      </c>
      <c r="K161" s="338" t="str">
        <f t="shared" si="112"/>
        <v>0.999086308319556-0.0474809841688049i</v>
      </c>
      <c r="L161" s="732"/>
      <c r="M161" s="732" t="str">
        <f t="shared" si="113"/>
        <v>526.363216802269+392.72770702016i</v>
      </c>
      <c r="N161" s="337">
        <f t="shared" si="114"/>
        <v>0</v>
      </c>
      <c r="O161" s="730" t="str">
        <f t="shared" si="115"/>
        <v>246.271602050508+110.252708264861i</v>
      </c>
      <c r="P161" s="731" t="str">
        <f t="shared" si="116"/>
        <v>82.6740065896912-79.1754276108464i</v>
      </c>
      <c r="Q161" s="729" t="str">
        <f t="shared" si="117"/>
        <v>80.2112905691862-80.277954693495i</v>
      </c>
      <c r="R161" s="730"/>
      <c r="S161" s="405" t="str">
        <f t="shared" si="130"/>
        <v>39.1798467654586+2.35123605581627i</v>
      </c>
      <c r="T161" s="405" t="str">
        <f t="shared" si="131"/>
        <v>15.9201039871208-2.57149247063378i</v>
      </c>
      <c r="U161" s="405" t="str">
        <f t="shared" si="132"/>
        <v>1.37346236996934-6.64195160433403i</v>
      </c>
      <c r="V161" s="731" t="str">
        <f t="shared" si="118"/>
        <v>6000</v>
      </c>
      <c r="W161" s="733" t="str">
        <f>IMSUM(COMPLEX(1,0),IMDIV(COMPLEX(0,2*PI()*D161),COMPLEX(2*PI()*'Stability Calculations'!EA_Pole1,0)))</f>
        <v>1+57546.9528125916i</v>
      </c>
      <c r="X161" s="734">
        <f t="shared" si="133"/>
        <v>57546.952821280145</v>
      </c>
      <c r="Y161" s="735">
        <f t="shared" si="134"/>
        <v>1.5707789496801925</v>
      </c>
      <c r="Z161" s="340" t="str">
        <f>IMSUM(COMPLEX(1,0),IMDIV(COMPLEX(0,2*PI()*D161),COMPLEX(2*PI()*'Stability Calculations'!EA_Zero1,0)))</f>
        <v>1+569.771810025659i</v>
      </c>
      <c r="AA161" s="734">
        <f t="shared" si="135"/>
        <v>569.77268756927583</v>
      </c>
      <c r="AB161" s="735">
        <f t="shared" si="136"/>
        <v>1.5690412400116838</v>
      </c>
      <c r="AC161" s="733" t="str">
        <f>IMSUM(COMPLEX(1,0),IMDIV(COMPLEX(0,2*PI()*D161),COMPLEX(2*PI()*'Stability Calculations'!EA_Pole2,0)))</f>
        <v>1+5.73957133102582i</v>
      </c>
      <c r="AD161" s="734">
        <f t="shared" si="137"/>
        <v>5.8260345917213279</v>
      </c>
      <c r="AE161" s="735">
        <f t="shared" si="138"/>
        <v>1.3982988095922857</v>
      </c>
      <c r="AF161" s="732" t="str">
        <f t="shared" si="139"/>
        <v>1.73272840728219-10.0483486752512i</v>
      </c>
      <c r="AG161" s="337">
        <f t="shared" si="140"/>
        <v>10.196649392463449</v>
      </c>
      <c r="AH161" s="730">
        <f t="shared" si="141"/>
        <v>-1.4000365192607933</v>
      </c>
      <c r="AI161" s="731" t="str">
        <f t="shared" si="119"/>
        <v>10000</v>
      </c>
      <c r="AJ161" s="733" t="str">
        <f t="shared" si="142"/>
        <v>1+53649.5996776543i</v>
      </c>
      <c r="AK161" s="734">
        <f t="shared" si="143"/>
        <v>53649.599686974034</v>
      </c>
      <c r="AL161" s="735">
        <f t="shared" si="144"/>
        <v>1.5707776873268318</v>
      </c>
      <c r="AM161" s="340" t="str">
        <f t="shared" si="145"/>
        <v>1+91.0495352421003i</v>
      </c>
      <c r="AN161" s="734">
        <f t="shared" si="146"/>
        <v>91.055026592728339</v>
      </c>
      <c r="AO161" s="735">
        <f t="shared" si="147"/>
        <v>1.5598137359310285</v>
      </c>
      <c r="AP161" s="733" t="str">
        <f t="shared" si="148"/>
        <v>1+4.41605253899192i</v>
      </c>
      <c r="AQ161" s="734">
        <f t="shared" si="149"/>
        <v>4.5278604248736496</v>
      </c>
      <c r="AR161" s="735">
        <f t="shared" si="150"/>
        <v>1.3481054348941708</v>
      </c>
      <c r="AS161" s="732" t="str">
        <f t="shared" si="151"/>
        <v>0.0333080753918302-25.8100832700849i</v>
      </c>
      <c r="AT161" s="337">
        <f t="shared" si="152"/>
        <v>25.810104762216728</v>
      </c>
      <c r="AU161" s="730">
        <f t="shared" si="153"/>
        <v>-1.5695058211985835</v>
      </c>
      <c r="AV161" s="732" t="str">
        <f t="shared" si="154"/>
        <v>-4.24380231129579-0.0505401911310231i</v>
      </c>
      <c r="AW161" s="337">
        <f t="shared" si="155"/>
        <v>12.555718809523482</v>
      </c>
      <c r="AX161" s="730">
        <f t="shared" si="156"/>
        <v>-179.31768669994929</v>
      </c>
      <c r="AY161" s="360">
        <f t="shared" si="157"/>
        <v>0.68231330005070845</v>
      </c>
      <c r="BB161" s="337">
        <f t="shared" si="158"/>
        <v>-11.764204653361066</v>
      </c>
      <c r="BC161" s="730">
        <f t="shared" si="159"/>
        <v>-89.926059475893254</v>
      </c>
      <c r="BD161" s="351"/>
      <c r="BE161" s="337">
        <f t="shared" si="120"/>
        <v>56.347726993552712</v>
      </c>
      <c r="BF161" s="730">
        <f t="shared" si="121"/>
        <v>36.727186628768628</v>
      </c>
      <c r="BI161" s="351"/>
      <c r="BJ161" s="351"/>
      <c r="BL161" s="405">
        <f t="shared" si="122"/>
        <v>0</v>
      </c>
      <c r="BM161" s="405">
        <f t="shared" si="160"/>
        <v>0</v>
      </c>
      <c r="BN161" s="405">
        <f t="shared" si="123"/>
        <v>0</v>
      </c>
      <c r="BO161" s="405">
        <f t="shared" si="124"/>
        <v>0</v>
      </c>
    </row>
    <row r="162" spans="4:67" ht="13.5" thickBot="1" x14ac:dyDescent="0.25">
      <c r="D162" s="345">
        <v>9120.1</v>
      </c>
      <c r="E162" s="340" t="str">
        <f t="shared" si="111"/>
        <v>0.151280654764823i</v>
      </c>
      <c r="F162" s="728" t="str">
        <f t="shared" si="125"/>
        <v>0.005-0.286082107404084i</v>
      </c>
      <c r="G162" s="337" t="str">
        <f t="shared" si="126"/>
        <v>0.005-0.447461757734594i</v>
      </c>
      <c r="H162" s="338" t="str">
        <f t="shared" si="127"/>
        <v>0.148305390230343-0.391310353055748i</v>
      </c>
      <c r="I162" s="338" t="str">
        <f t="shared" si="128"/>
        <v>0.158305390230343-0.391310353055748i</v>
      </c>
      <c r="J162" s="337" t="str">
        <f t="shared" si="129"/>
        <v>0.028527765874452-0.170970461289136i</v>
      </c>
      <c r="K162" s="338" t="str">
        <f t="shared" si="112"/>
        <v>0.999075819733222-0.0477527319333405i</v>
      </c>
      <c r="L162" s="732"/>
      <c r="M162" s="732" t="str">
        <f t="shared" si="113"/>
        <v>560.335413656167+386.742373453482i</v>
      </c>
      <c r="N162" s="337">
        <f t="shared" si="114"/>
        <v>0</v>
      </c>
      <c r="O162" s="730" t="str">
        <f t="shared" si="115"/>
        <v>259.105098813589+105.003369785961i</v>
      </c>
      <c r="P162" s="731" t="str">
        <f t="shared" si="116"/>
        <v>82.1066394813445-84.7679082658229i</v>
      </c>
      <c r="Q162" s="729" t="str">
        <f t="shared" si="117"/>
        <v>79.5155884932086-85.8179419636824i</v>
      </c>
      <c r="R162" s="730"/>
      <c r="S162" s="405" t="str">
        <f t="shared" si="130"/>
        <v>39.1908292598059+2.31900614492531i</v>
      </c>
      <c r="T162" s="405" t="str">
        <f t="shared" si="131"/>
        <v>15.9151551203094-2.56815717286747i</v>
      </c>
      <c r="U162" s="405" t="str">
        <f t="shared" si="132"/>
        <v>1.35535680067651-6.60863652076028i</v>
      </c>
      <c r="V162" s="731" t="str">
        <f t="shared" si="118"/>
        <v>6000</v>
      </c>
      <c r="W162" s="733" t="str">
        <f>IMSUM(COMPLEX(1,0),IMDIV(COMPLEX(0,2*PI()*D162),COMPLEX(2*PI()*'Stability Calculations'!EA_Pole1,0)))</f>
        <v>1+57876.3111032086i</v>
      </c>
      <c r="X162" s="734">
        <f t="shared" si="133"/>
        <v>57876.311111847717</v>
      </c>
      <c r="Y162" s="735">
        <f t="shared" si="134"/>
        <v>1.5707790485686095</v>
      </c>
      <c r="Z162" s="340" t="str">
        <f>IMSUM(COMPLEX(1,0),IMDIV(COMPLEX(0,2*PI()*D162),COMPLEX(2*PI()*'Stability Calculations'!EA_Zero1,0)))</f>
        <v>1+573.032783200085i</v>
      </c>
      <c r="AA162" s="734">
        <f t="shared" si="135"/>
        <v>573.03365574984832</v>
      </c>
      <c r="AB162" s="735">
        <f t="shared" si="136"/>
        <v>1.5690512277112252</v>
      </c>
      <c r="AC162" s="733" t="str">
        <f>IMSUM(COMPLEX(1,0),IMDIV(COMPLEX(0,2*PI()*D162),COMPLEX(2*PI()*'Stability Calculations'!EA_Pole2,0)))</f>
        <v>1+5.77242060123162i</v>
      </c>
      <c r="AD162" s="734">
        <f t="shared" si="137"/>
        <v>5.8583990643795527</v>
      </c>
      <c r="AE162" s="735">
        <f t="shared" si="138"/>
        <v>1.3992612498526082</v>
      </c>
      <c r="AF162" s="732" t="str">
        <f t="shared" si="139"/>
        <v>1.71363652237761-9.99447369321288i</v>
      </c>
      <c r="AG162" s="337">
        <f t="shared" si="140"/>
        <v>10.140318265969306</v>
      </c>
      <c r="AH162" s="730">
        <f t="shared" si="141"/>
        <v>-1.4009890707099928</v>
      </c>
      <c r="AI162" s="731" t="str">
        <f t="shared" si="119"/>
        <v>10000</v>
      </c>
      <c r="AJ162" s="733" t="str">
        <f t="shared" si="142"/>
        <v>1+53956.6522595636i</v>
      </c>
      <c r="AK162" s="734">
        <f t="shared" si="143"/>
        <v>53956.652268830301</v>
      </c>
      <c r="AL162" s="735">
        <f t="shared" si="144"/>
        <v>1.5707777933989573</v>
      </c>
      <c r="AM162" s="340" t="str">
        <f t="shared" si="145"/>
        <v>1+91.5706387553736i</v>
      </c>
      <c r="AN162" s="734">
        <f t="shared" si="146"/>
        <v>91.576098858092493</v>
      </c>
      <c r="AO162" s="735">
        <f t="shared" si="147"/>
        <v>1.5598762298755144</v>
      </c>
      <c r="AP162" s="733" t="str">
        <f t="shared" si="148"/>
        <v>1+4.44132691833663i</v>
      </c>
      <c r="AQ162" s="734">
        <f t="shared" si="149"/>
        <v>4.5525141181045825</v>
      </c>
      <c r="AR162" s="735">
        <f t="shared" si="150"/>
        <v>1.3493315642099573</v>
      </c>
      <c r="AS162" s="732" t="str">
        <f t="shared" si="151"/>
        <v>0.0329300603425055-25.6632056154572i</v>
      </c>
      <c r="AT162" s="337">
        <f t="shared" si="152"/>
        <v>25.663226742756031</v>
      </c>
      <c r="AU162" s="730">
        <f t="shared" si="153"/>
        <v>-1.5695131651056371</v>
      </c>
      <c r="AV162" s="732" t="str">
        <f t="shared" si="154"/>
        <v>-4.19496987696525-0.0465829077547012i</v>
      </c>
      <c r="AW162" s="337">
        <f t="shared" si="155"/>
        <v>12.455112424361179</v>
      </c>
      <c r="AX162" s="730">
        <f t="shared" si="156"/>
        <v>-179.36378701303462</v>
      </c>
      <c r="AY162" s="360">
        <f t="shared" si="157"/>
        <v>0.63621298696537565</v>
      </c>
      <c r="BB162" s="337">
        <f t="shared" si="158"/>
        <v>-11.813774778028815</v>
      </c>
      <c r="BC162" s="730">
        <f t="shared" si="159"/>
        <v>-89.926480250772556</v>
      </c>
      <c r="BD162" s="351"/>
      <c r="BE162" s="337">
        <f t="shared" si="120"/>
        <v>56.660923124524274</v>
      </c>
      <c r="BF162" s="730">
        <f t="shared" si="121"/>
        <v>34.613359758359664</v>
      </c>
      <c r="BI162" s="351"/>
      <c r="BJ162" s="351"/>
      <c r="BL162" s="405">
        <f t="shared" si="122"/>
        <v>0</v>
      </c>
      <c r="BM162" s="405">
        <f t="shared" si="160"/>
        <v>0</v>
      </c>
      <c r="BN162" s="405">
        <f t="shared" si="123"/>
        <v>0</v>
      </c>
      <c r="BO162" s="405">
        <f t="shared" si="124"/>
        <v>0</v>
      </c>
    </row>
    <row r="163" spans="4:67" ht="13.5" thickBot="1" x14ac:dyDescent="0.25">
      <c r="D163" s="345">
        <v>9173.2000000000007</v>
      </c>
      <c r="E163" s="340" t="str">
        <f t="shared" si="111"/>
        <v>0.152161456813924i</v>
      </c>
      <c r="F163" s="728" t="str">
        <f t="shared" si="125"/>
        <v>0.005-0.284426092065581i</v>
      </c>
      <c r="G163" s="337" t="str">
        <f t="shared" si="126"/>
        <v>0.005-0.444871579897448i</v>
      </c>
      <c r="H163" s="338" t="str">
        <f t="shared" si="127"/>
        <v>0.146844591269299-0.389577165258821i</v>
      </c>
      <c r="I163" s="338" t="str">
        <f t="shared" si="128"/>
        <v>0.156844591269299-0.389577165258821i</v>
      </c>
      <c r="J163" s="337" t="str">
        <f t="shared" si="129"/>
        <v>0.0282517216680954-0.170020062688034i</v>
      </c>
      <c r="K163" s="338" t="str">
        <f t="shared" si="112"/>
        <v>0.999065026686222-0.0480307628831832i</v>
      </c>
      <c r="L163" s="732"/>
      <c r="M163" s="732" t="str">
        <f t="shared" si="113"/>
        <v>596.855115937194+377.286751040938i</v>
      </c>
      <c r="N163" s="337">
        <f t="shared" si="114"/>
        <v>0</v>
      </c>
      <c r="O163" s="730" t="str">
        <f t="shared" si="115"/>
        <v>272.644647662513+98.1722409864125i</v>
      </c>
      <c r="P163" s="731" t="str">
        <f t="shared" si="116"/>
        <v>81.0085016749813-90.818343947847i</v>
      </c>
      <c r="Q163" s="729" t="str">
        <f t="shared" si="117"/>
        <v>78.2820551983562-91.8000663577112i</v>
      </c>
      <c r="R163" s="730"/>
      <c r="S163" s="405" t="str">
        <f t="shared" si="130"/>
        <v>39.2018751055242+2.28623353730745i</v>
      </c>
      <c r="T163" s="405" t="str">
        <f t="shared" si="131"/>
        <v>15.9101634648562-2.56482448433046i</v>
      </c>
      <c r="U163" s="405" t="str">
        <f t="shared" si="132"/>
        <v>1.33712439903265-6.57486698452214i</v>
      </c>
      <c r="V163" s="731" t="str">
        <f t="shared" si="118"/>
        <v>6000</v>
      </c>
      <c r="W163" s="733" t="str">
        <f>IMSUM(COMPLEX(1,0),IMDIV(COMPLEX(0,2*PI()*D163),COMPLEX(2*PI()*'Stability Calculations'!EA_Pole1,0)))</f>
        <v>1+58213.284614418i</v>
      </c>
      <c r="X163" s="734">
        <f t="shared" si="133"/>
        <v>58213.284623007108</v>
      </c>
      <c r="Y163" s="735">
        <f t="shared" si="134"/>
        <v>1.5707791485853775</v>
      </c>
      <c r="Z163" s="340" t="str">
        <f>IMSUM(COMPLEX(1,0),IMDIV(COMPLEX(0,2*PI()*D163),COMPLEX(2*PI()*'Stability Calculations'!EA_Zero1,0)))</f>
        <v>1+576.369154598198i</v>
      </c>
      <c r="AA163" s="734">
        <f t="shared" si="135"/>
        <v>576.37002209712591</v>
      </c>
      <c r="AB163" s="735">
        <f t="shared" si="136"/>
        <v>1.5690613293742044</v>
      </c>
      <c r="AC163" s="733" t="str">
        <f>IMSUM(COMPLEX(1,0),IMDIV(COMPLEX(0,2*PI()*D163),COMPLEX(2*PI()*'Stability Calculations'!EA_Pole2,0)))</f>
        <v>1+5.80602939213583i</v>
      </c>
      <c r="AD163" s="734">
        <f t="shared" si="137"/>
        <v>5.891517402362922</v>
      </c>
      <c r="AE163" s="735">
        <f t="shared" si="138"/>
        <v>1.4002349984402791</v>
      </c>
      <c r="AF163" s="732" t="str">
        <f t="shared" si="139"/>
        <v>1.69442473788455-9.93992860032012i</v>
      </c>
      <c r="AG163" s="337">
        <f t="shared" si="140"/>
        <v>10.083315713187654</v>
      </c>
      <c r="AH163" s="730">
        <f t="shared" si="141"/>
        <v>-1.4019528176514529</v>
      </c>
      <c r="AI163" s="731" t="str">
        <f t="shared" si="119"/>
        <v>10000</v>
      </c>
      <c r="AJ163" s="733" t="str">
        <f t="shared" si="142"/>
        <v>1+54270.8043231356i</v>
      </c>
      <c r="AK163" s="734">
        <f t="shared" si="143"/>
        <v>54270.804332348656</v>
      </c>
      <c r="AL163" s="735">
        <f t="shared" si="144"/>
        <v>1.5707779006814022</v>
      </c>
      <c r="AM163" s="340" t="str">
        <f t="shared" si="145"/>
        <v>1+92.103790904792i</v>
      </c>
      <c r="AN163" s="734">
        <f t="shared" si="146"/>
        <v>92.109219403019836</v>
      </c>
      <c r="AO163" s="735">
        <f t="shared" si="147"/>
        <v>1.5599394369841455</v>
      </c>
      <c r="AP163" s="733" t="str">
        <f t="shared" si="148"/>
        <v>1+4.46718567639451i</v>
      </c>
      <c r="AQ163" s="734">
        <f t="shared" si="149"/>
        <v>4.5777448451594891</v>
      </c>
      <c r="AR163" s="735">
        <f t="shared" si="150"/>
        <v>1.3505723730836217</v>
      </c>
      <c r="AS163" s="732" t="str">
        <f t="shared" si="151"/>
        <v>0.0325499263800549-25.514652027872i</v>
      </c>
      <c r="AT163" s="337">
        <f t="shared" si="152"/>
        <v>25.514672790398471</v>
      </c>
      <c r="AU163" s="730">
        <f t="shared" si="153"/>
        <v>-1.5695205928093345</v>
      </c>
      <c r="AV163" s="732" t="str">
        <f t="shared" si="154"/>
        <v>-4.14587383638619-0.0426528112521903i</v>
      </c>
      <c r="AW163" s="337">
        <f t="shared" si="155"/>
        <v>12.352781284826733</v>
      </c>
      <c r="AX163" s="730">
        <f t="shared" si="156"/>
        <v>-179.41056096972443</v>
      </c>
      <c r="AY163" s="360">
        <f t="shared" si="157"/>
        <v>0.58943903027557099</v>
      </c>
      <c r="BB163" s="337">
        <f t="shared" si="158"/>
        <v>-11.864199936982287</v>
      </c>
      <c r="BC163" s="730">
        <f t="shared" si="159"/>
        <v>-89.926905826845896</v>
      </c>
      <c r="BD163" s="351"/>
      <c r="BE163" s="337">
        <f t="shared" si="120"/>
        <v>56.977360047452621</v>
      </c>
      <c r="BF163" s="730">
        <f t="shared" si="121"/>
        <v>32.297984179430131</v>
      </c>
      <c r="BI163" s="351"/>
      <c r="BJ163" s="351"/>
      <c r="BL163" s="405">
        <f t="shared" si="122"/>
        <v>0</v>
      </c>
      <c r="BM163" s="405">
        <f t="shared" si="160"/>
        <v>0</v>
      </c>
      <c r="BN163" s="405">
        <f t="shared" si="123"/>
        <v>0</v>
      </c>
      <c r="BO163" s="405">
        <f t="shared" si="124"/>
        <v>0</v>
      </c>
    </row>
    <row r="164" spans="4:67" ht="13.5" thickBot="1" x14ac:dyDescent="0.25">
      <c r="D164" s="345">
        <v>9226.2999999999993</v>
      </c>
      <c r="E164" s="340" t="str">
        <f t="shared" si="111"/>
        <v>0.153042258863026i</v>
      </c>
      <c r="F164" s="728" t="str">
        <f t="shared" si="125"/>
        <v>0.005-0.28278913841258i</v>
      </c>
      <c r="G164" s="337" t="str">
        <f t="shared" si="126"/>
        <v>0.005-0.442311216491472i</v>
      </c>
      <c r="H164" s="338" t="str">
        <f t="shared" si="127"/>
        <v>0.145405044161516-0.387856233094856i</v>
      </c>
      <c r="I164" s="338" t="str">
        <f t="shared" si="128"/>
        <v>0.155405044161516-0.387856233094856i</v>
      </c>
      <c r="J164" s="337" t="str">
        <f t="shared" si="129"/>
        <v>0.0279803058400652-0.16907995160406i</v>
      </c>
      <c r="K164" s="338" t="str">
        <f t="shared" si="112"/>
        <v>0.999054170981222-0.0483087938330258i</v>
      </c>
      <c r="L164" s="732"/>
      <c r="M164" s="732" t="str">
        <f t="shared" si="113"/>
        <v>634.873548541146+363.895482741053i</v>
      </c>
      <c r="N164" s="337">
        <f t="shared" si="114"/>
        <v>0</v>
      </c>
      <c r="O164" s="730" t="str">
        <f t="shared" si="115"/>
        <v>286.438557139087+89.6656726887668i</v>
      </c>
      <c r="P164" s="731" t="str">
        <f t="shared" si="116"/>
        <v>79.2913866687421-97.1624819611221i</v>
      </c>
      <c r="Q164" s="729" t="str">
        <f t="shared" si="117"/>
        <v>76.4270010973514-98.0591386880097i</v>
      </c>
      <c r="R164" s="730"/>
      <c r="S164" s="405" t="str">
        <f t="shared" si="130"/>
        <v>39.2127320696832+2.25366321424742i</v>
      </c>
      <c r="T164" s="405" t="str">
        <f t="shared" si="131"/>
        <v>15.905242733862-2.56157143124064i</v>
      </c>
      <c r="U164" s="405" t="str">
        <f t="shared" si="132"/>
        <v>1.31918107599246-6.54141294029749i</v>
      </c>
      <c r="V164" s="731" t="str">
        <f t="shared" si="118"/>
        <v>6000</v>
      </c>
      <c r="W164" s="733" t="str">
        <f>IMSUM(COMPLEX(1,0),IMDIV(COMPLEX(0,2*PI()*D164),COMPLEX(2*PI()*'Stability Calculations'!EA_Pole1,0)))</f>
        <v>1+58550.2581256273i</v>
      </c>
      <c r="X164" s="734">
        <f t="shared" si="133"/>
        <v>58550.258134166972</v>
      </c>
      <c r="Y164" s="735">
        <f t="shared" si="134"/>
        <v>1.570779247450895</v>
      </c>
      <c r="Z164" s="340" t="str">
        <f>IMSUM(COMPLEX(1,0),IMDIV(COMPLEX(0,2*PI()*D164),COMPLEX(2*PI()*'Stability Calculations'!EA_Zero1,0)))</f>
        <v>1+579.70552599631i</v>
      </c>
      <c r="AA164" s="734">
        <f t="shared" si="135"/>
        <v>579.70638850254056</v>
      </c>
      <c r="AB164" s="735">
        <f t="shared" si="136"/>
        <v>1.569071314761602</v>
      </c>
      <c r="AC164" s="733" t="str">
        <f>IMSUM(COMPLEX(1,0),IMDIV(COMPLEX(0,2*PI()*D164),COMPLEX(2*PI()*'Stability Calculations'!EA_Pole2,0)))</f>
        <v>1+5.83963818304002i</v>
      </c>
      <c r="AD164" s="734">
        <f t="shared" si="137"/>
        <v>5.9246412641457837</v>
      </c>
      <c r="AE164" s="735">
        <f t="shared" si="138"/>
        <v>1.4011978597411692</v>
      </c>
      <c r="AF164" s="732" t="str">
        <f t="shared" si="139"/>
        <v>1.67553110570695-9.88595687125158i</v>
      </c>
      <c r="AG164" s="337">
        <f t="shared" si="140"/>
        <v>10.026941096188702</v>
      </c>
      <c r="AH164" s="730">
        <f t="shared" si="141"/>
        <v>-1.4029057924304627</v>
      </c>
      <c r="AI164" s="731" t="str">
        <f t="shared" si="119"/>
        <v>10000</v>
      </c>
      <c r="AJ164" s="733" t="str">
        <f t="shared" si="142"/>
        <v>1+54584.9563867076i</v>
      </c>
      <c r="AK164" s="734">
        <f t="shared" si="143"/>
        <v>54584.956395867637</v>
      </c>
      <c r="AL164" s="735">
        <f t="shared" si="144"/>
        <v>1.5707780067289647</v>
      </c>
      <c r="AM164" s="340" t="str">
        <f t="shared" si="145"/>
        <v>1+92.6369430542103i</v>
      </c>
      <c r="AN164" s="734">
        <f t="shared" si="146"/>
        <v>92.642340311700906</v>
      </c>
      <c r="AO164" s="735">
        <f t="shared" si="147"/>
        <v>1.560001916627999</v>
      </c>
      <c r="AP164" s="733" t="str">
        <f t="shared" si="148"/>
        <v>1+4.49304443445239i</v>
      </c>
      <c r="AQ164" s="734">
        <f t="shared" si="149"/>
        <v>4.602982542869742</v>
      </c>
      <c r="AR164" s="735">
        <f t="shared" si="150"/>
        <v>1.3517995773649776</v>
      </c>
      <c r="AS164" s="732" t="str">
        <f t="shared" si="151"/>
        <v>0.0321763368379082-25.3678083689055i</v>
      </c>
      <c r="AT164" s="337">
        <f t="shared" si="152"/>
        <v>25.367828775008796</v>
      </c>
      <c r="AU164" s="730">
        <f t="shared" si="153"/>
        <v>-1.5695279350160443</v>
      </c>
      <c r="AV164" s="732" t="str">
        <f t="shared" si="154"/>
        <v>-4.09763302028011-0.0388388342135073i</v>
      </c>
      <c r="AW164" s="337">
        <f t="shared" si="155"/>
        <v>12.251051366458999</v>
      </c>
      <c r="AX164" s="730">
        <f t="shared" si="156"/>
        <v>-179.45694633111327</v>
      </c>
      <c r="AY164" s="360">
        <f t="shared" si="157"/>
        <v>0.54305366888672779</v>
      </c>
      <c r="BB164" s="337">
        <f t="shared" si="158"/>
        <v>-11.914334046487694</v>
      </c>
      <c r="BC164" s="730">
        <f t="shared" si="159"/>
        <v>-89.92732650430267</v>
      </c>
      <c r="BD164" s="351"/>
      <c r="BE164" s="337">
        <f t="shared" si="120"/>
        <v>57.287467786580976</v>
      </c>
      <c r="BF164" s="730">
        <f t="shared" si="121"/>
        <v>29.820381403211062</v>
      </c>
      <c r="BI164" s="351"/>
      <c r="BJ164" s="351"/>
      <c r="BL164" s="405">
        <f t="shared" si="122"/>
        <v>0</v>
      </c>
      <c r="BM164" s="405">
        <f t="shared" si="160"/>
        <v>0</v>
      </c>
      <c r="BN164" s="405">
        <f t="shared" si="123"/>
        <v>0</v>
      </c>
      <c r="BO164" s="405">
        <f t="shared" si="124"/>
        <v>0</v>
      </c>
    </row>
    <row r="165" spans="4:67" ht="13.5" thickBot="1" x14ac:dyDescent="0.25">
      <c r="D165" s="345">
        <v>9279.4</v>
      </c>
      <c r="E165" s="340" t="str">
        <f t="shared" si="111"/>
        <v>0.153923060912128i</v>
      </c>
      <c r="F165" s="728" t="str">
        <f t="shared" si="125"/>
        <v>0.005-0.281170919212017i</v>
      </c>
      <c r="G165" s="337" t="str">
        <f t="shared" si="126"/>
        <v>0.005-0.43978015569059i</v>
      </c>
      <c r="H165" s="338" t="str">
        <f t="shared" si="127"/>
        <v>0.143986358880004-0.386147486574065i</v>
      </c>
      <c r="I165" s="338" t="str">
        <f t="shared" si="128"/>
        <v>0.153986358880004-0.386147486574065i</v>
      </c>
      <c r="J165" s="337" t="str">
        <f t="shared" si="129"/>
        <v>0.0277134161775794-0.168149965764933i</v>
      </c>
      <c r="K165" s="338" t="str">
        <f t="shared" si="112"/>
        <v>0.999043252618222-0.0485868247828685i</v>
      </c>
      <c r="L165" s="732"/>
      <c r="M165" s="732" t="str">
        <f t="shared" si="113"/>
        <v>673.960055110601+345.982809091824i</v>
      </c>
      <c r="N165" s="337">
        <f t="shared" si="114"/>
        <v>0</v>
      </c>
      <c r="O165" s="730" t="str">
        <f t="shared" si="115"/>
        <v>300.267572606502+79.2899704582306i</v>
      </c>
      <c r="P165" s="731" t="str">
        <f t="shared" si="116"/>
        <v>76.85473299839-103.73799461513i</v>
      </c>
      <c r="Q165" s="729" t="str">
        <f t="shared" si="117"/>
        <v>73.852057272325-104.530894319712i</v>
      </c>
      <c r="R165" s="730"/>
      <c r="S165" s="405" t="str">
        <f t="shared" si="130"/>
        <v>39.2234039599996+2.22129265705924i</v>
      </c>
      <c r="T165" s="405" t="str">
        <f t="shared" si="131"/>
        <v>15.9003914238783-2.55839701770835i</v>
      </c>
      <c r="U165" s="405" t="str">
        <f t="shared" si="132"/>
        <v>1.30152088784442-6.50827045502366i</v>
      </c>
      <c r="V165" s="731" t="str">
        <f t="shared" si="118"/>
        <v>6000</v>
      </c>
      <c r="W165" s="733" t="str">
        <f>IMSUM(COMPLEX(1,0),IMDIV(COMPLEX(0,2*PI()*D165),COMPLEX(2*PI()*'Stability Calculations'!EA_Pole1,0)))</f>
        <v>1+58887.2316368366i</v>
      </c>
      <c r="X165" s="734">
        <f t="shared" si="133"/>
        <v>58887.231645327403</v>
      </c>
      <c r="Y165" s="735">
        <f t="shared" si="134"/>
        <v>1.5707793451849261</v>
      </c>
      <c r="Z165" s="340" t="str">
        <f>IMSUM(COMPLEX(1,0),IMDIV(COMPLEX(0,2*PI()*D165),COMPLEX(2*PI()*'Stability Calculations'!EA_Zero1,0)))</f>
        <v>1+583.041897394422i</v>
      </c>
      <c r="AA165" s="734">
        <f t="shared" si="135"/>
        <v>583.04275496509479</v>
      </c>
      <c r="AB165" s="735">
        <f t="shared" si="136"/>
        <v>1.5690811858695202</v>
      </c>
      <c r="AC165" s="733" t="str">
        <f>IMSUM(COMPLEX(1,0),IMDIV(COMPLEX(0,2*PI()*D165),COMPLEX(2*PI()*'Stability Calculations'!EA_Pole2,0)))</f>
        <v>1+5.87324697394422i</v>
      </c>
      <c r="AD165" s="734">
        <f t="shared" si="137"/>
        <v>5.9577705575949249</v>
      </c>
      <c r="AE165" s="735">
        <f t="shared" si="138"/>
        <v>1.4021500135772444</v>
      </c>
      <c r="AF165" s="732" t="str">
        <f t="shared" si="139"/>
        <v>1.65694870872142-9.83254984076988i</v>
      </c>
      <c r="AG165" s="337">
        <f t="shared" si="140"/>
        <v>9.9711842523622725</v>
      </c>
      <c r="AH165" s="730">
        <f t="shared" si="141"/>
        <v>-1.4038481728926511</v>
      </c>
      <c r="AI165" s="731" t="str">
        <f t="shared" si="119"/>
        <v>10000</v>
      </c>
      <c r="AJ165" s="733" t="str">
        <f t="shared" si="142"/>
        <v>1+54899.1084502795i</v>
      </c>
      <c r="AK165" s="734">
        <f t="shared" si="143"/>
        <v>54899.108459387113</v>
      </c>
      <c r="AL165" s="735">
        <f t="shared" si="144"/>
        <v>1.5707781115628443</v>
      </c>
      <c r="AM165" s="340" t="str">
        <f t="shared" si="145"/>
        <v>1+93.1700952036286i</v>
      </c>
      <c r="AN165" s="734">
        <f t="shared" si="146"/>
        <v>93.175461577891951</v>
      </c>
      <c r="AO165" s="735">
        <f t="shared" si="147"/>
        <v>1.5600636812935709</v>
      </c>
      <c r="AP165" s="733" t="str">
        <f t="shared" si="148"/>
        <v>1+4.51890319251027i</v>
      </c>
      <c r="AQ165" s="734">
        <f t="shared" si="149"/>
        <v>4.6282270972025037</v>
      </c>
      <c r="AR165" s="735">
        <f t="shared" si="150"/>
        <v>1.3530133959448256</v>
      </c>
      <c r="AS165" s="732" t="str">
        <f t="shared" si="151"/>
        <v>0.031809142347963-25.222645284302i</v>
      </c>
      <c r="AT165" s="337">
        <f t="shared" si="152"/>
        <v>25.22266534209378</v>
      </c>
      <c r="AU165" s="730">
        <f t="shared" si="153"/>
        <v>-1.5695351931934953</v>
      </c>
      <c r="AV165" s="732" t="str">
        <f t="shared" si="154"/>
        <v>-4.05022772041203-0.0351371740559928i</v>
      </c>
      <c r="AW165" s="337">
        <f t="shared" si="155"/>
        <v>12.149915680035212</v>
      </c>
      <c r="AX165" s="730">
        <f t="shared" si="156"/>
        <v>-179.50295108999461</v>
      </c>
      <c r="AY165" s="360">
        <f t="shared" si="157"/>
        <v>0.49704891000538964</v>
      </c>
      <c r="BB165" s="337">
        <f t="shared" si="158"/>
        <v>-11.964180447089579</v>
      </c>
      <c r="BC165" s="730">
        <f t="shared" si="159"/>
        <v>-89.92774236723757</v>
      </c>
      <c r="BD165" s="351"/>
      <c r="BE165" s="337">
        <f t="shared" si="120"/>
        <v>57.588560964028979</v>
      </c>
      <c r="BF165" s="730">
        <f t="shared" si="121"/>
        <v>27.174061237768694</v>
      </c>
      <c r="BI165" s="351"/>
      <c r="BJ165" s="351"/>
      <c r="BL165" s="405">
        <f t="shared" si="122"/>
        <v>0</v>
      </c>
      <c r="BM165" s="405">
        <f t="shared" si="160"/>
        <v>0</v>
      </c>
      <c r="BN165" s="405">
        <f t="shared" si="123"/>
        <v>0</v>
      </c>
      <c r="BO165" s="405">
        <f t="shared" si="124"/>
        <v>0</v>
      </c>
    </row>
    <row r="166" spans="4:67" ht="13.5" thickBot="1" x14ac:dyDescent="0.25">
      <c r="D166" s="345">
        <v>9332.5</v>
      </c>
      <c r="E166" s="340" t="str">
        <f t="shared" si="111"/>
        <v>0.154803862961229i</v>
      </c>
      <c r="F166" s="728" t="str">
        <f t="shared" si="125"/>
        <v>0.005-0.279571114678381i</v>
      </c>
      <c r="G166" s="337" t="str">
        <f t="shared" si="126"/>
        <v>0.005-0.437277897317467i</v>
      </c>
      <c r="H166" s="338" t="str">
        <f t="shared" si="127"/>
        <v>0.142588153771771-0.384450854302225i</v>
      </c>
      <c r="I166" s="338" t="str">
        <f t="shared" si="128"/>
        <v>0.152588153771771-0.384450854302225i</v>
      </c>
      <c r="J166" s="337" t="str">
        <f t="shared" si="129"/>
        <v>0.0274509532549243-0.167229946202928i</v>
      </c>
      <c r="K166" s="338" t="str">
        <f t="shared" si="112"/>
        <v>0.999032271597222-0.0488648557327112i</v>
      </c>
      <c r="L166" s="732"/>
      <c r="M166" s="732" t="str">
        <f t="shared" si="113"/>
        <v>713.512488580911+322.982065313442i</v>
      </c>
      <c r="N166" s="337">
        <f t="shared" si="114"/>
        <v>0</v>
      </c>
      <c r="O166" s="730" t="str">
        <f t="shared" si="115"/>
        <v>313.846621134352+66.8735538069755i</v>
      </c>
      <c r="P166" s="731" t="str">
        <f t="shared" si="116"/>
        <v>73.5988713777168-110.454489503405i</v>
      </c>
      <c r="Q166" s="729" t="str">
        <f t="shared" si="117"/>
        <v>70.4604051663733-111.123225041475i</v>
      </c>
      <c r="R166" s="730"/>
      <c r="S166" s="405" t="str">
        <f t="shared" si="130"/>
        <v>39.2338944891498+2.18911938082542i</v>
      </c>
      <c r="T166" s="405" t="str">
        <f t="shared" si="131"/>
        <v>15.8956080689829-2.55530026117716i</v>
      </c>
      <c r="U166" s="405" t="str">
        <f t="shared" si="132"/>
        <v>1.28413803922769-6.47543564834762i</v>
      </c>
      <c r="V166" s="731" t="str">
        <f t="shared" si="118"/>
        <v>6000</v>
      </c>
      <c r="W166" s="733" t="str">
        <f>IMSUM(COMPLEX(1,0),IMDIV(COMPLEX(0,2*PI()*D166),COMPLEX(2*PI()*'Stability Calculations'!EA_Pole1,0)))</f>
        <v>1+59224.205148046i</v>
      </c>
      <c r="X166" s="734">
        <f t="shared" si="133"/>
        <v>59224.20515648849</v>
      </c>
      <c r="Y166" s="735">
        <f t="shared" si="134"/>
        <v>1.570779441806784</v>
      </c>
      <c r="Z166" s="340" t="str">
        <f>IMSUM(COMPLEX(1,0),IMDIV(COMPLEX(0,2*PI()*D166),COMPLEX(2*PI()*'Stability Calculations'!EA_Zero1,0)))</f>
        <v>1+586.378268792535i</v>
      </c>
      <c r="AA166" s="734">
        <f t="shared" si="135"/>
        <v>586.37912148381474</v>
      </c>
      <c r="AB166" s="735">
        <f t="shared" si="136"/>
        <v>1.5690909446486307</v>
      </c>
      <c r="AC166" s="733" t="str">
        <f>IMSUM(COMPLEX(1,0),IMDIV(COMPLEX(0,2*PI()*D166),COMPLEX(2*PI()*'Stability Calculations'!EA_Pole2,0)))</f>
        <v>1+5.90685576484843i</v>
      </c>
      <c r="AD166" s="734">
        <f t="shared" si="137"/>
        <v>5.9909051926001249</v>
      </c>
      <c r="AE166" s="735">
        <f t="shared" si="138"/>
        <v>1.4030916358708576</v>
      </c>
      <c r="AF166" s="732" t="str">
        <f t="shared" si="139"/>
        <v>1.63867081486357-9.77969900952174i</v>
      </c>
      <c r="AG166" s="337">
        <f t="shared" si="140"/>
        <v>9.916035233717464</v>
      </c>
      <c r="AH166" s="730">
        <f t="shared" si="141"/>
        <v>-1.4047801330290108</v>
      </c>
      <c r="AI166" s="731" t="str">
        <f t="shared" si="119"/>
        <v>10000</v>
      </c>
      <c r="AJ166" s="733" t="str">
        <f t="shared" si="142"/>
        <v>1+55213.2605138516i</v>
      </c>
      <c r="AK166" s="734">
        <f t="shared" si="143"/>
        <v>55213.260522907403</v>
      </c>
      <c r="AL166" s="735">
        <f t="shared" si="144"/>
        <v>1.5707782152037575</v>
      </c>
      <c r="AM166" s="340" t="str">
        <f t="shared" si="145"/>
        <v>1+93.7032473530471i</v>
      </c>
      <c r="AN166" s="734">
        <f t="shared" si="146"/>
        <v>93.708583195491386</v>
      </c>
      <c r="AO166" s="735">
        <f t="shared" si="147"/>
        <v>1.5601247431832286</v>
      </c>
      <c r="AP166" s="733" t="str">
        <f t="shared" si="148"/>
        <v>1+4.54476195056815i</v>
      </c>
      <c r="AQ166" s="734">
        <f t="shared" si="149"/>
        <v>4.6534783965687447</v>
      </c>
      <c r="AR166" s="735">
        <f t="shared" si="150"/>
        <v>1.3542140431225922</v>
      </c>
      <c r="AS166" s="732" t="str">
        <f t="shared" si="151"/>
        <v>0.0314481977793479-25.079134087879i</v>
      </c>
      <c r="AT166" s="337">
        <f t="shared" si="152"/>
        <v>25.079153805241479</v>
      </c>
      <c r="AU166" s="730">
        <f t="shared" si="153"/>
        <v>-1.5695423687760117</v>
      </c>
      <c r="AV166" s="732" t="str">
        <f t="shared" si="154"/>
        <v>-4.00363879068091-0.0315441714885657i</v>
      </c>
      <c r="AW166" s="337">
        <f t="shared" si="155"/>
        <v>12.04936735552474</v>
      </c>
      <c r="AX166" s="730">
        <f t="shared" si="156"/>
        <v>-179.54858302849902</v>
      </c>
      <c r="AY166" s="360">
        <f t="shared" si="157"/>
        <v>0.45141697150097571</v>
      </c>
      <c r="BB166" s="337">
        <f t="shared" si="158"/>
        <v>-12.013742422148612</v>
      </c>
      <c r="BC166" s="730">
        <f t="shared" si="159"/>
        <v>-89.928153497831318</v>
      </c>
      <c r="BD166" s="351"/>
      <c r="BE166" s="337">
        <f t="shared" si="120"/>
        <v>57.877561516771365</v>
      </c>
      <c r="BF166" s="730">
        <f t="shared" si="121"/>
        <v>24.35459408195781</v>
      </c>
      <c r="BI166" s="351"/>
      <c r="BJ166" s="351"/>
      <c r="BL166" s="405">
        <f t="shared" si="122"/>
        <v>0</v>
      </c>
      <c r="BM166" s="405">
        <f t="shared" si="160"/>
        <v>0</v>
      </c>
      <c r="BN166" s="405">
        <f t="shared" si="123"/>
        <v>0</v>
      </c>
      <c r="BO166" s="405">
        <f t="shared" si="124"/>
        <v>0</v>
      </c>
    </row>
    <row r="167" spans="4:67" ht="13.5" thickBot="1" x14ac:dyDescent="0.25">
      <c r="D167" s="345">
        <v>9386.85</v>
      </c>
      <c r="E167" s="340" t="str">
        <f t="shared" si="111"/>
        <v>0.155705399521845i</v>
      </c>
      <c r="F167" s="728" t="str">
        <f t="shared" si="125"/>
        <v>0.005-0.27795239379941i</v>
      </c>
      <c r="G167" s="337" t="str">
        <f t="shared" si="126"/>
        <v>0.005-0.434746051840102i</v>
      </c>
      <c r="H167" s="338" t="str">
        <f t="shared" si="127"/>
        <v>0.141177853494944-0.382726751971027i</v>
      </c>
      <c r="I167" s="338" t="str">
        <f t="shared" si="128"/>
        <v>0.151177853494944-0.382726751971027i</v>
      </c>
      <c r="J167" s="337" t="str">
        <f t="shared" si="129"/>
        <v>0.0271867951633999-0.166298427352129i</v>
      </c>
      <c r="K167" s="338" t="str">
        <f t="shared" si="112"/>
        <v>0.99902096718975-0.0491494316672489i</v>
      </c>
      <c r="L167" s="732"/>
      <c r="M167" s="732" t="str">
        <f t="shared" si="113"/>
        <v>753.650521650492+293.651417983219i</v>
      </c>
      <c r="N167" s="337">
        <f t="shared" si="114"/>
        <v>0</v>
      </c>
      <c r="O167" s="730" t="str">
        <f t="shared" si="115"/>
        <v>327.116602965946+51.9177856681107i</v>
      </c>
      <c r="P167" s="731" t="str">
        <f t="shared" si="116"/>
        <v>69.3231113572334-117.347455573437i</v>
      </c>
      <c r="Q167" s="729" t="str">
        <f t="shared" si="117"/>
        <v>66.0519453275739-117.866633430118i</v>
      </c>
      <c r="R167" s="730"/>
      <c r="S167" s="405" t="str">
        <f t="shared" si="130"/>
        <v>39.2444479331817+2.15639047328511i</v>
      </c>
      <c r="T167" s="405" t="str">
        <f t="shared" si="131"/>
        <v>15.8907809932792-2.55221001450035i</v>
      </c>
      <c r="U167" s="405" t="str">
        <f t="shared" si="132"/>
        <v>1.26662730179175-6.44214252735611i</v>
      </c>
      <c r="V167" s="731" t="str">
        <f t="shared" si="118"/>
        <v>6000</v>
      </c>
      <c r="W167" s="733" t="str">
        <f>IMSUM(COMPLEX(1,0),IMDIV(COMPLEX(0,2*PI()*D167),COMPLEX(2*PI()*'Stability Calculations'!EA_Pole1,0)))</f>
        <v>1+59569.1111807057i</v>
      </c>
      <c r="X167" s="734">
        <f t="shared" si="133"/>
        <v>59569.11118909932</v>
      </c>
      <c r="Y167" s="735">
        <f t="shared" si="134"/>
        <v>1.5707795395711144</v>
      </c>
      <c r="Z167" s="340" t="str">
        <f>IMSUM(COMPLEX(1,0),IMDIV(COMPLEX(0,2*PI()*D167),COMPLEX(2*PI()*'Stability Calculations'!EA_Zero1,0)))</f>
        <v>1+589.793180006987i</v>
      </c>
      <c r="AA167" s="734">
        <f t="shared" si="135"/>
        <v>589.79402776117877</v>
      </c>
      <c r="AB167" s="735">
        <f t="shared" si="136"/>
        <v>1.5691008188174411</v>
      </c>
      <c r="AC167" s="733" t="str">
        <f>IMSUM(COMPLEX(1,0),IMDIV(COMPLEX(0,2*PI()*D167),COMPLEX(2*PI()*'Stability Calculations'!EA_Pole2,0)))</f>
        <v>1+5.94125572314679i</v>
      </c>
      <c r="AD167" s="734">
        <f t="shared" si="137"/>
        <v>6.0248252728045557</v>
      </c>
      <c r="AE167" s="735">
        <f t="shared" si="138"/>
        <v>1.4040446977056382</v>
      </c>
      <c r="AF167" s="732" t="str">
        <f t="shared" si="139"/>
        <v>1.62027115193257-9.72617133632562i</v>
      </c>
      <c r="AG167" s="337">
        <f t="shared" si="140"/>
        <v>9.8602072731432475</v>
      </c>
      <c r="AH167" s="730">
        <f t="shared" si="141"/>
        <v>-1.4057234184593113</v>
      </c>
      <c r="AI167" s="731" t="str">
        <f t="shared" si="119"/>
        <v>10000</v>
      </c>
      <c r="AJ167" s="733" t="str">
        <f t="shared" si="142"/>
        <v>1+55534.8078708221i</v>
      </c>
      <c r="AK167" s="734">
        <f t="shared" si="143"/>
        <v>55534.807879825457</v>
      </c>
      <c r="AL167" s="735">
        <f t="shared" si="144"/>
        <v>1.5707783200701373</v>
      </c>
      <c r="AM167" s="340" t="str">
        <f t="shared" si="145"/>
        <v>1+94.2489501651165i</v>
      </c>
      <c r="AN167" s="734">
        <f t="shared" si="146"/>
        <v>94.254255114698196</v>
      </c>
      <c r="AO167" s="735">
        <f t="shared" si="147"/>
        <v>1.5601865271594582</v>
      </c>
      <c r="AP167" s="733" t="str">
        <f t="shared" si="148"/>
        <v>1+4.57122943645225i</v>
      </c>
      <c r="AQ167" s="734">
        <f t="shared" si="149"/>
        <v>4.679330994991437</v>
      </c>
      <c r="AR167" s="735">
        <f t="shared" si="150"/>
        <v>1.3554295329503785</v>
      </c>
      <c r="AS167" s="732" t="str">
        <f t="shared" si="151"/>
        <v>0.0310850815633228-24.9339259841719i</v>
      </c>
      <c r="AT167" s="337">
        <f t="shared" si="152"/>
        <v>24.933945361022563</v>
      </c>
      <c r="AU167" s="730">
        <f t="shared" si="153"/>
        <v>-1.569549629203898</v>
      </c>
      <c r="AV167" s="732" t="str">
        <f t="shared" si="154"/>
        <v>-3.95677914474977-0.0279754370595484i</v>
      </c>
      <c r="AW167" s="337">
        <f t="shared" si="155"/>
        <v>11.947053291076923</v>
      </c>
      <c r="AX167" s="730">
        <f t="shared" si="156"/>
        <v>-179.59491098510225</v>
      </c>
      <c r="AY167" s="360">
        <f t="shared" si="157"/>
        <v>0.4050890148977544</v>
      </c>
      <c r="BB167" s="337">
        <f t="shared" si="158"/>
        <v>-12.064179930965492</v>
      </c>
      <c r="BC167" s="730">
        <f t="shared" si="159"/>
        <v>-89.928569489706646</v>
      </c>
      <c r="BD167" s="351"/>
      <c r="BE167" s="337">
        <f t="shared" si="120"/>
        <v>58.15723991999981</v>
      </c>
      <c r="BF167" s="730">
        <f t="shared" si="121"/>
        <v>21.287813951759716</v>
      </c>
      <c r="BI167" s="351"/>
      <c r="BJ167" s="351"/>
      <c r="BL167" s="405">
        <f t="shared" si="122"/>
        <v>0</v>
      </c>
      <c r="BM167" s="405">
        <f t="shared" si="160"/>
        <v>0</v>
      </c>
      <c r="BN167" s="405">
        <f t="shared" si="123"/>
        <v>0</v>
      </c>
      <c r="BO167" s="405">
        <f t="shared" si="124"/>
        <v>0</v>
      </c>
    </row>
    <row r="168" spans="4:67" ht="13.5" thickBot="1" x14ac:dyDescent="0.25">
      <c r="D168" s="345">
        <v>9441.2000000000007</v>
      </c>
      <c r="E168" s="340" t="str">
        <f t="shared" si="111"/>
        <v>0.15660693608246i</v>
      </c>
      <c r="F168" s="728" t="str">
        <f t="shared" si="125"/>
        <v>0.005-0.276352309847899i</v>
      </c>
      <c r="G168" s="337" t="str">
        <f t="shared" si="126"/>
        <v>0.005-0.432243356428766i</v>
      </c>
      <c r="H168" s="338" t="str">
        <f t="shared" si="127"/>
        <v>0.139788225914011-0.381015185563469i</v>
      </c>
      <c r="I168" s="338" t="str">
        <f t="shared" si="128"/>
        <v>0.149788225914011-0.381015185563469i</v>
      </c>
      <c r="J168" s="337" t="str">
        <f t="shared" si="129"/>
        <v>0.0269270724634587-0.165377022780335i</v>
      </c>
      <c r="K168" s="338" t="str">
        <f t="shared" si="112"/>
        <v>0.999009597139556-0.0494340076017866i</v>
      </c>
      <c r="L168" s="732"/>
      <c r="M168" s="732" t="str">
        <f t="shared" si="113"/>
        <v>792.385846286439+258.078280865164i</v>
      </c>
      <c r="N168" s="337">
        <f t="shared" si="114"/>
        <v>0</v>
      </c>
      <c r="O168" s="730" t="str">
        <f t="shared" si="115"/>
        <v>339.303406220826+34.626424539516i</v>
      </c>
      <c r="P168" s="731" t="str">
        <f t="shared" si="116"/>
        <v>64.0168488357219-124.093119582026i</v>
      </c>
      <c r="Q168" s="729" t="str">
        <f t="shared" si="117"/>
        <v>60.6238147735137-124.439383827421i</v>
      </c>
      <c r="R168" s="730"/>
      <c r="S168" s="405" t="str">
        <f t="shared" si="130"/>
        <v>39.2548189543077+2.12386308350712i</v>
      </c>
      <c r="T168" s="405" t="str">
        <f t="shared" si="131"/>
        <v>15.8860221178301-2.54919908338574i</v>
      </c>
      <c r="U168" s="405" t="str">
        <f t="shared" si="132"/>
        <v>1.24939528688778-6.40916368245852i</v>
      </c>
      <c r="V168" s="731" t="str">
        <f t="shared" si="118"/>
        <v>6000</v>
      </c>
      <c r="W168" s="733" t="str">
        <f>IMSUM(COMPLEX(1,0),IMDIV(COMPLEX(0,2*PI()*D168),COMPLEX(2*PI()*'Stability Calculations'!EA_Pole1,0)))</f>
        <v>1+59914.0172133653i</v>
      </c>
      <c r="X168" s="734">
        <f t="shared" si="133"/>
        <v>59914.017221710586</v>
      </c>
      <c r="Y168" s="735">
        <f t="shared" si="134"/>
        <v>1.5707796362098478</v>
      </c>
      <c r="Z168" s="340" t="str">
        <f>IMSUM(COMPLEX(1,0),IMDIV(COMPLEX(0,2*PI()*D168),COMPLEX(2*PI()*'Stability Calculations'!EA_Zero1,0)))</f>
        <v>1+593.208091221439i</v>
      </c>
      <c r="AA168" s="734">
        <f t="shared" si="135"/>
        <v>593.20893409538519</v>
      </c>
      <c r="AB168" s="735">
        <f t="shared" si="136"/>
        <v>1.5691105793016475</v>
      </c>
      <c r="AC168" s="733" t="str">
        <f>IMSUM(COMPLEX(1,0),IMDIV(COMPLEX(0,2*PI()*D168),COMPLEX(2*PI()*'Stability Calculations'!EA_Pole2,0)))</f>
        <v>1+5.97565568144516i</v>
      </c>
      <c r="AD168" s="734">
        <f t="shared" si="137"/>
        <v>6.0587507642407443</v>
      </c>
      <c r="AE168" s="735">
        <f t="shared" si="138"/>
        <v>1.4049870872010612</v>
      </c>
      <c r="AF168" s="732" t="str">
        <f t="shared" si="139"/>
        <v>1.60217679454525-9.6732088553736i</v>
      </c>
      <c r="AG168" s="337">
        <f t="shared" si="140"/>
        <v>9.8049956675491465</v>
      </c>
      <c r="AH168" s="730">
        <f t="shared" si="141"/>
        <v>-1.4066561441092609</v>
      </c>
      <c r="AI168" s="731" t="str">
        <f t="shared" si="119"/>
        <v>10000</v>
      </c>
      <c r="AJ168" s="733" t="str">
        <f t="shared" si="142"/>
        <v>1+55856.3552277927i</v>
      </c>
      <c r="AK168" s="734">
        <f t="shared" si="143"/>
        <v>55856.355236744232</v>
      </c>
      <c r="AL168" s="735">
        <f t="shared" si="144"/>
        <v>1.570778423729152</v>
      </c>
      <c r="AM168" s="340" t="str">
        <f t="shared" si="145"/>
        <v>1+94.7946529771859i</v>
      </c>
      <c r="AN168" s="734">
        <f t="shared" si="146"/>
        <v>94.799927389556061</v>
      </c>
      <c r="AO168" s="735">
        <f t="shared" si="147"/>
        <v>1.5602475998737104</v>
      </c>
      <c r="AP168" s="733" t="str">
        <f t="shared" si="148"/>
        <v>1+4.59769692233635i</v>
      </c>
      <c r="AQ168" s="734">
        <f t="shared" si="149"/>
        <v>4.7051904307542269</v>
      </c>
      <c r="AR168" s="735">
        <f t="shared" si="150"/>
        <v>1.3566316640240617</v>
      </c>
      <c r="AS168" s="732" t="str">
        <f t="shared" si="151"/>
        <v>0.0307282183021571-24.7903897068953i</v>
      </c>
      <c r="AT168" s="337">
        <f t="shared" si="152"/>
        <v>24.790408751029911</v>
      </c>
      <c r="AU168" s="730">
        <f t="shared" si="153"/>
        <v>-1.5695568060399427</v>
      </c>
      <c r="AV168" s="732" t="str">
        <f t="shared" si="154"/>
        <v>-3.91073589116526-0.0245132123531555i</v>
      </c>
      <c r="AW168" s="337">
        <f t="shared" si="155"/>
        <v>11.845340374840124</v>
      </c>
      <c r="AX168" s="730">
        <f t="shared" si="156"/>
        <v>-179.64086421193178</v>
      </c>
      <c r="AY168" s="360">
        <f t="shared" si="157"/>
        <v>0.35913578806821533</v>
      </c>
      <c r="BB168" s="337">
        <f t="shared" si="158"/>
        <v>-12.114326248142351</v>
      </c>
      <c r="BC168" s="730">
        <f t="shared" si="159"/>
        <v>-89.928980692122281</v>
      </c>
      <c r="BD168" s="351"/>
      <c r="BE168" s="337">
        <f t="shared" si="120"/>
        <v>58.416595733982476</v>
      </c>
      <c r="BF168" s="730">
        <f t="shared" si="121"/>
        <v>18.04031261922891</v>
      </c>
      <c r="BI168" s="351"/>
      <c r="BJ168" s="351"/>
      <c r="BL168" s="405">
        <f t="shared" si="122"/>
        <v>0</v>
      </c>
      <c r="BM168" s="405">
        <f t="shared" si="160"/>
        <v>0</v>
      </c>
      <c r="BN168" s="405">
        <f t="shared" si="123"/>
        <v>0</v>
      </c>
      <c r="BO168" s="405">
        <f t="shared" si="124"/>
        <v>0</v>
      </c>
    </row>
    <row r="169" spans="4:67" ht="13.5" thickBot="1" x14ac:dyDescent="0.25">
      <c r="D169" s="345">
        <v>9495.5499999999993</v>
      </c>
      <c r="E169" s="340" t="str">
        <f t="shared" si="111"/>
        <v>0.157508472643075i</v>
      </c>
      <c r="F169" s="728" t="str">
        <f t="shared" si="125"/>
        <v>0.005-0.274770542805418i</v>
      </c>
      <c r="G169" s="337" t="str">
        <f t="shared" si="126"/>
        <v>0.005-0.429769310541807i</v>
      </c>
      <c r="H169" s="338" t="str">
        <f t="shared" si="127"/>
        <v>0.138418887760545-0.37931607465243i</v>
      </c>
      <c r="I169" s="338" t="str">
        <f t="shared" si="128"/>
        <v>0.148418887760545-0.37931607465243i</v>
      </c>
      <c r="J169" s="337" t="str">
        <f t="shared" si="129"/>
        <v>0.0266716870352045-0.16446557226014i</v>
      </c>
      <c r="K169" s="338" t="str">
        <f t="shared" si="112"/>
        <v>0.998998161446639-0.0497185835363243i</v>
      </c>
      <c r="L169" s="732"/>
      <c r="M169" s="732" t="str">
        <f t="shared" si="113"/>
        <v>828.465754536267+216.098770806214i</v>
      </c>
      <c r="N169" s="337">
        <f t="shared" si="114"/>
        <v>0</v>
      </c>
      <c r="O169" s="730" t="str">
        <f t="shared" si="115"/>
        <v>349.900404526895+15.0416996382615i</v>
      </c>
      <c r="P169" s="731" t="str">
        <f t="shared" si="116"/>
        <v>57.6373873297327-130.4903756341i</v>
      </c>
      <c r="Q169" s="729" t="str">
        <f t="shared" si="117"/>
        <v>54.1383832844638-130.640792630483i</v>
      </c>
      <c r="R169" s="730"/>
      <c r="S169" s="405" t="str">
        <f t="shared" si="130"/>
        <v>39.2650112420103+2.09153465496243i</v>
      </c>
      <c r="T169" s="405" t="str">
        <f t="shared" si="131"/>
        <v>15.8813299858759-2.54626645690113i</v>
      </c>
      <c r="U169" s="405" t="str">
        <f t="shared" si="132"/>
        <v>1.23243623535224-6.37649512140861i</v>
      </c>
      <c r="V169" s="731" t="str">
        <f t="shared" si="118"/>
        <v>6000</v>
      </c>
      <c r="W169" s="733" t="str">
        <f>IMSUM(COMPLEX(1,0),IMDIV(COMPLEX(0,2*PI()*D169),COMPLEX(2*PI()*'Stability Calculations'!EA_Pole1,0)))</f>
        <v>1+60258.923246025i</v>
      </c>
      <c r="X169" s="734">
        <f t="shared" si="133"/>
        <v>60258.923254322523</v>
      </c>
      <c r="Y169" s="735">
        <f t="shared" si="134"/>
        <v>1.5707797317423129</v>
      </c>
      <c r="Z169" s="340" t="str">
        <f>IMSUM(COMPLEX(1,0),IMDIV(COMPLEX(0,2*PI()*D169),COMPLEX(2*PI()*'Stability Calculations'!EA_Zero1,0)))</f>
        <v>1+596.623002435891i</v>
      </c>
      <c r="AA169" s="734">
        <f t="shared" si="135"/>
        <v>596.623840485458</v>
      </c>
      <c r="AB169" s="735">
        <f t="shared" si="136"/>
        <v>1.5691202280533441</v>
      </c>
      <c r="AC169" s="733" t="str">
        <f>IMSUM(COMPLEX(1,0),IMDIV(COMPLEX(0,2*PI()*D169),COMPLEX(2*PI()*'Stability Calculations'!EA_Pole2,0)))</f>
        <v>1+6.01005563974353i</v>
      </c>
      <c r="AD169" s="734">
        <f t="shared" si="137"/>
        <v>6.0926815765156324</v>
      </c>
      <c r="AE169" s="735">
        <f t="shared" si="138"/>
        <v>1.4059189809754085</v>
      </c>
      <c r="AF169" s="732" t="str">
        <f t="shared" si="139"/>
        <v>1.58438108875804-9.62080296876972i</v>
      </c>
      <c r="AG169" s="337">
        <f t="shared" si="140"/>
        <v>9.7503904126092511</v>
      </c>
      <c r="AH169" s="730">
        <f t="shared" si="141"/>
        <v>-1.4075784846643771</v>
      </c>
      <c r="AI169" s="731" t="str">
        <f t="shared" si="119"/>
        <v>10000</v>
      </c>
      <c r="AJ169" s="733" t="str">
        <f t="shared" si="142"/>
        <v>1+56177.9025847632i</v>
      </c>
      <c r="AK169" s="734">
        <f t="shared" si="143"/>
        <v>56177.902593663501</v>
      </c>
      <c r="AL169" s="735">
        <f t="shared" si="144"/>
        <v>1.5707785262015337</v>
      </c>
      <c r="AM169" s="340" t="str">
        <f t="shared" si="145"/>
        <v>1+95.3403557892554i</v>
      </c>
      <c r="AN169" s="734">
        <f t="shared" si="146"/>
        <v>95.34560001395873</v>
      </c>
      <c r="AO169" s="735">
        <f t="shared" si="147"/>
        <v>1.5603079735374006</v>
      </c>
      <c r="AP169" s="733" t="str">
        <f t="shared" si="148"/>
        <v>1+4.62416440822046i</v>
      </c>
      <c r="AQ169" s="734">
        <f t="shared" si="149"/>
        <v>4.7310565917406731</v>
      </c>
      <c r="AR169" s="735">
        <f t="shared" si="150"/>
        <v>1.3578206519498215</v>
      </c>
      <c r="AS169" s="732" t="str">
        <f t="shared" si="151"/>
        <v>0.030377465245718-24.6484965489574i</v>
      </c>
      <c r="AT169" s="337">
        <f t="shared" si="152"/>
        <v>24.648515267949904</v>
      </c>
      <c r="AU169" s="730">
        <f t="shared" si="153"/>
        <v>-1.5695639007195159</v>
      </c>
      <c r="AV169" s="732" t="str">
        <f t="shared" si="154"/>
        <v>-3.86549020750854-0.0211540008116783i</v>
      </c>
      <c r="AW169" s="337">
        <f t="shared" si="155"/>
        <v>11.744221611069905</v>
      </c>
      <c r="AX169" s="730">
        <f t="shared" si="156"/>
        <v>-179.68645041070778</v>
      </c>
      <c r="AY169" s="360">
        <f t="shared" si="157"/>
        <v>0.31354958929222221</v>
      </c>
      <c r="BB169" s="337">
        <f t="shared" si="158"/>
        <v>-12.164184716665281</v>
      </c>
      <c r="BC169" s="730">
        <f t="shared" si="159"/>
        <v>-89.92938718731881</v>
      </c>
      <c r="BD169" s="351"/>
      <c r="BE169" s="337">
        <f t="shared" si="120"/>
        <v>58.651360775829673</v>
      </c>
      <c r="BF169" s="730">
        <f t="shared" si="121"/>
        <v>14.619402134241076</v>
      </c>
      <c r="BI169" s="351"/>
      <c r="BJ169" s="351"/>
      <c r="BL169" s="405">
        <f t="shared" si="122"/>
        <v>0</v>
      </c>
      <c r="BM169" s="405">
        <f t="shared" si="160"/>
        <v>0</v>
      </c>
      <c r="BN169" s="405">
        <f t="shared" si="123"/>
        <v>0</v>
      </c>
      <c r="BO169" s="405">
        <f t="shared" si="124"/>
        <v>0</v>
      </c>
    </row>
    <row r="170" spans="4:67" ht="13.5" thickBot="1" x14ac:dyDescent="0.25">
      <c r="D170" s="345">
        <v>9549.9</v>
      </c>
      <c r="E170" s="340" t="str">
        <f t="shared" si="111"/>
        <v>0.158410009203691i</v>
      </c>
      <c r="F170" s="728" t="str">
        <f t="shared" si="125"/>
        <v>0.005-0.273206779938637i</v>
      </c>
      <c r="G170" s="337" t="str">
        <f t="shared" si="126"/>
        <v>0.005-0.427323425032227i</v>
      </c>
      <c r="H170" s="338" t="str">
        <f t="shared" si="127"/>
        <v>0.137069464110563-0.377629337722907i</v>
      </c>
      <c r="I170" s="338" t="str">
        <f t="shared" si="128"/>
        <v>0.147069464110563-0.377629337722907i</v>
      </c>
      <c r="J170" s="337" t="str">
        <f t="shared" si="129"/>
        <v>0.0264205434396584-0.163563918846342i</v>
      </c>
      <c r="K170" s="338" t="str">
        <f t="shared" si="112"/>
        <v>0.998986660111-0.0500031594708619i</v>
      </c>
      <c r="L170" s="732"/>
      <c r="M170" s="732" t="str">
        <f t="shared" si="113"/>
        <v>860.499623257673+167.859427870368i</v>
      </c>
      <c r="N170" s="337">
        <f t="shared" si="114"/>
        <v>0</v>
      </c>
      <c r="O170" s="730" t="str">
        <f t="shared" si="115"/>
        <v>358.373167746639-6.66033055958488i</v>
      </c>
      <c r="P170" s="731" t="str">
        <f t="shared" si="116"/>
        <v>50.1906135138713-136.311753240021i</v>
      </c>
      <c r="Q170" s="729" t="str">
        <f t="shared" si="117"/>
        <v>46.606881836405-136.245149934425i</v>
      </c>
      <c r="R170" s="730"/>
      <c r="S170" s="405" t="str">
        <f t="shared" si="130"/>
        <v>39.2750283931117+2.05940266688035i</v>
      </c>
      <c r="T170" s="405" t="str">
        <f t="shared" si="131"/>
        <v>15.876703177244-2.54341113823345i</v>
      </c>
      <c r="U170" s="405" t="str">
        <f t="shared" si="132"/>
        <v>1.21574453265915-6.34413290777632i</v>
      </c>
      <c r="V170" s="731" t="str">
        <f t="shared" si="118"/>
        <v>6000</v>
      </c>
      <c r="W170" s="733" t="str">
        <f>IMSUM(COMPLEX(1,0),IMDIV(COMPLEX(0,2*PI()*D170),COMPLEX(2*PI()*'Stability Calculations'!EA_Pole1,0)))</f>
        <v>1+60603.8292786847i</v>
      </c>
      <c r="X170" s="734">
        <f t="shared" si="133"/>
        <v>60603.829286935012</v>
      </c>
      <c r="Y170" s="735">
        <f t="shared" si="134"/>
        <v>1.5707798261873969</v>
      </c>
      <c r="Z170" s="340" t="str">
        <f>IMSUM(COMPLEX(1,0),IMDIV(COMPLEX(0,2*PI()*D170),COMPLEX(2*PI()*'Stability Calculations'!EA_Zero1,0)))</f>
        <v>1+600.037913650343i</v>
      </c>
      <c r="AA170" s="734">
        <f t="shared" si="135"/>
        <v>600.03874693044315</v>
      </c>
      <c r="AB170" s="735">
        <f t="shared" si="136"/>
        <v>1.5691297669801858</v>
      </c>
      <c r="AC170" s="733" t="str">
        <f>IMSUM(COMPLEX(1,0),IMDIV(COMPLEX(0,2*PI()*D170),COMPLEX(2*PI()*'Stability Calculations'!EA_Pole2,0)))</f>
        <v>1+6.04445559804189i</v>
      </c>
      <c r="AD170" s="734">
        <f t="shared" si="137"/>
        <v>6.1266176212246135</v>
      </c>
      <c r="AE170" s="735">
        <f t="shared" si="138"/>
        <v>1.4068405518075673</v>
      </c>
      <c r="AF170" s="732" t="str">
        <f t="shared" si="139"/>
        <v>1.56687755916432-9.56894524480878i</v>
      </c>
      <c r="AG170" s="337">
        <f t="shared" si="140"/>
        <v>9.6963817160609604</v>
      </c>
      <c r="AH170" s="730">
        <f t="shared" si="141"/>
        <v>-1.4084906110147786</v>
      </c>
      <c r="AI170" s="731" t="str">
        <f t="shared" si="119"/>
        <v>10000</v>
      </c>
      <c r="AJ170" s="733" t="str">
        <f t="shared" si="142"/>
        <v>1+56499.4499417338i</v>
      </c>
      <c r="AK170" s="734">
        <f t="shared" si="143"/>
        <v>56499.449950583454</v>
      </c>
      <c r="AL170" s="735">
        <f t="shared" si="144"/>
        <v>1.5707786275075419</v>
      </c>
      <c r="AM170" s="340" t="str">
        <f t="shared" si="145"/>
        <v>1+95.8860586013248i</v>
      </c>
      <c r="AN170" s="734">
        <f t="shared" si="146"/>
        <v>95.891272981938741</v>
      </c>
      <c r="AO170" s="735">
        <f t="shared" si="147"/>
        <v>1.5603676600840073</v>
      </c>
      <c r="AP170" s="733" t="str">
        <f t="shared" si="148"/>
        <v>1+4.65063189410456i</v>
      </c>
      <c r="AQ170" s="734">
        <f t="shared" si="149"/>
        <v>4.7569293682440321</v>
      </c>
      <c r="AR170" s="735">
        <f t="shared" si="150"/>
        <v>1.3589967077936176</v>
      </c>
      <c r="AS170" s="732" t="str">
        <f t="shared" si="151"/>
        <v>0.0300326836943362-24.5082184567674i</v>
      </c>
      <c r="AT170" s="337">
        <f t="shared" si="152"/>
        <v>24.508236857977444</v>
      </c>
      <c r="AU170" s="730">
        <f t="shared" si="153"/>
        <v>-1.5695709146453107</v>
      </c>
      <c r="AV170" s="732" t="str">
        <f t="shared" si="154"/>
        <v>-3.82102380872902-0.0178944377800294i</v>
      </c>
      <c r="AW170" s="337">
        <f t="shared" si="155"/>
        <v>11.643690123623692</v>
      </c>
      <c r="AX170" s="730">
        <f t="shared" si="156"/>
        <v>-179.73167707987321</v>
      </c>
      <c r="AY170" s="360">
        <f t="shared" si="157"/>
        <v>0.26832292012679204</v>
      </c>
      <c r="BB170" s="337">
        <f t="shared" si="158"/>
        <v>-12.213758622281103</v>
      </c>
      <c r="BC170" s="730">
        <f t="shared" si="159"/>
        <v>-89.929789055664685</v>
      </c>
      <c r="BD170" s="351"/>
      <c r="BE170" s="337">
        <f t="shared" si="120"/>
        <v>58.857209411921197</v>
      </c>
      <c r="BF170" s="730">
        <f t="shared" si="121"/>
        <v>11.038186037188847</v>
      </c>
      <c r="BI170" s="351"/>
      <c r="BJ170" s="351"/>
      <c r="BL170" s="405">
        <f t="shared" si="122"/>
        <v>0</v>
      </c>
      <c r="BM170" s="405">
        <f t="shared" si="160"/>
        <v>0</v>
      </c>
      <c r="BN170" s="405">
        <f t="shared" si="123"/>
        <v>0</v>
      </c>
      <c r="BO170" s="405">
        <f t="shared" si="124"/>
        <v>0</v>
      </c>
    </row>
    <row r="171" spans="4:67" ht="13.5" thickBot="1" x14ac:dyDescent="0.25">
      <c r="D171" s="345">
        <v>9605.5249999999996</v>
      </c>
      <c r="E171" s="340" t="str">
        <f t="shared" si="111"/>
        <v>0.15933269496605i</v>
      </c>
      <c r="F171" s="728" t="str">
        <f t="shared" si="125"/>
        <v>0.005-0.271624656407223i</v>
      </c>
      <c r="G171" s="337" t="str">
        <f t="shared" si="126"/>
        <v>0.005-0.424848821560016i</v>
      </c>
      <c r="H171" s="338" t="str">
        <f t="shared" si="127"/>
        <v>0.135708622285584-0.375915758235571i</v>
      </c>
      <c r="I171" s="338" t="str">
        <f t="shared" si="128"/>
        <v>0.145708622285584-0.375915758235571i</v>
      </c>
      <c r="J171" s="337" t="str">
        <f t="shared" si="129"/>
        <v>0.0261678036412134-0.16265109761601i</v>
      </c>
      <c r="K171" s="338" t="str">
        <f t="shared" si="112"/>
        <v>0.99897482099416-0.0502944112897885i</v>
      </c>
      <c r="L171" s="732"/>
      <c r="M171" s="732" t="str">
        <f t="shared" si="113"/>
        <v>887.597832539968+112.558434020059i</v>
      </c>
      <c r="N171" s="337">
        <f t="shared" si="114"/>
        <v>0</v>
      </c>
      <c r="O171" s="730" t="str">
        <f t="shared" si="115"/>
        <v>364.303131491404-30.7192994636991i</v>
      </c>
      <c r="P171" s="731" t="str">
        <f t="shared" si="116"/>
        <v>41.5342386335744-141.423354704618i</v>
      </c>
      <c r="Q171" s="729" t="str">
        <f t="shared" si="117"/>
        <v>37.8912073186603-141.116161709981i</v>
      </c>
      <c r="R171" s="730"/>
      <c r="S171" s="405" t="str">
        <f t="shared" si="130"/>
        <v>39.2851028486695+2.02671770606734i</v>
      </c>
      <c r="T171" s="405" t="str">
        <f t="shared" si="131"/>
        <v>15.8720340231976-2.54056786034769i</v>
      </c>
      <c r="U171" s="405" t="str">
        <f t="shared" si="132"/>
        <v>1.19893237658654-6.31132466872192i</v>
      </c>
      <c r="V171" s="731" t="str">
        <f t="shared" si="118"/>
        <v>6000</v>
      </c>
      <c r="W171" s="733" t="str">
        <f>IMSUM(COMPLEX(1,0),IMDIV(COMPLEX(0,2*PI()*D171),COMPLEX(2*PI()*'Stability Calculations'!EA_Pole1,0)))</f>
        <v>1+60956.8264832237i</v>
      </c>
      <c r="X171" s="734">
        <f t="shared" si="133"/>
        <v>60956.826491426233</v>
      </c>
      <c r="Y171" s="735">
        <f t="shared" si="134"/>
        <v>1.5707799217413922</v>
      </c>
      <c r="Z171" s="340" t="str">
        <f>IMSUM(COMPLEX(1,0),IMDIV(COMPLEX(0,2*PI()*D171),COMPLEX(2*PI()*'Stability Calculations'!EA_Zero1,0)))</f>
        <v>1+603.532935477462i</v>
      </c>
      <c r="AA171" s="734">
        <f t="shared" si="135"/>
        <v>603.53376393209555</v>
      </c>
      <c r="AB171" s="735">
        <f t="shared" si="136"/>
        <v>1.5691394179070774</v>
      </c>
      <c r="AC171" s="733" t="str">
        <f>IMSUM(COMPLEX(1,0),IMDIV(COMPLEX(0,2*PI()*D171),COMPLEX(2*PI()*'Stability Calculations'!EA_Pole2,0)))</f>
        <v>1+6.07966254708231i</v>
      </c>
      <c r="AD171" s="734">
        <f t="shared" si="137"/>
        <v>6.1613551014687795</v>
      </c>
      <c r="AE171" s="735">
        <f t="shared" si="138"/>
        <v>1.4077732291776746</v>
      </c>
      <c r="AF171" s="732" t="str">
        <f t="shared" si="139"/>
        <v>1.54925937500822-9.51642996132804i</v>
      </c>
      <c r="AG171" s="337">
        <f t="shared" si="140"/>
        <v>9.6417137387454552</v>
      </c>
      <c r="AH171" s="730">
        <f t="shared" si="141"/>
        <v>-1.4094137330119885</v>
      </c>
      <c r="AI171" s="731" t="str">
        <f t="shared" si="119"/>
        <v>10000</v>
      </c>
      <c r="AJ171" s="733" t="str">
        <f t="shared" si="142"/>
        <v>1+56828.5404979709i</v>
      </c>
      <c r="AK171" s="734">
        <f t="shared" si="143"/>
        <v>56828.540506769292</v>
      </c>
      <c r="AL171" s="735">
        <f t="shared" si="144"/>
        <v>1.5707787300030183</v>
      </c>
      <c r="AM171" s="340" t="str">
        <f t="shared" si="145"/>
        <v>1+96.4445630892984i</v>
      </c>
      <c r="AN171" s="734">
        <f t="shared" si="146"/>
        <v>96.449747275385135</v>
      </c>
      <c r="AO171" s="735">
        <f t="shared" si="147"/>
        <v>1.5604280475060077</v>
      </c>
      <c r="AP171" s="733" t="str">
        <f t="shared" si="148"/>
        <v>1+4.67772028237141i</v>
      </c>
      <c r="AQ171" s="734">
        <f t="shared" si="149"/>
        <v>4.7834158339108326</v>
      </c>
      <c r="AR171" s="735">
        <f t="shared" si="150"/>
        <v>1.3601871777193595</v>
      </c>
      <c r="AS171" s="732" t="str">
        <f t="shared" si="151"/>
        <v>0.0296858565339056-24.3662933050564i</v>
      </c>
      <c r="AT171" s="337">
        <f t="shared" si="152"/>
        <v>24.366311388433711</v>
      </c>
      <c r="AU171" s="730">
        <f t="shared" si="153"/>
        <v>-1.5695780109240853</v>
      </c>
      <c r="AV171" s="732" t="str">
        <f t="shared" si="154"/>
        <v>-3.77630265451414-0.0146582121423932i</v>
      </c>
      <c r="AW171" s="337">
        <f t="shared" si="155"/>
        <v>11.541401312242957</v>
      </c>
      <c r="AX171" s="730">
        <f t="shared" si="156"/>
        <v>-179.77760006286579</v>
      </c>
      <c r="AY171" s="360">
        <f t="shared" si="157"/>
        <v>0.22239993713421313</v>
      </c>
      <c r="BB171" s="337">
        <f t="shared" si="158"/>
        <v>-12.26420420079088</v>
      </c>
      <c r="BC171" s="730">
        <f t="shared" si="159"/>
        <v>-89.930195642488712</v>
      </c>
      <c r="BD171" s="351"/>
      <c r="BE171" s="337">
        <f t="shared" si="120"/>
        <v>59.033609637540252</v>
      </c>
      <c r="BF171" s="730">
        <f t="shared" si="121"/>
        <v>7.2272401647548392</v>
      </c>
      <c r="BI171" s="351"/>
      <c r="BJ171" s="351"/>
      <c r="BL171" s="405">
        <f t="shared" si="122"/>
        <v>0</v>
      </c>
      <c r="BM171" s="405">
        <f t="shared" si="160"/>
        <v>0</v>
      </c>
      <c r="BN171" s="405">
        <f t="shared" si="123"/>
        <v>0</v>
      </c>
      <c r="BO171" s="405">
        <f t="shared" si="124"/>
        <v>0</v>
      </c>
    </row>
    <row r="172" spans="4:67" ht="13.5" thickBot="1" x14ac:dyDescent="0.25">
      <c r="D172" s="345">
        <v>9661.15</v>
      </c>
      <c r="E172" s="340" t="str">
        <f t="shared" si="111"/>
        <v>0.160255380728409i</v>
      </c>
      <c r="F172" s="728" t="str">
        <f t="shared" si="125"/>
        <v>0.005-0.270060751332501i</v>
      </c>
      <c r="G172" s="337" t="str">
        <f t="shared" si="126"/>
        <v>0.005-0.42240271362263i</v>
      </c>
      <c r="H172" s="338" t="str">
        <f t="shared" si="127"/>
        <v>0.134367871529947-0.374214964269784i</v>
      </c>
      <c r="I172" s="338" t="str">
        <f t="shared" si="128"/>
        <v>0.144367871529947-0.374214964269784i</v>
      </c>
      <c r="J172" s="337" t="str">
        <f t="shared" si="129"/>
        <v>0.0259193129753024-0.16174821608189i</v>
      </c>
      <c r="K172" s="338" t="str">
        <f t="shared" si="112"/>
        <v>0.998962913118639-0.050585663108715i</v>
      </c>
      <c r="L172" s="732"/>
      <c r="M172" s="732" t="str">
        <f t="shared" si="113"/>
        <v>907.507540946322+52.2683352744021i</v>
      </c>
      <c r="N172" s="337">
        <f t="shared" si="114"/>
        <v>0</v>
      </c>
      <c r="O172" s="730" t="str">
        <f t="shared" si="115"/>
        <v>366.98120213569-56.1282019156477i</v>
      </c>
      <c r="P172" s="731" t="str">
        <f t="shared" si="116"/>
        <v>31.9762819694394-145.432966488255i</v>
      </c>
      <c r="Q172" s="729" t="str">
        <f t="shared" si="117"/>
        <v>28.3064699480824-144.871684469098i</v>
      </c>
      <c r="R172" s="730"/>
      <c r="S172" s="405" t="str">
        <f t="shared" si="130"/>
        <v>39.2950011919549+1.99423328080862i</v>
      </c>
      <c r="T172" s="405" t="str">
        <f t="shared" si="131"/>
        <v>15.867430396015-2.53780349188954i</v>
      </c>
      <c r="U172" s="405" t="str">
        <f t="shared" si="132"/>
        <v>1.18238880592093-6.27882915226447i</v>
      </c>
      <c r="V172" s="731" t="str">
        <f t="shared" si="118"/>
        <v>6000</v>
      </c>
      <c r="W172" s="733" t="str">
        <f>IMSUM(COMPLEX(1,0),IMDIV(COMPLEX(0,2*PI()*D172),COMPLEX(2*PI()*'Stability Calculations'!EA_Pole1,0)))</f>
        <v>1+61309.8236877627i</v>
      </c>
      <c r="X172" s="734">
        <f t="shared" si="133"/>
        <v>61309.823695917999</v>
      </c>
      <c r="Y172" s="735">
        <f t="shared" si="134"/>
        <v>1.5707800161950651</v>
      </c>
      <c r="Z172" s="340" t="str">
        <f>IMSUM(COMPLEX(1,0),IMDIV(COMPLEX(0,2*PI()*D172),COMPLEX(2*PI()*'Stability Calculations'!EA_Zero1,0)))</f>
        <v>1+607.027957304581i</v>
      </c>
      <c r="AA172" s="734">
        <f t="shared" si="135"/>
        <v>607.02878098931376</v>
      </c>
      <c r="AB172" s="735">
        <f t="shared" si="136"/>
        <v>1.5691489577019937</v>
      </c>
      <c r="AC172" s="733" t="str">
        <f>IMSUM(COMPLEX(1,0),IMDIV(COMPLEX(0,2*PI()*D172),COMPLEX(2*PI()*'Stability Calculations'!EA_Pole2,0)))</f>
        <v>1+6.11486949612273i</v>
      </c>
      <c r="AD172" s="734">
        <f t="shared" si="137"/>
        <v>6.1960978812969252</v>
      </c>
      <c r="AE172" s="735">
        <f t="shared" si="138"/>
        <v>1.4086954479194715</v>
      </c>
      <c r="AF172" s="732" t="str">
        <f t="shared" si="139"/>
        <v>1.53193406014143-9.46447150687746i</v>
      </c>
      <c r="AG172" s="337">
        <f t="shared" si="140"/>
        <v>9.5876505395804195</v>
      </c>
      <c r="AH172" s="730">
        <f t="shared" si="141"/>
        <v>-1.4103265064125423</v>
      </c>
      <c r="AI172" s="731" t="str">
        <f t="shared" si="119"/>
        <v>10000</v>
      </c>
      <c r="AJ172" s="733" t="str">
        <f t="shared" si="142"/>
        <v>1+57157.6310542081i</v>
      </c>
      <c r="AK172" s="734">
        <f t="shared" si="143"/>
        <v>57157.631062955836</v>
      </c>
      <c r="AL172" s="735">
        <f t="shared" si="144"/>
        <v>1.5707788313182394</v>
      </c>
      <c r="AM172" s="340" t="str">
        <f t="shared" si="145"/>
        <v>1+97.003067577272i</v>
      </c>
      <c r="AN172" s="734">
        <f t="shared" si="146"/>
        <v>97.008221916499437</v>
      </c>
      <c r="AO172" s="735">
        <f t="shared" si="147"/>
        <v>1.560487739629554</v>
      </c>
      <c r="AP172" s="733" t="str">
        <f t="shared" si="148"/>
        <v>1+4.70480867063826i</v>
      </c>
      <c r="AQ172" s="734">
        <f t="shared" si="149"/>
        <v>4.8099090040574524</v>
      </c>
      <c r="AR172" s="735">
        <f t="shared" si="150"/>
        <v>1.3613645349869692</v>
      </c>
      <c r="AS172" s="732" t="str">
        <f t="shared" si="151"/>
        <v>0.0293450027712923-24.2260024415226i</v>
      </c>
      <c r="AT172" s="337">
        <f t="shared" si="152"/>
        <v>24.226020214344878</v>
      </c>
      <c r="AU172" s="730">
        <f t="shared" si="153"/>
        <v>-1.5695850254879655</v>
      </c>
      <c r="AV172" s="732" t="str">
        <f t="shared" si="154"/>
        <v>-3.73236066763697-0.0115196328370449i</v>
      </c>
      <c r="AW172" s="337">
        <f t="shared" si="155"/>
        <v>11.439713452608657</v>
      </c>
      <c r="AX172" s="730">
        <f t="shared" si="156"/>
        <v>-179.82316171825602</v>
      </c>
      <c r="AY172" s="360">
        <f t="shared" si="157"/>
        <v>0.17683828174398286</v>
      </c>
      <c r="BB172" s="337">
        <f t="shared" si="158"/>
        <v>-12.314358494723889</v>
      </c>
      <c r="BC172" s="730">
        <f t="shared" si="159"/>
        <v>-89.930597547394171</v>
      </c>
      <c r="BD172" s="351"/>
      <c r="BE172" s="337">
        <f t="shared" si="120"/>
        <v>59.171387596513952</v>
      </c>
      <c r="BF172" s="730">
        <f t="shared" si="121"/>
        <v>3.2963364090108147</v>
      </c>
      <c r="BI172" s="351"/>
      <c r="BJ172" s="351"/>
      <c r="BL172" s="405">
        <f t="shared" si="122"/>
        <v>0</v>
      </c>
      <c r="BM172" s="405">
        <f t="shared" si="160"/>
        <v>0</v>
      </c>
      <c r="BN172" s="405">
        <f t="shared" si="123"/>
        <v>0</v>
      </c>
      <c r="BO172" s="405">
        <f t="shared" si="124"/>
        <v>0</v>
      </c>
    </row>
    <row r="173" spans="4:67" ht="13.5" thickBot="1" x14ac:dyDescent="0.25">
      <c r="D173" s="345">
        <v>9716.7749999999996</v>
      </c>
      <c r="E173" s="340" t="str">
        <f t="shared" si="111"/>
        <v>0.161178066490769i</v>
      </c>
      <c r="F173" s="728" t="str">
        <f t="shared" si="125"/>
        <v>0.005-0.268514751832371i</v>
      </c>
      <c r="G173" s="337" t="str">
        <f t="shared" si="126"/>
        <v>0.005-0.419984611840375i</v>
      </c>
      <c r="H173" s="338" t="str">
        <f t="shared" si="127"/>
        <v>0.133046835762233-0.372526865537461i</v>
      </c>
      <c r="I173" s="338" t="str">
        <f t="shared" si="128"/>
        <v>0.143046835762233-0.372526865537461i</v>
      </c>
      <c r="J173" s="337" t="str">
        <f t="shared" si="129"/>
        <v>0.0256749772943698-0.160855116149316i</v>
      </c>
      <c r="K173" s="338" t="str">
        <f t="shared" si="112"/>
        <v>0.998950936484437-0.0508769149276416i</v>
      </c>
      <c r="L173" s="732"/>
      <c r="M173" s="732" t="str">
        <f t="shared" si="113"/>
        <v>919.037489859795-11.5600285739457i</v>
      </c>
      <c r="N173" s="337">
        <f t="shared" si="114"/>
        <v>0</v>
      </c>
      <c r="O173" s="730" t="str">
        <f t="shared" si="115"/>
        <v>366.062431754466-82.2149982762826i</v>
      </c>
      <c r="P173" s="731" t="str">
        <f t="shared" si="116"/>
        <v>21.7367769458734-148.128685648131i</v>
      </c>
      <c r="Q173" s="729" t="str">
        <f t="shared" si="117"/>
        <v>18.0761526283288-147.306535665368i</v>
      </c>
      <c r="R173" s="730"/>
      <c r="S173" s="405" t="str">
        <f t="shared" si="130"/>
        <v>39.3047269948075+1.9619468026876i</v>
      </c>
      <c r="T173" s="405" t="str">
        <f t="shared" si="131"/>
        <v>15.8628908853923-2.53511700922893i</v>
      </c>
      <c r="U173" s="405" t="str">
        <f t="shared" si="132"/>
        <v>1.16610824512426-6.24664231626283i</v>
      </c>
      <c r="V173" s="731" t="str">
        <f t="shared" si="118"/>
        <v>6000</v>
      </c>
      <c r="W173" s="733" t="str">
        <f>IMSUM(COMPLEX(1,0),IMDIV(COMPLEX(0,2*PI()*D173),COMPLEX(2*PI()*'Stability Calculations'!EA_Pole1,0)))</f>
        <v>1+61662.8208923016i</v>
      </c>
      <c r="X173" s="734">
        <f t="shared" si="133"/>
        <v>61662.820900410217</v>
      </c>
      <c r="Y173" s="735">
        <f t="shared" si="134"/>
        <v>1.5707801095673122</v>
      </c>
      <c r="Z173" s="340" t="str">
        <f>IMSUM(COMPLEX(1,0),IMDIV(COMPLEX(0,2*PI()*D173),COMPLEX(2*PI()*'Stability Calculations'!EA_Zero1,0)))</f>
        <v>1+610.522979131699i</v>
      </c>
      <c r="AA173" s="734">
        <f t="shared" si="135"/>
        <v>610.5237981011428</v>
      </c>
      <c r="AB173" s="735">
        <f t="shared" si="136"/>
        <v>1.5691583882734979</v>
      </c>
      <c r="AC173" s="733" t="str">
        <f>IMSUM(COMPLEX(1,0),IMDIV(COMPLEX(0,2*PI()*D173),COMPLEX(2*PI()*'Stability Calculations'!EA_Pole2,0)))</f>
        <v>1+6.15007644516315i</v>
      </c>
      <c r="AD173" s="734">
        <f t="shared" si="137"/>
        <v>6.2308458720586728</v>
      </c>
      <c r="AE173" s="735">
        <f t="shared" si="138"/>
        <v>1.4096073814270962</v>
      </c>
      <c r="AF173" s="732" t="str">
        <f t="shared" si="139"/>
        <v>1.51489521731257-9.41306135871588i</v>
      </c>
      <c r="AG173" s="337">
        <f t="shared" si="140"/>
        <v>9.5341822754962333</v>
      </c>
      <c r="AH173" s="730">
        <f t="shared" si="141"/>
        <v>-1.4112291027209096</v>
      </c>
      <c r="AI173" s="731" t="str">
        <f t="shared" si="119"/>
        <v>10000</v>
      </c>
      <c r="AJ173" s="733" t="str">
        <f t="shared" si="142"/>
        <v>1+57486.7216104452i</v>
      </c>
      <c r="AK173" s="734">
        <f t="shared" si="143"/>
        <v>57486.72161914286</v>
      </c>
      <c r="AL173" s="735">
        <f t="shared" si="144"/>
        <v>1.5707789314734748</v>
      </c>
      <c r="AM173" s="340" t="str">
        <f t="shared" si="145"/>
        <v>1+97.5615720652455i</v>
      </c>
      <c r="AN173" s="734">
        <f t="shared" si="146"/>
        <v>97.566696899311353</v>
      </c>
      <c r="AO173" s="735">
        <f t="shared" si="147"/>
        <v>1.5605467483939506</v>
      </c>
      <c r="AP173" s="733" t="str">
        <f t="shared" si="148"/>
        <v>1+4.7318970589051i</v>
      </c>
      <c r="AQ173" s="734">
        <f t="shared" si="149"/>
        <v>4.8364087685052777</v>
      </c>
      <c r="AR173" s="735">
        <f t="shared" si="150"/>
        <v>1.3625289918468546</v>
      </c>
      <c r="AS173" s="732" t="str">
        <f t="shared" si="151"/>
        <v>0.0290099860169848-24.0873177992156i</v>
      </c>
      <c r="AT173" s="337">
        <f t="shared" si="152"/>
        <v>24.087335268553421</v>
      </c>
      <c r="AU173" s="730">
        <f t="shared" si="153"/>
        <v>-1.5695919597403132</v>
      </c>
      <c r="AV173" s="732" t="str">
        <f t="shared" si="154"/>
        <v>-3.68917987779791-0.00847548600213488i</v>
      </c>
      <c r="AW173" s="337">
        <f t="shared" si="155"/>
        <v>11.338619545281706</v>
      </c>
      <c r="AX173" s="730">
        <f t="shared" si="156"/>
        <v>-179.86836946449259</v>
      </c>
      <c r="AY173" s="360">
        <f t="shared" si="157"/>
        <v>0.13163053550741211</v>
      </c>
      <c r="BB173" s="337">
        <f t="shared" si="158"/>
        <v>-12.364224848662673</v>
      </c>
      <c r="BC173" s="730">
        <f t="shared" si="159"/>
        <v>-89.930994850787769</v>
      </c>
      <c r="BD173" s="351"/>
      <c r="BE173" s="337">
        <f t="shared" si="120"/>
        <v>59.267351624843158</v>
      </c>
      <c r="BF173" s="730">
        <f t="shared" si="121"/>
        <v>-0.72065169039406451</v>
      </c>
      <c r="BI173" s="351"/>
      <c r="BJ173" s="351"/>
      <c r="BL173" s="405">
        <f t="shared" si="122"/>
        <v>0</v>
      </c>
      <c r="BM173" s="405">
        <f t="shared" si="160"/>
        <v>0</v>
      </c>
      <c r="BN173" s="405">
        <f t="shared" si="123"/>
        <v>0</v>
      </c>
      <c r="BO173" s="405">
        <f t="shared" si="124"/>
        <v>0</v>
      </c>
    </row>
    <row r="174" spans="4:67" ht="13.5" thickBot="1" x14ac:dyDescent="0.25">
      <c r="D174" s="345">
        <v>9772.4</v>
      </c>
      <c r="E174" s="340" t="str">
        <f t="shared" si="111"/>
        <v>0.162100752253128i</v>
      </c>
      <c r="F174" s="728" t="str">
        <f t="shared" si="125"/>
        <v>0.005-0.266986352148499i</v>
      </c>
      <c r="G174" s="337" t="str">
        <f t="shared" si="126"/>
        <v>0.005-0.417594037975857i</v>
      </c>
      <c r="H174" s="338" t="str">
        <f t="shared" si="127"/>
        <v>0.131745147197073-0.370851370970431i</v>
      </c>
      <c r="I174" s="338" t="str">
        <f t="shared" si="128"/>
        <v>0.141745147197073-0.370851370970431i</v>
      </c>
      <c r="J174" s="337" t="str">
        <f t="shared" si="129"/>
        <v>0.0254347050280577-0.159971642979967i</v>
      </c>
      <c r="K174" s="338" t="str">
        <f t="shared" si="112"/>
        <v>0.998938891091556-0.0511681667465682i</v>
      </c>
      <c r="L174" s="732"/>
      <c r="M174" s="732" t="str">
        <f t="shared" si="113"/>
        <v>921.409606672348-77.1301155559556i</v>
      </c>
      <c r="N174" s="337">
        <f t="shared" si="114"/>
        <v>0</v>
      </c>
      <c r="O174" s="730" t="str">
        <f t="shared" si="115"/>
        <v>361.393811929575-108.206877369909i</v>
      </c>
      <c r="P174" s="731" t="str">
        <f t="shared" si="116"/>
        <v>11.0971502470089-149.361190374846i</v>
      </c>
      <c r="Q174" s="729" t="str">
        <f t="shared" si="117"/>
        <v>7.48321212771304-148.279121601147i</v>
      </c>
      <c r="R174" s="730"/>
      <c r="S174" s="405" t="str">
        <f t="shared" si="130"/>
        <v>39.314283738837+1.92985572087023i</v>
      </c>
      <c r="T174" s="405" t="str">
        <f t="shared" si="131"/>
        <v>15.8584141166537-2.53250740357522i</v>
      </c>
      <c r="U174" s="405" t="str">
        <f t="shared" si="132"/>
        <v>1.15008525950204-6.21476017723953i</v>
      </c>
      <c r="V174" s="731" t="str">
        <f t="shared" si="118"/>
        <v>6000</v>
      </c>
      <c r="W174" s="733" t="str">
        <f>IMSUM(COMPLEX(1,0),IMDIV(COMPLEX(0,2*PI()*D174),COMPLEX(2*PI()*'Stability Calculations'!EA_Pole1,0)))</f>
        <v>1+62015.8180968406i</v>
      </c>
      <c r="X174" s="734">
        <f t="shared" si="133"/>
        <v>62015.818104903061</v>
      </c>
      <c r="Y174" s="735">
        <f t="shared" si="134"/>
        <v>1.5707802018765999</v>
      </c>
      <c r="Z174" s="340" t="str">
        <f>IMSUM(COMPLEX(1,0),IMDIV(COMPLEX(0,2*PI()*D174),COMPLEX(2*PI()*'Stability Calculations'!EA_Zero1,0)))</f>
        <v>1+614.018000958818i</v>
      </c>
      <c r="AA174" s="734">
        <f t="shared" si="135"/>
        <v>614.01881526665215</v>
      </c>
      <c r="AB174" s="735">
        <f t="shared" si="136"/>
        <v>1.5691677114866989</v>
      </c>
      <c r="AC174" s="733" t="str">
        <f>IMSUM(COMPLEX(1,0),IMDIV(COMPLEX(0,2*PI()*D174),COMPLEX(2*PI()*'Stability Calculations'!EA_Pole2,0)))</f>
        <v>1+6.18528339420357i</v>
      </c>
      <c r="AD174" s="734">
        <f t="shared" si="137"/>
        <v>6.265598987057059</v>
      </c>
      <c r="AE174" s="735">
        <f t="shared" si="138"/>
        <v>1.4105091993169534</v>
      </c>
      <c r="AF174" s="732" t="str">
        <f t="shared" si="139"/>
        <v>1.49813662138456-9.3621911603232i</v>
      </c>
      <c r="AG174" s="337">
        <f t="shared" si="140"/>
        <v>9.481299312792915</v>
      </c>
      <c r="AH174" s="730">
        <f t="shared" si="141"/>
        <v>-1.4121216897068543</v>
      </c>
      <c r="AI174" s="731" t="str">
        <f t="shared" si="119"/>
        <v>10000</v>
      </c>
      <c r="AJ174" s="733" t="str">
        <f t="shared" si="142"/>
        <v>1+57815.8121666823i</v>
      </c>
      <c r="AK174" s="734">
        <f t="shared" si="143"/>
        <v>57815.812175330459</v>
      </c>
      <c r="AL174" s="735">
        <f t="shared" si="144"/>
        <v>1.570779030488533</v>
      </c>
      <c r="AM174" s="340" t="str">
        <f t="shared" si="145"/>
        <v>1+98.1200765532191i</v>
      </c>
      <c r="AN174" s="734">
        <f t="shared" si="146"/>
        <v>98.125172217986858</v>
      </c>
      <c r="AO174" s="735">
        <f t="shared" si="147"/>
        <v>1.5606050854667133</v>
      </c>
      <c r="AP174" s="733" t="str">
        <f t="shared" si="148"/>
        <v>1+4.75898544717195i</v>
      </c>
      <c r="AQ174" s="734">
        <f t="shared" si="149"/>
        <v>4.8629150194502078</v>
      </c>
      <c r="AR174" s="735">
        <f t="shared" si="150"/>
        <v>1.3636807560634521</v>
      </c>
      <c r="AS174" s="732" t="str">
        <f t="shared" si="151"/>
        <v>0.0286806737520614-23.9502119502142i</v>
      </c>
      <c r="AT174" s="337">
        <f t="shared" si="152"/>
        <v>23.950229122938055</v>
      </c>
      <c r="AU174" s="730">
        <f t="shared" si="153"/>
        <v>-1.5695988150525375</v>
      </c>
      <c r="AV174" s="732" t="str">
        <f t="shared" si="154"/>
        <v>-3.64674282812702-0.00552267913687521i</v>
      </c>
      <c r="AW174" s="337">
        <f t="shared" si="155"/>
        <v>11.238112710752631</v>
      </c>
      <c r="AX174" s="730">
        <f t="shared" si="156"/>
        <v>-179.91323052401583</v>
      </c>
      <c r="AY174" s="360">
        <f t="shared" si="157"/>
        <v>8.6769475984169731E-2</v>
      </c>
      <c r="BB174" s="337">
        <f t="shared" si="158"/>
        <v>-12.413806549913854</v>
      </c>
      <c r="BC174" s="730">
        <f t="shared" si="159"/>
        <v>-89.931387631245471</v>
      </c>
      <c r="BD174" s="351"/>
      <c r="BE174" s="337">
        <f t="shared" si="120"/>
        <v>59.31938033504246</v>
      </c>
      <c r="BF174" s="730">
        <f t="shared" si="121"/>
        <v>-4.78500674286476</v>
      </c>
      <c r="BI174" s="351"/>
      <c r="BJ174" s="351"/>
      <c r="BL174" s="405">
        <f t="shared" si="122"/>
        <v>0</v>
      </c>
      <c r="BM174" s="405">
        <f t="shared" si="160"/>
        <v>0</v>
      </c>
      <c r="BN174" s="405">
        <f t="shared" si="123"/>
        <v>0</v>
      </c>
      <c r="BO174" s="405">
        <f t="shared" si="124"/>
        <v>0</v>
      </c>
    </row>
    <row r="175" spans="4:67" ht="13.5" thickBot="1" x14ac:dyDescent="0.25">
      <c r="D175" s="345">
        <v>9829.2999999999993</v>
      </c>
      <c r="E175" s="340" t="str">
        <f t="shared" si="111"/>
        <v>0.163044587217231i</v>
      </c>
      <c r="F175" s="728" t="str">
        <f t="shared" si="125"/>
        <v>0.005-0.265440817528816i</v>
      </c>
      <c r="G175" s="337" t="str">
        <f t="shared" si="126"/>
        <v>0.005-0.415176663314302i</v>
      </c>
      <c r="H175" s="338" t="str">
        <f t="shared" si="127"/>
        <v>0.130433264705255-0.369150416976984i</v>
      </c>
      <c r="I175" s="338" t="str">
        <f t="shared" si="128"/>
        <v>0.140433264705255-0.369150416976984i</v>
      </c>
      <c r="J175" s="337" t="str">
        <f t="shared" si="129"/>
        <v>0.0251930367353789-0.159077721596375i</v>
      </c>
      <c r="K175" s="338" t="str">
        <f t="shared" si="112"/>
        <v>0.998926498461222-0.0514660944498836i</v>
      </c>
      <c r="L175" s="732"/>
      <c r="M175" s="732" t="str">
        <f t="shared" si="113"/>
        <v>914.103170541328-143.933598764759i</v>
      </c>
      <c r="N175" s="337">
        <f t="shared" si="114"/>
        <v>0</v>
      </c>
      <c r="O175" s="730" t="str">
        <f t="shared" si="115"/>
        <v>352.813442564163-133.85962874737i</v>
      </c>
      <c r="P175" s="731" t="str">
        <f t="shared" si="116"/>
        <v>0.132405802709361-149.039574114873i</v>
      </c>
      <c r="Q175" s="729" t="str">
        <f t="shared" si="117"/>
        <v>-3.39572862293238-147.700977827399i</v>
      </c>
      <c r="R175" s="730"/>
      <c r="S175" s="405" t="str">
        <f t="shared" si="130"/>
        <v>39.323888158448+1.897228613515i</v>
      </c>
      <c r="T175" s="405" t="str">
        <f t="shared" si="131"/>
        <v>15.8538982529822-2.52991648629324i</v>
      </c>
      <c r="U175" s="405" t="str">
        <f t="shared" si="132"/>
        <v>1.1339559816093-6.18245841753793i</v>
      </c>
      <c r="V175" s="731" t="str">
        <f t="shared" si="118"/>
        <v>6000</v>
      </c>
      <c r="W175" s="733" t="str">
        <f>IMSUM(COMPLEX(1,0),IMDIV(COMPLEX(0,2*PI()*D175),COMPLEX(2*PI()*'Stability Calculations'!EA_Pole1,0)))</f>
        <v>1+62376.9064732589i</v>
      </c>
      <c r="X175" s="734">
        <f t="shared" si="133"/>
        <v>62376.906481274687</v>
      </c>
      <c r="Y175" s="735">
        <f t="shared" si="134"/>
        <v>1.5707802952207701</v>
      </c>
      <c r="Z175" s="340" t="str">
        <f>IMSUM(COMPLEX(1,0),IMDIV(COMPLEX(0,2*PI()*D175),COMPLEX(2*PI()*'Stability Calculations'!EA_Zero1,0)))</f>
        <v>1+617.593133398603i</v>
      </c>
      <c r="AA175" s="734">
        <f t="shared" si="135"/>
        <v>617.59394299256576</v>
      </c>
      <c r="AB175" s="735">
        <f t="shared" si="136"/>
        <v>1.5691771392230172</v>
      </c>
      <c r="AC175" s="733" t="str">
        <f>IMSUM(COMPLEX(1,0),IMDIV(COMPLEX(0,2*PI()*D175),COMPLEX(2*PI()*'Stability Calculations'!EA_Pole2,0)))</f>
        <v>1+6.22129733398603i</v>
      </c>
      <c r="AD175" s="734">
        <f t="shared" si="137"/>
        <v>6.3011539036799986</v>
      </c>
      <c r="AE175" s="735">
        <f t="shared" si="138"/>
        <v>1.4114213949975944</v>
      </c>
      <c r="AF175" s="732" t="str">
        <f t="shared" si="139"/>
        <v>1.48127753650264-9.3107050627404i</v>
      </c>
      <c r="AG175" s="337">
        <f t="shared" si="140"/>
        <v>9.4277999504384393</v>
      </c>
      <c r="AH175" s="730">
        <f t="shared" si="141"/>
        <v>-1.4130245509953474</v>
      </c>
      <c r="AI175" s="731" t="str">
        <f t="shared" si="119"/>
        <v>10000</v>
      </c>
      <c r="AJ175" s="733" t="str">
        <f t="shared" si="142"/>
        <v>1+58152.445922186i</v>
      </c>
      <c r="AK175" s="734">
        <f t="shared" si="143"/>
        <v>58152.445930784081</v>
      </c>
      <c r="AL175" s="735">
        <f t="shared" si="144"/>
        <v>1.5707791306136518</v>
      </c>
      <c r="AM175" s="340" t="str">
        <f t="shared" si="145"/>
        <v>1+98.6913827170967i</v>
      </c>
      <c r="AN175" s="734">
        <f t="shared" si="146"/>
        <v>98.696448885521988</v>
      </c>
      <c r="AO175" s="735">
        <f t="shared" si="147"/>
        <v>1.5606640766287287</v>
      </c>
      <c r="AP175" s="733" t="str">
        <f t="shared" si="148"/>
        <v>1+4.78669473782154i</v>
      </c>
      <c r="AQ175" s="734">
        <f t="shared" si="149"/>
        <v>4.8900354306577798</v>
      </c>
      <c r="AR175" s="735">
        <f t="shared" si="150"/>
        <v>1.3648459999157945</v>
      </c>
      <c r="AS175" s="732" t="str">
        <f t="shared" si="151"/>
        <v>0.0283495810885969-23.8115689964603i</v>
      </c>
      <c r="AT175" s="337">
        <f t="shared" si="152"/>
        <v>23.811585872678393</v>
      </c>
      <c r="AU175" s="730">
        <f t="shared" si="153"/>
        <v>-1.5696057472199922</v>
      </c>
      <c r="AV175" s="732" t="str">
        <f t="shared" si="154"/>
        <v>-3.60408489123837-0.00259359204713439i</v>
      </c>
      <c r="AW175" s="337">
        <f t="shared" si="155"/>
        <v>11.135902486537292</v>
      </c>
      <c r="AX175" s="730">
        <f t="shared" si="156"/>
        <v>-179.95876849272082</v>
      </c>
      <c r="AY175" s="360">
        <f t="shared" si="157"/>
        <v>4.1231507279178459E-2</v>
      </c>
      <c r="BB175" s="337">
        <f t="shared" si="158"/>
        <v>-12.464233584705832</v>
      </c>
      <c r="BC175" s="730">
        <f t="shared" si="159"/>
        <v>-89.931784815183505</v>
      </c>
      <c r="BD175" s="351"/>
      <c r="BE175" s="337">
        <f t="shared" si="120"/>
        <v>59.326266983165858</v>
      </c>
      <c r="BF175" s="730">
        <f t="shared" si="121"/>
        <v>-8.9482558348655843</v>
      </c>
      <c r="BI175" s="351"/>
      <c r="BJ175" s="351"/>
      <c r="BL175" s="405">
        <f t="shared" si="122"/>
        <v>0</v>
      </c>
      <c r="BM175" s="405">
        <f t="shared" si="160"/>
        <v>0</v>
      </c>
      <c r="BN175" s="405">
        <f t="shared" si="123"/>
        <v>0</v>
      </c>
      <c r="BO175" s="405">
        <f t="shared" si="124"/>
        <v>0</v>
      </c>
    </row>
    <row r="176" spans="4:67" ht="13.5" thickBot="1" x14ac:dyDescent="0.25">
      <c r="D176" s="345">
        <v>9886.2000000000007</v>
      </c>
      <c r="E176" s="340" t="str">
        <f t="shared" si="111"/>
        <v>0.163988422181335i</v>
      </c>
      <c r="F176" s="728" t="str">
        <f t="shared" si="125"/>
        <v>0.005-0.263913073550605i</v>
      </c>
      <c r="G176" s="337" t="str">
        <f t="shared" si="126"/>
        <v>0.005-0.41278711504069i</v>
      </c>
      <c r="H176" s="338" t="str">
        <f t="shared" si="127"/>
        <v>0.129140873714623-0.367462456702602i</v>
      </c>
      <c r="I176" s="338" t="str">
        <f t="shared" si="128"/>
        <v>0.139140873714623-0.367462456702602i</v>
      </c>
      <c r="J176" s="337" t="str">
        <f t="shared" si="129"/>
        <v>0.0249554343404808-0.158193555686227i</v>
      </c>
      <c r="K176" s="338" t="str">
        <f t="shared" si="112"/>
        <v>0.998914033884-0.051764022153199i</v>
      </c>
      <c r="L176" s="732"/>
      <c r="M176" s="732" t="str">
        <f t="shared" si="113"/>
        <v>897.302504725723-208.361359280248i</v>
      </c>
      <c r="N176" s="337">
        <f t="shared" si="114"/>
        <v>0</v>
      </c>
      <c r="O176" s="730" t="str">
        <f t="shared" si="115"/>
        <v>340.701573001192-157.769491924391i</v>
      </c>
      <c r="P176" s="731" t="str">
        <f t="shared" si="116"/>
        <v>-10.5688505519262-147.147221969331i</v>
      </c>
      <c r="Q176" s="729" t="str">
        <f t="shared" si="117"/>
        <v>-13.9758662819382-145.569527050087i</v>
      </c>
      <c r="R176" s="730"/>
      <c r="S176" s="405" t="str">
        <f t="shared" si="130"/>
        <v>39.3333227721856+1.86480068171421i</v>
      </c>
      <c r="T176" s="405" t="str">
        <f t="shared" si="131"/>
        <v>15.849445240267-2.52740392212033i</v>
      </c>
      <c r="U176" s="405" t="str">
        <f t="shared" si="132"/>
        <v>1.11808515191801-6.15046723609428i</v>
      </c>
      <c r="V176" s="731" t="str">
        <f t="shared" si="118"/>
        <v>6000</v>
      </c>
      <c r="W176" s="733" t="str">
        <f>IMSUM(COMPLEX(1,0),IMDIV(COMPLEX(0,2*PI()*D176),COMPLEX(2*PI()*'Stability Calculations'!EA_Pole1,0)))</f>
        <v>1+62737.9948496772i</v>
      </c>
      <c r="X176" s="734">
        <f t="shared" si="133"/>
        <v>62737.99485764686</v>
      </c>
      <c r="Y176" s="735">
        <f t="shared" si="134"/>
        <v>1.5707803874904558</v>
      </c>
      <c r="Z176" s="340" t="str">
        <f>IMSUM(COMPLEX(1,0),IMDIV(COMPLEX(0,2*PI()*D176),COMPLEX(2*PI()*'Stability Calculations'!EA_Zero1,0)))</f>
        <v>1+621.168265838388i</v>
      </c>
      <c r="AA176" s="734">
        <f t="shared" si="135"/>
        <v>621.16907077274084</v>
      </c>
      <c r="AB176" s="735">
        <f t="shared" si="136"/>
        <v>1.5691864584369919</v>
      </c>
      <c r="AC176" s="733" t="str">
        <f>IMSUM(COMPLEX(1,0),IMDIV(COMPLEX(0,2*PI()*D176),COMPLEX(2*PI()*'Stability Calculations'!EA_Pole2,0)))</f>
        <v>1+6.2573112737685i</v>
      </c>
      <c r="AD176" s="734">
        <f t="shared" si="137"/>
        <v>6.3367140046581216</v>
      </c>
      <c r="AE176" s="735">
        <f t="shared" si="138"/>
        <v>1.4123233533802406</v>
      </c>
      <c r="AF176" s="732" t="str">
        <f t="shared" si="139"/>
        <v>1.46469904417853-9.25976677907238i</v>
      </c>
      <c r="AG176" s="337">
        <f t="shared" si="140"/>
        <v>9.3748932843435604</v>
      </c>
      <c r="AH176" s="730">
        <f t="shared" si="141"/>
        <v>-1.4139172824337043</v>
      </c>
      <c r="AI176" s="731" t="str">
        <f t="shared" si="119"/>
        <v>10000</v>
      </c>
      <c r="AJ176" s="733" t="str">
        <f t="shared" si="142"/>
        <v>1+58489.0796776897i</v>
      </c>
      <c r="AK176" s="734">
        <f t="shared" si="143"/>
        <v>58489.079686238307</v>
      </c>
      <c r="AL176" s="735">
        <f t="shared" si="144"/>
        <v>1.5707792295862311</v>
      </c>
      <c r="AM176" s="340" t="str">
        <f t="shared" si="145"/>
        <v>1+99.2626888809744i</v>
      </c>
      <c r="AN176" s="734">
        <f t="shared" si="146"/>
        <v>99.267725892563476</v>
      </c>
      <c r="AO176" s="735">
        <f t="shared" si="147"/>
        <v>1.5607223888130766</v>
      </c>
      <c r="AP176" s="733" t="str">
        <f t="shared" si="148"/>
        <v>1+4.81440402847113i</v>
      </c>
      <c r="AQ176" s="734">
        <f t="shared" si="149"/>
        <v>4.9171624082756358</v>
      </c>
      <c r="AR176" s="735">
        <f t="shared" si="150"/>
        <v>1.3659983884952736</v>
      </c>
      <c r="AS176" s="732" t="str">
        <f t="shared" si="151"/>
        <v>0.0280241887560452-23.6745219543236i</v>
      </c>
      <c r="AT176" s="337">
        <f t="shared" si="152"/>
        <v>23.67453854082283</v>
      </c>
      <c r="AU176" s="730">
        <f t="shared" si="153"/>
        <v>-1.5696125995914139</v>
      </c>
      <c r="AV176" s="732" t="str">
        <f t="shared" si="154"/>
        <v>-3.5621697995482+0.0002460991594464i</v>
      </c>
      <c r="AW176" s="337">
        <f t="shared" si="155"/>
        <v>11.034292367345301</v>
      </c>
      <c r="AX176" s="730">
        <f t="shared" si="156"/>
        <v>179.99604161397434</v>
      </c>
      <c r="AY176" s="360">
        <f t="shared" si="157"/>
        <v>-3.9583860256584558E-3</v>
      </c>
      <c r="BB176" s="337">
        <f t="shared" si="158"/>
        <v>-12.514369548396576</v>
      </c>
      <c r="BC176" s="730">
        <f t="shared" si="159"/>
        <v>-89.932177427145618</v>
      </c>
      <c r="BD176" s="351"/>
      <c r="BE176" s="337">
        <f t="shared" si="120"/>
        <v>59.286857500009276</v>
      </c>
      <c r="BF176" s="730">
        <f t="shared" si="121"/>
        <v>-13.072892072789635</v>
      </c>
      <c r="BI176" s="351"/>
      <c r="BJ176" s="351"/>
      <c r="BL176" s="405">
        <f t="shared" si="122"/>
        <v>0</v>
      </c>
      <c r="BM176" s="405">
        <f t="shared" si="160"/>
        <v>0</v>
      </c>
      <c r="BN176" s="405">
        <f t="shared" si="123"/>
        <v>0</v>
      </c>
      <c r="BO176" s="405">
        <f t="shared" si="124"/>
        <v>0</v>
      </c>
    </row>
    <row r="177" spans="4:67" ht="13.5" thickBot="1" x14ac:dyDescent="0.25">
      <c r="D177" s="345">
        <v>9943.1</v>
      </c>
      <c r="E177" s="340" t="str">
        <f t="shared" si="111"/>
        <v>0.164932257145438i</v>
      </c>
      <c r="F177" s="728" t="str">
        <f t="shared" si="125"/>
        <v>0.005-0.262402814789752i</v>
      </c>
      <c r="G177" s="337" t="str">
        <f t="shared" si="126"/>
        <v>0.005-0.410424915440382i</v>
      </c>
      <c r="H177" s="338" t="str">
        <f t="shared" si="127"/>
        <v>0.12786760619686-0.365787390716143i</v>
      </c>
      <c r="I177" s="338" t="str">
        <f t="shared" si="128"/>
        <v>0.13786760619686-0.365787390716143i</v>
      </c>
      <c r="J177" s="337" t="str">
        <f t="shared" si="129"/>
        <v>0.0247218076663404-0.157318989572741i</v>
      </c>
      <c r="K177" s="338" t="str">
        <f t="shared" si="112"/>
        <v>0.998901497359889-0.0520619498565145i</v>
      </c>
      <c r="L177" s="732"/>
      <c r="M177" s="732" t="str">
        <f t="shared" si="113"/>
        <v>871.930707791488-268.517653436236i</v>
      </c>
      <c r="N177" s="337">
        <f t="shared" si="114"/>
        <v>0</v>
      </c>
      <c r="O177" s="730" t="str">
        <f t="shared" si="115"/>
        <v>325.582685067587-179.269514855792i</v>
      </c>
      <c r="P177" s="731" t="str">
        <f t="shared" si="116"/>
        <v>-20.6872226646348-143.80949971047i</v>
      </c>
      <c r="Q177" s="729" t="str">
        <f t="shared" si="117"/>
        <v>-23.9430495153107-142.016804561912i</v>
      </c>
      <c r="R177" s="730"/>
      <c r="S177" s="405" t="str">
        <f t="shared" si="130"/>
        <v>39.342591030575+1.83256931434357i</v>
      </c>
      <c r="T177" s="405" t="str">
        <f t="shared" si="131"/>
        <v>15.8450537161107-2.5249686783481i</v>
      </c>
      <c r="U177" s="405" t="str">
        <f t="shared" si="132"/>
        <v>1.10246738424681-6.11878255519574i</v>
      </c>
      <c r="V177" s="731" t="str">
        <f t="shared" si="118"/>
        <v>6000</v>
      </c>
      <c r="W177" s="733" t="str">
        <f>IMSUM(COMPLEX(1,0),IMDIV(COMPLEX(0,2*PI()*D177),COMPLEX(2*PI()*'Stability Calculations'!EA_Pole1,0)))</f>
        <v>1+63099.0832260955i</v>
      </c>
      <c r="X177" s="734">
        <f t="shared" si="133"/>
        <v>63099.083234019541</v>
      </c>
      <c r="Y177" s="735">
        <f t="shared" si="134"/>
        <v>1.5707804787041038</v>
      </c>
      <c r="Z177" s="340" t="str">
        <f>IMSUM(COMPLEX(1,0),IMDIV(COMPLEX(0,2*PI()*D177),COMPLEX(2*PI()*'Stability Calculations'!EA_Zero1,0)))</f>
        <v>1+624.743398278173i</v>
      </c>
      <c r="AA177" s="734">
        <f t="shared" si="135"/>
        <v>624.7441986062455</v>
      </c>
      <c r="AB177" s="735">
        <f t="shared" si="136"/>
        <v>1.5691956709916934</v>
      </c>
      <c r="AC177" s="733" t="str">
        <f>IMSUM(COMPLEX(1,0),IMDIV(COMPLEX(0,2*PI()*D177),COMPLEX(2*PI()*'Stability Calculations'!EA_Pole2,0)))</f>
        <v>1+6.29332521355096i</v>
      </c>
      <c r="AD177" s="734">
        <f t="shared" si="137"/>
        <v>6.3722792031985094</v>
      </c>
      <c r="AE177" s="735">
        <f t="shared" si="138"/>
        <v>1.4132152443952806</v>
      </c>
      <c r="AF177" s="732" t="str">
        <f t="shared" si="139"/>
        <v>1.44839500531246-9.2093678801157i</v>
      </c>
      <c r="AG177" s="337">
        <f t="shared" si="140"/>
        <v>9.3225696480488036</v>
      </c>
      <c r="AH177" s="730">
        <f t="shared" si="141"/>
        <v>-1.4148000521076913</v>
      </c>
      <c r="AI177" s="731" t="str">
        <f t="shared" si="119"/>
        <v>10000</v>
      </c>
      <c r="AJ177" s="733" t="str">
        <f t="shared" si="142"/>
        <v>1+58825.7134331933i</v>
      </c>
      <c r="AK177" s="734">
        <f t="shared" si="143"/>
        <v>58825.713441692984</v>
      </c>
      <c r="AL177" s="735">
        <f t="shared" si="144"/>
        <v>1.5707793274260571</v>
      </c>
      <c r="AM177" s="340" t="str">
        <f t="shared" si="145"/>
        <v>1+99.833995044852i</v>
      </c>
      <c r="AN177" s="734">
        <f t="shared" si="146"/>
        <v>99.839003233283208</v>
      </c>
      <c r="AO177" s="735">
        <f t="shared" si="147"/>
        <v>1.5607800336746578</v>
      </c>
      <c r="AP177" s="733" t="str">
        <f t="shared" si="148"/>
        <v>1+4.84211331912072i</v>
      </c>
      <c r="AQ177" s="734">
        <f t="shared" si="149"/>
        <v>4.944295844223551</v>
      </c>
      <c r="AR177" s="735">
        <f t="shared" si="150"/>
        <v>1.3671381303581913</v>
      </c>
      <c r="AS177" s="732" t="str">
        <f t="shared" si="151"/>
        <v>0.0277043666468004-23.5390434258505i</v>
      </c>
      <c r="AT177" s="337">
        <f t="shared" si="152"/>
        <v>23.539059729224675</v>
      </c>
      <c r="AU177" s="730">
        <f t="shared" si="153"/>
        <v>-1.5696193735367123</v>
      </c>
      <c r="AV177" s="732" t="str">
        <f t="shared" si="154"/>
        <v>-3.52098042439533+0.00299934346895381i</v>
      </c>
      <c r="AW177" s="337">
        <f t="shared" si="155"/>
        <v>10.933275362015246</v>
      </c>
      <c r="AX177" s="730">
        <f t="shared" si="156"/>
        <v>179.95119266232692</v>
      </c>
      <c r="AY177" s="360">
        <f t="shared" si="157"/>
        <v>-4.8807337673082429E-2</v>
      </c>
      <c r="BB177" s="337">
        <f t="shared" si="158"/>
        <v>-12.564217781903494</v>
      </c>
      <c r="BC177" s="730">
        <f t="shared" si="159"/>
        <v>-89.93256554562187</v>
      </c>
      <c r="BD177" s="351"/>
      <c r="BE177" s="337">
        <f t="shared" si="120"/>
        <v>59.203137526269515</v>
      </c>
      <c r="BF177" s="730">
        <f t="shared" si="121"/>
        <v>-17.116611374439344</v>
      </c>
      <c r="BI177" s="351"/>
      <c r="BJ177" s="351"/>
      <c r="BL177" s="405">
        <f t="shared" si="122"/>
        <v>0</v>
      </c>
      <c r="BM177" s="405">
        <f t="shared" si="160"/>
        <v>0</v>
      </c>
      <c r="BN177" s="405">
        <f t="shared" si="123"/>
        <v>0</v>
      </c>
      <c r="BO177" s="405">
        <f t="shared" si="124"/>
        <v>0</v>
      </c>
    </row>
    <row r="178" spans="4:67" ht="13.5" thickBot="1" x14ac:dyDescent="0.25">
      <c r="D178" s="345">
        <v>10000</v>
      </c>
      <c r="E178" s="340" t="str">
        <f t="shared" si="111"/>
        <v>0.165876092109541i</v>
      </c>
      <c r="F178" s="728" t="str">
        <f t="shared" si="125"/>
        <v>0.005-0.260909742773599i</v>
      </c>
      <c r="G178" s="337" t="str">
        <f t="shared" si="126"/>
        <v>0.005-0.408089597671526i</v>
      </c>
      <c r="H178" s="338" t="str">
        <f t="shared" si="127"/>
        <v>0.126613102339199-0.364125119105164i</v>
      </c>
      <c r="I178" s="338" t="str">
        <f t="shared" si="128"/>
        <v>0.136613102339199-0.364125119105164i</v>
      </c>
      <c r="J178" s="337" t="str">
        <f t="shared" si="129"/>
        <v>0.0244920690075947-0.156453870800694i</v>
      </c>
      <c r="K178" s="338" t="str">
        <f t="shared" si="112"/>
        <v>0.998888888888889-0.0523598775598299i</v>
      </c>
      <c r="L178" s="732"/>
      <c r="M178" s="732" t="str">
        <f t="shared" si="113"/>
        <v>839.354498004123-322.903868771505i</v>
      </c>
      <c r="N178" s="337">
        <f t="shared" si="114"/>
        <v>0</v>
      </c>
      <c r="O178" s="730" t="str">
        <f t="shared" si="115"/>
        <v>308.121908701329-197.886709662628i</v>
      </c>
      <c r="P178" s="731" t="str">
        <f t="shared" si="116"/>
        <v>-29.9620318788694-139.22884402349i</v>
      </c>
      <c r="Q178" s="729" t="str">
        <f t="shared" si="117"/>
        <v>-33.0432509658826-137.249976926864i</v>
      </c>
      <c r="R178" s="730"/>
      <c r="S178" s="405" t="str">
        <f t="shared" si="130"/>
        <v>39.3516962965348+1.80053193945255i</v>
      </c>
      <c r="T178" s="405" t="str">
        <f t="shared" si="131"/>
        <v>15.8407223527078-2.52260973773617i</v>
      </c>
      <c r="U178" s="405" t="str">
        <f t="shared" si="132"/>
        <v>1.08709742916121-6.08740035827742i</v>
      </c>
      <c r="V178" s="731" t="str">
        <f t="shared" si="118"/>
        <v>6000</v>
      </c>
      <c r="W178" s="733" t="str">
        <f>IMSUM(COMPLEX(1,0),IMDIV(COMPLEX(0,2*PI()*D178),COMPLEX(2*PI()*'Stability Calculations'!EA_Pole1,0)))</f>
        <v>1+63460.1716025139i</v>
      </c>
      <c r="X178" s="734">
        <f t="shared" si="133"/>
        <v>63460.171610392848</v>
      </c>
      <c r="Y178" s="735">
        <f t="shared" si="134"/>
        <v>1.5707805688797403</v>
      </c>
      <c r="Z178" s="340" t="str">
        <f>IMSUM(COMPLEX(1,0),IMDIV(COMPLEX(0,2*PI()*D178),COMPLEX(2*PI()*'Stability Calculations'!EA_Zero1,0)))</f>
        <v>1+628.318530717959i</v>
      </c>
      <c r="AA178" s="734">
        <f t="shared" si="135"/>
        <v>628.31932649217049</v>
      </c>
      <c r="AB178" s="735">
        <f t="shared" si="136"/>
        <v>1.5692047787077896</v>
      </c>
      <c r="AC178" s="733" t="str">
        <f>IMSUM(COMPLEX(1,0),IMDIV(COMPLEX(0,2*PI()*D178),COMPLEX(2*PI()*'Stability Calculations'!EA_Pole2,0)))</f>
        <v>1+6.32933915333344i</v>
      </c>
      <c r="AD178" s="734">
        <f t="shared" si="137"/>
        <v>6.4078494144228824</v>
      </c>
      <c r="AE178" s="735">
        <f t="shared" si="138"/>
        <v>1.4140972342648259</v>
      </c>
      <c r="AF178" s="732" t="str">
        <f t="shared" si="139"/>
        <v>1.43235944631599-9.1595001023655i</v>
      </c>
      <c r="AG178" s="337">
        <f t="shared" si="140"/>
        <v>9.2708195812821348</v>
      </c>
      <c r="AH178" s="730">
        <f t="shared" si="141"/>
        <v>-1.4156730244367768</v>
      </c>
      <c r="AI178" s="731" t="str">
        <f t="shared" si="119"/>
        <v>10000</v>
      </c>
      <c r="AJ178" s="733" t="str">
        <f t="shared" si="142"/>
        <v>1+59162.3471886971i</v>
      </c>
      <c r="AK178" s="734">
        <f t="shared" si="143"/>
        <v>59162.347197148425</v>
      </c>
      <c r="AL178" s="735">
        <f t="shared" si="144"/>
        <v>1.5707794241524657</v>
      </c>
      <c r="AM178" s="340" t="str">
        <f t="shared" si="145"/>
        <v>1+100.40530120873i</v>
      </c>
      <c r="AN178" s="734">
        <f t="shared" si="146"/>
        <v>100.41028090198631</v>
      </c>
      <c r="AO178" s="735">
        <f t="shared" si="147"/>
        <v>1.5608370226031532</v>
      </c>
      <c r="AP178" s="733" t="str">
        <f t="shared" si="148"/>
        <v>1+4.86982260977032i</v>
      </c>
      <c r="AQ178" s="734">
        <f t="shared" si="149"/>
        <v>4.9714356327554121</v>
      </c>
      <c r="AR178" s="735">
        <f t="shared" si="150"/>
        <v>1.3682654296397525</v>
      </c>
      <c r="AS178" s="732" t="str">
        <f t="shared" si="151"/>
        <v>0.0273899883442463-23.4051066366608i</v>
      </c>
      <c r="AT178" s="337">
        <f t="shared" si="152"/>
        <v>23.405122663317211</v>
      </c>
      <c r="AU178" s="730">
        <f t="shared" si="153"/>
        <v>-1.5696260703946197</v>
      </c>
      <c r="AV178" s="732" t="str">
        <f t="shared" si="154"/>
        <v>-3.48050012657887+0.00566897845042802i</v>
      </c>
      <c r="AW178" s="337">
        <f t="shared" si="155"/>
        <v>10.832844599351628</v>
      </c>
      <c r="AX178" s="730">
        <f t="shared" si="156"/>
        <v>179.90667770713515</v>
      </c>
      <c r="AY178" s="360">
        <f t="shared" si="157"/>
        <v>-9.3322292864854717E-2</v>
      </c>
      <c r="BB178" s="337">
        <f t="shared" si="158"/>
        <v>-12.613781568951508</v>
      </c>
      <c r="BC178" s="730">
        <f t="shared" si="159"/>
        <v>-89.93294924731596</v>
      </c>
      <c r="BD178" s="351"/>
      <c r="BE178" s="337">
        <f t="shared" si="120"/>
        <v>59.078319506640959</v>
      </c>
      <c r="BF178" s="730">
        <f t="shared" si="121"/>
        <v>-21.041983600155561</v>
      </c>
      <c r="BI178" s="351"/>
      <c r="BJ178" s="351"/>
      <c r="BL178" s="405">
        <f t="shared" si="122"/>
        <v>0</v>
      </c>
      <c r="BM178" s="405">
        <f t="shared" si="160"/>
        <v>0</v>
      </c>
      <c r="BN178" s="405">
        <f t="shared" si="123"/>
        <v>0</v>
      </c>
      <c r="BO178" s="405">
        <f t="shared" si="124"/>
        <v>0</v>
      </c>
    </row>
    <row r="179" spans="4:67" ht="13.5" thickBot="1" x14ac:dyDescent="0.25">
      <c r="D179" s="345">
        <v>10058.25</v>
      </c>
      <c r="E179" s="340" t="str">
        <f t="shared" si="111"/>
        <v>0.166842320346079i</v>
      </c>
      <c r="F179" s="728" t="str">
        <f t="shared" si="125"/>
        <v>0.005-0.259398745083488i</v>
      </c>
      <c r="G179" s="337" t="str">
        <f t="shared" si="126"/>
        <v>0.005-0.405726242310071i</v>
      </c>
      <c r="H179" s="338" t="str">
        <f t="shared" si="127"/>
        <v>0.125347903791637-0.362436557290937i</v>
      </c>
      <c r="I179" s="338" t="str">
        <f t="shared" si="128"/>
        <v>0.135347903791637-0.362436557290937i</v>
      </c>
      <c r="J179" s="337" t="str">
        <f t="shared" si="129"/>
        <v>0.0242608180279058-0.155577856708633i</v>
      </c>
      <c r="K179" s="338" t="str">
        <f t="shared" si="112"/>
        <v>0.99887590674375-0.0526648738466159i</v>
      </c>
      <c r="L179" s="732"/>
      <c r="M179" s="732" t="str">
        <f t="shared" si="113"/>
        <v>800.244536028278-371.559007894405i</v>
      </c>
      <c r="N179" s="337">
        <f t="shared" si="114"/>
        <v>0</v>
      </c>
      <c r="O179" s="730" t="str">
        <f t="shared" si="115"/>
        <v>288.579269246507-213.6935820485i</v>
      </c>
      <c r="P179" s="731" t="str">
        <f t="shared" si="116"/>
        <v>-38.3917670225897-133.514655235229i</v>
      </c>
      <c r="Q179" s="729" t="str">
        <f t="shared" si="117"/>
        <v>-41.2775597150548-131.377719414744i</v>
      </c>
      <c r="R179" s="730"/>
      <c r="S179" s="405" t="str">
        <f t="shared" si="130"/>
        <v>39.3608521753564+1.76793275745515i</v>
      </c>
      <c r="T179" s="405" t="str">
        <f t="shared" si="131"/>
        <v>15.8363491917607-2.52027282342957i</v>
      </c>
      <c r="U179" s="405" t="str">
        <f t="shared" si="132"/>
        <v>1.07161416934186-6.05558279651878i</v>
      </c>
      <c r="V179" s="731" t="str">
        <f t="shared" si="118"/>
        <v>6000</v>
      </c>
      <c r="W179" s="733" t="str">
        <f>IMSUM(COMPLEX(1,0),IMDIV(COMPLEX(0,2*PI()*D179),COMPLEX(2*PI()*'Stability Calculations'!EA_Pole1,0)))</f>
        <v>1+63829.8271020985i</v>
      </c>
      <c r="X179" s="734">
        <f t="shared" si="133"/>
        <v>63829.827109931823</v>
      </c>
      <c r="Y179" s="735">
        <f t="shared" si="134"/>
        <v>1.5707806601380165</v>
      </c>
      <c r="Z179" s="340" t="str">
        <f>IMSUM(COMPLEX(1,0),IMDIV(COMPLEX(0,2*PI()*D179),COMPLEX(2*PI()*'Stability Calculations'!EA_Zero1,0)))</f>
        <v>1+631.978486159391i</v>
      </c>
      <c r="AA179" s="734">
        <f t="shared" si="135"/>
        <v>631.97927732506821</v>
      </c>
      <c r="AB179" s="735">
        <f t="shared" si="136"/>
        <v>1.5692139957704871</v>
      </c>
      <c r="AC179" s="733" t="str">
        <f>IMSUM(COMPLEX(1,0),IMDIV(COMPLEX(0,2*PI()*D179),COMPLEX(2*PI()*'Stability Calculations'!EA_Pole2,0)))</f>
        <v>1+6.3662075539016i</v>
      </c>
      <c r="AD179" s="734">
        <f t="shared" si="137"/>
        <v>6.4442686644299512</v>
      </c>
      <c r="AE179" s="735">
        <f t="shared" si="138"/>
        <v>1.4149900635354999</v>
      </c>
      <c r="AF179" s="732" t="str">
        <f t="shared" si="139"/>
        <v>1.41621547205629-9.10899088493388i</v>
      </c>
      <c r="AG179" s="337">
        <f t="shared" si="140"/>
        <v>9.2184261783180812</v>
      </c>
      <c r="AH179" s="730">
        <f t="shared" si="141"/>
        <v>-1.4165567279030289</v>
      </c>
      <c r="AI179" s="731" t="str">
        <f t="shared" si="119"/>
        <v>10000</v>
      </c>
      <c r="AJ179" s="733" t="str">
        <f t="shared" si="142"/>
        <v>1+59506.9678610713i</v>
      </c>
      <c r="AK179" s="734">
        <f t="shared" si="143"/>
        <v>59506.967869473679</v>
      </c>
      <c r="AL179" s="735">
        <f t="shared" si="144"/>
        <v>1.5707795220401619</v>
      </c>
      <c r="AM179" s="340" t="str">
        <f t="shared" si="145"/>
        <v>1+100.990162088271i</v>
      </c>
      <c r="AN179" s="734">
        <f t="shared" si="146"/>
        <v>100.99511294421751</v>
      </c>
      <c r="AO179" s="735">
        <f t="shared" si="147"/>
        <v>1.5608946958009102</v>
      </c>
      <c r="AP179" s="733" t="str">
        <f t="shared" si="148"/>
        <v>1+4.89818932647223i</v>
      </c>
      <c r="AQ179" s="734">
        <f t="shared" si="149"/>
        <v>4.9992258078593004</v>
      </c>
      <c r="AR179" s="735">
        <f t="shared" si="150"/>
        <v>1.3694067947461579</v>
      </c>
      <c r="AS179" s="732" t="str">
        <f t="shared" si="151"/>
        <v>0.0270736619890113-23.2695618093047i</v>
      </c>
      <c r="AT179" s="337">
        <f t="shared" si="152"/>
        <v>23.269577559126969</v>
      </c>
      <c r="AU179" s="730">
        <f t="shared" si="153"/>
        <v>-1.5696328476544432</v>
      </c>
      <c r="AV179" s="732" t="str">
        <f t="shared" si="154"/>
        <v>-3.439777036157+0.00831819497233011i</v>
      </c>
      <c r="AW179" s="337">
        <f t="shared" si="155"/>
        <v>10.730631253531062</v>
      </c>
      <c r="AX179" s="730">
        <f t="shared" si="156"/>
        <v>179.86144551491316</v>
      </c>
      <c r="AY179" s="360">
        <f t="shared" si="157"/>
        <v>-0.13855448508684276</v>
      </c>
      <c r="BB179" s="337">
        <f t="shared" si="158"/>
        <v>-12.664230018326755</v>
      </c>
      <c r="BC179" s="730">
        <f t="shared" si="159"/>
        <v>-89.933337555700518</v>
      </c>
      <c r="BD179" s="351"/>
      <c r="BE179" s="337">
        <f t="shared" si="120"/>
        <v>58.912292801386471</v>
      </c>
      <c r="BF179" s="730">
        <f t="shared" si="121"/>
        <v>-24.905764338710092</v>
      </c>
      <c r="BI179" s="351"/>
      <c r="BJ179" s="351"/>
      <c r="BL179" s="405">
        <f t="shared" si="122"/>
        <v>0</v>
      </c>
      <c r="BM179" s="405">
        <f t="shared" si="160"/>
        <v>0</v>
      </c>
      <c r="BN179" s="405">
        <f t="shared" si="123"/>
        <v>0</v>
      </c>
      <c r="BO179" s="405">
        <f t="shared" si="124"/>
        <v>0</v>
      </c>
    </row>
    <row r="180" spans="4:67" ht="13.5" thickBot="1" x14ac:dyDescent="0.25">
      <c r="D180" s="345">
        <v>10116.5</v>
      </c>
      <c r="E180" s="340" t="str">
        <f t="shared" si="111"/>
        <v>0.167808548582617i</v>
      </c>
      <c r="F180" s="728" t="str">
        <f t="shared" si="125"/>
        <v>0.005-0.257905147801709i</v>
      </c>
      <c r="G180" s="337" t="str">
        <f t="shared" si="126"/>
        <v>0.005-0.403390102971904i</v>
      </c>
      <c r="H180" s="338" t="str">
        <f t="shared" si="127"/>
        <v>0.124101632207088-0.360761191067518i</v>
      </c>
      <c r="I180" s="338" t="str">
        <f t="shared" si="128"/>
        <v>0.134101632207088-0.360761191067518i</v>
      </c>
      <c r="J180" s="337" t="str">
        <f t="shared" si="129"/>
        <v>0.0240334633237034-0.154711430224591i</v>
      </c>
      <c r="K180" s="338" t="str">
        <f t="shared" si="112"/>
        <v>0.998862849197222-0.0529698701334019i</v>
      </c>
      <c r="L180" s="732"/>
      <c r="M180" s="732" t="str">
        <f t="shared" si="113"/>
        <v>757.11925631296-412.594738324358i</v>
      </c>
      <c r="N180" s="337">
        <f t="shared" si="114"/>
        <v>0</v>
      </c>
      <c r="O180" s="730" t="str">
        <f t="shared" si="115"/>
        <v>268.10645296572-226.16190199827i</v>
      </c>
      <c r="P180" s="731" t="str">
        <f t="shared" si="116"/>
        <v>-45.6369241910352-127.051083505828i</v>
      </c>
      <c r="Q180" s="729" t="str">
        <f t="shared" si="117"/>
        <v>-48.3179887206924-124.789464485845i</v>
      </c>
      <c r="R180" s="730"/>
      <c r="S180" s="405" t="str">
        <f t="shared" si="130"/>
        <v>39.3698440979544+1.73553155114164i</v>
      </c>
      <c r="T180" s="405" t="str">
        <f t="shared" si="131"/>
        <v>15.8320363707055-2.51801376728033i</v>
      </c>
      <c r="U180" s="405" t="str">
        <f t="shared" si="132"/>
        <v>1.05637990895807-6.02407391655938i</v>
      </c>
      <c r="V180" s="731" t="str">
        <f t="shared" si="118"/>
        <v>6000</v>
      </c>
      <c r="W180" s="733" t="str">
        <f>IMSUM(COMPLEX(1,0),IMDIV(COMPLEX(0,2*PI()*D180),COMPLEX(2*PI()*'Stability Calculations'!EA_Pole1,0)))</f>
        <v>1+64199.4826016831i</v>
      </c>
      <c r="X180" s="734">
        <f t="shared" si="133"/>
        <v>64199.482609471313</v>
      </c>
      <c r="Y180" s="735">
        <f t="shared" si="134"/>
        <v>1.5707807503453772</v>
      </c>
      <c r="Z180" s="340" t="str">
        <f>IMSUM(COMPLEX(1,0),IMDIV(COMPLEX(0,2*PI()*D180),COMPLEX(2*PI()*'Stability Calculations'!EA_Zero1,0)))</f>
        <v>1+635.638441600823i</v>
      </c>
      <c r="AA180" s="734">
        <f t="shared" si="135"/>
        <v>635.63922821103699</v>
      </c>
      <c r="AB180" s="735">
        <f t="shared" si="136"/>
        <v>1.5692231066912254</v>
      </c>
      <c r="AC180" s="733" t="str">
        <f>IMSUM(COMPLEX(1,0),IMDIV(COMPLEX(0,2*PI()*D180),COMPLEX(2*PI()*'Stability Calculations'!EA_Pole2,0)))</f>
        <v>1+6.40307595446977i</v>
      </c>
      <c r="AD180" s="734">
        <f t="shared" si="137"/>
        <v>6.4806929937090025</v>
      </c>
      <c r="AE180" s="735">
        <f t="shared" si="138"/>
        <v>1.415872857321262</v>
      </c>
      <c r="AF180" s="732" t="str">
        <f t="shared" si="139"/>
        <v>1.40034070812559-9.05902127973096i</v>
      </c>
      <c r="AG180" s="337">
        <f t="shared" si="140"/>
        <v>9.1666144593002308</v>
      </c>
      <c r="AH180" s="730">
        <f t="shared" si="141"/>
        <v>-1.4174305009754136</v>
      </c>
      <c r="AI180" s="731" t="str">
        <f t="shared" si="119"/>
        <v>10000</v>
      </c>
      <c r="AJ180" s="733" t="str">
        <f t="shared" si="142"/>
        <v>1+59851.5885334454i</v>
      </c>
      <c r="AK180" s="734">
        <f t="shared" si="143"/>
        <v>59851.5885417994</v>
      </c>
      <c r="AL180" s="735">
        <f t="shared" si="144"/>
        <v>1.5707796188005991</v>
      </c>
      <c r="AM180" s="340" t="str">
        <f t="shared" si="145"/>
        <v>1+101.575022967811i</v>
      </c>
      <c r="AN180" s="734">
        <f t="shared" si="146"/>
        <v>101.57994531850925</v>
      </c>
      <c r="AO180" s="735">
        <f t="shared" si="147"/>
        <v>1.5609517049080628</v>
      </c>
      <c r="AP180" s="733" t="str">
        <f t="shared" si="148"/>
        <v>1+4.92655604317415i</v>
      </c>
      <c r="AQ180" s="734">
        <f t="shared" si="149"/>
        <v>5.0270224235163044</v>
      </c>
      <c r="AR180" s="735">
        <f t="shared" si="150"/>
        <v>1.3705355390911864</v>
      </c>
      <c r="AS180" s="732" t="str">
        <f t="shared" si="151"/>
        <v>0.0267627840235011-23.1355778882528i</v>
      </c>
      <c r="AT180" s="337">
        <f t="shared" si="152"/>
        <v>23.135593367580192</v>
      </c>
      <c r="AU180" s="730">
        <f t="shared" si="153"/>
        <v>-1.5696395468685287</v>
      </c>
      <c r="AV180" s="732" t="str">
        <f t="shared" si="154"/>
        <v>-3.39976327971138+0.01088546855009i</v>
      </c>
      <c r="AW180" s="337">
        <f t="shared" si="155"/>
        <v>10.629018099204472</v>
      </c>
      <c r="AX180" s="730">
        <f t="shared" si="156"/>
        <v>179.81654920553626</v>
      </c>
      <c r="AY180" s="360">
        <f t="shared" si="157"/>
        <v>-0.18345079446373802</v>
      </c>
      <c r="BB180" s="337">
        <f t="shared" si="158"/>
        <v>-12.714387150028019</v>
      </c>
      <c r="BC180" s="730">
        <f t="shared" si="159"/>
        <v>-89.933721392393664</v>
      </c>
      <c r="BD180" s="351"/>
      <c r="BE180" s="337">
        <f t="shared" si="120"/>
        <v>58.712599360074542</v>
      </c>
      <c r="BF180" s="730">
        <f t="shared" si="121"/>
        <v>-28.588326957781629</v>
      </c>
      <c r="BI180" s="351"/>
      <c r="BJ180" s="351"/>
      <c r="BL180" s="405">
        <f t="shared" si="122"/>
        <v>0</v>
      </c>
      <c r="BM180" s="405">
        <f t="shared" si="160"/>
        <v>0</v>
      </c>
      <c r="BN180" s="405">
        <f t="shared" si="123"/>
        <v>0</v>
      </c>
      <c r="BO180" s="405">
        <f t="shared" si="124"/>
        <v>0</v>
      </c>
    </row>
    <row r="181" spans="4:67" ht="13.5" thickBot="1" x14ac:dyDescent="0.25">
      <c r="D181" s="345">
        <v>10174.75</v>
      </c>
      <c r="E181" s="340" t="str">
        <f t="shared" si="111"/>
        <v>0.168774776819155i</v>
      </c>
      <c r="F181" s="728" t="str">
        <f t="shared" si="125"/>
        <v>0.005-0.256428652078526i</v>
      </c>
      <c r="G181" s="337" t="str">
        <f t="shared" si="126"/>
        <v>0.005-0.401080712225389i</v>
      </c>
      <c r="H181" s="338" t="str">
        <f t="shared" si="127"/>
        <v>0.122873926980384-0.359098912191269i</v>
      </c>
      <c r="I181" s="338" t="str">
        <f t="shared" si="128"/>
        <v>0.132873926980384-0.359098912191269i</v>
      </c>
      <c r="J181" s="337" t="str">
        <f t="shared" si="129"/>
        <v>0.0238099183321312-0.153854437753813i</v>
      </c>
      <c r="K181" s="338" t="str">
        <f t="shared" si="112"/>
        <v>0.998849716249306-0.0532748664201879i</v>
      </c>
      <c r="L181" s="732"/>
      <c r="M181" s="732" t="str">
        <f t="shared" si="113"/>
        <v>711.708202799648-445.987573465375i</v>
      </c>
      <c r="N181" s="337">
        <f t="shared" si="114"/>
        <v>0</v>
      </c>
      <c r="O181" s="730" t="str">
        <f t="shared" si="115"/>
        <v>247.385659791029-235.42972256561i</v>
      </c>
      <c r="P181" s="731" t="str">
        <f t="shared" si="116"/>
        <v>-51.6714531757352-120.118393087873i</v>
      </c>
      <c r="Q181" s="729" t="str">
        <f t="shared" si="117"/>
        <v>-54.1453097736456-117.764095862217i</v>
      </c>
      <c r="R181" s="730"/>
      <c r="S181" s="405" t="str">
        <f t="shared" si="130"/>
        <v>39.3786754037096+1.70332568533236i</v>
      </c>
      <c r="T181" s="405" t="str">
        <f t="shared" si="131"/>
        <v>15.827782571036-2.51583152695761i</v>
      </c>
      <c r="U181" s="405" t="str">
        <f t="shared" si="132"/>
        <v>1.04138943530791-5.99286960299731i</v>
      </c>
      <c r="V181" s="731" t="str">
        <f t="shared" si="118"/>
        <v>6000</v>
      </c>
      <c r="W181" s="733" t="str">
        <f>IMSUM(COMPLEX(1,0),IMDIV(COMPLEX(0,2*PI()*D181),COMPLEX(2*PI()*'Stability Calculations'!EA_Pole1,0)))</f>
        <v>1+64569.1381012678i</v>
      </c>
      <c r="X181" s="734">
        <f t="shared" si="133"/>
        <v>64569.138109011437</v>
      </c>
      <c r="Y181" s="735">
        <f t="shared" si="134"/>
        <v>1.5707808395198712</v>
      </c>
      <c r="Z181" s="340" t="str">
        <f>IMSUM(COMPLEX(1,0),IMDIV(COMPLEX(0,2*PI()*D181),COMPLEX(2*PI()*'Stability Calculations'!EA_Zero1,0)))</f>
        <v>1+639.298397042255i</v>
      </c>
      <c r="AA181" s="734">
        <f t="shared" si="135"/>
        <v>639.29917914916541</v>
      </c>
      <c r="AB181" s="735">
        <f t="shared" si="136"/>
        <v>1.5692321132929725</v>
      </c>
      <c r="AC181" s="733" t="str">
        <f>IMSUM(COMPLEX(1,0),IMDIV(COMPLEX(0,2*PI()*D181),COMPLEX(2*PI()*'Stability Calculations'!EA_Pole2,0)))</f>
        <v>1+6.43994435503794i</v>
      </c>
      <c r="AD181" s="734">
        <f t="shared" si="137"/>
        <v>6.5171223170955619</v>
      </c>
      <c r="AE181" s="735">
        <f t="shared" si="138"/>
        <v>1.4167457825231395</v>
      </c>
      <c r="AF181" s="732" t="str">
        <f t="shared" si="139"/>
        <v>1.3847292507665-9.00958293572652i</v>
      </c>
      <c r="AG181" s="337">
        <f t="shared" si="140"/>
        <v>9.1153749113057803</v>
      </c>
      <c r="AH181" s="730">
        <f t="shared" si="141"/>
        <v>-1.418294508750038</v>
      </c>
      <c r="AI181" s="731" t="str">
        <f t="shared" si="119"/>
        <v>10000</v>
      </c>
      <c r="AJ181" s="733" t="str">
        <f t="shared" si="142"/>
        <v>1+60196.2092058196i</v>
      </c>
      <c r="AK181" s="734">
        <f t="shared" si="143"/>
        <v>60196.209214125767</v>
      </c>
      <c r="AL181" s="735">
        <f t="shared" si="144"/>
        <v>1.5707797144531379</v>
      </c>
      <c r="AM181" s="340" t="str">
        <f t="shared" si="145"/>
        <v>1+102.159883847352i</v>
      </c>
      <c r="AN181" s="734">
        <f t="shared" si="146"/>
        <v>102.16477801916105</v>
      </c>
      <c r="AO181" s="735">
        <f t="shared" si="147"/>
        <v>1.5610080613288106</v>
      </c>
      <c r="AP181" s="733" t="str">
        <f t="shared" si="148"/>
        <v>1+4.95492275987606i</v>
      </c>
      <c r="AQ181" s="734">
        <f t="shared" si="149"/>
        <v>5.0548253734760991</v>
      </c>
      <c r="AR181" s="735">
        <f t="shared" si="150"/>
        <v>1.3716518680277971</v>
      </c>
      <c r="AS181" s="732" t="str">
        <f t="shared" si="151"/>
        <v>0.0264572300386504-23.0031280652868i</v>
      </c>
      <c r="AT181" s="337">
        <f t="shared" si="152"/>
        <v>23.003143280278163</v>
      </c>
      <c r="AU181" s="730">
        <f t="shared" si="153"/>
        <v>-1.5696461693772994</v>
      </c>
      <c r="AV181" s="732" t="str">
        <f t="shared" si="154"/>
        <v>-3.36044249306112+0.013373511161773i</v>
      </c>
      <c r="AW181" s="337">
        <f t="shared" si="155"/>
        <v>10.527998137826337</v>
      </c>
      <c r="AX181" s="730">
        <f t="shared" si="156"/>
        <v>179.77198190321161</v>
      </c>
      <c r="AY181" s="360">
        <f t="shared" si="157"/>
        <v>-0.22801809678838936</v>
      </c>
      <c r="BB181" s="337">
        <f t="shared" si="158"/>
        <v>-12.764256309206836</v>
      </c>
      <c r="BC181" s="730">
        <f t="shared" si="159"/>
        <v>-89.934100834196016</v>
      </c>
      <c r="BD181" s="351"/>
      <c r="BE181" s="337">
        <f t="shared" si="120"/>
        <v>58.484560685109344</v>
      </c>
      <c r="BF181" s="730">
        <f t="shared" si="121"/>
        <v>-32.073062493619439</v>
      </c>
      <c r="BI181" s="351"/>
      <c r="BJ181" s="351"/>
      <c r="BL181" s="405">
        <f t="shared" si="122"/>
        <v>0</v>
      </c>
      <c r="BM181" s="405">
        <f t="shared" si="160"/>
        <v>0</v>
      </c>
      <c r="BN181" s="405">
        <f t="shared" si="123"/>
        <v>0</v>
      </c>
      <c r="BO181" s="405">
        <f t="shared" si="124"/>
        <v>0</v>
      </c>
    </row>
    <row r="182" spans="4:67" ht="13.5" thickBot="1" x14ac:dyDescent="0.25">
      <c r="D182" s="345">
        <v>10233</v>
      </c>
      <c r="E182" s="340" t="str">
        <f t="shared" si="111"/>
        <v>0.169741005055693i</v>
      </c>
      <c r="F182" s="728" t="str">
        <f t="shared" si="125"/>
        <v>0.005-0.254968965868855i</v>
      </c>
      <c r="G182" s="337" t="str">
        <f t="shared" si="126"/>
        <v>0.005-0.398797613282055i</v>
      </c>
      <c r="H182" s="338" t="str">
        <f t="shared" si="127"/>
        <v>0.121664435653525-0.357449612223656i</v>
      </c>
      <c r="I182" s="338" t="str">
        <f t="shared" si="128"/>
        <v>0.131664435653525-0.357449612223656i</v>
      </c>
      <c r="J182" s="337" t="str">
        <f t="shared" si="129"/>
        <v>0.0235900988676255-0.153006728896492i</v>
      </c>
      <c r="K182" s="338" t="str">
        <f t="shared" si="112"/>
        <v>0.9988365079-0.0535798627069739i</v>
      </c>
      <c r="L182" s="732"/>
      <c r="M182" s="732" t="str">
        <f t="shared" si="113"/>
        <v>665.519654309415-472.10440901856i</v>
      </c>
      <c r="N182" s="337">
        <f t="shared" si="114"/>
        <v>0</v>
      </c>
      <c r="O182" s="730" t="str">
        <f t="shared" si="115"/>
        <v>226.978824436344-241.769784460342i</v>
      </c>
      <c r="P182" s="731" t="str">
        <f t="shared" si="116"/>
        <v>-56.5354768780343-112.965975006797i</v>
      </c>
      <c r="Q182" s="729" t="str">
        <f t="shared" si="117"/>
        <v>-58.8052651223978-110.548277162194i</v>
      </c>
      <c r="R182" s="730"/>
      <c r="S182" s="405" t="str">
        <f t="shared" si="130"/>
        <v>39.387349346746+1.67131256558896i</v>
      </c>
      <c r="T182" s="405" t="str">
        <f t="shared" si="131"/>
        <v>15.8235865079096-2.51372507621747i</v>
      </c>
      <c r="U182" s="405" t="str">
        <f t="shared" si="132"/>
        <v>1.02663766876874-5.96196580402587i</v>
      </c>
      <c r="V182" s="731" t="str">
        <f t="shared" si="118"/>
        <v>6000</v>
      </c>
      <c r="W182" s="733" t="str">
        <f>IMSUM(COMPLEX(1,0),IMDIV(COMPLEX(0,2*PI()*D182),COMPLEX(2*PI()*'Stability Calculations'!EA_Pole1,0)))</f>
        <v>1+64938.7936008524i</v>
      </c>
      <c r="X182" s="734">
        <f t="shared" si="133"/>
        <v>64938.793608551961</v>
      </c>
      <c r="Y182" s="735">
        <f t="shared" si="134"/>
        <v>1.5707809276791374</v>
      </c>
      <c r="Z182" s="340" t="str">
        <f>IMSUM(COMPLEX(1,0),IMDIV(COMPLEX(0,2*PI()*D182),COMPLEX(2*PI()*'Stability Calculations'!EA_Zero1,0)))</f>
        <v>1+642.958352483687i</v>
      </c>
      <c r="AA182" s="734">
        <f t="shared" si="135"/>
        <v>642.95913013856261</v>
      </c>
      <c r="AB182" s="735">
        <f t="shared" si="136"/>
        <v>1.5692410173571891</v>
      </c>
      <c r="AC182" s="733" t="str">
        <f>IMSUM(COMPLEX(1,0),IMDIV(COMPLEX(0,2*PI()*D182),COMPLEX(2*PI()*'Stability Calculations'!EA_Pole2,0)))</f>
        <v>1+6.4768127556061i</v>
      </c>
      <c r="AD182" s="734">
        <f t="shared" si="137"/>
        <v>6.5535565513072278</v>
      </c>
      <c r="AE182" s="735">
        <f t="shared" si="138"/>
        <v>1.4176090023915671</v>
      </c>
      <c r="AF182" s="732" t="str">
        <f t="shared" si="139"/>
        <v>1.36937535582385-8.96066766739716i</v>
      </c>
      <c r="AG182" s="337">
        <f t="shared" si="140"/>
        <v>9.0646982250196579</v>
      </c>
      <c r="AH182" s="730">
        <f t="shared" si="141"/>
        <v>-1.4191489127135151</v>
      </c>
      <c r="AI182" s="731" t="str">
        <f t="shared" si="119"/>
        <v>10000</v>
      </c>
      <c r="AJ182" s="733" t="str">
        <f t="shared" si="142"/>
        <v>1+60540.8298781937i</v>
      </c>
      <c r="AK182" s="734">
        <f t="shared" si="143"/>
        <v>60540.829886452586</v>
      </c>
      <c r="AL182" s="735">
        <f t="shared" si="144"/>
        <v>1.5707798090166976</v>
      </c>
      <c r="AM182" s="340" t="str">
        <f t="shared" si="145"/>
        <v>1+102.744744726893i</v>
      </c>
      <c r="AN182" s="734">
        <f t="shared" si="146"/>
        <v>102.74961104059911</v>
      </c>
      <c r="AO182" s="735">
        <f t="shared" si="147"/>
        <v>1.5610637762077271</v>
      </c>
      <c r="AP182" s="733" t="str">
        <f t="shared" si="148"/>
        <v>1+4.98328947657797i</v>
      </c>
      <c r="AQ182" s="734">
        <f t="shared" si="149"/>
        <v>5.0826345537892781</v>
      </c>
      <c r="AR182" s="735">
        <f t="shared" si="150"/>
        <v>1.3727559825399867</v>
      </c>
      <c r="AS182" s="732" t="str">
        <f t="shared" si="151"/>
        <v>0.0261568791561875-22.872186142593i</v>
      </c>
      <c r="AT182" s="337">
        <f t="shared" si="152"/>
        <v>22.872201099232896</v>
      </c>
      <c r="AU182" s="730">
        <f t="shared" si="153"/>
        <v>-1.5696527164906575</v>
      </c>
      <c r="AV182" s="732" t="str">
        <f t="shared" si="154"/>
        <v>-3.32179878004001+0.0157849321865835i</v>
      </c>
      <c r="AW182" s="337">
        <f t="shared" si="155"/>
        <v>10.427564491193781</v>
      </c>
      <c r="AX182" s="730">
        <f t="shared" si="156"/>
        <v>179.72773691402003</v>
      </c>
      <c r="AY182" s="360">
        <f t="shared" si="157"/>
        <v>-0.27226308597997217</v>
      </c>
      <c r="BB182" s="337">
        <f t="shared" si="158"/>
        <v>-12.813840783726064</v>
      </c>
      <c r="BC182" s="730">
        <f t="shared" si="159"/>
        <v>-89.934475956159432</v>
      </c>
      <c r="BD182" s="351"/>
      <c r="BE182" s="337">
        <f t="shared" si="120"/>
        <v>58.23343127628651</v>
      </c>
      <c r="BF182" s="730">
        <f t="shared" si="121"/>
        <v>-35.35101707682616</v>
      </c>
      <c r="BI182" s="351"/>
      <c r="BJ182" s="351"/>
      <c r="BL182" s="405">
        <f t="shared" si="122"/>
        <v>0</v>
      </c>
      <c r="BM182" s="405">
        <f t="shared" si="160"/>
        <v>0</v>
      </c>
      <c r="BN182" s="405">
        <f t="shared" si="123"/>
        <v>0</v>
      </c>
      <c r="BO182" s="405">
        <f t="shared" si="124"/>
        <v>0</v>
      </c>
    </row>
    <row r="183" spans="4:67" ht="13.5" thickBot="1" x14ac:dyDescent="0.25">
      <c r="D183" s="345">
        <v>10292.5</v>
      </c>
      <c r="E183" s="340" t="str">
        <f t="shared" si="111"/>
        <v>0.170727967803745i</v>
      </c>
      <c r="F183" s="728" t="str">
        <f t="shared" si="125"/>
        <v>0.005-0.253495013625066i</v>
      </c>
      <c r="G183" s="337" t="str">
        <f t="shared" si="126"/>
        <v>0.005-0.39649220079818i</v>
      </c>
      <c r="H183" s="338" t="str">
        <f t="shared" si="127"/>
        <v>0.120447435767447-0.355778206343672i</v>
      </c>
      <c r="I183" s="338" t="str">
        <f t="shared" si="128"/>
        <v>0.130447435767447-0.355778206343672i</v>
      </c>
      <c r="J183" s="337" t="str">
        <f t="shared" si="129"/>
        <v>0.0233693234198551-0.152150260310718i</v>
      </c>
      <c r="K183" s="338" t="str">
        <f t="shared" si="112"/>
        <v>0.998822938263889-0.0538914039784549i</v>
      </c>
      <c r="L183" s="732"/>
      <c r="M183" s="732" t="str">
        <f t="shared" si="113"/>
        <v>618.80730986542-491.927857331951i</v>
      </c>
      <c r="N183" s="337">
        <f t="shared" si="114"/>
        <v>0</v>
      </c>
      <c r="O183" s="730" t="str">
        <f t="shared" si="115"/>
        <v>206.901668721715-245.59018503985i</v>
      </c>
      <c r="P183" s="731" t="str">
        <f t="shared" si="116"/>
        <v>-60.3858433883345-105.647714475425i</v>
      </c>
      <c r="Q183" s="729" t="str">
        <f t="shared" si="117"/>
        <v>-62.4548600755516-103.191812625026i</v>
      </c>
      <c r="R183" s="730"/>
      <c r="S183" s="405" t="str">
        <f t="shared" si="130"/>
        <v>39.3960502588205+1.63880880801981i</v>
      </c>
      <c r="T183" s="405" t="str">
        <f t="shared" si="131"/>
        <v>15.8193587069725-2.51165061876743i</v>
      </c>
      <c r="U183" s="405" t="str">
        <f t="shared" si="132"/>
        <v>1.01181063963321-5.93070494284804i</v>
      </c>
      <c r="V183" s="731" t="str">
        <f t="shared" si="118"/>
        <v>6000</v>
      </c>
      <c r="W183" s="733" t="str">
        <f>IMSUM(COMPLEX(1,0),IMDIV(COMPLEX(0,2*PI()*D183),COMPLEX(2*PI()*'Stability Calculations'!EA_Pole1,0)))</f>
        <v>1+65316.3816218874i</v>
      </c>
      <c r="X183" s="734">
        <f t="shared" si="133"/>
        <v>65316.381629542448</v>
      </c>
      <c r="Y183" s="735">
        <f t="shared" si="134"/>
        <v>1.5707810167000156</v>
      </c>
      <c r="Z183" s="340" t="str">
        <f>IMSUM(COMPLEX(1,0),IMDIV(COMPLEX(0,2*PI()*D183),COMPLEX(2*PI()*'Stability Calculations'!EA_Zero1,0)))</f>
        <v>1+646.696847741459i</v>
      </c>
      <c r="AA183" s="734">
        <f t="shared" si="135"/>
        <v>646.69762090078837</v>
      </c>
      <c r="AB183" s="735">
        <f t="shared" si="136"/>
        <v>1.5692500084442524</v>
      </c>
      <c r="AC183" s="733" t="str">
        <f>IMSUM(COMPLEX(1,0),IMDIV(COMPLEX(0,2*PI()*D183),COMPLEX(2*PI()*'Stability Calculations'!EA_Pole2,0)))</f>
        <v>1+6.51447232356844i</v>
      </c>
      <c r="AD183" s="734">
        <f t="shared" si="137"/>
        <v>6.5907776213842313</v>
      </c>
      <c r="AE183" s="735">
        <f t="shared" si="138"/>
        <v>1.4184808923555099</v>
      </c>
      <c r="AF183" s="732" t="str">
        <f t="shared" si="139"/>
        <v>1.3539520792033-8.91123440609328i</v>
      </c>
      <c r="AG183" s="337">
        <f t="shared" si="140"/>
        <v>9.0135056927435055</v>
      </c>
      <c r="AH183" s="730">
        <f t="shared" si="141"/>
        <v>-1.4200119006112728</v>
      </c>
      <c r="AI183" s="731" t="str">
        <f t="shared" si="119"/>
        <v>10000</v>
      </c>
      <c r="AJ183" s="733" t="str">
        <f t="shared" si="142"/>
        <v>1+60892.8458439665i</v>
      </c>
      <c r="AK183" s="734">
        <f t="shared" si="143"/>
        <v>60892.845852177648</v>
      </c>
      <c r="AL183" s="735">
        <f t="shared" si="144"/>
        <v>1.5707799045044608</v>
      </c>
      <c r="AM183" s="340" t="str">
        <f t="shared" si="145"/>
        <v>1+103.342156269085i</v>
      </c>
      <c r="AN183" s="734">
        <f t="shared" si="146"/>
        <v>103.34699445239799</v>
      </c>
      <c r="AO183" s="735">
        <f t="shared" si="147"/>
        <v>1.5611200356693455</v>
      </c>
      <c r="AP183" s="733" t="str">
        <f t="shared" si="148"/>
        <v>1+5.0122649211061i</v>
      </c>
      <c r="AQ183" s="734">
        <f t="shared" si="149"/>
        <v>5.111046824218179</v>
      </c>
      <c r="AR183" s="735">
        <f t="shared" si="150"/>
        <v>1.3738713846279718</v>
      </c>
      <c r="AS183" s="732" t="str">
        <f t="shared" si="151"/>
        <v>0.0258553326338523-22.7399644718021i</v>
      </c>
      <c r="AT183" s="337">
        <f t="shared" si="152"/>
        <v>22.73997917054999</v>
      </c>
      <c r="AU183" s="730">
        <f t="shared" si="153"/>
        <v>-1.5696593275913899</v>
      </c>
      <c r="AV183" s="732" t="str">
        <f t="shared" si="154"/>
        <v>-3.28300877019021+0.0181716054747803i</v>
      </c>
      <c r="AW183" s="337">
        <f t="shared" si="155"/>
        <v>10.325573909620495</v>
      </c>
      <c r="AX183" s="730">
        <f t="shared" si="156"/>
        <v>179.68286844744773</v>
      </c>
      <c r="AY183" s="360">
        <f t="shared" si="157"/>
        <v>-0.31713155255226866</v>
      </c>
      <c r="BB183" s="337">
        <f t="shared" si="158"/>
        <v>-12.864198749095266</v>
      </c>
      <c r="BC183" s="730">
        <f t="shared" si="159"/>
        <v>-89.934854744329328</v>
      </c>
      <c r="BD183" s="351"/>
      <c r="BE183" s="337">
        <f t="shared" si="120"/>
        <v>57.958212992360444</v>
      </c>
      <c r="BF183" s="730">
        <f t="shared" si="121"/>
        <v>-38.483340425647086</v>
      </c>
      <c r="BI183" s="351"/>
      <c r="BJ183" s="351"/>
      <c r="BL183" s="405">
        <f t="shared" si="122"/>
        <v>0</v>
      </c>
      <c r="BM183" s="405">
        <f t="shared" si="160"/>
        <v>0</v>
      </c>
      <c r="BN183" s="405">
        <f t="shared" si="123"/>
        <v>0</v>
      </c>
      <c r="BO183" s="405">
        <f t="shared" si="124"/>
        <v>0</v>
      </c>
    </row>
    <row r="184" spans="4:67" ht="13.5" thickBot="1" x14ac:dyDescent="0.25">
      <c r="D184" s="345">
        <v>10352</v>
      </c>
      <c r="E184" s="340" t="str">
        <f t="shared" si="111"/>
        <v>0.171714930551797i</v>
      </c>
      <c r="F184" s="728" t="str">
        <f t="shared" si="125"/>
        <v>0.005-0.25203800499768i</v>
      </c>
      <c r="G184" s="337" t="str">
        <f t="shared" si="126"/>
        <v>0.005-0.394213289868167i</v>
      </c>
      <c r="H184" s="338" t="str">
        <f t="shared" si="127"/>
        <v>0.119248721605303-0.354120113355802i</v>
      </c>
      <c r="I184" s="338" t="str">
        <f t="shared" si="128"/>
        <v>0.129248721605303-0.354120113355802i</v>
      </c>
      <c r="J184" s="337" t="str">
        <f t="shared" si="129"/>
        <v>0.0231522648040704-0.151303170685991i</v>
      </c>
      <c r="K184" s="338" t="str">
        <f t="shared" si="112"/>
        <v>0.998809289955556-0.0542029452499359i</v>
      </c>
      <c r="L184" s="732"/>
      <c r="M184" s="732" t="str">
        <f t="shared" si="113"/>
        <v>573.540674397579-505.651374418351i</v>
      </c>
      <c r="N184" s="337">
        <f t="shared" si="114"/>
        <v>0</v>
      </c>
      <c r="O184" s="730" t="str">
        <f t="shared" si="115"/>
        <v>187.91266712047-247.134684926808i</v>
      </c>
      <c r="P184" s="731" t="str">
        <f t="shared" si="116"/>
        <v>-63.2278906416679-98.4854970728111i</v>
      </c>
      <c r="Q184" s="729" t="str">
        <f t="shared" si="117"/>
        <v>-65.1070173128727-96.0141502235431i</v>
      </c>
      <c r="R184" s="730"/>
      <c r="S184" s="405" t="str">
        <f t="shared" si="130"/>
        <v>39.4045935841965+1.60650081307086i</v>
      </c>
      <c r="T184" s="405" t="str">
        <f t="shared" si="131"/>
        <v>15.8151885403352-2.50965312441001i</v>
      </c>
      <c r="U184" s="405" t="str">
        <f t="shared" si="132"/>
        <v>0.997222366481985-5.89974928540553i</v>
      </c>
      <c r="V184" s="731" t="str">
        <f t="shared" si="118"/>
        <v>6000</v>
      </c>
      <c r="W184" s="733" t="str">
        <f>IMSUM(COMPLEX(1,0),IMDIV(COMPLEX(0,2*PI()*D184),COMPLEX(2*PI()*'Stability Calculations'!EA_Pole1,0)))</f>
        <v>1+65693.9696429223i</v>
      </c>
      <c r="X184" s="734">
        <f t="shared" si="133"/>
        <v>65693.969650533356</v>
      </c>
      <c r="Y184" s="735">
        <f t="shared" si="134"/>
        <v>1.5707811046975662</v>
      </c>
      <c r="Z184" s="340" t="str">
        <f>IMSUM(COMPLEX(1,0),IMDIV(COMPLEX(0,2*PI()*D184),COMPLEX(2*PI()*'Stability Calculations'!EA_Zero1,0)))</f>
        <v>1+650.435342999231i</v>
      </c>
      <c r="AA184" s="734">
        <f t="shared" si="135"/>
        <v>650.43611171469195</v>
      </c>
      <c r="AB184" s="735">
        <f t="shared" si="136"/>
        <v>1.5692588961757499</v>
      </c>
      <c r="AC184" s="733" t="str">
        <f>IMSUM(COMPLEX(1,0),IMDIV(COMPLEX(0,2*PI()*D184),COMPLEX(2*PI()*'Stability Calculations'!EA_Pole2,0)))</f>
        <v>1+6.55213189153077i</v>
      </c>
      <c r="AD184" s="734">
        <f t="shared" si="137"/>
        <v>6.6280036454436715</v>
      </c>
      <c r="AE184" s="735">
        <f t="shared" si="138"/>
        <v>1.4193429890704039</v>
      </c>
      <c r="AF184" s="732" t="str">
        <f t="shared" si="139"/>
        <v>1.33878591000823-8.86233015785544i</v>
      </c>
      <c r="AG184" s="337">
        <f t="shared" si="140"/>
        <v>8.9628814306377276</v>
      </c>
      <c r="AH184" s="730">
        <f t="shared" si="141"/>
        <v>-1.4208651975922197</v>
      </c>
      <c r="AI184" s="731" t="str">
        <f t="shared" si="119"/>
        <v>10000</v>
      </c>
      <c r="AJ184" s="733" t="str">
        <f t="shared" si="142"/>
        <v>1+61244.8618097392i</v>
      </c>
      <c r="AK184" s="734">
        <f t="shared" si="143"/>
        <v>61244.861817903147</v>
      </c>
      <c r="AL184" s="735">
        <f t="shared" si="144"/>
        <v>1.5707799988945574</v>
      </c>
      <c r="AM184" s="340" t="str">
        <f t="shared" si="145"/>
        <v>1+103.939567811277i</v>
      </c>
      <c r="AN184" s="734">
        <f t="shared" si="146"/>
        <v>103.94437818754342</v>
      </c>
      <c r="AO184" s="735">
        <f t="shared" si="147"/>
        <v>1.5611756484682227</v>
      </c>
      <c r="AP184" s="733" t="str">
        <f t="shared" si="148"/>
        <v>1+5.04124036563424i</v>
      </c>
      <c r="AQ184" s="734">
        <f t="shared" si="149"/>
        <v>5.139465383101637</v>
      </c>
      <c r="AR184" s="735">
        <f t="shared" si="150"/>
        <v>1.374974452893895</v>
      </c>
      <c r="AS184" s="732" t="str">
        <f t="shared" si="151"/>
        <v>0.0255589707256534-22.6092627312808i</v>
      </c>
      <c r="AT184" s="337">
        <f t="shared" si="152"/>
        <v>22.609277178031753</v>
      </c>
      <c r="AU184" s="730">
        <f t="shared" si="153"/>
        <v>-1.5696658626952158</v>
      </c>
      <c r="AV184" s="732" t="str">
        <f t="shared" si="154"/>
        <v>-3.24489310293814+0.0204835283397882i</v>
      </c>
      <c r="AW184" s="337">
        <f t="shared" si="155"/>
        <v>10.224180941811172</v>
      </c>
      <c r="AX184" s="730">
        <f t="shared" si="156"/>
        <v>179.63832271274595</v>
      </c>
      <c r="AY184" s="360">
        <f t="shared" si="157"/>
        <v>-0.36167728725405368</v>
      </c>
      <c r="BB184" s="337">
        <f t="shared" si="158"/>
        <v>-12.914266437843033</v>
      </c>
      <c r="BC184" s="730">
        <f t="shared" si="159"/>
        <v>-89.935229178197233</v>
      </c>
      <c r="BD184" s="351"/>
      <c r="BE184" s="337">
        <f t="shared" si="120"/>
        <v>57.668827445786519</v>
      </c>
      <c r="BF184" s="730">
        <f t="shared" si="121"/>
        <v>-41.400407650669678</v>
      </c>
      <c r="BI184" s="351"/>
      <c r="BJ184" s="351"/>
      <c r="BL184" s="405">
        <f t="shared" si="122"/>
        <v>0</v>
      </c>
      <c r="BM184" s="405">
        <f t="shared" si="160"/>
        <v>0</v>
      </c>
      <c r="BN184" s="405">
        <f t="shared" si="123"/>
        <v>0</v>
      </c>
      <c r="BO184" s="405">
        <f t="shared" si="124"/>
        <v>0</v>
      </c>
    </row>
    <row r="185" spans="4:67" ht="13.5" thickBot="1" x14ac:dyDescent="0.25">
      <c r="D185" s="345">
        <v>10411.5</v>
      </c>
      <c r="E185" s="340" t="str">
        <f t="shared" si="111"/>
        <v>0.172701893299849i</v>
      </c>
      <c r="F185" s="728" t="str">
        <f t="shared" si="125"/>
        <v>0.005-0.250597649496805i</v>
      </c>
      <c r="G185" s="337" t="str">
        <f t="shared" si="126"/>
        <v>0.005-0.391960426136029i</v>
      </c>
      <c r="H185" s="338" t="str">
        <f t="shared" si="127"/>
        <v>0.118067942531773-0.352475217515206i</v>
      </c>
      <c r="I185" s="338" t="str">
        <f t="shared" si="128"/>
        <v>0.128067942531773-0.352475217515206i</v>
      </c>
      <c r="J185" s="337" t="str">
        <f t="shared" si="129"/>
        <v>0.0229388404879437-0.150465309540306i</v>
      </c>
      <c r="K185" s="338" t="str">
        <f t="shared" si="112"/>
        <v>0.998795562975-0.0545144865214169i</v>
      </c>
      <c r="L185" s="732"/>
      <c r="M185" s="732" t="str">
        <f t="shared" si="113"/>
        <v>530.400647790537-514.162798983194i</v>
      </c>
      <c r="N185" s="337">
        <f t="shared" si="114"/>
        <v>0</v>
      </c>
      <c r="O185" s="730" t="str">
        <f t="shared" si="115"/>
        <v>170.203995986294-246.81044255727i</v>
      </c>
      <c r="P185" s="731" t="str">
        <f t="shared" si="116"/>
        <v>-65.1968888487472-91.6011960808921i</v>
      </c>
      <c r="Q185" s="729" t="str">
        <f t="shared" si="117"/>
        <v>-66.8989288086101-89.1330916553195i</v>
      </c>
      <c r="R185" s="730"/>
      <c r="S185" s="405" t="str">
        <f t="shared" si="130"/>
        <v>39.4129825317127+1.57438594354844i</v>
      </c>
      <c r="T185" s="405" t="str">
        <f t="shared" si="131"/>
        <v>15.8110747410415-2.50773154989865i</v>
      </c>
      <c r="U185" s="405" t="str">
        <f t="shared" si="132"/>
        <v>0.982867840370591-5.86909471301631i</v>
      </c>
      <c r="V185" s="731" t="str">
        <f t="shared" si="118"/>
        <v>6000</v>
      </c>
      <c r="W185" s="733" t="str">
        <f>IMSUM(COMPLEX(1,0),IMDIV(COMPLEX(0,2*PI()*D185),COMPLEX(2*PI()*'Stability Calculations'!EA_Pole1,0)))</f>
        <v>1+66071.5576639573i</v>
      </c>
      <c r="X185" s="734">
        <f t="shared" si="133"/>
        <v>66071.557671524846</v>
      </c>
      <c r="Y185" s="735">
        <f t="shared" si="134"/>
        <v>1.5707811916893342</v>
      </c>
      <c r="Z185" s="340" t="str">
        <f>IMSUM(COMPLEX(1,0),IMDIV(COMPLEX(0,2*PI()*D185),COMPLEX(2*PI()*'Stability Calculations'!EA_Zero1,0)))</f>
        <v>1+654.173838257003i</v>
      </c>
      <c r="AA185" s="734">
        <f t="shared" si="135"/>
        <v>654.17460257938751</v>
      </c>
      <c r="AB185" s="735">
        <f t="shared" si="136"/>
        <v>1.5692676823236558</v>
      </c>
      <c r="AC185" s="733" t="str">
        <f>IMSUM(COMPLEX(1,0),IMDIV(COMPLEX(0,2*PI()*D185),COMPLEX(2*PI()*'Stability Calculations'!EA_Pole2,0)))</f>
        <v>1+6.58979145949311i</v>
      </c>
      <c r="AD185" s="734">
        <f t="shared" si="137"/>
        <v>6.6652345404800517</v>
      </c>
      <c r="AE185" s="735">
        <f t="shared" si="138"/>
        <v>1.4201954553543508</v>
      </c>
      <c r="AF185" s="732" t="str">
        <f t="shared" si="139"/>
        <v>1.32387120960128-8.81394670867872i</v>
      </c>
      <c r="AG185" s="337">
        <f t="shared" si="140"/>
        <v>8.9128161409870685</v>
      </c>
      <c r="AH185" s="730">
        <f t="shared" si="141"/>
        <v>-1.4217089647200287</v>
      </c>
      <c r="AI185" s="731" t="str">
        <f t="shared" si="119"/>
        <v>10000</v>
      </c>
      <c r="AJ185" s="733" t="str">
        <f t="shared" si="142"/>
        <v>1+61596.877775512i</v>
      </c>
      <c r="AK185" s="734">
        <f t="shared" si="143"/>
        <v>61596.877783629287</v>
      </c>
      <c r="AL185" s="735">
        <f t="shared" si="144"/>
        <v>1.5707800922058066</v>
      </c>
      <c r="AM185" s="340" t="str">
        <f t="shared" si="145"/>
        <v>1+104.536979353469i</v>
      </c>
      <c r="AN185" s="734">
        <f t="shared" si="146"/>
        <v>104.54176224049222</v>
      </c>
      <c r="AO185" s="735">
        <f t="shared" si="147"/>
        <v>1.5612306256897064</v>
      </c>
      <c r="AP185" s="733" t="str">
        <f t="shared" si="148"/>
        <v>1+5.07021581016237i</v>
      </c>
      <c r="AQ185" s="734">
        <f t="shared" si="149"/>
        <v>5.1678901266977855</v>
      </c>
      <c r="AR185" s="735">
        <f t="shared" si="150"/>
        <v>1.3760653881487492</v>
      </c>
      <c r="AS185" s="732" t="str">
        <f t="shared" si="151"/>
        <v>0.0252676752542973-22.4800548627118i</v>
      </c>
      <c r="AT185" s="337">
        <f t="shared" si="152"/>
        <v>22.480069063193405</v>
      </c>
      <c r="AU185" s="730">
        <f t="shared" si="153"/>
        <v>-1.5696723231050622</v>
      </c>
      <c r="AV185" s="732" t="str">
        <f t="shared" si="154"/>
        <v>-3.20743624809037+0.0227231780633698i</v>
      </c>
      <c r="AW185" s="337">
        <f t="shared" si="155"/>
        <v>10.12337862883774</v>
      </c>
      <c r="AX185" s="730">
        <f t="shared" si="156"/>
        <v>179.59409312660586</v>
      </c>
      <c r="AY185" s="360">
        <f t="shared" si="157"/>
        <v>-0.40590687339414444</v>
      </c>
      <c r="BB185" s="337">
        <f t="shared" si="158"/>
        <v>-12.964047177257285</v>
      </c>
      <c r="BC185" s="730">
        <f t="shared" si="159"/>
        <v>-89.935599332415364</v>
      </c>
      <c r="BD185" s="351"/>
      <c r="BE185" s="337">
        <f t="shared" si="120"/>
        <v>57.369445873698467</v>
      </c>
      <c r="BF185" s="730">
        <f t="shared" si="121"/>
        <v>-44.109402805390253</v>
      </c>
      <c r="BI185" s="351"/>
      <c r="BJ185" s="351"/>
      <c r="BL185" s="405">
        <f t="shared" si="122"/>
        <v>0</v>
      </c>
      <c r="BM185" s="405">
        <f t="shared" si="160"/>
        <v>0</v>
      </c>
      <c r="BN185" s="405">
        <f t="shared" si="123"/>
        <v>0</v>
      </c>
      <c r="BO185" s="405">
        <f t="shared" si="124"/>
        <v>0</v>
      </c>
    </row>
    <row r="186" spans="4:67" ht="13.5" thickBot="1" x14ac:dyDescent="0.25">
      <c r="D186" s="345">
        <v>10471</v>
      </c>
      <c r="E186" s="340" t="str">
        <f t="shared" si="111"/>
        <v>0.1736888560479i</v>
      </c>
      <c r="F186" s="728" t="str">
        <f t="shared" si="125"/>
        <v>0.005-0.24917366323522i</v>
      </c>
      <c r="G186" s="337" t="str">
        <f t="shared" si="126"/>
        <v>0.005-0.389733165573037i</v>
      </c>
      <c r="H186" s="338" t="str">
        <f t="shared" si="127"/>
        <v>0.11690475590686-0.350843403157221i</v>
      </c>
      <c r="I186" s="338" t="str">
        <f t="shared" si="128"/>
        <v>0.12690475590686-0.350843403157221i</v>
      </c>
      <c r="J186" s="337" t="str">
        <f t="shared" si="129"/>
        <v>0.0227289702051426-0.149636529530415i</v>
      </c>
      <c r="K186" s="338" t="str">
        <f t="shared" si="112"/>
        <v>0.998781757322222-0.0548260277928979i</v>
      </c>
      <c r="L186" s="732"/>
      <c r="M186" s="732" t="str">
        <f t="shared" si="113"/>
        <v>489.812489192567-518.331002947777i</v>
      </c>
      <c r="N186" s="337">
        <f t="shared" si="114"/>
        <v>0</v>
      </c>
      <c r="O186" s="730" t="str">
        <f t="shared" si="115"/>
        <v>153.868907690714-244.995386416847i</v>
      </c>
      <c r="P186" s="731" t="str">
        <f t="shared" si="116"/>
        <v>-66.42831895616-85.0749709258312i</v>
      </c>
      <c r="Q186" s="729" t="str">
        <f t="shared" si="117"/>
        <v>-67.9670080330672-82.6250170616628i</v>
      </c>
      <c r="R186" s="730"/>
      <c r="S186" s="405" t="str">
        <f t="shared" si="130"/>
        <v>39.4212202280274+1.54246160406102i</v>
      </c>
      <c r="T186" s="405" t="str">
        <f t="shared" si="131"/>
        <v>15.8070160745846-2.50588486849268i</v>
      </c>
      <c r="U186" s="405" t="str">
        <f t="shared" si="132"/>
        <v>0.968742180632958-5.83873717225001i</v>
      </c>
      <c r="V186" s="731" t="str">
        <f t="shared" si="118"/>
        <v>6000</v>
      </c>
      <c r="W186" s="733" t="str">
        <f>IMSUM(COMPLEX(1,0),IMDIV(COMPLEX(0,2*PI()*D186),COMPLEX(2*PI()*'Stability Calculations'!EA_Pole1,0)))</f>
        <v>1+66449.1456849923i</v>
      </c>
      <c r="X186" s="734">
        <f t="shared" si="133"/>
        <v>66449.14569251686</v>
      </c>
      <c r="Y186" s="735">
        <f t="shared" si="134"/>
        <v>1.5707812776924648</v>
      </c>
      <c r="Z186" s="340" t="str">
        <f>IMSUM(COMPLEX(1,0),IMDIV(COMPLEX(0,2*PI()*D186),COMPLEX(2*PI()*'Stability Calculations'!EA_Zero1,0)))</f>
        <v>1+657.912333514775i</v>
      </c>
      <c r="AA186" s="734">
        <f t="shared" si="135"/>
        <v>657.91309349400899</v>
      </c>
      <c r="AB186" s="735">
        <f t="shared" si="136"/>
        <v>1.5692763686196689</v>
      </c>
      <c r="AC186" s="733" t="str">
        <f>IMSUM(COMPLEX(1,0),IMDIV(COMPLEX(0,2*PI()*D186),COMPLEX(2*PI()*'Stability Calculations'!EA_Pole2,0)))</f>
        <v>1+6.62745102745544i</v>
      </c>
      <c r="AD186" s="734">
        <f t="shared" si="137"/>
        <v>6.7024702253214192</v>
      </c>
      <c r="AE186" s="735">
        <f t="shared" si="138"/>
        <v>1.421038450463997</v>
      </c>
      <c r="AF186" s="732" t="str">
        <f t="shared" si="139"/>
        <v>1.30920249184936-8.76607600824696i</v>
      </c>
      <c r="AG186" s="337">
        <f t="shared" si="140"/>
        <v>8.8633007252957157</v>
      </c>
      <c r="AH186" s="730">
        <f t="shared" si="141"/>
        <v>-1.4225433595367922</v>
      </c>
      <c r="AI186" s="731" t="str">
        <f t="shared" si="119"/>
        <v>10000</v>
      </c>
      <c r="AJ186" s="733" t="str">
        <f t="shared" si="142"/>
        <v>1+61948.8937412847i</v>
      </c>
      <c r="AK186" s="734">
        <f t="shared" si="143"/>
        <v>61948.89374935587</v>
      </c>
      <c r="AL186" s="735">
        <f t="shared" si="144"/>
        <v>1.5707801844565994</v>
      </c>
      <c r="AM186" s="340" t="str">
        <f t="shared" si="145"/>
        <v>1+105.134390895661i</v>
      </c>
      <c r="AN186" s="734">
        <f t="shared" si="146"/>
        <v>105.13914660582731</v>
      </c>
      <c r="AO186" s="735">
        <f t="shared" si="147"/>
        <v>1.5612849781672185</v>
      </c>
      <c r="AP186" s="733" t="str">
        <f t="shared" si="148"/>
        <v>1+5.09919125469051i</v>
      </c>
      <c r="AQ186" s="734">
        <f t="shared" si="149"/>
        <v>5.1963209535124149</v>
      </c>
      <c r="AR186" s="735">
        <f t="shared" si="150"/>
        <v>1.3771443869256699</v>
      </c>
      <c r="AS186" s="732" t="str">
        <f t="shared" si="151"/>
        <v>0.0249813313905456-22.3523154000652i</v>
      </c>
      <c r="AT186" s="337">
        <f t="shared" si="152"/>
        <v>22.352329359843235</v>
      </c>
      <c r="AU186" s="730">
        <f t="shared" si="153"/>
        <v>-1.5696787100942415</v>
      </c>
      <c r="AV186" s="732" t="str">
        <f t="shared" si="154"/>
        <v>-3.1706231190012+0.0248929382804234i</v>
      </c>
      <c r="AW186" s="337">
        <f t="shared" si="155"/>
        <v>10.023160131400338</v>
      </c>
      <c r="AX186" s="730">
        <f t="shared" si="156"/>
        <v>179.5501732795806</v>
      </c>
      <c r="AY186" s="360">
        <f t="shared" si="157"/>
        <v>-0.44982672041939509</v>
      </c>
      <c r="BB186" s="337">
        <f t="shared" si="158"/>
        <v>-13.013544237743337</v>
      </c>
      <c r="BC186" s="730">
        <f t="shared" si="159"/>
        <v>-89.935965279939126</v>
      </c>
      <c r="BD186" s="351"/>
      <c r="BE186" s="337">
        <f t="shared" si="120"/>
        <v>57.063620981651468</v>
      </c>
      <c r="BF186" s="730">
        <f t="shared" si="121"/>
        <v>-46.620359450563207</v>
      </c>
      <c r="BI186" s="351"/>
      <c r="BJ186" s="351"/>
      <c r="BL186" s="405">
        <f t="shared" si="122"/>
        <v>0</v>
      </c>
      <c r="BM186" s="405">
        <f t="shared" si="160"/>
        <v>0</v>
      </c>
      <c r="BN186" s="405">
        <f t="shared" si="123"/>
        <v>0</v>
      </c>
      <c r="BO186" s="405">
        <f t="shared" si="124"/>
        <v>0</v>
      </c>
    </row>
    <row r="187" spans="4:67" ht="13.5" thickBot="1" x14ac:dyDescent="0.25">
      <c r="D187" s="345">
        <v>10532</v>
      </c>
      <c r="E187" s="340" t="str">
        <f t="shared" si="111"/>
        <v>0.174700700209769i</v>
      </c>
      <c r="F187" s="728" t="str">
        <f t="shared" si="125"/>
        <v>0.005-0.247730481175084i</v>
      </c>
      <c r="G187" s="337" t="str">
        <f t="shared" si="126"/>
        <v>0.005-0.387475880812312i</v>
      </c>
      <c r="H187" s="338" t="str">
        <f t="shared" si="127"/>
        <v>0.115730158058863-0.349183910006473i</v>
      </c>
      <c r="I187" s="338" t="str">
        <f t="shared" si="128"/>
        <v>0.125730158058863-0.349183910006473i</v>
      </c>
      <c r="J187" s="337" t="str">
        <f t="shared" si="129"/>
        <v>0.022517416915401-0.148796132307722i</v>
      </c>
      <c r="K187" s="338" t="str">
        <f t="shared" si="112"/>
        <v>0.998767521955556-0.0551454230460128i</v>
      </c>
      <c r="L187" s="732"/>
      <c r="M187" s="732" t="str">
        <f t="shared" si="113"/>
        <v>451.082033658915-518.93541849015i</v>
      </c>
      <c r="N187" s="337">
        <f t="shared" si="114"/>
        <v>0</v>
      </c>
      <c r="O187" s="730" t="str">
        <f t="shared" si="115"/>
        <v>138.56758393211-241.936993035937i</v>
      </c>
      <c r="P187" s="731" t="str">
        <f t="shared" si="116"/>
        <v>-67.0583809738788-78.804347132259i</v>
      </c>
      <c r="Q187" s="729" t="str">
        <f t="shared" si="117"/>
        <v>-68.4440568131998-76.3849772018996i</v>
      </c>
      <c r="R187" s="730"/>
      <c r="S187" s="405" t="str">
        <f t="shared" si="130"/>
        <v>39.4295117677066+1.50992757114764i</v>
      </c>
      <c r="T187" s="405" t="str">
        <f t="shared" si="131"/>
        <v>15.8029110648206-2.50406832336038i</v>
      </c>
      <c r="U187" s="405" t="str">
        <f t="shared" si="132"/>
        <v>0.95449302724752-5.80791849795134i</v>
      </c>
      <c r="V187" s="731" t="str">
        <f t="shared" si="118"/>
        <v>6000</v>
      </c>
      <c r="W187" s="733" t="str">
        <f>IMSUM(COMPLEX(1,0),IMDIV(COMPLEX(0,2*PI()*D187),COMPLEX(2*PI()*'Stability Calculations'!EA_Pole1,0)))</f>
        <v>1+66836.2527317676i</v>
      </c>
      <c r="X187" s="734">
        <f t="shared" si="133"/>
        <v>66836.252739248564</v>
      </c>
      <c r="Y187" s="735">
        <f t="shared" si="134"/>
        <v>1.5707813648549456</v>
      </c>
      <c r="Z187" s="340" t="str">
        <f>IMSUM(COMPLEX(1,0),IMDIV(COMPLEX(0,2*PI()*D187),COMPLEX(2*PI()*'Stability Calculations'!EA_Zero1,0)))</f>
        <v>1+661.745076552154i</v>
      </c>
      <c r="AA187" s="734">
        <f t="shared" si="135"/>
        <v>661.74583212969026</v>
      </c>
      <c r="AB187" s="735">
        <f t="shared" si="136"/>
        <v>1.5692851720100149</v>
      </c>
      <c r="AC187" s="733" t="str">
        <f>IMSUM(COMPLEX(1,0),IMDIV(COMPLEX(0,2*PI()*D187),COMPLEX(2*PI()*'Stability Calculations'!EA_Pole2,0)))</f>
        <v>1+6.66605999629077i</v>
      </c>
      <c r="AD187" s="734">
        <f t="shared" si="137"/>
        <v>6.740649514264045</v>
      </c>
      <c r="AE187" s="735">
        <f t="shared" si="138"/>
        <v>1.4218930282823221</v>
      </c>
      <c r="AF187" s="732" t="str">
        <f t="shared" si="139"/>
        <v>1.29441374946994-8.7175225255674i</v>
      </c>
      <c r="AG187" s="337">
        <f t="shared" si="140"/>
        <v>8.8130985435652462</v>
      </c>
      <c r="AH187" s="730">
        <f t="shared" si="141"/>
        <v>-1.4233892211272527</v>
      </c>
      <c r="AI187" s="731" t="str">
        <f t="shared" si="119"/>
        <v>10000</v>
      </c>
      <c r="AJ187" s="733" t="str">
        <f t="shared" si="142"/>
        <v>1+62309.7840591358i</v>
      </c>
      <c r="AK187" s="734">
        <f t="shared" si="143"/>
        <v>62309.784067160232</v>
      </c>
      <c r="AL187" s="735">
        <f t="shared" si="144"/>
        <v>1.5707802779509628</v>
      </c>
      <c r="AM187" s="340" t="str">
        <f t="shared" si="145"/>
        <v>1+105.746863233034i</v>
      </c>
      <c r="AN187" s="734">
        <f t="shared" si="146"/>
        <v>105.751591399969</v>
      </c>
      <c r="AO187" s="735">
        <f t="shared" si="147"/>
        <v>1.5613400633911665</v>
      </c>
      <c r="AP187" s="733" t="str">
        <f t="shared" si="148"/>
        <v>1+5.1288971726101i</v>
      </c>
      <c r="AQ187" s="734">
        <f t="shared" si="149"/>
        <v>5.2254747351037762</v>
      </c>
      <c r="AR187" s="735">
        <f t="shared" si="150"/>
        <v>1.3782383970557484</v>
      </c>
      <c r="AS187" s="732" t="str">
        <f t="shared" si="151"/>
        <v>0.0246927923981405-22.2228539622798i</v>
      </c>
      <c r="AT187" s="337">
        <f t="shared" si="152"/>
        <v>22.222867680900485</v>
      </c>
      <c r="AU187" s="730">
        <f t="shared" si="153"/>
        <v>-1.5696851831822078</v>
      </c>
      <c r="AV187" s="732" t="str">
        <f t="shared" si="154"/>
        <v>-3.13353485848143+0.0270472446686126i</v>
      </c>
      <c r="AW187" s="337">
        <f t="shared" si="155"/>
        <v>9.9210141587529055</v>
      </c>
      <c r="AX187" s="730">
        <f t="shared" si="156"/>
        <v>179.50546122740059</v>
      </c>
      <c r="AY187" s="360">
        <f t="shared" si="157"/>
        <v>-0.49453877259941237</v>
      </c>
      <c r="BB187" s="337">
        <f t="shared" si="158"/>
        <v>-13.06399799194268</v>
      </c>
      <c r="BC187" s="730">
        <f t="shared" si="159"/>
        <v>-89.936336160560018</v>
      </c>
      <c r="BD187" s="351"/>
      <c r="BE187" s="337">
        <f t="shared" si="120"/>
        <v>56.74648963747677</v>
      </c>
      <c r="BF187" s="730">
        <f t="shared" si="121"/>
        <v>-49.001361143314128</v>
      </c>
      <c r="BI187" s="351"/>
      <c r="BJ187" s="351"/>
      <c r="BL187" s="405">
        <f t="shared" si="122"/>
        <v>0</v>
      </c>
      <c r="BM187" s="405">
        <f t="shared" si="160"/>
        <v>0</v>
      </c>
      <c r="BN187" s="405">
        <f t="shared" si="123"/>
        <v>0</v>
      </c>
      <c r="BO187" s="405">
        <f t="shared" si="124"/>
        <v>0</v>
      </c>
    </row>
    <row r="188" spans="4:67" ht="13.5" thickBot="1" x14ac:dyDescent="0.25">
      <c r="D188" s="345">
        <v>10593</v>
      </c>
      <c r="E188" s="340" t="str">
        <f t="shared" si="111"/>
        <v>0.175712544371637i</v>
      </c>
      <c r="F188" s="728" t="str">
        <f t="shared" si="125"/>
        <v>0.005-0.246303920299819i</v>
      </c>
      <c r="G188" s="337" t="str">
        <f t="shared" si="126"/>
        <v>0.005-0.385244593289462i</v>
      </c>
      <c r="H188" s="338" t="str">
        <f t="shared" si="127"/>
        <v>0.114573346400924-0.347537920545274i</v>
      </c>
      <c r="I188" s="338" t="str">
        <f t="shared" si="128"/>
        <v>0.124573346400924-0.347537920545274i</v>
      </c>
      <c r="J188" s="337" t="str">
        <f t="shared" si="129"/>
        <v>0.0223094352462435-0.147964976006523i</v>
      </c>
      <c r="K188" s="338" t="str">
        <f t="shared" si="112"/>
        <v>0.9987532039-0.0554648182991278i</v>
      </c>
      <c r="L188" s="732"/>
      <c r="M188" s="732" t="str">
        <f t="shared" si="113"/>
        <v>415.34135487922-516.584687696691i</v>
      </c>
      <c r="N188" s="337">
        <f t="shared" si="114"/>
        <v>0</v>
      </c>
      <c r="O188" s="730" t="str">
        <f t="shared" si="115"/>
        <v>124.693858706157-237.970984528894i</v>
      </c>
      <c r="P188" s="731" t="str">
        <f t="shared" si="116"/>
        <v>-67.1704098586129-72.9806862485908i</v>
      </c>
      <c r="Q188" s="729" t="str">
        <f t="shared" si="117"/>
        <v>-68.4173484456746-70.6009764033018i</v>
      </c>
      <c r="R188" s="730"/>
      <c r="S188" s="405" t="str">
        <f t="shared" si="130"/>
        <v>39.4376507349865+1.47758840335796i</v>
      </c>
      <c r="T188" s="405" t="str">
        <f t="shared" si="131"/>
        <v>15.7988614754071-2.50232836165084i</v>
      </c>
      <c r="U188" s="405" t="str">
        <f t="shared" si="132"/>
        <v>0.940474433232454-5.7774035983341i</v>
      </c>
      <c r="V188" s="731" t="str">
        <f t="shared" si="118"/>
        <v>6000</v>
      </c>
      <c r="W188" s="733" t="str">
        <f>IMSUM(COMPLEX(1,0),IMDIV(COMPLEX(0,2*PI()*D188),COMPLEX(2*PI()*'Stability Calculations'!EA_Pole1,0)))</f>
        <v>1+67223.3597785429i</v>
      </c>
      <c r="X188" s="734">
        <f t="shared" si="133"/>
        <v>67223.359785980792</v>
      </c>
      <c r="Y188" s="735">
        <f t="shared" si="134"/>
        <v>1.5707814510135727</v>
      </c>
      <c r="Z188" s="340" t="str">
        <f>IMSUM(COMPLEX(1,0),IMDIV(COMPLEX(0,2*PI()*D188),COMPLEX(2*PI()*'Stability Calculations'!EA_Zero1,0)))</f>
        <v>1+665.577819589534i</v>
      </c>
      <c r="AA188" s="734">
        <f t="shared" si="135"/>
        <v>665.57857081606699</v>
      </c>
      <c r="AB188" s="735">
        <f t="shared" si="136"/>
        <v>1.5692938740115965</v>
      </c>
      <c r="AC188" s="733" t="str">
        <f>IMSUM(COMPLEX(1,0),IMDIV(COMPLEX(0,2*PI()*D188),COMPLEX(2*PI()*'Stability Calculations'!EA_Pole2,0)))</f>
        <v>1+6.70466896512611i</v>
      </c>
      <c r="AD188" s="734">
        <f t="shared" si="137"/>
        <v>6.7788336704720251</v>
      </c>
      <c r="AE188" s="735">
        <f t="shared" si="138"/>
        <v>1.4227379792938621</v>
      </c>
      <c r="AF188" s="732" t="str">
        <f t="shared" si="139"/>
        <v>1.27987234148608-8.669491345434i</v>
      </c>
      <c r="AG188" s="337">
        <f t="shared" si="140"/>
        <v>8.7634555626793755</v>
      </c>
      <c r="AH188" s="730">
        <f t="shared" si="141"/>
        <v>-1.4242255562958384</v>
      </c>
      <c r="AI188" s="731" t="str">
        <f t="shared" si="119"/>
        <v>10000</v>
      </c>
      <c r="AJ188" s="733" t="str">
        <f t="shared" si="142"/>
        <v>1+62670.6743769868i</v>
      </c>
      <c r="AK188" s="734">
        <f t="shared" si="143"/>
        <v>62670.674384965008</v>
      </c>
      <c r="AL188" s="735">
        <f t="shared" si="144"/>
        <v>1.5707803703685479</v>
      </c>
      <c r="AM188" s="340" t="str">
        <f t="shared" si="145"/>
        <v>1+106.359335570408i</v>
      </c>
      <c r="AN188" s="734">
        <f t="shared" si="146"/>
        <v>106.36403651130705</v>
      </c>
      <c r="AO188" s="735">
        <f t="shared" si="147"/>
        <v>1.5613945142528149</v>
      </c>
      <c r="AP188" s="733" t="str">
        <f t="shared" si="148"/>
        <v>1+5.1586030905297i</v>
      </c>
      <c r="AQ188" s="734">
        <f t="shared" si="149"/>
        <v>5.2546347014442949</v>
      </c>
      <c r="AR188" s="735">
        <f t="shared" si="150"/>
        <v>1.3793202663121766</v>
      </c>
      <c r="AS188" s="732" t="str">
        <f t="shared" si="151"/>
        <v>0.0244092237040446-22.0948835315032i</v>
      </c>
      <c r="AT188" s="337">
        <f t="shared" si="152"/>
        <v>22.094897014489412</v>
      </c>
      <c r="AU188" s="730">
        <f t="shared" si="153"/>
        <v>-1.5696915817194557</v>
      </c>
      <c r="AV188" s="732" t="str">
        <f t="shared" si="154"/>
        <v>-3.09709244152588+0.0291328823957572i</v>
      </c>
      <c r="AW188" s="337">
        <f t="shared" si="155"/>
        <v>9.8194676247345285</v>
      </c>
      <c r="AX188" s="730">
        <f t="shared" si="156"/>
        <v>179.46106162185441</v>
      </c>
      <c r="AY188" s="360">
        <f t="shared" si="157"/>
        <v>-0.53893837814558765</v>
      </c>
      <c r="BB188" s="337">
        <f t="shared" si="158"/>
        <v>-13.114160367341025</v>
      </c>
      <c r="BC188" s="730">
        <f t="shared" si="159"/>
        <v>-89.93670276973937</v>
      </c>
      <c r="BD188" s="351"/>
      <c r="BE188" s="337">
        <f t="shared" si="120"/>
        <v>56.428286017998829</v>
      </c>
      <c r="BF188" s="730">
        <f t="shared" si="121"/>
        <v>-51.200228884530432</v>
      </c>
      <c r="BI188" s="351"/>
      <c r="BJ188" s="351"/>
      <c r="BL188" s="405">
        <f t="shared" si="122"/>
        <v>0</v>
      </c>
      <c r="BM188" s="405">
        <f t="shared" si="160"/>
        <v>0</v>
      </c>
      <c r="BN188" s="405">
        <f t="shared" si="123"/>
        <v>0</v>
      </c>
      <c r="BO188" s="405">
        <f t="shared" si="124"/>
        <v>0</v>
      </c>
    </row>
    <row r="189" spans="4:67" ht="13.5" thickBot="1" x14ac:dyDescent="0.25">
      <c r="D189" s="345">
        <v>10654</v>
      </c>
      <c r="E189" s="340" t="str">
        <f t="shared" si="111"/>
        <v>0.176724388533505i</v>
      </c>
      <c r="F189" s="728" t="str">
        <f t="shared" si="125"/>
        <v>0.005-0.244893695113196i</v>
      </c>
      <c r="G189" s="337" t="str">
        <f t="shared" si="126"/>
        <v>0.005-0.383038856459101i</v>
      </c>
      <c r="H189" s="338" t="str">
        <f t="shared" si="127"/>
        <v>0.113433976555762-0.345905310800856i</v>
      </c>
      <c r="I189" s="338" t="str">
        <f t="shared" si="128"/>
        <v>0.123433976555762-0.345905310800856i</v>
      </c>
      <c r="J189" s="337" t="str">
        <f t="shared" si="129"/>
        <v>0.0221049456478167-0.147142911615302i</v>
      </c>
      <c r="K189" s="338" t="str">
        <f t="shared" si="112"/>
        <v>0.998738803155556-0.0557842135522428i</v>
      </c>
      <c r="L189" s="732"/>
      <c r="M189" s="732" t="str">
        <f t="shared" si="113"/>
        <v>382.547206220922-511.935723853045i</v>
      </c>
      <c r="N189" s="337">
        <f t="shared" si="114"/>
        <v>0</v>
      </c>
      <c r="O189" s="730" t="str">
        <f t="shared" si="115"/>
        <v>112.17477948058-233.352031167312i</v>
      </c>
      <c r="P189" s="731" t="str">
        <f t="shared" si="116"/>
        <v>-66.8715277663867-67.6054211045932i</v>
      </c>
      <c r="Q189" s="729" t="str">
        <f t="shared" si="117"/>
        <v>-67.9932755611925-65.2719007929202i</v>
      </c>
      <c r="R189" s="730"/>
      <c r="S189" s="405" t="str">
        <f t="shared" si="130"/>
        <v>39.4456402459128+1.4454414366418i</v>
      </c>
      <c r="T189" s="405" t="str">
        <f t="shared" si="131"/>
        <v>15.7948660760343-2.50066392936216i</v>
      </c>
      <c r="U189" s="405" t="str">
        <f t="shared" si="132"/>
        <v>0.926681534475777-5.74718831262566i</v>
      </c>
      <c r="V189" s="731" t="str">
        <f t="shared" si="118"/>
        <v>6000</v>
      </c>
      <c r="W189" s="733" t="str">
        <f>IMSUM(COMPLEX(1,0),IMDIV(COMPLEX(0,2*PI()*D189),COMPLEX(2*PI()*'Stability Calculations'!EA_Pole1,0)))</f>
        <v>1+67610.4668253182i</v>
      </c>
      <c r="X189" s="734">
        <f t="shared" si="133"/>
        <v>67610.4668327135</v>
      </c>
      <c r="Y189" s="735">
        <f t="shared" si="134"/>
        <v>1.5707815361855888</v>
      </c>
      <c r="Z189" s="340" t="str">
        <f>IMSUM(COMPLEX(1,0),IMDIV(COMPLEX(0,2*PI()*D189),COMPLEX(2*PI()*'Stability Calculations'!EA_Zero1,0)))</f>
        <v>1+669.410562626913i</v>
      </c>
      <c r="AA189" s="734">
        <f t="shared" si="135"/>
        <v>669.41130955226652</v>
      </c>
      <c r="AB189" s="735">
        <f t="shared" si="136"/>
        <v>1.5693024763659271</v>
      </c>
      <c r="AC189" s="733" t="str">
        <f>IMSUM(COMPLEX(1,0),IMDIV(COMPLEX(0,2*PI()*D189),COMPLEX(2*PI()*'Stability Calculations'!EA_Pole2,0)))</f>
        <v>1+6.74327793396144i</v>
      </c>
      <c r="AD189" s="734">
        <f t="shared" si="137"/>
        <v>6.8170226121563697</v>
      </c>
      <c r="AE189" s="735">
        <f t="shared" si="138"/>
        <v>1.4235734640699074</v>
      </c>
      <c r="AF189" s="732" t="str">
        <f t="shared" si="139"/>
        <v>1.26557282401021-8.62197430374498i</v>
      </c>
      <c r="AG189" s="337">
        <f t="shared" si="140"/>
        <v>8.7143625967314389</v>
      </c>
      <c r="AH189" s="730">
        <f t="shared" si="141"/>
        <v>-1.4250525238895679</v>
      </c>
      <c r="AI189" s="731" t="str">
        <f t="shared" si="119"/>
        <v>10000</v>
      </c>
      <c r="AJ189" s="733" t="str">
        <f t="shared" si="142"/>
        <v>1+63031.5646948378i</v>
      </c>
      <c r="AK189" s="734">
        <f t="shared" si="143"/>
        <v>63031.564702770331</v>
      </c>
      <c r="AL189" s="735">
        <f t="shared" si="144"/>
        <v>1.5707804617278502</v>
      </c>
      <c r="AM189" s="340" t="str">
        <f t="shared" si="145"/>
        <v>1+106.971807907781i</v>
      </c>
      <c r="AN189" s="734">
        <f t="shared" si="146"/>
        <v>106.97648193439153</v>
      </c>
      <c r="AO189" s="735">
        <f t="shared" si="147"/>
        <v>1.5614483416471001</v>
      </c>
      <c r="AP189" s="733" t="str">
        <f t="shared" si="148"/>
        <v>1+5.1883090084493i</v>
      </c>
      <c r="AQ189" s="734">
        <f t="shared" si="149"/>
        <v>5.2838007501377415</v>
      </c>
      <c r="AR189" s="735">
        <f t="shared" si="150"/>
        <v>1.3803901931904359</v>
      </c>
      <c r="AS189" s="732" t="str">
        <f t="shared" si="151"/>
        <v>0.0241305118042403-21.9683784973586i</v>
      </c>
      <c r="AT189" s="337">
        <f t="shared" si="152"/>
        <v>21.968391750076009</v>
      </c>
      <c r="AU189" s="730">
        <f t="shared" si="153"/>
        <v>-1.5696979069865142</v>
      </c>
      <c r="AV189" s="732" t="str">
        <f t="shared" si="154"/>
        <v>-3.06128096638626+0.0311521391619491i</v>
      </c>
      <c r="AW189" s="337">
        <f t="shared" si="155"/>
        <v>9.7185135338113184</v>
      </c>
      <c r="AX189" s="730">
        <f t="shared" si="156"/>
        <v>179.4169680897773</v>
      </c>
      <c r="AY189" s="360">
        <f t="shared" si="157"/>
        <v>-0.58303191022270084</v>
      </c>
      <c r="BB189" s="337">
        <f t="shared" si="158"/>
        <v>-13.164034710140465</v>
      </c>
      <c r="BC189" s="730">
        <f t="shared" si="159"/>
        <v>-89.937065180846119</v>
      </c>
      <c r="BD189" s="351"/>
      <c r="BE189" s="337">
        <f t="shared" si="120"/>
        <v>56.111075861979856</v>
      </c>
      <c r="BF189" s="730">
        <f t="shared" si="121"/>
        <v>-53.230843663754314</v>
      </c>
      <c r="BI189" s="351"/>
      <c r="BJ189" s="351"/>
      <c r="BL189" s="405">
        <f t="shared" si="122"/>
        <v>0</v>
      </c>
      <c r="BM189" s="405">
        <f t="shared" si="160"/>
        <v>0</v>
      </c>
      <c r="BN189" s="405">
        <f t="shared" si="123"/>
        <v>0</v>
      </c>
      <c r="BO189" s="405">
        <f t="shared" si="124"/>
        <v>0</v>
      </c>
    </row>
    <row r="190" spans="4:67" ht="13.5" thickBot="1" x14ac:dyDescent="0.25">
      <c r="D190" s="345">
        <v>10715</v>
      </c>
      <c r="E190" s="340" t="str">
        <f t="shared" si="111"/>
        <v>0.177736232695373i</v>
      </c>
      <c r="F190" s="728" t="str">
        <f t="shared" si="125"/>
        <v>0.005-0.243499526620251i</v>
      </c>
      <c r="G190" s="337" t="str">
        <f t="shared" si="126"/>
        <v>0.005-0.380858233944495i</v>
      </c>
      <c r="H190" s="338" t="str">
        <f t="shared" si="127"/>
        <v>0.112311712095681-0.344285957145233i</v>
      </c>
      <c r="I190" s="338" t="str">
        <f t="shared" si="128"/>
        <v>0.122311712095681-0.344285957145233i</v>
      </c>
      <c r="J190" s="337" t="str">
        <f t="shared" si="129"/>
        <v>0.02190387076155-0.146329793249671i</v>
      </c>
      <c r="K190" s="338" t="str">
        <f t="shared" si="112"/>
        <v>0.998724319722222-0.0561036088053577i</v>
      </c>
      <c r="L190" s="732"/>
      <c r="M190" s="732" t="str">
        <f t="shared" si="113"/>
        <v>352.57884112496-505.538319878365i</v>
      </c>
      <c r="N190" s="337">
        <f t="shared" si="114"/>
        <v>0</v>
      </c>
      <c r="O190" s="730" t="str">
        <f t="shared" si="115"/>
        <v>100.916036790965-228.286074598704i</v>
      </c>
      <c r="P190" s="731" t="str">
        <f t="shared" si="116"/>
        <v>-66.2524764583291-62.6660349496509i</v>
      </c>
      <c r="Q190" s="729" t="str">
        <f t="shared" si="117"/>
        <v>-67.2616368262388-60.3831742036638i</v>
      </c>
      <c r="R190" s="730"/>
      <c r="S190" s="405" t="str">
        <f t="shared" si="130"/>
        <v>39.4534833362045+1.41348405029267i</v>
      </c>
      <c r="T190" s="405" t="str">
        <f t="shared" si="131"/>
        <v>15.7909236681097-2.49907398960671i</v>
      </c>
      <c r="U190" s="405" t="str">
        <f t="shared" si="132"/>
        <v>0.913109592249104-5.71726854770897i</v>
      </c>
      <c r="V190" s="731" t="str">
        <f t="shared" si="118"/>
        <v>6000</v>
      </c>
      <c r="W190" s="733" t="str">
        <f>IMSUM(COMPLEX(1,0),IMDIV(COMPLEX(0,2*PI()*D190),COMPLEX(2*PI()*'Stability Calculations'!EA_Pole1,0)))</f>
        <v>1+67997.5738720936i</v>
      </c>
      <c r="X190" s="734">
        <f t="shared" si="133"/>
        <v>67997.57387944682</v>
      </c>
      <c r="Y190" s="735">
        <f t="shared" si="134"/>
        <v>1.5707816203878444</v>
      </c>
      <c r="Z190" s="340" t="str">
        <f>IMSUM(COMPLEX(1,0),IMDIV(COMPLEX(0,2*PI()*D190),COMPLEX(2*PI()*'Stability Calculations'!EA_Zero1,0)))</f>
        <v>1+673.243305664293i</v>
      </c>
      <c r="AA190" s="734">
        <f t="shared" si="135"/>
        <v>673.24404833743949</v>
      </c>
      <c r="AB190" s="735">
        <f t="shared" si="136"/>
        <v>1.5693109807748638</v>
      </c>
      <c r="AC190" s="733" t="str">
        <f>IMSUM(COMPLEX(1,0),IMDIV(COMPLEX(0,2*PI()*D190),COMPLEX(2*PI()*'Stability Calculations'!EA_Pole2,0)))</f>
        <v>1+6.78188690279678i</v>
      </c>
      <c r="AD190" s="734">
        <f t="shared" si="137"/>
        <v>6.8552162593405095</v>
      </c>
      <c r="AE190" s="735">
        <f t="shared" si="138"/>
        <v>1.4243996396568124</v>
      </c>
      <c r="AF190" s="732" t="str">
        <f t="shared" si="139"/>
        <v>1.251509900977-8.57496340051356i</v>
      </c>
      <c r="AG190" s="337">
        <f t="shared" si="140"/>
        <v>8.6658106575432718</v>
      </c>
      <c r="AH190" s="730">
        <f t="shared" si="141"/>
        <v>-1.425870279269793</v>
      </c>
      <c r="AI190" s="731" t="str">
        <f t="shared" si="119"/>
        <v>10000</v>
      </c>
      <c r="AJ190" s="733" t="str">
        <f t="shared" si="142"/>
        <v>1+63392.4550126889i</v>
      </c>
      <c r="AK190" s="734">
        <f t="shared" si="143"/>
        <v>63392.455020576279</v>
      </c>
      <c r="AL190" s="735">
        <f t="shared" si="144"/>
        <v>1.570780552046944</v>
      </c>
      <c r="AM190" s="340" t="str">
        <f t="shared" si="145"/>
        <v>1+107.584280245154i</v>
      </c>
      <c r="AN190" s="734">
        <f t="shared" si="146"/>
        <v>107.58892766389965</v>
      </c>
      <c r="AO190" s="735">
        <f t="shared" si="147"/>
        <v>1.561501556220898</v>
      </c>
      <c r="AP190" s="733" t="str">
        <f t="shared" si="148"/>
        <v>1+5.2180149263689i</v>
      </c>
      <c r="AQ190" s="734">
        <f t="shared" si="149"/>
        <v>5.3129727810152234</v>
      </c>
      <c r="AR190" s="735">
        <f t="shared" si="150"/>
        <v>1.3814483719372144</v>
      </c>
      <c r="AS190" s="732" t="str">
        <f t="shared" si="151"/>
        <v>0.0238565464163452-21.8433138326605i</v>
      </c>
      <c r="AT190" s="337">
        <f t="shared" si="152"/>
        <v>21.843326860322914</v>
      </c>
      <c r="AU190" s="730">
        <f t="shared" si="153"/>
        <v>-1.5697041602347528</v>
      </c>
      <c r="AV190" s="732" t="str">
        <f t="shared" si="154"/>
        <v>-3.02608595783419+0.0331072159377365i</v>
      </c>
      <c r="AW190" s="337">
        <f t="shared" si="155"/>
        <v>9.6181450110914959</v>
      </c>
      <c r="AX190" s="730">
        <f t="shared" si="156"/>
        <v>179.37317442662089</v>
      </c>
      <c r="AY190" s="360">
        <f t="shared" si="157"/>
        <v>-0.62682557337910794</v>
      </c>
      <c r="BB190" s="337">
        <f t="shared" si="158"/>
        <v>-13.213624309230308</v>
      </c>
      <c r="BC190" s="730">
        <f t="shared" si="159"/>
        <v>-89.937423465578448</v>
      </c>
      <c r="BD190" s="351"/>
      <c r="BE190" s="337">
        <f t="shared" si="120"/>
        <v>55.796473805926084</v>
      </c>
      <c r="BF190" s="730">
        <f t="shared" si="121"/>
        <v>-55.10682941082699</v>
      </c>
      <c r="BI190" s="351"/>
      <c r="BJ190" s="351"/>
      <c r="BL190" s="405">
        <f t="shared" si="122"/>
        <v>0</v>
      </c>
      <c r="BM190" s="405">
        <f t="shared" si="160"/>
        <v>0</v>
      </c>
      <c r="BN190" s="405">
        <f t="shared" si="123"/>
        <v>0</v>
      </c>
      <c r="BO190" s="405">
        <f t="shared" si="124"/>
        <v>0</v>
      </c>
    </row>
    <row r="191" spans="4:67" ht="13.5" thickBot="1" x14ac:dyDescent="0.25">
      <c r="D191" s="345">
        <v>10777.5</v>
      </c>
      <c r="E191" s="340" t="str">
        <f t="shared" si="111"/>
        <v>0.178772958271058i</v>
      </c>
      <c r="F191" s="728" t="str">
        <f t="shared" si="125"/>
        <v>0.005-0.242087444002411i</v>
      </c>
      <c r="G191" s="337" t="str">
        <f t="shared" si="126"/>
        <v>0.005-0.378649591901208i</v>
      </c>
      <c r="H191" s="338" t="str">
        <f t="shared" si="127"/>
        <v>0.111179248806753-0.342640403512614i</v>
      </c>
      <c r="I191" s="338" t="str">
        <f t="shared" si="128"/>
        <v>0.121179248806753-0.342640403512614i</v>
      </c>
      <c r="J191" s="337" t="str">
        <f t="shared" si="129"/>
        <v>0.0217013144446341-0.145505809532778i</v>
      </c>
      <c r="K191" s="338" t="str">
        <f t="shared" si="112"/>
        <v>0.998709394375-0.0564308580401067i</v>
      </c>
      <c r="L191" s="732"/>
      <c r="M191" s="732" t="str">
        <f t="shared" si="113"/>
        <v>324.629001993593-497.641805137317i</v>
      </c>
      <c r="N191" s="337">
        <f t="shared" si="114"/>
        <v>0</v>
      </c>
      <c r="O191" s="730" t="str">
        <f t="shared" si="115"/>
        <v>90.5784892766564-222.802477961514i</v>
      </c>
      <c r="P191" s="731" t="str">
        <f t="shared" si="116"/>
        <v>-65.3648976637476-58.0348870269758i</v>
      </c>
      <c r="Q191" s="729" t="str">
        <f t="shared" si="117"/>
        <v>-66.270682556514-55.8068622473607i</v>
      </c>
      <c r="R191" s="730"/>
      <c r="S191" s="405" t="str">
        <f t="shared" si="130"/>
        <v>39.461370516178+1.38093476138882i</v>
      </c>
      <c r="T191" s="405" t="str">
        <f t="shared" si="131"/>
        <v>15.7869380568036-2.49752114915154i</v>
      </c>
      <c r="U191" s="405" t="str">
        <f t="shared" si="132"/>
        <v>0.899428259787587-5.68691535125345i</v>
      </c>
      <c r="V191" s="731" t="str">
        <f t="shared" si="118"/>
        <v>6000</v>
      </c>
      <c r="W191" s="733" t="str">
        <f>IMSUM(COMPLEX(1,0),IMDIV(COMPLEX(0,2*PI()*D191),COMPLEX(2*PI()*'Stability Calculations'!EA_Pole1,0)))</f>
        <v>1+68394.1999446093i</v>
      </c>
      <c r="X191" s="734">
        <f t="shared" si="133"/>
        <v>68394.199951919858</v>
      </c>
      <c r="Y191" s="735">
        <f t="shared" si="134"/>
        <v>1.5707817056720421</v>
      </c>
      <c r="Z191" s="340" t="str">
        <f>IMSUM(COMPLEX(1,0),IMDIV(COMPLEX(0,2*PI()*D191),COMPLEX(2*PI()*'Stability Calculations'!EA_Zero1,0)))</f>
        <v>1+677.17029648128i</v>
      </c>
      <c r="AA191" s="734">
        <f t="shared" si="135"/>
        <v>677.17103484758172</v>
      </c>
      <c r="AB191" s="735">
        <f t="shared" si="136"/>
        <v>1.5693195944599385</v>
      </c>
      <c r="AC191" s="733" t="str">
        <f>IMSUM(COMPLEX(1,0),IMDIV(COMPLEX(0,2*PI()*D191),COMPLEX(2*PI()*'Stability Calculations'!EA_Pole2,0)))</f>
        <v>1+6.82144527250511i</v>
      </c>
      <c r="AD191" s="734">
        <f t="shared" si="137"/>
        <v>6.8943538932797983</v>
      </c>
      <c r="AE191" s="735">
        <f t="shared" si="138"/>
        <v>1.4252366362753879</v>
      </c>
      <c r="AF191" s="732" t="str">
        <f t="shared" si="139"/>
        <v>1.23734117364325-8.5273132549839i</v>
      </c>
      <c r="AG191" s="337">
        <f t="shared" si="140"/>
        <v>8.6166167681182717</v>
      </c>
      <c r="AH191" s="730">
        <f t="shared" si="141"/>
        <v>-1.4266987474874919</v>
      </c>
      <c r="AI191" s="731" t="str">
        <f t="shared" si="119"/>
        <v>10000</v>
      </c>
      <c r="AJ191" s="733" t="str">
        <f t="shared" si="142"/>
        <v>1+63762.2196826183i</v>
      </c>
      <c r="AK191" s="734">
        <f t="shared" si="143"/>
        <v>63762.21969045994</v>
      </c>
      <c r="AL191" s="735">
        <f t="shared" si="144"/>
        <v>1.5707806435265772</v>
      </c>
      <c r="AM191" s="340" t="str">
        <f t="shared" si="145"/>
        <v>1+108.211813377709i</v>
      </c>
      <c r="AN191" s="734">
        <f t="shared" si="146"/>
        <v>108.21643384667657</v>
      </c>
      <c r="AO191" s="735">
        <f t="shared" si="147"/>
        <v>1.5615554546197419</v>
      </c>
      <c r="AP191" s="733" t="str">
        <f t="shared" si="148"/>
        <v>1+5.24845131767996i</v>
      </c>
      <c r="AQ191" s="734">
        <f t="shared" si="149"/>
        <v>5.3428682590960923</v>
      </c>
      <c r="AR191" s="735">
        <f t="shared" si="150"/>
        <v>1.3825205852261111</v>
      </c>
      <c r="AS191" s="732" t="str">
        <f t="shared" si="151"/>
        <v>0.0235806551509775-21.7166421661419i</v>
      </c>
      <c r="AT191" s="337">
        <f t="shared" si="152"/>
        <v>21.716654968469467</v>
      </c>
      <c r="AU191" s="730">
        <f t="shared" si="153"/>
        <v>-1.569710493833101</v>
      </c>
      <c r="AV191" s="732" t="str">
        <f t="shared" si="154"/>
        <v>-2.99065018655483+0.0350460159114401i</v>
      </c>
      <c r="AW191" s="337">
        <f t="shared" si="155"/>
        <v>9.5159086890717983</v>
      </c>
      <c r="AX191" s="730">
        <f t="shared" si="156"/>
        <v>179.32860857410407</v>
      </c>
      <c r="AY191" s="360">
        <f t="shared" si="157"/>
        <v>-0.67139142589593348</v>
      </c>
      <c r="BB191" s="337">
        <f t="shared" si="158"/>
        <v>-13.26414137228274</v>
      </c>
      <c r="BC191" s="730">
        <f t="shared" si="159"/>
        <v>-89.937786354032923</v>
      </c>
      <c r="BD191" s="351"/>
      <c r="BE191" s="337">
        <f t="shared" si="120"/>
        <v>55.478132797967412</v>
      </c>
      <c r="BF191" s="730">
        <f t="shared" si="121"/>
        <v>-56.88219642909754</v>
      </c>
      <c r="BI191" s="351"/>
      <c r="BJ191" s="351"/>
      <c r="BL191" s="405">
        <f t="shared" si="122"/>
        <v>0</v>
      </c>
      <c r="BM191" s="405">
        <f t="shared" si="160"/>
        <v>0</v>
      </c>
      <c r="BN191" s="405">
        <f t="shared" si="123"/>
        <v>0</v>
      </c>
      <c r="BO191" s="405">
        <f t="shared" si="124"/>
        <v>0</v>
      </c>
    </row>
    <row r="192" spans="4:67" ht="13.5" thickBot="1" x14ac:dyDescent="0.25">
      <c r="D192" s="345">
        <v>10840</v>
      </c>
      <c r="E192" s="340" t="str">
        <f t="shared" si="111"/>
        <v>0.179809683846743i</v>
      </c>
      <c r="F192" s="728" t="str">
        <f t="shared" si="125"/>
        <v>0.005-0.240691644625091i</v>
      </c>
      <c r="G192" s="337" t="str">
        <f t="shared" si="126"/>
        <v>0.005-0.376466418516169i</v>
      </c>
      <c r="H192" s="338" t="str">
        <f t="shared" si="127"/>
        <v>0.110064052149428-0.341008504508541i</v>
      </c>
      <c r="I192" s="338" t="str">
        <f t="shared" si="128"/>
        <v>0.120064052149428-0.341008504508541i</v>
      </c>
      <c r="J192" s="337" t="str">
        <f t="shared" si="129"/>
        <v>0.0215021851704833-0.144690916881146i</v>
      </c>
      <c r="K192" s="338" t="str">
        <f t="shared" si="112"/>
        <v>0.998694382222222-0.0567581072748556i</v>
      </c>
      <c r="L192" s="732"/>
      <c r="M192" s="732" t="str">
        <f t="shared" si="113"/>
        <v>299.262853759339-488.775551847671i</v>
      </c>
      <c r="N192" s="337">
        <f t="shared" si="114"/>
        <v>0</v>
      </c>
      <c r="O192" s="730" t="str">
        <f t="shared" si="115"/>
        <v>81.3397555170641-217.157511085225i</v>
      </c>
      <c r="P192" s="731" t="str">
        <f t="shared" si="116"/>
        <v>-64.2865774497471-53.810359121541i</v>
      </c>
      <c r="Q192" s="729" t="str">
        <f t="shared" si="117"/>
        <v>-65.0999750049177-51.6387840106887i</v>
      </c>
      <c r="R192" s="730"/>
      <c r="S192" s="405" t="str">
        <f t="shared" si="130"/>
        <v>39.4691101898971+1.34857905755971i</v>
      </c>
      <c r="T192" s="405" t="str">
        <f t="shared" si="131"/>
        <v>15.7830056256356-2.49604435993563i</v>
      </c>
      <c r="U192" s="405" t="str">
        <f t="shared" si="132"/>
        <v>0.885969199886048-5.65686390164714i</v>
      </c>
      <c r="V192" s="731" t="str">
        <f t="shared" si="118"/>
        <v>6000</v>
      </c>
      <c r="W192" s="733" t="str">
        <f>IMSUM(COMPLEX(1,0),IMDIV(COMPLEX(0,2*PI()*D192),COMPLEX(2*PI()*'Stability Calculations'!EA_Pole1,0)))</f>
        <v>1+68790.826017125i</v>
      </c>
      <c r="X192" s="734">
        <f t="shared" si="133"/>
        <v>68790.826024393406</v>
      </c>
      <c r="Y192" s="735">
        <f t="shared" si="134"/>
        <v>1.5707817899727965</v>
      </c>
      <c r="Z192" s="340" t="str">
        <f>IMSUM(COMPLEX(1,0),IMDIV(COMPLEX(0,2*PI()*D192),COMPLEX(2*PI()*'Stability Calculations'!EA_Zero1,0)))</f>
        <v>1+681.097287298267i</v>
      </c>
      <c r="AA192" s="734">
        <f t="shared" si="135"/>
        <v>681.09802140738748</v>
      </c>
      <c r="AB192" s="735">
        <f t="shared" si="136"/>
        <v>1.5693281088176794</v>
      </c>
      <c r="AC192" s="733" t="str">
        <f>IMSUM(COMPLEX(1,0),IMDIV(COMPLEX(0,2*PI()*D192),COMPLEX(2*PI()*'Stability Calculations'!EA_Pole2,0)))</f>
        <v>1+6.86100364221344i</v>
      </c>
      <c r="AD192" s="734">
        <f t="shared" si="137"/>
        <v>6.9334963026215055</v>
      </c>
      <c r="AE192" s="735">
        <f t="shared" si="138"/>
        <v>1.4260641830949428</v>
      </c>
      <c r="AF192" s="732" t="str">
        <f t="shared" si="139"/>
        <v>1.22341001884695-8.48017795422762i</v>
      </c>
      <c r="AG192" s="337">
        <f t="shared" si="140"/>
        <v>8.5679723511215453</v>
      </c>
      <c r="AH192" s="730">
        <f t="shared" si="141"/>
        <v>-1.4275178642500597</v>
      </c>
      <c r="AI192" s="731" t="str">
        <f t="shared" si="119"/>
        <v>10000</v>
      </c>
      <c r="AJ192" s="733" t="str">
        <f t="shared" si="142"/>
        <v>1+64131.9843525476i</v>
      </c>
      <c r="AK192" s="734">
        <f t="shared" si="143"/>
        <v>64131.984360344031</v>
      </c>
      <c r="AL192" s="735">
        <f t="shared" si="144"/>
        <v>1.5707807339513253</v>
      </c>
      <c r="AM192" s="340" t="str">
        <f t="shared" si="145"/>
        <v>1+108.839346510263i</v>
      </c>
      <c r="AN192" s="734">
        <f t="shared" si="146"/>
        <v>108.84394034020038</v>
      </c>
      <c r="AO192" s="735">
        <f t="shared" si="147"/>
        <v>1.5616087315492266</v>
      </c>
      <c r="AP192" s="733" t="str">
        <f t="shared" si="148"/>
        <v>1+5.27888770899103i</v>
      </c>
      <c r="AQ192" s="734">
        <f t="shared" si="149"/>
        <v>5.3727698111994862</v>
      </c>
      <c r="AR192" s="735">
        <f t="shared" si="150"/>
        <v>1.3835808651553416</v>
      </c>
      <c r="AS192" s="732" t="str">
        <f t="shared" si="151"/>
        <v>0.0233095222120902-21.5914311917478i</v>
      </c>
      <c r="AT192" s="337">
        <f t="shared" si="152"/>
        <v>21.591443773907425</v>
      </c>
      <c r="AU192" s="730">
        <f t="shared" si="153"/>
        <v>-1.5697167543964985</v>
      </c>
      <c r="AV192" s="732" t="str">
        <f t="shared" si="154"/>
        <v>-2.95583211785324+0.0369218554075589i</v>
      </c>
      <c r="AW192" s="337">
        <f t="shared" si="155"/>
        <v>9.414272852607585</v>
      </c>
      <c r="AX192" s="730">
        <f t="shared" si="156"/>
        <v>179.28434485202717</v>
      </c>
      <c r="AY192" s="360">
        <f t="shared" si="157"/>
        <v>-0.71565514797282503</v>
      </c>
      <c r="BB192" s="337">
        <f t="shared" si="158"/>
        <v>-13.314366326935778</v>
      </c>
      <c r="BC192" s="730">
        <f t="shared" si="159"/>
        <v>-89.938145057892982</v>
      </c>
      <c r="BD192" s="351"/>
      <c r="BE192" s="337">
        <f t="shared" si="120"/>
        <v>55.164822184507528</v>
      </c>
      <c r="BF192" s="730">
        <f t="shared" si="121"/>
        <v>-58.52209352196914</v>
      </c>
      <c r="BI192" s="351"/>
      <c r="BJ192" s="351"/>
      <c r="BL192" s="405">
        <f t="shared" si="122"/>
        <v>0</v>
      </c>
      <c r="BM192" s="405">
        <f t="shared" si="160"/>
        <v>0</v>
      </c>
      <c r="BN192" s="405">
        <f t="shared" si="123"/>
        <v>0</v>
      </c>
      <c r="BO192" s="405">
        <f t="shared" si="124"/>
        <v>0</v>
      </c>
    </row>
    <row r="193" spans="4:67" ht="13.5" thickBot="1" x14ac:dyDescent="0.25">
      <c r="D193" s="345">
        <v>10902.5</v>
      </c>
      <c r="E193" s="340" t="str">
        <f t="shared" si="111"/>
        <v>0.180846409422427i</v>
      </c>
      <c r="F193" s="728" t="str">
        <f t="shared" si="125"/>
        <v>0.005-0.239311848450905i</v>
      </c>
      <c r="G193" s="337" t="str">
        <f t="shared" si="126"/>
        <v>0.005-0.374308275782185i</v>
      </c>
      <c r="H193" s="338" t="str">
        <f t="shared" si="127"/>
        <v>0.108965784882663-0.339390128629995i</v>
      </c>
      <c r="I193" s="338" t="str">
        <f t="shared" si="128"/>
        <v>0.118965784882663-0.339390128629995i</v>
      </c>
      <c r="J193" s="337" t="str">
        <f t="shared" si="129"/>
        <v>0.0213064064290793-0.143884968079849i</v>
      </c>
      <c r="K193" s="338" t="str">
        <f t="shared" si="112"/>
        <v>0.998679283263889-0.0570853565096045i</v>
      </c>
      <c r="L193" s="732"/>
      <c r="M193" s="732" t="str">
        <f t="shared" si="113"/>
        <v>276.264010168621-479.25097274858i</v>
      </c>
      <c r="N193" s="337">
        <f t="shared" si="114"/>
        <v>0</v>
      </c>
      <c r="O193" s="730" t="str">
        <f t="shared" si="115"/>
        <v>73.088213223363-211.455219912464i</v>
      </c>
      <c r="P193" s="731" t="str">
        <f t="shared" si="116"/>
        <v>-63.0708176337861-49.961354291636i</v>
      </c>
      <c r="Q193" s="729" t="str">
        <f t="shared" si="117"/>
        <v>-63.8016997660197-47.8468020925114i</v>
      </c>
      <c r="R193" s="730"/>
      <c r="S193" s="405" t="str">
        <f t="shared" si="130"/>
        <v>39.4767053758317+1.31641425692465i</v>
      </c>
      <c r="T193" s="405" t="str">
        <f t="shared" si="131"/>
        <v>15.7791251828312-2.49464256075749i</v>
      </c>
      <c r="U193" s="405" t="str">
        <f t="shared" si="132"/>
        <v>0.872727700727647-5.62711001010451i</v>
      </c>
      <c r="V193" s="731" t="str">
        <f t="shared" si="118"/>
        <v>6000</v>
      </c>
      <c r="W193" s="733" t="str">
        <f>IMSUM(COMPLEX(1,0),IMDIV(COMPLEX(0,2*PI()*D193),COMPLEX(2*PI()*'Stability Calculations'!EA_Pole1,0)))</f>
        <v>1+69187.4520896407i</v>
      </c>
      <c r="X193" s="734">
        <f t="shared" si="133"/>
        <v>69187.452096867448</v>
      </c>
      <c r="Y193" s="735">
        <f t="shared" si="134"/>
        <v>1.5707818733070209</v>
      </c>
      <c r="Z193" s="340" t="str">
        <f>IMSUM(COMPLEX(1,0),IMDIV(COMPLEX(0,2*PI()*D193),COMPLEX(2*PI()*'Stability Calculations'!EA_Zero1,0)))</f>
        <v>1+685.024278115254i</v>
      </c>
      <c r="AA193" s="734">
        <f t="shared" si="135"/>
        <v>685.02500801600297</v>
      </c>
      <c r="AB193" s="735">
        <f t="shared" si="136"/>
        <v>1.5693365255563021</v>
      </c>
      <c r="AC193" s="733" t="str">
        <f>IMSUM(COMPLEX(1,0),IMDIV(COMPLEX(0,2*PI()*D193),COMPLEX(2*PI()*'Stability Calculations'!EA_Pole2,0)))</f>
        <v>1+6.90056201192177i</v>
      </c>
      <c r="AD193" s="734">
        <f t="shared" si="137"/>
        <v>6.9726434069424368</v>
      </c>
      <c r="AE193" s="735">
        <f t="shared" si="138"/>
        <v>1.4268824381367893</v>
      </c>
      <c r="AF193" s="732" t="str">
        <f t="shared" si="139"/>
        <v>1.20971119241321-8.4335494039635i</v>
      </c>
      <c r="AG193" s="337">
        <f t="shared" si="140"/>
        <v>8.5198683509865862</v>
      </c>
      <c r="AH193" s="730">
        <f t="shared" si="141"/>
        <v>-1.4283277858875083</v>
      </c>
      <c r="AI193" s="731" t="str">
        <f t="shared" si="119"/>
        <v>10000</v>
      </c>
      <c r="AJ193" s="733" t="str">
        <f t="shared" si="142"/>
        <v>1+64501.7490224769i</v>
      </c>
      <c r="AK193" s="734">
        <f t="shared" si="143"/>
        <v>64501.749030228624</v>
      </c>
      <c r="AL193" s="735">
        <f t="shared" si="144"/>
        <v>1.5707808233393303</v>
      </c>
      <c r="AM193" s="340" t="str">
        <f t="shared" si="145"/>
        <v>1+109.466879642818i</v>
      </c>
      <c r="AN193" s="734">
        <f t="shared" si="146"/>
        <v>109.4714471391294</v>
      </c>
      <c r="AO193" s="735">
        <f t="shared" si="147"/>
        <v>1.5616613976961147</v>
      </c>
      <c r="AP193" s="733" t="str">
        <f t="shared" si="148"/>
        <v>1+5.30932410030209i</v>
      </c>
      <c r="AQ193" s="734">
        <f t="shared" si="149"/>
        <v>5.4026773364738903</v>
      </c>
      <c r="AR193" s="735">
        <f t="shared" si="150"/>
        <v>1.3846294074989731</v>
      </c>
      <c r="AS193" s="732" t="str">
        <f t="shared" si="151"/>
        <v>0.0230430388023416-21.467655788772i</v>
      </c>
      <c r="AT193" s="337">
        <f t="shared" si="152"/>
        <v>21.467668155783318</v>
      </c>
      <c r="AU193" s="730">
        <f t="shared" si="153"/>
        <v>-1.5697229431809905</v>
      </c>
      <c r="AV193" s="732" t="str">
        <f t="shared" si="154"/>
        <v>-2.9216174821121+0.0387368423357903i</v>
      </c>
      <c r="AW193" s="337">
        <f t="shared" si="155"/>
        <v>9.3132304835415187</v>
      </c>
      <c r="AX193" s="730">
        <f t="shared" si="156"/>
        <v>179.24037710284466</v>
      </c>
      <c r="AY193" s="360">
        <f t="shared" si="157"/>
        <v>-0.75962289715533871</v>
      </c>
      <c r="BB193" s="337">
        <f t="shared" si="158"/>
        <v>-13.364302531931491</v>
      </c>
      <c r="BC193" s="730">
        <f t="shared" si="159"/>
        <v>-89.93849964912468</v>
      </c>
      <c r="BD193" s="351"/>
      <c r="BE193" s="337">
        <f t="shared" si="120"/>
        <v>54.857261074623949</v>
      </c>
      <c r="BF193" s="730">
        <f t="shared" si="121"/>
        <v>-60.038720419645877</v>
      </c>
      <c r="BI193" s="351"/>
      <c r="BJ193" s="351"/>
      <c r="BL193" s="405">
        <f t="shared" si="122"/>
        <v>0</v>
      </c>
      <c r="BM193" s="405">
        <f t="shared" si="160"/>
        <v>0</v>
      </c>
      <c r="BN193" s="405">
        <f t="shared" si="123"/>
        <v>0</v>
      </c>
      <c r="BO193" s="405">
        <f t="shared" si="124"/>
        <v>0</v>
      </c>
    </row>
    <row r="194" spans="4:67" ht="13.5" thickBot="1" x14ac:dyDescent="0.25">
      <c r="D194" s="345">
        <v>10965</v>
      </c>
      <c r="E194" s="340" t="str">
        <f t="shared" si="111"/>
        <v>0.181883134998112i</v>
      </c>
      <c r="F194" s="728" t="str">
        <f t="shared" si="125"/>
        <v>0.005-0.237947781827268i</v>
      </c>
      <c r="G194" s="337" t="str">
        <f t="shared" si="126"/>
        <v>0.005-0.372174735678547i</v>
      </c>
      <c r="H194" s="338" t="str">
        <f t="shared" si="127"/>
        <v>0.107884117637272-0.33778514497408i</v>
      </c>
      <c r="I194" s="338" t="str">
        <f t="shared" si="128"/>
        <v>0.117884117637272-0.33778514497408i</v>
      </c>
      <c r="J194" s="337" t="str">
        <f t="shared" si="129"/>
        <v>0.0211139038234037-0.143087819019669i</v>
      </c>
      <c r="K194" s="338" t="str">
        <f t="shared" si="112"/>
        <v>0.9986640975-0.0574126057443535i</v>
      </c>
      <c r="L194" s="732"/>
      <c r="M194" s="732" t="str">
        <f t="shared" si="113"/>
        <v>255.4179634029-469.312576189829i</v>
      </c>
      <c r="N194" s="337">
        <f t="shared" si="114"/>
        <v>0</v>
      </c>
      <c r="O194" s="730" t="str">
        <f t="shared" si="115"/>
        <v>65.7186765221805-205.773497975722i</v>
      </c>
      <c r="P194" s="731" t="str">
        <f t="shared" si="116"/>
        <v>-61.7600426514465-46.4562199185524i</v>
      </c>
      <c r="Q194" s="729" t="str">
        <f t="shared" si="117"/>
        <v>-62.4172294166683-44.3984849387953i</v>
      </c>
      <c r="R194" s="730"/>
      <c r="S194" s="405" t="str">
        <f t="shared" si="130"/>
        <v>39.4841590141986+1.2844377222633i</v>
      </c>
      <c r="T194" s="405" t="str">
        <f t="shared" si="131"/>
        <v>15.7752955675148-2.49331470804991i</v>
      </c>
      <c r="U194" s="405" t="str">
        <f t="shared" si="132"/>
        <v>0.859699172643868-5.59764955755197i</v>
      </c>
      <c r="V194" s="731" t="str">
        <f t="shared" si="118"/>
        <v>6000</v>
      </c>
      <c r="W194" s="733" t="str">
        <f>IMSUM(COMPLEX(1,0),IMDIV(COMPLEX(0,2*PI()*D194),COMPLEX(2*PI()*'Stability Calculations'!EA_Pole1,0)))</f>
        <v>1+69584.0781621564i</v>
      </c>
      <c r="X194" s="734">
        <f t="shared" si="133"/>
        <v>69584.078169341941</v>
      </c>
      <c r="Y194" s="735">
        <f t="shared" si="134"/>
        <v>1.5707819556912428</v>
      </c>
      <c r="Z194" s="340" t="str">
        <f>IMSUM(COMPLEX(1,0),IMDIV(COMPLEX(0,2*PI()*D194),COMPLEX(2*PI()*'Stability Calculations'!EA_Zero1,0)))</f>
        <v>1+688.951268932242i</v>
      </c>
      <c r="AA194" s="734">
        <f t="shared" si="135"/>
        <v>688.95199467259431</v>
      </c>
      <c r="AB194" s="735">
        <f t="shared" si="136"/>
        <v>1.5693448463450752</v>
      </c>
      <c r="AC194" s="733" t="str">
        <f>IMSUM(COMPLEX(1,0),IMDIV(COMPLEX(0,2*PI()*D194),COMPLEX(2*PI()*'Stability Calculations'!EA_Pole2,0)))</f>
        <v>1+6.94012038163011i</v>
      </c>
      <c r="AD194" s="734">
        <f t="shared" si="137"/>
        <v>7.011795127605887</v>
      </c>
      <c r="AE194" s="735">
        <f t="shared" si="138"/>
        <v>1.4276915559432763</v>
      </c>
      <c r="AF194" s="732" t="str">
        <f t="shared" si="139"/>
        <v>1.19623959302871-8.38741967387328i</v>
      </c>
      <c r="AG194" s="337">
        <f t="shared" si="140"/>
        <v>8.4722959078166102</v>
      </c>
      <c r="AH194" s="730">
        <f t="shared" si="141"/>
        <v>-1.429128665289443</v>
      </c>
      <c r="AI194" s="731" t="str">
        <f t="shared" si="119"/>
        <v>10000</v>
      </c>
      <c r="AJ194" s="733" t="str">
        <f t="shared" si="142"/>
        <v>1+64871.5136924064i</v>
      </c>
      <c r="AK194" s="734">
        <f t="shared" si="143"/>
        <v>64871.513700113945</v>
      </c>
      <c r="AL194" s="735">
        <f t="shared" si="144"/>
        <v>1.57078091170832</v>
      </c>
      <c r="AM194" s="340" t="str">
        <f t="shared" si="145"/>
        <v>1+110.094412775372i</v>
      </c>
      <c r="AN194" s="734">
        <f t="shared" si="146"/>
        <v>110.0989542382397</v>
      </c>
      <c r="AO194" s="735">
        <f t="shared" si="147"/>
        <v>1.5617134635035459</v>
      </c>
      <c r="AP194" s="733" t="str">
        <f t="shared" si="148"/>
        <v>1+5.33976049161316i</v>
      </c>
      <c r="AQ194" s="734">
        <f t="shared" si="149"/>
        <v>5.4325907362687298</v>
      </c>
      <c r="AR194" s="735">
        <f t="shared" si="150"/>
        <v>1.3856664038236566</v>
      </c>
      <c r="AS194" s="732" t="str">
        <f t="shared" si="151"/>
        <v>0.0227810992162194-21.3452914092524i</v>
      </c>
      <c r="AT194" s="337">
        <f t="shared" si="152"/>
        <v>21.345303565992822</v>
      </c>
      <c r="AU194" s="730">
        <f t="shared" si="153"/>
        <v>-1.5697290614139845</v>
      </c>
      <c r="AV194" s="732" t="str">
        <f t="shared" si="154"/>
        <v>-2.88799241874207+0.0404930045058132i</v>
      </c>
      <c r="AW194" s="337">
        <f t="shared" si="155"/>
        <v>9.2127746850398253</v>
      </c>
      <c r="AX194" s="730">
        <f t="shared" si="156"/>
        <v>179.19669933208098</v>
      </c>
      <c r="AY194" s="360">
        <f t="shared" si="157"/>
        <v>-0.803300667919018</v>
      </c>
      <c r="BB194" s="337">
        <f t="shared" si="158"/>
        <v>-13.413953288413536</v>
      </c>
      <c r="BC194" s="730">
        <f t="shared" si="159"/>
        <v>-89.938850198053316</v>
      </c>
      <c r="BD194" s="351"/>
      <c r="BE194" s="337">
        <f t="shared" si="120"/>
        <v>54.555949017051702</v>
      </c>
      <c r="BF194" s="730">
        <f t="shared" si="121"/>
        <v>-61.443266645464206</v>
      </c>
      <c r="BI194" s="351"/>
      <c r="BJ194" s="351"/>
      <c r="BL194" s="405">
        <f t="shared" si="122"/>
        <v>0</v>
      </c>
      <c r="BM194" s="405">
        <f t="shared" si="160"/>
        <v>0</v>
      </c>
      <c r="BN194" s="405">
        <f t="shared" si="123"/>
        <v>0</v>
      </c>
      <c r="BO194" s="405">
        <f t="shared" si="124"/>
        <v>0</v>
      </c>
    </row>
    <row r="195" spans="4:67" ht="13.5" thickBot="1" x14ac:dyDescent="0.25">
      <c r="D195" s="345">
        <v>11028.75</v>
      </c>
      <c r="E195" s="340" t="str">
        <f t="shared" si="111"/>
        <v>0.18294059508531i</v>
      </c>
      <c r="F195" s="728" t="str">
        <f t="shared" si="125"/>
        <v>0.005-0.236572361123064i</v>
      </c>
      <c r="G195" s="337" t="str">
        <f t="shared" si="126"/>
        <v>0.005-0.370023436628381i</v>
      </c>
      <c r="H195" s="338" t="str">
        <f t="shared" si="127"/>
        <v>0.106797584796493-0.336161723231531i</v>
      </c>
      <c r="I195" s="338" t="str">
        <f t="shared" si="128"/>
        <v>0.116797584796493-0.336161723231531i</v>
      </c>
      <c r="J195" s="337" t="str">
        <f t="shared" si="129"/>
        <v>0.020920851215649-0.142283646173917i</v>
      </c>
      <c r="K195" s="338" t="str">
        <f t="shared" si="112"/>
        <v>0.99864851859375-0.0577463999637974i</v>
      </c>
      <c r="L195" s="732"/>
      <c r="M195" s="732" t="str">
        <f t="shared" si="113"/>
        <v>236.159797729922-458.945801595697i</v>
      </c>
      <c r="N195" s="337">
        <f t="shared" si="114"/>
        <v>0</v>
      </c>
      <c r="O195" s="730" t="str">
        <f t="shared" si="115"/>
        <v>59.0098657220877-200.058552784746i</v>
      </c>
      <c r="P195" s="731" t="str">
        <f t="shared" si="116"/>
        <v>-60.3598180558213-43.2032139319383i</v>
      </c>
      <c r="Q195" s="729" t="str">
        <f t="shared" si="117"/>
        <v>-60.9499167130423-41.2026284040907i</v>
      </c>
      <c r="R195" s="730"/>
      <c r="S195" s="405" t="str">
        <f t="shared" si="130"/>
        <v>39.4916188731623+1.25201291928333i</v>
      </c>
      <c r="T195" s="405" t="str">
        <f t="shared" si="131"/>
        <v>15.7714405496855-2.49203541375448i</v>
      </c>
      <c r="U195" s="405" t="str">
        <f t="shared" si="132"/>
        <v>0.846624840426168-5.56789799644225i</v>
      </c>
      <c r="V195" s="731" t="str">
        <f t="shared" si="118"/>
        <v>6000</v>
      </c>
      <c r="W195" s="733" t="str">
        <f>IMSUM(COMPLEX(1,0),IMDIV(COMPLEX(0,2*PI()*D195),COMPLEX(2*PI()*'Stability Calculations'!EA_Pole1,0)))</f>
        <v>1+69988.6367561225i</v>
      </c>
      <c r="X195" s="734">
        <f t="shared" si="133"/>
        <v>69988.636763266521</v>
      </c>
      <c r="Y195" s="735">
        <f t="shared" si="134"/>
        <v>1.5707820387612059</v>
      </c>
      <c r="Z195" s="340" t="str">
        <f>IMSUM(COMPLEX(1,0),IMDIV(COMPLEX(0,2*PI()*D195),COMPLEX(2*PI()*'Stability Calculations'!EA_Zero1,0)))</f>
        <v>1+692.956799565569i</v>
      </c>
      <c r="AA195" s="734">
        <f t="shared" si="135"/>
        <v>692.95752111089473</v>
      </c>
      <c r="AB195" s="735">
        <f t="shared" si="136"/>
        <v>1.5693532363937968</v>
      </c>
      <c r="AC195" s="733" t="str">
        <f>IMSUM(COMPLEX(1,0),IMDIV(COMPLEX(0,2*PI()*D195),COMPLEX(2*PI()*'Stability Calculations'!EA_Pole2,0)))</f>
        <v>1+6.98046991873261i</v>
      </c>
      <c r="AD195" s="734">
        <f t="shared" si="137"/>
        <v>7.0517345586976576</v>
      </c>
      <c r="AE195" s="735">
        <f t="shared" si="138"/>
        <v>1.4285075996698959</v>
      </c>
      <c r="AF195" s="732" t="str">
        <f t="shared" si="139"/>
        <v>1.18272750462816-8.34087317616606i</v>
      </c>
      <c r="AG195" s="337">
        <f t="shared" si="140"/>
        <v>8.4243106359565392</v>
      </c>
      <c r="AH195" s="730">
        <f t="shared" si="141"/>
        <v>-1.4299364020373047</v>
      </c>
      <c r="AI195" s="731" t="str">
        <f t="shared" si="119"/>
        <v>10000</v>
      </c>
      <c r="AJ195" s="733" t="str">
        <f t="shared" si="142"/>
        <v>1+65248.6736557343i</v>
      </c>
      <c r="AK195" s="734">
        <f t="shared" si="143"/>
        <v>65248.673663397298</v>
      </c>
      <c r="AL195" s="735">
        <f t="shared" si="144"/>
        <v>1.5707810008128666</v>
      </c>
      <c r="AM195" s="340" t="str">
        <f t="shared" si="145"/>
        <v>1+110.734496570578i</v>
      </c>
      <c r="AN195" s="734">
        <f t="shared" si="146"/>
        <v>110.73901178328869</v>
      </c>
      <c r="AO195" s="735">
        <f t="shared" si="147"/>
        <v>1.5617659627409703</v>
      </c>
      <c r="AP195" s="733" t="str">
        <f t="shared" si="148"/>
        <v>1+5.37080561075044i</v>
      </c>
      <c r="AQ195" s="734">
        <f t="shared" si="149"/>
        <v>5.4631083559150104</v>
      </c>
      <c r="AR195" s="735">
        <f t="shared" si="150"/>
        <v>1.3867124397647059</v>
      </c>
      <c r="AS195" s="732" t="str">
        <f t="shared" si="151"/>
        <v>0.0225184953744467-21.2219085005637i</v>
      </c>
      <c r="AT195" s="337">
        <f t="shared" si="152"/>
        <v>21.221920447709998</v>
      </c>
      <c r="AU195" s="730">
        <f t="shared" si="153"/>
        <v>-1.569735230573392</v>
      </c>
      <c r="AV195" s="732" t="str">
        <f t="shared" si="154"/>
        <v>-2.85428826890439+0.0422257117598839i</v>
      </c>
      <c r="AW195" s="337">
        <f t="shared" si="155"/>
        <v>9.110907026658662</v>
      </c>
      <c r="AX195" s="730">
        <f t="shared" si="156"/>
        <v>179.1524406894772</v>
      </c>
      <c r="AY195" s="360">
        <f t="shared" si="157"/>
        <v>-0.8475593105227972</v>
      </c>
      <c r="BB195" s="337">
        <f t="shared" si="158"/>
        <v>-13.464306355814703</v>
      </c>
      <c r="BC195" s="730">
        <f t="shared" si="159"/>
        <v>-89.93920366485051</v>
      </c>
      <c r="BD195" s="351"/>
      <c r="BE195" s="337">
        <f t="shared" si="120"/>
        <v>54.255386202608051</v>
      </c>
      <c r="BF195" s="730">
        <f t="shared" si="121"/>
        <v>-62.771002966610446</v>
      </c>
      <c r="BI195" s="351"/>
      <c r="BJ195" s="351"/>
      <c r="BL195" s="405">
        <f t="shared" si="122"/>
        <v>0</v>
      </c>
      <c r="BM195" s="405">
        <f t="shared" si="160"/>
        <v>0</v>
      </c>
      <c r="BN195" s="405">
        <f t="shared" si="123"/>
        <v>0</v>
      </c>
      <c r="BO195" s="405">
        <f t="shared" si="124"/>
        <v>0</v>
      </c>
    </row>
    <row r="196" spans="4:67" ht="13.5" thickBot="1" x14ac:dyDescent="0.25">
      <c r="D196" s="345">
        <v>11092.5</v>
      </c>
      <c r="E196" s="340" t="str">
        <f t="shared" si="111"/>
        <v>0.183998055172508i</v>
      </c>
      <c r="F196" s="728" t="str">
        <f t="shared" si="125"/>
        <v>0.005-0.235212749852242i</v>
      </c>
      <c r="G196" s="337" t="str">
        <f t="shared" si="126"/>
        <v>0.005-0.367896865153506i</v>
      </c>
      <c r="H196" s="338" t="str">
        <f t="shared" si="127"/>
        <v>0.105727654536857-0.334551961751124i</v>
      </c>
      <c r="I196" s="338" t="str">
        <f t="shared" si="128"/>
        <v>0.115727654536857-0.334551961751124i</v>
      </c>
      <c r="J196" s="337" t="str">
        <f t="shared" si="129"/>
        <v>0.0207310571664417-0.141488335246625i</v>
      </c>
      <c r="K196" s="338" t="str">
        <f t="shared" si="112"/>
        <v>0.998632849375-0.0580801941832413i</v>
      </c>
      <c r="L196" s="732"/>
      <c r="M196" s="732" t="str">
        <f t="shared" si="113"/>
        <v>218.723780633524-448.500362582197i</v>
      </c>
      <c r="N196" s="337">
        <f t="shared" si="114"/>
        <v>0</v>
      </c>
      <c r="O196" s="730" t="str">
        <f t="shared" si="115"/>
        <v>53.0244824049764-194.467828257561i</v>
      </c>
      <c r="P196" s="731" t="str">
        <f t="shared" si="116"/>
        <v>-58.9231944592889-40.2447502565466i</v>
      </c>
      <c r="Q196" s="729" t="str">
        <f t="shared" si="117"/>
        <v>-59.4534392833387-38.3000719739711i</v>
      </c>
      <c r="R196" s="730"/>
      <c r="S196" s="405" t="str">
        <f t="shared" si="130"/>
        <v>39.498937406663+1.21977858444514i</v>
      </c>
      <c r="T196" s="405" t="str">
        <f t="shared" si="131"/>
        <v>15.767636067266-2.49083091493419i</v>
      </c>
      <c r="U196" s="405" t="str">
        <f t="shared" si="132"/>
        <v>0.833762810001208-5.53844328896549i</v>
      </c>
      <c r="V196" s="731" t="str">
        <f t="shared" si="118"/>
        <v>6000</v>
      </c>
      <c r="W196" s="733" t="str">
        <f>IMSUM(COMPLEX(1,0),IMDIV(COMPLEX(0,2*PI()*D196),COMPLEX(2*PI()*'Stability Calculations'!EA_Pole1,0)))</f>
        <v>1+70393.1953500885i</v>
      </c>
      <c r="X196" s="734">
        <f t="shared" si="133"/>
        <v>70393.195357191464</v>
      </c>
      <c r="Y196" s="735">
        <f t="shared" si="134"/>
        <v>1.5707821208763422</v>
      </c>
      <c r="Z196" s="340" t="str">
        <f>IMSUM(COMPLEX(1,0),IMDIV(COMPLEX(0,2*PI()*D196),COMPLEX(2*PI()*'Stability Calculations'!EA_Zero1,0)))</f>
        <v>1+696.962330198896i</v>
      </c>
      <c r="AA196" s="734">
        <f t="shared" si="135"/>
        <v>696.96304759741372</v>
      </c>
      <c r="AB196" s="735">
        <f t="shared" si="136"/>
        <v>1.5693615300053763</v>
      </c>
      <c r="AC196" s="733" t="str">
        <f>IMSUM(COMPLEX(1,0),IMDIV(COMPLEX(0,2*PI()*D196),COMPLEX(2*PI()*'Stability Calculations'!EA_Pole2,0)))</f>
        <v>1+7.02081945583512i</v>
      </c>
      <c r="AD196" s="734">
        <f t="shared" si="137"/>
        <v>7.0916786328367243</v>
      </c>
      <c r="AE196" s="735">
        <f t="shared" si="138"/>
        <v>1.429314451151505</v>
      </c>
      <c r="AF196" s="732" t="str">
        <f t="shared" si="139"/>
        <v>1.16944153668433-8.29482948857682i</v>
      </c>
      <c r="AG196" s="337">
        <f t="shared" si="140"/>
        <v>8.3768603755993336</v>
      </c>
      <c r="AH196" s="730">
        <f t="shared" si="141"/>
        <v>-1.4307350420224705</v>
      </c>
      <c r="AI196" s="731" t="str">
        <f t="shared" si="119"/>
        <v>10000</v>
      </c>
      <c r="AJ196" s="733" t="str">
        <f t="shared" si="142"/>
        <v>1+65625.8336190623i</v>
      </c>
      <c r="AK196" s="734">
        <f t="shared" si="143"/>
        <v>65625.833626681255</v>
      </c>
      <c r="AL196" s="735">
        <f t="shared" si="144"/>
        <v>1.5707810888932232</v>
      </c>
      <c r="AM196" s="340" t="str">
        <f t="shared" si="145"/>
        <v>1+111.374580365784i</v>
      </c>
      <c r="AN196" s="734">
        <f t="shared" si="146"/>
        <v>111.37906963004529</v>
      </c>
      <c r="AO196" s="735">
        <f t="shared" si="147"/>
        <v>1.56181785858781</v>
      </c>
      <c r="AP196" s="733" t="str">
        <f t="shared" si="148"/>
        <v>1+5.40185072988773i</v>
      </c>
      <c r="AQ196" s="734">
        <f t="shared" si="149"/>
        <v>5.4936318868293865</v>
      </c>
      <c r="AR196" s="735">
        <f t="shared" si="150"/>
        <v>1.3877468529284041</v>
      </c>
      <c r="AS196" s="732" t="str">
        <f t="shared" si="151"/>
        <v>0.0222604061553331-21.0999437814649i</v>
      </c>
      <c r="AT196" s="337">
        <f t="shared" si="152"/>
        <v>21.099955523807665</v>
      </c>
      <c r="AU196" s="730">
        <f t="shared" si="153"/>
        <v>-1.5697413288230004</v>
      </c>
      <c r="AV196" s="732" t="str">
        <f t="shared" si="154"/>
        <v>-2.82116962122878+0.0439012394690662i</v>
      </c>
      <c r="AW196" s="337">
        <f t="shared" si="155"/>
        <v>9.0096355156802925</v>
      </c>
      <c r="AX196" s="730">
        <f t="shared" si="156"/>
        <v>179.10847163835535</v>
      </c>
      <c r="AY196" s="360">
        <f t="shared" si="157"/>
        <v>-0.89152836164464588</v>
      </c>
      <c r="BB196" s="337">
        <f t="shared" si="158"/>
        <v>-13.514369202847332</v>
      </c>
      <c r="BC196" s="730">
        <f t="shared" si="159"/>
        <v>-89.939553068815485</v>
      </c>
      <c r="BD196" s="351"/>
      <c r="BE196" s="337">
        <f t="shared" si="120"/>
        <v>53.96186557808727</v>
      </c>
      <c r="BF196" s="730">
        <f t="shared" si="121"/>
        <v>-64.002524554340837</v>
      </c>
      <c r="BI196" s="351"/>
      <c r="BJ196" s="351"/>
      <c r="BL196" s="405">
        <f t="shared" si="122"/>
        <v>0</v>
      </c>
      <c r="BM196" s="405">
        <f t="shared" si="160"/>
        <v>0</v>
      </c>
      <c r="BN196" s="405">
        <f t="shared" si="123"/>
        <v>0</v>
      </c>
      <c r="BO196" s="405">
        <f t="shared" si="124"/>
        <v>0</v>
      </c>
    </row>
    <row r="197" spans="4:67" ht="13.5" thickBot="1" x14ac:dyDescent="0.25">
      <c r="D197" s="345">
        <v>11156.25</v>
      </c>
      <c r="E197" s="340" t="str">
        <f t="shared" si="111"/>
        <v>0.185055515259707i</v>
      </c>
      <c r="F197" s="728" t="str">
        <f t="shared" si="125"/>
        <v>0.005-0.233868676995943i</v>
      </c>
      <c r="G197" s="337" t="str">
        <f t="shared" si="126"/>
        <v>0.005-0.365794597352629i</v>
      </c>
      <c r="H197" s="338" t="str">
        <f t="shared" si="127"/>
        <v>0.104674001311652-0.332955723832972i</v>
      </c>
      <c r="I197" s="338" t="str">
        <f t="shared" si="128"/>
        <v>0.114674001311652-0.332955723832972i</v>
      </c>
      <c r="J197" s="337" t="str">
        <f t="shared" si="129"/>
        <v>0.0205444490813821-0.140701742786952i</v>
      </c>
      <c r="K197" s="338" t="str">
        <f t="shared" si="112"/>
        <v>0.99861708984375-0.0584139884026852i</v>
      </c>
      <c r="L197" s="732"/>
      <c r="M197" s="732" t="str">
        <f t="shared" si="113"/>
        <v>202.922446774701-438.092839491918i</v>
      </c>
      <c r="N197" s="337">
        <f t="shared" si="114"/>
        <v>0</v>
      </c>
      <c r="O197" s="730" t="str">
        <f t="shared" si="115"/>
        <v>47.6788705108419-189.031208950883i</v>
      </c>
      <c r="P197" s="731" t="str">
        <f t="shared" si="116"/>
        <v>-57.471496143765-37.5519179456527i</v>
      </c>
      <c r="Q197" s="729" t="str">
        <f t="shared" si="117"/>
        <v>-57.9482848488733-35.6616058561438i</v>
      </c>
      <c r="R197" s="730"/>
      <c r="S197" s="405" t="str">
        <f t="shared" si="130"/>
        <v>39.5061174983258+1.18773205778338i</v>
      </c>
      <c r="T197" s="405" t="str">
        <f t="shared" si="131"/>
        <v>15.7638809817322-2.48970015890232i</v>
      </c>
      <c r="U197" s="405" t="str">
        <f t="shared" si="132"/>
        <v>0.821108580024181-5.50928128038805i</v>
      </c>
      <c r="V197" s="731" t="str">
        <f t="shared" si="118"/>
        <v>6000</v>
      </c>
      <c r="W197" s="733" t="str">
        <f>IMSUM(COMPLEX(1,0),IMDIV(COMPLEX(0,2*PI()*D197),COMPLEX(2*PI()*'Stability Calculations'!EA_Pole1,0)))</f>
        <v>1+70797.7539440545i</v>
      </c>
      <c r="X197" s="734">
        <f t="shared" si="133"/>
        <v>70797.753951116872</v>
      </c>
      <c r="Y197" s="735">
        <f t="shared" si="134"/>
        <v>1.5707822020530195</v>
      </c>
      <c r="Z197" s="340" t="str">
        <f>IMSUM(COMPLEX(1,0),IMDIV(COMPLEX(0,2*PI()*D197),COMPLEX(2*PI()*'Stability Calculations'!EA_Zero1,0)))</f>
        <v>1+700.967860832223i</v>
      </c>
      <c r="AA197" s="734">
        <f t="shared" si="135"/>
        <v>700.96857413132489</v>
      </c>
      <c r="AB197" s="735">
        <f t="shared" si="136"/>
        <v>1.5693697288330175</v>
      </c>
      <c r="AC197" s="733" t="str">
        <f>IMSUM(COMPLEX(1,0),IMDIV(COMPLEX(0,2*PI()*D197),COMPLEX(2*PI()*'Stability Calculations'!EA_Pole2,0)))</f>
        <v>1+7.06116899293762i</v>
      </c>
      <c r="AD197" s="734">
        <f t="shared" si="137"/>
        <v>7.1316272720062761</v>
      </c>
      <c r="AE197" s="735">
        <f t="shared" si="138"/>
        <v>1.4301122638029287</v>
      </c>
      <c r="AF197" s="732" t="str">
        <f t="shared" si="139"/>
        <v>1.15637670585901-8.24928069724122i</v>
      </c>
      <c r="AG197" s="337">
        <f t="shared" si="140"/>
        <v>8.3299363207487929</v>
      </c>
      <c r="AH197" s="730">
        <f t="shared" si="141"/>
        <v>-1.4315247370229314</v>
      </c>
      <c r="AI197" s="731" t="str">
        <f t="shared" si="119"/>
        <v>10000</v>
      </c>
      <c r="AJ197" s="733" t="str">
        <f t="shared" si="142"/>
        <v>1+66002.9935823902i</v>
      </c>
      <c r="AK197" s="734">
        <f t="shared" si="143"/>
        <v>66002.993589965612</v>
      </c>
      <c r="AL197" s="735">
        <f t="shared" si="144"/>
        <v>1.570781175966947</v>
      </c>
      <c r="AM197" s="340" t="str">
        <f t="shared" si="145"/>
        <v>1+112.014664160989i</v>
      </c>
      <c r="AN197" s="734">
        <f t="shared" si="146"/>
        <v>112.01912777333679</v>
      </c>
      <c r="AO197" s="735">
        <f t="shared" si="147"/>
        <v>1.5618691613867948</v>
      </c>
      <c r="AP197" s="733" t="str">
        <f t="shared" si="148"/>
        <v>1+5.43289584902502i</v>
      </c>
      <c r="AQ197" s="734">
        <f t="shared" si="149"/>
        <v>5.5241612310244257</v>
      </c>
      <c r="AR197" s="735">
        <f t="shared" si="150"/>
        <v>1.3887698337827965</v>
      </c>
      <c r="AS197" s="732" t="str">
        <f t="shared" si="151"/>
        <v>0.0220067286630938-20.9793729402423i</v>
      </c>
      <c r="AT197" s="337">
        <f t="shared" si="152"/>
        <v>20.979384482436021</v>
      </c>
      <c r="AU197" s="730">
        <f t="shared" si="153"/>
        <v>-1.5697473573784049</v>
      </c>
      <c r="AV197" s="732" t="str">
        <f t="shared" si="154"/>
        <v>-2.78862299390027+0.0455215036802032i</v>
      </c>
      <c r="AW197" s="337">
        <f t="shared" si="155"/>
        <v>8.9089532057861724</v>
      </c>
      <c r="AX197" s="730">
        <f t="shared" si="156"/>
        <v>179.06478630859775</v>
      </c>
      <c r="AY197" s="360">
        <f t="shared" si="157"/>
        <v>-0.93521369140225374</v>
      </c>
      <c r="BB197" s="337">
        <f t="shared" si="158"/>
        <v>-13.56414515583581</v>
      </c>
      <c r="BC197" s="730">
        <f t="shared" si="159"/>
        <v>-89.939898479596721</v>
      </c>
      <c r="BD197" s="351"/>
      <c r="BE197" s="337">
        <f t="shared" si="120"/>
        <v>53.675475934912896</v>
      </c>
      <c r="BF197" s="730">
        <f t="shared" si="121"/>
        <v>-65.146660033314831</v>
      </c>
      <c r="BI197" s="351"/>
      <c r="BJ197" s="351"/>
      <c r="BL197" s="405">
        <f t="shared" si="122"/>
        <v>0</v>
      </c>
      <c r="BM197" s="405">
        <f t="shared" si="160"/>
        <v>0</v>
      </c>
      <c r="BN197" s="405">
        <f t="shared" si="123"/>
        <v>0</v>
      </c>
      <c r="BO197" s="405">
        <f t="shared" si="124"/>
        <v>0</v>
      </c>
    </row>
    <row r="198" spans="4:67" ht="13.5" thickBot="1" x14ac:dyDescent="0.25">
      <c r="D198" s="345">
        <v>11220</v>
      </c>
      <c r="E198" s="340" t="str">
        <f t="shared" si="111"/>
        <v>0.186112975346905i</v>
      </c>
      <c r="F198" s="728" t="str">
        <f t="shared" si="125"/>
        <v>0.005-0.23253987769483i</v>
      </c>
      <c r="G198" s="337" t="str">
        <f t="shared" si="126"/>
        <v>0.005-0.36371621895858i</v>
      </c>
      <c r="H198" s="338" t="str">
        <f t="shared" si="127"/>
        <v>0.103636307220194-0.331372873607623i</v>
      </c>
      <c r="I198" s="338" t="str">
        <f t="shared" si="128"/>
        <v>0.113636307220194-0.331372873607623i</v>
      </c>
      <c r="J198" s="337" t="str">
        <f t="shared" si="129"/>
        <v>0.0203609563671583-0.139923728372212i</v>
      </c>
      <c r="K198" s="338" t="str">
        <f t="shared" si="112"/>
        <v>0.99860124-0.0587477826221291i</v>
      </c>
      <c r="L198" s="732"/>
      <c r="M198" s="732" t="str">
        <f t="shared" si="113"/>
        <v>188.585449899758-427.809959619751i</v>
      </c>
      <c r="N198" s="337">
        <f t="shared" si="114"/>
        <v>0</v>
      </c>
      <c r="O198" s="730" t="str">
        <f t="shared" si="115"/>
        <v>42.8986489575715-183.768296593437i</v>
      </c>
      <c r="P198" s="731" t="str">
        <f t="shared" si="116"/>
        <v>-56.0209844678711-35.0981991879786i</v>
      </c>
      <c r="Q198" s="729" t="str">
        <f t="shared" si="117"/>
        <v>-56.4499709574467-33.2605162220442i</v>
      </c>
      <c r="R198" s="730"/>
      <c r="S198" s="405" t="str">
        <f t="shared" si="130"/>
        <v>39.5131619569404+1.15587072438319i</v>
      </c>
      <c r="T198" s="405" t="str">
        <f t="shared" si="131"/>
        <v>15.7601741841106-2.48864211076053i</v>
      </c>
      <c r="U198" s="405" t="str">
        <f t="shared" si="132"/>
        <v>0.808657765964597-5.48040788629729i</v>
      </c>
      <c r="V198" s="731" t="str">
        <f t="shared" si="118"/>
        <v>6000</v>
      </c>
      <c r="W198" s="733" t="str">
        <f>IMSUM(COMPLEX(1,0),IMDIV(COMPLEX(0,2*PI()*D198),COMPLEX(2*PI()*'Stability Calculations'!EA_Pole1,0)))</f>
        <v>1+71202.3125380205i</v>
      </c>
      <c r="X198" s="734">
        <f t="shared" si="133"/>
        <v>71202.312545042747</v>
      </c>
      <c r="Y198" s="735">
        <f t="shared" si="134"/>
        <v>1.5707822823072348</v>
      </c>
      <c r="Z198" s="340" t="str">
        <f>IMSUM(COMPLEX(1,0),IMDIV(COMPLEX(0,2*PI()*D198),COMPLEX(2*PI()*'Stability Calculations'!EA_Zero1,0)))</f>
        <v>1+704.97339146555i</v>
      </c>
      <c r="AA198" s="734">
        <f t="shared" si="135"/>
        <v>704.97410071182014</v>
      </c>
      <c r="AB198" s="735">
        <f t="shared" si="136"/>
        <v>1.5693778344923515</v>
      </c>
      <c r="AC198" s="733" t="str">
        <f>IMSUM(COMPLEX(1,0),IMDIV(COMPLEX(0,2*PI()*D198),COMPLEX(2*PI()*'Stability Calculations'!EA_Pole2,0)))</f>
        <v>1+7.10151853004012i</v>
      </c>
      <c r="AD198" s="734">
        <f t="shared" si="137"/>
        <v>7.1715803999190566</v>
      </c>
      <c r="AE198" s="735">
        <f t="shared" si="138"/>
        <v>1.4309011876668891</v>
      </c>
      <c r="AF198" s="732" t="str">
        <f t="shared" si="139"/>
        <v>1.14352816439905-8.20421904906294i</v>
      </c>
      <c r="AG198" s="337">
        <f t="shared" si="140"/>
        <v>8.2835298555495704</v>
      </c>
      <c r="AH198" s="730">
        <f t="shared" si="141"/>
        <v>-1.4323056354817725</v>
      </c>
      <c r="AI198" s="731" t="str">
        <f t="shared" si="119"/>
        <v>10000</v>
      </c>
      <c r="AJ198" s="733" t="str">
        <f t="shared" si="142"/>
        <v>1+66380.1535457181i</v>
      </c>
      <c r="AK198" s="734">
        <f t="shared" si="143"/>
        <v>66380.153553250479</v>
      </c>
      <c r="AL198" s="735">
        <f t="shared" si="144"/>
        <v>1.5707812620511967</v>
      </c>
      <c r="AM198" s="340" t="str">
        <f t="shared" si="145"/>
        <v>1+112.654747956195i</v>
      </c>
      <c r="AN198" s="734">
        <f t="shared" si="146"/>
        <v>112.65918620811098</v>
      </c>
      <c r="AO198" s="735">
        <f t="shared" si="147"/>
        <v>1.5619198812456241</v>
      </c>
      <c r="AP198" s="733" t="str">
        <f t="shared" si="148"/>
        <v>1+5.4639409681623i</v>
      </c>
      <c r="AQ198" s="734">
        <f t="shared" si="149"/>
        <v>5.554696292648444</v>
      </c>
      <c r="AR198" s="735">
        <f t="shared" si="150"/>
        <v>1.3897815687047057</v>
      </c>
      <c r="AS198" s="732" t="str">
        <f t="shared" si="151"/>
        <v>0.0217573629167851-20.8601722177182i</v>
      </c>
      <c r="AT198" s="337">
        <f t="shared" si="152"/>
        <v>20.860183564285897</v>
      </c>
      <c r="AU198" s="730">
        <f t="shared" si="153"/>
        <v>-1.5697533174275728</v>
      </c>
      <c r="AV198" s="732" t="str">
        <f t="shared" si="154"/>
        <v>-2.75663529039819+0.0470883477732036i</v>
      </c>
      <c r="AW198" s="337">
        <f t="shared" si="155"/>
        <v>8.8088532704806841</v>
      </c>
      <c r="AX198" s="730">
        <f t="shared" si="156"/>
        <v>179.02137898497944</v>
      </c>
      <c r="AY198" s="360">
        <f t="shared" si="157"/>
        <v>-0.97862101502056476</v>
      </c>
      <c r="BB198" s="337">
        <f t="shared" si="158"/>
        <v>-13.613637484243759</v>
      </c>
      <c r="BC198" s="730">
        <f t="shared" si="159"/>
        <v>-89.940239965259735</v>
      </c>
      <c r="BD198" s="351"/>
      <c r="BE198" s="337">
        <f t="shared" si="120"/>
        <v>53.396220119234371</v>
      </c>
      <c r="BF198" s="730">
        <f t="shared" si="121"/>
        <v>-66.211350087864858</v>
      </c>
      <c r="BI198" s="351"/>
      <c r="BJ198" s="351"/>
      <c r="BL198" s="405">
        <f t="shared" si="122"/>
        <v>0</v>
      </c>
      <c r="BM198" s="405">
        <f t="shared" si="160"/>
        <v>0</v>
      </c>
      <c r="BN198" s="405">
        <f t="shared" si="123"/>
        <v>0</v>
      </c>
      <c r="BO198" s="405">
        <f t="shared" si="124"/>
        <v>0</v>
      </c>
    </row>
    <row r="199" spans="4:67" ht="13.5" thickBot="1" x14ac:dyDescent="0.25">
      <c r="D199" s="345">
        <v>11285.5</v>
      </c>
      <c r="E199" s="340" t="str">
        <f t="shared" si="111"/>
        <v>0.187199463750223i</v>
      </c>
      <c r="F199" s="728" t="str">
        <f t="shared" si="125"/>
        <v>0.005-0.231190237715297i</v>
      </c>
      <c r="G199" s="337" t="str">
        <f t="shared" si="126"/>
        <v>0.005-0.361605243605979i</v>
      </c>
      <c r="H199" s="338" t="str">
        <f t="shared" si="127"/>
        <v>0.102586423429607-0.329760374694962i</v>
      </c>
      <c r="I199" s="338" t="str">
        <f t="shared" si="128"/>
        <v>0.112586423429607-0.329760374694962i</v>
      </c>
      <c r="J199" s="337" t="str">
        <f t="shared" si="129"/>
        <v>0.0201755992711966-0.139133146715301i</v>
      </c>
      <c r="K199" s="338" t="str">
        <f t="shared" si="112"/>
        <v>0.998584860997222-0.059090739820146i</v>
      </c>
      <c r="L199" s="732"/>
      <c r="M199" s="732" t="str">
        <f t="shared" si="113"/>
        <v>175.218830617582-417.441075714499i</v>
      </c>
      <c r="N199" s="337">
        <f t="shared" si="114"/>
        <v>0</v>
      </c>
      <c r="O199" s="730" t="str">
        <f t="shared" si="115"/>
        <v>38.5070158855764-178.5542388804i</v>
      </c>
      <c r="P199" s="731" t="str">
        <f t="shared" si="116"/>
        <v>-54.5447455210704-32.8008711305524i</v>
      </c>
      <c r="Q199" s="729" t="str">
        <f t="shared" si="117"/>
        <v>-54.9298156799261-31.0153287417484i</v>
      </c>
      <c r="R199" s="730"/>
      <c r="S199" s="405" t="str">
        <f t="shared" si="130"/>
        <v>39.5202613993061+1.12332495311426i</v>
      </c>
      <c r="T199" s="405" t="str">
        <f t="shared" si="131"/>
        <v>15.756414790382-2.48762967802102i</v>
      </c>
      <c r="U199" s="405" t="str">
        <f t="shared" si="132"/>
        <v>0.796072544692123-5.45103827661112i</v>
      </c>
      <c r="V199" s="731" t="str">
        <f t="shared" si="118"/>
        <v>6000</v>
      </c>
      <c r="W199" s="733" t="str">
        <f>IMSUM(COMPLEX(1,0),IMDIV(COMPLEX(0,2*PI()*D199),COMPLEX(2*PI()*'Stability Calculations'!EA_Pole1,0)))</f>
        <v>1+71617.976662017i</v>
      </c>
      <c r="X199" s="734">
        <f t="shared" si="133"/>
        <v>71617.976668998497</v>
      </c>
      <c r="Y199" s="735">
        <f t="shared" si="134"/>
        <v>1.5707823638201444</v>
      </c>
      <c r="Z199" s="340" t="str">
        <f>IMSUM(COMPLEX(1,0),IMDIV(COMPLEX(0,2*PI()*D199),COMPLEX(2*PI()*'Stability Calculations'!EA_Zero1,0)))</f>
        <v>1+709.088877841752i</v>
      </c>
      <c r="AA199" s="734">
        <f t="shared" si="135"/>
        <v>709.08958297162644</v>
      </c>
      <c r="AB199" s="735">
        <f t="shared" si="136"/>
        <v>1.569386067279757</v>
      </c>
      <c r="AC199" s="733" t="str">
        <f>IMSUM(COMPLEX(1,0),IMDIV(COMPLEX(0,2*PI()*D199),COMPLEX(2*PI()*'Stability Calculations'!EA_Pole2,0)))</f>
        <v>1+7.14297570149444i</v>
      </c>
      <c r="AD199" s="734">
        <f t="shared" si="137"/>
        <v>7.2126348772234401</v>
      </c>
      <c r="AE199" s="735">
        <f t="shared" si="138"/>
        <v>1.4317026643550606</v>
      </c>
      <c r="AF199" s="732" t="str">
        <f t="shared" si="139"/>
        <v>1.13054723821402-8.15841981680814i</v>
      </c>
      <c r="AG199" s="337">
        <f t="shared" si="140"/>
        <v>8.2363797244372545</v>
      </c>
      <c r="AH199" s="730">
        <f t="shared" si="141"/>
        <v>-1.4330989608954479</v>
      </c>
      <c r="AI199" s="731" t="str">
        <f t="shared" si="119"/>
        <v>10000</v>
      </c>
      <c r="AJ199" s="733" t="str">
        <f t="shared" si="142"/>
        <v>1+66767.6669198041i</v>
      </c>
      <c r="AK199" s="734">
        <f t="shared" si="143"/>
        <v>66767.666927292768</v>
      </c>
      <c r="AL199" s="735">
        <f t="shared" si="144"/>
        <v>1.5707813494855782</v>
      </c>
      <c r="AM199" s="340" t="str">
        <f t="shared" si="145"/>
        <v>1+113.312402679112i</v>
      </c>
      <c r="AN199" s="734">
        <f t="shared" si="146"/>
        <v>113.31681517282959</v>
      </c>
      <c r="AO199" s="735">
        <f t="shared" si="147"/>
        <v>1.5619713966334599</v>
      </c>
      <c r="AP199" s="733" t="str">
        <f t="shared" si="148"/>
        <v>1+5.49583830625629i</v>
      </c>
      <c r="AQ199" s="734">
        <f t="shared" si="149"/>
        <v>5.586075428108181</v>
      </c>
      <c r="AR199" s="735">
        <f t="shared" si="150"/>
        <v>1.3908095551873878</v>
      </c>
      <c r="AS199" s="732" t="str">
        <f t="shared" si="151"/>
        <v>0.0215055406408378-20.739101965333i</v>
      </c>
      <c r="AT199" s="337">
        <f t="shared" si="152"/>
        <v>20.739113115481995</v>
      </c>
      <c r="AU199" s="730">
        <f t="shared" si="153"/>
        <v>-1.5697593709532867</v>
      </c>
      <c r="AV199" s="732" t="str">
        <f t="shared" si="154"/>
        <v>-2.7243382702744+0.0486444273441354i</v>
      </c>
      <c r="AW199" s="337">
        <f t="shared" si="155"/>
        <v>8.7066050166679982</v>
      </c>
      <c r="AX199" s="730">
        <f t="shared" si="156"/>
        <v>178.97706379743465</v>
      </c>
      <c r="AY199" s="360">
        <f t="shared" si="157"/>
        <v>-1.0229362025653472</v>
      </c>
      <c r="BB199" s="337">
        <f t="shared" si="158"/>
        <v>-13.664196393161152</v>
      </c>
      <c r="BC199" s="730">
        <f t="shared" si="159"/>
        <v>-89.940586806734316</v>
      </c>
      <c r="BD199" s="351"/>
      <c r="BE199" s="337">
        <f t="shared" si="120"/>
        <v>53.116663372310853</v>
      </c>
      <c r="BF199" s="730">
        <f t="shared" si="121"/>
        <v>-67.230011937382926</v>
      </c>
      <c r="BI199" s="351"/>
      <c r="BJ199" s="351"/>
      <c r="BL199" s="405">
        <f t="shared" si="122"/>
        <v>0</v>
      </c>
      <c r="BM199" s="405">
        <f t="shared" si="160"/>
        <v>0</v>
      </c>
      <c r="BN199" s="405">
        <f t="shared" si="123"/>
        <v>0</v>
      </c>
      <c r="BO199" s="405">
        <f t="shared" si="124"/>
        <v>0</v>
      </c>
    </row>
    <row r="200" spans="4:67" ht="13.5" thickBot="1" x14ac:dyDescent="0.25">
      <c r="D200" s="345">
        <v>11351</v>
      </c>
      <c r="E200" s="340" t="str">
        <f t="shared" si="111"/>
        <v>0.18828595215354i</v>
      </c>
      <c r="F200" s="728" t="str">
        <f t="shared" si="125"/>
        <v>0.005-0.229856173705928i</v>
      </c>
      <c r="G200" s="337" t="str">
        <f t="shared" si="126"/>
        <v>0.005-0.359518630668247i</v>
      </c>
      <c r="H200" s="338" t="str">
        <f t="shared" si="127"/>
        <v>0.101552730508402-0.328161720627584i</v>
      </c>
      <c r="I200" s="338" t="str">
        <f t="shared" si="128"/>
        <v>0.111552730508402-0.328161720627584i</v>
      </c>
      <c r="J200" s="337" t="str">
        <f t="shared" si="129"/>
        <v>0.019993386053292-0.138351329461392i</v>
      </c>
      <c r="K200" s="338" t="str">
        <f t="shared" si="112"/>
        <v>0.998568386655556-0.0594336970181629i</v>
      </c>
      <c r="L200" s="732"/>
      <c r="M200" s="732" t="str">
        <f t="shared" si="113"/>
        <v>163.087093843426-407.319324266712i</v>
      </c>
      <c r="N200" s="337">
        <f t="shared" si="114"/>
        <v>0</v>
      </c>
      <c r="O200" s="730" t="str">
        <f t="shared" si="115"/>
        <v>34.5801051017684-173.542519939717i</v>
      </c>
      <c r="P200" s="731" t="str">
        <f t="shared" si="116"/>
        <v>-53.0925068000943-30.7070087482631i</v>
      </c>
      <c r="Q200" s="729" t="str">
        <f t="shared" si="117"/>
        <v>-53.4383078511119-28.9715835488661i</v>
      </c>
      <c r="R200" s="730"/>
      <c r="S200" s="405" t="str">
        <f t="shared" si="130"/>
        <v>39.5272234385542+1.09096922813452i</v>
      </c>
      <c r="T200" s="405" t="str">
        <f t="shared" si="131"/>
        <v>15.7527040905171-2.48669184111975i</v>
      </c>
      <c r="U200" s="405" t="str">
        <f t="shared" si="132"/>
        <v>0.78369304003046-5.42196482527993i</v>
      </c>
      <c r="V200" s="731" t="str">
        <f t="shared" si="118"/>
        <v>6000</v>
      </c>
      <c r="W200" s="733" t="str">
        <f>IMSUM(COMPLEX(1,0),IMDIV(COMPLEX(0,2*PI()*D200),COMPLEX(2*PI()*'Stability Calculations'!EA_Pole1,0)))</f>
        <v>1+72033.6407860135i</v>
      </c>
      <c r="X200" s="734">
        <f t="shared" si="133"/>
        <v>72033.640792954699</v>
      </c>
      <c r="Y200" s="735">
        <f t="shared" si="134"/>
        <v>1.5707824443923271</v>
      </c>
      <c r="Z200" s="340" t="str">
        <f>IMSUM(COMPLEX(1,0),IMDIV(COMPLEX(0,2*PI()*D200),COMPLEX(2*PI()*'Stability Calculations'!EA_Zero1,0)))</f>
        <v>1+713.204364217955i</v>
      </c>
      <c r="AA200" s="734">
        <f t="shared" si="135"/>
        <v>713.20506527894031</v>
      </c>
      <c r="AB200" s="735">
        <f t="shared" si="136"/>
        <v>1.5693942050541227</v>
      </c>
      <c r="AC200" s="733" t="str">
        <f>IMSUM(COMPLEX(1,0),IMDIV(COMPLEX(0,2*PI()*D200),COMPLEX(2*PI()*'Stability Calculations'!EA_Pole2,0)))</f>
        <v>1+7.18443287294878i</v>
      </c>
      <c r="AD200" s="734">
        <f t="shared" si="137"/>
        <v>7.2536939352241125</v>
      </c>
      <c r="AE200" s="735">
        <f t="shared" si="138"/>
        <v>1.4324950681351705</v>
      </c>
      <c r="AF200" s="732" t="str">
        <f t="shared" si="139"/>
        <v>1.11778468453329-8.11311875066352i</v>
      </c>
      <c r="AG200" s="337">
        <f t="shared" si="140"/>
        <v>8.1897581443743022</v>
      </c>
      <c r="AH200" s="730">
        <f t="shared" si="141"/>
        <v>-1.433883307473375</v>
      </c>
      <c r="AI200" s="731" t="str">
        <f t="shared" si="119"/>
        <v>10000</v>
      </c>
      <c r="AJ200" s="733" t="str">
        <f t="shared" si="142"/>
        <v>1+67155.1802938901i</v>
      </c>
      <c r="AK200" s="734">
        <f t="shared" si="143"/>
        <v>67155.180301335524</v>
      </c>
      <c r="AL200" s="735">
        <f t="shared" si="144"/>
        <v>1.570781435910894</v>
      </c>
      <c r="AM200" s="340" t="str">
        <f t="shared" si="145"/>
        <v>1+113.970057402029i</v>
      </c>
      <c r="AN200" s="734">
        <f t="shared" si="146"/>
        <v>113.97444443480207</v>
      </c>
      <c r="AO200" s="735">
        <f t="shared" si="147"/>
        <v>1.5620223175368211</v>
      </c>
      <c r="AP200" s="733" t="str">
        <f t="shared" si="148"/>
        <v>1+5.52773564435029i</v>
      </c>
      <c r="AQ200" s="734">
        <f t="shared" si="149"/>
        <v>5.6174604007345446</v>
      </c>
      <c r="AR200" s="735">
        <f t="shared" si="150"/>
        <v>1.391826055932307</v>
      </c>
      <c r="AS200" s="732" t="str">
        <f t="shared" si="151"/>
        <v>0.0212580651272554-20.6194289600797i</v>
      </c>
      <c r="AT200" s="337">
        <f t="shared" si="152"/>
        <v>20.619439918317525</v>
      </c>
      <c r="AU200" s="730">
        <f t="shared" si="153"/>
        <v>-1.5697653546163435</v>
      </c>
      <c r="AV200" s="732" t="str">
        <f t="shared" si="154"/>
        <v>-2.69260444437995+0.0501478367282634i</v>
      </c>
      <c r="AW200" s="337">
        <f t="shared" si="155"/>
        <v>8.6049573161868249</v>
      </c>
      <c r="AX200" s="730">
        <f t="shared" si="156"/>
        <v>178.93303033751232</v>
      </c>
      <c r="AY200" s="360">
        <f t="shared" si="157"/>
        <v>-1.0669696624876792</v>
      </c>
      <c r="BB200" s="337">
        <f t="shared" si="158"/>
        <v>-13.714462710911965</v>
      </c>
      <c r="BC200" s="730">
        <f t="shared" si="159"/>
        <v>-89.940929645373501</v>
      </c>
      <c r="BD200" s="351"/>
      <c r="BE200" s="337">
        <f t="shared" si="120"/>
        <v>52.844452449021929</v>
      </c>
      <c r="BF200" s="730">
        <f t="shared" si="121"/>
        <v>-68.179268089187886</v>
      </c>
      <c r="BI200" s="351"/>
      <c r="BJ200" s="351"/>
      <c r="BL200" s="405">
        <f t="shared" si="122"/>
        <v>0</v>
      </c>
      <c r="BM200" s="405">
        <f t="shared" si="160"/>
        <v>0</v>
      </c>
      <c r="BN200" s="405">
        <f t="shared" si="123"/>
        <v>0</v>
      </c>
      <c r="BO200" s="405">
        <f t="shared" si="124"/>
        <v>0</v>
      </c>
    </row>
    <row r="201" spans="4:67" ht="13.5" thickBot="1" x14ac:dyDescent="0.25">
      <c r="D201" s="345">
        <v>11416.5</v>
      </c>
      <c r="E201" s="340" t="str">
        <f t="shared" si="111"/>
        <v>0.189372440556858i</v>
      </c>
      <c r="F201" s="728" t="str">
        <f t="shared" si="125"/>
        <v>0.005-0.228537417574212i</v>
      </c>
      <c r="G201" s="337" t="str">
        <f t="shared" si="126"/>
        <v>0.005-0.357455960821204i</v>
      </c>
      <c r="H201" s="338" t="str">
        <f t="shared" si="127"/>
        <v>0.100534907531026-0.326576767010825i</v>
      </c>
      <c r="I201" s="338" t="str">
        <f t="shared" si="128"/>
        <v>0.110534907531026-0.326576767010825i</v>
      </c>
      <c r="J201" s="337" t="str">
        <f t="shared" si="129"/>
        <v>0.0198142463201964-0.137578133782016i</v>
      </c>
      <c r="K201" s="338" t="str">
        <f t="shared" si="112"/>
        <v>0.998551816975-0.0597766542161798i</v>
      </c>
      <c r="L201" s="732"/>
      <c r="M201" s="732" t="str">
        <f t="shared" si="113"/>
        <v>152.057724744693-397.477871004536i</v>
      </c>
      <c r="N201" s="337">
        <f t="shared" si="114"/>
        <v>0</v>
      </c>
      <c r="O201" s="730" t="str">
        <f t="shared" si="115"/>
        <v>31.0629753031198-168.734898402663i</v>
      </c>
      <c r="P201" s="731" t="str">
        <f t="shared" si="116"/>
        <v>-51.671354499473-28.7955424404255i</v>
      </c>
      <c r="Q201" s="729" t="str">
        <f t="shared" si="117"/>
        <v>-51.9819842525041-27.1081934563988i</v>
      </c>
      <c r="R201" s="730"/>
      <c r="S201" s="405" t="str">
        <f t="shared" si="130"/>
        <v>39.5340508891924+1.0588008564998i</v>
      </c>
      <c r="T201" s="405" t="str">
        <f t="shared" si="131"/>
        <v>15.7490409732923-2.48582753414489i</v>
      </c>
      <c r="U201" s="405" t="str">
        <f t="shared" si="132"/>
        <v>0.771514858504759-5.39318332586216i</v>
      </c>
      <c r="V201" s="731" t="str">
        <f t="shared" si="118"/>
        <v>6000</v>
      </c>
      <c r="W201" s="733" t="str">
        <f>IMSUM(COMPLEX(1,0),IMDIV(COMPLEX(0,2*PI()*D201),COMPLEX(2*PI()*'Stability Calculations'!EA_Pole1,0)))</f>
        <v>1+72449.3049100099i</v>
      </c>
      <c r="X201" s="734">
        <f t="shared" si="133"/>
        <v>72449.304916911278</v>
      </c>
      <c r="Y201" s="735">
        <f t="shared" si="134"/>
        <v>1.5707825240399746</v>
      </c>
      <c r="Z201" s="340" t="str">
        <f>IMSUM(COMPLEX(1,0),IMDIV(COMPLEX(0,2*PI()*D201),COMPLEX(2*PI()*'Stability Calculations'!EA_Zero1,0)))</f>
        <v>1+717.319850594157i</v>
      </c>
      <c r="AA201" s="734">
        <f t="shared" si="135"/>
        <v>717.32054763294195</v>
      </c>
      <c r="AB201" s="735">
        <f t="shared" si="136"/>
        <v>1.569402249450802</v>
      </c>
      <c r="AC201" s="733" t="str">
        <f>IMSUM(COMPLEX(1,0),IMDIV(COMPLEX(0,2*PI()*D201),COMPLEX(2*PI()*'Stability Calculations'!EA_Pole2,0)))</f>
        <v>1+7.22589004440311i</v>
      </c>
      <c r="AD201" s="734">
        <f t="shared" si="137"/>
        <v>7.2947574965727258</v>
      </c>
      <c r="AE201" s="735">
        <f t="shared" si="138"/>
        <v>1.43327855122293</v>
      </c>
      <c r="AF201" s="732" t="str">
        <f t="shared" si="139"/>
        <v>1.10523566411591-8.06830794593664i</v>
      </c>
      <c r="AG201" s="337">
        <f t="shared" si="140"/>
        <v>8.1436563645390923</v>
      </c>
      <c r="AH201" s="730">
        <f t="shared" si="141"/>
        <v>-1.4346588258121034</v>
      </c>
      <c r="AI201" s="731" t="str">
        <f t="shared" si="119"/>
        <v>10000</v>
      </c>
      <c r="AJ201" s="733" t="str">
        <f t="shared" si="142"/>
        <v>1+67542.693667976i</v>
      </c>
      <c r="AK201" s="734">
        <f t="shared" si="143"/>
        <v>67542.69367537873</v>
      </c>
      <c r="AL201" s="735">
        <f t="shared" si="144"/>
        <v>1.5707815213445122</v>
      </c>
      <c r="AM201" s="340" t="str">
        <f t="shared" si="145"/>
        <v>1+114.627712124946i</v>
      </c>
      <c r="AN201" s="734">
        <f t="shared" si="146"/>
        <v>114.63207398891244</v>
      </c>
      <c r="AO201" s="735">
        <f t="shared" si="147"/>
        <v>1.5620726541868855</v>
      </c>
      <c r="AP201" s="733" t="str">
        <f t="shared" si="148"/>
        <v>1+5.55963298244428i</v>
      </c>
      <c r="AQ201" s="734">
        <f t="shared" si="149"/>
        <v>5.6488511132337589</v>
      </c>
      <c r="AR201" s="735">
        <f t="shared" si="150"/>
        <v>1.3928312603001349</v>
      </c>
      <c r="AS201" s="732" t="str">
        <f t="shared" si="151"/>
        <v>0.0210148369080355-20.5011291527403i</v>
      </c>
      <c r="AT201" s="337">
        <f t="shared" si="152"/>
        <v>20.501139923445926</v>
      </c>
      <c r="AU201" s="730">
        <f t="shared" si="153"/>
        <v>-1.5697712696192125</v>
      </c>
      <c r="AV201" s="732" t="str">
        <f t="shared" si="154"/>
        <v>-2.66142079357534+0.0516003558019879i</v>
      </c>
      <c r="AW201" s="337">
        <f t="shared" si="155"/>
        <v>8.5039031423075677</v>
      </c>
      <c r="AX201" s="730">
        <f t="shared" si="156"/>
        <v>178.88927288494702</v>
      </c>
      <c r="AY201" s="360">
        <f t="shared" si="157"/>
        <v>-1.1107271150529812</v>
      </c>
      <c r="BB201" s="337">
        <f t="shared" si="158"/>
        <v>-13.764439804544788</v>
      </c>
      <c r="BC201" s="730">
        <f t="shared" si="159"/>
        <v>-89.941268550073701</v>
      </c>
      <c r="BD201" s="351"/>
      <c r="BE201" s="337">
        <f t="shared" si="120"/>
        <v>52.579429331680089</v>
      </c>
      <c r="BF201" s="730">
        <f t="shared" si="121"/>
        <v>-69.065325790617251</v>
      </c>
      <c r="BI201" s="351"/>
      <c r="BJ201" s="351"/>
      <c r="BL201" s="405">
        <f t="shared" si="122"/>
        <v>0</v>
      </c>
      <c r="BM201" s="405">
        <f t="shared" si="160"/>
        <v>0</v>
      </c>
      <c r="BN201" s="405">
        <f t="shared" si="123"/>
        <v>0</v>
      </c>
      <c r="BO201" s="405">
        <f t="shared" si="124"/>
        <v>0</v>
      </c>
    </row>
    <row r="202" spans="4:67" ht="13.5" thickBot="1" x14ac:dyDescent="0.25">
      <c r="D202" s="345">
        <v>11482</v>
      </c>
      <c r="E202" s="340" t="str">
        <f t="shared" si="111"/>
        <v>0.190458928960175i</v>
      </c>
      <c r="F202" s="728" t="str">
        <f t="shared" si="125"/>
        <v>0.005-0.227233707345061i</v>
      </c>
      <c r="G202" s="337" t="str">
        <f t="shared" si="126"/>
        <v>0.005-0.355416824308942i</v>
      </c>
      <c r="H202" s="338" t="str">
        <f t="shared" si="127"/>
        <v>0.099532641207226-0.325005370523541i</v>
      </c>
      <c r="I202" s="338" t="str">
        <f t="shared" si="128"/>
        <v>0.109532641207226-0.325005370523541i</v>
      </c>
      <c r="J202" s="337" t="str">
        <f t="shared" si="129"/>
        <v>0.0196381116292373-0.136813419886738i</v>
      </c>
      <c r="K202" s="338" t="str">
        <f t="shared" si="112"/>
        <v>0.998535151955556-0.0601196114141967i</v>
      </c>
      <c r="L202" s="732"/>
      <c r="M202" s="732" t="str">
        <f t="shared" si="113"/>
        <v>142.013173666934-387.937961670146i</v>
      </c>
      <c r="N202" s="337">
        <f t="shared" si="114"/>
        <v>0</v>
      </c>
      <c r="O202" s="730" t="str">
        <f t="shared" si="115"/>
        <v>27.9075858713773-164.129719416545i</v>
      </c>
      <c r="P202" s="731" t="str">
        <f t="shared" si="116"/>
        <v>-50.2862486826895-27.0476769548397i</v>
      </c>
      <c r="Q202" s="729" t="str">
        <f t="shared" si="117"/>
        <v>-50.5653245414033-25.4063797606743i</v>
      </c>
      <c r="R202" s="730"/>
      <c r="S202" s="405" t="str">
        <f t="shared" si="130"/>
        <v>39.5407464920975+1.02681719191031i</v>
      </c>
      <c r="T202" s="405" t="str">
        <f t="shared" si="131"/>
        <v>15.745424356559-2.48503570960241i</v>
      </c>
      <c r="U202" s="405" t="str">
        <f t="shared" si="132"/>
        <v>0.75953372157335-5.36468964472485i</v>
      </c>
      <c r="V202" s="731" t="str">
        <f t="shared" si="118"/>
        <v>6000</v>
      </c>
      <c r="W202" s="733" t="str">
        <f>IMSUM(COMPLEX(1,0),IMDIV(COMPLEX(0,2*PI()*D202),COMPLEX(2*PI()*'Stability Calculations'!EA_Pole1,0)))</f>
        <v>1+72864.9690340064i</v>
      </c>
      <c r="X202" s="734">
        <f t="shared" si="133"/>
        <v>72864.969040868411</v>
      </c>
      <c r="Y202" s="735">
        <f t="shared" si="134"/>
        <v>1.5707826027789094</v>
      </c>
      <c r="Z202" s="340" t="str">
        <f>IMSUM(COMPLEX(1,0),IMDIV(COMPLEX(0,2*PI()*D202),COMPLEX(2*PI()*'Stability Calculations'!EA_Zero1,0)))</f>
        <v>1+721.43533697036i</v>
      </c>
      <c r="AA202" s="734">
        <f t="shared" si="135"/>
        <v>721.43603003283442</v>
      </c>
      <c r="AB202" s="735">
        <f t="shared" si="136"/>
        <v>1.5694102020678322</v>
      </c>
      <c r="AC202" s="733" t="str">
        <f>IMSUM(COMPLEX(1,0),IMDIV(COMPLEX(0,2*PI()*D202),COMPLEX(2*PI()*'Stability Calculations'!EA_Pole2,0)))</f>
        <v>1+7.26734721585745i</v>
      </c>
      <c r="AD202" s="734">
        <f t="shared" si="137"/>
        <v>7.3358254856444773</v>
      </c>
      <c r="AE202" s="735">
        <f t="shared" si="138"/>
        <v>1.4340532624698386</v>
      </c>
      <c r="AF202" s="732" t="str">
        <f t="shared" si="139"/>
        <v>1.09289547015426-8.02397966008392i</v>
      </c>
      <c r="AG202" s="337">
        <f t="shared" si="140"/>
        <v>8.0980658242647152</v>
      </c>
      <c r="AH202" s="730">
        <f t="shared" si="141"/>
        <v>-1.4354256631809155</v>
      </c>
      <c r="AI202" s="731" t="str">
        <f t="shared" si="119"/>
        <v>10000</v>
      </c>
      <c r="AJ202" s="733" t="str">
        <f t="shared" si="142"/>
        <v>1+67930.207042062i</v>
      </c>
      <c r="AK202" s="734">
        <f t="shared" si="143"/>
        <v>67930.20704942249</v>
      </c>
      <c r="AL202" s="735">
        <f t="shared" si="144"/>
        <v>1.5707816058034045</v>
      </c>
      <c r="AM202" s="340" t="str">
        <f t="shared" si="145"/>
        <v>1+115.285366847863i</v>
      </c>
      <c r="AN202" s="734">
        <f t="shared" si="146"/>
        <v>115.28970383016149</v>
      </c>
      <c r="AO202" s="735">
        <f t="shared" si="147"/>
        <v>1.5621224165814027</v>
      </c>
      <c r="AP202" s="733" t="str">
        <f t="shared" si="148"/>
        <v>1+5.59153032053828i</v>
      </c>
      <c r="AQ202" s="734">
        <f t="shared" si="149"/>
        <v>5.6802474704451846</v>
      </c>
      <c r="AR202" s="735">
        <f t="shared" si="150"/>
        <v>1.3938253535574086</v>
      </c>
      <c r="AS202" s="732" t="str">
        <f t="shared" si="151"/>
        <v>0.0207757593441709-20.3841790428568i</v>
      </c>
      <c r="AT202" s="337">
        <f t="shared" si="152"/>
        <v>20.384189630285007</v>
      </c>
      <c r="AU202" s="730">
        <f t="shared" si="153"/>
        <v>-1.5697771171369252</v>
      </c>
      <c r="AV202" s="732" t="str">
        <f t="shared" si="154"/>
        <v>-2.63077467233228+0.0530036965816408i</v>
      </c>
      <c r="AW202" s="337">
        <f t="shared" si="155"/>
        <v>8.4034355901079802</v>
      </c>
      <c r="AX202" s="730">
        <f t="shared" si="156"/>
        <v>178.84578587091491</v>
      </c>
      <c r="AY202" s="360">
        <f t="shared" si="157"/>
        <v>-1.1542141290850907</v>
      </c>
      <c r="BB202" s="337">
        <f t="shared" si="158"/>
        <v>-13.814130983320199</v>
      </c>
      <c r="BC202" s="730">
        <f t="shared" si="159"/>
        <v>-89.941603588159268</v>
      </c>
      <c r="BD202" s="351"/>
      <c r="BE202" s="337">
        <f t="shared" si="120"/>
        <v>52.321409116174927</v>
      </c>
      <c r="BF202" s="730">
        <f t="shared" si="121"/>
        <v>-69.893743081532136</v>
      </c>
      <c r="BI202" s="351"/>
      <c r="BJ202" s="351"/>
      <c r="BL202" s="405">
        <f t="shared" si="122"/>
        <v>0</v>
      </c>
      <c r="BM202" s="405">
        <f t="shared" si="160"/>
        <v>0</v>
      </c>
      <c r="BN202" s="405">
        <f t="shared" si="123"/>
        <v>0</v>
      </c>
      <c r="BO202" s="405">
        <f t="shared" si="124"/>
        <v>0</v>
      </c>
    </row>
    <row r="203" spans="4:67" ht="13.5" thickBot="1" x14ac:dyDescent="0.25">
      <c r="D203" s="345">
        <v>11548.75</v>
      </c>
      <c r="E203" s="340" t="str">
        <f t="shared" si="111"/>
        <v>0.191566151875006i</v>
      </c>
      <c r="F203" s="728" t="str">
        <f t="shared" si="125"/>
        <v>0.005-0.225920331441583i</v>
      </c>
      <c r="G203" s="337" t="str">
        <f t="shared" si="126"/>
        <v>0.005-0.353362569690682i</v>
      </c>
      <c r="H203" s="338" t="str">
        <f t="shared" si="127"/>
        <v>0.098526935833907-0.323417785997526i</v>
      </c>
      <c r="I203" s="338" t="str">
        <f t="shared" si="128"/>
        <v>0.108526935833907-0.323417785997526i</v>
      </c>
      <c r="J203" s="337" t="str">
        <f t="shared" si="129"/>
        <v>0.0194616383005842-0.136042696688258i</v>
      </c>
      <c r="K203" s="338" t="str">
        <f t="shared" si="112"/>
        <v>0.998518070815972-0.0604691135969085i</v>
      </c>
      <c r="L203" s="732"/>
      <c r="M203" s="732" t="str">
        <f t="shared" si="113"/>
        <v>132.682404440241-378.538816888121i</v>
      </c>
      <c r="N203" s="337">
        <f t="shared" si="114"/>
        <v>0</v>
      </c>
      <c r="O203" s="730" t="str">
        <f t="shared" si="115"/>
        <v>25.0207037530071-159.640709424966i</v>
      </c>
      <c r="P203" s="731" t="str">
        <f t="shared" si="116"/>
        <v>-48.9152244865749-25.4174576401402i</v>
      </c>
      <c r="Q203" s="729" t="str">
        <f t="shared" si="117"/>
        <v>-49.1654315241051-23.8210505458906i</v>
      </c>
      <c r="R203" s="730"/>
      <c r="S203" s="405" t="str">
        <f t="shared" si="130"/>
        <v>39.5474369912128+0.994410487900697i</v>
      </c>
      <c r="T203" s="405" t="str">
        <f t="shared" si="131"/>
        <v>15.7417854694093-2.48430227868987i</v>
      </c>
      <c r="U203" s="405" t="str">
        <f t="shared" si="132"/>
        <v>0.747522344133137-5.33594409536885i</v>
      </c>
      <c r="V203" s="731" t="str">
        <f t="shared" si="118"/>
        <v>6000</v>
      </c>
      <c r="W203" s="733" t="str">
        <f>IMSUM(COMPLEX(1,0),IMDIV(COMPLEX(0,2*PI()*D203),COMPLEX(2*PI()*'Stability Calculations'!EA_Pole1,0)))</f>
        <v>1+73288.5656794531i</v>
      </c>
      <c r="X203" s="734">
        <f t="shared" si="133"/>
        <v>73288.56568627544</v>
      </c>
      <c r="Y203" s="735">
        <f t="shared" si="134"/>
        <v>1.5707826821016124</v>
      </c>
      <c r="Z203" s="340" t="str">
        <f>IMSUM(COMPLEX(1,0),IMDIV(COMPLEX(0,2*PI()*D203),COMPLEX(2*PI()*'Stability Calculations'!EA_Zero1,0)))</f>
        <v>1+725.629363162902i</v>
      </c>
      <c r="AA203" s="734">
        <f t="shared" si="135"/>
        <v>725.63005221958576</v>
      </c>
      <c r="AB203" s="735">
        <f t="shared" si="136"/>
        <v>1.5694182136455392</v>
      </c>
      <c r="AC203" s="733" t="str">
        <f>IMSUM(COMPLEX(1,0),IMDIV(COMPLEX(0,2*PI()*D203),COMPLEX(2*PI()*'Stability Calculations'!EA_Pole2,0)))</f>
        <v>1+7.30959555470595i</v>
      </c>
      <c r="AD203" s="734">
        <f t="shared" si="137"/>
        <v>7.3776816936878618</v>
      </c>
      <c r="AE203" s="735">
        <f t="shared" si="138"/>
        <v>1.4348338844519277</v>
      </c>
      <c r="AF203" s="732" t="str">
        <f t="shared" si="139"/>
        <v>1.08052987872506-7.97929398211236i</v>
      </c>
      <c r="AG203" s="337">
        <f t="shared" si="140"/>
        <v>8.0521225320900385</v>
      </c>
      <c r="AH203" s="730">
        <f t="shared" si="141"/>
        <v>-1.4361983529080009</v>
      </c>
      <c r="AI203" s="731" t="str">
        <f t="shared" si="119"/>
        <v>10000</v>
      </c>
      <c r="AJ203" s="733" t="str">
        <f t="shared" si="142"/>
        <v>1+68325.1157095465i</v>
      </c>
      <c r="AK203" s="734">
        <f t="shared" si="143"/>
        <v>68325.115716864457</v>
      </c>
      <c r="AL203" s="735">
        <f t="shared" si="144"/>
        <v>1.5707816908884726</v>
      </c>
      <c r="AM203" s="340" t="str">
        <f t="shared" si="145"/>
        <v>1+115.955572233432i</v>
      </c>
      <c r="AN203" s="734">
        <f t="shared" si="146"/>
        <v>115.95988414957418</v>
      </c>
      <c r="AO203" s="735">
        <f t="shared" si="147"/>
        <v>1.562172547956479</v>
      </c>
      <c r="AP203" s="733" t="str">
        <f t="shared" si="148"/>
        <v>1+5.6240363864585i</v>
      </c>
      <c r="AQ203" s="734">
        <f t="shared" si="149"/>
        <v>5.7122487057383262</v>
      </c>
      <c r="AR203" s="735">
        <f t="shared" si="150"/>
        <v>1.3948271745307292</v>
      </c>
      <c r="AS203" s="732" t="str">
        <f t="shared" si="151"/>
        <v>0.0205362922463211-20.2663618636183i</v>
      </c>
      <c r="AT203" s="337">
        <f t="shared" si="152"/>
        <v>20.266372268524563</v>
      </c>
      <c r="AU203" s="730">
        <f t="shared" si="153"/>
        <v>-1.5697830080080553</v>
      </c>
      <c r="AV203" s="732" t="str">
        <f t="shared" si="154"/>
        <v>-2.60008399894574+0.0543849286565022i</v>
      </c>
      <c r="AW203" s="337">
        <f t="shared" si="155"/>
        <v>8.3016472141129753</v>
      </c>
      <c r="AX203" s="730">
        <f t="shared" si="156"/>
        <v>178.80174156813661</v>
      </c>
      <c r="AY203" s="360">
        <f t="shared" si="157"/>
        <v>-1.198258431863394</v>
      </c>
      <c r="BB203" s="337">
        <f t="shared" si="158"/>
        <v>-13.864479683034492</v>
      </c>
      <c r="BC203" s="730">
        <f t="shared" si="159"/>
        <v>-89.941941110212682</v>
      </c>
      <c r="BD203" s="351"/>
      <c r="BE203" s="337">
        <f t="shared" si="120"/>
        <v>52.065459392501495</v>
      </c>
      <c r="BF203" s="730">
        <f t="shared" si="121"/>
        <v>-70.683823035499287</v>
      </c>
      <c r="BI203" s="351"/>
      <c r="BJ203" s="351"/>
      <c r="BL203" s="405">
        <f t="shared" si="122"/>
        <v>0</v>
      </c>
      <c r="BM203" s="405">
        <f t="shared" si="160"/>
        <v>0</v>
      </c>
      <c r="BN203" s="405">
        <f t="shared" si="123"/>
        <v>0</v>
      </c>
      <c r="BO203" s="405">
        <f t="shared" si="124"/>
        <v>0</v>
      </c>
    </row>
    <row r="204" spans="4:67" ht="13.5" thickBot="1" x14ac:dyDescent="0.25">
      <c r="D204" s="345">
        <v>11615.5</v>
      </c>
      <c r="E204" s="340" t="str">
        <f t="shared" si="111"/>
        <v>0.192673374789837i</v>
      </c>
      <c r="F204" s="728" t="str">
        <f t="shared" si="125"/>
        <v>0.005-0.224622050513193i</v>
      </c>
      <c r="G204" s="337" t="str">
        <f t="shared" si="126"/>
        <v>0.005-0.351331925161661i</v>
      </c>
      <c r="H204" s="338" t="str">
        <f t="shared" si="127"/>
        <v>0.0975367529286846-0.321843983983276i</v>
      </c>
      <c r="I204" s="338" t="str">
        <f t="shared" si="128"/>
        <v>0.107536752928685-0.321843983983276i</v>
      </c>
      <c r="J204" s="337" t="str">
        <f t="shared" si="129"/>
        <v>0.0192881481988822-0.135280498264531i</v>
      </c>
      <c r="K204" s="338" t="str">
        <f t="shared" si="112"/>
        <v>0.998500890663889-0.0608186157796204i</v>
      </c>
      <c r="L204" s="732"/>
      <c r="M204" s="732" t="str">
        <f t="shared" si="113"/>
        <v>124.168960601807-369.471125512612i</v>
      </c>
      <c r="N204" s="337">
        <f t="shared" si="114"/>
        <v>0</v>
      </c>
      <c r="O204" s="730" t="str">
        <f t="shared" si="115"/>
        <v>22.4271449280678-155.351640767466i</v>
      </c>
      <c r="P204" s="731" t="str">
        <f t="shared" si="116"/>
        <v>-47.5872486399144-23.9240526832964i</v>
      </c>
      <c r="Q204" s="729" t="str">
        <f t="shared" si="117"/>
        <v>-47.8115200891952-22.3705362756216i</v>
      </c>
      <c r="R204" s="730"/>
      <c r="S204" s="405" t="str">
        <f t="shared" si="130"/>
        <v>39.5539960857375+0.962190203231484i</v>
      </c>
      <c r="T204" s="405" t="str">
        <f t="shared" si="131"/>
        <v>15.7381926937365-2.48364198354505i</v>
      </c>
      <c r="U204" s="405" t="str">
        <f t="shared" si="132"/>
        <v>0.735706981540728-5.307489011761i</v>
      </c>
      <c r="V204" s="731" t="str">
        <f t="shared" si="118"/>
        <v>6000</v>
      </c>
      <c r="W204" s="733" t="str">
        <f>IMSUM(COMPLEX(1,0),IMDIV(COMPLEX(0,2*PI()*D204),COMPLEX(2*PI()*'Stability Calculations'!EA_Pole1,0)))</f>
        <v>1+73712.1623249i</v>
      </c>
      <c r="X204" s="734">
        <f t="shared" si="133"/>
        <v>73712.162331683139</v>
      </c>
      <c r="Y204" s="735">
        <f t="shared" si="134"/>
        <v>1.5707827605126388</v>
      </c>
      <c r="Z204" s="340" t="str">
        <f>IMSUM(COMPLEX(1,0),IMDIV(COMPLEX(0,2*PI()*D204),COMPLEX(2*PI()*'Stability Calculations'!EA_Zero1,0)))</f>
        <v>1+729.823389355445i</v>
      </c>
      <c r="AA204" s="734">
        <f t="shared" si="135"/>
        <v>729.82407445237743</v>
      </c>
      <c r="AB204" s="735">
        <f t="shared" si="136"/>
        <v>1.5694261331442481</v>
      </c>
      <c r="AC204" s="733" t="str">
        <f>IMSUM(COMPLEX(1,0),IMDIV(COMPLEX(0,2*PI()*D204),COMPLEX(2*PI()*'Stability Calculations'!EA_Pole2,0)))</f>
        <v>1+7.35184389355445i</v>
      </c>
      <c r="AD204" s="734">
        <f t="shared" si="137"/>
        <v>7.4195423467484742</v>
      </c>
      <c r="AE204" s="735">
        <f t="shared" si="138"/>
        <v>1.4356056984466716</v>
      </c>
      <c r="AF204" s="732" t="str">
        <f t="shared" si="139"/>
        <v>1.06837169220409-7.93509367715658i</v>
      </c>
      <c r="AG204" s="337">
        <f t="shared" si="140"/>
        <v>8.0066928090163021</v>
      </c>
      <c r="AH204" s="730">
        <f t="shared" si="141"/>
        <v>-1.4369623258150619</v>
      </c>
      <c r="AI204" s="731" t="str">
        <f t="shared" si="119"/>
        <v>10000</v>
      </c>
      <c r="AJ204" s="733" t="str">
        <f t="shared" si="142"/>
        <v>1+68720.0243770311i</v>
      </c>
      <c r="AK204" s="734">
        <f t="shared" si="143"/>
        <v>68720.024384307006</v>
      </c>
      <c r="AL204" s="735">
        <f t="shared" si="144"/>
        <v>1.5707817749956359</v>
      </c>
      <c r="AM204" s="340" t="str">
        <f t="shared" si="145"/>
        <v>1+116.625777619i</v>
      </c>
      <c r="AN204" s="734">
        <f t="shared" si="146"/>
        <v>116.63006475706187</v>
      </c>
      <c r="AO204" s="735">
        <f t="shared" si="147"/>
        <v>1.5622221032010648</v>
      </c>
      <c r="AP204" s="733" t="str">
        <f t="shared" si="148"/>
        <v>1+5.65654245237872i</v>
      </c>
      <c r="AQ204" s="734">
        <f t="shared" si="149"/>
        <v>5.7442556102216287</v>
      </c>
      <c r="AR204" s="735">
        <f t="shared" si="150"/>
        <v>1.3958178322267976</v>
      </c>
      <c r="AS204" s="732" t="str">
        <f t="shared" si="151"/>
        <v>0.0203009416568775-20.1498987840961i</v>
      </c>
      <c r="AT204" s="337">
        <f t="shared" si="152"/>
        <v>20.149909010651875</v>
      </c>
      <c r="AU204" s="730">
        <f t="shared" si="153"/>
        <v>-1.5697888311739214</v>
      </c>
      <c r="AV204" s="732" t="str">
        <f t="shared" si="154"/>
        <v>-2.56992618122839+0.055718474673561i</v>
      </c>
      <c r="AW204" s="337">
        <f t="shared" si="155"/>
        <v>8.2004539590498098</v>
      </c>
      <c r="AX204" s="730">
        <f t="shared" si="156"/>
        <v>178.7579669066497</v>
      </c>
      <c r="AY204" s="360">
        <f t="shared" si="157"/>
        <v>-1.242033093350301</v>
      </c>
      <c r="BB204" s="337">
        <f t="shared" si="158"/>
        <v>-13.914538212552731</v>
      </c>
      <c r="BC204" s="730">
        <f t="shared" si="159"/>
        <v>-89.942274753040209</v>
      </c>
      <c r="BD204" s="351"/>
      <c r="BE204" s="337">
        <f t="shared" si="120"/>
        <v>51.816345144494619</v>
      </c>
      <c r="BF204" s="730">
        <f t="shared" si="121"/>
        <v>-71.423936327164682</v>
      </c>
      <c r="BI204" s="351"/>
      <c r="BJ204" s="351"/>
      <c r="BL204" s="405">
        <f t="shared" si="122"/>
        <v>0</v>
      </c>
      <c r="BM204" s="405">
        <f t="shared" si="160"/>
        <v>0</v>
      </c>
      <c r="BN204" s="405">
        <f t="shared" si="123"/>
        <v>0</v>
      </c>
      <c r="BO204" s="405">
        <f t="shared" si="124"/>
        <v>0</v>
      </c>
    </row>
    <row r="205" spans="4:67" ht="13.5" thickBot="1" x14ac:dyDescent="0.25">
      <c r="D205" s="345">
        <v>11682.25</v>
      </c>
      <c r="E205" s="340" t="str">
        <f t="shared" ref="E205:E268" si="161">COMPLEX(0,2*PI()*D205*L)</f>
        <v>0.193780597704669i</v>
      </c>
      <c r="F205" s="728" t="str">
        <f t="shared" si="125"/>
        <v>0.005-0.223338605811037i</v>
      </c>
      <c r="G205" s="337" t="str">
        <f t="shared" si="126"/>
        <v>0.005-0.349324486012135i</v>
      </c>
      <c r="H205" s="338" t="str">
        <f t="shared" si="127"/>
        <v>0.0965617840775482-0.320283816417567i</v>
      </c>
      <c r="I205" s="338" t="str">
        <f t="shared" si="128"/>
        <v>0.106561784077548-0.320283816417567i</v>
      </c>
      <c r="J205" s="337" t="str">
        <f t="shared" si="129"/>
        <v>0.0191175747356523-0.134526685906531i</v>
      </c>
      <c r="K205" s="338" t="str">
        <f t="shared" ref="K205:K268" si="162">IMSUM(COMPLEX(1,0),COMPLEX(0,2*PI()*D205/(Fsw*PI()*(-2)/PI())),IMPRODUCT(COMPLEX(0,2*PI()*D205/(Fsw*PI())),COMPLEX(0,2*PI()*D205/(Fsw*PI()))))</f>
        <v>0.998483611499306-0.0611681179623323i</v>
      </c>
      <c r="L205" s="732"/>
      <c r="M205" s="732" t="str">
        <f t="shared" ref="M205:M268" si="163">IF(Vin&gt;=Vout,IMDIV(COMPLEX(Vin,0),IMSUM(E205,J205)),IMDIV(IMSUM(COMPLEX(Vout,0),IMPRODUCT(J205,COMPLEX($B$4,0))),IMSUM(E205,IMPRODUCT(J205,COMPLEX((1-$B$11)^2,0)))))</f>
        <v>116.386912013856-360.735078287186i</v>
      </c>
      <c r="N205" s="337">
        <f t="shared" ref="N205:N268" si="164">IF(Vin&gt;=Vout,0,IMSUB(IMPRODUCT(M205,COMPLEX(1-$B$11,0)),COMPLEX($B$4/(1-$B$11),0)))</f>
        <v>0</v>
      </c>
      <c r="O205" s="730" t="str">
        <f t="shared" ref="O205:O268" si="165">IMDIV(IF(Vin&gt;=Vout,M205,N205),IMPRODUCT(I205,IMSUM(IMDIV(COMPLEX(1,0),F205),IMDIV(COMPLEX(1,0),I205))))</f>
        <v>20.0930972506543-151.255270765994i</v>
      </c>
      <c r="P205" s="731" t="str">
        <f t="shared" ref="P205:P268" si="166">IF(Vin&gt;=Vout,IMDIV(IMPRODUCT(COMPLEX(Vin,0),J205),IMSUM(J205,E205)),IMPRODUCT(N205,J205))</f>
        <v>-46.3034590835314-22.5535253750457i</v>
      </c>
      <c r="Q205" s="729" t="str">
        <f t="shared" ref="Q205:Q268" si="167">IF(Vin&gt;=Vout,IMDIV(IMPRODUCT(P205,H205),IMSUM(COMPLEX($B$15,0),H205)),IMPRODUCT(O205,H205))</f>
        <v>-46.5043900560378-21.0409726673858i</v>
      </c>
      <c r="R205" s="730"/>
      <c r="S205" s="405" t="str">
        <f t="shared" si="130"/>
        <v>39.5604264547446+0.930153681142001i</v>
      </c>
      <c r="T205" s="405" t="str">
        <f t="shared" si="131"/>
        <v>15.7346449718028-2.48305377239116i</v>
      </c>
      <c r="U205" s="405" t="str">
        <f t="shared" si="132"/>
        <v>0.724083451712629-5.27932024376703i</v>
      </c>
      <c r="V205" s="731" t="str">
        <f t="shared" ref="V205:V268" si="168">COMPLEX(AEA,0)</f>
        <v>6000</v>
      </c>
      <c r="W205" s="733" t="str">
        <f>IMSUM(COMPLEX(1,0),IMDIV(COMPLEX(0,2*PI()*D205),COMPLEX(2*PI()*'Stability Calculations'!EA_Pole1,0)))</f>
        <v>1+74135.7589703467i</v>
      </c>
      <c r="X205" s="734">
        <f t="shared" si="133"/>
        <v>74135.758977091085</v>
      </c>
      <c r="Y205" s="735">
        <f t="shared" si="134"/>
        <v>1.5707828380276159</v>
      </c>
      <c r="Z205" s="340" t="str">
        <f>IMSUM(COMPLEX(1,0),IMDIV(COMPLEX(0,2*PI()*D205),COMPLEX(2*PI()*'Stability Calculations'!EA_Zero1,0)))</f>
        <v>1+734.017415547987i</v>
      </c>
      <c r="AA205" s="734">
        <f t="shared" si="135"/>
        <v>734.01809673041862</v>
      </c>
      <c r="AB205" s="735">
        <f t="shared" si="136"/>
        <v>1.5694339621423166</v>
      </c>
      <c r="AC205" s="733" t="str">
        <f>IMSUM(COMPLEX(1,0),IMDIV(COMPLEX(0,2*PI()*D205),COMPLEX(2*PI()*'Stability Calculations'!EA_Pole2,0)))</f>
        <v>1+7.39409223240295i</v>
      </c>
      <c r="AD205" s="734">
        <f t="shared" si="137"/>
        <v>7.4614073700128216</v>
      </c>
      <c r="AE205" s="735">
        <f t="shared" si="138"/>
        <v>1.4363688517882547</v>
      </c>
      <c r="AF205" s="732" t="str">
        <f t="shared" si="139"/>
        <v>1.05641632656506-7.89137104520592i</v>
      </c>
      <c r="AG205" s="337">
        <f t="shared" si="140"/>
        <v>7.9617681722182532</v>
      </c>
      <c r="AH205" s="730">
        <f t="shared" si="141"/>
        <v>-1.437717727673554</v>
      </c>
      <c r="AI205" s="731" t="str">
        <f t="shared" ref="AI205:AI268" si="169">COMPLEX(AIL,0)</f>
        <v>10000</v>
      </c>
      <c r="AJ205" s="733" t="str">
        <f t="shared" si="142"/>
        <v>1+69114.9330445156i</v>
      </c>
      <c r="AK205" s="734">
        <f t="shared" si="143"/>
        <v>69114.933051749918</v>
      </c>
      <c r="AL205" s="735">
        <f t="shared" si="144"/>
        <v>1.5707818581416566</v>
      </c>
      <c r="AM205" s="340" t="str">
        <f t="shared" si="145"/>
        <v>1+117.295983004568i</v>
      </c>
      <c r="AN205" s="734">
        <f t="shared" si="146"/>
        <v>117.30024564768782</v>
      </c>
      <c r="AO205" s="735">
        <f t="shared" si="147"/>
        <v>1.5622710921898719</v>
      </c>
      <c r="AP205" s="733" t="str">
        <f t="shared" si="148"/>
        <v>1+5.68904851829893i</v>
      </c>
      <c r="AQ205" s="734">
        <f t="shared" si="149"/>
        <v>5.7762680896543612</v>
      </c>
      <c r="AR205" s="735">
        <f t="shared" si="150"/>
        <v>1.3967975102877803</v>
      </c>
      <c r="AS205" s="732" t="str">
        <f t="shared" si="151"/>
        <v>0.0200696137617366-20.0347665932333i</v>
      </c>
      <c r="AT205" s="337">
        <f t="shared" si="152"/>
        <v>20.034776645491547</v>
      </c>
      <c r="AU205" s="730">
        <f t="shared" si="153"/>
        <v>-1.5697945877950843</v>
      </c>
      <c r="AV205" s="732" t="str">
        <f t="shared" si="154"/>
        <v>-2.54028895303129+0.0570059473645788i</v>
      </c>
      <c r="AW205" s="337">
        <f t="shared" si="155"/>
        <v>8.0998488899672445</v>
      </c>
      <c r="AX205" s="730">
        <f t="shared" si="156"/>
        <v>178.71445644741385</v>
      </c>
      <c r="AY205" s="360">
        <f t="shared" si="157"/>
        <v>-1.2855435525861481</v>
      </c>
      <c r="BB205" s="337">
        <f t="shared" si="158"/>
        <v>-13.96430989733963</v>
      </c>
      <c r="BC205" s="730">
        <f t="shared" si="159"/>
        <v>-89.942604583137097</v>
      </c>
      <c r="BD205" s="351"/>
      <c r="BE205" s="337">
        <f t="shared" ref="BE205:BE268" si="170">20*LOG10(IMABS(M205))</f>
        <v>51.573833519420951</v>
      </c>
      <c r="BF205" s="730">
        <f t="shared" ref="BF205:BF268" si="171">180/PI()*IMARGUMENT(IMPRODUCT(COMPLEX(1,0),M205))</f>
        <v>-72.1183172325063</v>
      </c>
      <c r="BI205" s="351"/>
      <c r="BJ205" s="351"/>
      <c r="BL205" s="405">
        <f t="shared" ref="BL205:BL268" si="172">SUM((AW206&lt;0)*(AW205&gt;0))*D205</f>
        <v>0</v>
      </c>
      <c r="BM205" s="405">
        <f t="shared" si="160"/>
        <v>0</v>
      </c>
      <c r="BN205" s="405">
        <f t="shared" ref="BN205:BN268" si="173">SUM((BB206&lt;0)*(BB205&gt;0))*D205</f>
        <v>0</v>
      </c>
      <c r="BO205" s="405">
        <f t="shared" ref="BO205:BO268" si="174">IF(BN205&gt;0,BC205,0)</f>
        <v>0</v>
      </c>
    </row>
    <row r="206" spans="4:67" ht="13.5" thickBot="1" x14ac:dyDescent="0.25">
      <c r="D206" s="345">
        <v>11749</v>
      </c>
      <c r="E206" s="340" t="str">
        <f t="shared" si="161"/>
        <v>0.1948878206195i</v>
      </c>
      <c r="F206" s="728" t="str">
        <f t="shared" ref="F206:F269" si="175">IMSUM(COMPLEX($B$8,0),IMDIV(COMPLEX(1,0),COMPLEX(0,2*PI()*D206*$B$6)))</f>
        <v>0.005-0.222069744466422i</v>
      </c>
      <c r="G206" s="337" t="str">
        <f t="shared" ref="G206:G269" si="176">IMSUM(COMPLEX($B$9,0),IMDIV(COMPLEX(1,0),COMPLEX(0,2*PI()*D206*$B$7)))</f>
        <v>0.005-0.347339856729531i</v>
      </c>
      <c r="H206" s="338" t="str">
        <f t="shared" ref="H206:H269" si="177">IMDIV(COMPLEX(1,0),IMSUM(IMDIV(COMPLEX(1,0),COMPLEX($B$5,0)), IMDIV(COMPLEX(1,0),G206)))</f>
        <v>0.0956017282362282-0.318737136506626i</v>
      </c>
      <c r="I206" s="338" t="str">
        <f t="shared" ref="I206:I269" si="178">IMSUM(H206,COMPLEX($B$15,0))</f>
        <v>0.105601728236228-0.318737136506626i</v>
      </c>
      <c r="J206" s="337" t="str">
        <f t="shared" ref="J206:J269" si="179">IMDIV(COMPLEX(1,0),IMSUM(IMDIV(COMPLEX(1,0),F206),IMDIV(COMPLEX(1,0),IMSUM(COMPLEX($B$15,0),H206))))</f>
        <v>0.018949853162233-0.133781123853666i</v>
      </c>
      <c r="K206" s="338" t="str">
        <f t="shared" si="162"/>
        <v>0.998466233322222-0.0615176201450441i</v>
      </c>
      <c r="L206" s="732"/>
      <c r="M206" s="732" t="str">
        <f t="shared" si="163"/>
        <v>109.260405966957-352.326872339102i</v>
      </c>
      <c r="N206" s="337">
        <f t="shared" si="164"/>
        <v>0</v>
      </c>
      <c r="O206" s="730" t="str">
        <f t="shared" si="165"/>
        <v>17.9890519717822-147.343644321243i</v>
      </c>
      <c r="P206" s="731" t="str">
        <f t="shared" si="166"/>
        <v>-45.0642162958524-21.2935223989022i</v>
      </c>
      <c r="Q206" s="729" t="str">
        <f t="shared" si="167"/>
        <v>-45.2441068155701-19.8200859556899i</v>
      </c>
      <c r="R206" s="730"/>
      <c r="S206" s="405" t="str">
        <f t="shared" ref="S206:S269" si="180">IMDIV(IMPRODUCT(COMPLEX($B$34,0),M206),IMSUM(COMPLEX(1,0),IMPRODUCT(M206,COMPLEX($B$29,0),K206,COMPLEX($B$34,0))))</f>
        <v>39.5667307072347+0.898298311484585i</v>
      </c>
      <c r="T206" s="405" t="str">
        <f t="shared" ref="T206:T269" si="181">IMDIV(IMPRODUCT(COMPLEX($B$34,0),O206),IMSUM(COMPLEX(1,0),IMPRODUCT(M206,COMPLEX($B$29,0),K206,COMPLEX($B$34,0))))</f>
        <v>15.7311412735388-2.48253661185642i</v>
      </c>
      <c r="U206" s="405" t="str">
        <f t="shared" ref="U206:U269" si="182">IMDIV(IMPRODUCT(COMPLEX($B$34,0),Q206),IMSUM(COMPLEX(1,0),IMPRODUCT(M206,COMPLEX($B$29,0),K206,COMPLEX($B$34,0))))</f>
        <v>0.712647681942608-5.25143371401214i</v>
      </c>
      <c r="V206" s="731" t="str">
        <f t="shared" si="168"/>
        <v>6000</v>
      </c>
      <c r="W206" s="733" t="str">
        <f>IMSUM(COMPLEX(1,0),IMDIV(COMPLEX(0,2*PI()*D206),COMPLEX(2*PI()*'Stability Calculations'!EA_Pole1,0)))</f>
        <v>1+74559.3556157935i</v>
      </c>
      <c r="X206" s="734">
        <f t="shared" ref="X206:X269" si="183">IMABS(W206)</f>
        <v>74559.35562249957</v>
      </c>
      <c r="Y206" s="735">
        <f t="shared" ref="Y206:Y269" si="184">IMARGUMENT(W206)</f>
        <v>1.5707829146618157</v>
      </c>
      <c r="Z206" s="340" t="str">
        <f>IMSUM(COMPLEX(1,0),IMDIV(COMPLEX(0,2*PI()*D206),COMPLEX(2*PI()*'Stability Calculations'!EA_Zero1,0)))</f>
        <v>1+738.21144174053i</v>
      </c>
      <c r="AA206" s="734">
        <f t="shared" ref="AA206:AA269" si="185">IMABS(Z206)</f>
        <v>738.21211905293978</v>
      </c>
      <c r="AB206" s="735">
        <f t="shared" ref="AB206:AB269" si="186">IMARGUMENT(Z206)</f>
        <v>1.5694417021822342</v>
      </c>
      <c r="AC206" s="733" t="str">
        <f>IMSUM(COMPLEX(1,0),IMDIV(COMPLEX(0,2*PI()*D206),COMPLEX(2*PI()*'Stability Calculations'!EA_Pole2,0)))</f>
        <v>1+7.43634057125146i</v>
      </c>
      <c r="AD206" s="734">
        <f t="shared" ref="AD206:AD269" si="187">IMABS(AC206)</f>
        <v>7.5032766903293986</v>
      </c>
      <c r="AE206" s="735">
        <f t="shared" ref="AE206:AE269" si="188">IMARGUMENT(AC206)</f>
        <v>1.4371234885631503</v>
      </c>
      <c r="AF206" s="732" t="str">
        <f t="shared" ref="AF206:AF269" si="189">IMPRODUCT(V206,IMDIV(Z206,IMPRODUCT(W206,AC206)))</f>
        <v>1.04465932293936-7.84811854440444i</v>
      </c>
      <c r="AG206" s="337">
        <f t="shared" ref="AG206:AG269" si="190">IMABS(AF206)</f>
        <v>7.9173403228627857</v>
      </c>
      <c r="AH206" s="730">
        <f t="shared" ref="AH206:AH269" si="191">IMARGUMENT(AF206)</f>
        <v>-1.4384647010427318</v>
      </c>
      <c r="AI206" s="731" t="str">
        <f t="shared" si="169"/>
        <v>10000</v>
      </c>
      <c r="AJ206" s="733" t="str">
        <f t="shared" ref="AJ206:AJ269" si="192">IMSUM(COMPLEX(1,0),IMDIV(COMPLEX(0,2*PI()*D206),COMPLEX(2*PI()*IL_Pole1,0)))</f>
        <v>1+69509.8417120002i</v>
      </c>
      <c r="AK206" s="734">
        <f t="shared" ref="AK206:AK269" si="193">IMABS(AJ206)</f>
        <v>69509.841719193428</v>
      </c>
      <c r="AL206" s="735">
        <f t="shared" ref="AL206:AL269" si="194">IMARGUMENT(AJ206)</f>
        <v>1.5707819403429166</v>
      </c>
      <c r="AM206" s="340" t="str">
        <f t="shared" ref="AM206:AM269" si="195">IMSUM(COMPLEX(1,0),IMDIV(COMPLEX(0,2*PI()*D206),COMPLEX(2*PI()*IL_Zero1,0)))</f>
        <v>1+117.966188390137i</v>
      </c>
      <c r="AN206" s="734">
        <f t="shared" ref="AN206:AN269" si="196">IMABS(AM206)</f>
        <v>117.97042681662762</v>
      </c>
      <c r="AO206" s="735">
        <f t="shared" ref="AO206:AO269" si="197">IMARGUMENT(AM206)</f>
        <v>1.5623195245732338</v>
      </c>
      <c r="AP206" s="733" t="str">
        <f t="shared" ref="AP206:AP269" si="198">IMSUM(COMPLEX(1,0),IMDIV(COMPLEX(0,2*PI()*D206),COMPLEX(2*PI()*IL_Pole2,0)))</f>
        <v>1+5.72155458421915i</v>
      </c>
      <c r="AQ206" s="734">
        <f t="shared" ref="AQ206:AQ269" si="199">IMABS(AP206)</f>
        <v>5.8082860518572232</v>
      </c>
      <c r="AR206" s="735">
        <f t="shared" ref="AR206:AR269" si="200">IMARGUMENT(AP206)</f>
        <v>1.3977663883919289</v>
      </c>
      <c r="AS206" s="732" t="str">
        <f t="shared" ref="AS206:AS269" si="201">_xlfn.SWITCH(IMONLIM_select,0,COMPLEX(1,0),1,IMPRODUCT(gm_IL,IMDIV(COMPLEX(1,0),IMSUM(COMPLEX(1/20000000,0),COMPLEX(0,2*PI()*D206*CISET),COMPLEX(1/RISET,0)))),2,IMPRODUCT(gm_IL,IMDIV(COMPLEX(1,0),IMSUM(COMPLEX(1/20000000,0),COMPLEX(0,2*PI()*D206*CcIL)))),3,IMPRODUCT(AI206,IMDIV(AM206,IMPRODUCT(AJ206,AP206))))</f>
        <v>0.0198422174041439-19.9209426074492i</v>
      </c>
      <c r="AT206" s="337">
        <f t="shared" ref="AT206:AT269" si="202">IMABS(AS206)</f>
        <v>19.920952489348405</v>
      </c>
      <c r="AU206" s="730">
        <f t="shared" ref="AU206:AU269" si="203">IMARGUMENT(AS206)</f>
        <v>-1.5698002790057308</v>
      </c>
      <c r="AV206" s="732" t="str">
        <f t="shared" ref="AV206:AV269" si="204">IMPRODUCT(T206,AS206,COMPLEX($B$15,0),IMPRODUCT(COMPLEX(0.1,0),AF206))</f>
        <v>-2.51116039881226+0.0582488981341201i</v>
      </c>
      <c r="AW206" s="337">
        <f t="shared" ref="AW206:AW269" si="205">20*LOG10(IMABS(AV206))</f>
        <v>7.9998251917319134</v>
      </c>
      <c r="AX206" s="730">
        <f t="shared" ref="AX206:AX269" si="206">(180/PI())*IMARGUMENT(AV206)</f>
        <v>178.67120489467899</v>
      </c>
      <c r="AY206" s="360">
        <f t="shared" ref="AY206:AY269" si="207">IF(AX206&gt;0,AX206-180,AX206+180)</f>
        <v>-1.3287951053210065</v>
      </c>
      <c r="BB206" s="337">
        <f t="shared" ref="BB206:BB269" si="208">20*LOG10(IMPRODUCT(COMPLEX($B$15,0),IMABS(AS206)))</f>
        <v>-14.013798006018842</v>
      </c>
      <c r="BC206" s="730">
        <f t="shared" ref="BC206:BC269" si="209">(180/PI())*IMARGUMENT(AS206)</f>
        <v>-89.942930665487467</v>
      </c>
      <c r="BD206" s="351"/>
      <c r="BE206" s="337">
        <f t="shared" si="170"/>
        <v>51.337689637365962</v>
      </c>
      <c r="BF206" s="730">
        <f t="shared" si="171"/>
        <v>-72.770766611702598</v>
      </c>
      <c r="BI206" s="351"/>
      <c r="BJ206" s="351"/>
      <c r="BL206" s="405">
        <f t="shared" si="172"/>
        <v>0</v>
      </c>
      <c r="BM206" s="405">
        <f t="shared" si="160"/>
        <v>0</v>
      </c>
      <c r="BN206" s="405">
        <f t="shared" si="173"/>
        <v>0</v>
      </c>
      <c r="BO206" s="405">
        <f t="shared" si="174"/>
        <v>0</v>
      </c>
    </row>
    <row r="207" spans="4:67" ht="13.5" thickBot="1" x14ac:dyDescent="0.25">
      <c r="D207" s="345">
        <v>11817.5</v>
      </c>
      <c r="E207" s="340" t="str">
        <f t="shared" si="161"/>
        <v>0.19602407185045i</v>
      </c>
      <c r="F207" s="728" t="str">
        <f t="shared" si="175"/>
        <v>0.005-0.220782519799957i</v>
      </c>
      <c r="G207" s="337" t="str">
        <f t="shared" si="176"/>
        <v>0.005-0.345326505328137i</v>
      </c>
      <c r="H207" s="338" t="str">
        <f t="shared" si="177"/>
        <v>0.0946316988367143-0.317163777050494i</v>
      </c>
      <c r="I207" s="338" t="str">
        <f t="shared" si="178"/>
        <v>0.104631698836714-0.317163777050494i</v>
      </c>
      <c r="J207" s="337" t="str">
        <f t="shared" si="179"/>
        <v>0.0187806333894707-0.133024453472364i</v>
      </c>
      <c r="K207" s="338" t="str">
        <f t="shared" si="162"/>
        <v>0.998448296597222-0.061876285306329i</v>
      </c>
      <c r="L207" s="732"/>
      <c r="M207" s="732" t="str">
        <f t="shared" si="163"/>
        <v>102.558398128626-344.032057363605i</v>
      </c>
      <c r="N207" s="337">
        <f t="shared" si="164"/>
        <v>0</v>
      </c>
      <c r="O207" s="730" t="str">
        <f t="shared" si="165"/>
        <v>16.0419541041625-143.512799807634i</v>
      </c>
      <c r="P207" s="731" t="str">
        <f t="shared" si="166"/>
        <v>-43.8385647315014-20.1039148036328i</v>
      </c>
      <c r="Q207" s="729" t="str">
        <f t="shared" si="167"/>
        <v>-43.998984272543-18.6687868055566i</v>
      </c>
      <c r="R207" s="730"/>
      <c r="S207" s="405" t="str">
        <f t="shared" si="180"/>
        <v>39.5730717847743+0.865793431834711i</v>
      </c>
      <c r="T207" s="405" t="str">
        <f t="shared" si="181"/>
        <v>15.7275904360988-2.48207869726849i</v>
      </c>
      <c r="U207" s="405" t="str">
        <f t="shared" si="182"/>
        <v>0.70110314701385-5.22310531038526i</v>
      </c>
      <c r="V207" s="731" t="str">
        <f t="shared" si="168"/>
        <v>6000</v>
      </c>
      <c r="W207" s="733" t="str">
        <f>IMSUM(COMPLEX(1,0),IMDIV(COMPLEX(0,2*PI()*D207),COMPLEX(2*PI()*'Stability Calculations'!EA_Pole1,0)))</f>
        <v>1+74994.0577912708i</v>
      </c>
      <c r="X207" s="734">
        <f t="shared" si="183"/>
        <v>74994.057797938003</v>
      </c>
      <c r="Y207" s="735">
        <f t="shared" si="184"/>
        <v>1.5707829924050878</v>
      </c>
      <c r="Z207" s="340" t="str">
        <f>IMSUM(COMPLEX(1,0),IMDIV(COMPLEX(0,2*PI()*D207),COMPLEX(2*PI()*'Stability Calculations'!EA_Zero1,0)))</f>
        <v>1+742.515423675948i</v>
      </c>
      <c r="AA207" s="734">
        <f t="shared" si="185"/>
        <v>742.51609706232807</v>
      </c>
      <c r="AB207" s="735">
        <f t="shared" si="186"/>
        <v>1.5694495542383744</v>
      </c>
      <c r="AC207" s="733" t="str">
        <f>IMSUM(COMPLEX(1,0),IMDIV(COMPLEX(0,2*PI()*D207),COMPLEX(2*PI()*'Stability Calculations'!EA_Pole2,0)))</f>
        <v>1+7.47969654445179i</v>
      </c>
      <c r="AD207" s="734">
        <f t="shared" si="187"/>
        <v>7.5462481006844744</v>
      </c>
      <c r="AE207" s="735">
        <f t="shared" si="188"/>
        <v>1.4378892031849366</v>
      </c>
      <c r="AF207" s="732" t="str">
        <f t="shared" si="189"/>
        <v>1.03279576576043-7.804213117158i</v>
      </c>
      <c r="AG207" s="337">
        <f t="shared" si="190"/>
        <v>7.8722556787615607</v>
      </c>
      <c r="AH207" s="730">
        <f t="shared" si="191"/>
        <v>-1.4392226413516507</v>
      </c>
      <c r="AI207" s="731" t="str">
        <f t="shared" si="169"/>
        <v>10000</v>
      </c>
      <c r="AJ207" s="733" t="str">
        <f t="shared" si="192"/>
        <v>1+69915.1037902428i</v>
      </c>
      <c r="AK207" s="734">
        <f t="shared" si="193"/>
        <v>69915.103797394346</v>
      </c>
      <c r="AL207" s="735">
        <f t="shared" si="194"/>
        <v>1.5707820237338166</v>
      </c>
      <c r="AM207" s="340" t="str">
        <f t="shared" si="195"/>
        <v>1+118.653964703416i</v>
      </c>
      <c r="AN207" s="734">
        <f t="shared" si="196"/>
        <v>118.65817856279223</v>
      </c>
      <c r="AO207" s="735">
        <f t="shared" si="197"/>
        <v>1.5623686579244418</v>
      </c>
      <c r="AP207" s="733" t="str">
        <f t="shared" si="198"/>
        <v>1+5.75491286909608i</v>
      </c>
      <c r="AQ207" s="734">
        <f t="shared" si="199"/>
        <v>5.8411490420025816</v>
      </c>
      <c r="AR207" s="735">
        <f t="shared" si="200"/>
        <v>1.3987496237745374</v>
      </c>
      <c r="AS207" s="732" t="str">
        <f t="shared" si="201"/>
        <v>0.0196128539527806-19.805471324651i</v>
      </c>
      <c r="AT207" s="337">
        <f t="shared" si="202"/>
        <v>19.805481035703554</v>
      </c>
      <c r="AU207" s="730">
        <f t="shared" si="203"/>
        <v>-1.5698060525812605</v>
      </c>
      <c r="AV207" s="732" t="str">
        <f t="shared" si="204"/>
        <v>-2.48178488842199+0.0594797126497864i</v>
      </c>
      <c r="AW207" s="337">
        <f t="shared" si="205"/>
        <v>7.8977765590888938</v>
      </c>
      <c r="AX207" s="730">
        <f t="shared" si="206"/>
        <v>178.62708317574146</v>
      </c>
      <c r="AY207" s="360">
        <f t="shared" si="207"/>
        <v>-1.3729168242585388</v>
      </c>
      <c r="BB207" s="337">
        <f t="shared" si="208"/>
        <v>-14.064292099665231</v>
      </c>
      <c r="BC207" s="730">
        <f t="shared" si="209"/>
        <v>-89.94326146699801</v>
      </c>
      <c r="BD207" s="351"/>
      <c r="BE207" s="337">
        <f t="shared" si="170"/>
        <v>51.101729968524559</v>
      </c>
      <c r="BF207" s="730">
        <f t="shared" si="171"/>
        <v>-73.400307818917184</v>
      </c>
      <c r="BI207" s="351"/>
      <c r="BJ207" s="351"/>
      <c r="BL207" s="405">
        <f t="shared" si="172"/>
        <v>0</v>
      </c>
      <c r="BM207" s="405">
        <f t="shared" si="160"/>
        <v>0</v>
      </c>
      <c r="BN207" s="405">
        <f t="shared" si="173"/>
        <v>0</v>
      </c>
      <c r="BO207" s="405">
        <f t="shared" si="174"/>
        <v>0</v>
      </c>
    </row>
    <row r="208" spans="4:67" ht="13.5" thickBot="1" x14ac:dyDescent="0.25">
      <c r="D208" s="345">
        <v>11886</v>
      </c>
      <c r="E208" s="340" t="str">
        <f t="shared" si="161"/>
        <v>0.197160323081401i</v>
      </c>
      <c r="F208" s="728" t="str">
        <f t="shared" si="175"/>
        <v>0.005-0.219510131897694i</v>
      </c>
      <c r="G208" s="337" t="str">
        <f t="shared" si="176"/>
        <v>0.005-0.343336360147675i</v>
      </c>
      <c r="H208" s="338" t="str">
        <f t="shared" si="177"/>
        <v>0.0936767552260697-0.315604312695695i</v>
      </c>
      <c r="I208" s="338" t="str">
        <f t="shared" si="178"/>
        <v>0.10367675522607-0.315604312695695i</v>
      </c>
      <c r="J208" s="337" t="str">
        <f t="shared" si="179"/>
        <v>0.0186142845287328-0.13227619117702i</v>
      </c>
      <c r="K208" s="338" t="str">
        <f t="shared" si="162"/>
        <v>0.9984302556-0.0622349504676138i</v>
      </c>
      <c r="L208" s="732"/>
      <c r="M208" s="732" t="str">
        <f t="shared" si="163"/>
        <v>96.4123101550154-336.066048611645i</v>
      </c>
      <c r="N208" s="337">
        <f t="shared" si="164"/>
        <v>0</v>
      </c>
      <c r="O208" s="730" t="str">
        <f t="shared" si="165"/>
        <v>14.2856001503469-139.858593863914i</v>
      </c>
      <c r="P208" s="731" t="str">
        <f t="shared" si="166"/>
        <v>-42.6588907209618-19.0086822191871i</v>
      </c>
      <c r="Q208" s="729" t="str">
        <f t="shared" si="167"/>
        <v>-42.8017467224653-17.6100962805479i</v>
      </c>
      <c r="R208" s="730"/>
      <c r="S208" s="405" t="str">
        <f t="shared" si="180"/>
        <v>39.579285396196+0.833473904934728i</v>
      </c>
      <c r="T208" s="405" t="str">
        <f t="shared" si="181"/>
        <v>15.7240838487279-2.48169346055496i</v>
      </c>
      <c r="U208" s="405" t="str">
        <f t="shared" si="182"/>
        <v>0.689747994911633-5.19506566669779i</v>
      </c>
      <c r="V208" s="731" t="str">
        <f t="shared" si="168"/>
        <v>6000</v>
      </c>
      <c r="W208" s="733" t="str">
        <f>IMSUM(COMPLEX(1,0),IMDIV(COMPLEX(0,2*PI()*D208),COMPLEX(2*PI()*'Stability Calculations'!EA_Pole1,0)))</f>
        <v>1+75428.759966748i</v>
      </c>
      <c r="X208" s="734">
        <f t="shared" si="183"/>
        <v>75428.759973376771</v>
      </c>
      <c r="Y208" s="735">
        <f t="shared" si="184"/>
        <v>1.5707830692522777</v>
      </c>
      <c r="Z208" s="340" t="str">
        <f>IMSUM(COMPLEX(1,0),IMDIV(COMPLEX(0,2*PI()*D208),COMPLEX(2*PI()*'Stability Calculations'!EA_Zero1,0)))</f>
        <v>1+746.819405611366i</v>
      </c>
      <c r="AA208" s="734">
        <f t="shared" si="185"/>
        <v>746.82007511696827</v>
      </c>
      <c r="AB208" s="735">
        <f t="shared" si="186"/>
        <v>1.5694573157905813</v>
      </c>
      <c r="AC208" s="733" t="str">
        <f>IMSUM(COMPLEX(1,0),IMDIV(COMPLEX(0,2*PI()*D208),COMPLEX(2*PI()*'Stability Calculations'!EA_Pole2,0)))</f>
        <v>1+7.52305251765212i</v>
      </c>
      <c r="AD208" s="734">
        <f t="shared" si="187"/>
        <v>7.5892238854412444</v>
      </c>
      <c r="AE208" s="735">
        <f t="shared" si="188"/>
        <v>1.4386462461641893</v>
      </c>
      <c r="AF208" s="732" t="str">
        <f t="shared" si="189"/>
        <v>1.02113198061018-7.7607871964988i</v>
      </c>
      <c r="AG208" s="337">
        <f t="shared" si="190"/>
        <v>7.8276770775987288</v>
      </c>
      <c r="AH208" s="730">
        <f t="shared" si="191"/>
        <v>-1.4399719996258862</v>
      </c>
      <c r="AI208" s="731" t="str">
        <f t="shared" si="169"/>
        <v>10000</v>
      </c>
      <c r="AJ208" s="733" t="str">
        <f t="shared" si="192"/>
        <v>1+70320.3658684854i</v>
      </c>
      <c r="AK208" s="734">
        <f t="shared" si="193"/>
        <v>70320.365875595729</v>
      </c>
      <c r="AL208" s="735">
        <f t="shared" si="194"/>
        <v>1.5707821061635392</v>
      </c>
      <c r="AM208" s="340" t="str">
        <f t="shared" si="195"/>
        <v>1+119.341741016696i</v>
      </c>
      <c r="AN208" s="734">
        <f t="shared" si="196"/>
        <v>119.34593059210749</v>
      </c>
      <c r="AO208" s="735">
        <f t="shared" si="197"/>
        <v>1.5624172249965165</v>
      </c>
      <c r="AP208" s="733" t="str">
        <f t="shared" si="198"/>
        <v>1+5.78827115397301i</v>
      </c>
      <c r="AQ208" s="734">
        <f t="shared" si="199"/>
        <v>5.8740176159010655</v>
      </c>
      <c r="AR208" s="735">
        <f t="shared" si="200"/>
        <v>1.3997218565309659</v>
      </c>
      <c r="AS208" s="732" t="str">
        <f t="shared" si="201"/>
        <v>0.0193874445799656-19.6913309790452i</v>
      </c>
      <c r="AT208" s="337">
        <f t="shared" si="202"/>
        <v>19.691340523166843</v>
      </c>
      <c r="AU208" s="730">
        <f t="shared" si="203"/>
        <v>-1.5698117596096695</v>
      </c>
      <c r="AV208" s="732" t="str">
        <f t="shared" si="204"/>
        <v>-2.45292072997167+0.0606667636688235i</v>
      </c>
      <c r="AW208" s="337">
        <f t="shared" si="205"/>
        <v>7.7963260139603276</v>
      </c>
      <c r="AX208" s="730">
        <f t="shared" si="206"/>
        <v>178.58322326006532</v>
      </c>
      <c r="AY208" s="360">
        <f t="shared" si="207"/>
        <v>-1.4167767399346758</v>
      </c>
      <c r="BB208" s="337">
        <f t="shared" si="208"/>
        <v>-14.114494349663007</v>
      </c>
      <c r="BC208" s="730">
        <f t="shared" si="209"/>
        <v>-89.943588455639414</v>
      </c>
      <c r="BD208" s="351"/>
      <c r="BE208" s="337">
        <f t="shared" si="170"/>
        <v>50.871981441365939</v>
      </c>
      <c r="BF208" s="730">
        <f t="shared" si="171"/>
        <v>-73.99260843823005</v>
      </c>
      <c r="BI208" s="351"/>
      <c r="BJ208" s="351"/>
      <c r="BL208" s="405">
        <f t="shared" si="172"/>
        <v>0</v>
      </c>
      <c r="BM208" s="405">
        <f t="shared" si="160"/>
        <v>0</v>
      </c>
      <c r="BN208" s="405">
        <f t="shared" si="173"/>
        <v>0</v>
      </c>
      <c r="BO208" s="405">
        <f t="shared" si="174"/>
        <v>0</v>
      </c>
    </row>
    <row r="209" spans="4:67" ht="13.5" thickBot="1" x14ac:dyDescent="0.25">
      <c r="D209" s="345">
        <v>11954.5</v>
      </c>
      <c r="E209" s="340" t="str">
        <f t="shared" si="161"/>
        <v>0.198296574312351i</v>
      </c>
      <c r="F209" s="728" t="str">
        <f t="shared" si="175"/>
        <v>0.005-0.218252325712994i</v>
      </c>
      <c r="G209" s="337" t="str">
        <f t="shared" si="176"/>
        <v>0.005-0.341369022269042i</v>
      </c>
      <c r="H209" s="338" t="str">
        <f t="shared" si="177"/>
        <v>0.0927365949485834-0.314058589097825i</v>
      </c>
      <c r="I209" s="338" t="str">
        <f t="shared" si="178"/>
        <v>0.102736594948583-0.314058589097825i</v>
      </c>
      <c r="J209" s="337" t="str">
        <f t="shared" si="179"/>
        <v>0.018450742256413-0.131536199433113i</v>
      </c>
      <c r="K209" s="338" t="str">
        <f t="shared" si="162"/>
        <v>0.998412110330556-0.0625936156288986i</v>
      </c>
      <c r="L209" s="732"/>
      <c r="M209" s="732" t="str">
        <f t="shared" si="163"/>
        <v>90.7657388381835-328.417939333687i</v>
      </c>
      <c r="N209" s="337">
        <f t="shared" si="164"/>
        <v>0</v>
      </c>
      <c r="O209" s="730" t="str">
        <f t="shared" si="165"/>
        <v>12.6987354570358-136.371933901352i</v>
      </c>
      <c r="P209" s="731" t="str">
        <f t="shared" si="166"/>
        <v>-41.5241523125917-17.9985350765413i</v>
      </c>
      <c r="Q209" s="729" t="str">
        <f t="shared" si="167"/>
        <v>-41.6511396671622-16.6348157375278i</v>
      </c>
      <c r="R209" s="730"/>
      <c r="S209" s="405" t="str">
        <f t="shared" si="180"/>
        <v>39.5853741449339+0.801337057154121i</v>
      </c>
      <c r="T209" s="405" t="str">
        <f t="shared" si="181"/>
        <v>15.7206204835652-2.48137984305494i</v>
      </c>
      <c r="U209" s="405" t="str">
        <f t="shared" si="182"/>
        <v>0.678578161599161-5.16731060622985i</v>
      </c>
      <c r="V209" s="731" t="str">
        <f t="shared" si="168"/>
        <v>6000</v>
      </c>
      <c r="W209" s="733" t="str">
        <f>IMSUM(COMPLEX(1,0),IMDIV(COMPLEX(0,2*PI()*D209),COMPLEX(2*PI()*'Stability Calculations'!EA_Pole1,0)))</f>
        <v>1+75863.4621422252i</v>
      </c>
      <c r="X209" s="734">
        <f t="shared" si="183"/>
        <v>75863.462148815976</v>
      </c>
      <c r="Y209" s="735">
        <f t="shared" si="184"/>
        <v>1.5707831452187899</v>
      </c>
      <c r="Z209" s="340" t="str">
        <f>IMSUM(COMPLEX(1,0),IMDIV(COMPLEX(0,2*PI()*D209),COMPLEX(2*PI()*'Stability Calculations'!EA_Zero1,0)))</f>
        <v>1+751.123387546784i</v>
      </c>
      <c r="AA209" s="734">
        <f t="shared" si="185"/>
        <v>751.12405321608242</v>
      </c>
      <c r="AB209" s="735">
        <f t="shared" si="186"/>
        <v>1.5694649883946301</v>
      </c>
      <c r="AC209" s="733" t="str">
        <f>IMSUM(COMPLEX(1,0),IMDIV(COMPLEX(0,2*PI()*D209),COMPLEX(2*PI()*'Stability Calculations'!EA_Pole2,0)))</f>
        <v>1+7.56640849085246i</v>
      </c>
      <c r="AD209" s="734">
        <f t="shared" si="187"/>
        <v>7.6322039707049374</v>
      </c>
      <c r="AE209" s="735">
        <f t="shared" si="188"/>
        <v>1.4393947631265278</v>
      </c>
      <c r="AF209" s="732" t="str">
        <f t="shared" si="189"/>
        <v>1.0096635335194-7.71783312562902i</v>
      </c>
      <c r="AG209" s="337">
        <f t="shared" si="190"/>
        <v>7.7835961229996693</v>
      </c>
      <c r="AH209" s="730">
        <f t="shared" si="191"/>
        <v>-1.4407129199506878</v>
      </c>
      <c r="AI209" s="731" t="str">
        <f t="shared" si="169"/>
        <v>10000</v>
      </c>
      <c r="AJ209" s="733" t="str">
        <f t="shared" si="192"/>
        <v>1+70725.627946728i</v>
      </c>
      <c r="AK209" s="734">
        <f t="shared" si="193"/>
        <v>70725.627953797579</v>
      </c>
      <c r="AL209" s="735">
        <f t="shared" si="194"/>
        <v>1.5707821876486074</v>
      </c>
      <c r="AM209" s="340" t="str">
        <f t="shared" si="195"/>
        <v>1+120.029517329976i</v>
      </c>
      <c r="AN209" s="734">
        <f t="shared" si="196"/>
        <v>120.03368289970533</v>
      </c>
      <c r="AO209" s="735">
        <f t="shared" si="197"/>
        <v>1.5624652355229893</v>
      </c>
      <c r="AP209" s="733" t="str">
        <f t="shared" si="198"/>
        <v>1+5.82162943884993i</v>
      </c>
      <c r="AQ209" s="734">
        <f t="shared" si="199"/>
        <v>5.9068916803412055</v>
      </c>
      <c r="AR209" s="735">
        <f t="shared" si="200"/>
        <v>1.4006832685089292</v>
      </c>
      <c r="AS209" s="732" t="str">
        <f t="shared" si="201"/>
        <v>0.0191658989175729-19.5784986916713i</v>
      </c>
      <c r="AT209" s="337">
        <f t="shared" si="202"/>
        <v>19.578508072666217</v>
      </c>
      <c r="AU209" s="730">
        <f t="shared" si="203"/>
        <v>-1.5698174012349133</v>
      </c>
      <c r="AV209" s="732" t="str">
        <f t="shared" si="204"/>
        <v>-2.42455612044439+0.0618115433684869i</v>
      </c>
      <c r="AW209" s="337">
        <f t="shared" si="205"/>
        <v>7.695466566880417</v>
      </c>
      <c r="AX209" s="730">
        <f t="shared" si="206"/>
        <v>178.53961986528699</v>
      </c>
      <c r="AY209" s="360">
        <f t="shared" si="207"/>
        <v>-1.4603801347130059</v>
      </c>
      <c r="BB209" s="337">
        <f t="shared" si="208"/>
        <v>-14.164408110203015</v>
      </c>
      <c r="BC209" s="730">
        <f t="shared" si="209"/>
        <v>-89.943911696955482</v>
      </c>
      <c r="BD209" s="351"/>
      <c r="BE209" s="337">
        <f t="shared" si="170"/>
        <v>50.648201080393427</v>
      </c>
      <c r="BF209" s="730">
        <f t="shared" si="171"/>
        <v>-74.550656476270944</v>
      </c>
      <c r="BI209" s="351"/>
      <c r="BJ209" s="351"/>
      <c r="BL209" s="405">
        <f t="shared" si="172"/>
        <v>0</v>
      </c>
      <c r="BM209" s="405">
        <f t="shared" si="160"/>
        <v>0</v>
      </c>
      <c r="BN209" s="405">
        <f t="shared" si="173"/>
        <v>0</v>
      </c>
      <c r="BO209" s="405">
        <f t="shared" si="174"/>
        <v>0</v>
      </c>
    </row>
    <row r="210" spans="4:67" ht="13.5" thickBot="1" x14ac:dyDescent="0.25">
      <c r="D210" s="345">
        <v>12023</v>
      </c>
      <c r="E210" s="340" t="str">
        <f t="shared" si="161"/>
        <v>0.199432825543301i</v>
      </c>
      <c r="F210" s="728" t="str">
        <f t="shared" si="175"/>
        <v>0.005-0.217008852011643i</v>
      </c>
      <c r="G210" s="337" t="str">
        <f t="shared" si="176"/>
        <v>0.005-0.339424101864365i</v>
      </c>
      <c r="H210" s="338" t="str">
        <f t="shared" si="177"/>
        <v>0.0918109228546968-0.312526453400014i</v>
      </c>
      <c r="I210" s="338" t="str">
        <f t="shared" si="178"/>
        <v>0.101810922854697-0.312526453400014i</v>
      </c>
      <c r="J210" s="337" t="str">
        <f t="shared" si="179"/>
        <v>0.0182899440331687-0.130804343647362i</v>
      </c>
      <c r="K210" s="338" t="str">
        <f t="shared" si="162"/>
        <v>0.998393860788889-0.0629522807901835i</v>
      </c>
      <c r="L210" s="732"/>
      <c r="M210" s="732" t="str">
        <f t="shared" si="163"/>
        <v>85.5688456971417-321.075885586802i</v>
      </c>
      <c r="N210" s="337">
        <f t="shared" si="164"/>
        <v>0</v>
      </c>
      <c r="O210" s="730" t="str">
        <f t="shared" si="165"/>
        <v>11.2627669935712-133.043917804574i</v>
      </c>
      <c r="P210" s="731" t="str">
        <f t="shared" si="166"/>
        <v>-40.4330710763935-17.0652366758597i</v>
      </c>
      <c r="Q210" s="729" t="str">
        <f t="shared" si="167"/>
        <v>-40.5456987463294-15.7347974978139i</v>
      </c>
      <c r="R210" s="730"/>
      <c r="S210" s="405" t="str">
        <f t="shared" si="180"/>
        <v>39.5913405658857+0.769380262644572i</v>
      </c>
      <c r="T210" s="405" t="str">
        <f t="shared" si="181"/>
        <v>15.7171993398125-2.48113680497449i</v>
      </c>
      <c r="U210" s="405" t="str">
        <f t="shared" si="182"/>
        <v>0.667589690020496-5.13983602684611i</v>
      </c>
      <c r="V210" s="731" t="str">
        <f t="shared" si="168"/>
        <v>6000</v>
      </c>
      <c r="W210" s="733" t="str">
        <f>IMSUM(COMPLEX(1,0),IMDIV(COMPLEX(0,2*PI()*D210),COMPLEX(2*PI()*'Stability Calculations'!EA_Pole1,0)))</f>
        <v>1+76298.1643177024i</v>
      </c>
      <c r="X210" s="734">
        <f t="shared" si="183"/>
        <v>76298.164324255646</v>
      </c>
      <c r="Y210" s="735">
        <f t="shared" si="184"/>
        <v>1.5707832203196768</v>
      </c>
      <c r="Z210" s="340" t="str">
        <f>IMSUM(COMPLEX(1,0),IMDIV(COMPLEX(0,2*PI()*D210),COMPLEX(2*PI()*'Stability Calculations'!EA_Zero1,0)))</f>
        <v>1+755.427369482202i</v>
      </c>
      <c r="AA210" s="734">
        <f t="shared" si="185"/>
        <v>755.42803135891074</v>
      </c>
      <c r="AB210" s="735">
        <f t="shared" si="186"/>
        <v>1.5694725735708404</v>
      </c>
      <c r="AC210" s="733" t="str">
        <f>IMSUM(COMPLEX(1,0),IMDIV(COMPLEX(0,2*PI()*D210),COMPLEX(2*PI()*'Stability Calculations'!EA_Pole2,0)))</f>
        <v>1+7.60976446405279i</v>
      </c>
      <c r="AD210" s="734">
        <f t="shared" si="187"/>
        <v>7.6751882842286445</v>
      </c>
      <c r="AE210" s="735">
        <f t="shared" si="188"/>
        <v>1.4401348964740177</v>
      </c>
      <c r="AF210" s="732" t="str">
        <f t="shared" si="189"/>
        <v>0.998386112124024-7.67534340626652i</v>
      </c>
      <c r="AG210" s="337">
        <f t="shared" si="190"/>
        <v>7.7400046016136876</v>
      </c>
      <c r="AH210" s="730">
        <f t="shared" si="191"/>
        <v>-1.4414455432228541</v>
      </c>
      <c r="AI210" s="731" t="str">
        <f t="shared" si="169"/>
        <v>10000</v>
      </c>
      <c r="AJ210" s="733" t="str">
        <f t="shared" si="192"/>
        <v>1+71130.8900249705i</v>
      </c>
      <c r="AK210" s="734">
        <f t="shared" si="193"/>
        <v>71130.890031999792</v>
      </c>
      <c r="AL210" s="735">
        <f t="shared" si="194"/>
        <v>1.5707822682051673</v>
      </c>
      <c r="AM210" s="340" t="str">
        <f t="shared" si="195"/>
        <v>1+120.717293643256i</v>
      </c>
      <c r="AN210" s="734">
        <f t="shared" si="196"/>
        <v>120.72143548082957</v>
      </c>
      <c r="AO210" s="735">
        <f t="shared" si="197"/>
        <v>1.5625126990155929</v>
      </c>
      <c r="AP210" s="733" t="str">
        <f t="shared" si="198"/>
        <v>1+5.85498772372686i</v>
      </c>
      <c r="AQ210" s="734">
        <f t="shared" si="199"/>
        <v>5.9397711441597005</v>
      </c>
      <c r="AR210" s="735">
        <f t="shared" si="200"/>
        <v>1.4016340376107141</v>
      </c>
      <c r="AS210" s="732" t="str">
        <f t="shared" si="201"/>
        <v>0.0189481291644391-19.4669521049697i</v>
      </c>
      <c r="AT210" s="337">
        <f t="shared" si="202"/>
        <v>19.466961326534324</v>
      </c>
      <c r="AU210" s="730">
        <f t="shared" si="203"/>
        <v>-1.5698229785748772</v>
      </c>
      <c r="AV210" s="732" t="str">
        <f t="shared" si="204"/>
        <v>-2.39667959516407+0.0629154869337216i</v>
      </c>
      <c r="AW210" s="337">
        <f t="shared" si="205"/>
        <v>7.5951913495674077</v>
      </c>
      <c r="AX210" s="730">
        <f t="shared" si="206"/>
        <v>178.49626784845617</v>
      </c>
      <c r="AY210" s="360">
        <f t="shared" si="207"/>
        <v>-1.5037321515438293</v>
      </c>
      <c r="BB210" s="337">
        <f t="shared" si="208"/>
        <v>-14.214036677981509</v>
      </c>
      <c r="BC210" s="730">
        <f t="shared" si="209"/>
        <v>-89.944231254996325</v>
      </c>
      <c r="BD210" s="351"/>
      <c r="BE210" s="337">
        <f t="shared" si="170"/>
        <v>50.430152999255043</v>
      </c>
      <c r="BF210" s="730">
        <f t="shared" si="171"/>
        <v>-75.077144920394318</v>
      </c>
      <c r="BI210" s="351"/>
      <c r="BJ210" s="351"/>
      <c r="BL210" s="405">
        <f t="shared" si="172"/>
        <v>0</v>
      </c>
      <c r="BM210" s="405">
        <f t="shared" si="160"/>
        <v>0</v>
      </c>
      <c r="BN210" s="405">
        <f t="shared" si="173"/>
        <v>0</v>
      </c>
      <c r="BO210" s="405">
        <f t="shared" si="174"/>
        <v>0</v>
      </c>
    </row>
    <row r="211" spans="4:67" ht="13.5" thickBot="1" x14ac:dyDescent="0.25">
      <c r="D211" s="345">
        <v>12093</v>
      </c>
      <c r="E211" s="340" t="str">
        <f t="shared" si="161"/>
        <v>0.200593958188068i</v>
      </c>
      <c r="F211" s="728" t="str">
        <f t="shared" si="175"/>
        <v>0.005-0.215752702202596i</v>
      </c>
      <c r="G211" s="337" t="str">
        <f t="shared" si="176"/>
        <v>0.005-0.337459354727136i</v>
      </c>
      <c r="H211" s="338" t="str">
        <f t="shared" si="177"/>
        <v>0.0908796484059853-0.310974647265296i</v>
      </c>
      <c r="I211" s="338" t="str">
        <f t="shared" si="178"/>
        <v>0.100879648405985-0.310974647265296i</v>
      </c>
      <c r="J211" s="337" t="str">
        <f t="shared" si="179"/>
        <v>0.0181283962458887-0.130064729905983i</v>
      </c>
      <c r="K211" s="338" t="str">
        <f t="shared" si="162"/>
        <v>0.9983751039-0.0633187999331023i</v>
      </c>
      <c r="L211" s="732"/>
      <c r="M211" s="732" t="str">
        <f t="shared" si="163"/>
        <v>80.6768396562359-313.876371854034i</v>
      </c>
      <c r="N211" s="337">
        <f t="shared" si="164"/>
        <v>0</v>
      </c>
      <c r="O211" s="730" t="str">
        <f t="shared" si="165"/>
        <v>9.93429810185-129.797951911979i</v>
      </c>
      <c r="P211" s="731" t="str">
        <f t="shared" si="166"/>
        <v>-39.3617038119105-16.1832866007484i</v>
      </c>
      <c r="Q211" s="729" t="str">
        <f t="shared" si="167"/>
        <v>-39.4610467929289-14.8853070816287i</v>
      </c>
      <c r="R211" s="730"/>
      <c r="S211" s="405" t="str">
        <f t="shared" si="180"/>
        <v>39.5973138316117+0.736907011383908i</v>
      </c>
      <c r="T211" s="405" t="str">
        <f t="shared" si="181"/>
        <v>15.7137458848486-2.48096029684564i</v>
      </c>
      <c r="U211" s="405" t="str">
        <f t="shared" si="182"/>
        <v>0.656543947965267-5.1120453832438i</v>
      </c>
      <c r="V211" s="731" t="str">
        <f t="shared" si="168"/>
        <v>6000</v>
      </c>
      <c r="W211" s="733" t="str">
        <f>IMSUM(COMPLEX(1,0),IMDIV(COMPLEX(0,2*PI()*D211),COMPLEX(2*PI()*'Stability Calculations'!EA_Pole1,0)))</f>
        <v>1+76742.3855189199i</v>
      </c>
      <c r="X211" s="734">
        <f t="shared" si="183"/>
        <v>76742.385525435195</v>
      </c>
      <c r="Y211" s="735">
        <f t="shared" si="184"/>
        <v>1.5707832961861505</v>
      </c>
      <c r="Z211" s="340" t="str">
        <f>IMSUM(COMPLEX(1,0),IMDIV(COMPLEX(0,2*PI()*D211),COMPLEX(2*PI()*'Stability Calculations'!EA_Zero1,0)))</f>
        <v>1+759.825599197227i</v>
      </c>
      <c r="AA211" s="734">
        <f t="shared" si="185"/>
        <v>759.82625724268371</v>
      </c>
      <c r="AB211" s="735">
        <f t="shared" si="186"/>
        <v>1.569480236071326</v>
      </c>
      <c r="AC211" s="733" t="str">
        <f>IMSUM(COMPLEX(1,0),IMDIV(COMPLEX(0,2*PI()*D211),COMPLEX(2*PI()*'Stability Calculations'!EA_Pole2,0)))</f>
        <v>1+7.65406983812612i</v>
      </c>
      <c r="AD211" s="734">
        <f t="shared" si="187"/>
        <v>7.7191181547448799</v>
      </c>
      <c r="AE211" s="735">
        <f t="shared" si="188"/>
        <v>1.4408827210292403</v>
      </c>
      <c r="AF211" s="732" t="str">
        <f t="shared" si="189"/>
        <v>0.987054721474992-7.6323953291208i</v>
      </c>
      <c r="AG211" s="337">
        <f t="shared" si="190"/>
        <v>7.6959557875010622</v>
      </c>
      <c r="AH211" s="730">
        <f t="shared" si="191"/>
        <v>-1.442185781144065</v>
      </c>
      <c r="AI211" s="731" t="str">
        <f t="shared" si="169"/>
        <v>10000</v>
      </c>
      <c r="AJ211" s="733" t="str">
        <f t="shared" si="192"/>
        <v>1+71545.0264552913i</v>
      </c>
      <c r="AK211" s="734">
        <f t="shared" si="193"/>
        <v>71545.0264622799</v>
      </c>
      <c r="AL211" s="735">
        <f t="shared" si="194"/>
        <v>1.5707823495829298</v>
      </c>
      <c r="AM211" s="340" t="str">
        <f t="shared" si="195"/>
        <v>1+121.420130751717i</v>
      </c>
      <c r="AN211" s="734">
        <f t="shared" si="196"/>
        <v>121.42424861519238</v>
      </c>
      <c r="AO211" s="735">
        <f t="shared" si="197"/>
        <v>1.5625606463941566</v>
      </c>
      <c r="AP211" s="733" t="str">
        <f t="shared" si="198"/>
        <v>1+5.88907648199525i</v>
      </c>
      <c r="AQ211" s="734">
        <f t="shared" si="199"/>
        <v>5.9733760814793468</v>
      </c>
      <c r="AR211" s="735">
        <f t="shared" si="200"/>
        <v>1.4025948125748873</v>
      </c>
      <c r="AS211" s="732" t="str">
        <f t="shared" si="201"/>
        <v>0.0187294027975282-19.3542683964038i</v>
      </c>
      <c r="AT211" s="337">
        <f t="shared" si="202"/>
        <v>19.354277458757384</v>
      </c>
      <c r="AU211" s="730">
        <f t="shared" si="203"/>
        <v>-1.5698286127709196</v>
      </c>
      <c r="AV211" s="732" t="str">
        <f t="shared" si="204"/>
        <v>-2.36868527967796+0.0640028536345304i</v>
      </c>
      <c r="AW211" s="337">
        <f t="shared" si="205"/>
        <v>7.4933168610217198</v>
      </c>
      <c r="AX211" s="730">
        <f t="shared" si="206"/>
        <v>178.45222100181138</v>
      </c>
      <c r="AY211" s="360">
        <f t="shared" si="207"/>
        <v>-1.547778998188619</v>
      </c>
      <c r="BB211" s="337">
        <f t="shared" si="208"/>
        <v>-14.264460745781333</v>
      </c>
      <c r="BC211" s="730">
        <f t="shared" si="209"/>
        <v>-89.944554070650497</v>
      </c>
      <c r="BD211" s="351"/>
      <c r="BE211" s="337">
        <f t="shared" si="170"/>
        <v>50.213014949588029</v>
      </c>
      <c r="BF211" s="730">
        <f t="shared" si="171"/>
        <v>-75.58508747341854</v>
      </c>
      <c r="BI211" s="351"/>
      <c r="BJ211" s="351"/>
      <c r="BL211" s="405">
        <f t="shared" si="172"/>
        <v>0</v>
      </c>
      <c r="BM211" s="405">
        <f t="shared" si="160"/>
        <v>0</v>
      </c>
      <c r="BN211" s="405">
        <f t="shared" si="173"/>
        <v>0</v>
      </c>
      <c r="BO211" s="405">
        <f t="shared" si="174"/>
        <v>0</v>
      </c>
    </row>
    <row r="212" spans="4:67" ht="13.5" thickBot="1" x14ac:dyDescent="0.25">
      <c r="D212" s="345">
        <v>12163</v>
      </c>
      <c r="E212" s="340" t="str">
        <f t="shared" si="161"/>
        <v>0.201755090832835i</v>
      </c>
      <c r="F212" s="728" t="str">
        <f t="shared" si="175"/>
        <v>0.005-0.214511011077529i</v>
      </c>
      <c r="G212" s="337" t="str">
        <f t="shared" si="176"/>
        <v>0.005-0.335517222454597i</v>
      </c>
      <c r="H212" s="338" t="str">
        <f t="shared" si="177"/>
        <v>0.0899629028956748-0.309436712700887i</v>
      </c>
      <c r="I212" s="338" t="str">
        <f t="shared" si="178"/>
        <v>0.0999629028956748-0.309436712700887i</v>
      </c>
      <c r="J212" s="337" t="str">
        <f t="shared" si="179"/>
        <v>0.017969587403459-0.129333337227854i</v>
      </c>
      <c r="K212" s="338" t="str">
        <f t="shared" si="162"/>
        <v>0.998356238122222-0.0636853190760211i</v>
      </c>
      <c r="L212" s="732"/>
      <c r="M212" s="732" t="str">
        <f t="shared" si="163"/>
        <v>76.1667101026377-306.970137271679i</v>
      </c>
      <c r="N212" s="337">
        <f t="shared" si="164"/>
        <v>0</v>
      </c>
      <c r="O212" s="730" t="str">
        <f t="shared" si="165"/>
        <v>8.73115092173795-126.699830727165i</v>
      </c>
      <c r="P212" s="731" t="str">
        <f t="shared" si="166"/>
        <v>-38.3327879282154-15.3670215151959i</v>
      </c>
      <c r="Q212" s="729" t="str">
        <f t="shared" si="167"/>
        <v>-38.4200994374328-14.1000232079243i</v>
      </c>
      <c r="R212" s="730"/>
      <c r="S212" s="405" t="str">
        <f t="shared" si="180"/>
        <v>39.6031644958063+0.704616389595027i</v>
      </c>
      <c r="T212" s="405" t="str">
        <f t="shared" si="181"/>
        <v>15.7103344904295-2.4808553562767i</v>
      </c>
      <c r="U212" s="405" t="str">
        <f t="shared" si="182"/>
        <v>0.64567957008844-5.08453920966479i</v>
      </c>
      <c r="V212" s="731" t="str">
        <f t="shared" si="168"/>
        <v>6000</v>
      </c>
      <c r="W212" s="733" t="str">
        <f>IMSUM(COMPLEX(1,0),IMDIV(COMPLEX(0,2*PI()*D212),COMPLEX(2*PI()*'Stability Calculations'!EA_Pole1,0)))</f>
        <v>1+77186.6067201376i</v>
      </c>
      <c r="X212" s="734">
        <f t="shared" si="183"/>
        <v>77186.606726615413</v>
      </c>
      <c r="Y212" s="735">
        <f t="shared" si="184"/>
        <v>1.5707833711793768</v>
      </c>
      <c r="Z212" s="340" t="str">
        <f>IMSUM(COMPLEX(1,0),IMDIV(COMPLEX(0,2*PI()*D212),COMPLEX(2*PI()*'Stability Calculations'!EA_Zero1,0)))</f>
        <v>1+764.223828912253i</v>
      </c>
      <c r="AA212" s="734">
        <f t="shared" si="185"/>
        <v>764.22448317055682</v>
      </c>
      <c r="AB212" s="735">
        <f t="shared" si="186"/>
        <v>1.5694878103741448</v>
      </c>
      <c r="AC212" s="733" t="str">
        <f>IMSUM(COMPLEX(1,0),IMDIV(COMPLEX(0,2*PI()*D212),COMPLEX(2*PI()*'Stability Calculations'!EA_Pole2,0)))</f>
        <v>1+7.69837521219945i</v>
      </c>
      <c r="AD212" s="734">
        <f t="shared" si="187"/>
        <v>7.7630522932546917</v>
      </c>
      <c r="AE212" s="735">
        <f t="shared" si="188"/>
        <v>1.4416220815328207</v>
      </c>
      <c r="AF212" s="732" t="str">
        <f t="shared" si="189"/>
        <v>0.975914080625088-7.58991682010484i</v>
      </c>
      <c r="AG212" s="337">
        <f t="shared" si="190"/>
        <v>7.6524012982117364</v>
      </c>
      <c r="AH212" s="730">
        <f t="shared" si="191"/>
        <v>-1.4429176423380525</v>
      </c>
      <c r="AI212" s="731" t="str">
        <f t="shared" si="169"/>
        <v>10000</v>
      </c>
      <c r="AJ212" s="733" t="str">
        <f t="shared" si="192"/>
        <v>1+71959.1628856122i</v>
      </c>
      <c r="AK212" s="734">
        <f t="shared" si="193"/>
        <v>71959.162892560576</v>
      </c>
      <c r="AL212" s="735">
        <f t="shared" si="194"/>
        <v>1.5707824300240083</v>
      </c>
      <c r="AM212" s="340" t="str">
        <f t="shared" si="195"/>
        <v>1+122.122967860178i</v>
      </c>
      <c r="AN212" s="734">
        <f t="shared" si="196"/>
        <v>122.12706202549074</v>
      </c>
      <c r="AO212" s="735">
        <f t="shared" si="197"/>
        <v>1.5626080419203543</v>
      </c>
      <c r="AP212" s="733" t="str">
        <f t="shared" si="198"/>
        <v>1+5.92316524026364i</v>
      </c>
      <c r="AQ212" s="734">
        <f t="shared" si="199"/>
        <v>6.0069864710574663</v>
      </c>
      <c r="AR212" s="735">
        <f t="shared" si="200"/>
        <v>1.4035448369200698</v>
      </c>
      <c r="AS212" s="732" t="str">
        <f t="shared" si="201"/>
        <v>0.0185144419636224-19.242881709554i</v>
      </c>
      <c r="AT212" s="337">
        <f t="shared" si="202"/>
        <v>19.242890616340599</v>
      </c>
      <c r="AU212" s="730">
        <f t="shared" si="203"/>
        <v>-1.5698341821156332</v>
      </c>
      <c r="AV212" s="732" t="str">
        <f t="shared" si="204"/>
        <v>-2.34117748337052+0.065050434838201i</v>
      </c>
      <c r="AW212" s="337">
        <f t="shared" si="205"/>
        <v>7.3920383426066074</v>
      </c>
      <c r="AX212" s="730">
        <f t="shared" si="206"/>
        <v>178.40842623024528</v>
      </c>
      <c r="AY212" s="360">
        <f t="shared" si="207"/>
        <v>-1.5915737697547172</v>
      </c>
      <c r="BB212" s="337">
        <f t="shared" si="208"/>
        <v>-14.314593776492748</v>
      </c>
      <c r="BC212" s="730">
        <f t="shared" si="209"/>
        <v>-89.944873170597234</v>
      </c>
      <c r="BD212" s="351"/>
      <c r="BE212" s="337">
        <f t="shared" si="170"/>
        <v>50.001390948595592</v>
      </c>
      <c r="BF212" s="730">
        <f t="shared" si="171"/>
        <v>-76.064956125066658</v>
      </c>
      <c r="BI212" s="351"/>
      <c r="BJ212" s="351"/>
      <c r="BL212" s="405">
        <f t="shared" si="172"/>
        <v>0</v>
      </c>
      <c r="BM212" s="405">
        <f t="shared" si="160"/>
        <v>0</v>
      </c>
      <c r="BN212" s="405">
        <f t="shared" si="173"/>
        <v>0</v>
      </c>
      <c r="BO212" s="405">
        <f t="shared" si="174"/>
        <v>0</v>
      </c>
    </row>
    <row r="213" spans="4:67" ht="13.5" thickBot="1" x14ac:dyDescent="0.25">
      <c r="D213" s="345">
        <v>12233</v>
      </c>
      <c r="E213" s="340" t="str">
        <f t="shared" si="161"/>
        <v>0.202916223477602i</v>
      </c>
      <c r="F213" s="728" t="str">
        <f t="shared" si="175"/>
        <v>0.005-0.213283530428839i</v>
      </c>
      <c r="G213" s="337" t="str">
        <f t="shared" si="176"/>
        <v>0.005-0.333597316824594i</v>
      </c>
      <c r="H213" s="338" t="str">
        <f t="shared" si="177"/>
        <v>0.0890603937043148-0.307912491482801i</v>
      </c>
      <c r="I213" s="338" t="str">
        <f t="shared" si="178"/>
        <v>0.0990603937043148-0.307912491482801i</v>
      </c>
      <c r="J213" s="337" t="str">
        <f t="shared" si="179"/>
        <v>0.0178134561678096-0.128610031009582i</v>
      </c>
      <c r="K213" s="338" t="str">
        <f t="shared" si="162"/>
        <v>0.998337263455556-0.0640518382189399i</v>
      </c>
      <c r="L213" s="732"/>
      <c r="M213" s="732" t="str">
        <f t="shared" si="163"/>
        <v>72.0015490457833-300.343791288506i</v>
      </c>
      <c r="N213" s="337">
        <f t="shared" si="164"/>
        <v>0</v>
      </c>
      <c r="O213" s="730" t="str">
        <f t="shared" si="165"/>
        <v>7.63994945038641-123.74114505768i</v>
      </c>
      <c r="P213" s="731" t="str">
        <f t="shared" si="166"/>
        <v>-37.3446278732088-14.6102824169077i</v>
      </c>
      <c r="Q213" s="729" t="str">
        <f t="shared" si="167"/>
        <v>-37.4210273677125-13.3728709663309i</v>
      </c>
      <c r="R213" s="730"/>
      <c r="S213" s="405" t="str">
        <f t="shared" si="180"/>
        <v>39.6088950552835+0.672505743663308i</v>
      </c>
      <c r="T213" s="405" t="str">
        <f t="shared" si="181"/>
        <v>15.7069641708043-2.48082093230955i</v>
      </c>
      <c r="U213" s="405" t="str">
        <f t="shared" si="182"/>
        <v>0.634992658761279-5.05731336040485i</v>
      </c>
      <c r="V213" s="731" t="str">
        <f t="shared" si="168"/>
        <v>6000</v>
      </c>
      <c r="W213" s="733" t="str">
        <f>IMSUM(COMPLEX(1,0),IMDIV(COMPLEX(0,2*PI()*D213),COMPLEX(2*PI()*'Stability Calculations'!EA_Pole1,0)))</f>
        <v>1+77630.8279213552i</v>
      </c>
      <c r="X213" s="734">
        <f t="shared" si="183"/>
        <v>77630.827927795937</v>
      </c>
      <c r="Y213" s="735">
        <f t="shared" si="184"/>
        <v>1.5707834453143468</v>
      </c>
      <c r="Z213" s="340" t="str">
        <f>IMSUM(COMPLEX(1,0),IMDIV(COMPLEX(0,2*PI()*D213),COMPLEX(2*PI()*'Stability Calculations'!EA_Zero1,0)))</f>
        <v>1+768.622058627279i</v>
      </c>
      <c r="AA213" s="734">
        <f t="shared" si="185"/>
        <v>768.62270914177157</v>
      </c>
      <c r="AB213" s="735">
        <f t="shared" si="186"/>
        <v>1.5694952979933545</v>
      </c>
      <c r="AC213" s="733" t="str">
        <f>IMSUM(COMPLEX(1,0),IMDIV(COMPLEX(0,2*PI()*D213),COMPLEX(2*PI()*'Stability Calculations'!EA_Pole2,0)))</f>
        <v>1+7.74268058627279i</v>
      </c>
      <c r="AD213" s="734">
        <f t="shared" si="187"/>
        <v>7.8069906277031969</v>
      </c>
      <c r="AE213" s="735">
        <f t="shared" si="188"/>
        <v>1.4423531200784798</v>
      </c>
      <c r="AF213" s="732" t="str">
        <f t="shared" si="189"/>
        <v>0.96495995605101-7.54790036506968i</v>
      </c>
      <c r="AG213" s="337">
        <f t="shared" si="190"/>
        <v>7.6093329298829442</v>
      </c>
      <c r="AH213" s="730">
        <f t="shared" si="191"/>
        <v>-1.4436412673994721</v>
      </c>
      <c r="AI213" s="731" t="str">
        <f t="shared" si="169"/>
        <v>10000</v>
      </c>
      <c r="AJ213" s="733" t="str">
        <f t="shared" si="192"/>
        <v>1+72373.2993159332i</v>
      </c>
      <c r="AK213" s="734">
        <f t="shared" si="193"/>
        <v>72373.299322841835</v>
      </c>
      <c r="AL213" s="735">
        <f t="shared" si="194"/>
        <v>1.5707825095444825</v>
      </c>
      <c r="AM213" s="340" t="str">
        <f t="shared" si="195"/>
        <v>1+122.825804968639i</v>
      </c>
      <c r="AN213" s="734">
        <f t="shared" si="196"/>
        <v>122.82987570698809</v>
      </c>
      <c r="AO213" s="735">
        <f t="shared" si="197"/>
        <v>1.5626548950668151</v>
      </c>
      <c r="AP213" s="733" t="str">
        <f t="shared" si="198"/>
        <v>1+5.95725399853204i</v>
      </c>
      <c r="AQ213" s="734">
        <f t="shared" si="199"/>
        <v>6.0406022218836748</v>
      </c>
      <c r="AR213" s="735">
        <f t="shared" si="200"/>
        <v>1.404484288397422</v>
      </c>
      <c r="AS213" s="732" t="str">
        <f t="shared" si="201"/>
        <v>0.0183031607209908-19.1327697789453i</v>
      </c>
      <c r="AT213" s="337">
        <f t="shared" si="202"/>
        <v>19.132778533705316</v>
      </c>
      <c r="AU213" s="730">
        <f t="shared" si="203"/>
        <v>-1.5698396877222986</v>
      </c>
      <c r="AV213" s="732" t="str">
        <f t="shared" si="204"/>
        <v>-2.3141449933763+0.0660595931969624i</v>
      </c>
      <c r="AW213" s="337">
        <f t="shared" si="205"/>
        <v>7.2913488394093058</v>
      </c>
      <c r="AX213" s="730">
        <f t="shared" si="206"/>
        <v>178.36487846815254</v>
      </c>
      <c r="AY213" s="360">
        <f t="shared" si="207"/>
        <v>-1.6351215318474601</v>
      </c>
      <c r="BB213" s="337">
        <f t="shared" si="208"/>
        <v>-14.364439110451602</v>
      </c>
      <c r="BC213" s="730">
        <f t="shared" si="209"/>
        <v>-89.945188618622836</v>
      </c>
      <c r="BD213" s="351"/>
      <c r="BE213" s="337">
        <f t="shared" si="170"/>
        <v>49.795056534608776</v>
      </c>
      <c r="BF213" s="730">
        <f t="shared" si="171"/>
        <v>-76.518871136061961</v>
      </c>
      <c r="BI213" s="351"/>
      <c r="BJ213" s="351"/>
      <c r="BL213" s="405">
        <f t="shared" si="172"/>
        <v>0</v>
      </c>
      <c r="BM213" s="405">
        <f t="shared" si="160"/>
        <v>0</v>
      </c>
      <c r="BN213" s="405">
        <f t="shared" si="173"/>
        <v>0</v>
      </c>
      <c r="BO213" s="405">
        <f t="shared" si="174"/>
        <v>0</v>
      </c>
    </row>
    <row r="214" spans="4:67" ht="13.5" thickBot="1" x14ac:dyDescent="0.25">
      <c r="D214" s="345">
        <v>12303</v>
      </c>
      <c r="E214" s="340" t="str">
        <f t="shared" si="161"/>
        <v>0.204077356122368i</v>
      </c>
      <c r="F214" s="728" t="str">
        <f t="shared" si="175"/>
        <v>0.005-0.212070017697796i</v>
      </c>
      <c r="G214" s="337" t="str">
        <f t="shared" si="176"/>
        <v>0.005-0.331699258450399i</v>
      </c>
      <c r="H214" s="338" t="str">
        <f t="shared" si="177"/>
        <v>0.0881718353254331-0.306401827056749i</v>
      </c>
      <c r="I214" s="338" t="str">
        <f t="shared" si="178"/>
        <v>0.0981718353254331-0.306401827056749i</v>
      </c>
      <c r="J214" s="337" t="str">
        <f t="shared" si="179"/>
        <v>0.0176599429018383-0.127894679531252i</v>
      </c>
      <c r="K214" s="338" t="str">
        <f t="shared" si="162"/>
        <v>0.9983181799-0.0644183573618587i</v>
      </c>
      <c r="L214" s="732"/>
      <c r="M214" s="732" t="str">
        <f t="shared" si="163"/>
        <v>68.1486073969426-293.984150816013i</v>
      </c>
      <c r="N214" s="337">
        <f t="shared" si="164"/>
        <v>0</v>
      </c>
      <c r="O214" s="730" t="str">
        <f t="shared" si="165"/>
        <v>6.64893565704385-120.91392147594i</v>
      </c>
      <c r="P214" s="731" t="str">
        <f t="shared" si="166"/>
        <v>-36.3955082404115-13.9075876209893i</v>
      </c>
      <c r="Q214" s="729" t="str">
        <f t="shared" si="167"/>
        <v>-36.4619975969819-12.6984484062299i</v>
      </c>
      <c r="R214" s="730"/>
      <c r="S214" s="405" t="str">
        <f t="shared" si="180"/>
        <v>39.6145079409863+0.640572468023693i</v>
      </c>
      <c r="T214" s="405" t="str">
        <f t="shared" si="181"/>
        <v>15.7036339662325-2.48085599295855i</v>
      </c>
      <c r="U214" s="405" t="str">
        <f t="shared" si="182"/>
        <v>0.624479419174345-5.03036376476131i</v>
      </c>
      <c r="V214" s="731" t="str">
        <f t="shared" si="168"/>
        <v>6000</v>
      </c>
      <c r="W214" s="733" t="str">
        <f>IMSUM(COMPLEX(1,0),IMDIV(COMPLEX(0,2*PI()*D214),COMPLEX(2*PI()*'Stability Calculations'!EA_Pole1,0)))</f>
        <v>1+78075.0491225728i</v>
      </c>
      <c r="X214" s="734">
        <f t="shared" si="183"/>
        <v>78075.049128976898</v>
      </c>
      <c r="Y214" s="735">
        <f t="shared" si="184"/>
        <v>1.5707835186057095</v>
      </c>
      <c r="Z214" s="340" t="str">
        <f>IMSUM(COMPLEX(1,0),IMDIV(COMPLEX(0,2*PI()*D214),COMPLEX(2*PI()*'Stability Calculations'!EA_Zero1,0)))</f>
        <v>1+773.020288342305i</v>
      </c>
      <c r="AA214" s="734">
        <f t="shared" si="185"/>
        <v>773.02093515558829</v>
      </c>
      <c r="AB214" s="735">
        <f t="shared" si="186"/>
        <v>1.5695027004085551</v>
      </c>
      <c r="AC214" s="733" t="str">
        <f>IMSUM(COMPLEX(1,0),IMDIV(COMPLEX(0,2*PI()*D214),COMPLEX(2*PI()*'Stability Calculations'!EA_Pole2,0)))</f>
        <v>1+7.78698596034613i</v>
      </c>
      <c r="AD214" s="734">
        <f t="shared" si="187"/>
        <v>7.8509330876417325</v>
      </c>
      <c r="AE214" s="735">
        <f t="shared" si="188"/>
        <v>1.4430759756147238</v>
      </c>
      <c r="AF214" s="732" t="str">
        <f t="shared" si="189"/>
        <v>0.954188230364592-7.50633860596422i</v>
      </c>
      <c r="AG214" s="337">
        <f t="shared" si="190"/>
        <v>7.5667426576007708</v>
      </c>
      <c r="AH214" s="730">
        <f t="shared" si="191"/>
        <v>-1.4443567938118778</v>
      </c>
      <c r="AI214" s="731" t="str">
        <f t="shared" si="169"/>
        <v>10000</v>
      </c>
      <c r="AJ214" s="733" t="str">
        <f t="shared" si="192"/>
        <v>1+72787.4357462541i</v>
      </c>
      <c r="AK214" s="734">
        <f t="shared" si="193"/>
        <v>72787.435753123427</v>
      </c>
      <c r="AL214" s="735">
        <f t="shared" si="194"/>
        <v>1.5707825881600666</v>
      </c>
      <c r="AM214" s="340" t="str">
        <f t="shared" si="195"/>
        <v>1+123.5286420771i</v>
      </c>
      <c r="AN214" s="734">
        <f t="shared" si="196"/>
        <v>123.53268965505561</v>
      </c>
      <c r="AO214" s="735">
        <f t="shared" si="197"/>
        <v>1.5627012150906066</v>
      </c>
      <c r="AP214" s="733" t="str">
        <f t="shared" si="198"/>
        <v>1+5.99134275680043i</v>
      </c>
      <c r="AQ214" s="734">
        <f t="shared" si="199"/>
        <v>6.0742232449478655</v>
      </c>
      <c r="AR214" s="735">
        <f t="shared" si="200"/>
        <v>1.4054133408982639</v>
      </c>
      <c r="AS214" s="732" t="str">
        <f t="shared" si="201"/>
        <v>0.0180954755658227-19.0239108458334i</v>
      </c>
      <c r="AT214" s="337">
        <f t="shared" si="202"/>
        <v>19.023919452007085</v>
      </c>
      <c r="AU214" s="730">
        <f t="shared" si="203"/>
        <v>-1.5698451306788601</v>
      </c>
      <c r="AV214" s="732" t="str">
        <f t="shared" si="204"/>
        <v>-2.28757691782542+0.0670316392972596i</v>
      </c>
      <c r="AW214" s="337">
        <f t="shared" si="205"/>
        <v>7.1912415170061292</v>
      </c>
      <c r="AX214" s="730">
        <f t="shared" si="206"/>
        <v>178.32157278328089</v>
      </c>
      <c r="AY214" s="360">
        <f t="shared" si="207"/>
        <v>-1.6784272167191148</v>
      </c>
      <c r="BB214" s="337">
        <f t="shared" si="208"/>
        <v>-14.414000030814339</v>
      </c>
      <c r="BC214" s="730">
        <f t="shared" si="209"/>
        <v>-89.94550047706187</v>
      </c>
      <c r="BD214" s="351"/>
      <c r="BE214" s="337">
        <f t="shared" si="170"/>
        <v>49.593796934292072</v>
      </c>
      <c r="BF214" s="730">
        <f t="shared" si="171"/>
        <v>-76.948753382843449</v>
      </c>
      <c r="BI214" s="351"/>
      <c r="BJ214" s="351"/>
      <c r="BL214" s="405">
        <f t="shared" si="172"/>
        <v>0</v>
      </c>
      <c r="BM214" s="405">
        <f t="shared" si="160"/>
        <v>0</v>
      </c>
      <c r="BN214" s="405">
        <f t="shared" si="173"/>
        <v>0</v>
      </c>
      <c r="BO214" s="405">
        <f t="shared" si="174"/>
        <v>0</v>
      </c>
    </row>
    <row r="215" spans="4:67" ht="13.5" thickBot="1" x14ac:dyDescent="0.25">
      <c r="D215" s="345">
        <v>12374.5</v>
      </c>
      <c r="E215" s="340" t="str">
        <f t="shared" si="161"/>
        <v>0.205263370180952i</v>
      </c>
      <c r="F215" s="728" t="str">
        <f t="shared" si="175"/>
        <v>0.005-0.210844674753403i</v>
      </c>
      <c r="G215" s="337" t="str">
        <f t="shared" si="176"/>
        <v>0.005-0.329782696409169i</v>
      </c>
      <c r="H215" s="338" t="str">
        <f t="shared" si="177"/>
        <v>0.0872783492159214-0.304872625884247i</v>
      </c>
      <c r="I215" s="338" t="str">
        <f t="shared" si="178"/>
        <v>0.0972783492159214-0.304872625884247i</v>
      </c>
      <c r="J215" s="337" t="str">
        <f t="shared" si="179"/>
        <v>0.0175057824973715-0.127172077326421i</v>
      </c>
      <c r="K215" s="338" t="str">
        <f t="shared" si="162"/>
        <v>0.998298574997222-0.0647927304864115i</v>
      </c>
      <c r="L215" s="732"/>
      <c r="M215" s="732" t="str">
        <f t="shared" si="163"/>
        <v>64.50517737141-287.750216107197i</v>
      </c>
      <c r="N215" s="337">
        <f t="shared" si="164"/>
        <v>0</v>
      </c>
      <c r="O215" s="730" t="str">
        <f t="shared" si="165"/>
        <v>5.72935553007849-118.154003731953i</v>
      </c>
      <c r="P215" s="731" t="str">
        <f t="shared" si="166"/>
        <v>-35.4645791284606-13.2405501013757i</v>
      </c>
      <c r="Q215" s="729" t="str">
        <f t="shared" si="167"/>
        <v>-35.5218726837614-12.0590100640562i</v>
      </c>
      <c r="R215" s="730"/>
      <c r="S215" s="405" t="str">
        <f t="shared" si="180"/>
        <v>39.6201220805052+0.608135360183694i</v>
      </c>
      <c r="T215" s="405" t="str">
        <f t="shared" si="181"/>
        <v>15.7002728422634-2.48096248533407i</v>
      </c>
      <c r="U215" s="405" t="str">
        <f t="shared" si="182"/>
        <v>0.613916348288212-5.00311771870658i</v>
      </c>
      <c r="V215" s="731" t="str">
        <f t="shared" si="168"/>
        <v>6000</v>
      </c>
      <c r="W215" s="733" t="str">
        <f>IMSUM(COMPLEX(1,0),IMDIV(COMPLEX(0,2*PI()*D215),COMPLEX(2*PI()*'Stability Calculations'!EA_Pole1,0)))</f>
        <v>1+78528.7893495308i</v>
      </c>
      <c r="X215" s="734">
        <f t="shared" si="183"/>
        <v>78528.789355897883</v>
      </c>
      <c r="Y215" s="735">
        <f t="shared" si="184"/>
        <v>1.5707835926115705</v>
      </c>
      <c r="Z215" s="340" t="str">
        <f>IMSUM(COMPLEX(1,0),IMDIV(COMPLEX(0,2*PI()*D215),COMPLEX(2*PI()*'Stability Calculations'!EA_Zero1,0)))</f>
        <v>1+777.512765836938i</v>
      </c>
      <c r="AA215" s="734">
        <f t="shared" si="185"/>
        <v>777.51340891293012</v>
      </c>
      <c r="AB215" s="735">
        <f t="shared" si="186"/>
        <v>1.5695101749880795</v>
      </c>
      <c r="AC215" s="733" t="str">
        <f>IMSUM(COMPLEX(1,0),IMDIV(COMPLEX(0,2*PI()*D215),COMPLEX(2*PI()*'Stability Calculations'!EA_Pole2,0)))</f>
        <v>1+7.83224073529246i</v>
      </c>
      <c r="AD215" s="734">
        <f t="shared" si="187"/>
        <v>7.8958213591477984</v>
      </c>
      <c r="AE215" s="735">
        <f t="shared" si="188"/>
        <v>1.4438060142728013</v>
      </c>
      <c r="AF215" s="732" t="str">
        <f t="shared" si="189"/>
        <v>0.94336982196138-7.4643481618212i</v>
      </c>
      <c r="AG215" s="337">
        <f t="shared" si="190"/>
        <v>7.5237251479483875</v>
      </c>
      <c r="AH215" s="730">
        <f t="shared" si="191"/>
        <v>-1.4450794318962927</v>
      </c>
      <c r="AI215" s="731" t="str">
        <f t="shared" si="169"/>
        <v>10000</v>
      </c>
      <c r="AJ215" s="733" t="str">
        <f t="shared" si="192"/>
        <v>1+73210.4465286532i</v>
      </c>
      <c r="AK215" s="734">
        <f t="shared" si="193"/>
        <v>73210.446535482828</v>
      </c>
      <c r="AL215" s="735">
        <f t="shared" si="194"/>
        <v>1.5707826675420529</v>
      </c>
      <c r="AM215" s="340" t="str">
        <f t="shared" si="195"/>
        <v>1+124.246539980743i</v>
      </c>
      <c r="AN215" s="734">
        <f t="shared" si="196"/>
        <v>124.25056417250735</v>
      </c>
      <c r="AO215" s="735">
        <f t="shared" si="197"/>
        <v>1.5627479867112555</v>
      </c>
      <c r="AP215" s="733" t="str">
        <f t="shared" si="198"/>
        <v>1+6.02616198846028i</v>
      </c>
      <c r="AQ215" s="734">
        <f t="shared" si="199"/>
        <v>6.1085700709055928</v>
      </c>
      <c r="AR215" s="735">
        <f t="shared" si="200"/>
        <v>1.4063517429265842</v>
      </c>
      <c r="AS215" s="732" t="str">
        <f t="shared" si="201"/>
        <v>0.0178869681550774-18.9139906724604i</v>
      </c>
      <c r="AT215" s="337">
        <f t="shared" si="202"/>
        <v>18.913999130314796</v>
      </c>
      <c r="AU215" s="730">
        <f t="shared" si="203"/>
        <v>-1.5698506266974166</v>
      </c>
      <c r="AV215" s="732" t="str">
        <f t="shared" si="204"/>
        <v>-2.26090797431257+0.0679875118951129i</v>
      </c>
      <c r="AW215" s="337">
        <f t="shared" si="205"/>
        <v>7.0895830821063548</v>
      </c>
      <c r="AX215" s="730">
        <f t="shared" si="206"/>
        <v>178.27758403990839</v>
      </c>
      <c r="AY215" s="360">
        <f t="shared" si="207"/>
        <v>-1.7224159600916096</v>
      </c>
      <c r="BB215" s="337">
        <f t="shared" si="208"/>
        <v>-14.464332705380789</v>
      </c>
      <c r="BC215" s="730">
        <f t="shared" si="209"/>
        <v>-89.945815375729282</v>
      </c>
      <c r="BD215" s="351"/>
      <c r="BE215" s="337">
        <f t="shared" si="170"/>
        <v>49.393250485081481</v>
      </c>
      <c r="BF215" s="730">
        <f t="shared" si="171"/>
        <v>-77.364848468400439</v>
      </c>
      <c r="BI215" s="351"/>
      <c r="BJ215" s="351"/>
      <c r="BL215" s="405">
        <f t="shared" si="172"/>
        <v>0</v>
      </c>
      <c r="BM215" s="405">
        <f t="shared" si="160"/>
        <v>0</v>
      </c>
      <c r="BN215" s="405">
        <f t="shared" si="173"/>
        <v>0</v>
      </c>
      <c r="BO215" s="405">
        <f t="shared" si="174"/>
        <v>0</v>
      </c>
    </row>
    <row r="216" spans="4:67" ht="13.5" thickBot="1" x14ac:dyDescent="0.25">
      <c r="D216" s="345">
        <v>12446</v>
      </c>
      <c r="E216" s="340" t="str">
        <f t="shared" si="161"/>
        <v>0.206449384239535i</v>
      </c>
      <c r="F216" s="728" t="str">
        <f t="shared" si="175"/>
        <v>0.005-0.209633410552466i</v>
      </c>
      <c r="G216" s="337" t="str">
        <f t="shared" si="176"/>
        <v>0.005-0.327888154966677i</v>
      </c>
      <c r="H216" s="338" t="str">
        <f t="shared" si="177"/>
        <v>0.0863988379288827-0.303357243915162i</v>
      </c>
      <c r="I216" s="338" t="str">
        <f t="shared" si="178"/>
        <v>0.0963988379288827-0.303357243915162i</v>
      </c>
      <c r="J216" s="337" t="str">
        <f t="shared" si="179"/>
        <v>0.017354232877451-0.126457505512124i</v>
      </c>
      <c r="K216" s="338" t="str">
        <f t="shared" si="162"/>
        <v>0.998278856488889-0.0651671036109643i</v>
      </c>
      <c r="L216" s="732"/>
      <c r="M216" s="732" t="str">
        <f t="shared" si="163"/>
        <v>61.1295282106198-281.767903071148i</v>
      </c>
      <c r="N216" s="337">
        <f t="shared" si="164"/>
        <v>0</v>
      </c>
      <c r="O216" s="730" t="str">
        <f t="shared" si="165"/>
        <v>4.89377329478067-115.515831083987i</v>
      </c>
      <c r="P216" s="731" t="str">
        <f t="shared" si="166"/>
        <v>-34.5708100875036-12.6201534579358i</v>
      </c>
      <c r="Q216" s="729" t="str">
        <f t="shared" si="167"/>
        <v>-34.6197478204514-11.4649951470959i</v>
      </c>
      <c r="R216" s="730"/>
      <c r="S216" s="405" t="str">
        <f t="shared" si="180"/>
        <v>39.6256183744511+0.575877959667318i</v>
      </c>
      <c r="T216" s="405" t="str">
        <f t="shared" si="181"/>
        <v>15.6969516264416-2.48113935457294i</v>
      </c>
      <c r="U216" s="405" t="str">
        <f t="shared" si="182"/>
        <v>0.603526783177753-4.97615154024169i</v>
      </c>
      <c r="V216" s="731" t="str">
        <f t="shared" si="168"/>
        <v>6000</v>
      </c>
      <c r="W216" s="733" t="str">
        <f>IMSUM(COMPLEX(1,0),IMDIV(COMPLEX(0,2*PI()*D216),COMPLEX(2*PI()*'Stability Calculations'!EA_Pole1,0)))</f>
        <v>1+78982.5295764887i</v>
      </c>
      <c r="X216" s="734">
        <f t="shared" si="183"/>
        <v>78982.529582819203</v>
      </c>
      <c r="Y216" s="735">
        <f t="shared" si="184"/>
        <v>1.5707836657671312</v>
      </c>
      <c r="Z216" s="340" t="str">
        <f>IMSUM(COMPLEX(1,0),IMDIV(COMPLEX(0,2*PI()*D216),COMPLEX(2*PI()*'Stability Calculations'!EA_Zero1,0)))</f>
        <v>1+782.005243331571i</v>
      </c>
      <c r="AA216" s="734">
        <f t="shared" si="185"/>
        <v>782.0058827132118</v>
      </c>
      <c r="AB216" s="735">
        <f t="shared" si="186"/>
        <v>1.5695175636875531</v>
      </c>
      <c r="AC216" s="733" t="str">
        <f>IMSUM(COMPLEX(1,0),IMDIV(COMPLEX(0,2*PI()*D216),COMPLEX(2*PI()*'Stability Calculations'!EA_Pole2,0)))</f>
        <v>1+7.87749551023879i</v>
      </c>
      <c r="AD216" s="734">
        <f t="shared" si="187"/>
        <v>7.9407137912049359</v>
      </c>
      <c r="AE216" s="735">
        <f t="shared" si="188"/>
        <v>1.4445277988371634</v>
      </c>
      <c r="AF216" s="732" t="str">
        <f t="shared" si="189"/>
        <v>0.932733384189966-7.42281707252712i</v>
      </c>
      <c r="AG216" s="337">
        <f t="shared" si="190"/>
        <v>7.4811900696468436</v>
      </c>
      <c r="AH216" s="730">
        <f t="shared" si="191"/>
        <v>-1.4457939009167411</v>
      </c>
      <c r="AI216" s="731" t="str">
        <f t="shared" si="169"/>
        <v>10000</v>
      </c>
      <c r="AJ216" s="733" t="str">
        <f t="shared" si="192"/>
        <v>1+73633.4573110523i</v>
      </c>
      <c r="AK216" s="734">
        <f t="shared" si="193"/>
        <v>73633.45731784268</v>
      </c>
      <c r="AL216" s="735">
        <f t="shared" si="194"/>
        <v>1.5707827460119692</v>
      </c>
      <c r="AM216" s="340" t="str">
        <f t="shared" si="195"/>
        <v>1+124.964437884385i</v>
      </c>
      <c r="AN216" s="734">
        <f t="shared" si="196"/>
        <v>124.96843895864394</v>
      </c>
      <c r="AO216" s="735">
        <f t="shared" si="197"/>
        <v>1.5627942209776544</v>
      </c>
      <c r="AP216" s="733" t="str">
        <f t="shared" si="198"/>
        <v>1+6.06098122012014i</v>
      </c>
      <c r="AQ216" s="734">
        <f t="shared" si="199"/>
        <v>6.1429222159041714</v>
      </c>
      <c r="AR216" s="735">
        <f t="shared" si="200"/>
        <v>1.4072796503938421</v>
      </c>
      <c r="AS216" s="732" t="str">
        <f t="shared" si="201"/>
        <v>0.0176820439192305-18.805333438414i</v>
      </c>
      <c r="AT216" s="337">
        <f t="shared" si="202"/>
        <v>18.805341751337806</v>
      </c>
      <c r="AU216" s="730">
        <f t="shared" si="203"/>
        <v>-1.5698560595687809</v>
      </c>
      <c r="AV216" s="732" t="str">
        <f t="shared" si="204"/>
        <v>-2.23470156865312+0.0689072721032664i</v>
      </c>
      <c r="AW216" s="337">
        <f t="shared" si="205"/>
        <v>6.9885180048807447</v>
      </c>
      <c r="AX216" s="730">
        <f t="shared" si="206"/>
        <v>178.2338378647913</v>
      </c>
      <c r="AY216" s="360">
        <f t="shared" si="207"/>
        <v>-1.7661621352087025</v>
      </c>
      <c r="BB216" s="337">
        <f t="shared" si="208"/>
        <v>-14.514375393864825</v>
      </c>
      <c r="BC216" s="730">
        <f t="shared" si="209"/>
        <v>-89.946126656329099</v>
      </c>
      <c r="BD216" s="351"/>
      <c r="BE216" s="337">
        <f t="shared" si="170"/>
        <v>49.197576259695396</v>
      </c>
      <c r="BF216" s="730">
        <f t="shared" si="171"/>
        <v>-77.75937591064033</v>
      </c>
      <c r="BI216" s="351"/>
      <c r="BJ216" s="351"/>
      <c r="BL216" s="405">
        <f t="shared" si="172"/>
        <v>0</v>
      </c>
      <c r="BM216" s="405">
        <f t="shared" si="160"/>
        <v>0</v>
      </c>
      <c r="BN216" s="405">
        <f t="shared" si="173"/>
        <v>0</v>
      </c>
      <c r="BO216" s="405">
        <f t="shared" si="174"/>
        <v>0</v>
      </c>
    </row>
    <row r="217" spans="4:67" ht="13.5" thickBot="1" x14ac:dyDescent="0.25">
      <c r="D217" s="345">
        <v>12517.5</v>
      </c>
      <c r="E217" s="340" t="str">
        <f t="shared" si="161"/>
        <v>0.207635398298118i</v>
      </c>
      <c r="F217" s="728" t="str">
        <f t="shared" si="175"/>
        <v>0.005-0.208435983841501i</v>
      </c>
      <c r="G217" s="337" t="str">
        <f t="shared" si="176"/>
        <v>0.005-0.326015256777732i</v>
      </c>
      <c r="H217" s="338" t="str">
        <f t="shared" si="177"/>
        <v>0.085533018918759-0.301855519743902i</v>
      </c>
      <c r="I217" s="338" t="str">
        <f t="shared" si="178"/>
        <v>0.095533018918759-0.301855519743902i</v>
      </c>
      <c r="J217" s="337" t="str">
        <f t="shared" si="179"/>
        <v>0.0172052356284543-0.125750832552147i</v>
      </c>
      <c r="K217" s="338" t="str">
        <f t="shared" si="162"/>
        <v>0.998259024375-0.0655414767355171i</v>
      </c>
      <c r="L217" s="732"/>
      <c r="M217" s="732" t="str">
        <f t="shared" si="163"/>
        <v>57.9970905847225-276.024500891209i</v>
      </c>
      <c r="N217" s="337">
        <f t="shared" si="164"/>
        <v>0</v>
      </c>
      <c r="O217" s="730" t="str">
        <f t="shared" si="165"/>
        <v>4.13360763649904-112.992312441604i</v>
      </c>
      <c r="P217" s="731" t="str">
        <f t="shared" si="166"/>
        <v>-33.7124571825854-12.0422490036909i</v>
      </c>
      <c r="Q217" s="729" t="str">
        <f t="shared" si="167"/>
        <v>-33.7537932589504-10.9123258792748i</v>
      </c>
      <c r="R217" s="730"/>
      <c r="S217" s="405" t="str">
        <f t="shared" si="180"/>
        <v>39.6309992135895+0.543797638774994i</v>
      </c>
      <c r="T217" s="405" t="str">
        <f t="shared" si="181"/>
        <v>15.6936693749008-2.48138555974026i</v>
      </c>
      <c r="U217" s="405" t="str">
        <f t="shared" si="182"/>
        <v>0.593306991727726-4.94946112387564i</v>
      </c>
      <c r="V217" s="731" t="str">
        <f t="shared" si="168"/>
        <v>6000</v>
      </c>
      <c r="W217" s="733" t="str">
        <f>IMSUM(COMPLEX(1,0),IMDIV(COMPLEX(0,2*PI()*D217),COMPLEX(2*PI()*'Stability Calculations'!EA_Pole1,0)))</f>
        <v>1+79436.2698034467i</v>
      </c>
      <c r="X217" s="734">
        <f t="shared" si="183"/>
        <v>79436.269809741076</v>
      </c>
      <c r="Y217" s="735">
        <f t="shared" si="184"/>
        <v>1.5707837380869623</v>
      </c>
      <c r="Z217" s="340" t="str">
        <f>IMSUM(COMPLEX(1,0),IMDIV(COMPLEX(0,2*PI()*D217),COMPLEX(2*PI()*'Stability Calculations'!EA_Zero1,0)))</f>
        <v>1+786.497720826205i</v>
      </c>
      <c r="AA217" s="734">
        <f t="shared" si="185"/>
        <v>786.49835655569882</v>
      </c>
      <c r="AB217" s="735">
        <f t="shared" si="186"/>
        <v>1.5695248679786138</v>
      </c>
      <c r="AC217" s="733" t="str">
        <f>IMSUM(COMPLEX(1,0),IMDIV(COMPLEX(0,2*PI()*D217),COMPLEX(2*PI()*'Stability Calculations'!EA_Pole2,0)))</f>
        <v>1+7.92275028518513i</v>
      </c>
      <c r="AD217" s="734">
        <f t="shared" si="187"/>
        <v>7.9856103136454815</v>
      </c>
      <c r="AE217" s="735">
        <f t="shared" si="188"/>
        <v>1.445241467767288</v>
      </c>
      <c r="AF217" s="732" t="str">
        <f t="shared" si="189"/>
        <v>0.92227488049977-7.38173797606092i</v>
      </c>
      <c r="AG217" s="337">
        <f t="shared" si="190"/>
        <v>7.4391294183137342</v>
      </c>
      <c r="AH217" s="730">
        <f t="shared" si="191"/>
        <v>-1.4465003378756363</v>
      </c>
      <c r="AI217" s="731" t="str">
        <f t="shared" si="169"/>
        <v>10000</v>
      </c>
      <c r="AJ217" s="733" t="str">
        <f t="shared" si="192"/>
        <v>1+74056.4680934516i</v>
      </c>
      <c r="AK217" s="734">
        <f t="shared" si="193"/>
        <v>74056.468100203216</v>
      </c>
      <c r="AL217" s="735">
        <f t="shared" si="194"/>
        <v>1.5707828235854446</v>
      </c>
      <c r="AM217" s="340" t="str">
        <f t="shared" si="195"/>
        <v>1+125.682335788028i</v>
      </c>
      <c r="AN217" s="734">
        <f t="shared" si="196"/>
        <v>125.68631400886345</v>
      </c>
      <c r="AO217" s="735">
        <f t="shared" si="197"/>
        <v>1.5628399270971267</v>
      </c>
      <c r="AP217" s="733" t="str">
        <f t="shared" si="198"/>
        <v>1+6.09580045178i</v>
      </c>
      <c r="AQ217" s="734">
        <f t="shared" si="199"/>
        <v>6.1772795912052789</v>
      </c>
      <c r="AR217" s="735">
        <f t="shared" si="200"/>
        <v>1.4081972367975948</v>
      </c>
      <c r="AS217" s="732" t="str">
        <f t="shared" si="201"/>
        <v>0.0174806212242424-18.6979175020303i</v>
      </c>
      <c r="AT217" s="337">
        <f t="shared" si="202"/>
        <v>18.697925673315996</v>
      </c>
      <c r="AU217" s="730">
        <f t="shared" si="203"/>
        <v>-1.5698614303750427</v>
      </c>
      <c r="AV217" s="732" t="str">
        <f t="shared" si="204"/>
        <v>-2.20894706140773+0.0697921625187869i</v>
      </c>
      <c r="AW217" s="337">
        <f t="shared" si="205"/>
        <v>6.8880393738444248</v>
      </c>
      <c r="AX217" s="730">
        <f t="shared" si="206"/>
        <v>178.19032940542849</v>
      </c>
      <c r="AY217" s="360">
        <f t="shared" si="207"/>
        <v>-1.8096705945715144</v>
      </c>
      <c r="BB217" s="337">
        <f t="shared" si="208"/>
        <v>-14.564131418576277</v>
      </c>
      <c r="BC217" s="730">
        <f t="shared" si="209"/>
        <v>-89.946434380860481</v>
      </c>
      <c r="BD217" s="351"/>
      <c r="BE217" s="337">
        <f t="shared" si="170"/>
        <v>49.006575860323963</v>
      </c>
      <c r="BF217" s="730">
        <f t="shared" si="171"/>
        <v>-78.133870040246208</v>
      </c>
      <c r="BI217" s="351"/>
      <c r="BJ217" s="351"/>
      <c r="BL217" s="405">
        <f t="shared" si="172"/>
        <v>0</v>
      </c>
      <c r="BM217" s="405">
        <f t="shared" si="160"/>
        <v>0</v>
      </c>
      <c r="BN217" s="405">
        <f t="shared" si="173"/>
        <v>0</v>
      </c>
      <c r="BO217" s="405">
        <f t="shared" si="174"/>
        <v>0</v>
      </c>
    </row>
    <row r="218" spans="4:67" ht="13.5" thickBot="1" x14ac:dyDescent="0.25">
      <c r="D218" s="345">
        <v>12589</v>
      </c>
      <c r="E218" s="340" t="str">
        <f t="shared" si="161"/>
        <v>0.208821412356701i</v>
      </c>
      <c r="F218" s="728" t="str">
        <f t="shared" si="175"/>
        <v>0.005-0.207252158847882i</v>
      </c>
      <c r="G218" s="337" t="str">
        <f t="shared" si="176"/>
        <v>0.005-0.324163633069764i</v>
      </c>
      <c r="H218" s="338" t="str">
        <f t="shared" si="177"/>
        <v>0.0846806165456932-0.300367293799324i</v>
      </c>
      <c r="I218" s="338" t="str">
        <f t="shared" si="178"/>
        <v>0.0946806165456932-0.300367293799324i</v>
      </c>
      <c r="J218" s="337" t="str">
        <f t="shared" si="179"/>
        <v>0.017058733955416-0.125051929731227i</v>
      </c>
      <c r="K218" s="338" t="str">
        <f t="shared" si="162"/>
        <v>0.998239078655556-0.0659158498600698i</v>
      </c>
      <c r="L218" s="732"/>
      <c r="M218" s="732" t="str">
        <f t="shared" si="163"/>
        <v>55.0859508732449-270.50785929626i</v>
      </c>
      <c r="N218" s="337">
        <f t="shared" si="164"/>
        <v>0</v>
      </c>
      <c r="O218" s="730" t="str">
        <f t="shared" si="165"/>
        <v>3.4412739636338-110.576803327337i</v>
      </c>
      <c r="P218" s="731" t="str">
        <f t="shared" si="166"/>
        <v>-32.8878332318328-11.5031260623629i</v>
      </c>
      <c r="Q218" s="729" t="str">
        <f t="shared" si="167"/>
        <v>-32.9222459714691-10.3973580290895i</v>
      </c>
      <c r="R218" s="730"/>
      <c r="S218" s="405" t="str">
        <f t="shared" si="180"/>
        <v>39.6362669255156+0.511891817942179i</v>
      </c>
      <c r="T218" s="405" t="str">
        <f t="shared" si="181"/>
        <v>15.6904251687196-2.48170007890714i</v>
      </c>
      <c r="U218" s="405" t="str">
        <f t="shared" si="182"/>
        <v>0.583253340428328-4.92304243925244i</v>
      </c>
      <c r="V218" s="731" t="str">
        <f t="shared" si="168"/>
        <v>6000</v>
      </c>
      <c r="W218" s="733" t="str">
        <f>IMSUM(COMPLEX(1,0),IMDIV(COMPLEX(0,2*PI()*D218),COMPLEX(2*PI()*'Stability Calculations'!EA_Pole1,0)))</f>
        <v>1+79890.0100304047i</v>
      </c>
      <c r="X218" s="734">
        <f t="shared" si="183"/>
        <v>79890.010036663298</v>
      </c>
      <c r="Y218" s="735">
        <f t="shared" si="184"/>
        <v>1.5707838095853035</v>
      </c>
      <c r="Z218" s="340" t="str">
        <f>IMSUM(COMPLEX(1,0),IMDIV(COMPLEX(0,2*PI()*D218),COMPLEX(2*PI()*'Stability Calculations'!EA_Zero1,0)))</f>
        <v>1+790.990198320838i</v>
      </c>
      <c r="AA218" s="734">
        <f t="shared" si="185"/>
        <v>790.99083043966982</v>
      </c>
      <c r="AB218" s="735">
        <f t="shared" si="186"/>
        <v>1.5695320892994671</v>
      </c>
      <c r="AC218" s="733" t="str">
        <f>IMSUM(COMPLEX(1,0),IMDIV(COMPLEX(0,2*PI()*D218),COMPLEX(2*PI()*'Stability Calculations'!EA_Pole2,0)))</f>
        <v>1+7.96800506013146i</v>
      </c>
      <c r="AD218" s="734">
        <f t="shared" si="187"/>
        <v>8.0305108578645577</v>
      </c>
      <c r="AE218" s="735">
        <f t="shared" si="188"/>
        <v>1.4459471564595017</v>
      </c>
      <c r="AF218" s="732" t="str">
        <f t="shared" si="189"/>
        <v>0.911990385043608-7.34110366376022i</v>
      </c>
      <c r="AG218" s="337">
        <f t="shared" si="190"/>
        <v>7.3975353641929766</v>
      </c>
      <c r="AH218" s="730">
        <f t="shared" si="191"/>
        <v>-1.4471988767453381</v>
      </c>
      <c r="AI218" s="731" t="str">
        <f t="shared" si="169"/>
        <v>10000</v>
      </c>
      <c r="AJ218" s="733" t="str">
        <f t="shared" si="192"/>
        <v>1+74479.4788758507i</v>
      </c>
      <c r="AK218" s="734">
        <f t="shared" si="193"/>
        <v>74479.47888256397</v>
      </c>
      <c r="AL218" s="735">
        <f t="shared" si="194"/>
        <v>1.5707829002777534</v>
      </c>
      <c r="AM218" s="340" t="str">
        <f t="shared" si="195"/>
        <v>1+126.40023369167i</v>
      </c>
      <c r="AN218" s="734">
        <f t="shared" si="196"/>
        <v>126.40418931866456</v>
      </c>
      <c r="AO218" s="735">
        <f t="shared" si="197"/>
        <v>1.5628851140678437</v>
      </c>
      <c r="AP218" s="733" t="str">
        <f t="shared" si="198"/>
        <v>1+6.13061968343986i</v>
      </c>
      <c r="AQ218" s="734">
        <f t="shared" si="199"/>
        <v>6.2116421100205264</v>
      </c>
      <c r="AR218" s="735">
        <f t="shared" si="200"/>
        <v>1.4091046718666767</v>
      </c>
      <c r="AS218" s="732" t="str">
        <f t="shared" si="201"/>
        <v>0.0172826207476951-18.5917217133035i</v>
      </c>
      <c r="AT218" s="337">
        <f t="shared" si="202"/>
        <v>18.591729746150591</v>
      </c>
      <c r="AU218" s="730">
        <f t="shared" si="203"/>
        <v>-1.5698667401737083</v>
      </c>
      <c r="AV218" s="732" t="str">
        <f t="shared" si="204"/>
        <v>-2.18363411717465+0.070643378252687i</v>
      </c>
      <c r="AW218" s="337">
        <f t="shared" si="205"/>
        <v>6.7881403970923957</v>
      </c>
      <c r="AX218" s="730">
        <f t="shared" si="206"/>
        <v>178.1470539366658</v>
      </c>
      <c r="AY218" s="360">
        <f t="shared" si="207"/>
        <v>-1.8529460633342012</v>
      </c>
      <c r="BB218" s="337">
        <f t="shared" si="208"/>
        <v>-14.613604045055766</v>
      </c>
      <c r="BC218" s="730">
        <f t="shared" si="209"/>
        <v>-89.946738609914092</v>
      </c>
      <c r="BD218" s="351"/>
      <c r="BE218" s="337">
        <f t="shared" si="170"/>
        <v>48.820060573507902</v>
      </c>
      <c r="BF218" s="730">
        <f t="shared" si="171"/>
        <v>-78.489728219777632</v>
      </c>
      <c r="BI218" s="351"/>
      <c r="BJ218" s="351"/>
      <c r="BL218" s="405">
        <f t="shared" si="172"/>
        <v>0</v>
      </c>
      <c r="BM218" s="405">
        <f t="shared" ref="BM218:BM281" si="210">IF(BL218&gt;0,AY218,0)</f>
        <v>0</v>
      </c>
      <c r="BN218" s="405">
        <f t="shared" si="173"/>
        <v>0</v>
      </c>
      <c r="BO218" s="405">
        <f t="shared" si="174"/>
        <v>0</v>
      </c>
    </row>
    <row r="219" spans="4:67" ht="13.5" thickBot="1" x14ac:dyDescent="0.25">
      <c r="D219" s="345">
        <v>12662.25</v>
      </c>
      <c r="E219" s="340" t="str">
        <f t="shared" si="161"/>
        <v>0.210036454731404i</v>
      </c>
      <c r="F219" s="728" t="str">
        <f t="shared" si="175"/>
        <v>0.005-0.206053223379414i</v>
      </c>
      <c r="G219" s="337" t="str">
        <f t="shared" si="176"/>
        <v>0.005-0.322288375029341i</v>
      </c>
      <c r="H219" s="338" t="str">
        <f t="shared" si="177"/>
        <v>0.0838209832856272-0.298856475680119i</v>
      </c>
      <c r="I219" s="338" t="str">
        <f t="shared" si="178"/>
        <v>0.0938209832856272-0.298856475680119i</v>
      </c>
      <c r="J219" s="337" t="str">
        <f t="shared" si="179"/>
        <v>0.0169111767899731-0.124343846951475i</v>
      </c>
      <c r="K219" s="338" t="str">
        <f t="shared" si="162"/>
        <v>0.99821852694375-0.0662993859631956i</v>
      </c>
      <c r="L219" s="732"/>
      <c r="M219" s="732" t="str">
        <f t="shared" si="163"/>
        <v>52.3125885470049-265.079254269828i</v>
      </c>
      <c r="N219" s="337">
        <f t="shared" si="164"/>
        <v>0</v>
      </c>
      <c r="O219" s="730" t="str">
        <f t="shared" si="165"/>
        <v>2.79532010865269-108.207681955952i</v>
      </c>
      <c r="P219" s="731" t="str">
        <f t="shared" si="166"/>
        <v>-32.0763067896792-10.9875506362356i</v>
      </c>
      <c r="Q219" s="729" t="str">
        <f t="shared" si="167"/>
        <v>-32.1042599907657-9.90547381667607i</v>
      </c>
      <c r="R219" s="730"/>
      <c r="S219" s="405" t="str">
        <f t="shared" si="180"/>
        <v>39.6415486221533+0.479383396917834i</v>
      </c>
      <c r="T219" s="405" t="str">
        <f t="shared" si="181"/>
        <v>15.687140077125-2.48209208976364i</v>
      </c>
      <c r="U219" s="405" t="str">
        <f t="shared" si="182"/>
        <v>0.573122211943736-4.89625479651941i</v>
      </c>
      <c r="V219" s="731" t="str">
        <f t="shared" si="168"/>
        <v>6000</v>
      </c>
      <c r="W219" s="733" t="str">
        <f>IMSUM(COMPLEX(1,0),IMDIV(COMPLEX(0,2*PI()*D219),COMPLEX(2*PI()*'Stability Calculations'!EA_Pole1,0)))</f>
        <v>1+80354.8557873931i</v>
      </c>
      <c r="X219" s="734">
        <f t="shared" si="183"/>
        <v>80354.855793615498</v>
      </c>
      <c r="Y219" s="735">
        <f t="shared" si="184"/>
        <v>1.5707838819962576</v>
      </c>
      <c r="Z219" s="340" t="str">
        <f>IMSUM(COMPLEX(1,0),IMDIV(COMPLEX(0,2*PI()*D219),COMPLEX(2*PI()*'Stability Calculations'!EA_Zero1,0)))</f>
        <v>1+795.592631558347i</v>
      </c>
      <c r="AA219" s="734">
        <f t="shared" si="185"/>
        <v>795.59326002043008</v>
      </c>
      <c r="AB219" s="735">
        <f t="shared" si="186"/>
        <v>1.5695394027942031</v>
      </c>
      <c r="AC219" s="733" t="str">
        <f>IMSUM(COMPLEX(1,0),IMDIV(COMPLEX(0,2*PI()*D219),COMPLEX(2*PI()*'Stability Calculations'!EA_Pole2,0)))</f>
        <v>1+8.01436746942963i</v>
      </c>
      <c r="AD219" s="734">
        <f t="shared" si="187"/>
        <v>8.076514466962335</v>
      </c>
      <c r="AE219" s="735">
        <f t="shared" si="188"/>
        <v>1.4466619800633744</v>
      </c>
      <c r="AF219" s="732" t="str">
        <f t="shared" si="189"/>
        <v>0.901630628204346-7.29992867298066i</v>
      </c>
      <c r="AG219" s="337">
        <f t="shared" si="190"/>
        <v>7.3553991339913942</v>
      </c>
      <c r="AH219" s="730">
        <f t="shared" si="191"/>
        <v>-1.4479064592654292</v>
      </c>
      <c r="AI219" s="731" t="str">
        <f t="shared" si="169"/>
        <v>10000</v>
      </c>
      <c r="AJ219" s="733" t="str">
        <f t="shared" si="192"/>
        <v>1+74912.8430690079i</v>
      </c>
      <c r="AK219" s="734">
        <f t="shared" si="193"/>
        <v>74912.843075682322</v>
      </c>
      <c r="AL219" s="735">
        <f t="shared" si="194"/>
        <v>1.5707829779489715</v>
      </c>
      <c r="AM219" s="340" t="str">
        <f t="shared" si="195"/>
        <v>1+127.135702523024i</v>
      </c>
      <c r="AN219" s="734">
        <f t="shared" si="196"/>
        <v>127.13963526777498</v>
      </c>
      <c r="AO219" s="735">
        <f t="shared" si="197"/>
        <v>1.5629308778430457</v>
      </c>
      <c r="AP219" s="733" t="str">
        <f t="shared" si="198"/>
        <v>1+6.16629113405642i</v>
      </c>
      <c r="AQ219" s="734">
        <f t="shared" si="199"/>
        <v>6.2468509146563456</v>
      </c>
      <c r="AR219" s="735">
        <f t="shared" si="200"/>
        <v>1.4100239634102001</v>
      </c>
      <c r="AS219" s="732" t="str">
        <f t="shared" si="201"/>
        <v>0.0170832424095173-18.4841704264264i</v>
      </c>
      <c r="AT219" s="337">
        <f t="shared" si="202"/>
        <v>18.484178320670559</v>
      </c>
      <c r="AU219" s="730">
        <f t="shared" si="203"/>
        <v>-1.5698721177472923</v>
      </c>
      <c r="AV219" s="732" t="str">
        <f t="shared" si="204"/>
        <v>-2.15814903533639+0.0714817085331047i</v>
      </c>
      <c r="AW219" s="337">
        <f t="shared" si="205"/>
        <v>6.686390471559303</v>
      </c>
      <c r="AX219" s="730">
        <f t="shared" si="206"/>
        <v>178.1029560819581</v>
      </c>
      <c r="AY219" s="360">
        <f t="shared" si="207"/>
        <v>-1.8970439180419021</v>
      </c>
      <c r="BB219" s="337">
        <f t="shared" si="208"/>
        <v>-14.663997008098363</v>
      </c>
      <c r="BC219" s="730">
        <f t="shared" si="209"/>
        <v>-89.947046722184467</v>
      </c>
      <c r="BD219" s="351"/>
      <c r="BE219" s="337">
        <f t="shared" si="170"/>
        <v>48.633443837257325</v>
      </c>
      <c r="BF219" s="730">
        <f t="shared" si="171"/>
        <v>-78.836302611485493</v>
      </c>
      <c r="BI219" s="351"/>
      <c r="BJ219" s="351"/>
      <c r="BL219" s="405">
        <f t="shared" si="172"/>
        <v>0</v>
      </c>
      <c r="BM219" s="405">
        <f t="shared" si="210"/>
        <v>0</v>
      </c>
      <c r="BN219" s="405">
        <f t="shared" si="173"/>
        <v>0</v>
      </c>
      <c r="BO219" s="405">
        <f t="shared" si="174"/>
        <v>0</v>
      </c>
    </row>
    <row r="220" spans="4:67" ht="13.5" thickBot="1" x14ac:dyDescent="0.25">
      <c r="D220" s="345">
        <v>12735.5</v>
      </c>
      <c r="E220" s="340" t="str">
        <f t="shared" si="161"/>
        <v>0.211251497106106i</v>
      </c>
      <c r="F220" s="728" t="str">
        <f t="shared" si="175"/>
        <v>0.005-0.20486807959923i</v>
      </c>
      <c r="G220" s="337" t="str">
        <f t="shared" si="176"/>
        <v>0.005-0.320434688603923i</v>
      </c>
      <c r="H220" s="338" t="str">
        <f t="shared" si="177"/>
        <v>0.0829748671645741-0.297359491470347i</v>
      </c>
      <c r="I220" s="338" t="str">
        <f t="shared" si="178"/>
        <v>0.0929748671645741-0.297359491470347i</v>
      </c>
      <c r="J220" s="337" t="str">
        <f t="shared" si="179"/>
        <v>0.0167661231589892-0.123643654587563i</v>
      </c>
      <c r="K220" s="338" t="str">
        <f t="shared" si="162"/>
        <v>0.998197855997222-0.0666829220663213i</v>
      </c>
      <c r="L220" s="732"/>
      <c r="M220" s="732" t="str">
        <f t="shared" si="163"/>
        <v>49.7321169182983-259.864694167898i</v>
      </c>
      <c r="N220" s="337">
        <f t="shared" si="164"/>
        <v>0</v>
      </c>
      <c r="O220" s="730" t="str">
        <f t="shared" si="165"/>
        <v>2.20711229290961-105.93914962819i</v>
      </c>
      <c r="P220" s="731" t="str">
        <f t="shared" si="166"/>
        <v>-31.2968056879889-10.5059841532464i</v>
      </c>
      <c r="Q220" s="729" t="str">
        <f t="shared" si="167"/>
        <v>-31.318876810918-9.4465926569645i</v>
      </c>
      <c r="R220" s="730"/>
      <c r="S220" s="405" t="str">
        <f t="shared" si="180"/>
        <v>39.6467163369293+0.447052791996951i</v>
      </c>
      <c r="T220" s="405" t="str">
        <f t="shared" si="181"/>
        <v>15.6838930404596-2.48255368765717i</v>
      </c>
      <c r="U220" s="405" t="str">
        <f t="shared" si="182"/>
        <v>0.563158039545943-4.86974402124862i</v>
      </c>
      <c r="V220" s="731" t="str">
        <f t="shared" si="168"/>
        <v>6000</v>
      </c>
      <c r="W220" s="733" t="str">
        <f>IMSUM(COMPLEX(1,0),IMDIV(COMPLEX(0,2*PI()*D220),COMPLEX(2*PI()*'Stability Calculations'!EA_Pole1,0)))</f>
        <v>1+80819.7015443815i</v>
      </c>
      <c r="X220" s="734">
        <f t="shared" si="183"/>
        <v>80819.701550568119</v>
      </c>
      <c r="Y220" s="735">
        <f t="shared" si="184"/>
        <v>1.5707839535742483</v>
      </c>
      <c r="Z220" s="340" t="str">
        <f>IMSUM(COMPLEX(1,0),IMDIV(COMPLEX(0,2*PI()*D220),COMPLEX(2*PI()*'Stability Calculations'!EA_Zero1,0)))</f>
        <v>1+800.195064795856i</v>
      </c>
      <c r="AA220" s="734">
        <f t="shared" si="185"/>
        <v>800.19568964325481</v>
      </c>
      <c r="AB220" s="735">
        <f t="shared" si="186"/>
        <v>1.5695466321599063</v>
      </c>
      <c r="AC220" s="733" t="str">
        <f>IMSUM(COMPLEX(1,0),IMDIV(COMPLEX(0,2*PI()*D220),COMPLEX(2*PI()*'Stability Calculations'!EA_Pole2,0)))</f>
        <v>1+8.06072987872779i</v>
      </c>
      <c r="AD220" s="734">
        <f t="shared" si="187"/>
        <v>8.1225221561910761</v>
      </c>
      <c r="AE220" s="735">
        <f t="shared" si="188"/>
        <v>1.4473687061997837</v>
      </c>
      <c r="AF220" s="732" t="str">
        <f t="shared" si="189"/>
        <v>0.891445500891618-7.25920566536682i</v>
      </c>
      <c r="AG220" s="337">
        <f t="shared" si="190"/>
        <v>7.3137365260961955</v>
      </c>
      <c r="AH220" s="730">
        <f t="shared" si="191"/>
        <v>-1.4486060276141257</v>
      </c>
      <c r="AI220" s="731" t="str">
        <f t="shared" si="169"/>
        <v>10000</v>
      </c>
      <c r="AJ220" s="733" t="str">
        <f t="shared" si="192"/>
        <v>1+75346.2072621651i</v>
      </c>
      <c r="AK220" s="734">
        <f t="shared" si="193"/>
        <v>75346.207268801139</v>
      </c>
      <c r="AL220" s="735">
        <f t="shared" si="194"/>
        <v>1.5707830547267159</v>
      </c>
      <c r="AM220" s="340" t="str">
        <f t="shared" si="195"/>
        <v>1+127.871171354378i</v>
      </c>
      <c r="AN220" s="734">
        <f t="shared" si="196"/>
        <v>127.8750814800941</v>
      </c>
      <c r="AO220" s="735">
        <f t="shared" si="197"/>
        <v>1.5629761152171893</v>
      </c>
      <c r="AP220" s="733" t="str">
        <f t="shared" si="198"/>
        <v>1+6.20196258467299i</v>
      </c>
      <c r="AQ220" s="734">
        <f t="shared" si="199"/>
        <v>6.2820649393080679</v>
      </c>
      <c r="AR220" s="735">
        <f t="shared" si="200"/>
        <v>1.4109329495636977</v>
      </c>
      <c r="AS220" s="732" t="str">
        <f t="shared" si="201"/>
        <v>0.0168872944210901-18.3778563287749i</v>
      </c>
      <c r="AT220" s="337">
        <f t="shared" si="202"/>
        <v>18.37786408758658</v>
      </c>
      <c r="AU220" s="730">
        <f t="shared" si="203"/>
        <v>-1.5698774334612038</v>
      </c>
      <c r="AV220" s="732" t="str">
        <f t="shared" si="204"/>
        <v>-2.13310636939819+0.0722870908609368i</v>
      </c>
      <c r="AW220" s="337">
        <f t="shared" si="205"/>
        <v>6.5852348639421745</v>
      </c>
      <c r="AX220" s="730">
        <f t="shared" si="206"/>
        <v>178.05909311485482</v>
      </c>
      <c r="AY220" s="360">
        <f t="shared" si="207"/>
        <v>-1.9409068851451821</v>
      </c>
      <c r="BB220" s="337">
        <f t="shared" si="208"/>
        <v>-14.714099291944311</v>
      </c>
      <c r="BC220" s="730">
        <f t="shared" si="209"/>
        <v>-89.947351290156703</v>
      </c>
      <c r="BD220" s="351"/>
      <c r="BE220" s="337">
        <f t="shared" si="170"/>
        <v>48.451162969247584</v>
      </c>
      <c r="BF220" s="730">
        <f t="shared" si="171"/>
        <v>-79.165906652844143</v>
      </c>
      <c r="BI220" s="351"/>
      <c r="BJ220" s="351"/>
      <c r="BL220" s="405">
        <f t="shared" si="172"/>
        <v>0</v>
      </c>
      <c r="BM220" s="405">
        <f t="shared" si="210"/>
        <v>0</v>
      </c>
      <c r="BN220" s="405">
        <f t="shared" si="173"/>
        <v>0</v>
      </c>
      <c r="BO220" s="405">
        <f t="shared" si="174"/>
        <v>0</v>
      </c>
    </row>
    <row r="221" spans="4:67" ht="13.5" thickBot="1" x14ac:dyDescent="0.25">
      <c r="D221" s="345">
        <v>12808.75</v>
      </c>
      <c r="E221" s="340" t="str">
        <f t="shared" si="161"/>
        <v>0.212466539480808i</v>
      </c>
      <c r="F221" s="728" t="str">
        <f t="shared" si="175"/>
        <v>0.005-0.203696490893802i</v>
      </c>
      <c r="G221" s="337" t="str">
        <f t="shared" si="176"/>
        <v>0.005-0.318602203705691i</v>
      </c>
      <c r="H221" s="338" t="str">
        <f t="shared" si="177"/>
        <v>0.0821419930928498-0.295876175573613i</v>
      </c>
      <c r="I221" s="338" t="str">
        <f t="shared" si="178"/>
        <v>0.0921419930928498-0.295876175573613i</v>
      </c>
      <c r="J221" s="337" t="str">
        <f t="shared" si="179"/>
        <v>0.0166235169367666-0.122951222971715i</v>
      </c>
      <c r="K221" s="338" t="str">
        <f t="shared" si="162"/>
        <v>0.998177065815972-0.0670664581694471i</v>
      </c>
      <c r="L221" s="732"/>
      <c r="M221" s="732" t="str">
        <f t="shared" si="163"/>
        <v>47.3276909013306-254.853004138195i</v>
      </c>
      <c r="N221" s="337">
        <f t="shared" si="164"/>
        <v>0</v>
      </c>
      <c r="O221" s="730" t="str">
        <f t="shared" si="165"/>
        <v>1.67097619027735-103.765377129781i</v>
      </c>
      <c r="P221" s="731" t="str">
        <f t="shared" si="166"/>
        <v>-30.5477358655302-10.055550707423i</v>
      </c>
      <c r="Q221" s="729" t="str">
        <f t="shared" si="167"/>
        <v>-30.564445627433-9.0178969361252i</v>
      </c>
      <c r="R221" s="730"/>
      <c r="S221" s="405" t="str">
        <f t="shared" si="180"/>
        <v>39.6517723789578+0.414897380202599i</v>
      </c>
      <c r="T221" s="405" t="str">
        <f t="shared" si="181"/>
        <v>15.6806831471109-2.48308383326178i</v>
      </c>
      <c r="U221" s="405" t="str">
        <f t="shared" si="182"/>
        <v>0.553357218546979-4.84350601502949i</v>
      </c>
      <c r="V221" s="731" t="str">
        <f t="shared" si="168"/>
        <v>6000</v>
      </c>
      <c r="W221" s="733" t="str">
        <f>IMSUM(COMPLEX(1,0),IMDIV(COMPLEX(0,2*PI()*D221),COMPLEX(2*PI()*'Stability Calculations'!EA_Pole1,0)))</f>
        <v>1+81284.5473013699i</v>
      </c>
      <c r="X221" s="734">
        <f t="shared" si="183"/>
        <v>81284.547307521119</v>
      </c>
      <c r="Y221" s="735">
        <f t="shared" si="184"/>
        <v>1.570784024333566</v>
      </c>
      <c r="Z221" s="340" t="str">
        <f>IMSUM(COMPLEX(1,0),IMDIV(COMPLEX(0,2*PI()*D221),COMPLEX(2*PI()*'Stability Calculations'!EA_Zero1,0)))</f>
        <v>1+804.797498033365i</v>
      </c>
      <c r="AA221" s="734">
        <f t="shared" si="185"/>
        <v>804.79811930742244</v>
      </c>
      <c r="AB221" s="735">
        <f t="shared" si="186"/>
        <v>1.5695537788399119</v>
      </c>
      <c r="AC221" s="733" t="str">
        <f>IMSUM(COMPLEX(1,0),IMDIV(COMPLEX(0,2*PI()*D221),COMPLEX(2*PI()*'Stability Calculations'!EA_Pole2,0)))</f>
        <v>1+8.10709228802596i</v>
      </c>
      <c r="AD221" s="734">
        <f t="shared" si="187"/>
        <v>8.1685338566091517</v>
      </c>
      <c r="AE221" s="735">
        <f t="shared" si="188"/>
        <v>1.4480674709909254</v>
      </c>
      <c r="AF221" s="732" t="str">
        <f t="shared" si="189"/>
        <v>0.881431120181676-7.2189273655401i</v>
      </c>
      <c r="AG221" s="337">
        <f t="shared" si="190"/>
        <v>7.2725396615328579</v>
      </c>
      <c r="AH221" s="730">
        <f t="shared" si="191"/>
        <v>-1.4492977164845786</v>
      </c>
      <c r="AI221" s="731" t="str">
        <f t="shared" si="169"/>
        <v>10000</v>
      </c>
      <c r="AJ221" s="733" t="str">
        <f t="shared" si="192"/>
        <v>1+75779.5714553223i</v>
      </c>
      <c r="AK221" s="734">
        <f t="shared" si="193"/>
        <v>75779.571461920379</v>
      </c>
      <c r="AL221" s="735">
        <f t="shared" si="194"/>
        <v>1.5707831306263154</v>
      </c>
      <c r="AM221" s="340" t="str">
        <f t="shared" si="195"/>
        <v>1+128.606640185732i</v>
      </c>
      <c r="AN221" s="734">
        <f t="shared" si="196"/>
        <v>128.61052795110646</v>
      </c>
      <c r="AO221" s="735">
        <f t="shared" si="197"/>
        <v>1.563020835220603</v>
      </c>
      <c r="AP221" s="733" t="str">
        <f t="shared" si="198"/>
        <v>1+6.23763403528956i</v>
      </c>
      <c r="AQ221" s="734">
        <f t="shared" si="199"/>
        <v>6.3172840966829025</v>
      </c>
      <c r="AR221" s="735">
        <f t="shared" si="200"/>
        <v>1.4118318011714688</v>
      </c>
      <c r="AS221" s="732" t="str">
        <f t="shared" si="201"/>
        <v>0.0166946985381199-18.2727581949042i</v>
      </c>
      <c r="AT221" s="337">
        <f t="shared" si="202"/>
        <v>18.272765821363713</v>
      </c>
      <c r="AU221" s="730">
        <f t="shared" si="203"/>
        <v>-1.5698826883767207</v>
      </c>
      <c r="AV221" s="732" t="str">
        <f t="shared" si="204"/>
        <v>-2.10849593259183+0.0730606682834298i</v>
      </c>
      <c r="AW221" s="337">
        <f t="shared" si="205"/>
        <v>6.4846666441550624</v>
      </c>
      <c r="AX221" s="730">
        <f t="shared" si="206"/>
        <v>178.01546034423228</v>
      </c>
      <c r="AY221" s="360">
        <f t="shared" si="207"/>
        <v>-1.9845396557677191</v>
      </c>
      <c r="BB221" s="337">
        <f t="shared" si="208"/>
        <v>-14.76391423078789</v>
      </c>
      <c r="BC221" s="730">
        <f t="shared" si="209"/>
        <v>-89.947652374637514</v>
      </c>
      <c r="BD221" s="351"/>
      <c r="BE221" s="337">
        <f t="shared" si="170"/>
        <v>48.273044086837238</v>
      </c>
      <c r="BF221" s="730">
        <f t="shared" si="171"/>
        <v>-79.47968352439301</v>
      </c>
      <c r="BI221" s="351"/>
      <c r="BJ221" s="351"/>
      <c r="BL221" s="405">
        <f t="shared" si="172"/>
        <v>0</v>
      </c>
      <c r="BM221" s="405">
        <f t="shared" si="210"/>
        <v>0</v>
      </c>
      <c r="BN221" s="405">
        <f t="shared" si="173"/>
        <v>0</v>
      </c>
      <c r="BO221" s="405">
        <f t="shared" si="174"/>
        <v>0</v>
      </c>
    </row>
    <row r="222" spans="4:67" ht="13.5" thickBot="1" x14ac:dyDescent="0.25">
      <c r="D222" s="345">
        <v>12882</v>
      </c>
      <c r="E222" s="340" t="str">
        <f t="shared" si="161"/>
        <v>0.213681581855511i</v>
      </c>
      <c r="F222" s="728" t="str">
        <f t="shared" si="175"/>
        <v>0.005-0.202538226031361i</v>
      </c>
      <c r="G222" s="337" t="str">
        <f t="shared" si="176"/>
        <v>0.005-0.316790558664436i</v>
      </c>
      <c r="H222" s="338" t="str">
        <f t="shared" si="177"/>
        <v>0.0813220927585918-0.294406364402436i</v>
      </c>
      <c r="I222" s="338" t="str">
        <f t="shared" si="178"/>
        <v>0.0913220927585918-0.294406364402436i</v>
      </c>
      <c r="J222" s="337" t="str">
        <f t="shared" si="179"/>
        <v>0.0164833035562102-0.12226642522799i</v>
      </c>
      <c r="K222" s="338" t="str">
        <f t="shared" si="162"/>
        <v>0.9981561564-0.0674499942725729i</v>
      </c>
      <c r="L222" s="732"/>
      <c r="M222" s="732" t="str">
        <f t="shared" si="163"/>
        <v>45.0842107813464-250.033628025505i</v>
      </c>
      <c r="N222" s="337">
        <f t="shared" si="164"/>
        <v>0</v>
      </c>
      <c r="O222" s="730" t="str">
        <f t="shared" si="165"/>
        <v>1.18187122505354-101.680927204024i</v>
      </c>
      <c r="P222" s="731" t="str">
        <f t="shared" si="166"/>
        <v>-29.8275811535624-9.63366547646538i</v>
      </c>
      <c r="Q222" s="729" t="str">
        <f t="shared" si="167"/>
        <v>-29.8393998658129-8.61685620442514i</v>
      </c>
      <c r="R222" s="730"/>
      <c r="S222" s="405" t="str">
        <f t="shared" si="180"/>
        <v>39.6567189960741+0.382914587264224i</v>
      </c>
      <c r="T222" s="405" t="str">
        <f t="shared" si="181"/>
        <v>15.6775095096649-2.48368150648314i</v>
      </c>
      <c r="U222" s="405" t="str">
        <f t="shared" si="182"/>
        <v>0.543716239911418-4.8175367554781i</v>
      </c>
      <c r="V222" s="731" t="str">
        <f t="shared" si="168"/>
        <v>6000</v>
      </c>
      <c r="W222" s="733" t="str">
        <f>IMSUM(COMPLEX(1,0),IMDIV(COMPLEX(0,2*PI()*D222),COMPLEX(2*PI()*'Stability Calculations'!EA_Pole1,0)))</f>
        <v>1+81749.3930583583i</v>
      </c>
      <c r="X222" s="734">
        <f t="shared" si="183"/>
        <v>81749.393064474541</v>
      </c>
      <c r="Y222" s="735">
        <f t="shared" si="184"/>
        <v>1.5707840942881766</v>
      </c>
      <c r="Z222" s="340" t="str">
        <f>IMSUM(COMPLEX(1,0),IMDIV(COMPLEX(0,2*PI()*D222),COMPLEX(2*PI()*'Stability Calculations'!EA_Zero1,0)))</f>
        <v>1+809.399931270874i</v>
      </c>
      <c r="AA222" s="734">
        <f t="shared" si="185"/>
        <v>809.40054901222766</v>
      </c>
      <c r="AB222" s="735">
        <f t="shared" si="186"/>
        <v>1.5695608442447262</v>
      </c>
      <c r="AC222" s="733" t="str">
        <f>IMSUM(COMPLEX(1,0),IMDIV(COMPLEX(0,2*PI()*D222),COMPLEX(2*PI()*'Stability Calculations'!EA_Pole2,0)))</f>
        <v>1+8.15345469732413i</v>
      </c>
      <c r="AD222" s="734">
        <f t="shared" si="187"/>
        <v>8.2145495008135985</v>
      </c>
      <c r="AE222" s="735">
        <f t="shared" si="188"/>
        <v>1.4487584075404172</v>
      </c>
      <c r="AF222" s="732" t="str">
        <f t="shared" si="189"/>
        <v>0.871583709920076-7.1790866505048i</v>
      </c>
      <c r="AG222" s="337">
        <f t="shared" si="190"/>
        <v>7.2318008337380446</v>
      </c>
      <c r="AH222" s="730">
        <f t="shared" si="191"/>
        <v>-1.4499816575838669</v>
      </c>
      <c r="AI222" s="731" t="str">
        <f t="shared" si="169"/>
        <v>10000</v>
      </c>
      <c r="AJ222" s="733" t="str">
        <f t="shared" si="192"/>
        <v>1+76212.9356484795i</v>
      </c>
      <c r="AK222" s="734">
        <f t="shared" si="193"/>
        <v>76212.93565504007</v>
      </c>
      <c r="AL222" s="735">
        <f t="shared" si="194"/>
        <v>1.5707832056627498</v>
      </c>
      <c r="AM222" s="340" t="str">
        <f t="shared" si="195"/>
        <v>1+129.342109017086i</v>
      </c>
      <c r="AN222" s="734">
        <f t="shared" si="196"/>
        <v>129.34597467639938</v>
      </c>
      <c r="AO222" s="735">
        <f t="shared" si="197"/>
        <v>1.563065046678243</v>
      </c>
      <c r="AP222" s="733" t="str">
        <f t="shared" si="198"/>
        <v>1+6.27330548590612i</v>
      </c>
      <c r="AQ222" s="734">
        <f t="shared" si="199"/>
        <v>6.3525083014113273</v>
      </c>
      <c r="AR222" s="735">
        <f t="shared" si="200"/>
        <v>1.4127206853548695</v>
      </c>
      <c r="AS222" s="732" t="str">
        <f t="shared" si="201"/>
        <v>0.0165053787345408-18.1688552821384i</v>
      </c>
      <c r="AT222" s="337">
        <f t="shared" si="202"/>
        <v>18.168862779238978</v>
      </c>
      <c r="AU222" s="730">
        <f t="shared" si="203"/>
        <v>-1.5698878835309831</v>
      </c>
      <c r="AV222" s="732" t="str">
        <f t="shared" si="204"/>
        <v>-2.08430782958072+0.0738035400224841i</v>
      </c>
      <c r="AW222" s="337">
        <f t="shared" si="205"/>
        <v>6.38467900220156</v>
      </c>
      <c r="AX222" s="730">
        <f t="shared" si="206"/>
        <v>177.97205320203994</v>
      </c>
      <c r="AY222" s="360">
        <f t="shared" si="207"/>
        <v>-2.0279467979600554</v>
      </c>
      <c r="BB222" s="337">
        <f t="shared" si="208"/>
        <v>-14.813445101783795</v>
      </c>
      <c r="BC222" s="730">
        <f t="shared" si="209"/>
        <v>-89.947950035050667</v>
      </c>
      <c r="BD222" s="351"/>
      <c r="BE222" s="337">
        <f t="shared" si="170"/>
        <v>48.09892217874193</v>
      </c>
      <c r="BF222" s="730">
        <f t="shared" si="171"/>
        <v>-79.778679273134074</v>
      </c>
      <c r="BI222" s="351"/>
      <c r="BJ222" s="351"/>
      <c r="BL222" s="405">
        <f t="shared" si="172"/>
        <v>0</v>
      </c>
      <c r="BM222" s="405">
        <f t="shared" si="210"/>
        <v>0</v>
      </c>
      <c r="BN222" s="405">
        <f t="shared" si="173"/>
        <v>0</v>
      </c>
      <c r="BO222" s="405">
        <f t="shared" si="174"/>
        <v>0</v>
      </c>
    </row>
    <row r="223" spans="4:67" ht="13.5" thickBot="1" x14ac:dyDescent="0.25">
      <c r="D223" s="345">
        <v>12957.25</v>
      </c>
      <c r="E223" s="340" t="str">
        <f t="shared" si="161"/>
        <v>0.214929799448635i</v>
      </c>
      <c r="F223" s="728" t="str">
        <f t="shared" si="175"/>
        <v>0.005-0.201361973237839i</v>
      </c>
      <c r="G223" s="337" t="str">
        <f t="shared" si="176"/>
        <v>0.005-0.314950778654055i</v>
      </c>
      <c r="H223" s="338" t="str">
        <f t="shared" si="177"/>
        <v>0.0804930410095302-0.292910314941541i</v>
      </c>
      <c r="I223" s="338" t="str">
        <f t="shared" si="178"/>
        <v>0.0904930410095302-0.292910314941541i</v>
      </c>
      <c r="J223" s="337" t="str">
        <f t="shared" si="179"/>
        <v>0.0163416978127068-0.121570748855911i</v>
      </c>
      <c r="K223" s="338" t="str">
        <f t="shared" si="162"/>
        <v>0.998134551915972-0.0678440023512106i</v>
      </c>
      <c r="L223" s="732"/>
      <c r="M223" s="732" t="str">
        <f t="shared" si="163"/>
        <v>42.9328330266704-245.272466579896i</v>
      </c>
      <c r="N223" s="337">
        <f t="shared" si="164"/>
        <v>0</v>
      </c>
      <c r="O223" s="730" t="str">
        <f t="shared" si="165"/>
        <v>0.72367614506967-99.6272518200212i</v>
      </c>
      <c r="P223" s="731" t="str">
        <f t="shared" si="166"/>
        <v>-29.1163620522892-9.227545192184i</v>
      </c>
      <c r="Q223" s="729" t="str">
        <f t="shared" si="167"/>
        <v>-29.1235988137399-8.23127267398379i</v>
      </c>
      <c r="R223" s="730"/>
      <c r="S223" s="405" t="str">
        <f t="shared" si="180"/>
        <v>39.6616890263861+0.350235642292181i</v>
      </c>
      <c r="T223" s="405" t="str">
        <f t="shared" si="181"/>
        <v>15.6742860665979-2.48436476484189i</v>
      </c>
      <c r="U223" s="405" t="str">
        <f t="shared" si="182"/>
        <v>0.533974885454263-4.79113414315004i</v>
      </c>
      <c r="V223" s="731" t="str">
        <f t="shared" si="168"/>
        <v>6000</v>
      </c>
      <c r="W223" s="733" t="str">
        <f>IMSUM(COMPLEX(1,0),IMDIV(COMPLEX(0,2*PI()*D223),COMPLEX(2*PI()*'Stability Calculations'!EA_Pole1,0)))</f>
        <v>1+82226.9308496672i</v>
      </c>
      <c r="X223" s="734">
        <f t="shared" si="183"/>
        <v>82226.930855747938</v>
      </c>
      <c r="Y223" s="735">
        <f t="shared" si="184"/>
        <v>1.5707841653291867</v>
      </c>
      <c r="Z223" s="340" t="str">
        <f>IMSUM(COMPLEX(1,0),IMDIV(COMPLEX(0,2*PI()*D223),COMPLEX(2*PI()*'Stability Calculations'!EA_Zero1,0)))</f>
        <v>1+814.128028214527i</v>
      </c>
      <c r="AA223" s="734">
        <f t="shared" si="185"/>
        <v>814.12864236831376</v>
      </c>
      <c r="AB223" s="735">
        <f t="shared" si="186"/>
        <v>1.5695680193758781</v>
      </c>
      <c r="AC223" s="733" t="str">
        <f>IMSUM(COMPLEX(1,0),IMDIV(COMPLEX(0,2*PI()*D223),COMPLEX(2*PI()*'Stability Calculations'!EA_Pole2,0)))</f>
        <v>1+8.20108297445296i</v>
      </c>
      <c r="AD223" s="734">
        <f t="shared" si="187"/>
        <v>8.2618255823917153</v>
      </c>
      <c r="AE223" s="735">
        <f t="shared" si="188"/>
        <v>1.4494601942419916</v>
      </c>
      <c r="AF223" s="732" t="str">
        <f t="shared" si="189"/>
        <v>0.861637440702756-7.1386064760408i</v>
      </c>
      <c r="AG223" s="337">
        <f t="shared" si="190"/>
        <v>7.1904187290443975</v>
      </c>
      <c r="AH223" s="730">
        <f t="shared" si="191"/>
        <v>-1.4506763401953002</v>
      </c>
      <c r="AI223" s="731" t="str">
        <f t="shared" si="169"/>
        <v>10000</v>
      </c>
      <c r="AJ223" s="733" t="str">
        <f t="shared" si="192"/>
        <v>1+76658.1323110745i</v>
      </c>
      <c r="AK223" s="734">
        <f t="shared" si="193"/>
        <v>76658.132317596959</v>
      </c>
      <c r="AL223" s="735">
        <f t="shared" si="194"/>
        <v>1.5707832818645051</v>
      </c>
      <c r="AM223" s="340" t="str">
        <f t="shared" si="195"/>
        <v>1+130.097658908681i</v>
      </c>
      <c r="AN223" s="734">
        <f t="shared" si="196"/>
        <v>130.10150211861315</v>
      </c>
      <c r="AO223" s="735">
        <f t="shared" si="197"/>
        <v>1.5631099447737196</v>
      </c>
      <c r="AP223" s="733" t="str">
        <f t="shared" si="198"/>
        <v>1+6.30995090104465i</v>
      </c>
      <c r="AQ223" s="734">
        <f t="shared" si="199"/>
        <v>6.3886994273947648</v>
      </c>
      <c r="AR223" s="735">
        <f t="shared" si="200"/>
        <v>1.4136236318313364</v>
      </c>
      <c r="AS223" s="732" t="str">
        <f t="shared" si="201"/>
        <v>0.0163142236424097-18.0633387471503i</v>
      </c>
      <c r="AT223" s="337">
        <f t="shared" si="202"/>
        <v>18.063346114388505</v>
      </c>
      <c r="AU223" s="730">
        <f t="shared" si="203"/>
        <v>-1.5698931593663898</v>
      </c>
      <c r="AV223" s="732" t="str">
        <f t="shared" si="204"/>
        <v>-2.05988898839785+0.0745358309651949i</v>
      </c>
      <c r="AW223" s="337">
        <f t="shared" si="205"/>
        <v>6.2825588625703617</v>
      </c>
      <c r="AX223" s="730">
        <f t="shared" si="206"/>
        <v>177.92769116106356</v>
      </c>
      <c r="AY223" s="360">
        <f t="shared" si="207"/>
        <v>-2.0723088389364364</v>
      </c>
      <c r="BB223" s="337">
        <f t="shared" si="208"/>
        <v>-14.864035928281137</v>
      </c>
      <c r="BC223" s="730">
        <f t="shared" si="209"/>
        <v>-89.948252318152882</v>
      </c>
      <c r="BD223" s="351"/>
      <c r="BE223" s="337">
        <f t="shared" si="170"/>
        <v>47.924043750119466</v>
      </c>
      <c r="BF223" s="730">
        <f t="shared" si="171"/>
        <v>-80.071453607950872</v>
      </c>
      <c r="BI223" s="351"/>
      <c r="BJ223" s="351"/>
      <c r="BL223" s="405">
        <f t="shared" si="172"/>
        <v>0</v>
      </c>
      <c r="BM223" s="405">
        <f t="shared" si="210"/>
        <v>0</v>
      </c>
      <c r="BN223" s="405">
        <f t="shared" si="173"/>
        <v>0</v>
      </c>
      <c r="BO223" s="405">
        <f t="shared" si="174"/>
        <v>0</v>
      </c>
    </row>
    <row r="224" spans="4:67" ht="13.5" thickBot="1" x14ac:dyDescent="0.25">
      <c r="D224" s="345">
        <v>13032.5</v>
      </c>
      <c r="E224" s="340" t="str">
        <f t="shared" si="161"/>
        <v>0.216178017041759i</v>
      </c>
      <c r="F224" s="728" t="str">
        <f t="shared" si="175"/>
        <v>0.005-0.200199303873853i</v>
      </c>
      <c r="G224" s="337" t="str">
        <f t="shared" si="176"/>
        <v>0.005-0.313132244520642i</v>
      </c>
      <c r="H224" s="338" t="str">
        <f t="shared" si="177"/>
        <v>0.0796771282206387-0.291428174218358i</v>
      </c>
      <c r="I224" s="338" t="str">
        <f t="shared" si="178"/>
        <v>0.0896771282206387-0.291428174218358i</v>
      </c>
      <c r="J224" s="337" t="str">
        <f t="shared" si="179"/>
        <v>0.0162025054471944-0.120882866195719i</v>
      </c>
      <c r="K224" s="338" t="str">
        <f t="shared" si="162"/>
        <v>0.998112821597222-0.0682380104298483i</v>
      </c>
      <c r="L224" s="732"/>
      <c r="M224" s="732" t="str">
        <f t="shared" si="163"/>
        <v>40.9237948886324-240.693590248409i</v>
      </c>
      <c r="N224" s="337">
        <f t="shared" si="164"/>
        <v>0</v>
      </c>
      <c r="O224" s="730" t="str">
        <f t="shared" si="165"/>
        <v>0.306052622926239-97.6573697831525i</v>
      </c>
      <c r="P224" s="731" t="str">
        <f t="shared" si="166"/>
        <v>-28.4326630545627-8.84682482884822i</v>
      </c>
      <c r="Q224" s="729" t="str">
        <f t="shared" si="167"/>
        <v>-28.435723580792-7.87025113101669i</v>
      </c>
      <c r="R224" s="730"/>
      <c r="S224" s="405" t="str">
        <f t="shared" si="180"/>
        <v>39.6665481936115+0.31773351692846i</v>
      </c>
      <c r="T224" s="405" t="str">
        <f t="shared" si="181"/>
        <v>15.6710990628742-2.48511716676338i</v>
      </c>
      <c r="U224" s="405" t="str">
        <f t="shared" si="182"/>
        <v>0.524395010762406-4.76500678702795i</v>
      </c>
      <c r="V224" s="731" t="str">
        <f t="shared" si="168"/>
        <v>6000</v>
      </c>
      <c r="W224" s="733" t="str">
        <f>IMSUM(COMPLEX(1,0),IMDIV(COMPLEX(0,2*PI()*D224),COMPLEX(2*PI()*'Stability Calculations'!EA_Pole1,0)))</f>
        <v>1+82704.4686409762i</v>
      </c>
      <c r="X224" s="734">
        <f t="shared" si="183"/>
        <v>82704.468647021829</v>
      </c>
      <c r="Y224" s="735">
        <f t="shared" si="184"/>
        <v>1.5707842355498118</v>
      </c>
      <c r="Z224" s="340" t="str">
        <f>IMSUM(COMPLEX(1,0),IMDIV(COMPLEX(0,2*PI()*D224),COMPLEX(2*PI()*'Stability Calculations'!EA_Zero1,0)))</f>
        <v>1+818.85612515818i</v>
      </c>
      <c r="AA224" s="734">
        <f t="shared" si="185"/>
        <v>818.85673576582906</v>
      </c>
      <c r="AB224" s="735">
        <f t="shared" si="186"/>
        <v>1.5695751116483596</v>
      </c>
      <c r="AC224" s="733" t="str">
        <f>IMSUM(COMPLEX(1,0),IMDIV(COMPLEX(0,2*PI()*D224),COMPLEX(2*PI()*'Stability Calculations'!EA_Pole2,0)))</f>
        <v>1+8.2487112515818i</v>
      </c>
      <c r="AD224" s="734">
        <f t="shared" si="187"/>
        <v>8.3091056866531794</v>
      </c>
      <c r="AE224" s="735">
        <f t="shared" si="188"/>
        <v>1.4501539947309718</v>
      </c>
      <c r="AF224" s="732" t="str">
        <f t="shared" si="189"/>
        <v>0.851859636323568-7.09857334562556i</v>
      </c>
      <c r="AG224" s="337">
        <f t="shared" si="190"/>
        <v>7.1495040655434963</v>
      </c>
      <c r="AH224" s="730">
        <f t="shared" si="191"/>
        <v>-1.4513631186324243</v>
      </c>
      <c r="AI224" s="731" t="str">
        <f t="shared" si="169"/>
        <v>10000</v>
      </c>
      <c r="AJ224" s="733" t="str">
        <f t="shared" si="192"/>
        <v>1+77103.3289736695i</v>
      </c>
      <c r="AK224" s="734">
        <f t="shared" si="193"/>
        <v>77103.3289801543</v>
      </c>
      <c r="AL224" s="735">
        <f t="shared" si="194"/>
        <v>1.5707833571862784</v>
      </c>
      <c r="AM224" s="340" t="str">
        <f t="shared" si="195"/>
        <v>1+130.853208800277i</v>
      </c>
      <c r="AN224" s="734">
        <f t="shared" si="196"/>
        <v>130.85702982006313</v>
      </c>
      <c r="AO224" s="735">
        <f t="shared" si="197"/>
        <v>1.5631543244140682</v>
      </c>
      <c r="AP224" s="733" t="str">
        <f t="shared" si="198"/>
        <v>1+6.34659631618317i</v>
      </c>
      <c r="AQ224" s="734">
        <f t="shared" si="199"/>
        <v>6.4248957034795353</v>
      </c>
      <c r="AR224" s="735">
        <f t="shared" si="200"/>
        <v>1.4145164050738521</v>
      </c>
      <c r="AS224" s="732" t="str">
        <f t="shared" si="201"/>
        <v>0.0161263701816367-17.95904071973i</v>
      </c>
      <c r="AT224" s="337">
        <f t="shared" si="202"/>
        <v>17.959047960087847</v>
      </c>
      <c r="AU224" s="730">
        <f t="shared" si="203"/>
        <v>-1.5698983742762196</v>
      </c>
      <c r="AV224" s="732" t="str">
        <f t="shared" si="204"/>
        <v>-2.03589558948499+0.0752379343945279i</v>
      </c>
      <c r="AW224" s="337">
        <f t="shared" si="205"/>
        <v>6.1810372449931803</v>
      </c>
      <c r="AX224" s="730">
        <f t="shared" si="206"/>
        <v>177.88355784638776</v>
      </c>
      <c r="AY224" s="360">
        <f t="shared" si="207"/>
        <v>-2.1164421536122404</v>
      </c>
      <c r="BB224" s="337">
        <f t="shared" si="208"/>
        <v>-14.914333795066369</v>
      </c>
      <c r="BC224" s="730">
        <f t="shared" si="209"/>
        <v>-89.948551110476672</v>
      </c>
      <c r="BD224" s="351"/>
      <c r="BE224" s="337">
        <f t="shared" si="170"/>
        <v>47.753057261389444</v>
      </c>
      <c r="BF224" s="730">
        <f t="shared" si="171"/>
        <v>-80.3505932512019</v>
      </c>
      <c r="BI224" s="351"/>
      <c r="BJ224" s="351"/>
      <c r="BL224" s="405">
        <f t="shared" si="172"/>
        <v>0</v>
      </c>
      <c r="BM224" s="405">
        <f t="shared" si="210"/>
        <v>0</v>
      </c>
      <c r="BN224" s="405">
        <f t="shared" si="173"/>
        <v>0</v>
      </c>
      <c r="BO224" s="405">
        <f t="shared" si="174"/>
        <v>0</v>
      </c>
    </row>
    <row r="225" spans="4:67" ht="13.5" thickBot="1" x14ac:dyDescent="0.25">
      <c r="D225" s="345">
        <v>13107.75</v>
      </c>
      <c r="E225" s="340" t="str">
        <f t="shared" si="161"/>
        <v>0.217426234634884i</v>
      </c>
      <c r="F225" s="728" t="str">
        <f t="shared" si="175"/>
        <v>0.005-0.199049983996947i</v>
      </c>
      <c r="G225" s="337" t="str">
        <f t="shared" si="176"/>
        <v>0.005-0.3113345903542i</v>
      </c>
      <c r="H225" s="338" t="str">
        <f t="shared" si="177"/>
        <v>0.0788740845807547-0.289959771447556i</v>
      </c>
      <c r="I225" s="338" t="str">
        <f t="shared" si="178"/>
        <v>0.0888740845807547-0.289959771447556i</v>
      </c>
      <c r="J225" s="337" t="str">
        <f t="shared" si="179"/>
        <v>0.0160656721039361-0.120202648415453i</v>
      </c>
      <c r="K225" s="338" t="str">
        <f t="shared" si="162"/>
        <v>0.99809096544375-0.068632018508486i</v>
      </c>
      <c r="L225" s="732"/>
      <c r="M225" s="732" t="str">
        <f t="shared" si="163"/>
        <v>39.0452222093076-236.28743966419i</v>
      </c>
      <c r="N225" s="337">
        <f t="shared" si="164"/>
        <v>0</v>
      </c>
      <c r="O225" s="730" t="str">
        <f t="shared" si="165"/>
        <v>-0.074856293339883-95.7665105560299i</v>
      </c>
      <c r="P225" s="731" t="str">
        <f t="shared" si="166"/>
        <v>-27.7750882977021-8.48945564545209i</v>
      </c>
      <c r="Q225" s="729" t="str">
        <f t="shared" si="167"/>
        <v>-27.7743397347687-7.53179053989179i</v>
      </c>
      <c r="R225" s="730"/>
      <c r="S225" s="405" t="str">
        <f t="shared" si="180"/>
        <v>39.6712987452236+0.285405574016828i</v>
      </c>
      <c r="T225" s="405" t="str">
        <f t="shared" si="181"/>
        <v>15.6679476112382-2.48593766701525i</v>
      </c>
      <c r="U225" s="405" t="str">
        <f t="shared" si="182"/>
        <v>0.514973107335025-4.73915056621756i</v>
      </c>
      <c r="V225" s="731" t="str">
        <f t="shared" si="168"/>
        <v>6000</v>
      </c>
      <c r="W225" s="733" t="str">
        <f>IMSUM(COMPLEX(1,0),IMDIV(COMPLEX(0,2*PI()*D225),COMPLEX(2*PI()*'Stability Calculations'!EA_Pole1,0)))</f>
        <v>1+83182.006432285i</v>
      </c>
      <c r="X225" s="734">
        <f t="shared" si="183"/>
        <v>83182.00643829591</v>
      </c>
      <c r="Y225" s="735">
        <f t="shared" si="184"/>
        <v>1.5707843049641805</v>
      </c>
      <c r="Z225" s="340" t="str">
        <f>IMSUM(COMPLEX(1,0),IMDIV(COMPLEX(0,2*PI()*D225),COMPLEX(2*PI()*'Stability Calculations'!EA_Zero1,0)))</f>
        <v>1+823.584222101832i</v>
      </c>
      <c r="AA225" s="734">
        <f t="shared" si="185"/>
        <v>823.58482920405936</v>
      </c>
      <c r="AB225" s="735">
        <f t="shared" si="186"/>
        <v>1.5695821224892128</v>
      </c>
      <c r="AC225" s="733" t="str">
        <f>IMSUM(COMPLEX(1,0),IMDIV(COMPLEX(0,2*PI()*D225),COMPLEX(2*PI()*'Stability Calculations'!EA_Pole2,0)))</f>
        <v>1+8.29633952871063i</v>
      </c>
      <c r="AD225" s="734">
        <f t="shared" si="187"/>
        <v>8.3563897453174434</v>
      </c>
      <c r="AE225" s="735">
        <f t="shared" si="188"/>
        <v>1.4508399439019992</v>
      </c>
      <c r="AF225" s="732" t="str">
        <f t="shared" si="189"/>
        <v>0.842246532153384-7.05898001375172i</v>
      </c>
      <c r="AG225" s="337">
        <f t="shared" si="190"/>
        <v>7.1090490260984023</v>
      </c>
      <c r="AH225" s="730">
        <f t="shared" si="191"/>
        <v>-1.4520421263769663</v>
      </c>
      <c r="AI225" s="731" t="str">
        <f t="shared" si="169"/>
        <v>10000</v>
      </c>
      <c r="AJ225" s="733" t="str">
        <f t="shared" si="192"/>
        <v>1+77548.5256362644i</v>
      </c>
      <c r="AK225" s="734">
        <f t="shared" si="193"/>
        <v>77548.525642711975</v>
      </c>
      <c r="AL225" s="735">
        <f t="shared" si="194"/>
        <v>1.5707834316432256</v>
      </c>
      <c r="AM225" s="340" t="str">
        <f t="shared" si="195"/>
        <v>1+131.608758691873i</v>
      </c>
      <c r="AN225" s="734">
        <f t="shared" si="196"/>
        <v>131.61255777628384</v>
      </c>
      <c r="AO225" s="735">
        <f t="shared" si="197"/>
        <v>1.5631981945277593</v>
      </c>
      <c r="AP225" s="733" t="str">
        <f t="shared" si="198"/>
        <v>1+6.38324173132169i</v>
      </c>
      <c r="AQ225" s="734">
        <f t="shared" si="199"/>
        <v>6.4610970431101507</v>
      </c>
      <c r="AR225" s="735">
        <f t="shared" si="200"/>
        <v>1.4153991746481693</v>
      </c>
      <c r="AS225" s="732" t="str">
        <f t="shared" si="201"/>
        <v>0.0159417427533148-17.8559402140334i</v>
      </c>
      <c r="AT225" s="337">
        <f t="shared" si="202"/>
        <v>17.85594733040779</v>
      </c>
      <c r="AU225" s="730">
        <f t="shared" si="203"/>
        <v>-1.5699035293097701</v>
      </c>
      <c r="AV225" s="732" t="str">
        <f t="shared" si="204"/>
        <v>-2.01231780095286+0.0759109097775978i</v>
      </c>
      <c r="AW225" s="337">
        <f t="shared" si="205"/>
        <v>6.0801071442843231</v>
      </c>
      <c r="AX225" s="730">
        <f t="shared" si="206"/>
        <v>177.83964868555321</v>
      </c>
      <c r="AY225" s="360">
        <f t="shared" si="207"/>
        <v>-2.1603513144467854</v>
      </c>
      <c r="BB225" s="337">
        <f t="shared" si="208"/>
        <v>-14.96434207553466</v>
      </c>
      <c r="BC225" s="730">
        <f t="shared" si="209"/>
        <v>-89.948846472142364</v>
      </c>
      <c r="BD225" s="351"/>
      <c r="BE225" s="337">
        <f t="shared" si="170"/>
        <v>47.585810028609401</v>
      </c>
      <c r="BF225" s="730">
        <f t="shared" si="171"/>
        <v>-80.61697261928667</v>
      </c>
      <c r="BI225" s="351"/>
      <c r="BJ225" s="351"/>
      <c r="BL225" s="405">
        <f t="shared" si="172"/>
        <v>0</v>
      </c>
      <c r="BM225" s="405">
        <f t="shared" si="210"/>
        <v>0</v>
      </c>
      <c r="BN225" s="405">
        <f t="shared" si="173"/>
        <v>0</v>
      </c>
      <c r="BO225" s="405">
        <f t="shared" si="174"/>
        <v>0</v>
      </c>
    </row>
    <row r="226" spans="4:67" ht="13.5" thickBot="1" x14ac:dyDescent="0.25">
      <c r="D226" s="345">
        <v>13183</v>
      </c>
      <c r="E226" s="340" t="str">
        <f t="shared" si="161"/>
        <v>0.218674452228008i</v>
      </c>
      <c r="F226" s="728" t="str">
        <f t="shared" si="175"/>
        <v>0.005-0.197913785006143i</v>
      </c>
      <c r="G226" s="337" t="str">
        <f t="shared" si="176"/>
        <v>0.005-0.309557458599353i</v>
      </c>
      <c r="H226" s="338" t="str">
        <f t="shared" si="177"/>
        <v>0.0780836469959548-0.288504938041181i</v>
      </c>
      <c r="I226" s="338" t="str">
        <f t="shared" si="178"/>
        <v>0.0880836469959548-0.288504938041181i</v>
      </c>
      <c r="J226" s="337" t="str">
        <f t="shared" si="179"/>
        <v>0.0159311449438583-0.119529969474987i</v>
      </c>
      <c r="K226" s="338" t="str">
        <f t="shared" si="162"/>
        <v>0.998068983455556-0.0690260265871237i</v>
      </c>
      <c r="L226" s="732"/>
      <c r="M226" s="732" t="str">
        <f t="shared" si="163"/>
        <v>37.286422046497-232.045031323121i</v>
      </c>
      <c r="N226" s="337">
        <f t="shared" si="164"/>
        <v>0</v>
      </c>
      <c r="O226" s="730" t="str">
        <f t="shared" si="165"/>
        <v>-0.422492029680316-93.9502306686495i</v>
      </c>
      <c r="P226" s="731" t="str">
        <f t="shared" si="166"/>
        <v>-27.1423201168144-8.15358791656004i</v>
      </c>
      <c r="Q226" s="729" t="str">
        <f t="shared" si="167"/>
        <v>-27.1380951965176-7.21408560987353i</v>
      </c>
      <c r="R226" s="730"/>
      <c r="S226" s="405" t="str">
        <f t="shared" si="180"/>
        <v>39.6759428686407+0.253249226132798i</v>
      </c>
      <c r="T226" s="405" t="str">
        <f t="shared" si="181"/>
        <v>15.6648308481482-2.48682524000143i</v>
      </c>
      <c r="U226" s="405" t="str">
        <f t="shared" si="182"/>
        <v>0.50570576041229-4.71356143745149i</v>
      </c>
      <c r="V226" s="731" t="str">
        <f t="shared" si="168"/>
        <v>6000</v>
      </c>
      <c r="W226" s="733" t="str">
        <f>IMSUM(COMPLEX(1,0),IMDIV(COMPLEX(0,2*PI()*D226),COMPLEX(2*PI()*'Stability Calculations'!EA_Pole1,0)))</f>
        <v>1+83659.544223594i</v>
      </c>
      <c r="X226" s="734">
        <f t="shared" si="183"/>
        <v>83659.544229570616</v>
      </c>
      <c r="Y226" s="735">
        <f t="shared" si="184"/>
        <v>1.5707843735860998</v>
      </c>
      <c r="Z226" s="340" t="str">
        <f>IMSUM(COMPLEX(1,0),IMDIV(COMPLEX(0,2*PI()*D226),COMPLEX(2*PI()*'Stability Calculations'!EA_Zero1,0)))</f>
        <v>1+828.312319045485i</v>
      </c>
      <c r="AA226" s="734">
        <f t="shared" si="185"/>
        <v>828.31292268230936</v>
      </c>
      <c r="AB226" s="735">
        <f t="shared" si="186"/>
        <v>1.5695890532928969</v>
      </c>
      <c r="AC226" s="733" t="str">
        <f>IMSUM(COMPLEX(1,0),IMDIV(COMPLEX(0,2*PI()*D226),COMPLEX(2*PI()*'Stability Calculations'!EA_Pole2,0)))</f>
        <v>1+8.34396780583947i</v>
      </c>
      <c r="AD226" s="734">
        <f t="shared" si="187"/>
        <v>8.4036776916351066</v>
      </c>
      <c r="AE226" s="735">
        <f t="shared" si="188"/>
        <v>1.4515181736434146</v>
      </c>
      <c r="AF226" s="732" t="str">
        <f t="shared" si="189"/>
        <v>0.832794467621034-7.0198193878737i</v>
      </c>
      <c r="AG226" s="337">
        <f t="shared" si="190"/>
        <v>7.0690459655930731</v>
      </c>
      <c r="AH226" s="730">
        <f t="shared" si="191"/>
        <v>-1.452713493936618</v>
      </c>
      <c r="AI226" s="731" t="str">
        <f t="shared" si="169"/>
        <v>10000</v>
      </c>
      <c r="AJ226" s="733" t="str">
        <f t="shared" si="192"/>
        <v>1+77993.7222988594i</v>
      </c>
      <c r="AK226" s="734">
        <f t="shared" si="193"/>
        <v>77993.722305270174</v>
      </c>
      <c r="AL226" s="735">
        <f t="shared" si="194"/>
        <v>1.570783505250156</v>
      </c>
      <c r="AM226" s="340" t="str">
        <f t="shared" si="195"/>
        <v>1+132.364308583468i</v>
      </c>
      <c r="AN226" s="734">
        <f t="shared" si="196"/>
        <v>132.36808598291182</v>
      </c>
      <c r="AO226" s="735">
        <f t="shared" si="197"/>
        <v>1.5632415638394237</v>
      </c>
      <c r="AP226" s="733" t="str">
        <f t="shared" si="198"/>
        <v>1+6.41988714646021i</v>
      </c>
      <c r="AQ226" s="734">
        <f t="shared" si="199"/>
        <v>6.4973033616482017</v>
      </c>
      <c r="AR226" s="735">
        <f t="shared" si="200"/>
        <v>1.4162721064035719</v>
      </c>
      <c r="AS226" s="732" t="str">
        <f t="shared" si="201"/>
        <v>0.0157602679099915-17.7540167233724i</v>
      </c>
      <c r="AT226" s="337">
        <f t="shared" si="202"/>
        <v>17.754023718578033</v>
      </c>
      <c r="AU226" s="730">
        <f t="shared" si="203"/>
        <v>-1.5699086254923809</v>
      </c>
      <c r="AV226" s="732" t="str">
        <f t="shared" si="204"/>
        <v>-1.98914607325222+0.0765557757099644i</v>
      </c>
      <c r="AW226" s="337">
        <f t="shared" si="205"/>
        <v>5.9797616771545368</v>
      </c>
      <c r="AX226" s="730">
        <f t="shared" si="206"/>
        <v>177.79595922632552</v>
      </c>
      <c r="AY226" s="360">
        <f t="shared" si="207"/>
        <v>-2.2040407736744783</v>
      </c>
      <c r="BB226" s="337">
        <f t="shared" si="208"/>
        <v>-15.014064085148418</v>
      </c>
      <c r="BC226" s="730">
        <f t="shared" si="209"/>
        <v>-89.94913846189759</v>
      </c>
      <c r="BD226" s="351"/>
      <c r="BE226" s="337">
        <f t="shared" si="170"/>
        <v>47.422157251160925</v>
      </c>
      <c r="BF226" s="730">
        <f t="shared" si="171"/>
        <v>-80.871395152444407</v>
      </c>
      <c r="BI226" s="351"/>
      <c r="BJ226" s="351"/>
      <c r="BL226" s="405">
        <f t="shared" si="172"/>
        <v>0</v>
      </c>
      <c r="BM226" s="405">
        <f t="shared" si="210"/>
        <v>0</v>
      </c>
      <c r="BN226" s="405">
        <f t="shared" si="173"/>
        <v>0</v>
      </c>
      <c r="BO226" s="405">
        <f t="shared" si="174"/>
        <v>0</v>
      </c>
    </row>
    <row r="227" spans="4:67" ht="13.5" thickBot="1" x14ac:dyDescent="0.25">
      <c r="D227" s="345">
        <v>13259.75</v>
      </c>
      <c r="E227" s="340" t="str">
        <f t="shared" si="161"/>
        <v>0.219947551234949i</v>
      </c>
      <c r="F227" s="728" t="str">
        <f t="shared" si="175"/>
        <v>0.005-0.196768221703726i</v>
      </c>
      <c r="G227" s="337" t="str">
        <f t="shared" si="176"/>
        <v>0.005-0.3077656801007i</v>
      </c>
      <c r="H227" s="338" t="str">
        <f t="shared" si="177"/>
        <v>0.0772901726486239-0.287034909881758i</v>
      </c>
      <c r="I227" s="338" t="str">
        <f t="shared" si="178"/>
        <v>0.0872901726486239-0.287034909881758i</v>
      </c>
      <c r="J227" s="337" t="str">
        <f t="shared" si="179"/>
        <v>0.0157962585130037-0.118851519538557i</v>
      </c>
      <c r="K227" s="338" t="str">
        <f t="shared" si="162"/>
        <v>0.998046433665972-0.0694278886473954i</v>
      </c>
      <c r="L227" s="732"/>
      <c r="M227" s="732" t="str">
        <f t="shared" si="163"/>
        <v>35.6059421594874-227.877978457505i</v>
      </c>
      <c r="N227" s="337">
        <f t="shared" si="164"/>
        <v>0</v>
      </c>
      <c r="O227" s="730" t="str">
        <f t="shared" si="165"/>
        <v>-0.745970881880977-92.1702779147205i</v>
      </c>
      <c r="P227" s="731" t="str">
        <f t="shared" si="166"/>
        <v>-26.5212033420988-7.83143978739249i</v>
      </c>
      <c r="Q227" s="729" t="str">
        <f t="shared" si="167"/>
        <v>-26.51374363328-6.90973700824526i</v>
      </c>
      <c r="R227" s="730"/>
      <c r="S227" s="405" t="str">
        <f t="shared" si="180"/>
        <v>39.680572141994+0.220626015475106i</v>
      </c>
      <c r="T227" s="405" t="str">
        <f t="shared" si="181"/>
        <v>15.6616868180136-2.48779855356082i</v>
      </c>
      <c r="U227" s="405" t="str">
        <f t="shared" si="182"/>
        <v>0.496409444507643-4.68773324412459i</v>
      </c>
      <c r="V227" s="731" t="str">
        <f t="shared" si="168"/>
        <v>6000</v>
      </c>
      <c r="W227" s="733" t="str">
        <f>IMSUM(COMPLEX(1,0),IMDIV(COMPLEX(0,2*PI()*D227),COMPLEX(2*PI()*'Stability Calculations'!EA_Pole1,0)))</f>
        <v>1+84146.6010406432i</v>
      </c>
      <c r="X227" s="734">
        <f t="shared" si="183"/>
        <v>84146.601046585216</v>
      </c>
      <c r="Y227" s="735">
        <f t="shared" si="184"/>
        <v>1.5707844427735864</v>
      </c>
      <c r="Z227" s="340" t="str">
        <f>IMSUM(COMPLEX(1,0),IMDIV(COMPLEX(0,2*PI()*D227),COMPLEX(2*PI()*'Stability Calculations'!EA_Zero1,0)))</f>
        <v>1+833.134663768745i</v>
      </c>
      <c r="AA227" s="734">
        <f t="shared" si="185"/>
        <v>833.13526391160508</v>
      </c>
      <c r="AB227" s="735">
        <f t="shared" si="186"/>
        <v>1.5695960412189156</v>
      </c>
      <c r="AC227" s="733" t="str">
        <f>IMSUM(COMPLEX(1,0),IMDIV(COMPLEX(0,2*PI()*D227),COMPLEX(2*PI()*'Stability Calculations'!EA_Pole2,0)))</f>
        <v>1+8.3925454838413i</v>
      </c>
      <c r="AD227" s="734">
        <f t="shared" si="187"/>
        <v>8.451912191826473</v>
      </c>
      <c r="AE227" s="735">
        <f t="shared" si="188"/>
        <v>1.4522021048523539</v>
      </c>
      <c r="AF227" s="732" t="str">
        <f t="shared" si="189"/>
        <v>0.823316185674522-6.9803166822471i</v>
      </c>
      <c r="AG227" s="337">
        <f t="shared" si="190"/>
        <v>7.0287033317711458</v>
      </c>
      <c r="AH227" s="730">
        <f t="shared" si="191"/>
        <v>-1.4533905064070249</v>
      </c>
      <c r="AI227" s="731" t="str">
        <f t="shared" si="169"/>
        <v>10000</v>
      </c>
      <c r="AJ227" s="733" t="str">
        <f t="shared" si="192"/>
        <v>1+78447.7933135326i</v>
      </c>
      <c r="AK227" s="734">
        <f t="shared" si="193"/>
        <v>78447.793319906268</v>
      </c>
      <c r="AL227" s="735">
        <f t="shared" si="194"/>
        <v>1.570783579463739</v>
      </c>
      <c r="AM227" s="340" t="str">
        <f t="shared" si="195"/>
        <v>1+133.134919270245i</v>
      </c>
      <c r="AN227" s="734">
        <f t="shared" si="196"/>
        <v>133.13867480598813</v>
      </c>
      <c r="AO227" s="735">
        <f t="shared" si="197"/>
        <v>1.5632852906205479</v>
      </c>
      <c r="AP227" s="733" t="str">
        <f t="shared" si="198"/>
        <v>1+6.4572630349902i</v>
      </c>
      <c r="AQ227" s="734">
        <f t="shared" si="199"/>
        <v>6.5342364437668508</v>
      </c>
      <c r="AR227" s="735">
        <f t="shared" si="200"/>
        <v>1.4171524730728966</v>
      </c>
      <c r="AS227" s="732" t="str">
        <f t="shared" si="201"/>
        <v>0.0155783491073704-17.651253198072i</v>
      </c>
      <c r="AT227" s="337">
        <f t="shared" si="202"/>
        <v>17.651260072510624</v>
      </c>
      <c r="AU227" s="730">
        <f t="shared" si="203"/>
        <v>-1.5699137636766971</v>
      </c>
      <c r="AV227" s="732" t="str">
        <f t="shared" si="204"/>
        <v>-1.96592111528141+0.0771855560842335i</v>
      </c>
      <c r="AW227" s="337">
        <f t="shared" si="205"/>
        <v>5.8780111851459305</v>
      </c>
      <c r="AX227" s="730">
        <f t="shared" si="206"/>
        <v>177.75162069979424</v>
      </c>
      <c r="AY227" s="360">
        <f t="shared" si="207"/>
        <v>-2.2483793002057553</v>
      </c>
      <c r="BB227" s="337">
        <f t="shared" si="208"/>
        <v>-15.064485722798352</v>
      </c>
      <c r="BC227" s="730">
        <f t="shared" si="209"/>
        <v>-89.949432858173267</v>
      </c>
      <c r="BD227" s="351"/>
      <c r="BE227" s="337">
        <f t="shared" si="170"/>
        <v>47.258802524295056</v>
      </c>
      <c r="BF227" s="730">
        <f t="shared" si="171"/>
        <v>-81.119338879703221</v>
      </c>
      <c r="BI227" s="351"/>
      <c r="BJ227" s="351"/>
      <c r="BL227" s="405">
        <f t="shared" si="172"/>
        <v>0</v>
      </c>
      <c r="BM227" s="405">
        <f t="shared" si="210"/>
        <v>0</v>
      </c>
      <c r="BN227" s="405">
        <f t="shared" si="173"/>
        <v>0</v>
      </c>
      <c r="BO227" s="405">
        <f t="shared" si="174"/>
        <v>0</v>
      </c>
    </row>
    <row r="228" spans="4:67" ht="13.5" thickBot="1" x14ac:dyDescent="0.25">
      <c r="D228" s="345">
        <v>13336.5</v>
      </c>
      <c r="E228" s="340" t="str">
        <f t="shared" si="161"/>
        <v>0.221220650241889i</v>
      </c>
      <c r="F228" s="728" t="str">
        <f t="shared" si="175"/>
        <v>0.005-0.195635843567352i</v>
      </c>
      <c r="G228" s="337" t="str">
        <f t="shared" si="176"/>
        <v>0.005-0.305994524554063i</v>
      </c>
      <c r="H228" s="338" t="str">
        <f t="shared" si="177"/>
        <v>0.0765092796183685-0.285578650122767i</v>
      </c>
      <c r="I228" s="338" t="str">
        <f t="shared" si="178"/>
        <v>0.0865092796183685-0.285578650122767i</v>
      </c>
      <c r="J228" s="337" t="str">
        <f t="shared" si="179"/>
        <v>0.0156636646986583-0.118180655699205i</v>
      </c>
      <c r="K228" s="338" t="str">
        <f t="shared" si="162"/>
        <v>0.998023752975-0.0698297507076671i</v>
      </c>
      <c r="L228" s="732"/>
      <c r="M228" s="732" t="str">
        <f t="shared" si="163"/>
        <v>34.0307843137408-223.864076346799i</v>
      </c>
      <c r="N228" s="337">
        <f t="shared" si="164"/>
        <v>0</v>
      </c>
      <c r="O228" s="730" t="str">
        <f t="shared" si="165"/>
        <v>-1.04095544545951-90.4595081545202i</v>
      </c>
      <c r="P228" s="731" t="str">
        <f t="shared" si="166"/>
        <v>-25.9233565352389-7.52831223412722i</v>
      </c>
      <c r="Q228" s="729" t="str">
        <f t="shared" si="167"/>
        <v>-25.9129469807843-6.62371715258203i</v>
      </c>
      <c r="R228" s="730"/>
      <c r="S228" s="405" t="str">
        <f t="shared" si="180"/>
        <v>39.6850951154624+0.188176025546301i</v>
      </c>
      <c r="T228" s="405" t="str">
        <f t="shared" si="181"/>
        <v>15.6585771307775-2.48883954601569i</v>
      </c>
      <c r="U228" s="405" t="str">
        <f t="shared" si="182"/>
        <v>0.487267018201126-4.66217464060204i</v>
      </c>
      <c r="V228" s="731" t="str">
        <f t="shared" si="168"/>
        <v>6000</v>
      </c>
      <c r="W228" s="733" t="str">
        <f>IMSUM(COMPLEX(1,0),IMDIV(COMPLEX(0,2*PI()*D228),COMPLEX(2*PI()*'Stability Calculations'!EA_Pole1,0)))</f>
        <v>1+84633.6578576926i</v>
      </c>
      <c r="X228" s="734">
        <f t="shared" si="183"/>
        <v>84633.657863600412</v>
      </c>
      <c r="Y228" s="735">
        <f t="shared" si="184"/>
        <v>1.5707845111647412</v>
      </c>
      <c r="Z228" s="340" t="str">
        <f>IMSUM(COMPLEX(1,0),IMDIV(COMPLEX(0,2*PI()*D228),COMPLEX(2*PI()*'Stability Calculations'!EA_Zero1,0)))</f>
        <v>1+837.957008492006i</v>
      </c>
      <c r="AA228" s="734">
        <f t="shared" si="185"/>
        <v>837.95760518111649</v>
      </c>
      <c r="AB228" s="735">
        <f t="shared" si="186"/>
        <v>1.5696029487156531</v>
      </c>
      <c r="AC228" s="733" t="str">
        <f>IMSUM(COMPLEX(1,0),IMDIV(COMPLEX(0,2*PI()*D228),COMPLEX(2*PI()*'Stability Calculations'!EA_Pole2,0)))</f>
        <v>1+8.44112316184314i</v>
      </c>
      <c r="AD228" s="734">
        <f t="shared" si="187"/>
        <v>8.5001506006308354</v>
      </c>
      <c r="AE228" s="735">
        <f t="shared" si="188"/>
        <v>1.4528782737466601</v>
      </c>
      <c r="AF228" s="732" t="str">
        <f t="shared" si="189"/>
        <v>0.813998051816676-6.9412496711883i</v>
      </c>
      <c r="AG228" s="337">
        <f t="shared" si="190"/>
        <v>6.9888153378189228</v>
      </c>
      <c r="AH228" s="730">
        <f t="shared" si="191"/>
        <v>-1.4540598361957482</v>
      </c>
      <c r="AI228" s="731" t="str">
        <f t="shared" si="169"/>
        <v>10000</v>
      </c>
      <c r="AJ228" s="733" t="str">
        <f t="shared" si="192"/>
        <v>1+78901.8643282059i</v>
      </c>
      <c r="AK228" s="734">
        <f t="shared" si="193"/>
        <v>78901.864334542901</v>
      </c>
      <c r="AL228" s="735">
        <f t="shared" si="194"/>
        <v>1.5707836528231411</v>
      </c>
      <c r="AM228" s="340" t="str">
        <f t="shared" si="195"/>
        <v>1+133.905529957023i</v>
      </c>
      <c r="AN228" s="734">
        <f t="shared" si="196"/>
        <v>133.90926388070088</v>
      </c>
      <c r="AO228" s="735">
        <f t="shared" si="197"/>
        <v>1.5633285141448647</v>
      </c>
      <c r="AP228" s="733" t="str">
        <f t="shared" si="198"/>
        <v>1+6.49463892352019i</v>
      </c>
      <c r="AQ228" s="734">
        <f t="shared" si="199"/>
        <v>6.5711745332857738</v>
      </c>
      <c r="AR228" s="735">
        <f t="shared" si="200"/>
        <v>1.41802294292187</v>
      </c>
      <c r="AS228" s="732" t="str">
        <f t="shared" si="201"/>
        <v>0.0153995620198063-17.5496724541974i</v>
      </c>
      <c r="AT228" s="337">
        <f t="shared" si="202"/>
        <v>17.549679210633037</v>
      </c>
      <c r="AU228" s="730">
        <f t="shared" si="203"/>
        <v>-1.5699188427217576</v>
      </c>
      <c r="AV228" s="732" t="str">
        <f t="shared" si="204"/>
        <v>-1.94309935785752+0.0777881131787628i</v>
      </c>
      <c r="AW228" s="337">
        <f t="shared" si="205"/>
        <v>5.7768547784095503</v>
      </c>
      <c r="AX228" s="730">
        <f t="shared" si="206"/>
        <v>177.70750173123534</v>
      </c>
      <c r="AY228" s="360">
        <f t="shared" si="207"/>
        <v>-2.2924982687646605</v>
      </c>
      <c r="BB228" s="337">
        <f t="shared" si="208"/>
        <v>-15.114616351285326</v>
      </c>
      <c r="BC228" s="730">
        <f t="shared" si="209"/>
        <v>-89.949723866019184</v>
      </c>
      <c r="BD228" s="351"/>
      <c r="BE228" s="337">
        <f t="shared" si="170"/>
        <v>47.098905835319528</v>
      </c>
      <c r="BF228" s="730">
        <f t="shared" si="171"/>
        <v>-81.356335692416337</v>
      </c>
      <c r="BI228" s="351"/>
      <c r="BJ228" s="351"/>
      <c r="BL228" s="405">
        <f t="shared" si="172"/>
        <v>0</v>
      </c>
      <c r="BM228" s="405">
        <f t="shared" si="210"/>
        <v>0</v>
      </c>
      <c r="BN228" s="405">
        <f t="shared" si="173"/>
        <v>0</v>
      </c>
      <c r="BO228" s="405">
        <f t="shared" si="174"/>
        <v>0</v>
      </c>
    </row>
    <row r="229" spans="4:67" ht="13.5" thickBot="1" x14ac:dyDescent="0.25">
      <c r="D229" s="345">
        <v>13413.25</v>
      </c>
      <c r="E229" s="340" t="str">
        <f t="shared" si="161"/>
        <v>0.22249374924883i</v>
      </c>
      <c r="F229" s="728" t="str">
        <f t="shared" si="175"/>
        <v>0.005-0.194516424262277i</v>
      </c>
      <c r="G229" s="337" t="str">
        <f t="shared" si="176"/>
        <v>0.005-0.30424363794869i</v>
      </c>
      <c r="H229" s="338" t="str">
        <f t="shared" si="177"/>
        <v>0.0757407091260519-0.284135986864052i</v>
      </c>
      <c r="I229" s="338" t="str">
        <f t="shared" si="178"/>
        <v>0.0857407091260519-0.284135986864052i</v>
      </c>
      <c r="J229" s="337" t="str">
        <f t="shared" si="179"/>
        <v>0.0155333119962923-0.1175172527318i</v>
      </c>
      <c r="K229" s="338" t="str">
        <f t="shared" si="162"/>
        <v>0.998000941382639-0.0702316127679388i</v>
      </c>
      <c r="L229" s="732"/>
      <c r="M229" s="732" t="str">
        <f t="shared" si="163"/>
        <v>32.5525988094381-219.995437956499i</v>
      </c>
      <c r="N229" s="337">
        <f t="shared" si="164"/>
        <v>0</v>
      </c>
      <c r="O229" s="730" t="str">
        <f t="shared" si="165"/>
        <v>-1.31005898713537-88.8141086968331i</v>
      </c>
      <c r="P229" s="731" t="str">
        <f t="shared" si="166"/>
        <v>-25.3476098085797-7.24274975690489i</v>
      </c>
      <c r="Q229" s="729" t="str">
        <f t="shared" si="167"/>
        <v>-25.3345092187083-6.35460866993657i</v>
      </c>
      <c r="R229" s="730"/>
      <c r="S229" s="405" t="str">
        <f t="shared" si="180"/>
        <v>39.6895139288113+0.155896664063342i</v>
      </c>
      <c r="T229" s="405" t="str">
        <f t="shared" si="181"/>
        <v>15.6555009417274-2.48994718960956i</v>
      </c>
      <c r="U229" s="405" t="str">
        <f t="shared" si="182"/>
        <v>0.478275141090925-4.63688157575623i</v>
      </c>
      <c r="V229" s="731" t="str">
        <f t="shared" si="168"/>
        <v>6000</v>
      </c>
      <c r="W229" s="733" t="str">
        <f>IMSUM(COMPLEX(1,0),IMDIV(COMPLEX(0,2*PI()*D229),COMPLEX(2*PI()*'Stability Calculations'!EA_Pole1,0)))</f>
        <v>1+85120.7146747419i</v>
      </c>
      <c r="X229" s="734">
        <f t="shared" si="183"/>
        <v>85120.7146806159</v>
      </c>
      <c r="Y229" s="735">
        <f t="shared" si="184"/>
        <v>1.5707845787732337</v>
      </c>
      <c r="Z229" s="340" t="str">
        <f>IMSUM(COMPLEX(1,0),IMDIV(COMPLEX(0,2*PI()*D229),COMPLEX(2*PI()*'Stability Calculations'!EA_Zero1,0)))</f>
        <v>1+842.779353215266i</v>
      </c>
      <c r="AA229" s="734">
        <f t="shared" si="185"/>
        <v>842.77994649015125</v>
      </c>
      <c r="AB229" s="735">
        <f t="shared" si="186"/>
        <v>1.5696097771637447</v>
      </c>
      <c r="AC229" s="733" t="str">
        <f>IMSUM(COMPLEX(1,0),IMDIV(COMPLEX(0,2*PI()*D229),COMPLEX(2*PI()*'Stability Calculations'!EA_Pole2,0)))</f>
        <v>1+8.48970083984497i</v>
      </c>
      <c r="AD229" s="734">
        <f t="shared" si="187"/>
        <v>8.5483928518794912</v>
      </c>
      <c r="AE229" s="735">
        <f t="shared" si="188"/>
        <v>1.4535468111209675</v>
      </c>
      <c r="AF229" s="732" t="str">
        <f t="shared" si="189"/>
        <v>0.804836495118978-6.902611296243i</v>
      </c>
      <c r="AG229" s="337">
        <f t="shared" si="190"/>
        <v>6.949374395648638</v>
      </c>
      <c r="AH229" s="730">
        <f t="shared" si="191"/>
        <v>-1.4547216127304565</v>
      </c>
      <c r="AI229" s="731" t="str">
        <f t="shared" si="169"/>
        <v>10000</v>
      </c>
      <c r="AJ229" s="733" t="str">
        <f t="shared" si="192"/>
        <v>1+79355.9353428791i</v>
      </c>
      <c r="AK229" s="734">
        <f t="shared" si="193"/>
        <v>79355.93534917981</v>
      </c>
      <c r="AL229" s="735">
        <f t="shared" si="194"/>
        <v>1.570783725343025</v>
      </c>
      <c r="AM229" s="340" t="str">
        <f t="shared" si="195"/>
        <v>1+134.676140643799i</v>
      </c>
      <c r="AN229" s="734">
        <f t="shared" si="196"/>
        <v>134.67985320272786</v>
      </c>
      <c r="AO229" s="735">
        <f t="shared" si="197"/>
        <v>1.56337124305057</v>
      </c>
      <c r="AP229" s="733" t="str">
        <f t="shared" si="198"/>
        <v>1+6.53201481205018i</v>
      </c>
      <c r="AQ229" s="734">
        <f t="shared" si="199"/>
        <v>6.6081175462337951</v>
      </c>
      <c r="AR229" s="735">
        <f t="shared" si="200"/>
        <v>1.4188836806061795</v>
      </c>
      <c r="AS229" s="732" t="str">
        <f t="shared" si="201"/>
        <v>0.0152238351747369-17.449254188348i</v>
      </c>
      <c r="AT229" s="337">
        <f t="shared" si="202"/>
        <v>17.449260829466034</v>
      </c>
      <c r="AU229" s="730">
        <f t="shared" si="203"/>
        <v>-1.5699238636427379</v>
      </c>
      <c r="AV229" s="732" t="str">
        <f t="shared" si="204"/>
        <v>-1.92067151555756+0.0783644074577274i</v>
      </c>
      <c r="AW229" s="337">
        <f t="shared" si="205"/>
        <v>5.6762855278580515</v>
      </c>
      <c r="AX229" s="730">
        <f t="shared" si="206"/>
        <v>177.66359795883861</v>
      </c>
      <c r="AY229" s="360">
        <f t="shared" si="207"/>
        <v>-2.3364020411613922</v>
      </c>
      <c r="BB229" s="337">
        <f t="shared" si="208"/>
        <v>-15.164459310466619</v>
      </c>
      <c r="BC229" s="730">
        <f t="shared" si="209"/>
        <v>-89.950011543600638</v>
      </c>
      <c r="BD229" s="351"/>
      <c r="BE229" s="337">
        <f t="shared" si="170"/>
        <v>46.942336033839624</v>
      </c>
      <c r="BF229" s="730">
        <f t="shared" si="171"/>
        <v>-81.583051309088134</v>
      </c>
      <c r="BI229" s="351"/>
      <c r="BJ229" s="351"/>
      <c r="BL229" s="405">
        <f t="shared" si="172"/>
        <v>0</v>
      </c>
      <c r="BM229" s="405">
        <f t="shared" si="210"/>
        <v>0</v>
      </c>
      <c r="BN229" s="405">
        <f t="shared" si="173"/>
        <v>0</v>
      </c>
      <c r="BO229" s="405">
        <f t="shared" si="174"/>
        <v>0</v>
      </c>
    </row>
    <row r="230" spans="4:67" ht="13.5" thickBot="1" x14ac:dyDescent="0.25">
      <c r="D230" s="345">
        <v>13490</v>
      </c>
      <c r="E230" s="340" t="str">
        <f t="shared" si="161"/>
        <v>0.223766848255771i</v>
      </c>
      <c r="F230" s="728" t="str">
        <f t="shared" si="175"/>
        <v>0.005-0.193409742604595i</v>
      </c>
      <c r="G230" s="337" t="str">
        <f t="shared" si="176"/>
        <v>0.005-0.302512674330265i</v>
      </c>
      <c r="H230" s="338" t="str">
        <f t="shared" si="177"/>
        <v>0.0749842088542258-0.282706750517428i</v>
      </c>
      <c r="I230" s="338" t="str">
        <f t="shared" si="178"/>
        <v>0.0849842088542258-0.282706750517428i</v>
      </c>
      <c r="J230" s="337" t="str">
        <f t="shared" si="179"/>
        <v>0.0154051503350664-0.116861188122731i</v>
      </c>
      <c r="K230" s="338" t="str">
        <f t="shared" si="162"/>
        <v>0.997977998888889-0.0706334748282105i</v>
      </c>
      <c r="L230" s="732"/>
      <c r="M230" s="732" t="str">
        <f t="shared" si="163"/>
        <v>31.1638283540977-216.264662791634i</v>
      </c>
      <c r="N230" s="337">
        <f t="shared" si="164"/>
        <v>0</v>
      </c>
      <c r="O230" s="730" t="str">
        <f t="shared" si="165"/>
        <v>-1.55562455239519-87.2305256771758i</v>
      </c>
      <c r="P230" s="731" t="str">
        <f t="shared" si="166"/>
        <v>-24.792861981981-6.97343165038027i</v>
      </c>
      <c r="Q230" s="729" t="str">
        <f t="shared" si="167"/>
        <v>-24.7773057364571-6.10112639360851i</v>
      </c>
      <c r="R230" s="730"/>
      <c r="S230" s="405" t="str">
        <f t="shared" si="180"/>
        <v>39.6938306646506+0.123785387998014i</v>
      </c>
      <c r="T230" s="405" t="str">
        <f t="shared" si="181"/>
        <v>15.6524574287202-2.4911204760338i</v>
      </c>
      <c r="U230" s="405" t="str">
        <f t="shared" si="182"/>
        <v>0.469430561990087-4.61185007534183i</v>
      </c>
      <c r="V230" s="731" t="str">
        <f t="shared" si="168"/>
        <v>6000</v>
      </c>
      <c r="W230" s="733" t="str">
        <f>IMSUM(COMPLEX(1,0),IMDIV(COMPLEX(0,2*PI()*D230),COMPLEX(2*PI()*'Stability Calculations'!EA_Pole1,0)))</f>
        <v>1+85607.7714917911i</v>
      </c>
      <c r="X230" s="734">
        <f t="shared" si="183"/>
        <v>85607.771497631693</v>
      </c>
      <c r="Y230" s="735">
        <f t="shared" si="184"/>
        <v>1.570784645612423</v>
      </c>
      <c r="Z230" s="340" t="str">
        <f>IMSUM(COMPLEX(1,0),IMDIV(COMPLEX(0,2*PI()*D230),COMPLEX(2*PI()*'Stability Calculations'!EA_Zero1,0)))</f>
        <v>1+847.601697938526i</v>
      </c>
      <c r="AA230" s="734">
        <f t="shared" si="185"/>
        <v>847.60228783803552</v>
      </c>
      <c r="AB230" s="735">
        <f t="shared" si="186"/>
        <v>1.5696165279124061</v>
      </c>
      <c r="AC230" s="733" t="str">
        <f>IMSUM(COMPLEX(1,0),IMDIV(COMPLEX(0,2*PI()*D230),COMPLEX(2*PI()*'Stability Calculations'!EA_Pole2,0)))</f>
        <v>1+8.5382785178468i</v>
      </c>
      <c r="AD230" s="734">
        <f t="shared" si="187"/>
        <v>8.5966388808838641</v>
      </c>
      <c r="AE230" s="735">
        <f t="shared" si="188"/>
        <v>1.4542078448613693</v>
      </c>
      <c r="AF230" s="732" t="str">
        <f t="shared" si="189"/>
        <v>0.79582804316424-6.86439464805252i</v>
      </c>
      <c r="AG230" s="337">
        <f t="shared" si="190"/>
        <v>6.9103730838861877</v>
      </c>
      <c r="AH230" s="730">
        <f t="shared" si="191"/>
        <v>-1.455375962561386</v>
      </c>
      <c r="AI230" s="731" t="str">
        <f t="shared" si="169"/>
        <v>10000</v>
      </c>
      <c r="AJ230" s="733" t="str">
        <f t="shared" si="192"/>
        <v>1+79810.0063575523i</v>
      </c>
      <c r="AK230" s="734">
        <f t="shared" si="193"/>
        <v>79810.00636381717</v>
      </c>
      <c r="AL230" s="735">
        <f t="shared" si="194"/>
        <v>1.5707837970377196</v>
      </c>
      <c r="AM230" s="340" t="str">
        <f t="shared" si="195"/>
        <v>1+135.446751330576i</v>
      </c>
      <c r="AN230" s="734">
        <f t="shared" si="196"/>
        <v>135.45044276785106</v>
      </c>
      <c r="AO230" s="735">
        <f t="shared" si="197"/>
        <v>1.5634134857792941</v>
      </c>
      <c r="AP230" s="733" t="str">
        <f t="shared" si="198"/>
        <v>1+6.56939070058016i</v>
      </c>
      <c r="AQ230" s="734">
        <f t="shared" si="199"/>
        <v>6.6450654004960032</v>
      </c>
      <c r="AR230" s="735">
        <f t="shared" si="200"/>
        <v>1.419734847177859</v>
      </c>
      <c r="AS230" s="732" t="str">
        <f t="shared" si="201"/>
        <v>0.0150510991269765-17.3499785591783i</v>
      </c>
      <c r="AT230" s="337">
        <f t="shared" si="202"/>
        <v>17.349985087588163</v>
      </c>
      <c r="AU230" s="730">
        <f t="shared" si="203"/>
        <v>-1.5699288274317105</v>
      </c>
      <c r="AV230" s="732" t="str">
        <f t="shared" si="204"/>
        <v>-1.8986285687115+0.0789153623577542i</v>
      </c>
      <c r="AW230" s="337">
        <f t="shared" si="205"/>
        <v>5.5762966246077861</v>
      </c>
      <c r="AX230" s="730">
        <f t="shared" si="206"/>
        <v>177.61990513490522</v>
      </c>
      <c r="AY230" s="360">
        <f t="shared" si="207"/>
        <v>-2.380094865094776</v>
      </c>
      <c r="BB230" s="337">
        <f t="shared" si="208"/>
        <v>-15.214017883030957</v>
      </c>
      <c r="BC230" s="730">
        <f t="shared" si="209"/>
        <v>-89.950295947759145</v>
      </c>
      <c r="BD230" s="351"/>
      <c r="BE230" s="337">
        <f t="shared" si="170"/>
        <v>46.788968657753472</v>
      </c>
      <c r="BF230" s="730">
        <f t="shared" si="171"/>
        <v>-81.800100086895313</v>
      </c>
      <c r="BI230" s="351"/>
      <c r="BJ230" s="351"/>
      <c r="BL230" s="405">
        <f t="shared" si="172"/>
        <v>0</v>
      </c>
      <c r="BM230" s="405">
        <f t="shared" si="210"/>
        <v>0</v>
      </c>
      <c r="BN230" s="405">
        <f t="shared" si="173"/>
        <v>0</v>
      </c>
      <c r="BO230" s="405">
        <f t="shared" si="174"/>
        <v>0</v>
      </c>
    </row>
    <row r="231" spans="4:67" ht="13.5" thickBot="1" x14ac:dyDescent="0.25">
      <c r="D231" s="345">
        <v>13568.5</v>
      </c>
      <c r="E231" s="340" t="str">
        <f t="shared" si="161"/>
        <v>0.225068975578831i</v>
      </c>
      <c r="F231" s="728" t="str">
        <f t="shared" si="175"/>
        <v>0.005-0.192290778474849i</v>
      </c>
      <c r="G231" s="337" t="str">
        <f t="shared" si="176"/>
        <v>0.005-0.30076249966579i</v>
      </c>
      <c r="H231" s="338" t="str">
        <f t="shared" si="177"/>
        <v>0.0742226891533438-0.281258640986386i</v>
      </c>
      <c r="I231" s="338" t="str">
        <f t="shared" si="178"/>
        <v>0.0842226891533438-0.281258640986386i</v>
      </c>
      <c r="J231" s="337" t="str">
        <f t="shared" si="179"/>
        <v>0.0152762822324198-0.116197630705426i</v>
      </c>
      <c r="K231" s="338" t="str">
        <f t="shared" si="162"/>
        <v>0.997954397863889-0.0710444998670552i</v>
      </c>
      <c r="L231" s="732"/>
      <c r="M231" s="732" t="str">
        <f t="shared" si="163"/>
        <v>29.8287507837196-212.584198452765i</v>
      </c>
      <c r="N231" s="337">
        <f t="shared" si="164"/>
        <v>0</v>
      </c>
      <c r="O231" s="730" t="str">
        <f t="shared" si="165"/>
        <v>-1.78463222368149-85.6713278585064i</v>
      </c>
      <c r="P231" s="731" t="str">
        <f t="shared" si="166"/>
        <v>-24.2461077700108-6.71352638168801i</v>
      </c>
      <c r="Q231" s="729" t="str">
        <f t="shared" si="167"/>
        <v>-24.228261447774-5.85681310310293i</v>
      </c>
      <c r="R231" s="730"/>
      <c r="S231" s="405" t="str">
        <f t="shared" si="180"/>
        <v>39.6981423451346+0.0911132107897525i</v>
      </c>
      <c r="T231" s="405" t="str">
        <f t="shared" si="181"/>
        <v>15.6493774877422-2.49238738887525i</v>
      </c>
      <c r="U231" s="405" t="str">
        <f t="shared" si="182"/>
        <v>0.460533390909359-4.58651433889951i</v>
      </c>
      <c r="V231" s="731" t="str">
        <f t="shared" si="168"/>
        <v>6000</v>
      </c>
      <c r="W231" s="733" t="str">
        <f>IMSUM(COMPLEX(1,0),IMDIV(COMPLEX(0,2*PI()*D231),COMPLEX(2*PI()*'Stability Calculations'!EA_Pole1,0)))</f>
        <v>1+86105.9338388709i</v>
      </c>
      <c r="X231" s="734">
        <f t="shared" si="183"/>
        <v>86105.933844677696</v>
      </c>
      <c r="Y231" s="735">
        <f t="shared" si="184"/>
        <v>1.5707847131934249</v>
      </c>
      <c r="Z231" s="340" t="str">
        <f>IMSUM(COMPLEX(1,0),IMDIV(COMPLEX(0,2*PI()*D231),COMPLEX(2*PI()*'Stability Calculations'!EA_Zero1,0)))</f>
        <v>1+852.533998404662i</v>
      </c>
      <c r="AA231" s="734">
        <f t="shared" si="185"/>
        <v>852.53458489133459</v>
      </c>
      <c r="AB231" s="735">
        <f t="shared" si="186"/>
        <v>1.5696233535841517</v>
      </c>
      <c r="AC231" s="733" t="str">
        <f>IMSUM(COMPLEX(1,0),IMDIV(COMPLEX(0,2*PI()*D231),COMPLEX(2*PI()*'Stability Calculations'!EA_Pole2,0)))</f>
        <v>1+8.58796383020047i</v>
      </c>
      <c r="AD231" s="734">
        <f t="shared" si="187"/>
        <v>8.6459888242370262</v>
      </c>
      <c r="AE231" s="735">
        <f t="shared" si="188"/>
        <v>1.4548763191430287</v>
      </c>
      <c r="AF231" s="732" t="str">
        <f t="shared" si="189"/>
        <v>0.786769048274388-6.82573582120674i</v>
      </c>
      <c r="AG231" s="337">
        <f t="shared" si="190"/>
        <v>6.8709297068320696</v>
      </c>
      <c r="AH231" s="730">
        <f t="shared" si="191"/>
        <v>-1.4560376787523024</v>
      </c>
      <c r="AI231" s="731" t="str">
        <f t="shared" si="169"/>
        <v>10000</v>
      </c>
      <c r="AJ231" s="733" t="str">
        <f t="shared" si="192"/>
        <v>1+80274.4307829836i</v>
      </c>
      <c r="AK231" s="734">
        <f t="shared" si="193"/>
        <v>80274.430789212231</v>
      </c>
      <c r="AL231" s="735">
        <f t="shared" si="194"/>
        <v>1.5707838695281158</v>
      </c>
      <c r="AM231" s="340" t="str">
        <f t="shared" si="195"/>
        <v>1+136.234932945065i</v>
      </c>
      <c r="AN231" s="734">
        <f t="shared" si="196"/>
        <v>136.23860302625812</v>
      </c>
      <c r="AO231" s="735">
        <f t="shared" si="197"/>
        <v>1.5634561973644221</v>
      </c>
      <c r="AP231" s="733" t="str">
        <f t="shared" si="198"/>
        <v>1+6.60761880806686i</v>
      </c>
      <c r="AQ231" s="734">
        <f t="shared" si="199"/>
        <v>6.6828606384331337</v>
      </c>
      <c r="AR231" s="735">
        <f t="shared" si="200"/>
        <v>1.4205956846982493</v>
      </c>
      <c r="AS231" s="732" t="str">
        <f t="shared" si="201"/>
        <v>0.0148774480067205-17.2496011199086i</v>
      </c>
      <c r="AT231" s="337">
        <f t="shared" si="202"/>
        <v>17.249607535663277</v>
      </c>
      <c r="AU231" s="730">
        <f t="shared" si="203"/>
        <v>-1.5699338463111843</v>
      </c>
      <c r="AV231" s="732" t="str">
        <f t="shared" si="204"/>
        <v>-1.87647204125197+0.0794535925185965i</v>
      </c>
      <c r="AW231" s="337">
        <f t="shared" si="205"/>
        <v>5.4746212173047351</v>
      </c>
      <c r="AX231" s="730">
        <f t="shared" si="206"/>
        <v>177.5754299640883</v>
      </c>
      <c r="AY231" s="360">
        <f t="shared" si="207"/>
        <v>-2.4245700359116995</v>
      </c>
      <c r="BB231" s="337">
        <f t="shared" si="208"/>
        <v>-15.264415631564574</v>
      </c>
      <c r="BC231" s="730">
        <f t="shared" si="209"/>
        <v>-89.950583508370883</v>
      </c>
      <c r="BD231" s="351"/>
      <c r="BE231" s="337">
        <f t="shared" si="170"/>
        <v>46.635293951777051</v>
      </c>
      <c r="BF231" s="730">
        <f t="shared" si="171"/>
        <v>-82.012689415498571</v>
      </c>
      <c r="BI231" s="351"/>
      <c r="BJ231" s="351"/>
      <c r="BL231" s="405">
        <f t="shared" si="172"/>
        <v>0</v>
      </c>
      <c r="BM231" s="405">
        <f t="shared" si="210"/>
        <v>0</v>
      </c>
      <c r="BN231" s="405">
        <f t="shared" si="173"/>
        <v>0</v>
      </c>
      <c r="BO231" s="405">
        <f t="shared" si="174"/>
        <v>0</v>
      </c>
    </row>
    <row r="232" spans="4:67" ht="13.5" thickBot="1" x14ac:dyDescent="0.25">
      <c r="D232" s="345">
        <v>13647</v>
      </c>
      <c r="E232" s="340" t="str">
        <f t="shared" si="161"/>
        <v>0.226371102901891i</v>
      </c>
      <c r="F232" s="728" t="str">
        <f t="shared" si="175"/>
        <v>0.005-0.191184687311203i</v>
      </c>
      <c r="G232" s="337" t="str">
        <f t="shared" si="176"/>
        <v>0.005-0.2990324596406i</v>
      </c>
      <c r="H232" s="338" t="str">
        <f t="shared" si="177"/>
        <v>0.0734732823458772-0.279824226105027i</v>
      </c>
      <c r="I232" s="338" t="str">
        <f t="shared" si="178"/>
        <v>0.0834732823458772-0.279824226105027i</v>
      </c>
      <c r="J232" s="337" t="str">
        <f t="shared" si="179"/>
        <v>0.0151496046613494-0.115541499234431i</v>
      </c>
      <c r="K232" s="338" t="str">
        <f t="shared" si="162"/>
        <v>0.9979306599-0.0714555249058998i</v>
      </c>
      <c r="L232" s="732"/>
      <c r="M232" s="732" t="str">
        <f t="shared" si="163"/>
        <v>28.5733965810649-209.033719975008i</v>
      </c>
      <c r="N232" s="337">
        <f t="shared" si="164"/>
        <v>0</v>
      </c>
      <c r="O232" s="730" t="str">
        <f t="shared" si="165"/>
        <v>-1.99323976216547-84.170022720396i</v>
      </c>
      <c r="P232" s="731" t="str">
        <f t="shared" si="166"/>
        <v>-23.7191937344275-6.46819129770878i</v>
      </c>
      <c r="Q232" s="729" t="str">
        <f t="shared" si="167"/>
        <v>-23.6992613368058-5.62649107050481i</v>
      </c>
      <c r="R232" s="730"/>
      <c r="S232" s="405" t="str">
        <f t="shared" si="180"/>
        <v>39.7023514716936+0.0586116433103367i</v>
      </c>
      <c r="T232" s="405" t="str">
        <f t="shared" si="181"/>
        <v>15.646330059414-2.49372089892451i</v>
      </c>
      <c r="U232" s="405" t="str">
        <f t="shared" si="182"/>
        <v>0.451783705468629-4.56144405995783i</v>
      </c>
      <c r="V232" s="731" t="str">
        <f t="shared" si="168"/>
        <v>6000</v>
      </c>
      <c r="W232" s="733" t="str">
        <f>IMSUM(COMPLEX(1,0),IMDIV(COMPLEX(0,2*PI()*D232),COMPLEX(2*PI()*'Stability Calculations'!EA_Pole1,0)))</f>
        <v>1+86604.0961859506i</v>
      </c>
      <c r="X232" s="734">
        <f t="shared" si="183"/>
        <v>86604.096191724006</v>
      </c>
      <c r="Y232" s="735">
        <f t="shared" si="184"/>
        <v>1.5707847799969505</v>
      </c>
      <c r="Z232" s="340" t="str">
        <f>IMSUM(COMPLEX(1,0),IMDIV(COMPLEX(0,2*PI()*D232),COMPLEX(2*PI()*'Stability Calculations'!EA_Zero1,0)))</f>
        <v>1+857.466298870798i</v>
      </c>
      <c r="AA232" s="734">
        <f t="shared" si="185"/>
        <v>857.46688198389597</v>
      </c>
      <c r="AB232" s="735">
        <f t="shared" si="186"/>
        <v>1.5696301007310201</v>
      </c>
      <c r="AC232" s="733" t="str">
        <f>IMSUM(COMPLEX(1,0),IMDIV(COMPLEX(0,2*PI()*D232),COMPLEX(2*PI()*'Stability Calculations'!EA_Pole2,0)))</f>
        <v>1+8.63764914255414i</v>
      </c>
      <c r="AD232" s="734">
        <f t="shared" si="187"/>
        <v>8.6953425872628092</v>
      </c>
      <c r="AE232" s="735">
        <f t="shared" si="188"/>
        <v>1.4555372053511626</v>
      </c>
      <c r="AF232" s="732" t="str">
        <f t="shared" si="189"/>
        <v>0.777863173442352-6.78750401238588i</v>
      </c>
      <c r="AG232" s="337">
        <f t="shared" si="190"/>
        <v>6.8319310472773518</v>
      </c>
      <c r="AH232" s="730">
        <f t="shared" si="191"/>
        <v>-1.4566918846170933</v>
      </c>
      <c r="AI232" s="731" t="str">
        <f t="shared" si="169"/>
        <v>10000</v>
      </c>
      <c r="AJ232" s="733" t="str">
        <f t="shared" si="192"/>
        <v>1+80738.8552084149i</v>
      </c>
      <c r="AK232" s="734">
        <f t="shared" si="193"/>
        <v>80738.855214607713</v>
      </c>
      <c r="AL232" s="735">
        <f t="shared" si="194"/>
        <v>1.5707839411845561</v>
      </c>
      <c r="AM232" s="340" t="str">
        <f t="shared" si="195"/>
        <v>1+137.023114559554i</v>
      </c>
      <c r="AN232" s="734">
        <f t="shared" si="196"/>
        <v>137.02676353034343</v>
      </c>
      <c r="AO232" s="735">
        <f t="shared" si="197"/>
        <v>1.5634984176064228</v>
      </c>
      <c r="AP232" s="733" t="str">
        <f t="shared" si="198"/>
        <v>1+6.64584691555356i</v>
      </c>
      <c r="AQ232" s="734">
        <f t="shared" si="199"/>
        <v>6.7206607729428489</v>
      </c>
      <c r="AR232" s="735">
        <f t="shared" si="200"/>
        <v>1.4214468393390873</v>
      </c>
      <c r="AS232" s="732" t="str">
        <f t="shared" si="201"/>
        <v>0.0147067848741355-17.150378456267i</v>
      </c>
      <c r="AT232" s="337">
        <f t="shared" si="202"/>
        <v>17.150384761943638</v>
      </c>
      <c r="AU232" s="730">
        <f t="shared" si="203"/>
        <v>-1.5699388074517049</v>
      </c>
      <c r="AV232" s="732" t="str">
        <f t="shared" si="204"/>
        <v>-1.85469988749828+0.0799671569024278i</v>
      </c>
      <c r="AW232" s="337">
        <f t="shared" si="205"/>
        <v>5.3735388892971727</v>
      </c>
      <c r="AX232" s="730">
        <f t="shared" si="206"/>
        <v>177.5311668324741</v>
      </c>
      <c r="AY232" s="360">
        <f t="shared" si="207"/>
        <v>-2.4688331675259008</v>
      </c>
      <c r="BB232" s="337">
        <f t="shared" si="208"/>
        <v>-15.314522645818352</v>
      </c>
      <c r="BC232" s="730">
        <f t="shared" si="209"/>
        <v>-89.950867760784291</v>
      </c>
      <c r="BD232" s="351"/>
      <c r="BE232" s="337">
        <f t="shared" si="170"/>
        <v>46.484725721468806</v>
      </c>
      <c r="BF232" s="730">
        <f t="shared" si="171"/>
        <v>-82.216321530230715</v>
      </c>
      <c r="BI232" s="351"/>
      <c r="BJ232" s="351"/>
      <c r="BL232" s="405">
        <f t="shared" si="172"/>
        <v>0</v>
      </c>
      <c r="BM232" s="405">
        <f t="shared" si="210"/>
        <v>0</v>
      </c>
      <c r="BN232" s="405">
        <f t="shared" si="173"/>
        <v>0</v>
      </c>
      <c r="BO232" s="405">
        <f t="shared" si="174"/>
        <v>0</v>
      </c>
    </row>
    <row r="233" spans="4:67" ht="13.5" thickBot="1" x14ac:dyDescent="0.25">
      <c r="D233" s="345">
        <v>13725.5</v>
      </c>
      <c r="E233" s="340" t="str">
        <f t="shared" si="161"/>
        <v>0.227673230224951i</v>
      </c>
      <c r="F233" s="728" t="str">
        <f t="shared" si="175"/>
        <v>0.005-0.190091248241302i</v>
      </c>
      <c r="G233" s="337" t="str">
        <f t="shared" si="176"/>
        <v>0.005-0.297322208787678i</v>
      </c>
      <c r="H233" s="338" t="str">
        <f t="shared" si="177"/>
        <v>0.0727357382343233-0.278403331794306i</v>
      </c>
      <c r="I233" s="338" t="str">
        <f t="shared" si="178"/>
        <v>0.0827357382343233-0.278403331794306i</v>
      </c>
      <c r="J233" s="337" t="str">
        <f t="shared" si="179"/>
        <v>0.0150250683986278-0.114892670963299i</v>
      </c>
      <c r="K233" s="338" t="str">
        <f t="shared" si="162"/>
        <v>0.997906784997222-0.0718665499447445i</v>
      </c>
      <c r="L233" s="732"/>
      <c r="M233" s="732" t="str">
        <f t="shared" si="163"/>
        <v>27.3917294616477-205.606689158941i</v>
      </c>
      <c r="N233" s="337">
        <f t="shared" si="164"/>
        <v>0</v>
      </c>
      <c r="O233" s="730" t="str">
        <f t="shared" si="165"/>
        <v>-2.18326549208726-82.7235250598221i</v>
      </c>
      <c r="P233" s="731" t="str">
        <f t="shared" si="166"/>
        <v>-23.2111390766736-6.23636352798129i</v>
      </c>
      <c r="Q233" s="729" t="str">
        <f t="shared" si="167"/>
        <v>-23.1893064217527-5.40912827738308i</v>
      </c>
      <c r="R233" s="730"/>
      <c r="S233" s="405" t="str">
        <f t="shared" si="180"/>
        <v>39.7064600986366+0.0262781174858687i</v>
      </c>
      <c r="T233" s="405" t="str">
        <f t="shared" si="181"/>
        <v>15.6433143327842-2.49511998768917i</v>
      </c>
      <c r="U233" s="405" t="str">
        <f t="shared" si="182"/>
        <v>0.443178298627397-4.53663522484052i</v>
      </c>
      <c r="V233" s="731" t="str">
        <f t="shared" si="168"/>
        <v>6000</v>
      </c>
      <c r="W233" s="733" t="str">
        <f>IMSUM(COMPLEX(1,0),IMDIV(COMPLEX(0,2*PI()*D233),COMPLEX(2*PI()*'Stability Calculations'!EA_Pole1,0)))</f>
        <v>1+87102.2585330303i</v>
      </c>
      <c r="X233" s="734">
        <f t="shared" si="183"/>
        <v>87102.258538770679</v>
      </c>
      <c r="Y233" s="735">
        <f t="shared" si="184"/>
        <v>1.5707848460363401</v>
      </c>
      <c r="Z233" s="340" t="str">
        <f>IMSUM(COMPLEX(1,0),IMDIV(COMPLEX(0,2*PI()*D233),COMPLEX(2*PI()*'Stability Calculations'!EA_Zero1,0)))</f>
        <v>1+862.398599336934i</v>
      </c>
      <c r="AA233" s="734">
        <f t="shared" si="185"/>
        <v>862.39917911504619</v>
      </c>
      <c r="AB233" s="735">
        <f t="shared" si="186"/>
        <v>1.5696367707003265</v>
      </c>
      <c r="AC233" s="733" t="str">
        <f>IMSUM(COMPLEX(1,0),IMDIV(COMPLEX(0,2*PI()*D233),COMPLEX(2*PI()*'Stability Calculations'!EA_Pole2,0)))</f>
        <v>1+8.6873344549078i</v>
      </c>
      <c r="AD233" s="734">
        <f t="shared" si="187"/>
        <v>8.7447001052882438</v>
      </c>
      <c r="AE233" s="735">
        <f t="shared" si="188"/>
        <v>1.4561906313911048</v>
      </c>
      <c r="AF233" s="732" t="str">
        <f t="shared" si="189"/>
        <v>0.769107002467494-6.74969228811978i</v>
      </c>
      <c r="AG233" s="337">
        <f t="shared" si="190"/>
        <v>6.7933696767913458</v>
      </c>
      <c r="AH233" s="730">
        <f t="shared" si="191"/>
        <v>-1.457338706727118</v>
      </c>
      <c r="AI233" s="731" t="str">
        <f t="shared" si="169"/>
        <v>10000</v>
      </c>
      <c r="AJ233" s="733" t="str">
        <f t="shared" si="192"/>
        <v>1+81203.2796338461i</v>
      </c>
      <c r="AK233" s="734">
        <f t="shared" si="193"/>
        <v>81203.2796400035</v>
      </c>
      <c r="AL233" s="735">
        <f t="shared" si="194"/>
        <v>1.5707840120213499</v>
      </c>
      <c r="AM233" s="340" t="str">
        <f t="shared" si="195"/>
        <v>1+137.811296174042i</v>
      </c>
      <c r="AN233" s="734">
        <f t="shared" si="196"/>
        <v>137.81492427589083</v>
      </c>
      <c r="AO233" s="735">
        <f t="shared" si="197"/>
        <v>1.5635401549350889</v>
      </c>
      <c r="AP233" s="733" t="str">
        <f t="shared" si="198"/>
        <v>1+6.68407502304025i</v>
      </c>
      <c r="AQ233" s="734">
        <f t="shared" si="199"/>
        <v>6.7584657218654671</v>
      </c>
      <c r="AR233" s="735">
        <f t="shared" si="200"/>
        <v>1.4222884723465306</v>
      </c>
      <c r="AS233" s="732" t="str">
        <f t="shared" si="201"/>
        <v>0.0145390415685849-17.0522907548508i</v>
      </c>
      <c r="AT233" s="337">
        <f t="shared" si="202"/>
        <v>17.052296952953288</v>
      </c>
      <c r="AU233" s="730">
        <f t="shared" si="203"/>
        <v>-1.5699437118439472</v>
      </c>
      <c r="AV233" s="732" t="str">
        <f t="shared" si="204"/>
        <v>-1.83330326153694+0.0804569335190711i</v>
      </c>
      <c r="AW233" s="337">
        <f t="shared" si="205"/>
        <v>5.2730427278105179</v>
      </c>
      <c r="AX233" s="730">
        <f t="shared" si="206"/>
        <v>177.48711154218995</v>
      </c>
      <c r="AY233" s="360">
        <f t="shared" si="207"/>
        <v>-2.5128884578100497</v>
      </c>
      <c r="BB233" s="337">
        <f t="shared" si="208"/>
        <v>-15.364342260931981</v>
      </c>
      <c r="BC233" s="730">
        <f t="shared" si="209"/>
        <v>-89.951148761760848</v>
      </c>
      <c r="BD233" s="351"/>
      <c r="BE233" s="337">
        <f t="shared" si="170"/>
        <v>46.337149988981814</v>
      </c>
      <c r="BF233" s="730">
        <f t="shared" si="171"/>
        <v>-82.41151604423257</v>
      </c>
      <c r="BI233" s="351"/>
      <c r="BJ233" s="351"/>
      <c r="BL233" s="405">
        <f t="shared" si="172"/>
        <v>0</v>
      </c>
      <c r="BM233" s="405">
        <f t="shared" si="210"/>
        <v>0</v>
      </c>
      <c r="BN233" s="405">
        <f t="shared" si="173"/>
        <v>0</v>
      </c>
      <c r="BO233" s="405">
        <f t="shared" si="174"/>
        <v>0</v>
      </c>
    </row>
    <row r="234" spans="4:67" ht="13.5" thickBot="1" x14ac:dyDescent="0.25">
      <c r="D234" s="345">
        <v>13804</v>
      </c>
      <c r="E234" s="340" t="str">
        <f t="shared" si="161"/>
        <v>0.228975357548011i</v>
      </c>
      <c r="F234" s="728" t="str">
        <f t="shared" si="175"/>
        <v>0.005-0.18901024541698i</v>
      </c>
      <c r="G234" s="337" t="str">
        <f t="shared" si="176"/>
        <v>0.005-0.295631409498353i</v>
      </c>
      <c r="H234" s="338" t="str">
        <f t="shared" si="177"/>
        <v>0.0720098129028083-0.276995786414864i</v>
      </c>
      <c r="I234" s="338" t="str">
        <f t="shared" si="178"/>
        <v>0.0820098129028083-0.276995786414864i</v>
      </c>
      <c r="J234" s="337" t="str">
        <f t="shared" si="179"/>
        <v>0.0149026255917455-0.11425102580848i</v>
      </c>
      <c r="K234" s="338" t="str">
        <f t="shared" si="162"/>
        <v>0.997882773155556-0.0722775749835892i</v>
      </c>
      <c r="L234" s="732"/>
      <c r="M234" s="732" t="str">
        <f t="shared" si="163"/>
        <v>26.2782618416913-202.296971799004i</v>
      </c>
      <c r="N234" s="337">
        <f t="shared" si="164"/>
        <v>0</v>
      </c>
      <c r="O234" s="730" t="str">
        <f t="shared" si="165"/>
        <v>-2.35634633215646-81.3289552823083i</v>
      </c>
      <c r="P234" s="731" t="str">
        <f t="shared" si="166"/>
        <v>-22.7210214485567-6.01707440094151i</v>
      </c>
      <c r="Q234" s="729" t="str">
        <f t="shared" si="167"/>
        <v>-22.6974579852351-5.20378484811842i</v>
      </c>
      <c r="R234" s="730"/>
      <c r="S234" s="405" t="str">
        <f t="shared" si="180"/>
        <v>39.7104702252721-0.00588988549069576i</v>
      </c>
      <c r="T234" s="405" t="str">
        <f t="shared" si="181"/>
        <v>15.6403295186184-2.49658365612912i</v>
      </c>
      <c r="U234" s="405" t="str">
        <f t="shared" si="182"/>
        <v>0.434714049193996-4.51208389677137i</v>
      </c>
      <c r="V234" s="731" t="str">
        <f t="shared" si="168"/>
        <v>6000</v>
      </c>
      <c r="W234" s="733" t="str">
        <f>IMSUM(COMPLEX(1,0),IMDIV(COMPLEX(0,2*PI()*D234),COMPLEX(2*PI()*'Stability Calculations'!EA_Pole1,0)))</f>
        <v>1+87600.4208801101i</v>
      </c>
      <c r="X234" s="734">
        <f t="shared" si="183"/>
        <v>87600.420885817832</v>
      </c>
      <c r="Y234" s="735">
        <f t="shared" si="184"/>
        <v>1.5707849113246293</v>
      </c>
      <c r="Z234" s="340" t="str">
        <f>IMSUM(COMPLEX(1,0),IMDIV(COMPLEX(0,2*PI()*D234),COMPLEX(2*PI()*'Stability Calculations'!EA_Zero1,0)))</f>
        <v>1+867.33089980307i</v>
      </c>
      <c r="AA234" s="734">
        <f t="shared" si="185"/>
        <v>867.33147628412689</v>
      </c>
      <c r="AB234" s="735">
        <f t="shared" si="186"/>
        <v>1.5696433648087389</v>
      </c>
      <c r="AC234" s="733" t="str">
        <f>IMSUM(COMPLEX(1,0),IMDIV(COMPLEX(0,2*PI()*D234),COMPLEX(2*PI()*'Stability Calculations'!EA_Pole2,0)))</f>
        <v>1+8.73701976726147i</v>
      </c>
      <c r="AD234" s="734">
        <f t="shared" si="187"/>
        <v>8.794061315087454</v>
      </c>
      <c r="AE234" s="735">
        <f t="shared" si="188"/>
        <v>1.4568367223222611</v>
      </c>
      <c r="AF234" s="732" t="str">
        <f t="shared" si="189"/>
        <v>0.760497213467148-6.71229386185884i</v>
      </c>
      <c r="AG234" s="337">
        <f t="shared" si="190"/>
        <v>6.7552383303358852</v>
      </c>
      <c r="AH234" s="730">
        <f t="shared" si="191"/>
        <v>-1.4579782688381511</v>
      </c>
      <c r="AI234" s="731" t="str">
        <f t="shared" si="169"/>
        <v>10000</v>
      </c>
      <c r="AJ234" s="733" t="str">
        <f t="shared" si="192"/>
        <v>1+81667.7040592774i</v>
      </c>
      <c r="AK234" s="734">
        <f t="shared" si="193"/>
        <v>81667.704065399754</v>
      </c>
      <c r="AL234" s="735">
        <f t="shared" si="194"/>
        <v>1.5707840820524801</v>
      </c>
      <c r="AM234" s="340" t="str">
        <f t="shared" si="195"/>
        <v>1+138.599477788531i</v>
      </c>
      <c r="AN234" s="734">
        <f t="shared" si="196"/>
        <v>138.6030852587831</v>
      </c>
      <c r="AO234" s="735">
        <f t="shared" si="197"/>
        <v>1.5635814175884766</v>
      </c>
      <c r="AP234" s="733" t="str">
        <f t="shared" si="198"/>
        <v>1+6.72230313052695i</v>
      </c>
      <c r="AQ234" s="734">
        <f t="shared" si="199"/>
        <v>6.7962754048590792</v>
      </c>
      <c r="AR234" s="735">
        <f t="shared" si="200"/>
        <v>1.4231207414331419</v>
      </c>
      <c r="AS234" s="732" t="str">
        <f t="shared" si="201"/>
        <v>0.0143741518619677-16.9553186529511i</v>
      </c>
      <c r="AT234" s="337">
        <f t="shared" si="202"/>
        <v>16.955324745912517</v>
      </c>
      <c r="AU234" s="730">
        <f t="shared" si="203"/>
        <v>-1.5699485604560517</v>
      </c>
      <c r="AV234" s="732" t="str">
        <f t="shared" si="204"/>
        <v>-1.8122735704843+0.0809237664485575i</v>
      </c>
      <c r="AW234" s="337">
        <f t="shared" si="205"/>
        <v>5.1731259399543532</v>
      </c>
      <c r="AX234" s="730">
        <f t="shared" si="206"/>
        <v>177.44326000492973</v>
      </c>
      <c r="AY234" s="360">
        <f t="shared" si="207"/>
        <v>-2.5567399950702736</v>
      </c>
      <c r="BB234" s="337">
        <f t="shared" si="208"/>
        <v>-15.413877754984565</v>
      </c>
      <c r="BC234" s="730">
        <f t="shared" si="209"/>
        <v>-89.951426566770934</v>
      </c>
      <c r="BD234" s="351"/>
      <c r="BE234" s="337">
        <f t="shared" si="170"/>
        <v>46.192458481557495</v>
      </c>
      <c r="BF234" s="730">
        <f t="shared" si="171"/>
        <v>-82.598754274250481</v>
      </c>
      <c r="BI234" s="351"/>
      <c r="BJ234" s="351"/>
      <c r="BL234" s="405">
        <f t="shared" si="172"/>
        <v>0</v>
      </c>
      <c r="BM234" s="405">
        <f t="shared" si="210"/>
        <v>0</v>
      </c>
      <c r="BN234" s="405">
        <f t="shared" si="173"/>
        <v>0</v>
      </c>
      <c r="BO234" s="405">
        <f t="shared" si="174"/>
        <v>0</v>
      </c>
    </row>
    <row r="235" spans="4:67" ht="13.5" thickBot="1" x14ac:dyDescent="0.25">
      <c r="D235" s="345">
        <v>13884.25</v>
      </c>
      <c r="E235" s="340" t="str">
        <f t="shared" si="161"/>
        <v>0.23030651318719i</v>
      </c>
      <c r="F235" s="728" t="str">
        <f t="shared" si="175"/>
        <v>0.005-0.187917779335289i</v>
      </c>
      <c r="G235" s="337" t="str">
        <f t="shared" si="176"/>
        <v>0.005-0.293922680498786i</v>
      </c>
      <c r="H235" s="338" t="str">
        <f t="shared" si="177"/>
        <v>0.0712794670941503-0.275570485053767i</v>
      </c>
      <c r="I235" s="338" t="str">
        <f t="shared" si="178"/>
        <v>0.0812794670941503-0.275570485053767i</v>
      </c>
      <c r="J235" s="337" t="str">
        <f t="shared" si="179"/>
        <v>0.0147795687037704-0.11360237922578i</v>
      </c>
      <c r="K235" s="338" t="str">
        <f t="shared" si="162"/>
        <v>0.997858084465972-0.0726977630010068i</v>
      </c>
      <c r="L235" s="732"/>
      <c r="M235" s="732" t="str">
        <f t="shared" si="163"/>
        <v>25.2052679868979-199.028742356044i</v>
      </c>
      <c r="N235" s="337">
        <f t="shared" si="164"/>
        <v>0</v>
      </c>
      <c r="O235" s="730" t="str">
        <f t="shared" si="165"/>
        <v>-2.51730599408466-79.9541735467103i</v>
      </c>
      <c r="P235" s="731" t="str">
        <f t="shared" si="166"/>
        <v>-22.2376156760521-5.80493738401115i</v>
      </c>
      <c r="Q235" s="729" t="str">
        <f t="shared" si="167"/>
        <v>-22.2124426161112-5.00539564854404i</v>
      </c>
      <c r="R235" s="730"/>
      <c r="S235" s="405" t="str">
        <f t="shared" si="180"/>
        <v>39.714469957306-0.0386064831526148i</v>
      </c>
      <c r="T235" s="405" t="str">
        <f t="shared" si="181"/>
        <v>15.6373093179882-2.49814568889699i</v>
      </c>
      <c r="U235" s="405" t="str">
        <f t="shared" si="182"/>
        <v>0.426203855748268-4.48724740712191i</v>
      </c>
      <c r="V235" s="731" t="str">
        <f t="shared" si="168"/>
        <v>6000</v>
      </c>
      <c r="W235" s="733" t="str">
        <f>IMSUM(COMPLEX(1,0),IMDIV(COMPLEX(0,2*PI()*D235),COMPLEX(2*PI()*'Stability Calculations'!EA_Pole1,0)))</f>
        <v>1+88109.6887572203i</v>
      </c>
      <c r="X235" s="734">
        <f t="shared" si="183"/>
        <v>88109.688762895035</v>
      </c>
      <c r="Y235" s="735">
        <f t="shared" si="184"/>
        <v>1.570784977305254</v>
      </c>
      <c r="Z235" s="340" t="str">
        <f>IMSUM(COMPLEX(1,0),IMDIV(COMPLEX(0,2*PI()*D235),COMPLEX(2*PI()*'Stability Calculations'!EA_Zero1,0)))</f>
        <v>1+872.373156012082i</v>
      </c>
      <c r="AA235" s="734">
        <f t="shared" si="185"/>
        <v>872.37372916112065</v>
      </c>
      <c r="AB235" s="735">
        <f t="shared" si="186"/>
        <v>1.5696500288430297</v>
      </c>
      <c r="AC235" s="733" t="str">
        <f>IMSUM(COMPLEX(1,0),IMDIV(COMPLEX(0,2*PI()*D235),COMPLEX(2*PI()*'Stability Calculations'!EA_Pole2,0)))</f>
        <v>1+8.78781271396698i</v>
      </c>
      <c r="AD235" s="734">
        <f t="shared" si="187"/>
        <v>8.8445266857961204</v>
      </c>
      <c r="AE235" s="735">
        <f t="shared" si="188"/>
        <v>1.4574897616759168</v>
      </c>
      <c r="AF235" s="732" t="str">
        <f t="shared" si="189"/>
        <v>0.75184343599002-6.67448201644764i</v>
      </c>
      <c r="AG235" s="337">
        <f t="shared" si="190"/>
        <v>6.7166940335349672</v>
      </c>
      <c r="AH235" s="730">
        <f t="shared" si="191"/>
        <v>-1.4586247101381409</v>
      </c>
      <c r="AI235" s="731" t="str">
        <f t="shared" si="169"/>
        <v>10000</v>
      </c>
      <c r="AJ235" s="733" t="str">
        <f t="shared" si="192"/>
        <v>1+82142.4818954668i</v>
      </c>
      <c r="AK235" s="734">
        <f t="shared" si="193"/>
        <v>82142.48190155378</v>
      </c>
      <c r="AL235" s="735">
        <f t="shared" si="194"/>
        <v>1.5707841528262403</v>
      </c>
      <c r="AM235" s="340" t="str">
        <f t="shared" si="195"/>
        <v>1+139.405230330731i</v>
      </c>
      <c r="AN235" s="734">
        <f t="shared" si="196"/>
        <v>139.40881695059375</v>
      </c>
      <c r="AO235" s="735">
        <f t="shared" si="197"/>
        <v>1.5636231178275826</v>
      </c>
      <c r="AP235" s="733" t="str">
        <f t="shared" si="198"/>
        <v>1+6.76138345697036i</v>
      </c>
      <c r="AQ235" s="734">
        <f t="shared" si="199"/>
        <v>6.8349327906126804</v>
      </c>
      <c r="AR235" s="735">
        <f t="shared" si="200"/>
        <v>1.4239620455540014</v>
      </c>
      <c r="AS235" s="732" t="str">
        <f t="shared" si="201"/>
        <v>0.014208468988114-16.8573182292347i</v>
      </c>
      <c r="AT235" s="337">
        <f t="shared" si="202"/>
        <v>16.857324217154972</v>
      </c>
      <c r="AU235" s="730">
        <f t="shared" si="203"/>
        <v>-1.5699534604842402</v>
      </c>
      <c r="AV235" s="732" t="str">
        <f t="shared" si="204"/>
        <v>-1.79114566839165+0.0813781348822062i</v>
      </c>
      <c r="AW235" s="337">
        <f t="shared" si="205"/>
        <v>5.0715736480884104</v>
      </c>
      <c r="AX235" s="730">
        <f t="shared" si="206"/>
        <v>177.39863735628293</v>
      </c>
      <c r="AY235" s="360">
        <f t="shared" si="207"/>
        <v>-2.6013626437170672</v>
      </c>
      <c r="BB235" s="337">
        <f t="shared" si="208"/>
        <v>-15.464227206264029</v>
      </c>
      <c r="BC235" s="730">
        <f t="shared" si="209"/>
        <v>-89.951707317705626</v>
      </c>
      <c r="BD235" s="351"/>
      <c r="BE235" s="337">
        <f t="shared" si="170"/>
        <v>46.04741561569319</v>
      </c>
      <c r="BF235" s="730">
        <f t="shared" si="171"/>
        <v>-82.782406991812806</v>
      </c>
      <c r="BI235" s="351"/>
      <c r="BJ235" s="351"/>
      <c r="BL235" s="405">
        <f t="shared" si="172"/>
        <v>0</v>
      </c>
      <c r="BM235" s="405">
        <f t="shared" si="210"/>
        <v>0</v>
      </c>
      <c r="BN235" s="405">
        <f t="shared" si="173"/>
        <v>0</v>
      </c>
      <c r="BO235" s="405">
        <f t="shared" si="174"/>
        <v>0</v>
      </c>
    </row>
    <row r="236" spans="4:67" ht="13.5" thickBot="1" x14ac:dyDescent="0.25">
      <c r="D236" s="345">
        <v>13964.5</v>
      </c>
      <c r="E236" s="340" t="str">
        <f t="shared" si="161"/>
        <v>0.231637668826369i</v>
      </c>
      <c r="F236" s="728" t="str">
        <f t="shared" si="175"/>
        <v>0.005-0.186837869435783i</v>
      </c>
      <c r="G236" s="337" t="str">
        <f t="shared" si="176"/>
        <v>0.005-0.292233590655968i</v>
      </c>
      <c r="H236" s="338" t="str">
        <f t="shared" si="177"/>
        <v>0.0705607676722724-0.274158779373903i</v>
      </c>
      <c r="I236" s="338" t="str">
        <f t="shared" si="178"/>
        <v>0.0805607676722724-0.274158779373903i</v>
      </c>
      <c r="J236" s="337" t="str">
        <f t="shared" si="179"/>
        <v>0.0146586027063214-0.112960994015875i</v>
      </c>
      <c r="K236" s="338" t="str">
        <f t="shared" si="162"/>
        <v>0.997833252663889-0.0731179510184244i</v>
      </c>
      <c r="L236" s="732"/>
      <c r="M236" s="732" t="str">
        <f t="shared" si="163"/>
        <v>24.1934647064957-195.871325598706i</v>
      </c>
      <c r="N236" s="337">
        <f t="shared" si="164"/>
        <v>0</v>
      </c>
      <c r="O236" s="730" t="str">
        <f t="shared" si="165"/>
        <v>-2.66352088047275-78.6281658169101i</v>
      </c>
      <c r="P236" s="731" t="str">
        <f t="shared" si="166"/>
        <v>-21.7711772516151-5.60411776544571i</v>
      </c>
      <c r="Q236" s="729" t="str">
        <f t="shared" si="167"/>
        <v>-21.7445420428104-4.81783610727662i</v>
      </c>
      <c r="R236" s="730"/>
      <c r="S236" s="405" t="str">
        <f t="shared" si="180"/>
        <v>39.7183708053415-0.0711552662816156i</v>
      </c>
      <c r="T236" s="405" t="str">
        <f t="shared" si="181"/>
        <v>15.6343198219565-2.4997731616931i</v>
      </c>
      <c r="U236" s="405" t="str">
        <f t="shared" si="182"/>
        <v>0.417834849949656-4.46267195202446i</v>
      </c>
      <c r="V236" s="731" t="str">
        <f t="shared" si="168"/>
        <v>6000</v>
      </c>
      <c r="W236" s="733" t="str">
        <f>IMSUM(COMPLEX(1,0),IMDIV(COMPLEX(0,2*PI()*D236),COMPLEX(2*PI()*'Stability Calculations'!EA_Pole1,0)))</f>
        <v>1+88618.9566343304i</v>
      </c>
      <c r="X236" s="734">
        <f t="shared" si="183"/>
        <v>88618.95663997253</v>
      </c>
      <c r="Y236" s="735">
        <f t="shared" si="184"/>
        <v>1.5707850425275351</v>
      </c>
      <c r="Z236" s="340" t="str">
        <f>IMSUM(COMPLEX(1,0),IMDIV(COMPLEX(0,2*PI()*D236),COMPLEX(2*PI()*'Stability Calculations'!EA_Zero1,0)))</f>
        <v>1+877.415412221093i</v>
      </c>
      <c r="AA236" s="734">
        <f t="shared" si="185"/>
        <v>877.41598207640982</v>
      </c>
      <c r="AB236" s="735">
        <f t="shared" si="186"/>
        <v>1.5696566162848105</v>
      </c>
      <c r="AC236" s="733" t="str">
        <f>IMSUM(COMPLEX(1,0),IMDIV(COMPLEX(0,2*PI()*D236),COMPLEX(2*PI()*'Stability Calculations'!EA_Pole2,0)))</f>
        <v>1+8.83860566067247i</v>
      </c>
      <c r="AD236" s="734">
        <f t="shared" si="187"/>
        <v>8.8949957855454578</v>
      </c>
      <c r="AE236" s="735">
        <f t="shared" si="188"/>
        <v>1.4581353907741716</v>
      </c>
      <c r="AF236" s="732" t="str">
        <f t="shared" si="189"/>
        <v>0.743335907586378-6.63708821222076i</v>
      </c>
      <c r="AG236" s="337">
        <f t="shared" si="190"/>
        <v>6.6785842967134155</v>
      </c>
      <c r="AH236" s="730">
        <f t="shared" si="191"/>
        <v>-1.4592638170168961</v>
      </c>
      <c r="AI236" s="731" t="str">
        <f t="shared" si="169"/>
        <v>10000</v>
      </c>
      <c r="AJ236" s="733" t="str">
        <f t="shared" si="192"/>
        <v>1+82617.259731656i</v>
      </c>
      <c r="AK236" s="734">
        <f t="shared" si="193"/>
        <v>82617.259737707995</v>
      </c>
      <c r="AL236" s="735">
        <f t="shared" si="194"/>
        <v>1.5707842227865672</v>
      </c>
      <c r="AM236" s="340" t="str">
        <f t="shared" si="195"/>
        <v>1+140.210982872931i</v>
      </c>
      <c r="AN236" s="734">
        <f t="shared" si="196"/>
        <v>140.21454888203775</v>
      </c>
      <c r="AO236" s="735">
        <f t="shared" si="197"/>
        <v>1.5636643388124389</v>
      </c>
      <c r="AP236" s="733" t="str">
        <f t="shared" si="198"/>
        <v>1+6.80046378341376i</v>
      </c>
      <c r="AQ236" s="734">
        <f t="shared" si="199"/>
        <v>6.8735949596642802</v>
      </c>
      <c r="AR236" s="735">
        <f t="shared" si="200"/>
        <v>1.424793886028028</v>
      </c>
      <c r="AS236" s="732" t="str">
        <f t="shared" si="201"/>
        <v>0.0140456342929193-16.7604441641188i</v>
      </c>
      <c r="AT236" s="337">
        <f t="shared" si="202"/>
        <v>16.760450049398631</v>
      </c>
      <c r="AU236" s="730">
        <f t="shared" si="203"/>
        <v>-1.5699583041943386</v>
      </c>
      <c r="AV236" s="732" t="str">
        <f t="shared" si="204"/>
        <v>-1.77038385539876+0.0818102069272791i</v>
      </c>
      <c r="AW236" s="337">
        <f t="shared" si="205"/>
        <v>4.970612864866311</v>
      </c>
      <c r="AX236" s="730">
        <f t="shared" si="206"/>
        <v>177.35421934138014</v>
      </c>
      <c r="AY236" s="360">
        <f t="shared" si="207"/>
        <v>-2.6457806586198558</v>
      </c>
      <c r="BB236" s="337">
        <f t="shared" si="208"/>
        <v>-15.514286478618162</v>
      </c>
      <c r="BC236" s="730">
        <f t="shared" si="209"/>
        <v>-89.951984841851456</v>
      </c>
      <c r="BD236" s="351"/>
      <c r="BE236" s="337">
        <f t="shared" si="170"/>
        <v>45.905174961166885</v>
      </c>
      <c r="BF236" s="730">
        <f t="shared" si="171"/>
        <v>-82.958653736733538</v>
      </c>
      <c r="BI236" s="351"/>
      <c r="BJ236" s="351"/>
      <c r="BL236" s="405">
        <f t="shared" si="172"/>
        <v>0</v>
      </c>
      <c r="BM236" s="405">
        <f t="shared" si="210"/>
        <v>0</v>
      </c>
      <c r="BN236" s="405">
        <f t="shared" si="173"/>
        <v>0</v>
      </c>
      <c r="BO236" s="405">
        <f t="shared" si="174"/>
        <v>0</v>
      </c>
    </row>
    <row r="237" spans="4:67" ht="13.5" thickBot="1" x14ac:dyDescent="0.25">
      <c r="D237" s="345">
        <v>14044.75</v>
      </c>
      <c r="E237" s="340" t="str">
        <f t="shared" si="161"/>
        <v>0.232968824465548i</v>
      </c>
      <c r="F237" s="728" t="str">
        <f t="shared" si="175"/>
        <v>0.005-0.185770300484949i</v>
      </c>
      <c r="G237" s="337" t="str">
        <f t="shared" si="176"/>
        <v>0.005-0.290563803322613i</v>
      </c>
      <c r="H237" s="338" t="str">
        <f t="shared" si="177"/>
        <v>0.0698534732257798-0.272760493740848i</v>
      </c>
      <c r="I237" s="338" t="str">
        <f t="shared" si="178"/>
        <v>0.0798534732257798-0.272760493740848i</v>
      </c>
      <c r="J237" s="337" t="str">
        <f t="shared" si="179"/>
        <v>0.014539680627573-0.112326750059041i</v>
      </c>
      <c r="K237" s="338" t="str">
        <f t="shared" si="162"/>
        <v>0.997808277749306-0.0735381390358421i</v>
      </c>
      <c r="L237" s="732"/>
      <c r="M237" s="732" t="str">
        <f t="shared" si="163"/>
        <v>23.2384191929036-192.819303887822i</v>
      </c>
      <c r="N237" s="337">
        <f t="shared" si="164"/>
        <v>0</v>
      </c>
      <c r="O237" s="730" t="str">
        <f t="shared" si="165"/>
        <v>-2.79627413780203-77.3484241418819i</v>
      </c>
      <c r="P237" s="731" t="str">
        <f t="shared" si="166"/>
        <v>-21.3208865610112-5.41382720180839i</v>
      </c>
      <c r="Q237" s="729" t="str">
        <f t="shared" si="167"/>
        <v>-21.2929238196332-4.64034296038956i</v>
      </c>
      <c r="R237" s="730"/>
      <c r="S237" s="405" t="str">
        <f t="shared" si="180"/>
        <v>39.7221747382549-0.103538773353648i</v>
      </c>
      <c r="T237" s="405" t="str">
        <f t="shared" si="181"/>
        <v>15.6313602533234-2.50146506740297i</v>
      </c>
      <c r="U237" s="405" t="str">
        <f t="shared" si="182"/>
        <v>0.409603958077726-4.43835356364863i</v>
      </c>
      <c r="V237" s="731" t="str">
        <f t="shared" si="168"/>
        <v>6000</v>
      </c>
      <c r="W237" s="733" t="str">
        <f>IMSUM(COMPLEX(1,0),IMDIV(COMPLEX(0,2*PI()*D237),COMPLEX(2*PI()*'Stability Calculations'!EA_Pole1,0)))</f>
        <v>1+89128.2245114406i</v>
      </c>
      <c r="X237" s="734">
        <f t="shared" si="183"/>
        <v>89128.22451705049</v>
      </c>
      <c r="Y237" s="735">
        <f t="shared" si="184"/>
        <v>1.5707851070044718</v>
      </c>
      <c r="Z237" s="340" t="str">
        <f>IMSUM(COMPLEX(1,0),IMDIV(COMPLEX(0,2*PI()*D237),COMPLEX(2*PI()*'Stability Calculations'!EA_Zero1,0)))</f>
        <v>1+882.457668430105i</v>
      </c>
      <c r="AA237" s="734">
        <f t="shared" si="185"/>
        <v>882.45823502933968</v>
      </c>
      <c r="AB237" s="735">
        <f t="shared" si="186"/>
        <v>1.569663128447</v>
      </c>
      <c r="AC237" s="733" t="str">
        <f>IMSUM(COMPLEX(1,0),IMDIV(COMPLEX(0,2*PI()*D237),COMPLEX(2*PI()*'Stability Calculations'!EA_Pole2,0)))</f>
        <v>1+8.88939860737798i</v>
      </c>
      <c r="AD237" s="734">
        <f t="shared" si="187"/>
        <v>8.9454685512193031</v>
      </c>
      <c r="AE237" s="735">
        <f t="shared" si="188"/>
        <v>1.4587737345062013</v>
      </c>
      <c r="AF237" s="732" t="str">
        <f t="shared" si="189"/>
        <v>0.734971365169866-6.60010565034378i</v>
      </c>
      <c r="AG237" s="337">
        <f t="shared" si="190"/>
        <v>6.6409018591844546</v>
      </c>
      <c r="AH237" s="730">
        <f t="shared" si="191"/>
        <v>-1.4598957130636727</v>
      </c>
      <c r="AI237" s="731" t="str">
        <f t="shared" si="169"/>
        <v>10000</v>
      </c>
      <c r="AJ237" s="733" t="str">
        <f t="shared" si="192"/>
        <v>1+83092.0375678453i</v>
      </c>
      <c r="AK237" s="734">
        <f t="shared" si="193"/>
        <v>83092.037573862719</v>
      </c>
      <c r="AL237" s="735">
        <f t="shared" si="194"/>
        <v>1.5707842919474044</v>
      </c>
      <c r="AM237" s="340" t="str">
        <f t="shared" si="195"/>
        <v>1+141.016735415131i</v>
      </c>
      <c r="AN237" s="734">
        <f t="shared" si="196"/>
        <v>141.02028104900751</v>
      </c>
      <c r="AO237" s="735">
        <f t="shared" si="197"/>
        <v>1.5637050887576922</v>
      </c>
      <c r="AP237" s="733" t="str">
        <f t="shared" si="198"/>
        <v>1+6.83954410985717i</v>
      </c>
      <c r="AQ237" s="734">
        <f t="shared" si="199"/>
        <v>6.9122618317510147</v>
      </c>
      <c r="AR237" s="735">
        <f t="shared" si="200"/>
        <v>1.4256164205118607</v>
      </c>
      <c r="AS237" s="732" t="str">
        <f t="shared" si="201"/>
        <v>0.0138855828662031-16.6646771500276i</v>
      </c>
      <c r="AT237" s="337">
        <f t="shared" si="202"/>
        <v>16.664682934999501</v>
      </c>
      <c r="AU237" s="730">
        <f t="shared" si="203"/>
        <v>-1.5699630925517305</v>
      </c>
      <c r="AV237" s="732" t="str">
        <f t="shared" si="204"/>
        <v>-1.74997971610813+0.0822207837230704i</v>
      </c>
      <c r="AW237" s="337">
        <f t="shared" si="205"/>
        <v>4.8702367038198568</v>
      </c>
      <c r="AX237" s="730">
        <f t="shared" si="206"/>
        <v>177.31000192504047</v>
      </c>
      <c r="AY237" s="360">
        <f t="shared" si="207"/>
        <v>-2.6899980749595329</v>
      </c>
      <c r="BB237" s="337">
        <f t="shared" si="208"/>
        <v>-15.564058897662855</v>
      </c>
      <c r="BC237" s="730">
        <f t="shared" si="209"/>
        <v>-89.952259194520806</v>
      </c>
      <c r="BD237" s="351"/>
      <c r="BE237" s="337">
        <f t="shared" si="170"/>
        <v>45.765637174560055</v>
      </c>
      <c r="BF237" s="730">
        <f t="shared" si="171"/>
        <v>-83.127905364546862</v>
      </c>
      <c r="BI237" s="351"/>
      <c r="BJ237" s="351"/>
      <c r="BL237" s="405">
        <f t="shared" si="172"/>
        <v>0</v>
      </c>
      <c r="BM237" s="405">
        <f t="shared" si="210"/>
        <v>0</v>
      </c>
      <c r="BN237" s="405">
        <f t="shared" si="173"/>
        <v>0</v>
      </c>
      <c r="BO237" s="405">
        <f t="shared" si="174"/>
        <v>0</v>
      </c>
    </row>
    <row r="238" spans="4:67" ht="13.5" thickBot="1" x14ac:dyDescent="0.25">
      <c r="D238" s="345">
        <v>14125</v>
      </c>
      <c r="E238" s="340" t="str">
        <f t="shared" si="161"/>
        <v>0.234299980104727i</v>
      </c>
      <c r="F238" s="728" t="str">
        <f t="shared" si="175"/>
        <v>0.005-0.184714862140601i</v>
      </c>
      <c r="G238" s="337" t="str">
        <f t="shared" si="176"/>
        <v>0.005-0.288912989501966i</v>
      </c>
      <c r="H238" s="338" t="str">
        <f t="shared" si="177"/>
        <v>0.0691573484328644-0.271375455071452i</v>
      </c>
      <c r="I238" s="338" t="str">
        <f t="shared" si="178"/>
        <v>0.0791573484328644-0.271375455071452i</v>
      </c>
      <c r="J238" s="337" t="str">
        <f t="shared" si="179"/>
        <v>0.0144227568035599-0.111699529844865i</v>
      </c>
      <c r="K238" s="338" t="str">
        <f t="shared" si="162"/>
        <v>0.997783159722222-0.0739583270532597i</v>
      </c>
      <c r="L238" s="732"/>
      <c r="M238" s="732" t="str">
        <f t="shared" si="163"/>
        <v>22.3360850305623-189.867590439686i</v>
      </c>
      <c r="N238" s="337">
        <f t="shared" si="164"/>
        <v>0</v>
      </c>
      <c r="O238" s="730" t="str">
        <f t="shared" si="165"/>
        <v>-2.91672511144106-76.1126035926248i</v>
      </c>
      <c r="P238" s="731" t="str">
        <f t="shared" si="166"/>
        <v>-20.8859726625508-5.23334427827824i</v>
      </c>
      <c r="Q238" s="729" t="str">
        <f t="shared" si="167"/>
        <v>-20.8568054114364-4.47221824235199i</v>
      </c>
      <c r="R238" s="730"/>
      <c r="S238" s="405" t="str">
        <f t="shared" si="180"/>
        <v>39.725883672121-0.135759493730429i</v>
      </c>
      <c r="T238" s="405" t="str">
        <f t="shared" si="181"/>
        <v>15.6284298557395-2.50322041830439i</v>
      </c>
      <c r="U238" s="405" t="str">
        <f t="shared" si="182"/>
        <v>0.401508188830454-4.41428835082651i</v>
      </c>
      <c r="V238" s="731" t="str">
        <f t="shared" si="168"/>
        <v>6000</v>
      </c>
      <c r="W238" s="733" t="str">
        <f>IMSUM(COMPLEX(1,0),IMDIV(COMPLEX(0,2*PI()*D238),COMPLEX(2*PI()*'Stability Calculations'!EA_Pole1,0)))</f>
        <v>1+89637.4923885508i</v>
      </c>
      <c r="X238" s="734">
        <f t="shared" si="183"/>
        <v>89637.492394128829</v>
      </c>
      <c r="Y238" s="735">
        <f t="shared" si="184"/>
        <v>1.5707851707487679</v>
      </c>
      <c r="Z238" s="340" t="str">
        <f>IMSUM(COMPLEX(1,0),IMDIV(COMPLEX(0,2*PI()*D238),COMPLEX(2*PI()*'Stability Calculations'!EA_Zero1,0)))</f>
        <v>1+887.499924639117i</v>
      </c>
      <c r="AA238" s="734">
        <f t="shared" si="185"/>
        <v>887.50048801926778</v>
      </c>
      <c r="AB238" s="735">
        <f t="shared" si="186"/>
        <v>1.5696695666126799</v>
      </c>
      <c r="AC238" s="733" t="str">
        <f>IMSUM(COMPLEX(1,0),IMDIV(COMPLEX(0,2*PI()*D238),COMPLEX(2*PI()*'Stability Calculations'!EA_Pole2,0)))</f>
        <v>1+8.94019155408348i</v>
      </c>
      <c r="AD238" s="734">
        <f t="shared" si="187"/>
        <v>8.9959449211133791</v>
      </c>
      <c r="AE238" s="735">
        <f t="shared" si="188"/>
        <v>1.4594049149822177</v>
      </c>
      <c r="AF238" s="732" t="str">
        <f t="shared" si="189"/>
        <v>0.726746635768602-6.56352767641086i</v>
      </c>
      <c r="AG238" s="337">
        <f t="shared" si="190"/>
        <v>6.6036396200589511</v>
      </c>
      <c r="AH238" s="730">
        <f t="shared" si="191"/>
        <v>-1.4605205191183055</v>
      </c>
      <c r="AI238" s="731" t="str">
        <f t="shared" si="169"/>
        <v>10000</v>
      </c>
      <c r="AJ238" s="733" t="str">
        <f t="shared" si="192"/>
        <v>1+83566.8154040346i</v>
      </c>
      <c r="AK238" s="734">
        <f t="shared" si="193"/>
        <v>83566.815410017836</v>
      </c>
      <c r="AL238" s="735">
        <f t="shared" si="194"/>
        <v>1.5707843603223786</v>
      </c>
      <c r="AM238" s="340" t="str">
        <f t="shared" si="195"/>
        <v>1+141.822487957331i</v>
      </c>
      <c r="AN238" s="734">
        <f t="shared" si="196"/>
        <v>141.82601344748886</v>
      </c>
      <c r="AO238" s="735">
        <f t="shared" si="197"/>
        <v>1.5637453756913209</v>
      </c>
      <c r="AP238" s="733" t="str">
        <f t="shared" si="198"/>
        <v>1+6.87862443630058i</v>
      </c>
      <c r="AQ238" s="734">
        <f t="shared" si="199"/>
        <v>6.9509333283863004</v>
      </c>
      <c r="AR238" s="735">
        <f t="shared" si="200"/>
        <v>1.4264298032046605</v>
      </c>
      <c r="AS238" s="732" t="str">
        <f t="shared" si="201"/>
        <v>0.0137282516364382-16.5699983181614i</v>
      </c>
      <c r="AT238" s="337">
        <f t="shared" si="202"/>
        <v>16.570004005091992</v>
      </c>
      <c r="AU238" s="730">
        <f t="shared" si="203"/>
        <v>-1.5699678264998598</v>
      </c>
      <c r="AV238" s="732" t="str">
        <f t="shared" si="204"/>
        <v>-1.72992507558279+0.0826106353812055i</v>
      </c>
      <c r="AW238" s="337">
        <f t="shared" si="205"/>
        <v>4.770438397810385</v>
      </c>
      <c r="AX238" s="730">
        <f t="shared" si="206"/>
        <v>177.26598117709594</v>
      </c>
      <c r="AY238" s="360">
        <f t="shared" si="207"/>
        <v>-2.7340188229040621</v>
      </c>
      <c r="BB238" s="337">
        <f t="shared" si="208"/>
        <v>-15.613547732169517</v>
      </c>
      <c r="BC238" s="730">
        <f t="shared" si="209"/>
        <v>-89.952530429769055</v>
      </c>
      <c r="BD238" s="351"/>
      <c r="BE238" s="337">
        <f t="shared" si="170"/>
        <v>45.628707767145301</v>
      </c>
      <c r="BF238" s="730">
        <f t="shared" si="171"/>
        <v>-83.290543749727718</v>
      </c>
      <c r="BI238" s="351"/>
      <c r="BJ238" s="351"/>
      <c r="BL238" s="405">
        <f t="shared" si="172"/>
        <v>0</v>
      </c>
      <c r="BM238" s="405">
        <f t="shared" si="210"/>
        <v>0</v>
      </c>
      <c r="BN238" s="405">
        <f t="shared" si="173"/>
        <v>0</v>
      </c>
      <c r="BO238" s="405">
        <f t="shared" si="174"/>
        <v>0</v>
      </c>
    </row>
    <row r="239" spans="4:67" ht="13.5" thickBot="1" x14ac:dyDescent="0.25">
      <c r="D239" s="345">
        <v>14207.25</v>
      </c>
      <c r="E239" s="340" t="str">
        <f t="shared" si="161"/>
        <v>0.235664310962328i</v>
      </c>
      <c r="F239" s="728" t="str">
        <f t="shared" si="175"/>
        <v>0.005-0.183645492810782i</v>
      </c>
      <c r="G239" s="337" t="str">
        <f t="shared" si="176"/>
        <v>0.005-0.287240386191224i</v>
      </c>
      <c r="H239" s="338" t="str">
        <f t="shared" si="177"/>
        <v>0.0684552254163101-0.26996946615056i</v>
      </c>
      <c r="I239" s="338" t="str">
        <f t="shared" si="178"/>
        <v>0.0784552254163101-0.26996946615056i</v>
      </c>
      <c r="J239" s="337" t="str">
        <f t="shared" si="179"/>
        <v>0.0143049461188413-0.111063846188572i</v>
      </c>
      <c r="K239" s="338" t="str">
        <f t="shared" si="162"/>
        <v>0.99775726719375-0.0743889870461893i</v>
      </c>
      <c r="L239" s="732"/>
      <c r="M239" s="732" t="str">
        <f t="shared" si="163"/>
        <v>21.4620926781258-186.941404776749i</v>
      </c>
      <c r="N239" s="337">
        <f t="shared" si="164"/>
        <v>0</v>
      </c>
      <c r="O239" s="730" t="str">
        <f t="shared" si="165"/>
        <v>-3.02850884508382-74.8892654091873i</v>
      </c>
      <c r="P239" s="731" t="str">
        <f t="shared" si="166"/>
        <v>-20.4554173470423-5.05784928280015i</v>
      </c>
      <c r="Q239" s="729" t="str">
        <f t="shared" si="167"/>
        <v>-20.4251322585915-4.30895662870827i</v>
      </c>
      <c r="R239" s="730"/>
      <c r="S239" s="405" t="str">
        <f t="shared" si="180"/>
        <v>39.7295884115545-0.168616854105999i</v>
      </c>
      <c r="T239" s="405" t="str">
        <f t="shared" si="181"/>
        <v>15.6254559269286-2.50508433942985i</v>
      </c>
      <c r="U239" s="405" t="str">
        <f t="shared" si="182"/>
        <v>0.393347825932511-4.3898821080946i</v>
      </c>
      <c r="V239" s="731" t="str">
        <f t="shared" si="168"/>
        <v>6000</v>
      </c>
      <c r="W239" s="733" t="str">
        <f>IMSUM(COMPLEX(1,0),IMDIV(COMPLEX(0,2*PI()*D239),COMPLEX(2*PI()*'Stability Calculations'!EA_Pole1,0)))</f>
        <v>1+90159.4522999815i</v>
      </c>
      <c r="X239" s="734">
        <f t="shared" si="183"/>
        <v>90159.452305527229</v>
      </c>
      <c r="Y239" s="735">
        <f t="shared" si="184"/>
        <v>1.5707852353344403</v>
      </c>
      <c r="Z239" s="340" t="str">
        <f>IMSUM(COMPLEX(1,0),IMDIV(COMPLEX(0,2*PI()*D239),COMPLEX(2*PI()*'Stability Calculations'!EA_Zero1,0)))</f>
        <v>1+892.667844554272i</v>
      </c>
      <c r="AA239" s="734">
        <f t="shared" si="185"/>
        <v>892.66840467284931</v>
      </c>
      <c r="AB239" s="735">
        <f t="shared" si="186"/>
        <v>1.5696760897573578</v>
      </c>
      <c r="AC239" s="733" t="str">
        <f>IMSUM(COMPLEX(1,0),IMDIV(COMPLEX(0,2*PI()*D239),COMPLEX(2*PI()*'Stability Calculations'!EA_Pole2,0)))</f>
        <v>1+8.99225036861965i</v>
      </c>
      <c r="AD239" s="734">
        <f t="shared" si="187"/>
        <v>9.0476829460332127</v>
      </c>
      <c r="AE239" s="735">
        <f t="shared" si="188"/>
        <v>1.4600445174677434</v>
      </c>
      <c r="AF239" s="732" t="str">
        <f t="shared" si="189"/>
        <v>0.718458783598836-6.52645112574684i</v>
      </c>
      <c r="AG239" s="337">
        <f t="shared" si="190"/>
        <v>6.5658774981332479</v>
      </c>
      <c r="AH239" s="730">
        <f t="shared" si="191"/>
        <v>-1.461153663044825</v>
      </c>
      <c r="AI239" s="731" t="str">
        <f t="shared" si="169"/>
        <v>10000</v>
      </c>
      <c r="AJ239" s="733" t="str">
        <f t="shared" si="192"/>
        <v>1+84053.4257096617i</v>
      </c>
      <c r="AK239" s="734">
        <f t="shared" si="193"/>
        <v>84053.425715610283</v>
      </c>
      <c r="AL239" s="735">
        <f t="shared" si="194"/>
        <v>1.5707844295998505</v>
      </c>
      <c r="AM239" s="340" t="str">
        <f t="shared" si="195"/>
        <v>1+142.648321559773i</v>
      </c>
      <c r="AN239" s="734">
        <f t="shared" si="196"/>
        <v>142.6518266403217</v>
      </c>
      <c r="AO239" s="735">
        <f t="shared" si="197"/>
        <v>1.5637861944052542</v>
      </c>
      <c r="AP239" s="733" t="str">
        <f t="shared" si="198"/>
        <v>1+6.91867872726594i</v>
      </c>
      <c r="AQ239" s="734">
        <f t="shared" si="199"/>
        <v>6.990573319200811</v>
      </c>
      <c r="AR239" s="735">
        <f t="shared" si="200"/>
        <v>1.427254118160636</v>
      </c>
      <c r="AS239" s="732" t="str">
        <f t="shared" si="201"/>
        <v>0.0135697579878836-16.4740697952674i</v>
      </c>
      <c r="AT239" s="337">
        <f t="shared" si="202"/>
        <v>16.474075383998748</v>
      </c>
      <c r="AU239" s="730">
        <f t="shared" si="203"/>
        <v>-1.5699726229325512</v>
      </c>
      <c r="AV239" s="732" t="str">
        <f t="shared" si="204"/>
        <v>-1.70972499455384+0.0829894711567408i</v>
      </c>
      <c r="AW239" s="337">
        <f t="shared" si="205"/>
        <v>4.6687455853471187</v>
      </c>
      <c r="AX239" s="730">
        <f t="shared" si="206"/>
        <v>177.22106341523588</v>
      </c>
      <c r="AY239" s="360">
        <f t="shared" si="207"/>
        <v>-2.778936584764125</v>
      </c>
      <c r="BB239" s="337">
        <f t="shared" si="208"/>
        <v>-15.663979021047236</v>
      </c>
      <c r="BC239" s="730">
        <f t="shared" si="209"/>
        <v>-89.952805245118995</v>
      </c>
      <c r="BD239" s="351"/>
      <c r="BE239" s="337">
        <f t="shared" si="170"/>
        <v>45.490978425614102</v>
      </c>
      <c r="BF239" s="730">
        <f t="shared" si="171"/>
        <v>-83.450744566736262</v>
      </c>
      <c r="BI239" s="351"/>
      <c r="BJ239" s="351"/>
      <c r="BL239" s="405">
        <f t="shared" si="172"/>
        <v>0</v>
      </c>
      <c r="BM239" s="405">
        <f t="shared" si="210"/>
        <v>0</v>
      </c>
      <c r="BN239" s="405">
        <f t="shared" si="173"/>
        <v>0</v>
      </c>
      <c r="BO239" s="405">
        <f t="shared" si="174"/>
        <v>0</v>
      </c>
    </row>
    <row r="240" spans="4:67" ht="13.5" thickBot="1" x14ac:dyDescent="0.25">
      <c r="D240" s="345">
        <v>14289.5</v>
      </c>
      <c r="E240" s="340" t="str">
        <f t="shared" si="161"/>
        <v>0.237028641819929i</v>
      </c>
      <c r="F240" s="728" t="str">
        <f t="shared" si="175"/>
        <v>0.005-0.182588434006508i</v>
      </c>
      <c r="G240" s="337" t="str">
        <f t="shared" si="176"/>
        <v>0.005-0.285587037805051i</v>
      </c>
      <c r="H240" s="338" t="str">
        <f t="shared" si="177"/>
        <v>0.0677643540278618-0.268577032628013i</v>
      </c>
      <c r="I240" s="338" t="str">
        <f t="shared" si="178"/>
        <v>0.0777643540278618-0.268577032628013i</v>
      </c>
      <c r="J240" s="337" t="str">
        <f t="shared" si="179"/>
        <v>0.0141891414268177-0.110435298879572i</v>
      </c>
      <c r="K240" s="338" t="str">
        <f t="shared" si="162"/>
        <v>0.997731224330555-0.0748196470391189i</v>
      </c>
      <c r="L240" s="732"/>
      <c r="M240" s="732" t="str">
        <f t="shared" si="163"/>
        <v>20.6359451721791-184.11073690073i</v>
      </c>
      <c r="N240" s="337">
        <f t="shared" si="164"/>
        <v>0</v>
      </c>
      <c r="O240" s="730" t="str">
        <f t="shared" si="165"/>
        <v>-3.12949289232633-73.7075494696448i</v>
      </c>
      <c r="P240" s="731" t="str">
        <f t="shared" si="166"/>
        <v>-20.0395179120462-4.89131005683214i</v>
      </c>
      <c r="Q240" s="729" t="str">
        <f t="shared" si="167"/>
        <v>-20.0082229831229-4.15423456213569i</v>
      </c>
      <c r="R240" s="730"/>
      <c r="S240" s="405" t="str">
        <f t="shared" si="180"/>
        <v>39.7331972705537-0.201308354415433i</v>
      </c>
      <c r="T240" s="405" t="str">
        <f t="shared" si="181"/>
        <v>15.6225110967931-2.50701286711692i</v>
      </c>
      <c r="U240" s="405" t="str">
        <f t="shared" si="182"/>
        <v>0.385323296156785-4.3657337800546i</v>
      </c>
      <c r="V240" s="731" t="str">
        <f t="shared" si="168"/>
        <v>6000</v>
      </c>
      <c r="W240" s="733" t="str">
        <f>IMSUM(COMPLEX(1,0),IMDIV(COMPLEX(0,2*PI()*D240),COMPLEX(2*PI()*'Stability Calculations'!EA_Pole1,0)))</f>
        <v>1+90681.4122114121i</v>
      </c>
      <c r="X240" s="734">
        <f t="shared" si="183"/>
        <v>90681.412216925921</v>
      </c>
      <c r="Y240" s="735">
        <f t="shared" si="184"/>
        <v>1.5707852991766056</v>
      </c>
      <c r="Z240" s="340" t="str">
        <f>IMSUM(COMPLEX(1,0),IMDIV(COMPLEX(0,2*PI()*D240),COMPLEX(2*PI()*'Stability Calculations'!EA_Zero1,0)))</f>
        <v>1+897.835764469427i</v>
      </c>
      <c r="AA240" s="734">
        <f t="shared" si="185"/>
        <v>897.83632136397807</v>
      </c>
      <c r="AB240" s="735">
        <f t="shared" si="186"/>
        <v>1.5696825378080186</v>
      </c>
      <c r="AC240" s="733" t="str">
        <f>IMSUM(COMPLEX(1,0),IMDIV(COMPLEX(0,2*PI()*D240),COMPLEX(2*PI()*'Stability Calculations'!EA_Pole2,0)))</f>
        <v>1+9.04430918315581i</v>
      </c>
      <c r="AD240" s="734">
        <f t="shared" si="187"/>
        <v>9.0994246301904447</v>
      </c>
      <c r="AE240" s="735">
        <f t="shared" si="188"/>
        <v>1.4606768463188702</v>
      </c>
      <c r="AF240" s="732" t="str">
        <f t="shared" si="189"/>
        <v>0.71031132852906-6.48978587521878i</v>
      </c>
      <c r="AG240" s="337">
        <f t="shared" si="190"/>
        <v>6.5285421718501517</v>
      </c>
      <c r="AH240" s="730">
        <f t="shared" si="191"/>
        <v>-1.461779607687457</v>
      </c>
      <c r="AI240" s="731" t="str">
        <f t="shared" si="169"/>
        <v>10000</v>
      </c>
      <c r="AJ240" s="733" t="str">
        <f t="shared" si="192"/>
        <v>1+84540.0360152887i</v>
      </c>
      <c r="AK240" s="734">
        <f t="shared" si="193"/>
        <v>84540.03602120305</v>
      </c>
      <c r="AL240" s="735">
        <f t="shared" si="194"/>
        <v>1.5707844980798038</v>
      </c>
      <c r="AM240" s="340" t="str">
        <f t="shared" si="195"/>
        <v>1+143.474155162214i</v>
      </c>
      <c r="AN240" s="734">
        <f t="shared" si="196"/>
        <v>143.47764006809933</v>
      </c>
      <c r="AO240" s="735">
        <f t="shared" si="197"/>
        <v>1.5638265432391798</v>
      </c>
      <c r="AP240" s="733" t="str">
        <f t="shared" si="198"/>
        <v>1+6.9587330182313i</v>
      </c>
      <c r="AQ240" s="734">
        <f t="shared" si="199"/>
        <v>7.0302180065075142</v>
      </c>
      <c r="AR240" s="735">
        <f t="shared" si="200"/>
        <v>1.4280691367391094</v>
      </c>
      <c r="AS240" s="732" t="str">
        <f t="shared" si="201"/>
        <v>0.0134139933088995-16.3792455944336i</v>
      </c>
      <c r="AT240" s="337">
        <f t="shared" si="202"/>
        <v>16.379251087213632</v>
      </c>
      <c r="AU240" s="730">
        <f t="shared" si="203"/>
        <v>-1.5699773641489896</v>
      </c>
      <c r="AV240" s="732" t="str">
        <f t="shared" si="204"/>
        <v>-1.68987540042137+0.0833480797942855i</v>
      </c>
      <c r="AW240" s="337">
        <f t="shared" si="205"/>
        <v>4.5676457678213795</v>
      </c>
      <c r="AX240" s="730">
        <f t="shared" si="206"/>
        <v>177.17634421070588</v>
      </c>
      <c r="AY240" s="360">
        <f t="shared" si="207"/>
        <v>-2.8236557892941221</v>
      </c>
      <c r="BB240" s="337">
        <f t="shared" si="208"/>
        <v>-15.714119189639188</v>
      </c>
      <c r="BC240" s="730">
        <f t="shared" si="209"/>
        <v>-89.953076896810657</v>
      </c>
      <c r="BD240" s="351"/>
      <c r="BE240" s="337">
        <f t="shared" si="170"/>
        <v>45.355802508386475</v>
      </c>
      <c r="BF240" s="730">
        <f t="shared" si="171"/>
        <v>-83.604727739445011</v>
      </c>
      <c r="BI240" s="351"/>
      <c r="BJ240" s="351"/>
      <c r="BL240" s="405">
        <f t="shared" si="172"/>
        <v>0</v>
      </c>
      <c r="BM240" s="405">
        <f t="shared" si="210"/>
        <v>0</v>
      </c>
      <c r="BN240" s="405">
        <f t="shared" si="173"/>
        <v>0</v>
      </c>
      <c r="BO240" s="405">
        <f t="shared" si="174"/>
        <v>0</v>
      </c>
    </row>
    <row r="241" spans="4:67" ht="13.5" thickBot="1" x14ac:dyDescent="0.25">
      <c r="D241" s="345">
        <v>14371.75</v>
      </c>
      <c r="E241" s="340" t="str">
        <f t="shared" si="161"/>
        <v>0.23839297267753i</v>
      </c>
      <c r="F241" s="728" t="str">
        <f t="shared" si="175"/>
        <v>0.005-0.181543474367143i</v>
      </c>
      <c r="G241" s="337" t="str">
        <f t="shared" si="176"/>
        <v>0.005-0.283952613753737i</v>
      </c>
      <c r="H241" s="338" t="str">
        <f t="shared" si="177"/>
        <v>0.0670844996667803-0.267197976298202i</v>
      </c>
      <c r="I241" s="338" t="str">
        <f t="shared" si="178"/>
        <v>0.0770844996667803-0.267197976298202i</v>
      </c>
      <c r="J241" s="337" t="str">
        <f t="shared" si="179"/>
        <v>0.0140752975615962-0.109813769482743i</v>
      </c>
      <c r="K241" s="338" t="str">
        <f t="shared" si="162"/>
        <v>0.997705031132639-0.0752503070320485i</v>
      </c>
      <c r="L241" s="732"/>
      <c r="M241" s="732" t="str">
        <f t="shared" si="163"/>
        <v>19.8543107135409-181.371046711946i</v>
      </c>
      <c r="N241" s="337">
        <f t="shared" si="164"/>
        <v>0</v>
      </c>
      <c r="O241" s="730" t="str">
        <f t="shared" si="165"/>
        <v>-3.22060214717603-72.5653867098007i</v>
      </c>
      <c r="P241" s="731" t="str">
        <f t="shared" si="166"/>
        <v>-19.637582983296-4.73312815146433i</v>
      </c>
      <c r="Q241" s="729" t="str">
        <f t="shared" si="167"/>
        <v>-19.6053769618242-4.00747428436633i</v>
      </c>
      <c r="R241" s="730"/>
      <c r="S241" s="405" t="str">
        <f t="shared" si="180"/>
        <v>39.7367121501645-0.233836521447195i</v>
      </c>
      <c r="T241" s="405" t="str">
        <f t="shared" si="181"/>
        <v>15.6195946149386-2.50900499849624i</v>
      </c>
      <c r="U241" s="405" t="str">
        <f t="shared" si="182"/>
        <v>0.377431631620822-4.34183941669545i</v>
      </c>
      <c r="V241" s="731" t="str">
        <f t="shared" si="168"/>
        <v>6000</v>
      </c>
      <c r="W241" s="733" t="str">
        <f>IMSUM(COMPLEX(1,0),IMDIV(COMPLEX(0,2*PI()*D241),COMPLEX(2*PI()*'Stability Calculations'!EA_Pole1,0)))</f>
        <v>1+91203.3721228428i</v>
      </c>
      <c r="X241" s="734">
        <f t="shared" si="183"/>
        <v>91203.372128325049</v>
      </c>
      <c r="Y241" s="735">
        <f t="shared" si="184"/>
        <v>1.5707853622880292</v>
      </c>
      <c r="Z241" s="340" t="str">
        <f>IMSUM(COMPLEX(1,0),IMDIV(COMPLEX(0,2*PI()*D241),COMPLEX(2*PI()*'Stability Calculations'!EA_Zero1,0)))</f>
        <v>1+903.003684384582i</v>
      </c>
      <c r="AA241" s="734">
        <f t="shared" si="185"/>
        <v>903.00423809200913</v>
      </c>
      <c r="AB241" s="735">
        <f t="shared" si="186"/>
        <v>1.5696889120539563</v>
      </c>
      <c r="AC241" s="733" t="str">
        <f>IMSUM(COMPLEX(1,0),IMDIV(COMPLEX(0,2*PI()*D241),COMPLEX(2*PI()*'Stability Calculations'!EA_Pole2,0)))</f>
        <v>1+9.09636799769198i</v>
      </c>
      <c r="AD241" s="734">
        <f t="shared" si="187"/>
        <v>9.1511699115159484</v>
      </c>
      <c r="AE241" s="735">
        <f t="shared" si="188"/>
        <v>1.4613020244118757</v>
      </c>
      <c r="AF241" s="732" t="str">
        <f t="shared" si="189"/>
        <v>0.702301130043222-6.45352520842296i</v>
      </c>
      <c r="AG241" s="337">
        <f t="shared" si="190"/>
        <v>6.4916264905654106</v>
      </c>
      <c r="AH241" s="730">
        <f t="shared" si="191"/>
        <v>-1.4623984746459491</v>
      </c>
      <c r="AI241" s="731" t="str">
        <f t="shared" si="169"/>
        <v>10000</v>
      </c>
      <c r="AJ241" s="733" t="str">
        <f t="shared" si="192"/>
        <v>1+85026.6463209157i</v>
      </c>
      <c r="AK241" s="734">
        <f t="shared" si="193"/>
        <v>85026.646326796195</v>
      </c>
      <c r="AL241" s="735">
        <f t="shared" si="194"/>
        <v>1.5707845657759312</v>
      </c>
      <c r="AM241" s="340" t="str">
        <f t="shared" si="195"/>
        <v>1+144.299988764656i</v>
      </c>
      <c r="AN241" s="734">
        <f t="shared" si="196"/>
        <v>144.30345372679008</v>
      </c>
      <c r="AO241" s="735">
        <f t="shared" si="197"/>
        <v>1.5638664302599934</v>
      </c>
      <c r="AP241" s="733" t="str">
        <f t="shared" si="198"/>
        <v>1+6.99878730919666i</v>
      </c>
      <c r="AQ241" s="734">
        <f t="shared" si="199"/>
        <v>7.0698673112988635</v>
      </c>
      <c r="AR241" s="735">
        <f t="shared" si="200"/>
        <v>1.4288750142562383</v>
      </c>
      <c r="AS241" s="732" t="str">
        <f t="shared" si="201"/>
        <v>0.0132608953067325-16.285506755496i</v>
      </c>
      <c r="AT241" s="337">
        <f t="shared" si="202"/>
        <v>16.285512154508691</v>
      </c>
      <c r="AU241" s="730">
        <f t="shared" si="203"/>
        <v>-1.5699820510971876</v>
      </c>
      <c r="AV241" s="732" t="str">
        <f t="shared" si="204"/>
        <v>-1.67036822531907+0.0836871975582138i</v>
      </c>
      <c r="AW241" s="337">
        <f t="shared" si="205"/>
        <v>4.4671320319584531</v>
      </c>
      <c r="AX241" s="730">
        <f t="shared" si="206"/>
        <v>177.13181965387176</v>
      </c>
      <c r="AY241" s="360">
        <f t="shared" si="207"/>
        <v>-2.8681803461282414</v>
      </c>
      <c r="BB241" s="337">
        <f t="shared" si="208"/>
        <v>-15.763971579710752</v>
      </c>
      <c r="BC241" s="730">
        <f t="shared" si="209"/>
        <v>-89.953345439161211</v>
      </c>
      <c r="BD241" s="351"/>
      <c r="BE241" s="337">
        <f t="shared" si="170"/>
        <v>45.223092322266169</v>
      </c>
      <c r="BF241" s="730">
        <f t="shared" si="171"/>
        <v>-83.752824879992431</v>
      </c>
      <c r="BI241" s="351"/>
      <c r="BJ241" s="351"/>
      <c r="BL241" s="405">
        <f t="shared" si="172"/>
        <v>0</v>
      </c>
      <c r="BM241" s="405">
        <f t="shared" si="210"/>
        <v>0</v>
      </c>
      <c r="BN241" s="405">
        <f t="shared" si="173"/>
        <v>0</v>
      </c>
      <c r="BO241" s="405">
        <f t="shared" si="174"/>
        <v>0</v>
      </c>
    </row>
    <row r="242" spans="4:67" ht="13.5" thickBot="1" x14ac:dyDescent="0.25">
      <c r="D242" s="345">
        <v>14454</v>
      </c>
      <c r="E242" s="340" t="str">
        <f t="shared" si="161"/>
        <v>0.239757303535131i</v>
      </c>
      <c r="F242" s="728" t="str">
        <f t="shared" si="175"/>
        <v>0.005-0.180510407343018i</v>
      </c>
      <c r="G242" s="337" t="str">
        <f t="shared" si="176"/>
        <v>0.005-0.282336790972413i</v>
      </c>
      <c r="H242" s="338" t="str">
        <f t="shared" si="177"/>
        <v>0.0664154336914367-0.265832121634615i</v>
      </c>
      <c r="I242" s="338" t="str">
        <f t="shared" si="178"/>
        <v>0.0764154336914367-0.265832121634615i</v>
      </c>
      <c r="J242" s="337" t="str">
        <f t="shared" si="179"/>
        <v>0.0139633706178363-0.109199142145278i</v>
      </c>
      <c r="K242" s="338" t="str">
        <f t="shared" si="162"/>
        <v>0.9976786876-0.0756809670249781i</v>
      </c>
      <c r="L242" s="732"/>
      <c r="M242" s="732" t="str">
        <f t="shared" si="163"/>
        <v>19.1141371582091-178.718066878607i</v>
      </c>
      <c r="N242" s="337">
        <f t="shared" si="164"/>
        <v>0</v>
      </c>
      <c r="O242" s="730" t="str">
        <f t="shared" si="165"/>
        <v>-3.30267473305257-71.4608391527222i</v>
      </c>
      <c r="P242" s="731" t="str">
        <f t="shared" si="166"/>
        <v>-19.2489618078261-4.58275398445287i</v>
      </c>
      <c r="Q242" s="729" t="str">
        <f t="shared" si="167"/>
        <v>-19.2159350604956-3.86814559292563i</v>
      </c>
      <c r="R242" s="730"/>
      <c r="S242" s="405" t="str">
        <f t="shared" si="180"/>
        <v>39.7401349002407-0.266203832588213i</v>
      </c>
      <c r="T242" s="405" t="str">
        <f t="shared" si="181"/>
        <v>15.6167057511861-2.51105975020387i</v>
      </c>
      <c r="U242" s="405" t="str">
        <f t="shared" si="182"/>
        <v>0.369669944348587-4.31819514511619i</v>
      </c>
      <c r="V242" s="731" t="str">
        <f t="shared" si="168"/>
        <v>6000</v>
      </c>
      <c r="W242" s="733" t="str">
        <f>IMSUM(COMPLEX(1,0),IMDIV(COMPLEX(0,2*PI()*D242),COMPLEX(2*PI()*'Stability Calculations'!EA_Pole1,0)))</f>
        <v>1+91725.3320342734i</v>
      </c>
      <c r="X242" s="734">
        <f t="shared" si="183"/>
        <v>91725.332039724453</v>
      </c>
      <c r="Y242" s="735">
        <f t="shared" si="184"/>
        <v>1.5707854246811863</v>
      </c>
      <c r="Z242" s="340" t="str">
        <f>IMSUM(COMPLEX(1,0),IMDIV(COMPLEX(0,2*PI()*D242),COMPLEX(2*PI()*'Stability Calculations'!EA_Zero1,0)))</f>
        <v>1+908.171604299737i</v>
      </c>
      <c r="AA242" s="734">
        <f t="shared" si="185"/>
        <v>908.17215485631243</v>
      </c>
      <c r="AB242" s="735">
        <f t="shared" si="186"/>
        <v>1.5696952137551192</v>
      </c>
      <c r="AC242" s="733" t="str">
        <f>IMSUM(COMPLEX(1,0),IMDIV(COMPLEX(0,2*PI()*D242),COMPLEX(2*PI()*'Stability Calculations'!EA_Pole2,0)))</f>
        <v>1+9.14842681222814i</v>
      </c>
      <c r="AD242" s="734">
        <f t="shared" si="187"/>
        <v>9.2029187293322714</v>
      </c>
      <c r="AE242" s="735">
        <f t="shared" si="188"/>
        <v>1.4619201718819093</v>
      </c>
      <c r="AF242" s="732" t="str">
        <f t="shared" si="189"/>
        <v>0.694425134592318-6.41766255232722i</v>
      </c>
      <c r="AG242" s="337">
        <f t="shared" si="190"/>
        <v>6.4551234614913993</v>
      </c>
      <c r="AH242" s="730">
        <f t="shared" si="191"/>
        <v>-1.4630103828079759</v>
      </c>
      <c r="AI242" s="731" t="str">
        <f t="shared" si="169"/>
        <v>10000</v>
      </c>
      <c r="AJ242" s="733" t="str">
        <f t="shared" si="192"/>
        <v>1+85513.2566265427i</v>
      </c>
      <c r="AK242" s="734">
        <f t="shared" si="193"/>
        <v>85513.256632389748</v>
      </c>
      <c r="AL242" s="735">
        <f t="shared" si="194"/>
        <v>1.5707846327016133</v>
      </c>
      <c r="AM242" s="340" t="str">
        <f t="shared" si="195"/>
        <v>1+145.125822367098i</v>
      </c>
      <c r="AN242" s="734">
        <f t="shared" si="196"/>
        <v>145.1292676124512</v>
      </c>
      <c r="AO242" s="735">
        <f t="shared" si="197"/>
        <v>1.5639058633509875</v>
      </c>
      <c r="AP242" s="733" t="str">
        <f t="shared" si="198"/>
        <v>1+7.03884160016202i</v>
      </c>
      <c r="AQ242" s="734">
        <f t="shared" si="199"/>
        <v>7.109521156320687</v>
      </c>
      <c r="AR242" s="735">
        <f t="shared" si="200"/>
        <v>1.4296719026111337</v>
      </c>
      <c r="AS242" s="732" t="str">
        <f t="shared" si="201"/>
        <v>0.0131104034559436-16.1928347498575i</v>
      </c>
      <c r="AT242" s="337">
        <f t="shared" si="202"/>
        <v>16.192840057225027</v>
      </c>
      <c r="AU242" s="730">
        <f t="shared" si="203"/>
        <v>-1.5699866847035793</v>
      </c>
      <c r="AV242" s="732" t="str">
        <f t="shared" si="204"/>
        <v>-1.65119563224498+0.0840075320536231i</v>
      </c>
      <c r="AW242" s="337">
        <f t="shared" si="205"/>
        <v>4.3671975844749031</v>
      </c>
      <c r="AX242" s="730">
        <f t="shared" si="206"/>
        <v>177.08748593679601</v>
      </c>
      <c r="AY242" s="360">
        <f t="shared" si="207"/>
        <v>-2.9125140632039859</v>
      </c>
      <c r="BB242" s="337">
        <f t="shared" si="208"/>
        <v>-15.813539475815661</v>
      </c>
      <c r="BC242" s="730">
        <f t="shared" si="209"/>
        <v>-89.953610925251368</v>
      </c>
      <c r="BD242" s="351"/>
      <c r="BE242" s="337">
        <f t="shared" si="170"/>
        <v>45.092764357602604</v>
      </c>
      <c r="BF242" s="730">
        <f t="shared" si="171"/>
        <v>-83.895345106133462</v>
      </c>
      <c r="BI242" s="351"/>
      <c r="BJ242" s="351"/>
      <c r="BL242" s="405">
        <f t="shared" si="172"/>
        <v>0</v>
      </c>
      <c r="BM242" s="405">
        <f t="shared" si="210"/>
        <v>0</v>
      </c>
      <c r="BN242" s="405">
        <f t="shared" si="173"/>
        <v>0</v>
      </c>
      <c r="BO242" s="405">
        <f t="shared" si="174"/>
        <v>0</v>
      </c>
    </row>
    <row r="243" spans="4:67" ht="13.5" thickBot="1" x14ac:dyDescent="0.25">
      <c r="D243" s="345">
        <v>14622.5</v>
      </c>
      <c r="E243" s="340" t="str">
        <f t="shared" si="161"/>
        <v>0.242552315687176i</v>
      </c>
      <c r="F243" s="728" t="str">
        <f t="shared" si="175"/>
        <v>0.005-0.178430325028962i</v>
      </c>
      <c r="G243" s="337" t="str">
        <f t="shared" si="176"/>
        <v>0.005-0.279083328891452i</v>
      </c>
      <c r="H243" s="338" t="str">
        <f t="shared" si="177"/>
        <v>0.0650775201517702-0.263074487741864i</v>
      </c>
      <c r="I243" s="338" t="str">
        <f t="shared" si="178"/>
        <v>0.0750775201517702-0.263074487741864i</v>
      </c>
      <c r="J243" s="337" t="str">
        <f t="shared" si="179"/>
        <v>0.0137398809731611-0.107961075328306i</v>
      </c>
      <c r="K243" s="338" t="str">
        <f t="shared" si="162"/>
        <v>0.997624249930556-0.0765632309618613i</v>
      </c>
      <c r="L243" s="732"/>
      <c r="M243" s="732" t="str">
        <f t="shared" si="163"/>
        <v>17.7157189561623-173.537208423899i</v>
      </c>
      <c r="N243" s="337">
        <f t="shared" si="164"/>
        <v>0</v>
      </c>
      <c r="O243" s="730" t="str">
        <f t="shared" si="165"/>
        <v>-3.4457198646341-69.3079584228682i</v>
      </c>
      <c r="P243" s="731" t="str">
        <f t="shared" si="166"/>
        <v>-18.4918517611049-4.29698865688036i</v>
      </c>
      <c r="Q243" s="729" t="str">
        <f t="shared" si="167"/>
        <v>-18.4573945624586-3.60390907265167i</v>
      </c>
      <c r="R243" s="730"/>
      <c r="S243" s="405" t="str">
        <f t="shared" si="180"/>
        <v>39.7468666915828-0.332020419176723i</v>
      </c>
      <c r="T243" s="405" t="str">
        <f t="shared" si="181"/>
        <v>15.6108708028303-2.51546068588123i</v>
      </c>
      <c r="U243" s="405" t="str">
        <f t="shared" si="182"/>
        <v>0.354163227884868-4.27052178313545i</v>
      </c>
      <c r="V243" s="731" t="str">
        <f t="shared" si="168"/>
        <v>6000</v>
      </c>
      <c r="W243" s="733" t="str">
        <f>IMSUM(COMPLEX(1,0),IMDIV(COMPLEX(0,2*PI()*D243),COMPLEX(2*PI()*'Stability Calculations'!EA_Pole1,0)))</f>
        <v>1+92794.6359257758i</v>
      </c>
      <c r="X243" s="734">
        <f t="shared" si="183"/>
        <v>92794.635931164055</v>
      </c>
      <c r="Y243" s="735">
        <f t="shared" si="184"/>
        <v>1.57078555030992</v>
      </c>
      <c r="Z243" s="340" t="str">
        <f>IMSUM(COMPLEX(1,0),IMDIV(COMPLEX(0,2*PI()*D243),COMPLEX(2*PI()*'Stability Calculations'!EA_Zero1,0)))</f>
        <v>1+918.758771542335i</v>
      </c>
      <c r="AA243" s="734">
        <f t="shared" si="185"/>
        <v>918.75931575466518</v>
      </c>
      <c r="AB243" s="735">
        <f t="shared" si="186"/>
        <v>1.5697079022420275</v>
      </c>
      <c r="AC243" s="733" t="str">
        <f>IMSUM(COMPLEX(1,0),IMDIV(COMPLEX(0,2*PI()*D243),COMPLEX(2*PI()*'Stability Calculations'!EA_Pole2,0)))</f>
        <v>1+9.25507617696181i</v>
      </c>
      <c r="AD243" s="734">
        <f t="shared" si="187"/>
        <v>9.3089438198630265</v>
      </c>
      <c r="AE243" s="735">
        <f t="shared" si="188"/>
        <v>1.4631650659253563</v>
      </c>
      <c r="AF243" s="732" t="str">
        <f t="shared" si="189"/>
        <v>0.678696776542974-6.3454090905918i</v>
      </c>
      <c r="AG243" s="337">
        <f t="shared" si="190"/>
        <v>6.3816021375086427</v>
      </c>
      <c r="AH243" s="730">
        <f t="shared" si="191"/>
        <v>-1.4642427139932481</v>
      </c>
      <c r="AI243" s="731" t="str">
        <f t="shared" si="169"/>
        <v>10000</v>
      </c>
      <c r="AJ243" s="733" t="str">
        <f t="shared" si="192"/>
        <v>1+86510.1421766723i</v>
      </c>
      <c r="AK243" s="734">
        <f t="shared" si="193"/>
        <v>86510.142182451978</v>
      </c>
      <c r="AL243" s="735">
        <f t="shared" si="194"/>
        <v>1.5707847674565949</v>
      </c>
      <c r="AM243" s="340" t="str">
        <f t="shared" si="195"/>
        <v>1+146.817651692465i</v>
      </c>
      <c r="AN243" s="734">
        <f t="shared" si="196"/>
        <v>146.82105723802007</v>
      </c>
      <c r="AO243" s="735">
        <f t="shared" si="197"/>
        <v>1.5639852620156265</v>
      </c>
      <c r="AP243" s="733" t="str">
        <f t="shared" si="198"/>
        <v>1+7.12089811113665i</v>
      </c>
      <c r="AQ243" s="734">
        <f t="shared" si="199"/>
        <v>7.1907711623434034</v>
      </c>
      <c r="AR243" s="735">
        <f t="shared" si="200"/>
        <v>1.431276985313251</v>
      </c>
      <c r="AS243" s="732" t="str">
        <f t="shared" si="201"/>
        <v>0.0128099933405562-16.0062394932474i</v>
      </c>
      <c r="AT243" s="337">
        <f t="shared" si="202"/>
        <v>16.006244619245397</v>
      </c>
      <c r="AU243" s="730">
        <f t="shared" si="203"/>
        <v>-1.569996014478501</v>
      </c>
      <c r="AV243" s="732" t="str">
        <f t="shared" si="204"/>
        <v>-1.61293101088013+0.0846079614899684i</v>
      </c>
      <c r="AW243" s="337">
        <f t="shared" si="205"/>
        <v>4.1642496276169174</v>
      </c>
      <c r="AX243" s="730">
        <f t="shared" si="206"/>
        <v>176.99724287526055</v>
      </c>
      <c r="AY243" s="360">
        <f t="shared" si="207"/>
        <v>-3.0027571247394462</v>
      </c>
      <c r="BB243" s="337">
        <f t="shared" si="208"/>
        <v>-15.914211003649845</v>
      </c>
      <c r="BC243" s="730">
        <f t="shared" si="209"/>
        <v>-89.954145481978202</v>
      </c>
      <c r="BD243" s="351"/>
      <c r="BE243" s="337">
        <f t="shared" si="170"/>
        <v>44.832878144467756</v>
      </c>
      <c r="BF243" s="730">
        <f t="shared" si="171"/>
        <v>-84.171095990711095</v>
      </c>
      <c r="BI243" s="351"/>
      <c r="BJ243" s="351"/>
      <c r="BL243" s="405">
        <f t="shared" si="172"/>
        <v>0</v>
      </c>
      <c r="BM243" s="405">
        <f t="shared" si="210"/>
        <v>0</v>
      </c>
      <c r="BN243" s="405">
        <f t="shared" si="173"/>
        <v>0</v>
      </c>
      <c r="BO243" s="405">
        <f t="shared" si="174"/>
        <v>0</v>
      </c>
    </row>
    <row r="244" spans="4:67" ht="13.5" thickBot="1" x14ac:dyDescent="0.25">
      <c r="D244" s="345">
        <v>14706.75</v>
      </c>
      <c r="E244" s="340" t="str">
        <f t="shared" si="161"/>
        <v>0.243949821763199i</v>
      </c>
      <c r="F244" s="728" t="str">
        <f t="shared" si="175"/>
        <v>0.005-0.177408158004725i</v>
      </c>
      <c r="G244" s="337" t="str">
        <f t="shared" si="176"/>
        <v>0.005-0.277484554827903i</v>
      </c>
      <c r="H244" s="338" t="str">
        <f t="shared" si="177"/>
        <v>0.0644246142761046-0.261715721387382i</v>
      </c>
      <c r="I244" s="338" t="str">
        <f t="shared" si="178"/>
        <v>0.0744246142761046-0.261715721387382i</v>
      </c>
      <c r="J244" s="337" t="str">
        <f t="shared" si="179"/>
        <v>0.013630975660057-0.107352431004432i</v>
      </c>
      <c r="K244" s="338" t="str">
        <f t="shared" si="162"/>
        <v>0.99759679449375-0.0770043629303028i</v>
      </c>
      <c r="L244" s="732"/>
      <c r="M244" s="732" t="str">
        <f t="shared" si="163"/>
        <v>17.0706812977904-171.067030116236i</v>
      </c>
      <c r="N244" s="337">
        <f t="shared" si="164"/>
        <v>0</v>
      </c>
      <c r="O244" s="730" t="str">
        <f t="shared" si="165"/>
        <v>-3.50600208751398-68.2833975684224i</v>
      </c>
      <c r="P244" s="731" t="str">
        <f t="shared" si="166"/>
        <v>-18.1317715064156-4.16438965997234i</v>
      </c>
      <c r="Q244" s="729" t="str">
        <f t="shared" si="167"/>
        <v>-18.0967114855404-3.4815556842881i</v>
      </c>
      <c r="R244" s="730"/>
      <c r="S244" s="405" t="str">
        <f t="shared" si="180"/>
        <v>39.7500950790953-0.364685722314932i</v>
      </c>
      <c r="T244" s="405" t="str">
        <f t="shared" si="181"/>
        <v>15.6079938391582-2.51775566995018i</v>
      </c>
      <c r="U244" s="405" t="str">
        <f t="shared" si="182"/>
        <v>0.346602741273399-4.24706280490313i</v>
      </c>
      <c r="V244" s="731" t="str">
        <f t="shared" si="168"/>
        <v>6000</v>
      </c>
      <c r="W244" s="733" t="str">
        <f>IMSUM(COMPLEX(1,0),IMDIV(COMPLEX(0,2*PI()*D244),COMPLEX(2*PI()*'Stability Calculations'!EA_Pole1,0)))</f>
        <v>1+93329.287871527i</v>
      </c>
      <c r="X244" s="734">
        <f t="shared" si="183"/>
        <v>93329.28787688438</v>
      </c>
      <c r="Y244" s="735">
        <f t="shared" si="184"/>
        <v>1.5707856120447601</v>
      </c>
      <c r="Z244" s="340" t="str">
        <f>IMSUM(COMPLEX(1,0),IMDIV(COMPLEX(0,2*PI()*D244),COMPLEX(2*PI()*'Stability Calculations'!EA_Zero1,0)))</f>
        <v>1+924.052355163634i</v>
      </c>
      <c r="AA244" s="734">
        <f t="shared" si="185"/>
        <v>924.05289625835746</v>
      </c>
      <c r="AB244" s="735">
        <f t="shared" si="186"/>
        <v>1.5697141374535308</v>
      </c>
      <c r="AC244" s="733" t="str">
        <f>IMSUM(COMPLEX(1,0),IMDIV(COMPLEX(0,2*PI()*D244),COMPLEX(2*PI()*'Stability Calculations'!EA_Pole2,0)))</f>
        <v>1+9.30840085932865i</v>
      </c>
      <c r="AD244" s="734">
        <f t="shared" si="187"/>
        <v>9.3619616832131047</v>
      </c>
      <c r="AE244" s="735">
        <f t="shared" si="188"/>
        <v>1.4637769385676418</v>
      </c>
      <c r="AF244" s="732" t="str">
        <f t="shared" si="189"/>
        <v>0.671031467388558-6.30988186868028i</v>
      </c>
      <c r="AG244" s="337">
        <f t="shared" si="190"/>
        <v>6.3454623493427</v>
      </c>
      <c r="AH244" s="730">
        <f t="shared" si="191"/>
        <v>-1.4648484131588704</v>
      </c>
      <c r="AI244" s="731" t="str">
        <f t="shared" si="169"/>
        <v>10000</v>
      </c>
      <c r="AJ244" s="733" t="str">
        <f t="shared" si="192"/>
        <v>1+87008.5849517371i</v>
      </c>
      <c r="AK244" s="734">
        <f t="shared" si="193"/>
        <v>87008.584957483647</v>
      </c>
      <c r="AL244" s="735">
        <f t="shared" si="194"/>
        <v>1.570784833676137</v>
      </c>
      <c r="AM244" s="340" t="str">
        <f t="shared" si="195"/>
        <v>1+147.663566355149i</v>
      </c>
      <c r="AN244" s="734">
        <f t="shared" si="196"/>
        <v>147.66695239193325</v>
      </c>
      <c r="AO244" s="735">
        <f t="shared" si="197"/>
        <v>1.5640242791073069</v>
      </c>
      <c r="AP244" s="733" t="str">
        <f t="shared" si="198"/>
        <v>1+7.16192636662397i</v>
      </c>
      <c r="AQ244" s="734">
        <f t="shared" si="199"/>
        <v>7.2314029953352499</v>
      </c>
      <c r="AR244" s="735">
        <f t="shared" si="200"/>
        <v>1.4320659999567367</v>
      </c>
      <c r="AS244" s="732" t="str">
        <f t="shared" si="201"/>
        <v>0.0126636455816842-15.9145452736094i</v>
      </c>
      <c r="AT244" s="337">
        <f t="shared" si="202"/>
        <v>15.914550312015816</v>
      </c>
      <c r="AU244" s="730">
        <f t="shared" si="203"/>
        <v>-1.5700005991953223</v>
      </c>
      <c r="AV244" s="732" t="str">
        <f t="shared" si="204"/>
        <v>-1.59429365225107+0.084881413442695i</v>
      </c>
      <c r="AW244" s="337">
        <f t="shared" si="205"/>
        <v>4.0636593446095519</v>
      </c>
      <c r="AX244" s="730">
        <f t="shared" si="206"/>
        <v>176.95240625106487</v>
      </c>
      <c r="AY244" s="360">
        <f t="shared" si="207"/>
        <v>-3.0475937489351281</v>
      </c>
      <c r="BB244" s="337">
        <f t="shared" si="208"/>
        <v>-15.964112569410347</v>
      </c>
      <c r="BC244" s="730">
        <f t="shared" si="209"/>
        <v>-89.954408166902326</v>
      </c>
      <c r="BD244" s="351"/>
      <c r="BE244" s="337">
        <f t="shared" si="170"/>
        <v>44.706359149923031</v>
      </c>
      <c r="BF244" s="730">
        <f t="shared" si="171"/>
        <v>-84.301352473355905</v>
      </c>
      <c r="BI244" s="351"/>
      <c r="BJ244" s="351"/>
      <c r="BL244" s="405">
        <f t="shared" si="172"/>
        <v>0</v>
      </c>
      <c r="BM244" s="405">
        <f t="shared" si="210"/>
        <v>0</v>
      </c>
      <c r="BN244" s="405">
        <f t="shared" si="173"/>
        <v>0</v>
      </c>
      <c r="BO244" s="405">
        <f t="shared" si="174"/>
        <v>0</v>
      </c>
    </row>
    <row r="245" spans="4:67" ht="13.5" thickBot="1" x14ac:dyDescent="0.25">
      <c r="D245" s="345">
        <v>14791</v>
      </c>
      <c r="E245" s="340" t="str">
        <f t="shared" si="161"/>
        <v>0.245347327839222i</v>
      </c>
      <c r="F245" s="728" t="str">
        <f t="shared" si="175"/>
        <v>0.005-0.17639763557136i</v>
      </c>
      <c r="G245" s="337" t="str">
        <f t="shared" si="176"/>
        <v>0.005-0.275903994098794i</v>
      </c>
      <c r="H245" s="338" t="str">
        <f t="shared" si="177"/>
        <v>0.0637821115806416-0.260370084706449i</v>
      </c>
      <c r="I245" s="338" t="str">
        <f t="shared" si="178"/>
        <v>0.0737821115806416-0.260370084706449i</v>
      </c>
      <c r="J245" s="337" t="str">
        <f t="shared" si="179"/>
        <v>0.0135239067756815-0.106750559910382i</v>
      </c>
      <c r="K245" s="338" t="str">
        <f t="shared" si="162"/>
        <v>0.997569181322222-0.0774454948987444i</v>
      </c>
      <c r="L245" s="732"/>
      <c r="M245" s="732" t="str">
        <f t="shared" si="163"/>
        <v>16.4585837474654-168.672155902959i</v>
      </c>
      <c r="N245" s="337">
        <f t="shared" si="164"/>
        <v>0</v>
      </c>
      <c r="O245" s="730" t="str">
        <f t="shared" si="165"/>
        <v>-3.55962655115231-67.2912404205055i</v>
      </c>
      <c r="P245" s="731" t="str">
        <f t="shared" si="166"/>
        <v>-17.7832627316717-4.03806954245868i</v>
      </c>
      <c r="Q245" s="729" t="str">
        <f t="shared" si="167"/>
        <v>-17.7476664661602-3.36515713825363i</v>
      </c>
      <c r="R245" s="730"/>
      <c r="S245" s="405" t="str">
        <f t="shared" si="180"/>
        <v>39.7532341870435-0.397192327436832i</v>
      </c>
      <c r="T245" s="405" t="str">
        <f t="shared" si="181"/>
        <v>15.605142938142-2.52011235623407i</v>
      </c>
      <c r="U245" s="405" t="str">
        <f t="shared" si="182"/>
        <v>0.339167100450001-4.22385047616139i</v>
      </c>
      <c r="V245" s="731" t="str">
        <f t="shared" si="168"/>
        <v>6000</v>
      </c>
      <c r="W245" s="733" t="str">
        <f>IMSUM(COMPLEX(1,0),IMDIV(COMPLEX(0,2*PI()*D245),COMPLEX(2*PI()*'Stability Calculations'!EA_Pole1,0)))</f>
        <v>1+93863.9398172782i</v>
      </c>
      <c r="X245" s="734">
        <f t="shared" si="183"/>
        <v>93863.939822605054</v>
      </c>
      <c r="Y245" s="735">
        <f t="shared" si="184"/>
        <v>1.570785673076313</v>
      </c>
      <c r="Z245" s="340" t="str">
        <f>IMSUM(COMPLEX(1,0),IMDIV(COMPLEX(0,2*PI()*D245),COMPLEX(2*PI()*'Stability Calculations'!EA_Zero1,0)))</f>
        <v>1+929.345938784933i</v>
      </c>
      <c r="AA245" s="734">
        <f t="shared" si="185"/>
        <v>929.34647679756574</v>
      </c>
      <c r="AB245" s="735">
        <f t="shared" si="186"/>
        <v>1.5697203016331962</v>
      </c>
      <c r="AC245" s="733" t="str">
        <f>IMSUM(COMPLEX(1,0),IMDIV(COMPLEX(0,2*PI()*D245),COMPLEX(2*PI()*'Stability Calculations'!EA_Pole2,0)))</f>
        <v>1+9.36172554169549i</v>
      </c>
      <c r="AD245" s="734">
        <f t="shared" si="187"/>
        <v>9.4149830120948028</v>
      </c>
      <c r="AE245" s="735">
        <f t="shared" si="188"/>
        <v>1.4643819198019858</v>
      </c>
      <c r="AF245" s="732" t="str">
        <f t="shared" si="189"/>
        <v>0.663494800064766-6.27474563387208i</v>
      </c>
      <c r="AG245" s="337">
        <f t="shared" si="190"/>
        <v>6.3097272618956932</v>
      </c>
      <c r="AH245" s="730">
        <f t="shared" si="191"/>
        <v>-1.4654472912451031</v>
      </c>
      <c r="AI245" s="731" t="str">
        <f t="shared" si="169"/>
        <v>10000</v>
      </c>
      <c r="AJ245" s="733" t="str">
        <f t="shared" si="192"/>
        <v>1+87507.0277268019i</v>
      </c>
      <c r="AK245" s="734">
        <f t="shared" si="193"/>
        <v>87507.027732515737</v>
      </c>
      <c r="AL245" s="735">
        <f t="shared" si="194"/>
        <v>1.570784899141302</v>
      </c>
      <c r="AM245" s="340" t="str">
        <f t="shared" si="195"/>
        <v>1+148.509481017832i</v>
      </c>
      <c r="AN245" s="734">
        <f t="shared" si="196"/>
        <v>148.51284776808302</v>
      </c>
      <c r="AO245" s="735">
        <f t="shared" si="197"/>
        <v>1.5640628517340993</v>
      </c>
      <c r="AP245" s="733" t="str">
        <f t="shared" si="198"/>
        <v>1+7.20295462211128i</v>
      </c>
      <c r="AQ245" s="734">
        <f t="shared" si="199"/>
        <v>7.2720392798852691</v>
      </c>
      <c r="AR245" s="735">
        <f t="shared" si="200"/>
        <v>1.4328461970257556</v>
      </c>
      <c r="AS245" s="732" t="str">
        <f t="shared" si="201"/>
        <v>0.0125197914958519-15.8238956383015i</v>
      </c>
      <c r="AT245" s="337">
        <f t="shared" si="202"/>
        <v>15.823900591100678</v>
      </c>
      <c r="AU245" s="730">
        <f t="shared" si="203"/>
        <v>-1.570005131682795</v>
      </c>
      <c r="AV245" s="732" t="str">
        <f t="shared" si="204"/>
        <v>-1.57597618958172+0.0851378970255647i</v>
      </c>
      <c r="AW245" s="337">
        <f t="shared" si="205"/>
        <v>3.9636490759697933</v>
      </c>
      <c r="AX245" s="730">
        <f t="shared" si="206"/>
        <v>176.90775462071849</v>
      </c>
      <c r="AY245" s="360">
        <f t="shared" si="207"/>
        <v>-3.0922453792815077</v>
      </c>
      <c r="BB245" s="337">
        <f t="shared" si="208"/>
        <v>-16.013729081257466</v>
      </c>
      <c r="BC245" s="730">
        <f t="shared" si="209"/>
        <v>-89.954667859305204</v>
      </c>
      <c r="BD245" s="351"/>
      <c r="BE245" s="337">
        <f t="shared" si="170"/>
        <v>44.58202296258014</v>
      </c>
      <c r="BF245" s="730">
        <f t="shared" si="171"/>
        <v>-84.426872268872373</v>
      </c>
      <c r="BI245" s="351"/>
      <c r="BJ245" s="351"/>
      <c r="BL245" s="405">
        <f t="shared" si="172"/>
        <v>0</v>
      </c>
      <c r="BM245" s="405">
        <f t="shared" si="210"/>
        <v>0</v>
      </c>
      <c r="BN245" s="405">
        <f t="shared" si="173"/>
        <v>0</v>
      </c>
      <c r="BO245" s="405">
        <f t="shared" si="174"/>
        <v>0</v>
      </c>
    </row>
    <row r="246" spans="4:67" ht="13.5" thickBot="1" x14ac:dyDescent="0.25">
      <c r="D246" s="345">
        <v>14877.25</v>
      </c>
      <c r="E246" s="340" t="str">
        <f t="shared" si="161"/>
        <v>0.246778009133667i</v>
      </c>
      <c r="F246" s="728" t="str">
        <f t="shared" si="175"/>
        <v>0.005-0.175374980438992i</v>
      </c>
      <c r="G246" s="337" t="str">
        <f t="shared" si="176"/>
        <v>0.005-0.274304456584064i</v>
      </c>
      <c r="H246" s="338" t="str">
        <f t="shared" si="177"/>
        <v>0.0631349076889415-0.259005922754852i</v>
      </c>
      <c r="I246" s="338" t="str">
        <f t="shared" si="178"/>
        <v>0.0731349076889415-0.259005922754852i</v>
      </c>
      <c r="J246" s="337" t="str">
        <f t="shared" si="179"/>
        <v>0.0134161557775937-0.106141300992964i</v>
      </c>
      <c r="K246" s="338" t="str">
        <f t="shared" si="162"/>
        <v>0.997540749249306-0.0778970988426979i</v>
      </c>
      <c r="L246" s="732"/>
      <c r="M246" s="732" t="str">
        <f t="shared" si="163"/>
        <v>15.8638409619669-166.294906554732i</v>
      </c>
      <c r="N246" s="337">
        <f t="shared" si="164"/>
        <v>0</v>
      </c>
      <c r="O246" s="730" t="str">
        <f t="shared" si="165"/>
        <v>-3.60820768110999-66.3075185706101i</v>
      </c>
      <c r="P246" s="731" t="str">
        <f t="shared" si="166"/>
        <v>-17.4379259686459-3.91484708980731i</v>
      </c>
      <c r="Q246" s="729" t="str">
        <f t="shared" si="167"/>
        <v>-17.4018438918348-3.25177190410119i</v>
      </c>
      <c r="R246" s="730"/>
      <c r="S246" s="405" t="str">
        <f t="shared" si="180"/>
        <v>39.756357140351-0.43030872584197i</v>
      </c>
      <c r="T246" s="405" t="str">
        <f t="shared" si="181"/>
        <v>15.6022506434772-2.52258790473195i</v>
      </c>
      <c r="U246" s="405" t="str">
        <f t="shared" si="182"/>
        <v>0.33168144612033-4.2003386794688i</v>
      </c>
      <c r="V246" s="731" t="str">
        <f t="shared" si="168"/>
        <v>6000</v>
      </c>
      <c r="W246" s="733" t="str">
        <f>IMSUM(COMPLEX(1,0),IMDIV(COMPLEX(0,2*PI()*D246),COMPLEX(2*PI()*'Stability Calculations'!EA_Pole1,0)))</f>
        <v>1+94411.2837973499i</v>
      </c>
      <c r="X246" s="734">
        <f t="shared" si="183"/>
        <v>94411.283802645863</v>
      </c>
      <c r="Y246" s="735">
        <f t="shared" si="184"/>
        <v>1.5707857348406329</v>
      </c>
      <c r="Z246" s="340" t="str">
        <f>IMSUM(COMPLEX(1,0),IMDIV(COMPLEX(0,2*PI()*D246),COMPLEX(2*PI()*'Stability Calculations'!EA_Zero1,0)))</f>
        <v>1+934.765186112375i</v>
      </c>
      <c r="AA246" s="734">
        <f t="shared" si="185"/>
        <v>934.76572100591227</v>
      </c>
      <c r="AB246" s="735">
        <f t="shared" si="186"/>
        <v>1.5697265398223228</v>
      </c>
      <c r="AC246" s="733" t="str">
        <f>IMSUM(COMPLEX(1,0),IMDIV(COMPLEX(0,2*PI()*D246),COMPLEX(2*PI()*'Stability Calculations'!EA_Pole2,0)))</f>
        <v>1+9.41631609189298i</v>
      </c>
      <c r="AD246" s="734">
        <f t="shared" si="187"/>
        <v>9.4692665366670656</v>
      </c>
      <c r="AE246" s="735">
        <f t="shared" si="188"/>
        <v>1.4649942442741113</v>
      </c>
      <c r="AF246" s="732" t="str">
        <f t="shared" si="189"/>
        <v>0.655909502621952-6.23917370493654i</v>
      </c>
      <c r="AG246" s="337">
        <f t="shared" si="190"/>
        <v>6.2735560725956168</v>
      </c>
      <c r="AH246" s="730">
        <f t="shared" si="191"/>
        <v>-1.4660534392924207</v>
      </c>
      <c r="AI246" s="731" t="str">
        <f t="shared" si="169"/>
        <v>10000</v>
      </c>
      <c r="AJ246" s="733" t="str">
        <f t="shared" si="192"/>
        <v>1+88017.3029713043i</v>
      </c>
      <c r="AK246" s="734">
        <f t="shared" si="193"/>
        <v>88017.302976985011</v>
      </c>
      <c r="AL246" s="735">
        <f t="shared" si="194"/>
        <v>1.5707849653924655</v>
      </c>
      <c r="AM246" s="340" t="str">
        <f t="shared" si="195"/>
        <v>1+149.375476740757i</v>
      </c>
      <c r="AN246" s="734">
        <f t="shared" si="196"/>
        <v>149.37882397290599</v>
      </c>
      <c r="AO246" s="735">
        <f t="shared" si="197"/>
        <v>1.564101887498244</v>
      </c>
      <c r="AP246" s="733" t="str">
        <f t="shared" si="198"/>
        <v>1+7.24495684212055i</v>
      </c>
      <c r="AQ246" s="734">
        <f t="shared" si="199"/>
        <v>7.3136447578611161</v>
      </c>
      <c r="AR246" s="735">
        <f t="shared" si="200"/>
        <v>1.4336359335296145</v>
      </c>
      <c r="AS246" s="732" t="str">
        <f t="shared" si="201"/>
        <v>0.0123750468396359-15.7321576285941i</v>
      </c>
      <c r="AT246" s="337">
        <f t="shared" si="202"/>
        <v>15.732162495751048</v>
      </c>
      <c r="AU246" s="730">
        <f t="shared" si="203"/>
        <v>-1.5700097185889899</v>
      </c>
      <c r="AV246" s="732" t="str">
        <f t="shared" si="204"/>
        <v>-1.55754766290557+0.0853835424587618i</v>
      </c>
      <c r="AW246" s="337">
        <f t="shared" si="205"/>
        <v>3.8618585239970207</v>
      </c>
      <c r="AX246" s="730">
        <f t="shared" si="206"/>
        <v>176.86223089845194</v>
      </c>
      <c r="AY246" s="360">
        <f t="shared" si="207"/>
        <v>-3.1377691015480593</v>
      </c>
      <c r="BB246" s="337">
        <f t="shared" si="208"/>
        <v>-16.064231529197595</v>
      </c>
      <c r="BC246" s="730">
        <f t="shared" si="209"/>
        <v>-89.954930669671185</v>
      </c>
      <c r="BD246" s="351"/>
      <c r="BE246" s="337">
        <f t="shared" si="170"/>
        <v>44.456922579991272</v>
      </c>
      <c r="BF246" s="730">
        <f t="shared" si="171"/>
        <v>-84.550711691094378</v>
      </c>
      <c r="BI246" s="351"/>
      <c r="BJ246" s="351"/>
      <c r="BL246" s="405">
        <f t="shared" si="172"/>
        <v>0</v>
      </c>
      <c r="BM246" s="405">
        <f t="shared" si="210"/>
        <v>0</v>
      </c>
      <c r="BN246" s="405">
        <f t="shared" si="173"/>
        <v>0</v>
      </c>
      <c r="BO246" s="405">
        <f t="shared" si="174"/>
        <v>0</v>
      </c>
    </row>
    <row r="247" spans="4:67" ht="13.5" thickBot="1" x14ac:dyDescent="0.25">
      <c r="D247" s="345">
        <v>14963.5</v>
      </c>
      <c r="E247" s="340" t="str">
        <f t="shared" si="161"/>
        <v>0.248208690428112i</v>
      </c>
      <c r="F247" s="728" t="str">
        <f t="shared" si="175"/>
        <v>0.005-0.17436411452775i</v>
      </c>
      <c r="G247" s="337" t="str">
        <f t="shared" si="176"/>
        <v>0.005-0.272723358620327i</v>
      </c>
      <c r="H247" s="338" t="str">
        <f t="shared" si="177"/>
        <v>0.0624981546546127-0.257655153896114i</v>
      </c>
      <c r="I247" s="338" t="str">
        <f t="shared" si="178"/>
        <v>0.0724981546546127-0.257655153896114i</v>
      </c>
      <c r="J247" s="337" t="str">
        <f t="shared" si="179"/>
        <v>0.0133102437946199-0.105538906835715i</v>
      </c>
      <c r="K247" s="338" t="str">
        <f t="shared" si="162"/>
        <v>0.997512151863889-0.0783487027866514i</v>
      </c>
      <c r="L247" s="732"/>
      <c r="M247" s="732" t="str">
        <f t="shared" si="163"/>
        <v>15.2992576661788-163.989616872407i</v>
      </c>
      <c r="N247" s="337">
        <f t="shared" si="164"/>
        <v>0</v>
      </c>
      <c r="O247" s="730" t="str">
        <f t="shared" si="165"/>
        <v>-3.65093672515726-65.3546479383169i</v>
      </c>
      <c r="P247" s="731" t="str">
        <f t="shared" si="166"/>
        <v>-17.103648047708-3.7974087098445i</v>
      </c>
      <c r="Q247" s="729" t="str">
        <f t="shared" si="167"/>
        <v>-17.0671386804564-3.14386223046134i</v>
      </c>
      <c r="R247" s="730"/>
      <c r="S247" s="405" t="str">
        <f t="shared" si="180"/>
        <v>39.7593901524772-0.463263864020005i</v>
      </c>
      <c r="T247" s="405" t="str">
        <f t="shared" si="181"/>
        <v>15.599384231797-2.52512610924193i</v>
      </c>
      <c r="U247" s="405" t="str">
        <f t="shared" si="182"/>
        <v>0.324320971951756-4.17707746702605i</v>
      </c>
      <c r="V247" s="731" t="str">
        <f t="shared" si="168"/>
        <v>6000</v>
      </c>
      <c r="W247" s="733" t="str">
        <f>IMSUM(COMPLEX(1,0),IMDIV(COMPLEX(0,2*PI()*D247),COMPLEX(2*PI()*'Stability Calculations'!EA_Pole1,0)))</f>
        <v>1+94958.6277774215i</v>
      </c>
      <c r="X247" s="734">
        <f t="shared" si="183"/>
        <v>94958.627782686948</v>
      </c>
      <c r="Y247" s="735">
        <f t="shared" si="184"/>
        <v>1.5707857958929305</v>
      </c>
      <c r="Z247" s="340" t="str">
        <f>IMSUM(COMPLEX(1,0),IMDIV(COMPLEX(0,2*PI()*D247),COMPLEX(2*PI()*'Stability Calculations'!EA_Zero1,0)))</f>
        <v>1+940.184433439817i</v>
      </c>
      <c r="AA247" s="734">
        <f t="shared" si="185"/>
        <v>940.18496525021601</v>
      </c>
      <c r="AB247" s="735">
        <f t="shared" si="186"/>
        <v>1.5697327060973649</v>
      </c>
      <c r="AC247" s="733" t="str">
        <f>IMSUM(COMPLEX(1,0),IMDIV(COMPLEX(0,2*PI()*D247),COMPLEX(2*PI()*'Stability Calculations'!EA_Pole2,0)))</f>
        <v>1+9.47090664209048i</v>
      </c>
      <c r="AD247" s="734">
        <f t="shared" si="187"/>
        <v>9.5235535711830579</v>
      </c>
      <c r="AE247" s="735">
        <f t="shared" si="188"/>
        <v>1.465599588114695</v>
      </c>
      <c r="AF247" s="732" t="str">
        <f t="shared" si="189"/>
        <v>0.648453064074834-6.2039982452859i</v>
      </c>
      <c r="AG247" s="337">
        <f t="shared" si="190"/>
        <v>6.2377949312091499</v>
      </c>
      <c r="AH247" s="730">
        <f t="shared" si="191"/>
        <v>-1.4666526779102611</v>
      </c>
      <c r="AI247" s="731" t="str">
        <f t="shared" si="169"/>
        <v>10000</v>
      </c>
      <c r="AJ247" s="733" t="str">
        <f t="shared" si="192"/>
        <v>1+88527.5782158068i</v>
      </c>
      <c r="AK247" s="734">
        <f t="shared" si="193"/>
        <v>88527.578221454751</v>
      </c>
      <c r="AL247" s="735">
        <f t="shared" si="194"/>
        <v>1.5707850308798823</v>
      </c>
      <c r="AM247" s="340" t="str">
        <f t="shared" si="195"/>
        <v>1+150.241472463683i</v>
      </c>
      <c r="AN247" s="734">
        <f t="shared" si="196"/>
        <v>150.24480040272817</v>
      </c>
      <c r="AO247" s="735">
        <f t="shared" si="197"/>
        <v>1.564140473276137</v>
      </c>
      <c r="AP247" s="733" t="str">
        <f t="shared" si="198"/>
        <v>1+7.28695906212982i</v>
      </c>
      <c r="AQ247" s="734">
        <f t="shared" si="199"/>
        <v>7.3552547456329407</v>
      </c>
      <c r="AR247" s="735">
        <f t="shared" si="200"/>
        <v>1.4344167351553907</v>
      </c>
      <c r="AS247" s="732" t="str">
        <f t="shared" si="201"/>
        <v>0.012232797896692-15.6414771774438i</v>
      </c>
      <c r="AT247" s="337">
        <f t="shared" si="202"/>
        <v>15.641481960921721</v>
      </c>
      <c r="AU247" s="730">
        <f t="shared" si="203"/>
        <v>-1.5700142526171259</v>
      </c>
      <c r="AV247" s="732" t="str">
        <f t="shared" si="204"/>
        <v>-1.53943917339008+0.0856126999368149i</v>
      </c>
      <c r="AW247" s="337">
        <f t="shared" si="205"/>
        <v>3.7606617885541764</v>
      </c>
      <c r="AX247" s="730">
        <f t="shared" si="206"/>
        <v>176.81689354717022</v>
      </c>
      <c r="AY247" s="360">
        <f t="shared" si="207"/>
        <v>-3.1831064528297759</v>
      </c>
      <c r="BB247" s="337">
        <f t="shared" si="208"/>
        <v>-16.114442037083194</v>
      </c>
      <c r="BC247" s="730">
        <f t="shared" si="209"/>
        <v>-89.955190450347573</v>
      </c>
      <c r="BD247" s="351"/>
      <c r="BE247" s="337">
        <f t="shared" si="170"/>
        <v>44.333963517156825</v>
      </c>
      <c r="BF247" s="730">
        <f t="shared" si="171"/>
        <v>-84.670071713505422</v>
      </c>
      <c r="BI247" s="351"/>
      <c r="BJ247" s="351"/>
      <c r="BL247" s="405">
        <f t="shared" si="172"/>
        <v>0</v>
      </c>
      <c r="BM247" s="405">
        <f t="shared" si="210"/>
        <v>0</v>
      </c>
      <c r="BN247" s="405">
        <f t="shared" si="173"/>
        <v>0</v>
      </c>
      <c r="BO247" s="405">
        <f t="shared" si="174"/>
        <v>0</v>
      </c>
    </row>
    <row r="248" spans="4:67" ht="13.5" thickBot="1" x14ac:dyDescent="0.25">
      <c r="D248" s="345">
        <v>15049.75</v>
      </c>
      <c r="E248" s="340" t="str">
        <f t="shared" si="161"/>
        <v>0.249639371722557i</v>
      </c>
      <c r="F248" s="728" t="str">
        <f t="shared" si="175"/>
        <v>0.005-0.173364835145832i</v>
      </c>
      <c r="G248" s="337" t="str">
        <f t="shared" si="176"/>
        <v>0.005-0.271160383176815i</v>
      </c>
      <c r="H248" s="338" t="str">
        <f t="shared" si="177"/>
        <v>0.0618716325226541-0.25631759668418i</v>
      </c>
      <c r="I248" s="338" t="str">
        <f t="shared" si="178"/>
        <v>0.0718716325226541-0.25631759668418i</v>
      </c>
      <c r="J248" s="337" t="str">
        <f t="shared" si="179"/>
        <v>0.0132061293126418-0.104943263002483i</v>
      </c>
      <c r="K248" s="338" t="str">
        <f t="shared" si="162"/>
        <v>0.997483389165972-0.078800306730605i</v>
      </c>
      <c r="L248" s="732"/>
      <c r="M248" s="732" t="str">
        <f t="shared" si="163"/>
        <v>14.7628843989563-161.753067491806i</v>
      </c>
      <c r="N248" s="337">
        <f t="shared" si="164"/>
        <v>0</v>
      </c>
      <c r="O248" s="730" t="str">
        <f t="shared" si="165"/>
        <v>-3.68830744195308-64.4311966068441i</v>
      </c>
      <c r="P248" s="731" t="str">
        <f t="shared" si="166"/>
        <v>-16.7799341428508-3.68539718616819i</v>
      </c>
      <c r="Q248" s="729" t="str">
        <f t="shared" si="167"/>
        <v>-16.7430510684313-3.04108522009974i</v>
      </c>
      <c r="R248" s="730"/>
      <c r="S248" s="405" t="str">
        <f t="shared" si="180"/>
        <v>39.7623349843678-0.496060226716079i</v>
      </c>
      <c r="T248" s="405" t="str">
        <f t="shared" si="181"/>
        <v>15.5965430080769-2.52772598269863i</v>
      </c>
      <c r="U248" s="405" t="str">
        <f t="shared" si="182"/>
        <v>0.317082928658033-4.15406295353124i</v>
      </c>
      <c r="V248" s="731" t="str">
        <f t="shared" si="168"/>
        <v>6000</v>
      </c>
      <c r="W248" s="733" t="str">
        <f>IMSUM(COMPLEX(1,0),IMDIV(COMPLEX(0,2*PI()*D248),COMPLEX(2*PI()*'Stability Calculations'!EA_Pole1,0)))</f>
        <v>1+95505.9717574933i</v>
      </c>
      <c r="X248" s="734">
        <f t="shared" si="183"/>
        <v>95505.971762728572</v>
      </c>
      <c r="Y248" s="735">
        <f t="shared" si="184"/>
        <v>1.5707858562454475</v>
      </c>
      <c r="Z248" s="340" t="str">
        <f>IMSUM(COMPLEX(1,0),IMDIV(COMPLEX(0,2*PI()*D248),COMPLEX(2*PI()*'Stability Calculations'!EA_Zero1,0)))</f>
        <v>1+945.60368076726i</v>
      </c>
      <c r="AA248" s="734">
        <f t="shared" si="185"/>
        <v>945.6042095298593</v>
      </c>
      <c r="AB248" s="735">
        <f t="shared" si="186"/>
        <v>1.5697388016947382</v>
      </c>
      <c r="AC248" s="733" t="str">
        <f>IMSUM(COMPLEX(1,0),IMDIV(COMPLEX(0,2*PI()*D248),COMPLEX(2*PI()*'Stability Calculations'!EA_Pole2,0)))</f>
        <v>1+9.52549719228799i</v>
      </c>
      <c r="AD248" s="734">
        <f t="shared" si="187"/>
        <v>9.5778440559598987</v>
      </c>
      <c r="AE248" s="735">
        <f t="shared" si="188"/>
        <v>1.4661980695820729</v>
      </c>
      <c r="AF248" s="732" t="str">
        <f t="shared" si="189"/>
        <v>0.641122592853936-6.16921274199354i</v>
      </c>
      <c r="AG248" s="337">
        <f t="shared" si="190"/>
        <v>6.2024369432540958</v>
      </c>
      <c r="AH248" s="730">
        <f t="shared" si="191"/>
        <v>-1.4672451241327817</v>
      </c>
      <c r="AI248" s="731" t="str">
        <f t="shared" si="169"/>
        <v>10000</v>
      </c>
      <c r="AJ248" s="733" t="str">
        <f t="shared" si="192"/>
        <v>1+89037.8534603094i</v>
      </c>
      <c r="AK248" s="734">
        <f t="shared" si="193"/>
        <v>89037.853465924985</v>
      </c>
      <c r="AL248" s="735">
        <f t="shared" si="194"/>
        <v>1.5707850956166831</v>
      </c>
      <c r="AM248" s="340" t="str">
        <f t="shared" si="195"/>
        <v>1+151.107468186608i</v>
      </c>
      <c r="AN248" s="734">
        <f t="shared" si="196"/>
        <v>151.11077705367924</v>
      </c>
      <c r="AO248" s="735">
        <f t="shared" si="197"/>
        <v>1.5641786168039256</v>
      </c>
      <c r="AP248" s="733" t="str">
        <f t="shared" si="198"/>
        <v>1+7.32896128213909i</v>
      </c>
      <c r="AQ248" s="734">
        <f t="shared" si="199"/>
        <v>7.3968691670931879</v>
      </c>
      <c r="AR248" s="735">
        <f t="shared" si="200"/>
        <v>1.4351887517444784</v>
      </c>
      <c r="AS248" s="732" t="str">
        <f t="shared" si="201"/>
        <v>0.0120929876196814-15.5518361023153i</v>
      </c>
      <c r="AT248" s="337">
        <f t="shared" si="202"/>
        <v>15.551840804021468</v>
      </c>
      <c r="AU248" s="730">
        <f t="shared" si="203"/>
        <v>-1.5700187346763337</v>
      </c>
      <c r="AV248" s="732" t="str">
        <f t="shared" si="204"/>
        <v>-1.52164334715025+0.0858259865959068i</v>
      </c>
      <c r="AW248" s="337">
        <f t="shared" si="205"/>
        <v>3.660051940585066</v>
      </c>
      <c r="AX248" s="730">
        <f t="shared" si="206"/>
        <v>176.77173891476005</v>
      </c>
      <c r="AY248" s="360">
        <f t="shared" si="207"/>
        <v>-3.22826108523995</v>
      </c>
      <c r="BB248" s="337">
        <f t="shared" si="208"/>
        <v>-16.164363960764536</v>
      </c>
      <c r="BC248" s="730">
        <f t="shared" si="209"/>
        <v>-89.955447253423714</v>
      </c>
      <c r="BD248" s="351"/>
      <c r="BE248" s="337">
        <f t="shared" si="170"/>
        <v>44.213076764751037</v>
      </c>
      <c r="BF248" s="730">
        <f t="shared" si="171"/>
        <v>-84.785174424849131</v>
      </c>
      <c r="BI248" s="351"/>
      <c r="BJ248" s="351"/>
      <c r="BL248" s="405">
        <f t="shared" si="172"/>
        <v>0</v>
      </c>
      <c r="BM248" s="405">
        <f t="shared" si="210"/>
        <v>0</v>
      </c>
      <c r="BN248" s="405">
        <f t="shared" si="173"/>
        <v>0</v>
      </c>
      <c r="BO248" s="405">
        <f t="shared" si="174"/>
        <v>0</v>
      </c>
    </row>
    <row r="249" spans="4:67" ht="13.5" thickBot="1" x14ac:dyDescent="0.25">
      <c r="D249" s="345">
        <v>15136</v>
      </c>
      <c r="E249" s="340" t="str">
        <f t="shared" si="161"/>
        <v>0.251070053017001i</v>
      </c>
      <c r="F249" s="728" t="str">
        <f t="shared" si="175"/>
        <v>0.005-0.172376944221458i</v>
      </c>
      <c r="G249" s="337" t="str">
        <f t="shared" si="176"/>
        <v>0.005-0.269615220448947i</v>
      </c>
      <c r="H249" s="338" t="str">
        <f t="shared" si="177"/>
        <v>0.0612551269890742-0.254993072561608i</v>
      </c>
      <c r="I249" s="338" t="str">
        <f t="shared" si="178"/>
        <v>0.0712551269890742-0.254993072561608i</v>
      </c>
      <c r="J249" s="337" t="str">
        <f t="shared" si="179"/>
        <v>0.0131037719794552-0.104354257565599i</v>
      </c>
      <c r="K249" s="338" t="str">
        <f t="shared" si="162"/>
        <v>0.997454461155556-0.0792519106745585i</v>
      </c>
      <c r="L249" s="732"/>
      <c r="M249" s="732" t="str">
        <f t="shared" si="163"/>
        <v>14.2529239532348-159.582224002811i</v>
      </c>
      <c r="N249" s="337">
        <f t="shared" si="164"/>
        <v>0</v>
      </c>
      <c r="O249" s="730" t="str">
        <f t="shared" si="165"/>
        <v>-3.72076944509868-63.5358183612413i</v>
      </c>
      <c r="P249" s="731" t="str">
        <f t="shared" si="166"/>
        <v>-16.4663174409568-3.57848237258595i</v>
      </c>
      <c r="Q249" s="729" t="str">
        <f t="shared" si="167"/>
        <v>-16.4291097465058-2.94312418897354i</v>
      </c>
      <c r="R249" s="730"/>
      <c r="S249" s="405" t="str">
        <f t="shared" si="180"/>
        <v>39.7651933492599-0.528700249236783i</v>
      </c>
      <c r="T249" s="405" t="str">
        <f t="shared" si="181"/>
        <v>15.5937262961335-2.53038655755702i</v>
      </c>
      <c r="U249" s="405" t="str">
        <f t="shared" si="182"/>
        <v>0.309964641422467-4.13129133085044i</v>
      </c>
      <c r="V249" s="731" t="str">
        <f t="shared" si="168"/>
        <v>6000</v>
      </c>
      <c r="W249" s="733" t="str">
        <f>IMSUM(COMPLEX(1,0),IMDIV(COMPLEX(0,2*PI()*D249),COMPLEX(2*PI()*'Stability Calculations'!EA_Pole1,0)))</f>
        <v>1+96053.3157375649i</v>
      </c>
      <c r="X249" s="734">
        <f t="shared" si="183"/>
        <v>96053.315742770326</v>
      </c>
      <c r="Y249" s="735">
        <f t="shared" si="184"/>
        <v>1.5707859159101469</v>
      </c>
      <c r="Z249" s="340" t="str">
        <f>IMSUM(COMPLEX(1,0),IMDIV(COMPLEX(0,2*PI()*D249),COMPLEX(2*PI()*'Stability Calculations'!EA_Zero1,0)))</f>
        <v>1+951.022928094702i</v>
      </c>
      <c r="AA249" s="734">
        <f t="shared" si="185"/>
        <v>951.02345384423643</v>
      </c>
      <c r="AB249" s="735">
        <f t="shared" si="186"/>
        <v>1.5697448278226758</v>
      </c>
      <c r="AC249" s="733" t="str">
        <f>IMSUM(COMPLEX(1,0),IMDIV(COMPLEX(0,2*PI()*D249),COMPLEX(2*PI()*'Stability Calculations'!EA_Pole2,0)))</f>
        <v>1+9.58008774248548i</v>
      </c>
      <c r="AD249" s="734">
        <f t="shared" si="187"/>
        <v>9.632137932656514</v>
      </c>
      <c r="AE249" s="735">
        <f t="shared" si="188"/>
        <v>1.466789804288132</v>
      </c>
      <c r="AF249" s="732" t="str">
        <f t="shared" si="189"/>
        <v>0.633915277745544-6.13481082219672i</v>
      </c>
      <c r="AG249" s="337">
        <f t="shared" si="190"/>
        <v>6.1674753670769702</v>
      </c>
      <c r="AH249" s="730">
        <f t="shared" si="191"/>
        <v>-1.4678308923756032</v>
      </c>
      <c r="AI249" s="731" t="str">
        <f t="shared" si="169"/>
        <v>10000</v>
      </c>
      <c r="AJ249" s="733" t="str">
        <f t="shared" si="192"/>
        <v>1+89548.1287048119i</v>
      </c>
      <c r="AK249" s="734">
        <f t="shared" si="193"/>
        <v>89548.128710395467</v>
      </c>
      <c r="AL249" s="735">
        <f t="shared" si="194"/>
        <v>1.5707851596157001</v>
      </c>
      <c r="AM249" s="340" t="str">
        <f t="shared" si="195"/>
        <v>1+151.973463909533i</v>
      </c>
      <c r="AN249" s="734">
        <f t="shared" si="196"/>
        <v>151.97675392198019</v>
      </c>
      <c r="AO249" s="735">
        <f t="shared" si="197"/>
        <v>1.5642163256414372</v>
      </c>
      <c r="AP249" s="733" t="str">
        <f t="shared" si="198"/>
        <v>1+7.37096350214836i</v>
      </c>
      <c r="AQ249" s="734">
        <f t="shared" si="199"/>
        <v>7.4384879478293984</v>
      </c>
      <c r="AR249" s="735">
        <f t="shared" si="200"/>
        <v>1.4359521298272104</v>
      </c>
      <c r="AS249" s="732" t="str">
        <f t="shared" si="201"/>
        <v>0.0119555605819931-15.4632166351129i</v>
      </c>
      <c r="AT249" s="337">
        <f t="shared" si="202"/>
        <v>15.463221256900553</v>
      </c>
      <c r="AU249" s="730">
        <f t="shared" si="203"/>
        <v>-1.5700231656550219</v>
      </c>
      <c r="AV249" s="732" t="str">
        <f t="shared" si="204"/>
        <v>-1.50415302153179+0.0860239953231068i</v>
      </c>
      <c r="AW249" s="337">
        <f t="shared" si="205"/>
        <v>3.5600221714624478</v>
      </c>
      <c r="AX249" s="730">
        <f t="shared" si="206"/>
        <v>176.72676344381475</v>
      </c>
      <c r="AY249" s="360">
        <f t="shared" si="207"/>
        <v>-3.2732365561852532</v>
      </c>
      <c r="BB249" s="337">
        <f t="shared" si="208"/>
        <v>-16.214000598559139</v>
      </c>
      <c r="BC249" s="730">
        <f t="shared" si="209"/>
        <v>-89.955701129801653</v>
      </c>
      <c r="BD249" s="351"/>
      <c r="BE249" s="337">
        <f t="shared" si="170"/>
        <v>44.09419643664252</v>
      </c>
      <c r="BF249" s="730">
        <f t="shared" si="171"/>
        <v>-84.896227915006691</v>
      </c>
      <c r="BI249" s="351"/>
      <c r="BJ249" s="351"/>
      <c r="BL249" s="405">
        <f t="shared" si="172"/>
        <v>0</v>
      </c>
      <c r="BM249" s="405">
        <f t="shared" si="210"/>
        <v>0</v>
      </c>
      <c r="BN249" s="405">
        <f t="shared" si="173"/>
        <v>0</v>
      </c>
      <c r="BO249" s="405">
        <f t="shared" si="174"/>
        <v>0</v>
      </c>
    </row>
    <row r="250" spans="4:67" ht="13.5" thickBot="1" x14ac:dyDescent="0.25">
      <c r="D250" s="345">
        <v>15224</v>
      </c>
      <c r="E250" s="340" t="str">
        <f t="shared" si="161"/>
        <v>0.252529762627565i</v>
      </c>
      <c r="F250" s="728" t="str">
        <f t="shared" si="175"/>
        <v>0.005-0.171380545699947i</v>
      </c>
      <c r="G250" s="337" t="str">
        <f t="shared" si="176"/>
        <v>0.005-0.268056750966583i</v>
      </c>
      <c r="H250" s="338" t="str">
        <f t="shared" si="177"/>
        <v>0.06063621951198-0.253654924160489i</v>
      </c>
      <c r="I250" s="338" t="str">
        <f t="shared" si="178"/>
        <v>0.07063621951198-0.253654924160489i</v>
      </c>
      <c r="J250" s="337" t="str">
        <f t="shared" si="179"/>
        <v>0.0130011081210427-0.103760029502401i</v>
      </c>
      <c r="K250" s="338" t="str">
        <f t="shared" si="162"/>
        <v>0.997424775822222-0.079712677597085i</v>
      </c>
      <c r="L250" s="732"/>
      <c r="M250" s="732" t="str">
        <f t="shared" si="163"/>
        <v>13.7581180749334-157.432084654349i</v>
      </c>
      <c r="N250" s="337">
        <f t="shared" si="164"/>
        <v>0</v>
      </c>
      <c r="O250" s="730" t="str">
        <f t="shared" si="165"/>
        <v>-3.74925604347056-62.6498923583979i</v>
      </c>
      <c r="P250" s="731" t="str">
        <f t="shared" si="166"/>
        <v>-16.1562869677254-3.47433429166494i</v>
      </c>
      <c r="Q250" s="729" t="str">
        <f t="shared" si="167"/>
        <v>-16.1187944072907-2.84783536808098i</v>
      </c>
      <c r="R250" s="730"/>
      <c r="S250" s="405" t="str">
        <f t="shared" si="180"/>
        <v>39.7680223230794-0.561843879114067i</v>
      </c>
      <c r="T250" s="405" t="str">
        <f t="shared" si="181"/>
        <v>15.5908770137453-2.53316269236263i</v>
      </c>
      <c r="U250" s="405" t="str">
        <f t="shared" si="182"/>
        <v>0.302822650372328-4.10830413559073i</v>
      </c>
      <c r="V250" s="731" t="str">
        <f t="shared" si="168"/>
        <v>6000</v>
      </c>
      <c r="W250" s="733" t="str">
        <f>IMSUM(COMPLEX(1,0),IMDIV(COMPLEX(0,2*PI()*D250),COMPLEX(2*PI()*'Stability Calculations'!EA_Pole1,0)))</f>
        <v>1+96611.765247667i</v>
      </c>
      <c r="X250" s="734">
        <f t="shared" si="183"/>
        <v>96611.765252842379</v>
      </c>
      <c r="Y250" s="735">
        <f t="shared" si="184"/>
        <v>1.5707859760886715</v>
      </c>
      <c r="Z250" s="340" t="str">
        <f>IMSUM(COMPLEX(1,0),IMDIV(COMPLEX(0,2*PI()*D250),COMPLEX(2*PI()*'Stability Calculations'!EA_Zero1,0)))</f>
        <v>1+956.55213116502i</v>
      </c>
      <c r="AA250" s="734">
        <f t="shared" si="185"/>
        <v>956.55265387554152</v>
      </c>
      <c r="AB250" s="735">
        <f t="shared" si="186"/>
        <v>1.5697509058469756</v>
      </c>
      <c r="AC250" s="733" t="str">
        <f>IMSUM(COMPLEX(1,0),IMDIV(COMPLEX(0,2*PI()*D250),COMPLEX(2*PI()*'Stability Calculations'!EA_Pole2,0)))</f>
        <v>1+9.63578592703482i</v>
      </c>
      <c r="AD250" s="734">
        <f t="shared" si="187"/>
        <v>9.6875368609178611</v>
      </c>
      <c r="AE250" s="735">
        <f t="shared" si="188"/>
        <v>1.4673867089964012</v>
      </c>
      <c r="AF250" s="732" t="str">
        <f t="shared" si="189"/>
        <v>0.626685821025258-6.10009975881438i</v>
      </c>
      <c r="AG250" s="337">
        <f t="shared" si="190"/>
        <v>6.1322061434496282</v>
      </c>
      <c r="AH250" s="730">
        <f t="shared" si="191"/>
        <v>-1.4684217792380971</v>
      </c>
      <c r="AI250" s="731" t="str">
        <f t="shared" si="169"/>
        <v>10000</v>
      </c>
      <c r="AJ250" s="733" t="str">
        <f t="shared" si="192"/>
        <v>1+90068.7573600724i</v>
      </c>
      <c r="AK250" s="734">
        <f t="shared" si="193"/>
        <v>90068.757365623722</v>
      </c>
      <c r="AL250" s="735">
        <f t="shared" si="194"/>
        <v>1.5707852241658689</v>
      </c>
      <c r="AM250" s="340" t="str">
        <f t="shared" si="195"/>
        <v>1+152.85703056017i</v>
      </c>
      <c r="AN250" s="734">
        <f t="shared" si="196"/>
        <v>152.86030155561235</v>
      </c>
      <c r="AO250" s="735">
        <f t="shared" si="197"/>
        <v>1.5642543592418514</v>
      </c>
      <c r="AP250" s="733" t="str">
        <f t="shared" si="198"/>
        <v>1+7.41381794111433i</v>
      </c>
      <c r="AQ250" s="734">
        <f t="shared" si="199"/>
        <v>7.4809555849496077</v>
      </c>
      <c r="AR250" s="735">
        <f t="shared" si="200"/>
        <v>1.4367222422281549</v>
      </c>
      <c r="AS250" s="732" t="str">
        <f t="shared" si="201"/>
        <v>0.0118177455543085-15.373833985934i</v>
      </c>
      <c r="AT250" s="337">
        <f t="shared" si="202"/>
        <v>15.373838528037467</v>
      </c>
      <c r="AU250" s="730">
        <f t="shared" si="203"/>
        <v>-1.5700276347927931</v>
      </c>
      <c r="AV250" s="732" t="str">
        <f t="shared" si="204"/>
        <v>-1.486615461771+0.0862108665663653i</v>
      </c>
      <c r="AW250" s="337">
        <f t="shared" si="205"/>
        <v>3.4585537236296542</v>
      </c>
      <c r="AX250" s="730">
        <f t="shared" si="206"/>
        <v>176.68105648255613</v>
      </c>
      <c r="AY250" s="360">
        <f t="shared" si="207"/>
        <v>-3.31894351744387</v>
      </c>
      <c r="BB250" s="337">
        <f t="shared" si="208"/>
        <v>-16.264353693057892</v>
      </c>
      <c r="BC250" s="730">
        <f t="shared" si="209"/>
        <v>-89.955957192534001</v>
      </c>
      <c r="BD250" s="351"/>
      <c r="BE250" s="337">
        <f t="shared" si="170"/>
        <v>43.974906652765455</v>
      </c>
      <c r="BF250" s="730">
        <f t="shared" si="171"/>
        <v>-85.005563808399941</v>
      </c>
      <c r="BI250" s="351"/>
      <c r="BJ250" s="351"/>
      <c r="BL250" s="405">
        <f t="shared" si="172"/>
        <v>0</v>
      </c>
      <c r="BM250" s="405">
        <f t="shared" si="210"/>
        <v>0</v>
      </c>
      <c r="BN250" s="405">
        <f t="shared" si="173"/>
        <v>0</v>
      </c>
      <c r="BO250" s="405">
        <f t="shared" si="174"/>
        <v>0</v>
      </c>
    </row>
    <row r="251" spans="4:67" ht="13.5" thickBot="1" x14ac:dyDescent="0.25">
      <c r="D251" s="345">
        <v>15312</v>
      </c>
      <c r="E251" s="340" t="str">
        <f t="shared" si="161"/>
        <v>0.253989472238129i</v>
      </c>
      <c r="F251" s="728" t="str">
        <f t="shared" si="175"/>
        <v>0.005-0.170395600035005i</v>
      </c>
      <c r="G251" s="337" t="str">
        <f t="shared" si="176"/>
        <v>0.005-0.266516194926545i</v>
      </c>
      <c r="H251" s="338" t="str">
        <f t="shared" si="177"/>
        <v>0.0600273057730738-0.252329976562863i</v>
      </c>
      <c r="I251" s="338" t="str">
        <f t="shared" si="178"/>
        <v>0.0700273057730738-0.252329976562863i</v>
      </c>
      <c r="J251" s="337" t="str">
        <f t="shared" si="179"/>
        <v>0.0129001921053241-0.103172484246178i</v>
      </c>
      <c r="K251" s="338" t="str">
        <f t="shared" si="162"/>
        <v>0.9973949184-0.0801734445196115i</v>
      </c>
      <c r="L251" s="732"/>
      <c r="M251" s="732" t="str">
        <f t="shared" si="163"/>
        <v>13.2874545032707-155.344497965756i</v>
      </c>
      <c r="N251" s="337">
        <f t="shared" si="164"/>
        <v>0</v>
      </c>
      <c r="O251" s="730" t="str">
        <f t="shared" si="165"/>
        <v>-3.77345607660383-61.7906057112382i</v>
      </c>
      <c r="P251" s="731" t="str">
        <f t="shared" si="166"/>
        <v>-15.8558670534194-3.37487355667389i</v>
      </c>
      <c r="Q251" s="729" t="str">
        <f t="shared" si="167"/>
        <v>-15.8181324926533-2.75696749956151i</v>
      </c>
      <c r="R251" s="730"/>
      <c r="S251" s="405" t="str">
        <f t="shared" si="180"/>
        <v>39.7707647433808-0.594829729675418i</v>
      </c>
      <c r="T251" s="405" t="str">
        <f t="shared" si="181"/>
        <v>15.5880518831713-2.5360000420671i</v>
      </c>
      <c r="U251" s="405" t="str">
        <f t="shared" si="182"/>
        <v>0.29579992561946-4.08556201630697i</v>
      </c>
      <c r="V251" s="731" t="str">
        <f t="shared" si="168"/>
        <v>6000</v>
      </c>
      <c r="W251" s="733" t="str">
        <f>IMSUM(COMPLEX(1,0),IMDIV(COMPLEX(0,2*PI()*D251),COMPLEX(2*PI()*'Stability Calculations'!EA_Pole1,0)))</f>
        <v>1+97170.2147577692i</v>
      </c>
      <c r="X251" s="734">
        <f t="shared" si="183"/>
        <v>97170.214762914795</v>
      </c>
      <c r="Y251" s="735">
        <f t="shared" si="184"/>
        <v>1.570786035575489</v>
      </c>
      <c r="Z251" s="340" t="str">
        <f>IMSUM(COMPLEX(1,0),IMDIV(COMPLEX(0,2*PI()*D251),COMPLEX(2*PI()*'Stability Calculations'!EA_Zero1,0)))</f>
        <v>1+962.081334235338i</v>
      </c>
      <c r="AA251" s="734">
        <f t="shared" si="185"/>
        <v>962.08185394177781</v>
      </c>
      <c r="AB251" s="735">
        <f t="shared" si="186"/>
        <v>1.5697569140090031</v>
      </c>
      <c r="AC251" s="733" t="str">
        <f>IMSUM(COMPLEX(1,0),IMDIV(COMPLEX(0,2*PI()*D251),COMPLEX(2*PI()*'Stability Calculations'!EA_Pole2,0)))</f>
        <v>1+9.69148411158415i</v>
      </c>
      <c r="AD251" s="734">
        <f t="shared" si="187"/>
        <v>9.7429392015493992</v>
      </c>
      <c r="AE251" s="735">
        <f t="shared" si="188"/>
        <v>1.4679768254239021</v>
      </c>
      <c r="AF251" s="732" t="str">
        <f t="shared" si="189"/>
        <v>0.619578900759936-6.06577502946078i</v>
      </c>
      <c r="AG251" s="337">
        <f t="shared" si="190"/>
        <v>6.0973358708781014</v>
      </c>
      <c r="AH251" s="730">
        <f t="shared" si="191"/>
        <v>-1.4690059469903884</v>
      </c>
      <c r="AI251" s="731" t="str">
        <f t="shared" si="169"/>
        <v>10000</v>
      </c>
      <c r="AJ251" s="733" t="str">
        <f t="shared" si="192"/>
        <v>1+90589.3860153329i</v>
      </c>
      <c r="AK251" s="734">
        <f t="shared" si="193"/>
        <v>90589.386020852311</v>
      </c>
      <c r="AL251" s="735">
        <f t="shared" si="194"/>
        <v>1.5707852879740816</v>
      </c>
      <c r="AM251" s="340" t="str">
        <f t="shared" si="195"/>
        <v>1+153.740597210807i</v>
      </c>
      <c r="AN251" s="734">
        <f t="shared" si="196"/>
        <v>153.7438494078238</v>
      </c>
      <c r="AO251" s="735">
        <f t="shared" si="197"/>
        <v>1.564291955693047</v>
      </c>
      <c r="AP251" s="733" t="str">
        <f t="shared" si="198"/>
        <v>1+7.45667238008031i</v>
      </c>
      <c r="AQ251" s="734">
        <f t="shared" si="199"/>
        <v>7.5234276087334395</v>
      </c>
      <c r="AR251" s="735">
        <f t="shared" si="200"/>
        <v>1.4374836600416976</v>
      </c>
      <c r="AS251" s="732" t="str">
        <f t="shared" si="201"/>
        <v>0.0116822998114088-15.2854787217165i</v>
      </c>
      <c r="AT251" s="337">
        <f t="shared" si="202"/>
        <v>15.285483185957084</v>
      </c>
      <c r="AU251" s="730">
        <f t="shared" si="203"/>
        <v>-1.5700320525611948</v>
      </c>
      <c r="AV251" s="732" t="str">
        <f t="shared" si="204"/>
        <v>-1.469381502847+0.0863830078735327i</v>
      </c>
      <c r="AW251" s="337">
        <f t="shared" si="205"/>
        <v>3.3576751848100743</v>
      </c>
      <c r="AX251" s="730">
        <f t="shared" si="206"/>
        <v>176.63552883356337</v>
      </c>
      <c r="AY251" s="360">
        <f t="shared" si="207"/>
        <v>-3.3644711664366298</v>
      </c>
      <c r="BB251" s="337">
        <f t="shared" si="208"/>
        <v>-16.314416566722276</v>
      </c>
      <c r="BC251" s="730">
        <f t="shared" si="209"/>
        <v>-89.9562103120183</v>
      </c>
      <c r="BD251" s="351"/>
      <c r="BE251" s="337">
        <f t="shared" si="170"/>
        <v>43.857576157490179</v>
      </c>
      <c r="BF251" s="730">
        <f t="shared" si="171"/>
        <v>-85.111082076923608</v>
      </c>
      <c r="BI251" s="351"/>
      <c r="BJ251" s="351"/>
      <c r="BL251" s="405">
        <f t="shared" si="172"/>
        <v>0</v>
      </c>
      <c r="BM251" s="405">
        <f t="shared" si="210"/>
        <v>0</v>
      </c>
      <c r="BN251" s="405">
        <f t="shared" si="173"/>
        <v>0</v>
      </c>
      <c r="BO251" s="405">
        <f t="shared" si="174"/>
        <v>0</v>
      </c>
    </row>
    <row r="252" spans="4:67" ht="13.5" thickBot="1" x14ac:dyDescent="0.25">
      <c r="D252" s="345">
        <v>15400</v>
      </c>
      <c r="E252" s="340" t="str">
        <f t="shared" si="161"/>
        <v>0.255449181848693i</v>
      </c>
      <c r="F252" s="728" t="str">
        <f t="shared" si="175"/>
        <v>0.005-0.169421910891947i</v>
      </c>
      <c r="G252" s="337" t="str">
        <f t="shared" si="176"/>
        <v>0.005-0.264993245241251i</v>
      </c>
      <c r="H252" s="338" t="str">
        <f t="shared" si="177"/>
        <v>0.0594281752685324-0.251018049129889i</v>
      </c>
      <c r="I252" s="338" t="str">
        <f t="shared" si="178"/>
        <v>0.0694281752685324-0.251018049129889i</v>
      </c>
      <c r="J252" s="337" t="str">
        <f t="shared" si="179"/>
        <v>0.012800984568721-0.102591510560657i</v>
      </c>
      <c r="K252" s="338" t="str">
        <f t="shared" si="162"/>
        <v>0.997364888888889-0.080634211442138i</v>
      </c>
      <c r="L252" s="732"/>
      <c r="M252" s="732" t="str">
        <f t="shared" si="163"/>
        <v>12.83943056925-153.316758327759i</v>
      </c>
      <c r="N252" s="337">
        <f t="shared" si="164"/>
        <v>0</v>
      </c>
      <c r="O252" s="730" t="str">
        <f t="shared" si="165"/>
        <v>-3.79373134501954-60.9567666023029i</v>
      </c>
      <c r="P252" s="731" t="str">
        <f t="shared" si="166"/>
        <v>-15.5646404785199-3.27982203431801i</v>
      </c>
      <c r="Q252" s="729" t="str">
        <f t="shared" si="167"/>
        <v>-15.5267031650697-2.670254368295i</v>
      </c>
      <c r="R252" s="730"/>
      <c r="S252" s="405" t="str">
        <f t="shared" si="180"/>
        <v>39.773422285935-0.627660235811362i</v>
      </c>
      <c r="T252" s="405" t="str">
        <f t="shared" si="181"/>
        <v>15.5852502430455-2.53889763891677i</v>
      </c>
      <c r="U252" s="405" t="str">
        <f t="shared" si="182"/>
        <v>0.288893850786283-4.06306116508484i</v>
      </c>
      <c r="V252" s="731" t="str">
        <f t="shared" si="168"/>
        <v>6000</v>
      </c>
      <c r="W252" s="733" t="str">
        <f>IMSUM(COMPLEX(1,0),IMDIV(COMPLEX(0,2*PI()*D252),COMPLEX(2*PI()*'Stability Calculations'!EA_Pole1,0)))</f>
        <v>1+97728.6642678713i</v>
      </c>
      <c r="X252" s="734">
        <f t="shared" si="183"/>
        <v>97728.664272987487</v>
      </c>
      <c r="Y252" s="735">
        <f t="shared" si="184"/>
        <v>1.570786094382457</v>
      </c>
      <c r="Z252" s="340" t="str">
        <f>IMSUM(COMPLEX(1,0),IMDIV(COMPLEX(0,2*PI()*D252),COMPLEX(2*PI()*'Stability Calculations'!EA_Zero1,0)))</f>
        <v>1+967.610537305656i</v>
      </c>
      <c r="AA252" s="734">
        <f t="shared" si="185"/>
        <v>967.61105404234627</v>
      </c>
      <c r="AB252" s="735">
        <f t="shared" si="186"/>
        <v>1.5697628535063954</v>
      </c>
      <c r="AC252" s="733" t="str">
        <f>IMSUM(COMPLEX(1,0),IMDIV(COMPLEX(0,2*PI()*D252),COMPLEX(2*PI()*'Stability Calculations'!EA_Pole2,0)))</f>
        <v>1+9.74718229613349i</v>
      </c>
      <c r="AD252" s="734">
        <f t="shared" si="187"/>
        <v>9.7983448966679134</v>
      </c>
      <c r="AE252" s="735">
        <f t="shared" si="188"/>
        <v>1.4685602683110914</v>
      </c>
      <c r="AF252" s="732" t="str">
        <f t="shared" si="189"/>
        <v>0.612591772968306-6.03183029278182i</v>
      </c>
      <c r="AG252" s="337">
        <f t="shared" si="190"/>
        <v>6.0628578542819946</v>
      </c>
      <c r="AH252" s="730">
        <f t="shared" si="191"/>
        <v>-1.4695835091871525</v>
      </c>
      <c r="AI252" s="731" t="str">
        <f t="shared" si="169"/>
        <v>10000</v>
      </c>
      <c r="AJ252" s="733" t="str">
        <f t="shared" si="192"/>
        <v>1+91110.0146705935i</v>
      </c>
      <c r="AK252" s="734">
        <f t="shared" si="193"/>
        <v>91110.014676081395</v>
      </c>
      <c r="AL252" s="735">
        <f t="shared" si="194"/>
        <v>1.5707853510530578</v>
      </c>
      <c r="AM252" s="340" t="str">
        <f t="shared" si="195"/>
        <v>1+154.624163861444i</v>
      </c>
      <c r="AN252" s="734">
        <f t="shared" si="196"/>
        <v>154.62739747486756</v>
      </c>
      <c r="AO252" s="735">
        <f t="shared" si="197"/>
        <v>1.5643291224885889</v>
      </c>
      <c r="AP252" s="733" t="str">
        <f t="shared" si="198"/>
        <v>1+7.49952681904629i</v>
      </c>
      <c r="AQ252" s="734">
        <f t="shared" si="199"/>
        <v>7.5659039453058456</v>
      </c>
      <c r="AR252" s="735">
        <f t="shared" si="200"/>
        <v>1.4382365288163461</v>
      </c>
      <c r="AS252" s="732" t="str">
        <f t="shared" si="201"/>
        <v>0.0115491693532925-15.1981332301877i</v>
      </c>
      <c r="AT252" s="337">
        <f t="shared" si="202"/>
        <v>15.198137618334965</v>
      </c>
      <c r="AU252" s="730">
        <f t="shared" si="203"/>
        <v>-1.5700364198408441</v>
      </c>
      <c r="AV252" s="732" t="str">
        <f t="shared" si="204"/>
        <v>-1.45244417147638+0.0865409775518084i</v>
      </c>
      <c r="AW252" s="337">
        <f t="shared" si="205"/>
        <v>3.2573796934675099</v>
      </c>
      <c r="AX252" s="730">
        <f t="shared" si="206"/>
        <v>176.59017700412414</v>
      </c>
      <c r="AY252" s="360">
        <f t="shared" si="207"/>
        <v>-3.4098229958758566</v>
      </c>
      <c r="BB252" s="337">
        <f t="shared" si="208"/>
        <v>-16.364192545887263</v>
      </c>
      <c r="BC252" s="730">
        <f t="shared" si="209"/>
        <v>-89.956460538710147</v>
      </c>
      <c r="BD252" s="351"/>
      <c r="BE252" s="337">
        <f t="shared" si="170"/>
        <v>43.742143920542361</v>
      </c>
      <c r="BF252" s="730">
        <f t="shared" si="171"/>
        <v>-85.212965205376008</v>
      </c>
      <c r="BI252" s="351"/>
      <c r="BJ252" s="351"/>
      <c r="BL252" s="405">
        <f t="shared" si="172"/>
        <v>0</v>
      </c>
      <c r="BM252" s="405">
        <f t="shared" si="210"/>
        <v>0</v>
      </c>
      <c r="BN252" s="405">
        <f t="shared" si="173"/>
        <v>0</v>
      </c>
      <c r="BO252" s="405">
        <f t="shared" si="174"/>
        <v>0</v>
      </c>
    </row>
    <row r="253" spans="4:67" ht="13.5" thickBot="1" x14ac:dyDescent="0.25">
      <c r="D253" s="345">
        <v>15488</v>
      </c>
      <c r="E253" s="340" t="str">
        <f t="shared" si="161"/>
        <v>0.256908891459257i</v>
      </c>
      <c r="F253" s="728" t="str">
        <f t="shared" si="175"/>
        <v>0.005-0.168459286398243i</v>
      </c>
      <c r="G253" s="337" t="str">
        <f t="shared" si="176"/>
        <v>0.005-0.26348760180238i</v>
      </c>
      <c r="H253" s="338" t="str">
        <f t="shared" si="177"/>
        <v>0.0588386229121504-0.249718964159688i</v>
      </c>
      <c r="I253" s="338" t="str">
        <f t="shared" si="178"/>
        <v>0.0688386229121504-0.249718964159688i</v>
      </c>
      <c r="J253" s="337" t="str">
        <f t="shared" si="179"/>
        <v>0.0127034472469366-0.102016999645298i</v>
      </c>
      <c r="K253" s="338" t="str">
        <f t="shared" si="162"/>
        <v>0.997334687288889-0.0810949783646645i</v>
      </c>
      <c r="L253" s="732"/>
      <c r="M253" s="732" t="str">
        <f t="shared" si="163"/>
        <v>12.4126567156063-151.346311260602i</v>
      </c>
      <c r="N253" s="337">
        <f t="shared" si="164"/>
        <v>0</v>
      </c>
      <c r="O253" s="730" t="str">
        <f t="shared" si="165"/>
        <v>-3.81041201749201-60.1472522799354i</v>
      </c>
      <c r="P253" s="731" t="str">
        <f t="shared" si="166"/>
        <v>-15.282213052409-3.18892187687072i</v>
      </c>
      <c r="Q253" s="729" t="str">
        <f t="shared" si="167"/>
        <v>-15.2441089322341-2.58744935407136i</v>
      </c>
      <c r="R253" s="730"/>
      <c r="S253" s="405" t="str">
        <f t="shared" si="180"/>
        <v>39.7759965811421-0.660337783748943i</v>
      </c>
      <c r="T253" s="405" t="str">
        <f t="shared" si="181"/>
        <v>15.5824714499187-2.54185453437177i</v>
      </c>
      <c r="U253" s="405" t="str">
        <f t="shared" si="182"/>
        <v>0.282101880313187-4.04079784996706i</v>
      </c>
      <c r="V253" s="731" t="str">
        <f t="shared" si="168"/>
        <v>6000</v>
      </c>
      <c r="W253" s="733" t="str">
        <f>IMSUM(COMPLEX(1,0),IMDIV(COMPLEX(0,2*PI()*D253),COMPLEX(2*PI()*'Stability Calculations'!EA_Pole1,0)))</f>
        <v>1+98287.1137779734i</v>
      </c>
      <c r="X253" s="734">
        <f t="shared" si="183"/>
        <v>98287.113783060529</v>
      </c>
      <c r="Y253" s="735">
        <f t="shared" si="184"/>
        <v>1.5707861525211639</v>
      </c>
      <c r="Z253" s="340" t="str">
        <f>IMSUM(COMPLEX(1,0),IMDIV(COMPLEX(0,2*PI()*D253),COMPLEX(2*PI()*'Stability Calculations'!EA_Zero1,0)))</f>
        <v>1+973.139740375974i</v>
      </c>
      <c r="AA253" s="734">
        <f t="shared" si="185"/>
        <v>973.14025417666187</v>
      </c>
      <c r="AB253" s="735">
        <f t="shared" si="186"/>
        <v>1.5697687255095709</v>
      </c>
      <c r="AC253" s="733" t="str">
        <f>IMSUM(COMPLEX(1,0),IMDIV(COMPLEX(0,2*PI()*D253),COMPLEX(2*PI()*'Stability Calculations'!EA_Pole2,0)))</f>
        <v>1+9.80288048068282i</v>
      </c>
      <c r="AD253" s="734">
        <f t="shared" si="187"/>
        <v>9.8537538896885497</v>
      </c>
      <c r="AE253" s="735">
        <f t="shared" si="188"/>
        <v>1.4691371498360293</v>
      </c>
      <c r="AF253" s="732" t="str">
        <f t="shared" si="189"/>
        <v>0.60572176977894-5.9982593437812i</v>
      </c>
      <c r="AG253" s="337">
        <f t="shared" si="190"/>
        <v>6.0287655467469126</v>
      </c>
      <c r="AH253" s="730">
        <f t="shared" si="191"/>
        <v>-1.4701545768476227</v>
      </c>
      <c r="AI253" s="731" t="str">
        <f t="shared" si="169"/>
        <v>10000</v>
      </c>
      <c r="AJ253" s="733" t="str">
        <f t="shared" si="192"/>
        <v>1+91630.643325854i</v>
      </c>
      <c r="AK253" s="734">
        <f t="shared" si="193"/>
        <v>91630.643331310712</v>
      </c>
      <c r="AL253" s="735">
        <f t="shared" si="194"/>
        <v>1.5707854134152273</v>
      </c>
      <c r="AM253" s="340" t="str">
        <f t="shared" si="195"/>
        <v>1+155.507730512081i</v>
      </c>
      <c r="AN253" s="734">
        <f t="shared" si="196"/>
        <v>155.51094575308198</v>
      </c>
      <c r="AO253" s="735">
        <f t="shared" si="197"/>
        <v>1.5643658669517462</v>
      </c>
      <c r="AP253" s="733" t="str">
        <f t="shared" si="198"/>
        <v>1+7.54238125801227i</v>
      </c>
      <c r="AQ253" s="734">
        <f t="shared" si="199"/>
        <v>7.6083845224341005</v>
      </c>
      <c r="AR253" s="735">
        <f t="shared" si="200"/>
        <v>1.4389809908892555</v>
      </c>
      <c r="AS253" s="732" t="str">
        <f t="shared" si="201"/>
        <v>0.0114183017096763-15.1117802993529i</v>
      </c>
      <c r="AT253" s="337">
        <f t="shared" si="202"/>
        <v>15.111784613126419</v>
      </c>
      <c r="AU253" s="730">
        <f t="shared" si="203"/>
        <v>-1.570040737492344</v>
      </c>
      <c r="AV253" s="732" t="str">
        <f t="shared" si="204"/>
        <v>-1.43579669351929+0.08668531193229i</v>
      </c>
      <c r="AW253" s="337">
        <f t="shared" si="205"/>
        <v>3.1576605069642016</v>
      </c>
      <c r="AX253" s="730">
        <f t="shared" si="206"/>
        <v>176.54499759162701</v>
      </c>
      <c r="AY253" s="360">
        <f t="shared" si="207"/>
        <v>-3.4550024083729909</v>
      </c>
      <c r="BB253" s="337">
        <f t="shared" si="208"/>
        <v>-16.413684900026858</v>
      </c>
      <c r="BC253" s="730">
        <f t="shared" si="209"/>
        <v>-89.956707921918508</v>
      </c>
      <c r="BD253" s="351"/>
      <c r="BE253" s="337">
        <f t="shared" si="170"/>
        <v>43.628551592296148</v>
      </c>
      <c r="BF253" s="730">
        <f t="shared" si="171"/>
        <v>-85.311384594381764</v>
      </c>
      <c r="BI253" s="351"/>
      <c r="BJ253" s="351"/>
      <c r="BL253" s="405">
        <f t="shared" si="172"/>
        <v>0</v>
      </c>
      <c r="BM253" s="405">
        <f t="shared" si="210"/>
        <v>0</v>
      </c>
      <c r="BN253" s="405">
        <f t="shared" si="173"/>
        <v>0</v>
      </c>
      <c r="BO253" s="405">
        <f t="shared" si="174"/>
        <v>0</v>
      </c>
    </row>
    <row r="254" spans="4:67" ht="13.5" thickBot="1" x14ac:dyDescent="0.25">
      <c r="D254" s="345">
        <v>15578.25</v>
      </c>
      <c r="E254" s="340" t="str">
        <f t="shared" si="161"/>
        <v>0.258405923190546i</v>
      </c>
      <c r="F254" s="728" t="str">
        <f t="shared" si="175"/>
        <v>0.005-0.167483345544974i</v>
      </c>
      <c r="G254" s="337" t="str">
        <f t="shared" si="176"/>
        <v>0.005-0.26196113021137i</v>
      </c>
      <c r="H254" s="338" t="str">
        <f t="shared" si="177"/>
        <v>0.0582437361007166-0.248399820044058i</v>
      </c>
      <c r="I254" s="338" t="str">
        <f t="shared" si="178"/>
        <v>0.0682437361007166-0.248399820044058i</v>
      </c>
      <c r="J254" s="337" t="str">
        <f t="shared" si="179"/>
        <v>0.012605111927581-0.101434400801101i</v>
      </c>
      <c r="K254" s="338" t="str">
        <f t="shared" si="162"/>
        <v>0.99730353474375-0.081567526259642i</v>
      </c>
      <c r="L254" s="732"/>
      <c r="M254" s="732" t="str">
        <f t="shared" si="163"/>
        <v>11.9956961575131-149.3824647321i</v>
      </c>
      <c r="N254" s="337">
        <f t="shared" si="164"/>
        <v>0</v>
      </c>
      <c r="O254" s="730" t="str">
        <f t="shared" si="165"/>
        <v>-3.82410129438214-59.3411973704602i</v>
      </c>
      <c r="P254" s="731" t="str">
        <f t="shared" si="166"/>
        <v>-15.0013137075774-3.09975893989545i</v>
      </c>
      <c r="Q254" s="729" t="str">
        <f t="shared" si="167"/>
        <v>-14.9630726946336-2.50634696619085i</v>
      </c>
      <c r="R254" s="730"/>
      <c r="S254" s="405" t="str">
        <f t="shared" si="180"/>
        <v>39.778551890719-0.693694412257078i</v>
      </c>
      <c r="T254" s="405" t="str">
        <f t="shared" si="181"/>
        <v>15.5796446830516-2.54494765063739i</v>
      </c>
      <c r="U254" s="405" t="str">
        <f t="shared" si="182"/>
        <v>0.275252175022718-4.01820819497424i</v>
      </c>
      <c r="V254" s="731" t="str">
        <f t="shared" si="168"/>
        <v>6000</v>
      </c>
      <c r="W254" s="733" t="str">
        <f>IMSUM(COMPLEX(1,0),IMDIV(COMPLEX(0,2*PI()*D254),COMPLEX(2*PI()*'Stability Calculations'!EA_Pole1,0)))</f>
        <v>1+98859.8418266861i</v>
      </c>
      <c r="X254" s="734">
        <f t="shared" si="183"/>
        <v>98859.841831743761</v>
      </c>
      <c r="Y254" s="735">
        <f t="shared" si="184"/>
        <v>1.5707862114641264</v>
      </c>
      <c r="Z254" s="340" t="str">
        <f>IMSUM(COMPLEX(1,0),IMDIV(COMPLEX(0,2*PI()*D254),COMPLEX(2*PI()*'Stability Calculations'!EA_Zero1,0)))</f>
        <v>1+978.810315115704i</v>
      </c>
      <c r="AA254" s="734">
        <f t="shared" si="185"/>
        <v>978.81082593977476</v>
      </c>
      <c r="AB254" s="735">
        <f t="shared" si="186"/>
        <v>1.5697746787425257</v>
      </c>
      <c r="AC254" s="733" t="str">
        <f>IMSUM(COMPLEX(1,0),IMDIV(COMPLEX(0,2*PI()*D254),COMPLEX(2*PI()*'Stability Calculations'!EA_Pole2,0)))</f>
        <v>1+9.86000276654166i</v>
      </c>
      <c r="AD254" s="734">
        <f t="shared" si="187"/>
        <v>9.9105829574354107</v>
      </c>
      <c r="AE254" s="735">
        <f t="shared" si="188"/>
        <v>1.4697220809063969</v>
      </c>
      <c r="AF254" s="732" t="str">
        <f t="shared" si="189"/>
        <v>0.59879505087812-5.96421193212795i</v>
      </c>
      <c r="AG254" s="337">
        <f t="shared" si="190"/>
        <v>5.9941954826559956</v>
      </c>
      <c r="AH254" s="730">
        <f t="shared" si="191"/>
        <v>-1.4707336136279976</v>
      </c>
      <c r="AI254" s="731" t="str">
        <f t="shared" si="169"/>
        <v>10000</v>
      </c>
      <c r="AJ254" s="733" t="str">
        <f t="shared" si="192"/>
        <v>1+92164.583509232i</v>
      </c>
      <c r="AK254" s="734">
        <f t="shared" si="193"/>
        <v>92164.583514657075</v>
      </c>
      <c r="AL254" s="735">
        <f t="shared" si="194"/>
        <v>1.5707854766400771</v>
      </c>
      <c r="AM254" s="340" t="str">
        <f t="shared" si="195"/>
        <v>1+156.413888355489i</v>
      </c>
      <c r="AN254" s="734">
        <f t="shared" si="196"/>
        <v>156.41708496990788</v>
      </c>
      <c r="AO254" s="735">
        <f t="shared" si="197"/>
        <v>1.5644031197331001</v>
      </c>
      <c r="AP254" s="733" t="str">
        <f t="shared" si="198"/>
        <v>1+7.58633140706545i</v>
      </c>
      <c r="AQ254" s="734">
        <f t="shared" si="199"/>
        <v>7.6519555812764386</v>
      </c>
      <c r="AR254" s="735">
        <f t="shared" si="200"/>
        <v>1.439735901447994</v>
      </c>
      <c r="AS254" s="732" t="str">
        <f t="shared" si="201"/>
        <v>0.0112863849501845-15.0242328130659i</v>
      </c>
      <c r="AT254" s="337">
        <f t="shared" si="202"/>
        <v>15.024237052299572</v>
      </c>
      <c r="AU254" s="730">
        <f t="shared" si="203"/>
        <v>-1.5700451148716277</v>
      </c>
      <c r="AV254" s="732" t="str">
        <f t="shared" si="204"/>
        <v>-1.41901774114176+0.0868197136514382i</v>
      </c>
      <c r="AW254" s="337">
        <f t="shared" si="205"/>
        <v>3.0559833373164285</v>
      </c>
      <c r="AX254" s="730">
        <f t="shared" si="206"/>
        <v>176.4988386371802</v>
      </c>
      <c r="AY254" s="360">
        <f t="shared" si="207"/>
        <v>-3.5011613628198006</v>
      </c>
      <c r="BB254" s="337">
        <f t="shared" si="208"/>
        <v>-16.464151454576516</v>
      </c>
      <c r="BC254" s="730">
        <f t="shared" si="209"/>
        <v>-89.956958727276785</v>
      </c>
      <c r="BD254" s="351"/>
      <c r="BE254" s="337">
        <f t="shared" si="170"/>
        <v>43.513907534609928</v>
      </c>
      <c r="BF254" s="730">
        <f t="shared" si="171"/>
        <v>-85.408891400522606</v>
      </c>
      <c r="BI254" s="351"/>
      <c r="BJ254" s="351"/>
      <c r="BL254" s="405">
        <f t="shared" si="172"/>
        <v>0</v>
      </c>
      <c r="BM254" s="405">
        <f t="shared" si="210"/>
        <v>0</v>
      </c>
      <c r="BN254" s="405">
        <f t="shared" si="173"/>
        <v>0</v>
      </c>
      <c r="BO254" s="405">
        <f t="shared" si="174"/>
        <v>0</v>
      </c>
    </row>
    <row r="255" spans="4:67" ht="13.5" thickBot="1" x14ac:dyDescent="0.25">
      <c r="D255" s="345">
        <v>15668.5</v>
      </c>
      <c r="E255" s="340" t="str">
        <f t="shared" si="161"/>
        <v>0.259902954921834i</v>
      </c>
      <c r="F255" s="728" t="str">
        <f t="shared" si="175"/>
        <v>0.005-0.166518647460573i</v>
      </c>
      <c r="G255" s="337" t="str">
        <f t="shared" si="176"/>
        <v>0.005-0.260452243463973i</v>
      </c>
      <c r="H255" s="338" t="str">
        <f t="shared" si="177"/>
        <v>0.0576585033431143-0.247093814186094i</v>
      </c>
      <c r="I255" s="338" t="str">
        <f t="shared" si="178"/>
        <v>0.0676585033431143-0.247093814186094i</v>
      </c>
      <c r="J255" s="337" t="str">
        <f t="shared" si="179"/>
        <v>0.0125084551935307-0.100858375216364i</v>
      </c>
      <c r="K255" s="338" t="str">
        <f t="shared" si="162"/>
        <v>0.997272201197222-0.0820400741546195i</v>
      </c>
      <c r="L255" s="732"/>
      <c r="M255" s="732" t="str">
        <f t="shared" si="163"/>
        <v>11.5984488646225-147.473880376797i</v>
      </c>
      <c r="N255" s="337">
        <f t="shared" si="164"/>
        <v>0</v>
      </c>
      <c r="O255" s="730" t="str">
        <f t="shared" si="165"/>
        <v>-3.83462398831394-58.558537418052i</v>
      </c>
      <c r="P255" s="731" t="str">
        <f t="shared" si="166"/>
        <v>-14.7288972837186-3.01447113242518i</v>
      </c>
      <c r="Q255" s="729" t="str">
        <f t="shared" si="167"/>
        <v>-14.6905510438355-2.42888575824466i</v>
      </c>
      <c r="R255" s="730"/>
      <c r="S255" s="405" t="str">
        <f t="shared" si="180"/>
        <v>39.7810229748975-0.726895092569435i</v>
      </c>
      <c r="T255" s="405" t="str">
        <f t="shared" si="181"/>
        <v>15.5768406309399-2.54810117579228i</v>
      </c>
      <c r="U255" s="405" t="str">
        <f t="shared" si="182"/>
        <v>0.26851727913562-3.9958606646309i</v>
      </c>
      <c r="V255" s="731" t="str">
        <f t="shared" si="168"/>
        <v>6000</v>
      </c>
      <c r="W255" s="733" t="str">
        <f>IMSUM(COMPLEX(1,0),IMDIV(COMPLEX(0,2*PI()*D255),COMPLEX(2*PI()*'Stability Calculations'!EA_Pole1,0)))</f>
        <v>1+99432.5698753988i</v>
      </c>
      <c r="X255" s="734">
        <f t="shared" si="183"/>
        <v>99432.569880427342</v>
      </c>
      <c r="Y255" s="735">
        <f t="shared" si="184"/>
        <v>1.5707862697280701</v>
      </c>
      <c r="Z255" s="340" t="str">
        <f>IMSUM(COMPLEX(1,0),IMDIV(COMPLEX(0,2*PI()*D255),COMPLEX(2*PI()*'Stability Calculations'!EA_Zero1,0)))</f>
        <v>1+984.480889855433i</v>
      </c>
      <c r="AA255" s="734">
        <f t="shared" si="185"/>
        <v>984.48139773717685</v>
      </c>
      <c r="AB255" s="735">
        <f t="shared" si="186"/>
        <v>1.5697805633947337</v>
      </c>
      <c r="AC255" s="733" t="str">
        <f>IMSUM(COMPLEX(1,0),IMDIV(COMPLEX(0,2*PI()*D255),COMPLEX(2*PI()*'Stability Calculations'!EA_Pole2,0)))</f>
        <v>1+9.91712505240049i</v>
      </c>
      <c r="AD255" s="734">
        <f t="shared" si="187"/>
        <v>9.9674153773658603</v>
      </c>
      <c r="AE255" s="735">
        <f t="shared" si="188"/>
        <v>1.4703003418280267</v>
      </c>
      <c r="AF255" s="732" t="str">
        <f t="shared" si="189"/>
        <v>0.591986073506999-5.93054487168891i</v>
      </c>
      <c r="AG255" s="337">
        <f t="shared" si="190"/>
        <v>5.9600176162778125</v>
      </c>
      <c r="AH255" s="730">
        <f t="shared" si="191"/>
        <v>-1.4713060481613629</v>
      </c>
      <c r="AI255" s="731" t="str">
        <f t="shared" si="169"/>
        <v>10000</v>
      </c>
      <c r="AJ255" s="733" t="str">
        <f t="shared" si="192"/>
        <v>1+92698.52369261i</v>
      </c>
      <c r="AK255" s="734">
        <f t="shared" si="193"/>
        <v>92698.523698003832</v>
      </c>
      <c r="AL255" s="735">
        <f t="shared" si="194"/>
        <v>1.570785539136581</v>
      </c>
      <c r="AM255" s="340" t="str">
        <f t="shared" si="195"/>
        <v>1+157.320046198898i</v>
      </c>
      <c r="AN255" s="734">
        <f t="shared" si="196"/>
        <v>157.32322440130511</v>
      </c>
      <c r="AO255" s="735">
        <f t="shared" si="197"/>
        <v>1.5644399433825156</v>
      </c>
      <c r="AP255" s="733" t="str">
        <f t="shared" si="198"/>
        <v>1+7.63028155611862i</v>
      </c>
      <c r="AQ255" s="734">
        <f t="shared" si="199"/>
        <v>7.6955309515097134</v>
      </c>
      <c r="AR255" s="735">
        <f t="shared" si="200"/>
        <v>1.4404822631785665</v>
      </c>
      <c r="AS255" s="732" t="str">
        <f t="shared" si="201"/>
        <v>0.011156741125159-14.9376938658652i</v>
      </c>
      <c r="AT255" s="337">
        <f t="shared" si="202"/>
        <v>14.93769803226653</v>
      </c>
      <c r="AU255" s="730">
        <f t="shared" si="203"/>
        <v>-1.5700494418238433</v>
      </c>
      <c r="AV255" s="732" t="str">
        <f t="shared" si="204"/>
        <v>-1.40252983519008+0.0869408497128362i</v>
      </c>
      <c r="AW255" s="337">
        <f t="shared" si="205"/>
        <v>2.954898326391719</v>
      </c>
      <c r="AX255" s="730">
        <f t="shared" si="206"/>
        <v>176.45285405845968</v>
      </c>
      <c r="AY255" s="360">
        <f t="shared" si="207"/>
        <v>-3.5471459415403217</v>
      </c>
      <c r="BB255" s="337">
        <f t="shared" si="208"/>
        <v>-16.514326482690652</v>
      </c>
      <c r="BC255" s="730">
        <f t="shared" si="209"/>
        <v>-89.957206643376892</v>
      </c>
      <c r="BD255" s="351"/>
      <c r="BE255" s="337">
        <f t="shared" si="170"/>
        <v>43.401082378669102</v>
      </c>
      <c r="BF255" s="730">
        <f t="shared" si="171"/>
        <v>-85.503087929772363</v>
      </c>
      <c r="BI255" s="351"/>
      <c r="BJ255" s="351"/>
      <c r="BL255" s="405">
        <f t="shared" si="172"/>
        <v>0</v>
      </c>
      <c r="BM255" s="405">
        <f t="shared" si="210"/>
        <v>0</v>
      </c>
      <c r="BN255" s="405">
        <f t="shared" si="173"/>
        <v>0</v>
      </c>
      <c r="BO255" s="405">
        <f t="shared" si="174"/>
        <v>0</v>
      </c>
    </row>
    <row r="256" spans="4:67" ht="13.5" thickBot="1" x14ac:dyDescent="0.25">
      <c r="D256" s="345">
        <v>15758.75</v>
      </c>
      <c r="E256" s="340" t="str">
        <f t="shared" si="161"/>
        <v>0.261399986653123i</v>
      </c>
      <c r="F256" s="728" t="str">
        <f t="shared" si="175"/>
        <v>0.005-0.165564998983802i</v>
      </c>
      <c r="G256" s="337" t="str">
        <f t="shared" si="176"/>
        <v>0.005-0.258960639436203i</v>
      </c>
      <c r="H256" s="338" t="str">
        <f t="shared" si="177"/>
        <v>0.0570827201153275-0.245800764211916i</v>
      </c>
      <c r="I256" s="338" t="str">
        <f t="shared" si="178"/>
        <v>0.0670827201153275-0.245800764211916i</v>
      </c>
      <c r="J256" s="337" t="str">
        <f t="shared" si="179"/>
        <v>0.0124134391367359-0.100288813086569i</v>
      </c>
      <c r="K256" s="338" t="str">
        <f t="shared" si="162"/>
        <v>0.997240686649306-0.0825126220495969i</v>
      </c>
      <c r="L256" s="732"/>
      <c r="M256" s="732" t="str">
        <f t="shared" si="163"/>
        <v>11.219725168364-145.618234323147i</v>
      </c>
      <c r="N256" s="337">
        <f t="shared" si="164"/>
        <v>0</v>
      </c>
      <c r="O256" s="730" t="str">
        <f t="shared" si="165"/>
        <v>-3.84225133586046-57.7982573939323i</v>
      </c>
      <c r="P256" s="731" t="str">
        <f t="shared" si="166"/>
        <v>-14.4646045085219-2.93283600926206i</v>
      </c>
      <c r="Q256" s="729" t="str">
        <f t="shared" si="167"/>
        <v>-14.4261819951633-2.35485343532273i</v>
      </c>
      <c r="R256" s="730"/>
      <c r="S256" s="405" t="str">
        <f t="shared" si="180"/>
        <v>39.783411453055-0.759942246712381i</v>
      </c>
      <c r="T256" s="405" t="str">
        <f t="shared" si="181"/>
        <v>15.5740586545184-2.55131414665982i</v>
      </c>
      <c r="U256" s="405" t="str">
        <f t="shared" si="182"/>
        <v>0.261894664241908-3.97375147052189i</v>
      </c>
      <c r="V256" s="731" t="str">
        <f t="shared" si="168"/>
        <v>6000</v>
      </c>
      <c r="W256" s="733" t="str">
        <f>IMSUM(COMPLEX(1,0),IMDIV(COMPLEX(0,2*PI()*D256),COMPLEX(2*PI()*'Stability Calculations'!EA_Pole1,0)))</f>
        <v>1+100005.297924111i</v>
      </c>
      <c r="X256" s="734">
        <f t="shared" si="183"/>
        <v>100005.29792911073</v>
      </c>
      <c r="Y256" s="735">
        <f t="shared" si="184"/>
        <v>1.5707863273246614</v>
      </c>
      <c r="Z256" s="340" t="str">
        <f>IMSUM(COMPLEX(1,0),IMDIV(COMPLEX(0,2*PI()*D256),COMPLEX(2*PI()*'Stability Calculations'!EA_Zero1,0)))</f>
        <v>1+990.151464595163i</v>
      </c>
      <c r="AA256" s="734">
        <f t="shared" si="185"/>
        <v>990.15196956828106</v>
      </c>
      <c r="AB256" s="735">
        <f t="shared" si="186"/>
        <v>1.5697863806444743</v>
      </c>
      <c r="AC256" s="733" t="str">
        <f>IMSUM(COMPLEX(1,0),IMDIV(COMPLEX(0,2*PI()*D256),COMPLEX(2*PI()*'Stability Calculations'!EA_Pole2,0)))</f>
        <v>1+9.97424733825932i</v>
      </c>
      <c r="AD256" s="734">
        <f t="shared" si="187"/>
        <v>10.024251092464372</v>
      </c>
      <c r="AE256" s="735">
        <f t="shared" si="188"/>
        <v>1.4708720456665267</v>
      </c>
      <c r="AF256" s="732" t="str">
        <f t="shared" si="189"/>
        <v>0.585292193120874-5.89725189281305i</v>
      </c>
      <c r="AG256" s="337">
        <f t="shared" si="190"/>
        <v>5.9262253449067686</v>
      </c>
      <c r="AH256" s="730">
        <f t="shared" si="191"/>
        <v>-1.4718719923467141</v>
      </c>
      <c r="AI256" s="731" t="str">
        <f t="shared" si="169"/>
        <v>10000</v>
      </c>
      <c r="AJ256" s="733" t="str">
        <f t="shared" si="192"/>
        <v>1+93232.463875988i</v>
      </c>
      <c r="AK256" s="734">
        <f t="shared" si="193"/>
        <v>93232.463881350937</v>
      </c>
      <c r="AL256" s="735">
        <f t="shared" si="194"/>
        <v>1.5707856009172529</v>
      </c>
      <c r="AM256" s="340" t="str">
        <f t="shared" si="195"/>
        <v>1+158.226204042307i</v>
      </c>
      <c r="AN256" s="734">
        <f t="shared" si="196"/>
        <v>158.22936404358629</v>
      </c>
      <c r="AO256" s="735">
        <f t="shared" si="197"/>
        <v>1.5644763452724828</v>
      </c>
      <c r="AP256" s="733" t="str">
        <f t="shared" si="198"/>
        <v>1+7.6742317051718i</v>
      </c>
      <c r="AQ256" s="734">
        <f t="shared" si="199"/>
        <v>7.7391105603075649</v>
      </c>
      <c r="AR256" s="735">
        <f t="shared" si="200"/>
        <v>1.4412202196599382</v>
      </c>
      <c r="AS256" s="732" t="str">
        <f t="shared" si="201"/>
        <v>0.0110293183158579-14.8521461301489i</v>
      </c>
      <c r="AT256" s="337">
        <f t="shared" si="202"/>
        <v>14.852150225376779</v>
      </c>
      <c r="AU256" s="730">
        <f t="shared" si="203"/>
        <v>-1.5700537192153741</v>
      </c>
      <c r="AV256" s="732" t="str">
        <f t="shared" si="204"/>
        <v>-1.38632627744099+0.0870492327593546i</v>
      </c>
      <c r="AW256" s="337">
        <f t="shared" si="205"/>
        <v>2.8543985729972414</v>
      </c>
      <c r="AX256" s="730">
        <f t="shared" si="206"/>
        <v>176.40704046188839</v>
      </c>
      <c r="AY256" s="360">
        <f t="shared" si="207"/>
        <v>-3.5929595381116144</v>
      </c>
      <c r="BB256" s="337">
        <f t="shared" si="208"/>
        <v>-16.564213333110636</v>
      </c>
      <c r="BC256" s="730">
        <f t="shared" si="209"/>
        <v>-89.957451719858938</v>
      </c>
      <c r="BD256" s="351"/>
      <c r="BE256" s="337">
        <f t="shared" si="170"/>
        <v>43.290021025788974</v>
      </c>
      <c r="BF256" s="730">
        <f t="shared" si="171"/>
        <v>-85.594127835337758</v>
      </c>
      <c r="BI256" s="351"/>
      <c r="BJ256" s="351"/>
      <c r="BL256" s="405">
        <f t="shared" si="172"/>
        <v>0</v>
      </c>
      <c r="BM256" s="405">
        <f t="shared" si="210"/>
        <v>0</v>
      </c>
      <c r="BN256" s="405">
        <f t="shared" si="173"/>
        <v>0</v>
      </c>
      <c r="BO256" s="405">
        <f t="shared" si="174"/>
        <v>0</v>
      </c>
    </row>
    <row r="257" spans="4:67" ht="13.5" thickBot="1" x14ac:dyDescent="0.25">
      <c r="D257" s="345">
        <v>15849</v>
      </c>
      <c r="E257" s="340" t="str">
        <f t="shared" si="161"/>
        <v>0.262897018384412i</v>
      </c>
      <c r="F257" s="728" t="str">
        <f t="shared" si="175"/>
        <v>0.005-0.164622211353145i</v>
      </c>
      <c r="G257" s="337" t="str">
        <f t="shared" si="176"/>
        <v>0.005-0.257486022885688i</v>
      </c>
      <c r="H257" s="338" t="str">
        <f t="shared" si="177"/>
        <v>0.0565161871920213-0.244520490784871i</v>
      </c>
      <c r="I257" s="338" t="str">
        <f t="shared" si="178"/>
        <v>0.0665161871920213-0.244520490784871i</v>
      </c>
      <c r="J257" s="337" t="str">
        <f t="shared" si="179"/>
        <v>0.0123200269107957-0.0997256070210954i</v>
      </c>
      <c r="K257" s="338" t="str">
        <f t="shared" si="162"/>
        <v>0.9972089911-0.0829851699445744i</v>
      </c>
      <c r="L257" s="732"/>
      <c r="M257" s="732" t="str">
        <f t="shared" si="163"/>
        <v>10.8584222849254-143.813329486935i</v>
      </c>
      <c r="N257" s="337">
        <f t="shared" si="164"/>
        <v>0</v>
      </c>
      <c r="O257" s="730" t="str">
        <f t="shared" si="165"/>
        <v>-3.84723118293278-57.0593995281585i</v>
      </c>
      <c r="P257" s="731" t="str">
        <f t="shared" si="166"/>
        <v>-14.2080955260503-2.85464684306575i</v>
      </c>
      <c r="Q257" s="729" t="str">
        <f t="shared" si="167"/>
        <v>-14.169623214221-2.28405284778417i</v>
      </c>
      <c r="R257" s="730"/>
      <c r="S257" s="405" t="str">
        <f t="shared" si="180"/>
        <v>39.7857189005352-0.792838247860755i</v>
      </c>
      <c r="T257" s="405" t="str">
        <f t="shared" si="181"/>
        <v>15.5712981321108-2.55458561935133i</v>
      </c>
      <c r="U257" s="405" t="str">
        <f t="shared" si="182"/>
        <v>0.255381870661388-3.95187690048258i</v>
      </c>
      <c r="V257" s="731" t="str">
        <f t="shared" si="168"/>
        <v>6000</v>
      </c>
      <c r="W257" s="733" t="str">
        <f>IMSUM(COMPLEX(1,0),IMDIV(COMPLEX(0,2*PI()*D257),COMPLEX(2*PI()*'Stability Calculations'!EA_Pole1,0)))</f>
        <v>1+100578.025972824i</v>
      </c>
      <c r="X257" s="734">
        <f t="shared" si="183"/>
        <v>100578.02597779526</v>
      </c>
      <c r="Y257" s="735">
        <f t="shared" si="184"/>
        <v>1.5707863842653003</v>
      </c>
      <c r="Z257" s="340" t="str">
        <f>IMSUM(COMPLEX(1,0),IMDIV(COMPLEX(0,2*PI()*D257),COMPLEX(2*PI()*'Stability Calculations'!EA_Zero1,0)))</f>
        <v>1+995.822039334893i</v>
      </c>
      <c r="AA257" s="734">
        <f t="shared" si="185"/>
        <v>995.82254143251112</v>
      </c>
      <c r="AB257" s="735">
        <f t="shared" si="186"/>
        <v>1.5697921316431886</v>
      </c>
      <c r="AC257" s="733" t="str">
        <f>IMSUM(COMPLEX(1,0),IMDIV(COMPLEX(0,2*PI()*D257),COMPLEX(2*PI()*'Stability Calculations'!EA_Pole2,0)))</f>
        <v>1+10.0313696241182i</v>
      </c>
      <c r="AD257" s="734">
        <f t="shared" si="187"/>
        <v>10.081090046997961</v>
      </c>
      <c r="AE257" s="735">
        <f t="shared" si="188"/>
        <v>1.4714373029549395</v>
      </c>
      <c r="AF257" s="732" t="str">
        <f t="shared" si="189"/>
        <v>0.578710838758454-5.86432686132059i</v>
      </c>
      <c r="AG257" s="337">
        <f t="shared" si="190"/>
        <v>5.8928122124587263</v>
      </c>
      <c r="AH257" s="730">
        <f t="shared" si="191"/>
        <v>-1.4724315555770515</v>
      </c>
      <c r="AI257" s="731" t="str">
        <f t="shared" si="169"/>
        <v>10000</v>
      </c>
      <c r="AJ257" s="733" t="str">
        <f t="shared" si="192"/>
        <v>1+93766.404059366i</v>
      </c>
      <c r="AK257" s="734">
        <f t="shared" si="193"/>
        <v>93766.404064698407</v>
      </c>
      <c r="AL257" s="735">
        <f t="shared" si="194"/>
        <v>1.5707856619943212</v>
      </c>
      <c r="AM257" s="340" t="str">
        <f t="shared" si="195"/>
        <v>1+159.132361885716i</v>
      </c>
      <c r="AN257" s="734">
        <f t="shared" si="196"/>
        <v>159.13550389314912</v>
      </c>
      <c r="AO257" s="735">
        <f t="shared" si="197"/>
        <v>1.5645123326075765</v>
      </c>
      <c r="AP257" s="733" t="str">
        <f t="shared" si="198"/>
        <v>1+7.71818185422498i</v>
      </c>
      <c r="AQ257" s="734">
        <f t="shared" si="199"/>
        <v>7.7826943364677863</v>
      </c>
      <c r="AR257" s="735">
        <f t="shared" si="200"/>
        <v>1.4419499112919443</v>
      </c>
      <c r="AS257" s="732" t="str">
        <f t="shared" si="201"/>
        <v>0.0109040660775385-14.7675726729924i</v>
      </c>
      <c r="AT257" s="337">
        <f t="shared" si="202"/>
        <v>14.767576698658752</v>
      </c>
      <c r="AU257" s="730">
        <f t="shared" si="203"/>
        <v>-1.5700579478928691</v>
      </c>
      <c r="AV257" s="732" t="str">
        <f t="shared" si="204"/>
        <v>-1.37040056134632+0.0871453551076423i</v>
      </c>
      <c r="AW257" s="337">
        <f t="shared" si="205"/>
        <v>2.7544772957762835</v>
      </c>
      <c r="AX257" s="730">
        <f t="shared" si="206"/>
        <v>176.36139454141556</v>
      </c>
      <c r="AY257" s="360">
        <f t="shared" si="207"/>
        <v>-3.6386054585844363</v>
      </c>
      <c r="BB257" s="337">
        <f t="shared" si="208"/>
        <v>-16.613815297207548</v>
      </c>
      <c r="BC257" s="730">
        <f t="shared" si="209"/>
        <v>-89.957694005232327</v>
      </c>
      <c r="BD257" s="351"/>
      <c r="BE257" s="337">
        <f t="shared" si="170"/>
        <v>43.180670739013522</v>
      </c>
      <c r="BF257" s="730">
        <f t="shared" si="171"/>
        <v>-85.682155714119347</v>
      </c>
      <c r="BI257" s="351"/>
      <c r="BJ257" s="351"/>
      <c r="BL257" s="405">
        <f t="shared" si="172"/>
        <v>0</v>
      </c>
      <c r="BM257" s="405">
        <f t="shared" si="210"/>
        <v>0</v>
      </c>
      <c r="BN257" s="405">
        <f t="shared" si="173"/>
        <v>0</v>
      </c>
      <c r="BO257" s="405">
        <f t="shared" si="174"/>
        <v>0</v>
      </c>
    </row>
    <row r="258" spans="4:67" ht="13.5" thickBot="1" x14ac:dyDescent="0.25">
      <c r="D258" s="345">
        <v>15941.25</v>
      </c>
      <c r="E258" s="340" t="str">
        <f t="shared" si="161"/>
        <v>0.264427225334122i</v>
      </c>
      <c r="F258" s="728" t="str">
        <f t="shared" si="175"/>
        <v>0.005-0.163669563411652i</v>
      </c>
      <c r="G258" s="337" t="str">
        <f t="shared" si="176"/>
        <v>0.005-0.255995983797711i</v>
      </c>
      <c r="H258" s="338" t="str">
        <f t="shared" si="177"/>
        <v>0.0559464575479706-0.243224866450662i</v>
      </c>
      <c r="I258" s="338" t="str">
        <f t="shared" si="178"/>
        <v>0.0659464575479706-0.243224866450662i</v>
      </c>
      <c r="J258" s="337" t="str">
        <f t="shared" si="179"/>
        <v>0.0122261648580921-0.0991563794933956i</v>
      </c>
      <c r="K258" s="338" t="str">
        <f t="shared" si="162"/>
        <v>0.99717640609375-0.0834681898150638i</v>
      </c>
      <c r="L258" s="732"/>
      <c r="M258" s="732" t="str">
        <f t="shared" si="163"/>
        <v>10.5060518987943-142.018703650235i</v>
      </c>
      <c r="N258" s="337">
        <f t="shared" si="164"/>
        <v>0</v>
      </c>
      <c r="O258" s="730" t="str">
        <f t="shared" si="165"/>
        <v>-3.84982109873838-56.3253662672037i</v>
      </c>
      <c r="P258" s="731" t="str">
        <f t="shared" si="166"/>
        <v>-13.9536117517804-2.77808615281445i</v>
      </c>
      <c r="Q258" s="729" t="str">
        <f t="shared" si="167"/>
        <v>-13.915113540793-2.2148324901424i</v>
      </c>
      <c r="R258" s="730"/>
      <c r="S258" s="405" t="str">
        <f t="shared" si="180"/>
        <v>39.7879953339874-0.826309452535493i</v>
      </c>
      <c r="T258" s="405" t="str">
        <f t="shared" si="181"/>
        <v>15.5684979775019-2.55798908790217i</v>
      </c>
      <c r="U258" s="405" t="str">
        <f t="shared" si="182"/>
        <v>0.248835756896717-3.92975626932976i</v>
      </c>
      <c r="V258" s="731" t="str">
        <f t="shared" si="168"/>
        <v>6000</v>
      </c>
      <c r="W258" s="733" t="str">
        <f>IMSUM(COMPLEX(1,0),IMDIV(COMPLEX(0,2*PI()*D258),COMPLEX(2*PI()*'Stability Calculations'!EA_Pole1,0)))</f>
        <v>1+101163.446055858i</v>
      </c>
      <c r="X258" s="734">
        <f t="shared" si="183"/>
        <v>101163.44606080049</v>
      </c>
      <c r="Y258" s="735">
        <f t="shared" si="184"/>
        <v>1.5707864418014632</v>
      </c>
      <c r="Z258" s="340" t="str">
        <f>IMSUM(COMPLEX(1,0),IMDIV(COMPLEX(0,2*PI()*D258),COMPLEX(2*PI()*'Stability Calculations'!EA_Zero1,0)))</f>
        <v>1+1001.61827778077i</v>
      </c>
      <c r="AA258" s="734">
        <f t="shared" si="185"/>
        <v>1001.618776972814</v>
      </c>
      <c r="AB258" s="735">
        <f t="shared" si="186"/>
        <v>1.5697979427898057</v>
      </c>
      <c r="AC258" s="733" t="str">
        <f>IMSUM(COMPLEX(1,0),IMDIV(COMPLEX(0,2*PI()*D258),COMPLEX(2*PI()*'Stability Calculations'!EA_Pole2,0)))</f>
        <v>1+10.0897577778077i</v>
      </c>
      <c r="AD258" s="734">
        <f t="shared" si="187"/>
        <v>10.13919188174437</v>
      </c>
      <c r="AE258" s="735">
        <f t="shared" si="188"/>
        <v>1.4720085367987026</v>
      </c>
      <c r="AF258" s="732" t="str">
        <f t="shared" si="189"/>
        <v>0.572097329131722-5.83104620953397i</v>
      </c>
      <c r="AG258" s="337">
        <f t="shared" si="190"/>
        <v>5.8590438854577744</v>
      </c>
      <c r="AH258" s="730">
        <f t="shared" si="191"/>
        <v>-1.4729970358103595</v>
      </c>
      <c r="AI258" s="731" t="str">
        <f t="shared" si="169"/>
        <v>10000</v>
      </c>
      <c r="AJ258" s="733" t="str">
        <f t="shared" si="192"/>
        <v>1+94312.1767121821i</v>
      </c>
      <c r="AK258" s="734">
        <f t="shared" si="193"/>
        <v>94312.176717483657</v>
      </c>
      <c r="AL258" s="735">
        <f t="shared" si="194"/>
        <v>1.570785723710175</v>
      </c>
      <c r="AM258" s="340" t="str">
        <f t="shared" si="195"/>
        <v>1+160.058600789367i</v>
      </c>
      <c r="AN258" s="734">
        <f t="shared" si="196"/>
        <v>160.06172461475592</v>
      </c>
      <c r="AO258" s="735">
        <f t="shared" si="197"/>
        <v>1.5645486963390989</v>
      </c>
      <c r="AP258" s="733" t="str">
        <f t="shared" si="198"/>
        <v>1+7.76310596780014i</v>
      </c>
      <c r="AQ258" s="734">
        <f t="shared" si="199"/>
        <v>7.8272481925191411</v>
      </c>
      <c r="AR258" s="735">
        <f t="shared" si="200"/>
        <v>1.4426873747014817</v>
      </c>
      <c r="AS258" s="732" t="str">
        <f t="shared" si="201"/>
        <v>0.010778230393795-14.6821146877978i</v>
      </c>
      <c r="AT258" s="337">
        <f t="shared" si="202"/>
        <v>14.682118643979768</v>
      </c>
      <c r="AU258" s="730">
        <f t="shared" si="203"/>
        <v>-1.5700622207967612</v>
      </c>
      <c r="AV258" s="732" t="str">
        <f t="shared" si="204"/>
        <v>-1.35440248608604+0.0872314285411636i</v>
      </c>
      <c r="AW258" s="337">
        <f t="shared" si="205"/>
        <v>2.6529326063140735</v>
      </c>
      <c r="AX258" s="730">
        <f t="shared" si="206"/>
        <v>176.31490701468761</v>
      </c>
      <c r="AY258" s="360">
        <f t="shared" si="207"/>
        <v>-3.6850929853123944</v>
      </c>
      <c r="BB258" s="337">
        <f t="shared" si="208"/>
        <v>-16.664225415647497</v>
      </c>
      <c r="BC258" s="730">
        <f t="shared" si="209"/>
        <v>-89.957938824591608</v>
      </c>
      <c r="BD258" s="351"/>
      <c r="BE258" s="337">
        <f t="shared" si="170"/>
        <v>43.070612972744094</v>
      </c>
      <c r="BF258" s="730">
        <f t="shared" si="171"/>
        <v>-85.769163201740696</v>
      </c>
      <c r="BI258" s="351"/>
      <c r="BJ258" s="351"/>
      <c r="BL258" s="405">
        <f t="shared" si="172"/>
        <v>0</v>
      </c>
      <c r="BM258" s="405">
        <f t="shared" si="210"/>
        <v>0</v>
      </c>
      <c r="BN258" s="405">
        <f t="shared" si="173"/>
        <v>0</v>
      </c>
      <c r="BO258" s="405">
        <f t="shared" si="174"/>
        <v>0</v>
      </c>
    </row>
    <row r="259" spans="4:67" ht="13.5" thickBot="1" x14ac:dyDescent="0.25">
      <c r="D259" s="345">
        <v>16033.5</v>
      </c>
      <c r="E259" s="340" t="str">
        <f t="shared" si="161"/>
        <v>0.265957432283833i</v>
      </c>
      <c r="F259" s="728" t="str">
        <f t="shared" si="175"/>
        <v>0.005-0.162727877739482i</v>
      </c>
      <c r="G259" s="337" t="str">
        <f t="shared" si="176"/>
        <v>0.005-0.254523090823293i</v>
      </c>
      <c r="H259" s="338" t="str">
        <f t="shared" si="177"/>
        <v>0.0553859880703753-0.241942221797844i</v>
      </c>
      <c r="I259" s="338" t="str">
        <f t="shared" si="178"/>
        <v>0.0653859880703753-0.241942221797844i</v>
      </c>
      <c r="J259" s="337" t="str">
        <f t="shared" si="179"/>
        <v>0.0121339039026185-0.0985935734054476i</v>
      </c>
      <c r="K259" s="338" t="str">
        <f t="shared" si="162"/>
        <v>0.997143631975-0.0839512096855533i</v>
      </c>
      <c r="L259" s="732"/>
      <c r="M259" s="732" t="str">
        <f t="shared" si="163"/>
        <v>10.169799753693-140.272821052358i</v>
      </c>
      <c r="N259" s="337">
        <f t="shared" si="164"/>
        <v>0</v>
      </c>
      <c r="O259" s="730" t="str">
        <f t="shared" si="165"/>
        <v>-3.85010296077911-55.6118581537775i</v>
      </c>
      <c r="P259" s="731" t="str">
        <f t="shared" si="166"/>
        <v>-13.7065993062947-2.70473382933295i</v>
      </c>
      <c r="Q259" s="729" t="str">
        <f t="shared" si="167"/>
        <v>-13.6680982766869-2.14861524779519i</v>
      </c>
      <c r="R259" s="730"/>
      <c r="S259" s="405" t="str">
        <f t="shared" si="180"/>
        <v>39.7901902992101-0.859627593540246i</v>
      </c>
      <c r="T259" s="405" t="str">
        <f t="shared" si="181"/>
        <v>15.5657189780526-2.56145174533082i</v>
      </c>
      <c r="U259" s="405" t="str">
        <f t="shared" si="182"/>
        <v>0.242399399331939-3.90787316924065i</v>
      </c>
      <c r="V259" s="731" t="str">
        <f t="shared" si="168"/>
        <v>6000</v>
      </c>
      <c r="W259" s="733" t="str">
        <f>IMSUM(COMPLEX(1,0),IMDIV(COMPLEX(0,2*PI()*D259),COMPLEX(2*PI()*'Stability Calculations'!EA_Pole1,0)))</f>
        <v>1+101748.866138891i</v>
      </c>
      <c r="X259" s="734">
        <f t="shared" si="183"/>
        <v>101748.86614380506</v>
      </c>
      <c r="Y259" s="735">
        <f t="shared" si="184"/>
        <v>1.5707864986755482</v>
      </c>
      <c r="Z259" s="340" t="str">
        <f>IMSUM(COMPLEX(1,0),IMDIV(COMPLEX(0,2*PI()*D259),COMPLEX(2*PI()*'Stability Calculations'!EA_Zero1,0)))</f>
        <v>1+1007.41451622664i</v>
      </c>
      <c r="AA259" s="734">
        <f t="shared" si="185"/>
        <v>1007.4150125465447</v>
      </c>
      <c r="AB259" s="735">
        <f t="shared" si="186"/>
        <v>1.5698036870667129</v>
      </c>
      <c r="AC259" s="733" t="str">
        <f>IMSUM(COMPLEX(1,0),IMDIV(COMPLEX(0,2*PI()*D259),COMPLEX(2*PI()*'Stability Calculations'!EA_Pole2,0)))</f>
        <v>1+10.1481459314972i</v>
      </c>
      <c r="AD259" s="734">
        <f t="shared" si="187"/>
        <v>10.197296987288503</v>
      </c>
      <c r="AE259" s="735">
        <f t="shared" si="188"/>
        <v>1.4725732609424584</v>
      </c>
      <c r="AF259" s="732" t="str">
        <f t="shared" si="189"/>
        <v>0.565596181080256-5.7981374513119i</v>
      </c>
      <c r="AG259" s="337">
        <f t="shared" si="190"/>
        <v>5.8256584987757591</v>
      </c>
      <c r="AH259" s="730">
        <f t="shared" si="191"/>
        <v>-1.4735560725512942</v>
      </c>
      <c r="AI259" s="731" t="str">
        <f t="shared" si="169"/>
        <v>10000</v>
      </c>
      <c r="AJ259" s="733" t="str">
        <f t="shared" si="192"/>
        <v>1+94857.9493649975i</v>
      </c>
      <c r="AK259" s="734">
        <f t="shared" si="193"/>
        <v>94857.949370268529</v>
      </c>
      <c r="AL259" s="735">
        <f t="shared" si="194"/>
        <v>1.5707857847158546</v>
      </c>
      <c r="AM259" s="340" t="str">
        <f t="shared" si="195"/>
        <v>1+160.984839693017i</v>
      </c>
      <c r="AN259" s="734">
        <f t="shared" si="196"/>
        <v>160.98794554557921</v>
      </c>
      <c r="AO259" s="735">
        <f t="shared" si="197"/>
        <v>1.5645846416436966</v>
      </c>
      <c r="AP259" s="733" t="str">
        <f t="shared" si="198"/>
        <v>1+7.80803008137525i</v>
      </c>
      <c r="AQ259" s="734">
        <f t="shared" si="199"/>
        <v>7.8718062572487639</v>
      </c>
      <c r="AR259" s="735">
        <f t="shared" si="200"/>
        <v>1.4434164897357544</v>
      </c>
      <c r="AS259" s="732" t="str">
        <f t="shared" si="201"/>
        <v>0.0106545604704641-14.5976400794657i</v>
      </c>
      <c r="AT259" s="337">
        <f t="shared" si="202"/>
        <v>14.597643967753227</v>
      </c>
      <c r="AU259" s="730">
        <f t="shared" si="203"/>
        <v>-1.5700664445317041</v>
      </c>
      <c r="AV259" s="732" t="str">
        <f t="shared" si="204"/>
        <v>-1.33868154122504+0.0873056707977015i</v>
      </c>
      <c r="AW259" s="337">
        <f t="shared" si="205"/>
        <v>2.5519783597649406</v>
      </c>
      <c r="AX259" s="730">
        <f t="shared" si="206"/>
        <v>176.26858796098804</v>
      </c>
      <c r="AY259" s="360">
        <f t="shared" si="207"/>
        <v>-3.7314120390119569</v>
      </c>
      <c r="BB259" s="337">
        <f t="shared" si="208"/>
        <v>-16.714344657423258</v>
      </c>
      <c r="BC259" s="730">
        <f t="shared" si="209"/>
        <v>-89.958180826777607</v>
      </c>
      <c r="BD259" s="351"/>
      <c r="BE259" s="337">
        <f t="shared" si="170"/>
        <v>42.962238534710735</v>
      </c>
      <c r="BF259" s="730">
        <f t="shared" si="171"/>
        <v>-85.85330295516016</v>
      </c>
      <c r="BI259" s="351"/>
      <c r="BJ259" s="351"/>
      <c r="BL259" s="405">
        <f t="shared" si="172"/>
        <v>0</v>
      </c>
      <c r="BM259" s="405">
        <f t="shared" si="210"/>
        <v>0</v>
      </c>
      <c r="BN259" s="405">
        <f t="shared" si="173"/>
        <v>0</v>
      </c>
      <c r="BO259" s="405">
        <f t="shared" si="174"/>
        <v>0</v>
      </c>
    </row>
    <row r="260" spans="4:67" ht="13.5" thickBot="1" x14ac:dyDescent="0.25">
      <c r="D260" s="345">
        <v>16125.75</v>
      </c>
      <c r="E260" s="340" t="str">
        <f t="shared" si="161"/>
        <v>0.267487639233543i</v>
      </c>
      <c r="F260" s="728" t="str">
        <f t="shared" si="175"/>
        <v>0.005-0.161796966202254i</v>
      </c>
      <c r="G260" s="337" t="str">
        <f t="shared" si="176"/>
        <v>0.005-0.25306704970096i</v>
      </c>
      <c r="H260" s="338" t="str">
        <f t="shared" si="177"/>
        <v>0.0548345821298994-0.240672374800794i</v>
      </c>
      <c r="I260" s="338" t="str">
        <f t="shared" si="178"/>
        <v>0.0648345821298994-0.240672374800794i</v>
      </c>
      <c r="J260" s="337" t="str">
        <f t="shared" si="179"/>
        <v>0.0120432079073141-0.0980370814685805i</v>
      </c>
      <c r="K260" s="338" t="str">
        <f t="shared" si="162"/>
        <v>0.99711066874375-0.0844342295560427i</v>
      </c>
      <c r="L260" s="732"/>
      <c r="M260" s="732" t="str">
        <f t="shared" si="163"/>
        <v>9.84872420165119-138.57369415914i</v>
      </c>
      <c r="N260" s="337">
        <f t="shared" si="164"/>
        <v>0</v>
      </c>
      <c r="O260" s="730" t="str">
        <f t="shared" si="165"/>
        <v>-3.8482791177949-54.918013556471i</v>
      </c>
      <c r="P260" s="731" t="str">
        <f t="shared" si="166"/>
        <v>-13.4667503104995-2.63441198616194i</v>
      </c>
      <c r="Q260" s="729" t="str">
        <f t="shared" si="167"/>
        <v>-13.4282675193216-2.08523185059721i</v>
      </c>
      <c r="R260" s="730"/>
      <c r="S260" s="405" t="str">
        <f t="shared" si="180"/>
        <v>39.7923053450147-0.892795054650235i</v>
      </c>
      <c r="T260" s="405" t="str">
        <f t="shared" si="181"/>
        <v>15.562960522595-2.56497264309491i</v>
      </c>
      <c r="U260" s="405" t="str">
        <f t="shared" si="182"/>
        <v>0.23607037964789-3.88622387096269i</v>
      </c>
      <c r="V260" s="731" t="str">
        <f t="shared" si="168"/>
        <v>6000</v>
      </c>
      <c r="W260" s="733" t="str">
        <f>IMSUM(COMPLEX(1,0),IMDIV(COMPLEX(0,2*PI()*D260),COMPLEX(2*PI()*'Stability Calculations'!EA_Pole1,0)))</f>
        <v>1+102334.286221924i</v>
      </c>
      <c r="X260" s="734">
        <f t="shared" si="183"/>
        <v>102334.28622680994</v>
      </c>
      <c r="Y260" s="735">
        <f t="shared" si="184"/>
        <v>1.5707865548989184</v>
      </c>
      <c r="Z260" s="340" t="str">
        <f>IMSUM(COMPLEX(1,0),IMDIV(COMPLEX(0,2*PI()*D260),COMPLEX(2*PI()*'Stability Calculations'!EA_Zero1,0)))</f>
        <v>1+1013.21075467251i</v>
      </c>
      <c r="AA260" s="734">
        <f t="shared" si="185"/>
        <v>1013.2112481531368</v>
      </c>
      <c r="AB260" s="735">
        <f t="shared" si="186"/>
        <v>1.5698093656215268</v>
      </c>
      <c r="AC260" s="733" t="str">
        <f>IMSUM(COMPLEX(1,0),IMDIV(COMPLEX(0,2*PI()*D260),COMPLEX(2*PI()*'Stability Calculations'!EA_Pole2,0)))</f>
        <v>1+10.2065340851866i</v>
      </c>
      <c r="AD260" s="734">
        <f t="shared" si="187"/>
        <v>10.255405308035169</v>
      </c>
      <c r="AE260" s="735">
        <f t="shared" si="188"/>
        <v>1.4731315856770684</v>
      </c>
      <c r="AF260" s="732" t="str">
        <f t="shared" si="189"/>
        <v>0.559204871758478-5.7655944513991i</v>
      </c>
      <c r="AG260" s="337">
        <f t="shared" si="190"/>
        <v>5.7926496067518629</v>
      </c>
      <c r="AH260" s="730">
        <f t="shared" si="191"/>
        <v>-1.4741087749544604</v>
      </c>
      <c r="AI260" s="731" t="str">
        <f t="shared" si="169"/>
        <v>10000</v>
      </c>
      <c r="AJ260" s="733" t="str">
        <f t="shared" si="192"/>
        <v>1+95403.722017813i</v>
      </c>
      <c r="AK260" s="734">
        <f t="shared" si="193"/>
        <v>95403.722023053881</v>
      </c>
      <c r="AL260" s="735">
        <f t="shared" si="194"/>
        <v>1.5707858450235483</v>
      </c>
      <c r="AM260" s="340" t="str">
        <f t="shared" si="195"/>
        <v>1+161.911078596667i</v>
      </c>
      <c r="AN260" s="734">
        <f t="shared" si="196"/>
        <v>161.91416668202965</v>
      </c>
      <c r="AO260" s="735">
        <f t="shared" si="197"/>
        <v>1.564620175702041</v>
      </c>
      <c r="AP260" s="733" t="str">
        <f t="shared" si="198"/>
        <v>1+7.85295419495036i</v>
      </c>
      <c r="AQ260" s="734">
        <f t="shared" si="199"/>
        <v>7.9163684595898172</v>
      </c>
      <c r="AR260" s="735">
        <f t="shared" si="200"/>
        <v>1.4441373965949993</v>
      </c>
      <c r="AS260" s="732" t="str">
        <f t="shared" si="201"/>
        <v>0.0105330068912644-14.5141319713255i</v>
      </c>
      <c r="AT260" s="337">
        <f t="shared" si="202"/>
        <v>14.514135793263312</v>
      </c>
      <c r="AU260" s="730">
        <f t="shared" si="203"/>
        <v>-1.5700706199415344</v>
      </c>
      <c r="AV260" s="732" t="str">
        <f t="shared" si="204"/>
        <v>-1.32323135724874+0.087368547435153i</v>
      </c>
      <c r="AW260" s="337">
        <f t="shared" si="205"/>
        <v>2.4516076844101002</v>
      </c>
      <c r="AX260" s="730">
        <f t="shared" si="206"/>
        <v>176.22243411531028</v>
      </c>
      <c r="AY260" s="360">
        <f t="shared" si="207"/>
        <v>-3.7775658846897215</v>
      </c>
      <c r="BB260" s="337">
        <f t="shared" si="208"/>
        <v>-16.764176360119091</v>
      </c>
      <c r="BC260" s="730">
        <f t="shared" si="209"/>
        <v>-89.958420060138636</v>
      </c>
      <c r="BD260" s="351"/>
      <c r="BE260" s="337">
        <f t="shared" si="170"/>
        <v>42.855497950026674</v>
      </c>
      <c r="BF260" s="730">
        <f t="shared" si="171"/>
        <v>-85.934704055872444</v>
      </c>
      <c r="BI260" s="351"/>
      <c r="BJ260" s="351"/>
      <c r="BL260" s="405">
        <f t="shared" si="172"/>
        <v>0</v>
      </c>
      <c r="BM260" s="405">
        <f t="shared" si="210"/>
        <v>0</v>
      </c>
      <c r="BN260" s="405">
        <f t="shared" si="173"/>
        <v>0</v>
      </c>
      <c r="BO260" s="405">
        <f t="shared" si="174"/>
        <v>0</v>
      </c>
    </row>
    <row r="261" spans="4:67" ht="13.5" thickBot="1" x14ac:dyDescent="0.25">
      <c r="D261" s="345">
        <v>16218</v>
      </c>
      <c r="E261" s="340" t="str">
        <f t="shared" si="161"/>
        <v>0.269017846183254i</v>
      </c>
      <c r="F261" s="728" t="str">
        <f t="shared" si="175"/>
        <v>0.005-0.160876644946109i</v>
      </c>
      <c r="G261" s="337" t="str">
        <f t="shared" si="176"/>
        <v>0.005-0.251627572864426i</v>
      </c>
      <c r="H261" s="338" t="str">
        <f t="shared" si="177"/>
        <v>0.0542920482072634-0.239415146522908i</v>
      </c>
      <c r="I261" s="338" t="str">
        <f t="shared" si="178"/>
        <v>0.0642920482072634-0.239415146522908i</v>
      </c>
      <c r="J261" s="337" t="str">
        <f t="shared" si="179"/>
        <v>0.0119540417466851-0.0974867987540373i</v>
      </c>
      <c r="K261" s="338" t="str">
        <f t="shared" si="162"/>
        <v>0.9970775164-0.0849172494265321i</v>
      </c>
      <c r="L261" s="732"/>
      <c r="M261" s="732" t="str">
        <f t="shared" si="163"/>
        <v>9.54195020800582-136.919441004173i</v>
      </c>
      <c r="N261" s="337">
        <f t="shared" si="164"/>
        <v>0</v>
      </c>
      <c r="O261" s="730" t="str">
        <f t="shared" si="165"/>
        <v>-3.84453469290296-54.2430180310441i</v>
      </c>
      <c r="P261" s="731" t="str">
        <f t="shared" si="166"/>
        <v>-13.2337731195578-2.56695489334558i</v>
      </c>
      <c r="Q261" s="729" t="str">
        <f t="shared" si="167"/>
        <v>-13.1953277726288-2.02452471303515i</v>
      </c>
      <c r="R261" s="730"/>
      <c r="S261" s="405" t="str">
        <f t="shared" si="180"/>
        <v>39.7943419780595-0.925814171297264i</v>
      </c>
      <c r="T261" s="405" t="str">
        <f t="shared" si="181"/>
        <v>15.560222016607-2.56855085173938i</v>
      </c>
      <c r="U261" s="405" t="str">
        <f t="shared" si="182"/>
        <v>0.229846345320626-3.86480472070039i</v>
      </c>
      <c r="V261" s="731" t="str">
        <f t="shared" si="168"/>
        <v>6000</v>
      </c>
      <c r="W261" s="733" t="str">
        <f>IMSUM(COMPLEX(1,0),IMDIV(COMPLEX(0,2*PI()*D261),COMPLEX(2*PI()*'Stability Calculations'!EA_Pole1,0)))</f>
        <v>1+102919.706304957i</v>
      </c>
      <c r="X261" s="734">
        <f t="shared" si="183"/>
        <v>102919.70630981516</v>
      </c>
      <c r="Y261" s="735">
        <f t="shared" si="184"/>
        <v>1.5707866104826773</v>
      </c>
      <c r="Z261" s="340" t="str">
        <f>IMSUM(COMPLEX(1,0),IMDIV(COMPLEX(0,2*PI()*D261),COMPLEX(2*PI()*'Stability Calculations'!EA_Zero1,0)))</f>
        <v>1+1019.00699311839i</v>
      </c>
      <c r="AA261" s="734">
        <f t="shared" si="185"/>
        <v>1019.0074837920389</v>
      </c>
      <c r="AB261" s="735">
        <f t="shared" si="186"/>
        <v>1.5698149795757519</v>
      </c>
      <c r="AC261" s="733" t="str">
        <f>IMSUM(COMPLEX(1,0),IMDIV(COMPLEX(0,2*PI()*D261),COMPLEX(2*PI()*'Stability Calculations'!EA_Pole2,0)))</f>
        <v>1+10.2649222388762i</v>
      </c>
      <c r="AD261" s="734">
        <f t="shared" si="187"/>
        <v>10.313516789639467</v>
      </c>
      <c r="AE261" s="735">
        <f t="shared" si="188"/>
        <v>1.4736836188238296</v>
      </c>
      <c r="AF261" s="732" t="str">
        <f t="shared" si="189"/>
        <v>0.552920948505055-5.73341120729521i</v>
      </c>
      <c r="AG261" s="337">
        <f t="shared" si="190"/>
        <v>5.7600109068676293</v>
      </c>
      <c r="AH261" s="730">
        <f t="shared" si="191"/>
        <v>-1.474655249730755</v>
      </c>
      <c r="AI261" s="731" t="str">
        <f t="shared" si="169"/>
        <v>10000</v>
      </c>
      <c r="AJ261" s="733" t="str">
        <f t="shared" si="192"/>
        <v>1+95949.4946706293i</v>
      </c>
      <c r="AK261" s="734">
        <f t="shared" si="193"/>
        <v>95949.494675840368</v>
      </c>
      <c r="AL261" s="735">
        <f t="shared" si="194"/>
        <v>1.5707859046451667</v>
      </c>
      <c r="AM261" s="340" t="str">
        <f t="shared" si="195"/>
        <v>1+162.837317500319i</v>
      </c>
      <c r="AN261" s="734">
        <f t="shared" si="196"/>
        <v>162.84038802060041</v>
      </c>
      <c r="AO261" s="735">
        <f t="shared" si="197"/>
        <v>1.5646553055314361</v>
      </c>
      <c r="AP261" s="733" t="str">
        <f t="shared" si="198"/>
        <v>1+7.89787830852554i</v>
      </c>
      <c r="AQ261" s="734">
        <f t="shared" si="199"/>
        <v>7.9609347300601723</v>
      </c>
      <c r="AR261" s="735">
        <f t="shared" si="200"/>
        <v>1.4448502323745886</v>
      </c>
      <c r="AS261" s="732" t="str">
        <f t="shared" si="201"/>
        <v>0.010413521641334-14.4315738706923i</v>
      </c>
      <c r="AT261" s="337">
        <f t="shared" si="202"/>
        <v>14.431577627781436</v>
      </c>
      <c r="AU261" s="730">
        <f t="shared" si="203"/>
        <v>-1.5700747478508894</v>
      </c>
      <c r="AV261" s="732" t="str">
        <f t="shared" si="204"/>
        <v>-1.30804574667843+0.0874205054683447i</v>
      </c>
      <c r="AW261" s="337">
        <f t="shared" si="205"/>
        <v>2.3518138277066249</v>
      </c>
      <c r="AX261" s="730">
        <f t="shared" si="206"/>
        <v>176.17644229655738</v>
      </c>
      <c r="AY261" s="360">
        <f t="shared" si="207"/>
        <v>-3.8235577034426171</v>
      </c>
      <c r="BB261" s="337">
        <f t="shared" si="208"/>
        <v>-16.813723804202485</v>
      </c>
      <c r="BC261" s="730">
        <f t="shared" si="209"/>
        <v>-89.958656571922887</v>
      </c>
      <c r="BD261" s="351"/>
      <c r="BE261" s="337">
        <f t="shared" si="170"/>
        <v>42.750343807829729</v>
      </c>
      <c r="BF261" s="730">
        <f t="shared" si="171"/>
        <v>-86.013488213403875</v>
      </c>
      <c r="BI261" s="351"/>
      <c r="BJ261" s="351"/>
      <c r="BL261" s="405">
        <f t="shared" si="172"/>
        <v>0</v>
      </c>
      <c r="BM261" s="405">
        <f t="shared" si="210"/>
        <v>0</v>
      </c>
      <c r="BN261" s="405">
        <f t="shared" si="173"/>
        <v>0</v>
      </c>
      <c r="BO261" s="405">
        <f t="shared" si="174"/>
        <v>0</v>
      </c>
    </row>
    <row r="262" spans="4:67" ht="13.5" thickBot="1" x14ac:dyDescent="0.25">
      <c r="D262" s="345">
        <v>16312.5</v>
      </c>
      <c r="E262" s="340" t="str">
        <f t="shared" si="161"/>
        <v>0.270585375253689i</v>
      </c>
      <c r="F262" s="728" t="str">
        <f t="shared" si="175"/>
        <v>0.005-0.159944669899524i</v>
      </c>
      <c r="G262" s="337" t="str">
        <f t="shared" si="176"/>
        <v>0.005-0.250169868304384i</v>
      </c>
      <c r="H262" s="338" t="str">
        <f t="shared" si="177"/>
        <v>0.0537452860046325-0.238140154419024i</v>
      </c>
      <c r="I262" s="338" t="str">
        <f t="shared" si="178"/>
        <v>0.0637452860046325-0.238140154419024i</v>
      </c>
      <c r="J262" s="337" t="str">
        <f t="shared" si="179"/>
        <v>0.0118642513720239-0.0969294254765993i</v>
      </c>
      <c r="K262" s="338" t="str">
        <f t="shared" si="162"/>
        <v>0.997043359375-0.0854120502694725i</v>
      </c>
      <c r="L262" s="732"/>
      <c r="M262" s="732" t="str">
        <f t="shared" si="163"/>
        <v>9.24167251221863-135.269505619416i</v>
      </c>
      <c r="N262" s="337">
        <f t="shared" si="164"/>
        <v>0</v>
      </c>
      <c r="O262" s="730" t="str">
        <f t="shared" si="165"/>
        <v>-3.83888459599409-53.5702984363277i</v>
      </c>
      <c r="P262" s="731" t="str">
        <f t="shared" si="166"/>
        <v>-13.0019499384107-2.50066142469038i</v>
      </c>
      <c r="Q262" s="729" t="str">
        <f t="shared" si="167"/>
        <v>-12.9635610924508-1.9649584403271i</v>
      </c>
      <c r="R262" s="730"/>
      <c r="S262" s="405" t="str">
        <f t="shared" si="180"/>
        <v>39.796348512271-0.959487208084506i</v>
      </c>
      <c r="T262" s="405" t="str">
        <f t="shared" si="181"/>
        <v>15.5574367985318-2.57227480644479i</v>
      </c>
      <c r="U262" s="405" t="str">
        <f t="shared" si="182"/>
        <v>0.223576970621156-3.84309804672145i</v>
      </c>
      <c r="V262" s="731" t="str">
        <f t="shared" si="168"/>
        <v>6000</v>
      </c>
      <c r="W262" s="733" t="str">
        <f>IMSUM(COMPLEX(1,0),IMDIV(COMPLEX(0,2*PI()*D262),COMPLEX(2*PI()*'Stability Calculations'!EA_Pole1,0)))</f>
        <v>1+103519.404926601i</v>
      </c>
      <c r="X262" s="734">
        <f t="shared" si="183"/>
        <v>103519.40493143101</v>
      </c>
      <c r="Y262" s="735">
        <f t="shared" si="184"/>
        <v>1.5707866667702792</v>
      </c>
      <c r="Z262" s="340" t="str">
        <f>IMSUM(COMPLEX(1,0),IMDIV(COMPLEX(0,2*PI()*D262),COMPLEX(2*PI()*'Stability Calculations'!EA_Zero1,0)))</f>
        <v>1+1024.94460323367i</v>
      </c>
      <c r="AA262" s="734">
        <f t="shared" si="185"/>
        <v>1024.945091064797</v>
      </c>
      <c r="AB262" s="735">
        <f t="shared" si="186"/>
        <v>1.5698206646180928</v>
      </c>
      <c r="AC262" s="733" t="str">
        <f>IMSUM(COMPLEX(1,0),IMDIV(COMPLEX(0,2*PI()*D262),COMPLEX(2*PI()*'Stability Calculations'!EA_Pole2,0)))</f>
        <v>1+10.3247344938752i</v>
      </c>
      <c r="AD262" s="734">
        <f t="shared" si="187"/>
        <v>10.373048846362209</v>
      </c>
      <c r="AE262" s="735">
        <f t="shared" si="188"/>
        <v>1.4742427027365659</v>
      </c>
      <c r="AF262" s="732" t="str">
        <f t="shared" si="189"/>
        <v>0.546592613158648-5.70080989202869i</v>
      </c>
      <c r="AG262" s="337">
        <f t="shared" si="190"/>
        <v>5.7269535452814493</v>
      </c>
      <c r="AH262" s="730">
        <f t="shared" si="191"/>
        <v>-1.4752087048887521</v>
      </c>
      <c r="AI262" s="731" t="str">
        <f t="shared" si="169"/>
        <v>10000</v>
      </c>
      <c r="AJ262" s="733" t="str">
        <f t="shared" si="192"/>
        <v>1+96508.5788515621i</v>
      </c>
      <c r="AK262" s="734">
        <f t="shared" si="193"/>
        <v>96508.578856742999</v>
      </c>
      <c r="AL262" s="735">
        <f t="shared" si="194"/>
        <v>1.5707859650217584</v>
      </c>
      <c r="AM262" s="340" t="str">
        <f t="shared" si="195"/>
        <v>1+163.78614759674i</v>
      </c>
      <c r="AN262" s="734">
        <f t="shared" si="196"/>
        <v>163.78920032951225</v>
      </c>
      <c r="AO262" s="735">
        <f t="shared" si="197"/>
        <v>1.5646908802162363</v>
      </c>
      <c r="AP262" s="733" t="str">
        <f t="shared" si="198"/>
        <v>1+7.94389813218784i</v>
      </c>
      <c r="AQ262" s="734">
        <f t="shared" si="199"/>
        <v>8.0065921299000511</v>
      </c>
      <c r="AR262" s="735">
        <f t="shared" si="200"/>
        <v>1.4455722257609849</v>
      </c>
      <c r="AS262" s="732" t="str">
        <f t="shared" si="201"/>
        <v>0.010293217965273-14.3479703566436i</v>
      </c>
      <c r="AT262" s="337">
        <f t="shared" si="202"/>
        <v>14.347974048814681</v>
      </c>
      <c r="AU262" s="730">
        <f t="shared" si="203"/>
        <v>-1.5700789280309198</v>
      </c>
      <c r="AV262" s="732" t="str">
        <f t="shared" si="204"/>
        <v>-1.29275780401345+0.0874628580844011i</v>
      </c>
      <c r="AW262" s="337">
        <f t="shared" si="205"/>
        <v>2.250177131767396</v>
      </c>
      <c r="AX262" s="730">
        <f t="shared" si="206"/>
        <v>176.12949348924761</v>
      </c>
      <c r="AY262" s="360">
        <f t="shared" si="207"/>
        <v>-3.8705065107523922</v>
      </c>
      <c r="BB262" s="337">
        <f t="shared" si="208"/>
        <v>-16.86418835007861</v>
      </c>
      <c r="BC262" s="730">
        <f t="shared" si="209"/>
        <v>-89.958896078596226</v>
      </c>
      <c r="BD262" s="351"/>
      <c r="BE262" s="337">
        <f t="shared" si="170"/>
        <v>42.644222381059329</v>
      </c>
      <c r="BF262" s="730">
        <f t="shared" si="171"/>
        <v>-86.091600482713417</v>
      </c>
      <c r="BI262" s="351"/>
      <c r="BJ262" s="351"/>
      <c r="BL262" s="405">
        <f t="shared" si="172"/>
        <v>0</v>
      </c>
      <c r="BM262" s="405">
        <f t="shared" si="210"/>
        <v>0</v>
      </c>
      <c r="BN262" s="405">
        <f t="shared" si="173"/>
        <v>0</v>
      </c>
      <c r="BO262" s="405">
        <f t="shared" si="174"/>
        <v>0</v>
      </c>
    </row>
    <row r="263" spans="4:67" ht="13.5" thickBot="1" x14ac:dyDescent="0.25">
      <c r="D263" s="345">
        <v>16407</v>
      </c>
      <c r="E263" s="340" t="str">
        <f t="shared" si="161"/>
        <v>0.272152904324124i</v>
      </c>
      <c r="F263" s="728" t="str">
        <f t="shared" si="175"/>
        <v>0.005-0.159023430714694i</v>
      </c>
      <c r="G263" s="337" t="str">
        <f t="shared" si="176"/>
        <v>0.005-0.24872895573324i</v>
      </c>
      <c r="H263" s="338" t="str">
        <f t="shared" si="177"/>
        <v>0.0532074427960099-0.236878033662937i</v>
      </c>
      <c r="I263" s="338" t="str">
        <f t="shared" si="178"/>
        <v>0.0632074427960099-0.236878033662937i</v>
      </c>
      <c r="J263" s="337" t="str">
        <f t="shared" si="179"/>
        <v>0.0117759948591853-0.0963783524159425i</v>
      </c>
      <c r="K263" s="338" t="str">
        <f t="shared" si="162"/>
        <v>0.9970090039-0.0859068511124129i</v>
      </c>
      <c r="L263" s="732"/>
      <c r="M263" s="732" t="str">
        <f t="shared" si="163"/>
        <v>8.95473468390789-133.662972457297i</v>
      </c>
      <c r="N263" s="337">
        <f t="shared" si="164"/>
        <v>0</v>
      </c>
      <c r="O263" s="730" t="str">
        <f t="shared" si="165"/>
        <v>-3.83156362957577-52.9157669121359i</v>
      </c>
      <c r="P263" s="731" t="str">
        <f t="shared" si="166"/>
        <v>-12.7767661548487-2.43705705167749i</v>
      </c>
      <c r="Q263" s="729" t="str">
        <f t="shared" si="167"/>
        <v>-12.7384505185529-1.90789938255615i</v>
      </c>
      <c r="R263" s="730"/>
      <c r="S263" s="405" t="str">
        <f t="shared" si="180"/>
        <v>39.7982758329464-0.993009386639374i</v>
      </c>
      <c r="T263" s="405" t="str">
        <f t="shared" si="181"/>
        <v>15.5546713032219-2.57605698670263i</v>
      </c>
      <c r="U263" s="405" t="str">
        <f t="shared" si="182"/>
        <v>0.217412969963135-3.82162535733974i</v>
      </c>
      <c r="V263" s="731" t="str">
        <f t="shared" si="168"/>
        <v>6000</v>
      </c>
      <c r="W263" s="733" t="str">
        <f>IMSUM(COMPLEX(1,0),IMDIV(COMPLEX(0,2*PI()*D263),COMPLEX(2*PI()*'Stability Calculations'!EA_Pole1,0)))</f>
        <v>1+104119.103548244i</v>
      </c>
      <c r="X263" s="734">
        <f t="shared" si="183"/>
        <v>104119.10355304621</v>
      </c>
      <c r="Y263" s="735">
        <f t="shared" si="184"/>
        <v>1.5707867224094776</v>
      </c>
      <c r="Z263" s="340" t="str">
        <f>IMSUM(COMPLEX(1,0),IMDIV(COMPLEX(0,2*PI()*D263),COMPLEX(2*PI()*'Stability Calculations'!EA_Zero1,0)))</f>
        <v>1+1030.88221334895i</v>
      </c>
      <c r="AA263" s="734">
        <f t="shared" si="185"/>
        <v>1030.8826983702995</v>
      </c>
      <c r="AB263" s="735">
        <f t="shared" si="186"/>
        <v>1.5698262841718016</v>
      </c>
      <c r="AC263" s="733" t="str">
        <f>IMSUM(COMPLEX(1,0),IMDIV(COMPLEX(0,2*PI()*D263),COMPLEX(2*PI()*'Stability Calculations'!EA_Pole2,0)))</f>
        <v>1+10.3845467488741i</v>
      </c>
      <c r="AD263" s="734">
        <f t="shared" si="187"/>
        <v>10.432584108434098</v>
      </c>
      <c r="AE263" s="735">
        <f t="shared" si="188"/>
        <v>1.4747954058112851</v>
      </c>
      <c r="AF263" s="732" t="str">
        <f t="shared" si="189"/>
        <v>0.540371971633636-5.66857375617223i</v>
      </c>
      <c r="AG263" s="337">
        <f t="shared" si="190"/>
        <v>5.6942717090855242</v>
      </c>
      <c r="AH263" s="730">
        <f t="shared" si="191"/>
        <v>-1.4757558440489609</v>
      </c>
      <c r="AI263" s="731" t="str">
        <f t="shared" si="169"/>
        <v>10000</v>
      </c>
      <c r="AJ263" s="733" t="str">
        <f t="shared" si="192"/>
        <v>1+97067.6630324948i</v>
      </c>
      <c r="AK263" s="734">
        <f t="shared" si="193"/>
        <v>97067.663037645834</v>
      </c>
      <c r="AL263" s="735">
        <f t="shared" si="194"/>
        <v>1.5707860247028433</v>
      </c>
      <c r="AM263" s="340" t="str">
        <f t="shared" si="195"/>
        <v>1+164.734977693162i</v>
      </c>
      <c r="AN263" s="734">
        <f t="shared" si="196"/>
        <v>164.73801284332217</v>
      </c>
      <c r="AO263" s="735">
        <f t="shared" si="197"/>
        <v>1.5647260451145895</v>
      </c>
      <c r="AP263" s="733" t="str">
        <f t="shared" si="198"/>
        <v>1+7.98991795585013i</v>
      </c>
      <c r="AQ263" s="734">
        <f t="shared" si="199"/>
        <v>8.0522536560404205</v>
      </c>
      <c r="AR263" s="735">
        <f t="shared" si="200"/>
        <v>1.4462860311698669</v>
      </c>
      <c r="AS263" s="732" t="str">
        <f t="shared" si="201"/>
        <v>0.0101749870479651-14.2653299095724i</v>
      </c>
      <c r="AT263" s="337">
        <f t="shared" si="202"/>
        <v>14.265333538312461</v>
      </c>
      <c r="AU263" s="730">
        <f t="shared" si="203"/>
        <v>-1.570083060057502</v>
      </c>
      <c r="AV263" s="732" t="str">
        <f t="shared" si="204"/>
        <v>-1.2777349128274+0.0874946464175894i</v>
      </c>
      <c r="AW263" s="337">
        <f t="shared" si="205"/>
        <v>2.1491317620047163</v>
      </c>
      <c r="AX263" s="730">
        <f t="shared" si="206"/>
        <v>176.08270820975051</v>
      </c>
      <c r="AY263" s="360">
        <f t="shared" si="207"/>
        <v>-3.917291790249493</v>
      </c>
      <c r="BB263" s="337">
        <f t="shared" si="208"/>
        <v>-16.914361392643961</v>
      </c>
      <c r="BC263" s="730">
        <f t="shared" si="209"/>
        <v>-89.959132826280225</v>
      </c>
      <c r="BD263" s="351"/>
      <c r="BE263" s="337">
        <f t="shared" si="170"/>
        <v>42.539671184139905</v>
      </c>
      <c r="BF263" s="730">
        <f t="shared" si="171"/>
        <v>-86.167203594085677</v>
      </c>
      <c r="BI263" s="351"/>
      <c r="BJ263" s="351"/>
      <c r="BL263" s="405">
        <f t="shared" si="172"/>
        <v>0</v>
      </c>
      <c r="BM263" s="405">
        <f t="shared" si="210"/>
        <v>0</v>
      </c>
      <c r="BN263" s="405">
        <f t="shared" si="173"/>
        <v>0</v>
      </c>
      <c r="BO263" s="405">
        <f t="shared" si="174"/>
        <v>0</v>
      </c>
    </row>
    <row r="264" spans="4:67" ht="13.5" thickBot="1" x14ac:dyDescent="0.25">
      <c r="D264" s="345">
        <v>16501.5</v>
      </c>
      <c r="E264" s="340" t="str">
        <f t="shared" si="161"/>
        <v>0.273720433394559i</v>
      </c>
      <c r="F264" s="728" t="str">
        <f t="shared" si="175"/>
        <v>0.005-0.158112742946762i</v>
      </c>
      <c r="G264" s="337" t="str">
        <f t="shared" si="176"/>
        <v>0.005-0.24730454666032i</v>
      </c>
      <c r="H264" s="338" t="str">
        <f t="shared" si="177"/>
        <v>0.0526783283805576-0.235628601624348i</v>
      </c>
      <c r="I264" s="338" t="str">
        <f t="shared" si="178"/>
        <v>0.0626783283805576-0.235628601624348i</v>
      </c>
      <c r="J264" s="337" t="str">
        <f t="shared" si="179"/>
        <v>0.0116892375347393-0.0958334740669136i</v>
      </c>
      <c r="K264" s="338" t="str">
        <f t="shared" si="162"/>
        <v>0.996974449975-0.0864016519553533i</v>
      </c>
      <c r="L264" s="732"/>
      <c r="M264" s="732" t="str">
        <f t="shared" si="163"/>
        <v>8.68037946039504-132.098120466012i</v>
      </c>
      <c r="N264" s="337">
        <f t="shared" si="164"/>
        <v>0</v>
      </c>
      <c r="O264" s="730" t="str">
        <f t="shared" si="165"/>
        <v>-3.82272434024378-52.2786823337169i</v>
      </c>
      <c r="P264" s="731" t="str">
        <f t="shared" si="166"/>
        <v>-12.5579547845633-2.37599722792855i</v>
      </c>
      <c r="Q264" s="729" t="str">
        <f t="shared" si="167"/>
        <v>-12.5197275411609-1.85321040459137i</v>
      </c>
      <c r="R264" s="730"/>
      <c r="S264" s="405" t="str">
        <f t="shared" si="180"/>
        <v>39.8001254308366-1.02638306727457i</v>
      </c>
      <c r="T264" s="405" t="str">
        <f t="shared" si="181"/>
        <v>15.551924942474-2.579896452682i</v>
      </c>
      <c r="U264" s="405" t="str">
        <f t="shared" si="182"/>
        <v>0.211352015588346-3.80038295928416i</v>
      </c>
      <c r="V264" s="731" t="str">
        <f t="shared" si="168"/>
        <v>6000</v>
      </c>
      <c r="W264" s="733" t="str">
        <f>IMSUM(COMPLEX(1,0),IMDIV(COMPLEX(0,2*PI()*D264),COMPLEX(2*PI()*'Stability Calculations'!EA_Pole1,0)))</f>
        <v>1+104718.802169888i</v>
      </c>
      <c r="X264" s="734">
        <f t="shared" si="183"/>
        <v>104718.80217466272</v>
      </c>
      <c r="Y264" s="735">
        <f t="shared" si="184"/>
        <v>1.5707867774114119</v>
      </c>
      <c r="Z264" s="340" t="str">
        <f>IMSUM(COMPLEX(1,0),IMDIV(COMPLEX(0,2*PI()*D264),COMPLEX(2*PI()*'Stability Calculations'!EA_Zero1,0)))</f>
        <v>1+1036.81982346424i</v>
      </c>
      <c r="AA264" s="734">
        <f t="shared" si="185"/>
        <v>1036.8203057079938</v>
      </c>
      <c r="AB264" s="735">
        <f t="shared" si="186"/>
        <v>1.5698318393619886</v>
      </c>
      <c r="AC264" s="733" t="str">
        <f>IMSUM(COMPLEX(1,0),IMDIV(COMPLEX(0,2*PI()*D264),COMPLEX(2*PI()*'Stability Calculations'!EA_Pole2,0)))</f>
        <v>1+10.4443590038732i</v>
      </c>
      <c r="AD264" s="734">
        <f t="shared" si="187"/>
        <v>10.492122521291256</v>
      </c>
      <c r="AE264" s="735">
        <f t="shared" si="188"/>
        <v>1.4753418363331736</v>
      </c>
      <c r="AF264" s="732" t="str">
        <f t="shared" si="189"/>
        <v>0.534256601569702-5.63669675777945i</v>
      </c>
      <c r="AG264" s="337">
        <f t="shared" si="190"/>
        <v>5.66195906515423</v>
      </c>
      <c r="AH264" s="730">
        <f t="shared" si="191"/>
        <v>-1.4762967743825972</v>
      </c>
      <c r="AI264" s="731" t="str">
        <f t="shared" si="169"/>
        <v>10000</v>
      </c>
      <c r="AJ264" s="733" t="str">
        <f t="shared" si="192"/>
        <v>1+97626.7472134285i</v>
      </c>
      <c r="AK264" s="734">
        <f t="shared" si="193"/>
        <v>97626.747218550052</v>
      </c>
      <c r="AL264" s="735">
        <f t="shared" si="194"/>
        <v>1.5707860837003707</v>
      </c>
      <c r="AM264" s="340" t="str">
        <f t="shared" si="195"/>
        <v>1+165.683807789586i</v>
      </c>
      <c r="AN264" s="734">
        <f t="shared" si="196"/>
        <v>165.68682555851106</v>
      </c>
      <c r="AO264" s="735">
        <f t="shared" si="197"/>
        <v>1.5647608072663872</v>
      </c>
      <c r="AP264" s="733" t="str">
        <f t="shared" si="198"/>
        <v>1+8.0359377795125i</v>
      </c>
      <c r="AQ264" s="734">
        <f t="shared" si="199"/>
        <v>8.0979192386807792</v>
      </c>
      <c r="AR264" s="735">
        <f t="shared" si="200"/>
        <v>1.4469917863879309</v>
      </c>
      <c r="AS264" s="732" t="str">
        <f t="shared" si="201"/>
        <v>0.0100587815449657-14.1836359837747i</v>
      </c>
      <c r="AT264" s="337">
        <f t="shared" si="202"/>
        <v>14.183639550528444</v>
      </c>
      <c r="AU264" s="730">
        <f t="shared" si="203"/>
        <v>-1.5700871447579243</v>
      </c>
      <c r="AV264" s="732" t="str">
        <f t="shared" si="204"/>
        <v>-1.26297097612547+0.087516295646973i</v>
      </c>
      <c r="AW264" s="337">
        <f t="shared" si="205"/>
        <v>2.0486708309624473</v>
      </c>
      <c r="AX264" s="730">
        <f t="shared" si="206"/>
        <v>176.03608329523263</v>
      </c>
      <c r="AY264" s="360">
        <f t="shared" si="207"/>
        <v>-3.9639167047673709</v>
      </c>
      <c r="BB264" s="337">
        <f t="shared" si="208"/>
        <v>-16.964246280243167</v>
      </c>
      <c r="BC264" s="730">
        <f t="shared" si="209"/>
        <v>-89.959366862375006</v>
      </c>
      <c r="BD264" s="351"/>
      <c r="BE264" s="337">
        <f t="shared" si="170"/>
        <v>42.436645296878119</v>
      </c>
      <c r="BF264" s="730">
        <f t="shared" si="171"/>
        <v>-86.240407500066183</v>
      </c>
      <c r="BI264" s="351"/>
      <c r="BJ264" s="351"/>
      <c r="BL264" s="405">
        <f t="shared" si="172"/>
        <v>0</v>
      </c>
      <c r="BM264" s="405">
        <f t="shared" si="210"/>
        <v>0</v>
      </c>
      <c r="BN264" s="405">
        <f t="shared" si="173"/>
        <v>0</v>
      </c>
      <c r="BO264" s="405">
        <f t="shared" si="174"/>
        <v>0</v>
      </c>
    </row>
    <row r="265" spans="4:67" ht="13.5" thickBot="1" x14ac:dyDescent="0.25">
      <c r="D265" s="345">
        <v>16596</v>
      </c>
      <c r="E265" s="340" t="str">
        <f t="shared" si="161"/>
        <v>0.275287962464994i</v>
      </c>
      <c r="F265" s="728" t="str">
        <f t="shared" si="175"/>
        <v>0.005-0.157212426351891i</v>
      </c>
      <c r="G265" s="337" t="str">
        <f t="shared" si="176"/>
        <v>0.005-0.245896359165779i</v>
      </c>
      <c r="H265" s="338" t="str">
        <f t="shared" si="177"/>
        <v>0.0521577575255459-0.234391678832672i</v>
      </c>
      <c r="I265" s="338" t="str">
        <f t="shared" si="178"/>
        <v>0.0621577575255459-0.234391678832672i</v>
      </c>
      <c r="J265" s="337" t="str">
        <f t="shared" si="179"/>
        <v>0.0116039456974493-0.0952946872511736i</v>
      </c>
      <c r="K265" s="338" t="str">
        <f t="shared" si="162"/>
        <v>0.9969396976-0.0868964527982937i</v>
      </c>
      <c r="L265" s="732"/>
      <c r="M265" s="732" t="str">
        <f t="shared" si="163"/>
        <v>8.41790165484843-130.573317799743i</v>
      </c>
      <c r="N265" s="337">
        <f t="shared" si="164"/>
        <v>0</v>
      </c>
      <c r="O265" s="730" t="str">
        <f t="shared" si="165"/>
        <v>-3.81250637246904-51.6583430906037i</v>
      </c>
      <c r="P265" s="731" t="str">
        <f t="shared" si="166"/>
        <v>-12.3452626093853-2.31734699479393i</v>
      </c>
      <c r="Q265" s="729" t="str">
        <f t="shared" si="167"/>
        <v>-12.3071375456606-1.80076356388788i</v>
      </c>
      <c r="R265" s="730"/>
      <c r="S265" s="405" t="str">
        <f t="shared" si="180"/>
        <v>39.8018987559975-1.05961056208567i</v>
      </c>
      <c r="T265" s="405" t="str">
        <f t="shared" si="181"/>
        <v>15.5491971441557-2.58379228358915i</v>
      </c>
      <c r="U265" s="405" t="str">
        <f t="shared" si="182"/>
        <v>0.205391843256416-3.77936723454265i</v>
      </c>
      <c r="V265" s="731" t="str">
        <f t="shared" si="168"/>
        <v>6000</v>
      </c>
      <c r="W265" s="733" t="str">
        <f>IMSUM(COMPLEX(1,0),IMDIV(COMPLEX(0,2*PI()*D265),COMPLEX(2*PI()*'Stability Calculations'!EA_Pole1,0)))</f>
        <v>1+105318.500791532i</v>
      </c>
      <c r="X265" s="734">
        <f t="shared" si="183"/>
        <v>105318.50079627952</v>
      </c>
      <c r="Y265" s="735">
        <f t="shared" si="184"/>
        <v>1.5707868317869687</v>
      </c>
      <c r="Z265" s="340" t="str">
        <f>IMSUM(COMPLEX(1,0),IMDIV(COMPLEX(0,2*PI()*D265),COMPLEX(2*PI()*'Stability Calculations'!EA_Zero1,0)))</f>
        <v>1+1042.75743357952i</v>
      </c>
      <c r="AA265" s="734">
        <f t="shared" si="185"/>
        <v>1042.7579130773101</v>
      </c>
      <c r="AB265" s="735">
        <f t="shared" si="186"/>
        <v>1.5698373312881375</v>
      </c>
      <c r="AC265" s="733" t="str">
        <f>IMSUM(COMPLEX(1,0),IMDIV(COMPLEX(0,2*PI()*D265),COMPLEX(2*PI()*'Stability Calculations'!EA_Pole2,0)))</f>
        <v>1+10.5041712588721i</v>
      </c>
      <c r="AD265" s="734">
        <f t="shared" si="187"/>
        <v>10.551664031597799</v>
      </c>
      <c r="AE265" s="735">
        <f t="shared" si="188"/>
        <v>1.4758821001584397</v>
      </c>
      <c r="AF265" s="732" t="str">
        <f t="shared" si="189"/>
        <v>0.528244148125234-5.60517298609155i</v>
      </c>
      <c r="AG265" s="337">
        <f t="shared" si="190"/>
        <v>5.6300094213099694</v>
      </c>
      <c r="AH265" s="730">
        <f t="shared" si="191"/>
        <v>-1.4768316006572708</v>
      </c>
      <c r="AI265" s="731" t="str">
        <f t="shared" si="169"/>
        <v>10000</v>
      </c>
      <c r="AJ265" s="733" t="str">
        <f t="shared" si="192"/>
        <v>1+98185.8313943613i</v>
      </c>
      <c r="AK265" s="734">
        <f t="shared" si="193"/>
        <v>98185.831399453687</v>
      </c>
      <c r="AL265" s="735">
        <f t="shared" si="194"/>
        <v>1.5707861420260174</v>
      </c>
      <c r="AM265" s="340" t="str">
        <f t="shared" si="195"/>
        <v>1+166.632637886007i</v>
      </c>
      <c r="AN265" s="734">
        <f t="shared" si="196"/>
        <v>166.63563847163405</v>
      </c>
      <c r="AO265" s="735">
        <f t="shared" si="197"/>
        <v>1.5647951735511854</v>
      </c>
      <c r="AP265" s="733" t="str">
        <f t="shared" si="198"/>
        <v>1+8.08195760317479i</v>
      </c>
      <c r="AQ265" s="734">
        <f t="shared" si="199"/>
        <v>8.1435888095798887</v>
      </c>
      <c r="AR265" s="735">
        <f t="shared" si="200"/>
        <v>1.4476896261435075</v>
      </c>
      <c r="AS265" s="732" t="str">
        <f t="shared" si="201"/>
        <v>0.00994455545591006-14.1028724103999i</v>
      </c>
      <c r="AT265" s="337">
        <f t="shared" si="202"/>
        <v>14.102875916571127</v>
      </c>
      <c r="AU265" s="730">
        <f t="shared" si="203"/>
        <v>-1.5700911829406319</v>
      </c>
      <c r="AV265" s="732" t="str">
        <f t="shared" si="204"/>
        <v>-1.24846007131107+0.087528213893896i</v>
      </c>
      <c r="AW265" s="337">
        <f t="shared" si="205"/>
        <v>1.9487875707402864</v>
      </c>
      <c r="AX265" s="730">
        <f t="shared" si="206"/>
        <v>175.9896156640269</v>
      </c>
      <c r="AY265" s="360">
        <f t="shared" si="207"/>
        <v>-4.0103843359731002</v>
      </c>
      <c r="BB265" s="337">
        <f t="shared" si="208"/>
        <v>-17.013846303859051</v>
      </c>
      <c r="BC265" s="730">
        <f t="shared" si="209"/>
        <v>-89.959598233201049</v>
      </c>
      <c r="BD265" s="351"/>
      <c r="BE265" s="337">
        <f t="shared" si="170"/>
        <v>42.335101628271531</v>
      </c>
      <c r="BF265" s="730">
        <f t="shared" si="171"/>
        <v>-86.311316045224089</v>
      </c>
      <c r="BI265" s="351"/>
      <c r="BJ265" s="351"/>
      <c r="BL265" s="405">
        <f t="shared" si="172"/>
        <v>0</v>
      </c>
      <c r="BM265" s="405">
        <f t="shared" si="210"/>
        <v>0</v>
      </c>
      <c r="BN265" s="405">
        <f t="shared" si="173"/>
        <v>0</v>
      </c>
      <c r="BO265" s="405">
        <f t="shared" si="174"/>
        <v>0</v>
      </c>
    </row>
    <row r="266" spans="4:67" ht="13.5" thickBot="1" x14ac:dyDescent="0.25">
      <c r="D266" s="345">
        <v>16692.5</v>
      </c>
      <c r="E266" s="340" t="str">
        <f t="shared" si="161"/>
        <v>0.276888666753851i</v>
      </c>
      <c r="F266" s="728" t="str">
        <f t="shared" si="175"/>
        <v>0.005-0.156303575122719i</v>
      </c>
      <c r="G266" s="337" t="str">
        <f t="shared" si="176"/>
        <v>0.005-0.244474822627843i</v>
      </c>
      <c r="H266" s="338" t="str">
        <f t="shared" si="177"/>
        <v>0.0516347985232787-0.233141303672693i</v>
      </c>
      <c r="I266" s="338" t="str">
        <f t="shared" si="178"/>
        <v>0.0616347985232787-0.233141303672693i</v>
      </c>
      <c r="J266" s="337" t="str">
        <f t="shared" si="179"/>
        <v>0.0115183270383026-0.0947506789557873i</v>
      </c>
      <c r="K266" s="338" t="str">
        <f t="shared" si="162"/>
        <v>0.996904004930556-0.087401725616746i</v>
      </c>
      <c r="L266" s="732"/>
      <c r="M266" s="732" t="str">
        <f t="shared" si="163"/>
        <v>8.16144304841018-129.055965282349i</v>
      </c>
      <c r="N266" s="337">
        <f t="shared" si="164"/>
        <v>0</v>
      </c>
      <c r="O266" s="730" t="str">
        <f t="shared" si="165"/>
        <v>-3.80078226902942-51.0414650978565i</v>
      </c>
      <c r="P266" s="731" t="str">
        <f t="shared" si="166"/>
        <v>-12.1341341636611-2.25981108446178i</v>
      </c>
      <c r="Q266" s="729" t="str">
        <f t="shared" si="167"/>
        <v>-12.0961263409708-1.74939643348322i</v>
      </c>
      <c r="R266" s="730"/>
      <c r="S266" s="405" t="str">
        <f t="shared" si="180"/>
        <v>39.8036323665186-1.09339277862835i</v>
      </c>
      <c r="T266" s="405" t="str">
        <f t="shared" si="181"/>
        <v>15.5464301921833-2.5878277953224i</v>
      </c>
      <c r="U266" s="405" t="str">
        <f t="shared" si="182"/>
        <v>0.199407244847706-3.75813696928656i</v>
      </c>
      <c r="V266" s="731" t="str">
        <f t="shared" si="168"/>
        <v>6000</v>
      </c>
      <c r="W266" s="733" t="str">
        <f>IMSUM(COMPLEX(1,0),IMDIV(COMPLEX(0,2*PI()*D266),COMPLEX(2*PI()*'Stability Calculations'!EA_Pole1,0)))</f>
        <v>1+105930.891447496i</v>
      </c>
      <c r="X266" s="734">
        <f t="shared" si="183"/>
        <v>105930.89145221606</v>
      </c>
      <c r="Y266" s="735">
        <f t="shared" si="184"/>
        <v>1.5707868866779835</v>
      </c>
      <c r="Z266" s="340" t="str">
        <f>IMSUM(COMPLEX(1,0),IMDIV(COMPLEX(0,2*PI()*D266),COMPLEX(2*PI()*'Stability Calculations'!EA_Zero1,0)))</f>
        <v>1+1048.82070740095i</v>
      </c>
      <c r="AA266" s="734">
        <f t="shared" si="185"/>
        <v>1048.8211841267457</v>
      </c>
      <c r="AB266" s="735">
        <f t="shared" si="186"/>
        <v>1.5698428752755662</v>
      </c>
      <c r="AC266" s="733" t="str">
        <f>IMSUM(COMPLEX(1,0),IMDIV(COMPLEX(0,2*PI()*D266),COMPLEX(2*PI()*'Stability Calculations'!EA_Pole2,0)))</f>
        <v>1+10.5652493817018i</v>
      </c>
      <c r="AD266" s="734">
        <f t="shared" si="187"/>
        <v>10.612468821982484</v>
      </c>
      <c r="AE266" s="735">
        <f t="shared" si="188"/>
        <v>1.4764275418371451</v>
      </c>
      <c r="AF266" s="732" t="str">
        <f t="shared" si="189"/>
        <v>0.522208274773191-5.57334055461757i</v>
      </c>
      <c r="AG266" s="337">
        <f t="shared" si="190"/>
        <v>5.5977519076845903</v>
      </c>
      <c r="AH266" s="730">
        <f t="shared" si="191"/>
        <v>-1.4773715532395624</v>
      </c>
      <c r="AI266" s="731" t="str">
        <f t="shared" si="169"/>
        <v>10000</v>
      </c>
      <c r="AJ266" s="733" t="str">
        <f t="shared" si="192"/>
        <v>1+98756.7480447324i</v>
      </c>
      <c r="AK266" s="734">
        <f t="shared" si="193"/>
        <v>98756.748049795366</v>
      </c>
      <c r="AL266" s="735">
        <f t="shared" si="194"/>
        <v>1.5707862009045674</v>
      </c>
      <c r="AM266" s="340" t="str">
        <f t="shared" si="195"/>
        <v>1+167.601549042672i</v>
      </c>
      <c r="AN266" s="734">
        <f t="shared" si="196"/>
        <v>167.60453228210503</v>
      </c>
      <c r="AO266" s="735">
        <f t="shared" si="197"/>
        <v>1.5648298656287314</v>
      </c>
      <c r="AP266" s="733" t="str">
        <f t="shared" si="198"/>
        <v>1+8.12895139135909i</v>
      </c>
      <c r="AQ266" s="734">
        <f t="shared" si="199"/>
        <v>8.1902289786720175</v>
      </c>
      <c r="AR266" s="735">
        <f t="shared" si="200"/>
        <v>1.4483942033839905</v>
      </c>
      <c r="AS266" s="732" t="str">
        <f t="shared" si="201"/>
        <v>0.00982990812985075-14.0213432298736i</v>
      </c>
      <c r="AT266" s="337">
        <f t="shared" si="202"/>
        <v>14.021346675587765</v>
      </c>
      <c r="AU266" s="730">
        <f t="shared" si="203"/>
        <v>-1.5700952594036888</v>
      </c>
      <c r="AV266" s="732" t="str">
        <f t="shared" si="204"/>
        <v>-1.23389719961226+0.0875307494024041i</v>
      </c>
      <c r="AW266" s="337">
        <f t="shared" si="205"/>
        <v>1.8473796065162285</v>
      </c>
      <c r="AX266" s="730">
        <f t="shared" si="206"/>
        <v>175.94232378201681</v>
      </c>
      <c r="AY266" s="360">
        <f t="shared" si="207"/>
        <v>-4.057676217983186</v>
      </c>
      <c r="BB266" s="337">
        <f t="shared" si="208"/>
        <v>-17.064205453935344</v>
      </c>
      <c r="BC266" s="730">
        <f t="shared" si="209"/>
        <v>-89.959831797329542</v>
      </c>
      <c r="BD266" s="351"/>
      <c r="BE266" s="337">
        <f t="shared" si="170"/>
        <v>42.232895521465508</v>
      </c>
      <c r="BF266" s="730">
        <f t="shared" si="171"/>
        <v>-86.381458527070677</v>
      </c>
      <c r="BI266" s="351"/>
      <c r="BJ266" s="351"/>
      <c r="BL266" s="405">
        <f t="shared" si="172"/>
        <v>0</v>
      </c>
      <c r="BM266" s="405">
        <f t="shared" si="210"/>
        <v>0</v>
      </c>
      <c r="BN266" s="405">
        <f t="shared" si="173"/>
        <v>0</v>
      </c>
      <c r="BO266" s="405">
        <f t="shared" si="174"/>
        <v>0</v>
      </c>
    </row>
    <row r="267" spans="4:67" ht="13.5" thickBot="1" x14ac:dyDescent="0.25">
      <c r="D267" s="345">
        <v>16789</v>
      </c>
      <c r="E267" s="340" t="str">
        <f t="shared" si="161"/>
        <v>0.278489371042708i</v>
      </c>
      <c r="F267" s="728" t="str">
        <f t="shared" si="175"/>
        <v>0.005-0.155405171703853i</v>
      </c>
      <c r="G267" s="337" t="str">
        <f t="shared" si="176"/>
        <v>0.005-0.243069627536796i</v>
      </c>
      <c r="H267" s="338" t="str">
        <f t="shared" si="177"/>
        <v>0.0511203733292299-0.231903604418901i</v>
      </c>
      <c r="I267" s="338" t="str">
        <f t="shared" si="178"/>
        <v>0.0611203733292299-0.231903604418901i</v>
      </c>
      <c r="J267" s="337" t="str">
        <f t="shared" si="179"/>
        <v>0.0114341684857948-0.0942128124518428i</v>
      </c>
      <c r="K267" s="338" t="str">
        <f t="shared" si="162"/>
        <v>0.996868105322222-0.0879069984351984i</v>
      </c>
      <c r="L267" s="732"/>
      <c r="M267" s="732" t="str">
        <f t="shared" si="163"/>
        <v>7.91603214582185-127.577196657454i</v>
      </c>
      <c r="N267" s="337">
        <f t="shared" si="164"/>
        <v>0</v>
      </c>
      <c r="O267" s="730" t="str">
        <f t="shared" si="165"/>
        <v>-3.78787858079713-50.4406851840582i</v>
      </c>
      <c r="P267" s="731" t="str">
        <f t="shared" si="166"/>
        <v>-11.9288932565263-2.20453081344378i</v>
      </c>
      <c r="Q267" s="729" t="str">
        <f t="shared" si="167"/>
        <v>-11.8910144707183-1.70012396160319i</v>
      </c>
      <c r="R267" s="730"/>
      <c r="S267" s="405" t="str">
        <f t="shared" si="180"/>
        <v>39.8052893737068-1.12702728046301i</v>
      </c>
      <c r="T267" s="405" t="str">
        <f t="shared" si="181"/>
        <v>15.5436814398522-2.59192020106001i</v>
      </c>
      <c r="U267" s="405" t="str">
        <f t="shared" si="182"/>
        <v>0.193523161123884-3.73713568015867i</v>
      </c>
      <c r="V267" s="731" t="str">
        <f t="shared" si="168"/>
        <v>6000</v>
      </c>
      <c r="W267" s="733" t="str">
        <f>IMSUM(COMPLEX(1,0),IMDIV(COMPLEX(0,2*PI()*D267),COMPLEX(2*PI()*'Stability Calculations'!EA_Pole1,0)))</f>
        <v>1+106543.28210346i</v>
      </c>
      <c r="X267" s="734">
        <f t="shared" si="183"/>
        <v>106543.28210815294</v>
      </c>
      <c r="Y267" s="735">
        <f t="shared" si="184"/>
        <v>1.570786940937992</v>
      </c>
      <c r="Z267" s="340" t="str">
        <f>IMSUM(COMPLEX(1,0),IMDIV(COMPLEX(0,2*PI()*D267),COMPLEX(2*PI()*'Stability Calculations'!EA_Zero1,0)))</f>
        <v>1+1054.88398122238i</v>
      </c>
      <c r="AA267" s="734">
        <f t="shared" si="185"/>
        <v>1054.8844552080473</v>
      </c>
      <c r="AB267" s="735">
        <f t="shared" si="186"/>
        <v>1.569848355531468</v>
      </c>
      <c r="AC267" s="733" t="str">
        <f>IMSUM(COMPLEX(1,0),IMDIV(COMPLEX(0,2*PI()*D267),COMPLEX(2*PI()*'Stability Calculations'!EA_Pole2,0)))</f>
        <v>1+10.6263275045315i</v>
      </c>
      <c r="AD267" s="734">
        <f t="shared" si="187"/>
        <v>10.673276733672873</v>
      </c>
      <c r="AE267" s="735">
        <f t="shared" si="188"/>
        <v>1.4769667686818784</v>
      </c>
      <c r="AF267" s="732" t="str">
        <f t="shared" si="189"/>
        <v>0.516274963010657-5.54186440510781i</v>
      </c>
      <c r="AG267" s="337">
        <f t="shared" si="190"/>
        <v>5.5658603038553354</v>
      </c>
      <c r="AH267" s="730">
        <f t="shared" si="191"/>
        <v>-1.4779053540884024</v>
      </c>
      <c r="AI267" s="731" t="str">
        <f t="shared" si="169"/>
        <v>10000</v>
      </c>
      <c r="AJ267" s="733" t="str">
        <f t="shared" si="192"/>
        <v>1+99327.6646951034i</v>
      </c>
      <c r="AK267" s="734">
        <f t="shared" si="193"/>
        <v>99327.664700137233</v>
      </c>
      <c r="AL267" s="735">
        <f t="shared" si="194"/>
        <v>1.570786259106272</v>
      </c>
      <c r="AM267" s="340" t="str">
        <f t="shared" si="195"/>
        <v>1+168.570460199336i</v>
      </c>
      <c r="AN267" s="734">
        <f t="shared" si="196"/>
        <v>168.57342629197495</v>
      </c>
      <c r="AO267" s="735">
        <f t="shared" si="197"/>
        <v>1.5648641589133785</v>
      </c>
      <c r="AP267" s="733" t="str">
        <f t="shared" si="198"/>
        <v>1+8.17594517954339i</v>
      </c>
      <c r="AQ267" s="734">
        <f t="shared" si="199"/>
        <v>8.2368731675860349</v>
      </c>
      <c r="AR267" s="735">
        <f t="shared" si="200"/>
        <v>1.4490908011345749</v>
      </c>
      <c r="AS267" s="732" t="str">
        <f t="shared" si="201"/>
        <v>0.0097172320290666-13.9407512766254i</v>
      </c>
      <c r="AT267" s="337">
        <f t="shared" si="202"/>
        <v>13.940754663264505</v>
      </c>
      <c r="AU267" s="730">
        <f t="shared" si="203"/>
        <v>-1.5700992890052894</v>
      </c>
      <c r="AV267" s="732" t="str">
        <f t="shared" si="204"/>
        <v>-1.21958623156635+0.0875239466377944i</v>
      </c>
      <c r="AW267" s="337">
        <f t="shared" si="205"/>
        <v>1.7465601287708106</v>
      </c>
      <c r="AX267" s="730">
        <f t="shared" si="206"/>
        <v>175.89518966405595</v>
      </c>
      <c r="AY267" s="360">
        <f t="shared" si="207"/>
        <v>-4.1048103359440518</v>
      </c>
      <c r="BB267" s="337">
        <f t="shared" si="208"/>
        <v>-17.114274313540289</v>
      </c>
      <c r="BC267" s="730">
        <f t="shared" si="209"/>
        <v>-89.960062676494374</v>
      </c>
      <c r="BD267" s="351"/>
      <c r="BE267" s="337">
        <f t="shared" si="170"/>
        <v>42.132149647321611</v>
      </c>
      <c r="BF267" s="730">
        <f t="shared" si="171"/>
        <v>-86.449408580649134</v>
      </c>
      <c r="BI267" s="351"/>
      <c r="BJ267" s="351"/>
      <c r="BL267" s="405">
        <f t="shared" si="172"/>
        <v>0</v>
      </c>
      <c r="BM267" s="405">
        <f t="shared" si="210"/>
        <v>0</v>
      </c>
      <c r="BN267" s="405">
        <f t="shared" si="173"/>
        <v>0</v>
      </c>
      <c r="BO267" s="405">
        <f t="shared" si="174"/>
        <v>0</v>
      </c>
    </row>
    <row r="268" spans="4:67" ht="13.5" thickBot="1" x14ac:dyDescent="0.25">
      <c r="D268" s="345">
        <v>16885.5</v>
      </c>
      <c r="E268" s="340" t="str">
        <f t="shared" si="161"/>
        <v>0.280090075331566i</v>
      </c>
      <c r="F268" s="728" t="str">
        <f t="shared" si="175"/>
        <v>0.005-0.154517036968759i</v>
      </c>
      <c r="G268" s="337" t="str">
        <f t="shared" si="176"/>
        <v>0.005-0.241680493720368i</v>
      </c>
      <c r="H268" s="338" t="str">
        <f t="shared" si="177"/>
        <v>0.0506142997683671-0.230678399783726i</v>
      </c>
      <c r="I268" s="338" t="str">
        <f t="shared" si="178"/>
        <v>0.0606142997683671-0.230678399783726i</v>
      </c>
      <c r="J268" s="337" t="str">
        <f t="shared" si="179"/>
        <v>0.0113514370859432-0.0936809849784922i</v>
      </c>
      <c r="K268" s="338" t="str">
        <f t="shared" si="162"/>
        <v>0.996831998775-0.0884122712536508i</v>
      </c>
      <c r="L268" s="732"/>
      <c r="M268" s="732" t="str">
        <f t="shared" si="163"/>
        <v>7.68106051550484-126.13552740518i</v>
      </c>
      <c r="N268" s="337">
        <f t="shared" si="164"/>
        <v>0</v>
      </c>
      <c r="O268" s="730" t="str">
        <f t="shared" si="165"/>
        <v>-3.77390947176054-49.8553679220344i</v>
      </c>
      <c r="P268" s="731" t="str">
        <f t="shared" si="166"/>
        <v>-11.7293093729038-2.15138881841407i</v>
      </c>
      <c r="Q268" s="729" t="str">
        <f t="shared" si="167"/>
        <v>-11.6915702781862-1.65283513919373i</v>
      </c>
      <c r="R268" s="730"/>
      <c r="S268" s="405" t="str">
        <f t="shared" si="180"/>
        <v>39.8068711986297-1.16051638150867i</v>
      </c>
      <c r="T268" s="405" t="str">
        <f t="shared" si="181"/>
        <v>15.5409503265132-2.59606857877441i</v>
      </c>
      <c r="U268" s="405" t="str">
        <f t="shared" si="182"/>
        <v>0.187737373030952-3.71635974570376i</v>
      </c>
      <c r="V268" s="731" t="str">
        <f t="shared" si="168"/>
        <v>6000</v>
      </c>
      <c r="W268" s="733" t="str">
        <f>IMSUM(COMPLEX(1,0),IMDIV(COMPLEX(0,2*PI()*D268),COMPLEX(2*PI()*'Stability Calculations'!EA_Pole1,0)))</f>
        <v>1+107155.672759425i</v>
      </c>
      <c r="X268" s="734">
        <f t="shared" si="183"/>
        <v>107155.67276409111</v>
      </c>
      <c r="Y268" s="735">
        <f t="shared" si="184"/>
        <v>1.5707869945778126</v>
      </c>
      <c r="Z268" s="340" t="str">
        <f>IMSUM(COMPLEX(1,0),IMDIV(COMPLEX(0,2*PI()*D268),COMPLEX(2*PI()*'Stability Calculations'!EA_Zero1,0)))</f>
        <v>1+1060.94725504381i</v>
      </c>
      <c r="AA268" s="734">
        <f t="shared" si="185"/>
        <v>1060.9477263206679</v>
      </c>
      <c r="AB268" s="735">
        <f t="shared" si="186"/>
        <v>1.5698537731485112</v>
      </c>
      <c r="AC268" s="733" t="str">
        <f>IMSUM(COMPLEX(1,0),IMDIV(COMPLEX(0,2*PI()*D268),COMPLEX(2*PI()*'Stability Calculations'!EA_Pole2,0)))</f>
        <v>1+10.6874056273612i</v>
      </c>
      <c r="AD268" s="734">
        <f t="shared" si="187"/>
        <v>10.73408771362298</v>
      </c>
      <c r="AE268" s="735">
        <f t="shared" si="188"/>
        <v>1.4774998860015924</v>
      </c>
      <c r="AF268" s="732" t="str">
        <f t="shared" si="189"/>
        <v>0.510441909061117-5.51073864470774i</v>
      </c>
      <c r="AG268" s="337">
        <f t="shared" si="190"/>
        <v>5.5343284464152696</v>
      </c>
      <c r="AH268" s="730">
        <f t="shared" si="191"/>
        <v>-1.4784331074308938</v>
      </c>
      <c r="AI268" s="731" t="str">
        <f t="shared" si="169"/>
        <v>10000</v>
      </c>
      <c r="AJ268" s="733" t="str">
        <f t="shared" si="192"/>
        <v>1+99898.5813454745i</v>
      </c>
      <c r="AK268" s="734">
        <f t="shared" si="193"/>
        <v>99898.581350479581</v>
      </c>
      <c r="AL268" s="735">
        <f t="shared" si="194"/>
        <v>1.5707863166427354</v>
      </c>
      <c r="AM268" s="340" t="str">
        <f t="shared" si="195"/>
        <v>1+169.539371356001i</v>
      </c>
      <c r="AN268" s="734">
        <f t="shared" si="196"/>
        <v>169.54232049782738</v>
      </c>
      <c r="AO268" s="735">
        <f t="shared" si="197"/>
        <v>1.5648980602420661</v>
      </c>
      <c r="AP268" s="733" t="str">
        <f t="shared" si="198"/>
        <v>1+8.22293896772768i</v>
      </c>
      <c r="AQ268" s="734">
        <f t="shared" si="199"/>
        <v>8.2835213084155459</v>
      </c>
      <c r="AR268" s="735">
        <f t="shared" si="200"/>
        <v>1.449779553521459</v>
      </c>
      <c r="AS268" s="732" t="str">
        <f t="shared" si="201"/>
        <v>0.00960648222069103-13.8610804820302i</v>
      </c>
      <c r="AT268" s="337">
        <f t="shared" si="202"/>
        <v>13.861083810936982</v>
      </c>
      <c r="AU268" s="730">
        <f t="shared" si="203"/>
        <v>-1.5701032725488679</v>
      </c>
      <c r="AV268" s="732" t="str">
        <f t="shared" si="204"/>
        <v>-1.20552138579638+0.0875081898409921i</v>
      </c>
      <c r="AW268" s="337">
        <f t="shared" si="205"/>
        <v>1.6463222991481845</v>
      </c>
      <c r="AX268" s="730">
        <f t="shared" si="206"/>
        <v>175.84821027429612</v>
      </c>
      <c r="AY268" s="360">
        <f t="shared" si="207"/>
        <v>-4.1517897257038783</v>
      </c>
      <c r="BB268" s="337">
        <f t="shared" si="208"/>
        <v>-17.164056210202968</v>
      </c>
      <c r="BC268" s="730">
        <f t="shared" si="209"/>
        <v>-89.960290916728937</v>
      </c>
      <c r="BD268" s="351"/>
      <c r="BE268" s="337">
        <f t="shared" si="170"/>
        <v>42.032823432369227</v>
      </c>
      <c r="BF268" s="730">
        <f t="shared" si="171"/>
        <v>-86.515259602457505</v>
      </c>
      <c r="BI268" s="351"/>
      <c r="BJ268" s="351"/>
      <c r="BL268" s="405">
        <f t="shared" si="172"/>
        <v>0</v>
      </c>
      <c r="BM268" s="405">
        <f t="shared" si="210"/>
        <v>0</v>
      </c>
      <c r="BN268" s="405">
        <f t="shared" si="173"/>
        <v>0</v>
      </c>
      <c r="BO268" s="405">
        <f t="shared" si="174"/>
        <v>0</v>
      </c>
    </row>
    <row r="269" spans="4:67" ht="13.5" thickBot="1" x14ac:dyDescent="0.25">
      <c r="D269" s="345">
        <v>16982</v>
      </c>
      <c r="E269" s="340" t="str">
        <f t="shared" ref="E269:E332" si="211">COMPLEX(0,2*PI()*D269*L)</f>
        <v>0.281690779620423i</v>
      </c>
      <c r="F269" s="728" t="str">
        <f t="shared" si="175"/>
        <v>0.005-0.153638995862442i</v>
      </c>
      <c r="G269" s="337" t="str">
        <f t="shared" si="176"/>
        <v>0.005-0.240307147374589i</v>
      </c>
      <c r="H269" s="338" t="str">
        <f t="shared" si="177"/>
        <v>0.0501164004325923-0.229465511662574i</v>
      </c>
      <c r="I269" s="338" t="str">
        <f t="shared" si="178"/>
        <v>0.0601164004325923-0.229465511662574i</v>
      </c>
      <c r="J269" s="337" t="str">
        <f t="shared" si="179"/>
        <v>0.0112701008073779-0.0931550960399363i</v>
      </c>
      <c r="K269" s="338" t="str">
        <f t="shared" ref="K269:K332" si="212">IMSUM(COMPLEX(1,0),COMPLEX(0,2*PI()*D269/(Fsw*PI()*(-2)/PI())),IMPRODUCT(COMPLEX(0,2*PI()*D269/(Fsw*PI())),COMPLEX(0,2*PI()*D269/(Fsw*PI()))))</f>
        <v>0.996795685288889-0.0889175440721031i</v>
      </c>
      <c r="L269" s="732"/>
      <c r="M269" s="732" t="str">
        <f t="shared" ref="M269:M332" si="213">IF(Vin&gt;=Vout,IMDIV(COMPLEX(Vin,0),IMSUM(E269,J269)),IMDIV(IMSUM(COMPLEX(Vout,0),IMPRODUCT(J269,COMPLEX($B$4,0))),IMSUM(E269,IMPRODUCT(J269,COMPLEX((1-$B$11)^2,0)))))</f>
        <v>7.45596033472206-124.729547896819i</v>
      </c>
      <c r="N269" s="337">
        <f t="shared" ref="N269:N332" si="214">IF(Vin&gt;=Vout,0,IMSUB(IMPRODUCT(M269,COMPLEX(1-$B$11,0)),COMPLEX($B$4/(1-$B$11),0)))</f>
        <v>0</v>
      </c>
      <c r="O269" s="730" t="str">
        <f t="shared" ref="O269:O332" si="215">IMDIV(IF(Vin&gt;=Vout,M269,N269),IMPRODUCT(I269,IMSUM(IMDIV(COMPLEX(1,0),F269),IMDIV(COMPLEX(1,0),I269))))</f>
        <v>-3.7589794942798-49.2849107925719i</v>
      </c>
      <c r="P269" s="731" t="str">
        <f t="shared" ref="P269:P332" si="216">IF(Vin&gt;=Vout,IMDIV(IMPRODUCT(COMPLEX(Vin,0),J269),IMSUM(J269,E269)),IMPRODUCT(N269,J269))</f>
        <v>-11.5351635887579-2.10027527950681i</v>
      </c>
      <c r="Q269" s="729" t="str">
        <f t="shared" ref="Q269:Q332" si="217">IF(Vin&gt;=Vout,IMDIV(IMPRODUCT(P269,H269),IMSUM(COMPLEX($B$15,0),H269)),IMPRODUCT(O269,H269))</f>
        <v>-11.4975737938151-1.6074261715811i</v>
      </c>
      <c r="R269" s="730"/>
      <c r="S269" s="405" t="str">
        <f t="shared" si="180"/>
        <v>39.8083792235703-1.1938623482334i</v>
      </c>
      <c r="T269" s="405" t="str">
        <f t="shared" si="181"/>
        <v>15.5382363068341-2.60027202517242i</v>
      </c>
      <c r="U269" s="405" t="str">
        <f t="shared" si="182"/>
        <v>0.18204772205148-3.69580561852889i</v>
      </c>
      <c r="V269" s="731" t="str">
        <f t="shared" ref="V269:V332" si="218">COMPLEX(AEA,0)</f>
        <v>6000</v>
      </c>
      <c r="W269" s="733" t="str">
        <f>IMSUM(COMPLEX(1,0),IMDIV(COMPLEX(0,2*PI()*D269),COMPLEX(2*PI()*'Stability Calculations'!EA_Pole1,0)))</f>
        <v>1+107768.063415389i</v>
      </c>
      <c r="X269" s="734">
        <f t="shared" si="183"/>
        <v>107768.0634200286</v>
      </c>
      <c r="Y269" s="735">
        <f t="shared" si="184"/>
        <v>1.5707870476080181</v>
      </c>
      <c r="Z269" s="340" t="str">
        <f>IMSUM(COMPLEX(1,0),IMDIV(COMPLEX(0,2*PI()*D269),COMPLEX(2*PI()*'Stability Calculations'!EA_Zero1,0)))</f>
        <v>1+1067.01052886524i</v>
      </c>
      <c r="AA269" s="734">
        <f t="shared" si="185"/>
        <v>1067.0109974640745</v>
      </c>
      <c r="AB269" s="735">
        <f t="shared" si="186"/>
        <v>1.5698591291945283</v>
      </c>
      <c r="AC269" s="733" t="str">
        <f>IMSUM(COMPLEX(1,0),IMDIV(COMPLEX(0,2*PI()*D269),COMPLEX(2*PI()*'Stability Calculations'!EA_Pole2,0)))</f>
        <v>1+10.7484837501909i</v>
      </c>
      <c r="AD269" s="734">
        <f t="shared" si="187"/>
        <v>10.794901709979477</v>
      </c>
      <c r="AE269" s="735">
        <f t="shared" si="188"/>
        <v>1.4780269967462434</v>
      </c>
      <c r="AF269" s="732" t="str">
        <f t="shared" si="189"/>
        <v>0.50470687328342-5.4799575085402i</v>
      </c>
      <c r="AG269" s="337">
        <f t="shared" si="190"/>
        <v>5.5031503089908105</v>
      </c>
      <c r="AH269" s="730">
        <f t="shared" si="191"/>
        <v>-1.4789549151597332</v>
      </c>
      <c r="AI269" s="731" t="str">
        <f t="shared" ref="AI269:AI332" si="219">COMPLEX(AIL,0)</f>
        <v>10000</v>
      </c>
      <c r="AJ269" s="733" t="str">
        <f t="shared" si="192"/>
        <v>1+100469.497995846i</v>
      </c>
      <c r="AK269" s="734">
        <f t="shared" si="193"/>
        <v>100469.49800082263</v>
      </c>
      <c r="AL269" s="735">
        <f t="shared" si="194"/>
        <v>1.5707863735252983</v>
      </c>
      <c r="AM269" s="340" t="str">
        <f t="shared" si="195"/>
        <v>1+170.508282512665i</v>
      </c>
      <c r="AN269" s="734">
        <f t="shared" si="196"/>
        <v>170.51121489631933</v>
      </c>
      <c r="AO269" s="735">
        <f t="shared" si="197"/>
        <v>1.5649315762963396</v>
      </c>
      <c r="AP269" s="733" t="str">
        <f t="shared" si="198"/>
        <v>1+8.26993275591198i</v>
      </c>
      <c r="AQ269" s="734">
        <f t="shared" si="199"/>
        <v>8.330173334769567</v>
      </c>
      <c r="AR269" s="735">
        <f t="shared" si="200"/>
        <v>1.4504605916963755</v>
      </c>
      <c r="AS269" s="732" t="str">
        <f t="shared" si="201"/>
        <v>0.00949761504487075-13.7823151427009i</v>
      </c>
      <c r="AT269" s="337">
        <f t="shared" si="202"/>
        <v>13.782318415180157</v>
      </c>
      <c r="AU269" s="730">
        <f t="shared" si="203"/>
        <v>-1.5701072108195964</v>
      </c>
      <c r="AV269" s="732" t="str">
        <f t="shared" si="204"/>
        <v>-1.19169704592604+0.087483847763788i</v>
      </c>
      <c r="AW269" s="337">
        <f t="shared" si="205"/>
        <v>1.5466593977282186</v>
      </c>
      <c r="AX269" s="730">
        <f t="shared" si="206"/>
        <v>175.80138265443827</v>
      </c>
      <c r="AY269" s="360">
        <f t="shared" si="207"/>
        <v>-4.1986173455617291</v>
      </c>
      <c r="BB269" s="337">
        <f t="shared" si="208"/>
        <v>-17.213554414564641</v>
      </c>
      <c r="BC269" s="730">
        <f t="shared" si="209"/>
        <v>-89.960516563020263</v>
      </c>
      <c r="BD269" s="351"/>
      <c r="BE269" s="337">
        <f t="shared" ref="BE269:BE332" si="220">20*LOG10(IMABS(M269))</f>
        <v>41.934877912145907</v>
      </c>
      <c r="BF269" s="730">
        <f t="shared" ref="BF269:BF332" si="221">180/PI()*IMARGUMENT(IMPRODUCT(COMPLEX(1,0),M269))</f>
        <v>-86.579099949697948</v>
      </c>
      <c r="BI269" s="351"/>
      <c r="BJ269" s="351"/>
      <c r="BL269" s="405">
        <f t="shared" ref="BL269:BL332" si="222">SUM((AW270&lt;0)*(AW269&gt;0))*D269</f>
        <v>0</v>
      </c>
      <c r="BM269" s="405">
        <f t="shared" si="210"/>
        <v>0</v>
      </c>
      <c r="BN269" s="405">
        <f t="shared" ref="BN269:BN332" si="223">SUM((BB270&lt;0)*(BB269&gt;0))*D269</f>
        <v>0</v>
      </c>
      <c r="BO269" s="405">
        <f t="shared" ref="BO269:BO332" si="224">IF(BN269&gt;0,BC269,0)</f>
        <v>0</v>
      </c>
    </row>
    <row r="270" spans="4:67" ht="13.5" thickBot="1" x14ac:dyDescent="0.25">
      <c r="D270" s="345">
        <v>17081</v>
      </c>
      <c r="E270" s="340" t="str">
        <f t="shared" si="211"/>
        <v>0.283332952932307i</v>
      </c>
      <c r="F270" s="728" t="str">
        <f t="shared" ref="F270:F333" si="225">IMSUM(COMPLEX($B$8,0),IMDIV(COMPLEX(1,0),COMPLEX(0,2*PI()*D270*$B$6)))</f>
        <v>0.005-0.152748517518646i</v>
      </c>
      <c r="G270" s="337" t="str">
        <f t="shared" ref="G270:G333" si="226">IMSUM(COMPLEX($B$9,0),IMDIV(COMPLEX(1,0),COMPLEX(0,2*PI()*D270*$B$7)))</f>
        <v>0.005-0.238914347913779i</v>
      </c>
      <c r="H270" s="338" t="str">
        <f t="shared" ref="H270:H333" si="227">IMDIV(COMPLEX(1,0),IMSUM(IMDIV(COMPLEX(1,0),COMPLEX($B$5,0)), IMDIV(COMPLEX(1,0),G270)))</f>
        <v>0.0496139156893472-0.228233817446708i</v>
      </c>
      <c r="I270" s="338" t="str">
        <f t="shared" ref="I270:I333" si="228">IMSUM(H270,COMPLEX($B$15,0))</f>
        <v>0.0596139156893472-0.228233817446708i</v>
      </c>
      <c r="J270" s="337" t="str">
        <f t="shared" ref="J270:J333" si="229">IMDIV(COMPLEX(1,0),IMSUM(IMDIV(COMPLEX(1,0),F270),IMDIV(COMPLEX(1,0),IMSUM(COMPLEX($B$15,0),H270))))</f>
        <v>0.0111880745417446-0.0926216513228485i</v>
      </c>
      <c r="K270" s="338" t="str">
        <f t="shared" si="212"/>
        <v>0.996758215988889-0.0894359068599454i</v>
      </c>
      <c r="L270" s="732"/>
      <c r="M270" s="732" t="str">
        <f t="shared" si="213"/>
        <v>7.23473121365667-123.322829268162i</v>
      </c>
      <c r="N270" s="337">
        <f t="shared" si="214"/>
        <v>0</v>
      </c>
      <c r="O270" s="730" t="str">
        <f t="shared" si="215"/>
        <v>-3.74276455520793-48.7145185330472i</v>
      </c>
      <c r="P270" s="731" t="str">
        <f t="shared" si="216"/>
        <v>-11.341421380515-2.04983775843688i</v>
      </c>
      <c r="Q270" s="729" t="str">
        <f t="shared" si="217"/>
        <v>-11.3039937349629-1.5626925731064i</v>
      </c>
      <c r="R270" s="730"/>
      <c r="S270" s="405" t="str">
        <f t="shared" ref="S270:S333" si="230">IMDIV(IMPRODUCT(COMPLEX($B$34,0),M270),IMSUM(COMPLEX(1,0),IMPRODUCT(M270,COMPLEX($B$29,0),K270,COMPLEX($B$34,0))))</f>
        <v>39.8098510331727-1.22792578236389i</v>
      </c>
      <c r="T270" s="405" t="str">
        <f t="shared" ref="T270:T333" si="231">IMDIV(IMPRODUCT(COMPLEX($B$34,0),O270),IMSUM(COMPLEX(1,0),IMPRODUCT(M270,COMPLEX($B$29,0),K270,COMPLEX($B$34,0))))</f>
        <v>15.5354691834557-2.6046406687534i</v>
      </c>
      <c r="U270" s="405" t="str">
        <f t="shared" ref="U270:U333" si="232">IMDIV(IMPRODUCT(COMPLEX($B$34,0),Q270),IMSUM(COMPLEX(1,0),IMPRODUCT(M270,COMPLEX($B$29,0),K270,COMPLEX($B$34,0))))</f>
        <v>0.176308375355882-3.67494586010634i</v>
      </c>
      <c r="V270" s="731" t="str">
        <f t="shared" si="218"/>
        <v>6000</v>
      </c>
      <c r="W270" s="733" t="str">
        <f>IMSUM(COMPLEX(1,0),IMDIV(COMPLEX(0,2*PI()*D270),COMPLEX(2*PI()*'Stability Calculations'!EA_Pole1,0)))</f>
        <v>1+108396.319114254i</v>
      </c>
      <c r="X270" s="734">
        <f t="shared" ref="X270:X333" si="233">IMABS(W270)</f>
        <v>108396.3191188667</v>
      </c>
      <c r="Y270" s="735">
        <f t="shared" ref="Y270:Y333" si="234">IMARGUMENT(W270)</f>
        <v>1.5707871013893835</v>
      </c>
      <c r="Z270" s="340" t="str">
        <f>IMSUM(COMPLEX(1,0),IMDIV(COMPLEX(0,2*PI()*D270),COMPLEX(2*PI()*'Stability Calculations'!EA_Zero1,0)))</f>
        <v>1+1073.23088231935i</v>
      </c>
      <c r="AA270" s="734">
        <f t="shared" ref="AA270:AA333" si="235">IMABS(Z270)</f>
        <v>1073.2313482022273</v>
      </c>
      <c r="AB270" s="735">
        <f t="shared" ref="AB270:AB333" si="236">IMARGUMENT(Z270)</f>
        <v>1.569864561107682</v>
      </c>
      <c r="AC270" s="733" t="str">
        <f>IMSUM(COMPLEX(1,0),IMDIV(COMPLEX(0,2*PI()*D270),COMPLEX(2*PI()*'Stability Calculations'!EA_Pole2,0)))</f>
        <v>1+10.8111442078089i</v>
      </c>
      <c r="AD270" s="734">
        <f t="shared" ref="AD270:AD333" si="237">IMABS(AC270)</f>
        <v>10.857294279977859</v>
      </c>
      <c r="AE270" s="735">
        <f t="shared" ref="AE270:AE333" si="238">IMARGUMENT(AC270)</f>
        <v>1.47856162669262</v>
      </c>
      <c r="AF270" s="732" t="str">
        <f t="shared" ref="AF270:AF333" si="239">IMPRODUCT(V270,IMDIV(Z270,IMPRODUCT(W270,AC270)))</f>
        <v>0.498922839394-5.44873115444245i</v>
      </c>
      <c r="AG270" s="337">
        <f t="shared" ref="AG270:AG333" si="240">IMABS(AF270)</f>
        <v>5.4715258560168323</v>
      </c>
      <c r="AH270" s="730">
        <f t="shared" ref="AH270:AH333" si="241">IMARGUMENT(AF270)</f>
        <v>-1.4794841669743211</v>
      </c>
      <c r="AI270" s="731" t="str">
        <f t="shared" si="219"/>
        <v>10000</v>
      </c>
      <c r="AJ270" s="733" t="str">
        <f t="shared" ref="AJ270:AJ333" si="242">IMSUM(COMPLEX(1,0),IMDIV(COMPLEX(0,2*PI()*D270),COMPLEX(2*PI()*IL_Pole1,0)))</f>
        <v>1+101055.205233014i</v>
      </c>
      <c r="AK270" s="734">
        <f t="shared" ref="AK270:AK333" si="243">IMABS(AJ270)</f>
        <v>101055.2052379618</v>
      </c>
      <c r="AL270" s="735">
        <f t="shared" ref="AL270:AL333" si="244">IMARGUMENT(AJ270)</f>
        <v>1.5707864312135889</v>
      </c>
      <c r="AM270" s="340" t="str">
        <f t="shared" ref="AM270:AM333" si="245">IMSUM(COMPLEX(1,0),IMDIV(COMPLEX(0,2*PI()*D270),COMPLEX(2*PI()*IL_Zero1,0)))</f>
        <v>1+171.502294994632i</v>
      </c>
      <c r="AN270" s="734">
        <f t="shared" ref="AN270:AN333" si="246">IMABS(AM270)</f>
        <v>171.50521038273376</v>
      </c>
      <c r="AO270" s="735">
        <f t="shared" ref="AO270:AO333" si="247">IMARGUMENT(AM270)</f>
        <v>1.5649655671107801</v>
      </c>
      <c r="AP270" s="733" t="str">
        <f t="shared" ref="AP270:AP333" si="248">IMSUM(COMPLEX(1,0),IMDIV(COMPLEX(0,2*PI()*D270),COMPLEX(2*PI()*IL_Pole2,0)))</f>
        <v>1+8.31814399974872i</v>
      </c>
      <c r="AQ270" s="734">
        <f t="shared" ref="AQ270:AQ333" si="249">IMABS(AP270)</f>
        <v>8.3780379326281178</v>
      </c>
      <c r="AR270" s="735">
        <f t="shared" ref="AR270:AR333" si="250">IMARGUMENT(AP270)</f>
        <v>1.4511513911893956</v>
      </c>
      <c r="AS270" s="732" t="str">
        <f t="shared" ref="AS270:AS333" si="251">_xlfn.SWITCH(IMONLIM_select,0,COMPLEX(1,0),1,IMPRODUCT(gm_IL,IMDIV(COMPLEX(1,0),IMSUM(COMPLEX(1/20000000,0),COMPLEX(0,2*PI()*D270*CISET),COMPLEX(1/RISET,0)))),2,IMPRODUCT(gm_IL,IMDIV(COMPLEX(1,0),IMSUM(COMPLEX(1/20000000,0),COMPLEX(0,2*PI()*D270*CcIL)))),3,IMPRODUCT(AI270,IMDIV(AM270,IMPRODUCT(AJ270,AP270))))</f>
        <v>0.00938783943392968-13.7024341102982i</v>
      </c>
      <c r="AT270" s="337">
        <f t="shared" ref="AT270:AT333" si="252">IMABS(AS270)</f>
        <v>13.702437326205612</v>
      </c>
      <c r="AU270" s="730">
        <f t="shared" ref="AU270:AU333" si="253">IMARGUMENT(AS270)</f>
        <v>-1.5701112048749879</v>
      </c>
      <c r="AV270" s="732" t="str">
        <f t="shared" ref="AV270:AV333" si="254">IMPRODUCT(T270,AS270,COMPLEX($B$15,0),IMPRODUCT(COMPLEX(0.1,0),AF270))</f>
        <v>-1.17775877642317+0.087450324172549i</v>
      </c>
      <c r="AW270" s="337">
        <f t="shared" ref="AW270:AW333" si="255">20*LOG10(IMABS(AV270))</f>
        <v>1.4450050972115014</v>
      </c>
      <c r="AX270" s="730">
        <f t="shared" ref="AX270:AX333" si="256">(180/PI())*IMARGUMENT(AV270)</f>
        <v>175.75349658084133</v>
      </c>
      <c r="AY270" s="360">
        <f t="shared" ref="AY270:AY333" si="257">IF(AX270&gt;0,AX270-180,AX270+180)</f>
        <v>-4.246503419158671</v>
      </c>
      <c r="BB270" s="337">
        <f t="shared" ref="BB270:BB333" si="258">20*LOG10(IMPRODUCT(COMPLEX($B$15,0),IMABS(AS270)))</f>
        <v>-17.264043513552121</v>
      </c>
      <c r="BC270" s="730">
        <f t="shared" ref="BC270:BC333" si="259">(180/PI())*IMARGUMENT(AS270)</f>
        <v>-89.960745405537338</v>
      </c>
      <c r="BD270" s="351"/>
      <c r="BE270" s="337">
        <f t="shared" si="220"/>
        <v>41.835790524770701</v>
      </c>
      <c r="BF270" s="730">
        <f t="shared" si="221"/>
        <v>-86.64259235369758</v>
      </c>
      <c r="BI270" s="351"/>
      <c r="BJ270" s="351"/>
      <c r="BL270" s="405">
        <f t="shared" si="222"/>
        <v>0</v>
      </c>
      <c r="BM270" s="405">
        <f t="shared" si="210"/>
        <v>0</v>
      </c>
      <c r="BN270" s="405">
        <f t="shared" si="223"/>
        <v>0</v>
      </c>
      <c r="BO270" s="405">
        <f t="shared" si="224"/>
        <v>0</v>
      </c>
    </row>
    <row r="271" spans="4:67" ht="13.5" thickBot="1" x14ac:dyDescent="0.25">
      <c r="D271" s="345">
        <v>17180</v>
      </c>
      <c r="E271" s="340" t="str">
        <f t="shared" si="211"/>
        <v>0.284975126244192i</v>
      </c>
      <c r="F271" s="728" t="str">
        <f t="shared" si="225"/>
        <v>0.005-0.151868301963678i</v>
      </c>
      <c r="G271" s="337" t="str">
        <f t="shared" si="226"/>
        <v>0.005-0.237537600507291i</v>
      </c>
      <c r="H271" s="338" t="str">
        <f t="shared" si="227"/>
        <v>0.0491196706853035-0.227014716429666i</v>
      </c>
      <c r="I271" s="338" t="str">
        <f t="shared" si="228"/>
        <v>0.0591196706853035-0.227014716429666i</v>
      </c>
      <c r="J271" s="337" t="str">
        <f t="shared" si="229"/>
        <v>0.011107451169693-0.0920942495935302i</v>
      </c>
      <c r="K271" s="338" t="str">
        <f t="shared" si="212"/>
        <v>0.996720528888889-0.0899542696477877i</v>
      </c>
      <c r="L271" s="732"/>
      <c r="M271" s="732" t="str">
        <f t="shared" si="213"/>
        <v>7.02279863791159-121.950890184188i</v>
      </c>
      <c r="N271" s="337">
        <f t="shared" si="214"/>
        <v>0</v>
      </c>
      <c r="O271" s="730" t="str">
        <f t="shared" si="215"/>
        <v>-3.72573381888407-48.1585790619186i</v>
      </c>
      <c r="P271" s="731" t="str">
        <f t="shared" si="216"/>
        <v>-11.1529703258306-2.0013229284264i</v>
      </c>
      <c r="Q271" s="729" t="str">
        <f t="shared" si="217"/>
        <v>-11.1157129876418-1.51973713780722i</v>
      </c>
      <c r="R271" s="730"/>
      <c r="S271" s="405" t="str">
        <f t="shared" si="230"/>
        <v>39.81124799688-1.26184325421882i</v>
      </c>
      <c r="T271" s="405" t="str">
        <f t="shared" si="231"/>
        <v>15.5327189354685-2.60906540377455i</v>
      </c>
      <c r="U271" s="405" t="str">
        <f t="shared" si="232"/>
        <v>0.17066579617326-3.6543122179469i</v>
      </c>
      <c r="V271" s="731" t="str">
        <f t="shared" si="218"/>
        <v>6000</v>
      </c>
      <c r="W271" s="733" t="str">
        <f>IMSUM(COMPLEX(1,0),IMDIV(COMPLEX(0,2*PI()*D271),COMPLEX(2*PI()*'Stability Calculations'!EA_Pole1,0)))</f>
        <v>1+109024.574813118i</v>
      </c>
      <c r="X271" s="734">
        <f t="shared" si="233"/>
        <v>109024.57481770412</v>
      </c>
      <c r="Y271" s="735">
        <f t="shared" si="234"/>
        <v>1.5707871545509169</v>
      </c>
      <c r="Z271" s="340" t="str">
        <f>IMSUM(COMPLEX(1,0),IMDIV(COMPLEX(0,2*PI()*D271),COMPLEX(2*PI()*'Stability Calculations'!EA_Zero1,0)))</f>
        <v>1+1079.45123577345i</v>
      </c>
      <c r="AA271" s="734">
        <f t="shared" si="235"/>
        <v>1079.4516989716717</v>
      </c>
      <c r="AB271" s="735">
        <f t="shared" si="236"/>
        <v>1.5698699304179327</v>
      </c>
      <c r="AC271" s="733" t="str">
        <f>IMSUM(COMPLEX(1,0),IMDIV(COMPLEX(0,2*PI()*D271),COMPLEX(2*PI()*'Stability Calculations'!EA_Pole2,0)))</f>
        <v>1+10.8738046654268i</v>
      </c>
      <c r="AD271" s="734">
        <f t="shared" si="237"/>
        <v>10.919689917843712</v>
      </c>
      <c r="AE271" s="735">
        <f t="shared" si="238"/>
        <v>1.479090146985734</v>
      </c>
      <c r="AF271" s="732" t="str">
        <f t="shared" si="239"/>
        <v>0.493237390740219-5.41785561868831i</v>
      </c>
      <c r="AG271" s="337">
        <f t="shared" si="240"/>
        <v>5.4402612647350592</v>
      </c>
      <c r="AH271" s="730">
        <f t="shared" si="241"/>
        <v>-1.4800073711187192</v>
      </c>
      <c r="AI271" s="731" t="str">
        <f t="shared" si="219"/>
        <v>10000</v>
      </c>
      <c r="AJ271" s="733" t="str">
        <f t="shared" si="242"/>
        <v>1+101640.912470181i</v>
      </c>
      <c r="AK271" s="734">
        <f t="shared" si="243"/>
        <v>101640.91247510028</v>
      </c>
      <c r="AL271" s="735">
        <f t="shared" si="244"/>
        <v>1.5707864882370199</v>
      </c>
      <c r="AM271" s="340" t="str">
        <f t="shared" si="245"/>
        <v>1+172.496307476597i</v>
      </c>
      <c r="AN271" s="734">
        <f t="shared" si="246"/>
        <v>172.49920606501553</v>
      </c>
      <c r="AO271" s="735">
        <f t="shared" si="247"/>
        <v>1.5649991661933367</v>
      </c>
      <c r="AP271" s="733" t="str">
        <f t="shared" si="248"/>
        <v>1+8.36635524358539i</v>
      </c>
      <c r="AQ271" s="734">
        <f t="shared" si="249"/>
        <v>8.42590648309538</v>
      </c>
      <c r="AR271" s="735">
        <f t="shared" si="250"/>
        <v>1.4518343419814113</v>
      </c>
      <c r="AS271" s="732" t="str">
        <f t="shared" si="251"/>
        <v>0.00927995609927578-13.6234737078298i</v>
      </c>
      <c r="AT271" s="337">
        <f t="shared" si="252"/>
        <v>13.623476868461848</v>
      </c>
      <c r="AU271" s="730">
        <f t="shared" si="253"/>
        <v>-1.5701151528987962</v>
      </c>
      <c r="AV271" s="732" t="str">
        <f t="shared" si="254"/>
        <v>-1.16406216913421+0.0874085038529078i</v>
      </c>
      <c r="AW271" s="337">
        <f t="shared" si="255"/>
        <v>1.3439419422435626</v>
      </c>
      <c r="AX271" s="730">
        <f t="shared" si="256"/>
        <v>175.70576417490742</v>
      </c>
      <c r="AY271" s="360">
        <f t="shared" si="257"/>
        <v>-4.2942358250925849</v>
      </c>
      <c r="BB271" s="337">
        <f t="shared" si="258"/>
        <v>-17.314240826308872</v>
      </c>
      <c r="BC271" s="730">
        <f t="shared" si="259"/>
        <v>-89.960971610638964</v>
      </c>
      <c r="BD271" s="351"/>
      <c r="BE271" s="337">
        <f t="shared" si="220"/>
        <v>41.738078065188098</v>
      </c>
      <c r="BF271" s="730">
        <f t="shared" si="221"/>
        <v>-86.704142073637655</v>
      </c>
      <c r="BI271" s="351"/>
      <c r="BJ271" s="351"/>
      <c r="BL271" s="405">
        <f t="shared" si="222"/>
        <v>0</v>
      </c>
      <c r="BM271" s="405">
        <f t="shared" si="210"/>
        <v>0</v>
      </c>
      <c r="BN271" s="405">
        <f t="shared" si="223"/>
        <v>0</v>
      </c>
      <c r="BO271" s="405">
        <f t="shared" si="224"/>
        <v>0</v>
      </c>
    </row>
    <row r="272" spans="4:67" ht="13.5" thickBot="1" x14ac:dyDescent="0.25">
      <c r="D272" s="345">
        <v>17279</v>
      </c>
      <c r="E272" s="340" t="str">
        <f t="shared" si="211"/>
        <v>0.286617299556076i</v>
      </c>
      <c r="F272" s="728" t="str">
        <f t="shared" si="225"/>
        <v>0.005-0.150998172795647i</v>
      </c>
      <c r="G272" s="337" t="str">
        <f t="shared" si="226"/>
        <v>0.005-0.236176629244474i</v>
      </c>
      <c r="H272" s="338" t="str">
        <f t="shared" si="227"/>
        <v>0.0486334885554813-0.225808026345438i</v>
      </c>
      <c r="I272" s="338" t="str">
        <f t="shared" si="228"/>
        <v>0.0586334885554813-0.225808026345438i</v>
      </c>
      <c r="J272" s="337" t="str">
        <f t="shared" si="229"/>
        <v>0.0110281989338603-0.0915727893736187i</v>
      </c>
      <c r="K272" s="338" t="str">
        <f t="shared" si="212"/>
        <v>0.996682623988889-0.0904726324356301i</v>
      </c>
      <c r="L272" s="732"/>
      <c r="M272" s="732" t="str">
        <f t="shared" si="213"/>
        <v>6.81966294799102-120.61242522715i</v>
      </c>
      <c r="N272" s="337">
        <f t="shared" si="214"/>
        <v>0</v>
      </c>
      <c r="O272" s="730" t="str">
        <f t="shared" si="215"/>
        <v>-3.70797394816013-47.6165366549583i</v>
      </c>
      <c r="P272" s="731" t="str">
        <f t="shared" si="216"/>
        <v>-10.9696076115148-1.95463337803581i</v>
      </c>
      <c r="Q272" s="729" t="str">
        <f t="shared" si="217"/>
        <v>-10.9325278720332-1.47846801148622i</v>
      </c>
      <c r="R272" s="730"/>
      <c r="S272" s="405" t="str">
        <f t="shared" si="230"/>
        <v>39.8125714880644-1.29561706293846i</v>
      </c>
      <c r="T272" s="405" t="str">
        <f t="shared" si="231"/>
        <v>15.5299850211061-2.61354531336909i</v>
      </c>
      <c r="U272" s="405" t="str">
        <f t="shared" si="232"/>
        <v>0.165117839814515-3.63390109287715i</v>
      </c>
      <c r="V272" s="731" t="str">
        <f t="shared" si="218"/>
        <v>6000</v>
      </c>
      <c r="W272" s="733" t="str">
        <f>IMSUM(COMPLEX(1,0),IMDIV(COMPLEX(0,2*PI()*D272),COMPLEX(2*PI()*'Stability Calculations'!EA_Pole1,0)))</f>
        <v>1+109652.830511984i</v>
      </c>
      <c r="X272" s="734">
        <f t="shared" si="233"/>
        <v>109652.83051654385</v>
      </c>
      <c r="Y272" s="735">
        <f t="shared" si="234"/>
        <v>1.5707872071032727</v>
      </c>
      <c r="Z272" s="340" t="str">
        <f>IMSUM(COMPLEX(1,0),IMDIV(COMPLEX(0,2*PI()*D272),COMPLEX(2*PI()*'Stability Calculations'!EA_Zero1,0)))</f>
        <v>1+1085.67158922756i</v>
      </c>
      <c r="AA272" s="734">
        <f t="shared" si="235"/>
        <v>1085.6720497718891</v>
      </c>
      <c r="AB272" s="735">
        <f t="shared" si="236"/>
        <v>1.5698752382013283</v>
      </c>
      <c r="AC272" s="733" t="str">
        <f>IMSUM(COMPLEX(1,0),IMDIV(COMPLEX(0,2*PI()*D272),COMPLEX(2*PI()*'Stability Calculations'!EA_Pole2,0)))</f>
        <v>1+10.9364651230448i</v>
      </c>
      <c r="AD272" s="734">
        <f t="shared" si="237"/>
        <v>10.982088571286216</v>
      </c>
      <c r="AE272" s="735">
        <f t="shared" si="238"/>
        <v>1.4796126614702971</v>
      </c>
      <c r="AF272" s="732" t="str">
        <f t="shared" si="239"/>
        <v>0.487648305781145-5.38732507436977i</v>
      </c>
      <c r="AG272" s="337">
        <f t="shared" si="240"/>
        <v>5.4093504533413688</v>
      </c>
      <c r="AH272" s="730">
        <f t="shared" si="241"/>
        <v>-1.4805246303722417</v>
      </c>
      <c r="AI272" s="731" t="str">
        <f t="shared" si="219"/>
        <v>10000</v>
      </c>
      <c r="AJ272" s="733" t="str">
        <f t="shared" si="242"/>
        <v>1+102226.61970735i</v>
      </c>
      <c r="AK272" s="734">
        <f t="shared" si="243"/>
        <v>102226.6197122411</v>
      </c>
      <c r="AL272" s="735">
        <f t="shared" si="244"/>
        <v>1.5707865446070199</v>
      </c>
      <c r="AM272" s="340" t="str">
        <f t="shared" si="245"/>
        <v>1+173.490319958564i</v>
      </c>
      <c r="AN272" s="734">
        <f t="shared" si="246"/>
        <v>173.49320193980196</v>
      </c>
      <c r="AO272" s="735">
        <f t="shared" si="247"/>
        <v>1.5650323802769901</v>
      </c>
      <c r="AP272" s="733" t="str">
        <f t="shared" si="248"/>
        <v>1+8.41456648742213i</v>
      </c>
      <c r="AQ272" s="734">
        <f t="shared" si="249"/>
        <v>8.473778919186385</v>
      </c>
      <c r="AR272" s="735">
        <f t="shared" si="250"/>
        <v>1.4525095764530924</v>
      </c>
      <c r="AS272" s="732" t="str">
        <f t="shared" si="251"/>
        <v>0.00917392179824381-13.5454181110822i</v>
      </c>
      <c r="AT272" s="337">
        <f t="shared" si="252"/>
        <v>13.545421217698429</v>
      </c>
      <c r="AU272" s="730">
        <f t="shared" si="253"/>
        <v>-1.5701190556822346</v>
      </c>
      <c r="AV272" s="732" t="str">
        <f t="shared" si="254"/>
        <v>-1.15060166488745+0.0873587385112059i</v>
      </c>
      <c r="AW272" s="337">
        <f t="shared" si="255"/>
        <v>1.2434630479231621</v>
      </c>
      <c r="AX272" s="730">
        <f t="shared" si="256"/>
        <v>175.65818248098697</v>
      </c>
      <c r="AY272" s="360">
        <f t="shared" si="257"/>
        <v>-4.3418175190130341</v>
      </c>
      <c r="BB272" s="337">
        <f t="shared" si="258"/>
        <v>-17.364149706041481</v>
      </c>
      <c r="BC272" s="730">
        <f t="shared" si="259"/>
        <v>-89.961195223658336</v>
      </c>
      <c r="BD272" s="351"/>
      <c r="BE272" s="337">
        <f t="shared" si="220"/>
        <v>41.641703221862556</v>
      </c>
      <c r="BF272" s="730">
        <f t="shared" si="221"/>
        <v>-86.763830050575862</v>
      </c>
      <c r="BI272" s="351"/>
      <c r="BJ272" s="351"/>
      <c r="BL272" s="405">
        <f t="shared" si="222"/>
        <v>0</v>
      </c>
      <c r="BM272" s="405">
        <f t="shared" si="210"/>
        <v>0</v>
      </c>
      <c r="BN272" s="405">
        <f t="shared" si="223"/>
        <v>0</v>
      </c>
      <c r="BO272" s="405">
        <f t="shared" si="224"/>
        <v>0</v>
      </c>
    </row>
    <row r="273" spans="4:67" ht="13.5" thickBot="1" x14ac:dyDescent="0.25">
      <c r="D273" s="345">
        <v>17378</v>
      </c>
      <c r="E273" s="340" t="str">
        <f t="shared" si="211"/>
        <v>0.28825947286796i</v>
      </c>
      <c r="F273" s="728" t="str">
        <f t="shared" si="225"/>
        <v>0.005-0.150137957632408i</v>
      </c>
      <c r="G273" s="337" t="str">
        <f t="shared" si="226"/>
        <v>0.005-0.234831164501972i</v>
      </c>
      <c r="H273" s="338" t="str">
        <f t="shared" si="227"/>
        <v>0.04815519709151-0.224613568186285i</v>
      </c>
      <c r="I273" s="338" t="str">
        <f t="shared" si="228"/>
        <v>0.05815519709151-0.224613568186285i</v>
      </c>
      <c r="J273" s="337" t="str">
        <f t="shared" si="229"/>
        <v>0.0109502869687151-0.0910571714303998i</v>
      </c>
      <c r="K273" s="338" t="str">
        <f t="shared" si="212"/>
        <v>0.996644501288889-0.0909909952234724i</v>
      </c>
      <c r="L273" s="732"/>
      <c r="M273" s="732" t="str">
        <f t="shared" si="213"/>
        <v>6.62485703946926-119.306193400286i</v>
      </c>
      <c r="N273" s="337">
        <f t="shared" si="214"/>
        <v>0</v>
      </c>
      <c r="O273" s="730" t="str">
        <f t="shared" si="215"/>
        <v>-3.68956426945879-47.0878636922123i</v>
      </c>
      <c r="P273" s="731" t="str">
        <f t="shared" si="216"/>
        <v>-10.7911404194494-1.909677798023i</v>
      </c>
      <c r="Q273" s="729" t="str">
        <f t="shared" si="217"/>
        <v>-10.7542447767548-1.43879916110087i</v>
      </c>
      <c r="R273" s="730"/>
      <c r="S273" s="405" t="str">
        <f t="shared" si="230"/>
        <v>39.8138228424537-1.32924946013161i</v>
      </c>
      <c r="T273" s="405" t="str">
        <f t="shared" si="231"/>
        <v>15.5272669134701-2.61807949943674i</v>
      </c>
      <c r="U273" s="405" t="str">
        <f t="shared" si="232"/>
        <v>0.15966242034678-3.61370895991196i</v>
      </c>
      <c r="V273" s="731" t="str">
        <f t="shared" si="218"/>
        <v>6000</v>
      </c>
      <c r="W273" s="733" t="str">
        <f>IMSUM(COMPLEX(1,0),IMDIV(COMPLEX(0,2*PI()*D273),COMPLEX(2*PI()*'Stability Calculations'!EA_Pole1,0)))</f>
        <v>1+110281.086210849i</v>
      </c>
      <c r="X273" s="734">
        <f t="shared" si="233"/>
        <v>110281.08621538288</v>
      </c>
      <c r="Y273" s="735">
        <f t="shared" si="234"/>
        <v>1.5707872590568617</v>
      </c>
      <c r="Z273" s="340" t="str">
        <f>IMSUM(COMPLEX(1,0),IMDIV(COMPLEX(0,2*PI()*D273),COMPLEX(2*PI()*'Stability Calculations'!EA_Zero1,0)))</f>
        <v>1+1091.89194268167i</v>
      </c>
      <c r="AA273" s="734">
        <f t="shared" si="235"/>
        <v>1091.8924006023447</v>
      </c>
      <c r="AB273" s="735">
        <f t="shared" si="236"/>
        <v>1.5698804855093977</v>
      </c>
      <c r="AC273" s="733" t="str">
        <f>IMSUM(COMPLEX(1,0),IMDIV(COMPLEX(0,2*PI()*D273),COMPLEX(2*PI()*'Stability Calculations'!EA_Pole2,0)))</f>
        <v>1+10.9991255806629i</v>
      </c>
      <c r="AD273" s="734">
        <f t="shared" si="237"/>
        <v>11.044490189193569</v>
      </c>
      <c r="AE273" s="735">
        <f t="shared" si="238"/>
        <v>1.4801292716574082</v>
      </c>
      <c r="AF273" s="732" t="str">
        <f t="shared" si="239"/>
        <v>0.482153425026932-5.35713382171783i</v>
      </c>
      <c r="AG273" s="337">
        <f t="shared" si="240"/>
        <v>5.3787874757289194</v>
      </c>
      <c r="AH273" s="730">
        <f t="shared" si="241"/>
        <v>-1.4810360452048721</v>
      </c>
      <c r="AI273" s="731" t="str">
        <f t="shared" si="219"/>
        <v>10000</v>
      </c>
      <c r="AJ273" s="733" t="str">
        <f t="shared" si="242"/>
        <v>1+102812.326944518i</v>
      </c>
      <c r="AK273" s="734">
        <f t="shared" si="243"/>
        <v>102812.32694938125</v>
      </c>
      <c r="AL273" s="735">
        <f t="shared" si="244"/>
        <v>1.5707866003347561</v>
      </c>
      <c r="AM273" s="340" t="str">
        <f t="shared" si="245"/>
        <v>1+174.484332440531i</v>
      </c>
      <c r="AN273" s="734">
        <f t="shared" si="246"/>
        <v>174.48719800380121</v>
      </c>
      <c r="AO273" s="735">
        <f t="shared" si="247"/>
        <v>1.5650652159413019</v>
      </c>
      <c r="AP273" s="733" t="str">
        <f t="shared" si="248"/>
        <v>1+8.46277773125887i</v>
      </c>
      <c r="AQ273" s="734">
        <f t="shared" si="249"/>
        <v>8.5216551754158072</v>
      </c>
      <c r="AR273" s="735">
        <f t="shared" si="250"/>
        <v>1.4531772240386576</v>
      </c>
      <c r="AS273" s="732" t="str">
        <f t="shared" si="251"/>
        <v>0.00906969451638536-13.4682518564344i</v>
      </c>
      <c r="AT273" s="337">
        <f t="shared" si="252"/>
        <v>13.468254910258686</v>
      </c>
      <c r="AU273" s="730">
        <f t="shared" si="253"/>
        <v>-1.5701229139984867</v>
      </c>
      <c r="AV273" s="732" t="str">
        <f t="shared" si="254"/>
        <v>-1.13737186353901+0.0873013655336009i</v>
      </c>
      <c r="AW273" s="337">
        <f t="shared" si="255"/>
        <v>1.1435616488685869</v>
      </c>
      <c r="AX273" s="730">
        <f t="shared" si="256"/>
        <v>175.61074861892399</v>
      </c>
      <c r="AY273" s="360">
        <f t="shared" si="257"/>
        <v>-4.3892513810760079</v>
      </c>
      <c r="BB273" s="337">
        <f t="shared" si="258"/>
        <v>-17.413773448484037</v>
      </c>
      <c r="BC273" s="730">
        <f t="shared" si="259"/>
        <v>-89.961416288895606</v>
      </c>
      <c r="BD273" s="351"/>
      <c r="BE273" s="337">
        <f t="shared" si="220"/>
        <v>41.546630131953847</v>
      </c>
      <c r="BF273" s="730">
        <f t="shared" si="221"/>
        <v>-86.821732958221006</v>
      </c>
      <c r="BI273" s="351"/>
      <c r="BJ273" s="351"/>
      <c r="BL273" s="405">
        <f t="shared" si="222"/>
        <v>0</v>
      </c>
      <c r="BM273" s="405">
        <f t="shared" si="210"/>
        <v>0</v>
      </c>
      <c r="BN273" s="405">
        <f t="shared" si="223"/>
        <v>0</v>
      </c>
      <c r="BO273" s="405">
        <f t="shared" si="224"/>
        <v>0</v>
      </c>
    </row>
    <row r="274" spans="4:67" ht="13.5" thickBot="1" x14ac:dyDescent="0.25">
      <c r="D274" s="345">
        <v>17479.25</v>
      </c>
      <c r="E274" s="340" t="str">
        <f t="shared" si="211"/>
        <v>0.28993896830057i</v>
      </c>
      <c r="F274" s="728" t="str">
        <f t="shared" si="225"/>
        <v>0.005-0.149268271106368i</v>
      </c>
      <c r="G274" s="337" t="str">
        <f t="shared" si="226"/>
        <v>0.005-0.233470885576628i</v>
      </c>
      <c r="H274" s="338" t="str">
        <f t="shared" si="227"/>
        <v>0.0476740223264509-0.223404432120061i</v>
      </c>
      <c r="I274" s="338" t="str">
        <f t="shared" si="228"/>
        <v>0.0576740223264509-0.223404432120061i</v>
      </c>
      <c r="J274" s="337" t="str">
        <f t="shared" si="229"/>
        <v>0.010871959320701-0.0905357767218251i</v>
      </c>
      <c r="K274" s="338" t="str">
        <f t="shared" si="212"/>
        <v>0.996605286882639-0.0915211389837657i</v>
      </c>
      <c r="L274" s="732"/>
      <c r="M274" s="732" t="str">
        <f t="shared" si="213"/>
        <v>6.4337843240152-118.002384877872i</v>
      </c>
      <c r="N274" s="337">
        <f t="shared" si="214"/>
        <v>0</v>
      </c>
      <c r="O274" s="730" t="str">
        <f t="shared" si="215"/>
        <v>-3.6701397241533-46.5604818552343i</v>
      </c>
      <c r="P274" s="731" t="str">
        <f t="shared" si="216"/>
        <v>-10.613489728497-1.86540478917335i</v>
      </c>
      <c r="Q274" s="729" t="str">
        <f t="shared" si="217"/>
        <v>-10.5767883312555-1.39979997062101i</v>
      </c>
      <c r="R274" s="730"/>
      <c r="S274" s="405" t="str">
        <f t="shared" si="230"/>
        <v>39.815029375989-1.36350225911402i</v>
      </c>
      <c r="T274" s="405" t="str">
        <f t="shared" si="231"/>
        <v>15.5245028462823-2.62277195920279i</v>
      </c>
      <c r="U274" s="405" t="str">
        <f t="shared" si="232"/>
        <v>0.154176615174596-3.59328083126018i</v>
      </c>
      <c r="V274" s="731" t="str">
        <f t="shared" si="218"/>
        <v>6000</v>
      </c>
      <c r="W274" s="733" t="str">
        <f>IMSUM(COMPLEX(1,0),IMDIV(COMPLEX(0,2*PI()*D274),COMPLEX(2*PI()*'Stability Calculations'!EA_Pole1,0)))</f>
        <v>1+110923.620448324i</v>
      </c>
      <c r="X274" s="734">
        <f t="shared" si="233"/>
        <v>110923.62045283162</v>
      </c>
      <c r="Y274" s="735">
        <f t="shared" si="234"/>
        <v>1.5707873115824835</v>
      </c>
      <c r="Z274" s="340" t="str">
        <f>IMSUM(COMPLEX(1,0),IMDIV(COMPLEX(0,2*PI()*D274),COMPLEX(2*PI()*'Stability Calculations'!EA_Zero1,0)))</f>
        <v>1+1098.25366780519i</v>
      </c>
      <c r="AA274" s="734">
        <f t="shared" si="235"/>
        <v>1098.2541230733225</v>
      </c>
      <c r="AB274" s="735">
        <f t="shared" si="236"/>
        <v>1.5698857905927825</v>
      </c>
      <c r="AC274" s="733" t="str">
        <f>IMSUM(COMPLEX(1,0),IMDIV(COMPLEX(0,2*PI()*D274),COMPLEX(2*PI()*'Stability Calculations'!EA_Pole2,0)))</f>
        <v>1+11.0632101395904i</v>
      </c>
      <c r="AD274" s="734">
        <f t="shared" si="237"/>
        <v>11.10831303991456</v>
      </c>
      <c r="AE274" s="735">
        <f t="shared" si="238"/>
        <v>1.4806516192958625</v>
      </c>
      <c r="AF274" s="732" t="str">
        <f t="shared" si="239"/>
        <v>0.476628912937387-5.32660153973355i</v>
      </c>
      <c r="AG274" s="337">
        <f t="shared" si="240"/>
        <v>5.3478836079088063</v>
      </c>
      <c r="AH274" s="730">
        <f t="shared" si="241"/>
        <v>-1.4815531402855635</v>
      </c>
      <c r="AI274" s="731" t="str">
        <f t="shared" si="219"/>
        <v>10000</v>
      </c>
      <c r="AJ274" s="733" t="str">
        <f t="shared" si="242"/>
        <v>1+103411.345709804i</v>
      </c>
      <c r="AK274" s="734">
        <f t="shared" si="243"/>
        <v>103411.34571463904</v>
      </c>
      <c r="AL274" s="735">
        <f t="shared" si="244"/>
        <v>1.5707866566760802</v>
      </c>
      <c r="AM274" s="340" t="str">
        <f t="shared" si="245"/>
        <v>1+175.500936115269i</v>
      </c>
      <c r="AN274" s="734">
        <f t="shared" si="246"/>
        <v>175.50378507979744</v>
      </c>
      <c r="AO274" s="735">
        <f t="shared" si="247"/>
        <v>1.5650984131538748</v>
      </c>
      <c r="AP274" s="733" t="str">
        <f t="shared" si="248"/>
        <v>1+8.5120846851828i</v>
      </c>
      <c r="AQ274" s="734">
        <f t="shared" si="249"/>
        <v>8.5706234130151557</v>
      </c>
      <c r="AR274" s="735">
        <f t="shared" si="250"/>
        <v>1.4538523298352437</v>
      </c>
      <c r="AS274" s="732" t="str">
        <f t="shared" si="251"/>
        <v>0.00896492497810375-13.3902359647691i</v>
      </c>
      <c r="AT274" s="337">
        <f t="shared" si="252"/>
        <v>13.390238965831632</v>
      </c>
      <c r="AU274" s="730">
        <f t="shared" si="253"/>
        <v>-1.5701268147965872</v>
      </c>
      <c r="AV274" s="732" t="str">
        <f t="shared" si="254"/>
        <v>-1.1240745452521+0.0872351569488076i</v>
      </c>
      <c r="AW274" s="337">
        <f t="shared" si="255"/>
        <v>1.0419801668164346</v>
      </c>
      <c r="AX274" s="730">
        <f t="shared" si="256"/>
        <v>175.56238669925258</v>
      </c>
      <c r="AY274" s="360">
        <f t="shared" si="257"/>
        <v>-4.4376133007474152</v>
      </c>
      <c r="BB274" s="337">
        <f t="shared" si="258"/>
        <v>-17.464233447637394</v>
      </c>
      <c r="BC274" s="730">
        <f t="shared" si="259"/>
        <v>-89.961639788163509</v>
      </c>
      <c r="BD274" s="351"/>
      <c r="BE274" s="337">
        <f t="shared" si="220"/>
        <v>41.450706824401948</v>
      </c>
      <c r="BF274" s="730">
        <f t="shared" si="221"/>
        <v>-86.879181178249169</v>
      </c>
      <c r="BI274" s="351"/>
      <c r="BJ274" s="351"/>
      <c r="BL274" s="405">
        <f t="shared" si="222"/>
        <v>0</v>
      </c>
      <c r="BM274" s="405">
        <f t="shared" si="210"/>
        <v>0</v>
      </c>
      <c r="BN274" s="405">
        <f t="shared" si="223"/>
        <v>0</v>
      </c>
      <c r="BO274" s="405">
        <f t="shared" si="224"/>
        <v>0</v>
      </c>
    </row>
    <row r="275" spans="4:67" ht="13.5" thickBot="1" x14ac:dyDescent="0.25">
      <c r="D275" s="345">
        <v>17580.5</v>
      </c>
      <c r="E275" s="340" t="str">
        <f t="shared" si="211"/>
        <v>0.291618463733179i</v>
      </c>
      <c r="F275" s="728" t="str">
        <f t="shared" si="225"/>
        <v>0.005-0.148408602015642i</v>
      </c>
      <c r="G275" s="337" t="str">
        <f t="shared" si="226"/>
        <v>0.005-0.232126274947542i</v>
      </c>
      <c r="H275" s="338" t="str">
        <f t="shared" si="227"/>
        <v>0.0472007509200081-0.222207721719281i</v>
      </c>
      <c r="I275" s="338" t="str">
        <f t="shared" si="228"/>
        <v>0.0572007509200081-0.222207721719281i</v>
      </c>
      <c r="J275" s="337" t="str">
        <f t="shared" si="229"/>
        <v>0.0107949709827371-0.0900202898455912i</v>
      </c>
      <c r="K275" s="338" t="str">
        <f t="shared" si="212"/>
        <v>0.996565844663889-0.0920512827440589i</v>
      </c>
      <c r="L275" s="732"/>
      <c r="M275" s="732" t="str">
        <f t="shared" si="213"/>
        <v>6.25052984803321-116.729855523322i</v>
      </c>
      <c r="N275" s="337">
        <f t="shared" si="214"/>
        <v>0</v>
      </c>
      <c r="O275" s="730" t="str">
        <f t="shared" si="215"/>
        <v>-3.65018255202984-46.0460504134143i</v>
      </c>
      <c r="P275" s="731" t="str">
        <f t="shared" si="216"/>
        <v>-10.4405811395072-1.82276991180183i</v>
      </c>
      <c r="Q275" s="729" t="str">
        <f t="shared" si="217"/>
        <v>-10.4040793139869-1.36230940766768i</v>
      </c>
      <c r="R275" s="730"/>
      <c r="S275" s="405" t="str">
        <f t="shared" si="230"/>
        <v>39.8161631672265-1.39761176236577i</v>
      </c>
      <c r="T275" s="405" t="str">
        <f t="shared" si="231"/>
        <v>15.5217542432487-2.62751934855297i</v>
      </c>
      <c r="U275" s="405" t="str">
        <f t="shared" si="232"/>
        <v>0.148783367661875-3.57307453378742i</v>
      </c>
      <c r="V275" s="731" t="str">
        <f t="shared" si="218"/>
        <v>6000</v>
      </c>
      <c r="W275" s="733" t="str">
        <f>IMSUM(COMPLEX(1,0),IMDIV(COMPLEX(0,2*PI()*D275),COMPLEX(2*PI()*'Stability Calculations'!EA_Pole1,0)))</f>
        <v>1+111566.1546858i</v>
      </c>
      <c r="X275" s="734">
        <f t="shared" si="233"/>
        <v>111566.15469028163</v>
      </c>
      <c r="Y275" s="735">
        <f t="shared" si="234"/>
        <v>1.570787363503092</v>
      </c>
      <c r="Z275" s="340" t="str">
        <f>IMSUM(COMPLEX(1,0),IMDIV(COMPLEX(0,2*PI()*D275),COMPLEX(2*PI()*'Stability Calculations'!EA_Zero1,0)))</f>
        <v>1+1104.61539292871i</v>
      </c>
      <c r="AA275" s="734">
        <f t="shared" si="235"/>
        <v>1104.6158455748534</v>
      </c>
      <c r="AB275" s="735">
        <f t="shared" si="236"/>
        <v>1.5698910345699133</v>
      </c>
      <c r="AC275" s="733" t="str">
        <f>IMSUM(COMPLEX(1,0),IMDIV(COMPLEX(0,2*PI()*D275),COMPLEX(2*PI()*'Stability Calculations'!EA_Pole2,0)))</f>
        <v>1+11.1272946985179i</v>
      </c>
      <c r="AD275" s="734">
        <f t="shared" si="237"/>
        <v>11.172138886876789</v>
      </c>
      <c r="AE275" s="735">
        <f t="shared" si="238"/>
        <v>1.481167998784223</v>
      </c>
      <c r="AF275" s="732" t="str">
        <f t="shared" si="239"/>
        <v>0.471198556741555-5.29641248042423i</v>
      </c>
      <c r="AG275" s="337">
        <f t="shared" si="240"/>
        <v>5.317331402373644</v>
      </c>
      <c r="AH275" s="730">
        <f t="shared" si="241"/>
        <v>-1.4820643277174013</v>
      </c>
      <c r="AI275" s="731" t="str">
        <f t="shared" si="219"/>
        <v>10000</v>
      </c>
      <c r="AJ275" s="733" t="str">
        <f t="shared" si="242"/>
        <v>1+104010.364475089i</v>
      </c>
      <c r="AK275" s="734">
        <f t="shared" si="243"/>
        <v>104010.36447989621</v>
      </c>
      <c r="AL275" s="735">
        <f t="shared" si="244"/>
        <v>1.57078671236844</v>
      </c>
      <c r="AM275" s="340" t="str">
        <f t="shared" si="245"/>
        <v>1+176.517539790008i</v>
      </c>
      <c r="AN275" s="734">
        <f t="shared" si="246"/>
        <v>176.5203723469817</v>
      </c>
      <c r="AO275" s="735">
        <f t="shared" si="247"/>
        <v>1.5651312279985659</v>
      </c>
      <c r="AP275" s="733" t="str">
        <f t="shared" si="248"/>
        <v>1+8.56139163910673i</v>
      </c>
      <c r="AQ275" s="734">
        <f t="shared" si="249"/>
        <v>8.6195955124452706</v>
      </c>
      <c r="AR275" s="735">
        <f t="shared" si="250"/>
        <v>1.4545197647267363</v>
      </c>
      <c r="AS275" s="732" t="str">
        <f t="shared" si="251"/>
        <v>0.00886196039415857-13.3131186935605i</v>
      </c>
      <c r="AT275" s="337">
        <f t="shared" si="252"/>
        <v>13.313121643069746</v>
      </c>
      <c r="AU275" s="730">
        <f t="shared" si="253"/>
        <v>-1.5701306706635847</v>
      </c>
      <c r="AV275" s="732" t="str">
        <f t="shared" si="254"/>
        <v>-1.11100759640197+0.0871616616490869i</v>
      </c>
      <c r="AW275" s="337">
        <f t="shared" si="255"/>
        <v>0.94098878541421527</v>
      </c>
      <c r="AX275" s="730">
        <f t="shared" si="256"/>
        <v>175.51417354535752</v>
      </c>
      <c r="AY275" s="360">
        <f t="shared" si="257"/>
        <v>-4.4858264546424778</v>
      </c>
      <c r="BB275" s="337">
        <f t="shared" si="258"/>
        <v>-17.51440199583422</v>
      </c>
      <c r="BC275" s="730">
        <f t="shared" si="259"/>
        <v>-89.96186071306883</v>
      </c>
      <c r="BD275" s="351"/>
      <c r="BE275" s="337">
        <f t="shared" si="220"/>
        <v>41.356073570930533</v>
      </c>
      <c r="BF275" s="730">
        <f t="shared" si="221"/>
        <v>-86.934911972852717</v>
      </c>
      <c r="BI275" s="351"/>
      <c r="BJ275" s="351"/>
      <c r="BL275" s="405">
        <f t="shared" si="222"/>
        <v>0</v>
      </c>
      <c r="BM275" s="405">
        <f t="shared" si="210"/>
        <v>0</v>
      </c>
      <c r="BN275" s="405">
        <f t="shared" si="223"/>
        <v>0</v>
      </c>
      <c r="BO275" s="405">
        <f t="shared" si="224"/>
        <v>0</v>
      </c>
    </row>
    <row r="276" spans="4:67" ht="13.5" thickBot="1" x14ac:dyDescent="0.25">
      <c r="D276" s="345">
        <v>17681.75</v>
      </c>
      <c r="E276" s="340" t="str">
        <f t="shared" si="211"/>
        <v>0.293297959165788i</v>
      </c>
      <c r="F276" s="728" t="str">
        <f t="shared" si="225"/>
        <v>0.005-0.147558778273417i</v>
      </c>
      <c r="G276" s="337" t="str">
        <f t="shared" si="226"/>
        <v>0.005-0.230797063453293i</v>
      </c>
      <c r="H276" s="338" t="str">
        <f t="shared" si="227"/>
        <v>0.0467352128446371-0.221023255648376i</v>
      </c>
      <c r="I276" s="338" t="str">
        <f t="shared" si="228"/>
        <v>0.0567352128446371-0.221023255648376i</v>
      </c>
      <c r="J276" s="337" t="str">
        <f t="shared" si="229"/>
        <v>0.0107192916408683-0.0895106115434191i</v>
      </c>
      <c r="K276" s="338" t="str">
        <f t="shared" si="212"/>
        <v>0.996526174632639-0.0925814265043522i</v>
      </c>
      <c r="L276" s="732"/>
      <c r="M276" s="732" t="str">
        <f t="shared" si="213"/>
        <v>6.07468425770895-115.487462604534i</v>
      </c>
      <c r="N276" s="337">
        <f t="shared" si="214"/>
        <v>0</v>
      </c>
      <c r="O276" s="730" t="str">
        <f t="shared" si="215"/>
        <v>-3.62975776645853-45.5440853142842i</v>
      </c>
      <c r="P276" s="731" t="str">
        <f t="shared" si="216"/>
        <v>-10.272237091145-1.78169249536258i</v>
      </c>
      <c r="Q276" s="729" t="str">
        <f t="shared" si="217"/>
        <v>-10.2359395134804-1.32625164221974i</v>
      </c>
      <c r="R276" s="730"/>
      <c r="S276" s="405" t="str">
        <f t="shared" si="230"/>
        <v>39.8172255306822-1.43158023186516i</v>
      </c>
      <c r="T276" s="405" t="str">
        <f t="shared" si="231"/>
        <v>15.5190205858926-2.63232076465573i</v>
      </c>
      <c r="U276" s="405" t="str">
        <f t="shared" si="232"/>
        <v>0.143480624906964-3.5530865255797i</v>
      </c>
      <c r="V276" s="731" t="str">
        <f t="shared" si="218"/>
        <v>6000</v>
      </c>
      <c r="W276" s="733" t="str">
        <f>IMSUM(COMPLEX(1,0),IMDIV(COMPLEX(0,2*PI()*D276),COMPLEX(2*PI()*'Stability Calculations'!EA_Pole1,0)))</f>
        <v>1+112208.688923275i</v>
      </c>
      <c r="X276" s="734">
        <f t="shared" si="233"/>
        <v>112208.68892773098</v>
      </c>
      <c r="Y276" s="735">
        <f t="shared" si="234"/>
        <v>1.5707874148290804</v>
      </c>
      <c r="Z276" s="340" t="str">
        <f>IMSUM(COMPLEX(1,0),IMDIV(COMPLEX(0,2*PI()*D276),COMPLEX(2*PI()*'Stability Calculations'!EA_Zero1,0)))</f>
        <v>1+1110.97711805223i</v>
      </c>
      <c r="AA276" s="734">
        <f t="shared" si="235"/>
        <v>1110.9775681064125</v>
      </c>
      <c r="AB276" s="735">
        <f t="shared" si="236"/>
        <v>1.5698962184905165</v>
      </c>
      <c r="AC276" s="733" t="str">
        <f>IMSUM(COMPLEX(1,0),IMDIV(COMPLEX(0,2*PI()*D276),COMPLEX(2*PI()*'Stability Calculations'!EA_Pole2,0)))</f>
        <v>1+11.1913792574454i</v>
      </c>
      <c r="AD276" s="734">
        <f t="shared" si="237"/>
        <v>11.235967679019868</v>
      </c>
      <c r="AE276" s="735">
        <f t="shared" si="238"/>
        <v>1.4816785115555484</v>
      </c>
      <c r="AF276" s="732" t="str">
        <f t="shared" si="239"/>
        <v>0.465860234573585-5.26656093725848i</v>
      </c>
      <c r="AG276" s="337">
        <f t="shared" si="240"/>
        <v>5.2871249147352168</v>
      </c>
      <c r="AH276" s="730">
        <f t="shared" si="241"/>
        <v>-1.4825697078941122</v>
      </c>
      <c r="AI276" s="731" t="str">
        <f t="shared" si="219"/>
        <v>10000</v>
      </c>
      <c r="AJ276" s="733" t="str">
        <f t="shared" si="242"/>
        <v>1+104609.383240375i</v>
      </c>
      <c r="AK276" s="734">
        <f t="shared" si="243"/>
        <v>104609.38324515468</v>
      </c>
      <c r="AL276" s="735">
        <f t="shared" si="244"/>
        <v>1.5707867674229838</v>
      </c>
      <c r="AM276" s="340" t="str">
        <f t="shared" si="245"/>
        <v>1+177.534143464746i</v>
      </c>
      <c r="AN276" s="734">
        <f t="shared" si="246"/>
        <v>177.53695980206774</v>
      </c>
      <c r="AO276" s="735">
        <f t="shared" si="247"/>
        <v>1.565163667043689</v>
      </c>
      <c r="AP276" s="733" t="str">
        <f t="shared" si="248"/>
        <v>1+8.61069859303066i</v>
      </c>
      <c r="AQ276" s="734">
        <f t="shared" si="249"/>
        <v>8.6685714082552376</v>
      </c>
      <c r="AR276" s="735">
        <f t="shared" si="250"/>
        <v>1.4551796581311669</v>
      </c>
      <c r="AS276" s="732" t="str">
        <f t="shared" si="251"/>
        <v>0.00876075954074738-13.2368846056782i</v>
      </c>
      <c r="AT276" s="337">
        <f t="shared" si="252"/>
        <v>13.23688750480823</v>
      </c>
      <c r="AU276" s="730">
        <f t="shared" si="253"/>
        <v>-1.5701344823713375</v>
      </c>
      <c r="AV276" s="732" t="str">
        <f t="shared" si="254"/>
        <v>-1.09816572174749+0.0870811980837569i</v>
      </c>
      <c r="AW276" s="337">
        <f t="shared" si="255"/>
        <v>0.84058063769748848</v>
      </c>
      <c r="AX276" s="730">
        <f t="shared" si="256"/>
        <v>175.46610630596206</v>
      </c>
      <c r="AY276" s="360">
        <f t="shared" si="257"/>
        <v>-4.5338936940379426</v>
      </c>
      <c r="BB276" s="337">
        <f t="shared" si="258"/>
        <v>-17.564282440519957</v>
      </c>
      <c r="BC276" s="730">
        <f t="shared" si="259"/>
        <v>-89.962079107835791</v>
      </c>
      <c r="BD276" s="351"/>
      <c r="BE276" s="337">
        <f t="shared" si="220"/>
        <v>41.262696256378206</v>
      </c>
      <c r="BF276" s="730">
        <f t="shared" si="221"/>
        <v>-86.98899520813174</v>
      </c>
      <c r="BI276" s="351"/>
      <c r="BJ276" s="351"/>
      <c r="BL276" s="405">
        <f t="shared" si="222"/>
        <v>0</v>
      </c>
      <c r="BM276" s="405">
        <f t="shared" si="210"/>
        <v>0</v>
      </c>
      <c r="BN276" s="405">
        <f t="shared" si="223"/>
        <v>0</v>
      </c>
      <c r="BO276" s="405">
        <f t="shared" si="224"/>
        <v>0</v>
      </c>
    </row>
    <row r="277" spans="4:67" ht="13.5" thickBot="1" x14ac:dyDescent="0.25">
      <c r="D277" s="345">
        <v>17783</v>
      </c>
      <c r="E277" s="340" t="str">
        <f t="shared" si="211"/>
        <v>0.294977454598397i</v>
      </c>
      <c r="F277" s="728" t="str">
        <f t="shared" si="225"/>
        <v>0.005-0.146718631712084i</v>
      </c>
      <c r="G277" s="337" t="str">
        <f t="shared" si="226"/>
        <v>0.005-0.22948298806249i</v>
      </c>
      <c r="H277" s="338" t="str">
        <f t="shared" si="227"/>
        <v>0.0462772425624415-0.21985085585826i</v>
      </c>
      <c r="I277" s="338" t="str">
        <f t="shared" si="228"/>
        <v>0.0562772425624415-0.21985085585826i</v>
      </c>
      <c r="J277" s="337" t="str">
        <f t="shared" si="229"/>
        <v>0.010644891832393-0.0890066447553022i</v>
      </c>
      <c r="K277" s="338" t="str">
        <f t="shared" si="212"/>
        <v>0.996486276788889-0.0931115702646455i</v>
      </c>
      <c r="L277" s="732"/>
      <c r="M277" s="732" t="str">
        <f t="shared" si="213"/>
        <v>5.9058641888223-114.274118417378i</v>
      </c>
      <c r="N277" s="337">
        <f t="shared" si="214"/>
        <v>0</v>
      </c>
      <c r="O277" s="730" t="str">
        <f t="shared" si="215"/>
        <v>-3.60892482623036-45.0541263563907i</v>
      </c>
      <c r="P277" s="731" t="str">
        <f t="shared" si="216"/>
        <v>-10.1082885772341-1.74209678562263i</v>
      </c>
      <c r="Q277" s="729" t="str">
        <f t="shared" si="217"/>
        <v>-10.0721993289718-1.29155552205872i</v>
      </c>
      <c r="R277" s="730"/>
      <c r="S277" s="405" t="str">
        <f t="shared" si="230"/>
        <v>39.8182177447993-1.46540988260454i</v>
      </c>
      <c r="T277" s="405" t="str">
        <f t="shared" si="231"/>
        <v>15.5163013699853-2.63717532323017i</v>
      </c>
      <c r="U277" s="405" t="str">
        <f t="shared" si="232"/>
        <v>0.138266390310316-3.53331333805878i</v>
      </c>
      <c r="V277" s="731" t="str">
        <f t="shared" si="218"/>
        <v>6000</v>
      </c>
      <c r="W277" s="733" t="str">
        <f>IMSUM(COMPLEX(1,0),IMDIV(COMPLEX(0,2*PI()*D277),COMPLEX(2*PI()*'Stability Calculations'!EA_Pole1,0)))</f>
        <v>1+112851.223160751i</v>
      </c>
      <c r="X277" s="734">
        <f t="shared" si="233"/>
        <v>112851.22316518161</v>
      </c>
      <c r="Y277" s="735">
        <f t="shared" si="234"/>
        <v>1.5707874655706053</v>
      </c>
      <c r="Z277" s="340" t="str">
        <f>IMSUM(COMPLEX(1,0),IMDIV(COMPLEX(0,2*PI()*D277),COMPLEX(2*PI()*'Stability Calculations'!EA_Zero1,0)))</f>
        <v>1+1117.33884317575i</v>
      </c>
      <c r="AA277" s="734">
        <f t="shared" si="235"/>
        <v>1117.3392906674871</v>
      </c>
      <c r="AB277" s="735">
        <f t="shared" si="236"/>
        <v>1.5699013433804121</v>
      </c>
      <c r="AC277" s="733" t="str">
        <f>IMSUM(COMPLEX(1,0),IMDIV(COMPLEX(0,2*PI()*D277),COMPLEX(2*PI()*'Stability Calculations'!EA_Pole2,0)))</f>
        <v>1+11.2554638163729i</v>
      </c>
      <c r="AD277" s="734">
        <f t="shared" si="237"/>
        <v>11.299799366434769</v>
      </c>
      <c r="AE277" s="735">
        <f t="shared" si="238"/>
        <v>1.4821832567633393</v>
      </c>
      <c r="AF277" s="732" t="str">
        <f t="shared" si="239"/>
        <v>0.460611883846057-5.23704132840182i</v>
      </c>
      <c r="AG277" s="337">
        <f t="shared" si="240"/>
        <v>5.2572583332882656</v>
      </c>
      <c r="AH277" s="730">
        <f t="shared" si="241"/>
        <v>-1.4830693789535327</v>
      </c>
      <c r="AI277" s="731" t="str">
        <f t="shared" si="219"/>
        <v>10000</v>
      </c>
      <c r="AJ277" s="733" t="str">
        <f t="shared" si="242"/>
        <v>1+105208.40200566i</v>
      </c>
      <c r="AK277" s="734">
        <f t="shared" si="243"/>
        <v>105208.40201041246</v>
      </c>
      <c r="AL277" s="735">
        <f t="shared" si="244"/>
        <v>1.570786821850606</v>
      </c>
      <c r="AM277" s="340" t="str">
        <f t="shared" si="245"/>
        <v>1+178.550747139485i</v>
      </c>
      <c r="AN277" s="734">
        <f t="shared" si="246"/>
        <v>178.55354744184814</v>
      </c>
      <c r="AO277" s="735">
        <f t="shared" si="247"/>
        <v>1.5651957367079758</v>
      </c>
      <c r="AP277" s="733" t="str">
        <f t="shared" si="248"/>
        <v>1+8.66000554695459i</v>
      </c>
      <c r="AQ277" s="734">
        <f t="shared" si="249"/>
        <v>8.7175510364599695</v>
      </c>
      <c r="AR277" s="735">
        <f t="shared" si="250"/>
        <v>1.455832136584635</v>
      </c>
      <c r="AS277" s="732" t="str">
        <f t="shared" si="251"/>
        <v>0.00866128236428353-13.1615186155648i</v>
      </c>
      <c r="AT277" s="337">
        <f t="shared" si="252"/>
        <v>13.161521465456451</v>
      </c>
      <c r="AU277" s="730">
        <f t="shared" si="253"/>
        <v>-1.5701382506741255</v>
      </c>
      <c r="AV277" s="732" t="str">
        <f t="shared" si="254"/>
        <v>-1.08554377740973+0.0869940716354862i</v>
      </c>
      <c r="AW277" s="337">
        <f t="shared" si="255"/>
        <v>0.7407489758131881</v>
      </c>
      <c r="AX277" s="730">
        <f t="shared" si="256"/>
        <v>175.41818220238491</v>
      </c>
      <c r="AY277" s="360">
        <f t="shared" si="257"/>
        <v>-4.5818177976150878</v>
      </c>
      <c r="BB277" s="337">
        <f t="shared" si="258"/>
        <v>-17.613878071798879</v>
      </c>
      <c r="BC277" s="730">
        <f t="shared" si="259"/>
        <v>-89.962295015681477</v>
      </c>
      <c r="BD277" s="351"/>
      <c r="BE277" s="337">
        <f t="shared" si="220"/>
        <v>41.170542059514077</v>
      </c>
      <c r="BF277" s="730">
        <f t="shared" si="221"/>
        <v>-87.041497156975339</v>
      </c>
      <c r="BI277" s="351"/>
      <c r="BJ277" s="351"/>
      <c r="BL277" s="405">
        <f t="shared" si="222"/>
        <v>0</v>
      </c>
      <c r="BM277" s="405">
        <f t="shared" si="210"/>
        <v>0</v>
      </c>
      <c r="BN277" s="405">
        <f t="shared" si="223"/>
        <v>0</v>
      </c>
      <c r="BO277" s="405">
        <f t="shared" si="224"/>
        <v>0</v>
      </c>
    </row>
    <row r="278" spans="4:67" ht="13.5" thickBot="1" x14ac:dyDescent="0.25">
      <c r="D278" s="345">
        <v>17886.5</v>
      </c>
      <c r="E278" s="340" t="str">
        <f t="shared" si="211"/>
        <v>0.296694272151731i</v>
      </c>
      <c r="F278" s="728" t="str">
        <f t="shared" si="225"/>
        <v>0.005-0.145869646254773i</v>
      </c>
      <c r="G278" s="337" t="str">
        <f t="shared" si="226"/>
        <v>0.005-0.228155087731824i</v>
      </c>
      <c r="H278" s="338" t="str">
        <f t="shared" si="227"/>
        <v>0.0458167492742887-0.218664692188369i</v>
      </c>
      <c r="I278" s="338" t="str">
        <f t="shared" si="228"/>
        <v>0.0558167492742887-0.218664692188369i</v>
      </c>
      <c r="J278" s="337" t="str">
        <f t="shared" si="229"/>
        <v>0.0105701313789821-0.0884972831892993i</v>
      </c>
      <c r="K278" s="338" t="str">
        <f t="shared" si="212"/>
        <v>0.996445256863889-0.0936534949973897i</v>
      </c>
      <c r="L278" s="732"/>
      <c r="M278" s="732" t="str">
        <f t="shared" si="213"/>
        <v>5.74018000977105-113.062756865351i</v>
      </c>
      <c r="N278" s="337">
        <f t="shared" si="214"/>
        <v>0</v>
      </c>
      <c r="O278" s="730" t="str">
        <f t="shared" si="215"/>
        <v>-3.5872636748976-44.5652330103496i</v>
      </c>
      <c r="P278" s="731" t="str">
        <f t="shared" si="216"/>
        <v>-9.9450723556336-1.70307853001894i</v>
      </c>
      <c r="Q278" s="729" t="str">
        <f t="shared" si="217"/>
        <v>-9.90919971888464-1.25742619991544i</v>
      </c>
      <c r="R278" s="730"/>
      <c r="S278" s="405" t="str">
        <f t="shared" si="230"/>
        <v>39.8191607977756-1.49985008140596i</v>
      </c>
      <c r="T278" s="405" t="str">
        <f t="shared" si="231"/>
        <v>15.5135361428615-2.64219178608123i</v>
      </c>
      <c r="U278" s="405" t="str">
        <f t="shared" si="232"/>
        <v>0.13302574220901-3.51331924402944i</v>
      </c>
      <c r="V278" s="731" t="str">
        <f t="shared" si="218"/>
        <v>6000</v>
      </c>
      <c r="W278" s="733" t="str">
        <f>IMSUM(COMPLEX(1,0),IMDIV(COMPLEX(0,2*PI()*D278),COMPLEX(2*PI()*'Stability Calculations'!EA_Pole1,0)))</f>
        <v>1+113508.035936837i</v>
      </c>
      <c r="X278" s="734">
        <f t="shared" si="233"/>
        <v>113508.03594124198</v>
      </c>
      <c r="Y278" s="735">
        <f t="shared" si="234"/>
        <v>1.5707875168459646</v>
      </c>
      <c r="Z278" s="340" t="str">
        <f>IMSUM(COMPLEX(1,0),IMDIV(COMPLEX(0,2*PI()*D278),COMPLEX(2*PI()*'Stability Calculations'!EA_Zero1,0)))</f>
        <v>1+1123.84193996868i</v>
      </c>
      <c r="AA278" s="734">
        <f t="shared" si="235"/>
        <v>1123.8423848710131</v>
      </c>
      <c r="AB278" s="735">
        <f t="shared" si="236"/>
        <v>1.5699065221875774</v>
      </c>
      <c r="AC278" s="733" t="str">
        <f>IMSUM(COMPLEX(1,0),IMDIV(COMPLEX(0,2*PI()*D278),COMPLEX(2*PI()*'Stability Calculations'!EA_Pole2,0)))</f>
        <v>1+11.3209724766099i</v>
      </c>
      <c r="AD278" s="734">
        <f t="shared" si="237"/>
        <v>11.365052477492521</v>
      </c>
      <c r="AE278" s="735">
        <f t="shared" si="238"/>
        <v>1.4826933582138329</v>
      </c>
      <c r="AF278" s="732" t="str">
        <f t="shared" si="239"/>
        <v>0.455337808158212-5.20720312400533i</v>
      </c>
      <c r="AG278" s="337">
        <f t="shared" si="240"/>
        <v>5.2270734540648274</v>
      </c>
      <c r="AH278" s="730">
        <f t="shared" si="241"/>
        <v>-1.4835743528722196</v>
      </c>
      <c r="AI278" s="731" t="str">
        <f t="shared" si="219"/>
        <v>10000</v>
      </c>
      <c r="AJ278" s="733" t="str">
        <f t="shared" si="242"/>
        <v>1+105820.732299063i</v>
      </c>
      <c r="AK278" s="734">
        <f t="shared" si="243"/>
        <v>105820.73230378798</v>
      </c>
      <c r="AL278" s="735">
        <f t="shared" si="244"/>
        <v>1.5707868768508426</v>
      </c>
      <c r="AM278" s="340" t="str">
        <f t="shared" si="245"/>
        <v>1+179.589942006995i</v>
      </c>
      <c r="AN278" s="734">
        <f t="shared" si="246"/>
        <v>179.59272610569678</v>
      </c>
      <c r="AO278" s="735">
        <f t="shared" si="247"/>
        <v>1.5652281437779862</v>
      </c>
      <c r="AP278" s="733" t="str">
        <f t="shared" si="248"/>
        <v>1+8.71040821096571i</v>
      </c>
      <c r="AQ278" s="734">
        <f t="shared" si="249"/>
        <v>8.7676228934448854</v>
      </c>
      <c r="AR278" s="735">
        <f t="shared" si="250"/>
        <v>1.4564915794324982</v>
      </c>
      <c r="AS278" s="732" t="str">
        <f t="shared" si="251"/>
        <v>0.00856133562065197-13.0853597243856i</v>
      </c>
      <c r="AT278" s="337">
        <f t="shared" si="252"/>
        <v>13.085362525090407</v>
      </c>
      <c r="AU278" s="730">
        <f t="shared" si="253"/>
        <v>-1.5701420586219637</v>
      </c>
      <c r="AV278" s="732" t="str">
        <f t="shared" si="254"/>
        <v>-1.07286345810674+0.0868984273230867i</v>
      </c>
      <c r="AW278" s="337">
        <f t="shared" si="255"/>
        <v>0.6392877726466506</v>
      </c>
      <c r="AX278" s="730">
        <f t="shared" si="256"/>
        <v>175.36933824141423</v>
      </c>
      <c r="AY278" s="360">
        <f t="shared" si="257"/>
        <v>-4.6306617585857737</v>
      </c>
      <c r="BB278" s="337">
        <f t="shared" si="258"/>
        <v>-17.664284817814298</v>
      </c>
      <c r="BC278" s="730">
        <f t="shared" si="259"/>
        <v>-89.962513195021202</v>
      </c>
      <c r="BD278" s="351"/>
      <c r="BE278" s="337">
        <f t="shared" si="220"/>
        <v>41.077571295816085</v>
      </c>
      <c r="BF278" s="730">
        <f t="shared" si="221"/>
        <v>-87.093596907973378</v>
      </c>
      <c r="BI278" s="351"/>
      <c r="BJ278" s="351"/>
      <c r="BL278" s="405">
        <f t="shared" si="222"/>
        <v>0</v>
      </c>
      <c r="BM278" s="405">
        <f t="shared" si="210"/>
        <v>0</v>
      </c>
      <c r="BN278" s="405">
        <f t="shared" si="223"/>
        <v>0</v>
      </c>
      <c r="BO278" s="405">
        <f t="shared" si="224"/>
        <v>0</v>
      </c>
    </row>
    <row r="279" spans="4:67" ht="13.5" thickBot="1" x14ac:dyDescent="0.25">
      <c r="D279" s="345">
        <v>17990</v>
      </c>
      <c r="E279" s="340" t="str">
        <f t="shared" si="211"/>
        <v>0.298411089705064i</v>
      </c>
      <c r="F279" s="728" t="str">
        <f t="shared" si="225"/>
        <v>0.005-0.145030429557309i</v>
      </c>
      <c r="G279" s="337" t="str">
        <f t="shared" si="226"/>
        <v>0.005-0.226842466743483i</v>
      </c>
      <c r="H279" s="338" t="str">
        <f t="shared" si="227"/>
        <v>0.0453638278249483-0.217490771023056i</v>
      </c>
      <c r="I279" s="338" t="str">
        <f t="shared" si="228"/>
        <v>0.0553638278249483-0.217490771023056i</v>
      </c>
      <c r="J279" s="337" t="str">
        <f t="shared" si="229"/>
        <v>0.0104966483018951-0.0879936914775342i</v>
      </c>
      <c r="K279" s="338" t="str">
        <f t="shared" si="212"/>
        <v>0.996403998888889-0.094195419730134i</v>
      </c>
      <c r="L279" s="732"/>
      <c r="M279" s="732" t="str">
        <f t="shared" si="213"/>
        <v>5.58110195437051-111.879613254185i</v>
      </c>
      <c r="N279" s="337">
        <f t="shared" si="214"/>
        <v>0</v>
      </c>
      <c r="O279" s="730" t="str">
        <f t="shared" si="215"/>
        <v>-3.56528593865462-44.0879830670685i</v>
      </c>
      <c r="P279" s="731" t="str">
        <f t="shared" si="216"/>
        <v>-9.7861173069626-1.66546271595877i</v>
      </c>
      <c r="Q279" s="729" t="str">
        <f t="shared" si="217"/>
        <v>-9.75046444757604-1.22458288528809i</v>
      </c>
      <c r="R279" s="730"/>
      <c r="S279" s="405" t="str">
        <f t="shared" si="230"/>
        <v>39.8200331401635-1.53414975846977i</v>
      </c>
      <c r="T279" s="405" t="str">
        <f t="shared" si="231"/>
        <v>15.5107849842528-2.64726196828807i</v>
      </c>
      <c r="U279" s="405" t="str">
        <f t="shared" si="232"/>
        <v>0.127873532872456-3.49354252153495i</v>
      </c>
      <c r="V279" s="731" t="str">
        <f t="shared" si="218"/>
        <v>6000</v>
      </c>
      <c r="W279" s="733" t="str">
        <f>IMSUM(COMPLEX(1,0),IMDIV(COMPLEX(0,2*PI()*D279),COMPLEX(2*PI()*'Stability Calculations'!EA_Pole1,0)))</f>
        <v>1+114164.848712923i</v>
      </c>
      <c r="X279" s="734">
        <f t="shared" si="233"/>
        <v>114164.84871730262</v>
      </c>
      <c r="Y279" s="735">
        <f t="shared" si="234"/>
        <v>1.5707875675313294</v>
      </c>
      <c r="Z279" s="340" t="str">
        <f>IMSUM(COMPLEX(1,0),IMDIV(COMPLEX(0,2*PI()*D279),COMPLEX(2*PI()*'Stability Calculations'!EA_Zero1,0)))</f>
        <v>1+1130.34503676161i</v>
      </c>
      <c r="AA279" s="734">
        <f t="shared" si="235"/>
        <v>1130.3454791043334</v>
      </c>
      <c r="AB279" s="735">
        <f t="shared" si="236"/>
        <v>1.5699116414054022</v>
      </c>
      <c r="AC279" s="733" t="str">
        <f>IMSUM(COMPLEX(1,0),IMDIV(COMPLEX(0,2*PI()*D279),COMPLEX(2*PI()*'Stability Calculations'!EA_Pole2,0)))</f>
        <v>1+11.3864811368469i</v>
      </c>
      <c r="AD279" s="734">
        <f t="shared" si="237"/>
        <v>11.430308512011838</v>
      </c>
      <c r="AE279" s="735">
        <f t="shared" si="238"/>
        <v>1.4831976354199443</v>
      </c>
      <c r="AF279" s="732" t="str">
        <f t="shared" si="239"/>
        <v>0.450153569761815-5.17770035988602i</v>
      </c>
      <c r="AG279" s="337">
        <f t="shared" si="240"/>
        <v>5.1972318837178237</v>
      </c>
      <c r="AH279" s="730">
        <f t="shared" si="241"/>
        <v>-1.4840735615458718</v>
      </c>
      <c r="AI279" s="731" t="str">
        <f t="shared" si="219"/>
        <v>10000</v>
      </c>
      <c r="AJ279" s="733" t="str">
        <f t="shared" si="242"/>
        <v>1+106433.062592466i</v>
      </c>
      <c r="AK279" s="734">
        <f t="shared" si="243"/>
        <v>106433.06259716379</v>
      </c>
      <c r="AL279" s="735">
        <f t="shared" si="244"/>
        <v>1.5707869312182252</v>
      </c>
      <c r="AM279" s="340" t="str">
        <f t="shared" si="245"/>
        <v>1+180.629136874505i</v>
      </c>
      <c r="AN279" s="734">
        <f t="shared" si="246"/>
        <v>180.63190495598684</v>
      </c>
      <c r="AO279" s="735">
        <f t="shared" si="247"/>
        <v>1.5652601779710262</v>
      </c>
      <c r="AP279" s="733" t="str">
        <f t="shared" si="248"/>
        <v>1+8.76081087497682i</v>
      </c>
      <c r="AQ279" s="734">
        <f t="shared" si="249"/>
        <v>8.8176985198583466</v>
      </c>
      <c r="AR279" s="735">
        <f t="shared" si="250"/>
        <v>1.4571435326218161</v>
      </c>
      <c r="AS279" s="732" t="str">
        <f t="shared" si="251"/>
        <v>0.00846310894868469-13.0100771461771i</v>
      </c>
      <c r="AT279" s="337">
        <f t="shared" si="252"/>
        <v>13.01007989882048</v>
      </c>
      <c r="AU279" s="730">
        <f t="shared" si="253"/>
        <v>-1.5701458227540781</v>
      </c>
      <c r="AV279" s="732" t="str">
        <f t="shared" si="254"/>
        <v>-1.06040254486009+0.0867964266926385i</v>
      </c>
      <c r="AW279" s="337">
        <f t="shared" si="255"/>
        <v>0.5384150718574463</v>
      </c>
      <c r="AX279" s="730">
        <f t="shared" si="256"/>
        <v>175.32063819924676</v>
      </c>
      <c r="AY279" s="360">
        <f t="shared" si="257"/>
        <v>-4.6793618007532416</v>
      </c>
      <c r="BB279" s="337">
        <f t="shared" si="258"/>
        <v>-17.714400725939214</v>
      </c>
      <c r="BC279" s="730">
        <f t="shared" si="259"/>
        <v>-89.9627288639049</v>
      </c>
      <c r="BD279" s="351"/>
      <c r="BE279" s="337">
        <f t="shared" si="220"/>
        <v>40.985813130747289</v>
      </c>
      <c r="BF279" s="730">
        <f t="shared" si="221"/>
        <v>-87.144173807332479</v>
      </c>
      <c r="BI279" s="351"/>
      <c r="BJ279" s="351"/>
      <c r="BL279" s="405">
        <f t="shared" si="222"/>
        <v>0</v>
      </c>
      <c r="BM279" s="405">
        <f t="shared" si="210"/>
        <v>0</v>
      </c>
      <c r="BN279" s="405">
        <f t="shared" si="223"/>
        <v>0</v>
      </c>
      <c r="BO279" s="405">
        <f t="shared" si="224"/>
        <v>0</v>
      </c>
    </row>
    <row r="280" spans="4:67" ht="13.5" thickBot="1" x14ac:dyDescent="0.25">
      <c r="D280" s="345">
        <v>18093.5</v>
      </c>
      <c r="E280" s="340" t="str">
        <f t="shared" si="211"/>
        <v>0.300127907258398i</v>
      </c>
      <c r="F280" s="728" t="str">
        <f t="shared" si="225"/>
        <v>0.005-0.144200813979384i</v>
      </c>
      <c r="G280" s="337" t="str">
        <f t="shared" si="226"/>
        <v>0.005-0.225544862890832i</v>
      </c>
      <c r="H280" s="338" t="str">
        <f t="shared" si="227"/>
        <v>0.0449183150493132-0.216328912394075i</v>
      </c>
      <c r="I280" s="338" t="str">
        <f t="shared" si="228"/>
        <v>0.0549183150493132-0.216328912394075i</v>
      </c>
      <c r="J280" s="337" t="str">
        <f t="shared" si="229"/>
        <v>0.010424413707035-0.0874957726822237i</v>
      </c>
      <c r="K280" s="338" t="str">
        <f t="shared" si="212"/>
        <v>0.996362502863889-0.0947373444628782i</v>
      </c>
      <c r="L280" s="732"/>
      <c r="M280" s="732" t="str">
        <f t="shared" si="213"/>
        <v>5.42829280804093-110.723683778906i</v>
      </c>
      <c r="N280" s="337">
        <f t="shared" si="214"/>
        <v>0</v>
      </c>
      <c r="O280" s="730" t="str">
        <f t="shared" si="215"/>
        <v>-3.54304010014951-43.6219532545004i</v>
      </c>
      <c r="P280" s="731" t="str">
        <f t="shared" si="216"/>
        <v>-9.63126749650363-1.62918216046313i</v>
      </c>
      <c r="Q280" s="729" t="str">
        <f t="shared" si="217"/>
        <v>-9.59583709550212-1.19296262791813i</v>
      </c>
      <c r="R280" s="730"/>
      <c r="S280" s="405" t="str">
        <f t="shared" si="230"/>
        <v>39.8208360281476-1.56831113507525i</v>
      </c>
      <c r="T280" s="405" t="str">
        <f t="shared" si="231"/>
        <v>15.5080473987698-2.65238498242071i</v>
      </c>
      <c r="U280" s="405" t="str">
        <f t="shared" si="232"/>
        <v>0.122807800360174-3.47397969140407i</v>
      </c>
      <c r="V280" s="731" t="str">
        <f t="shared" si="218"/>
        <v>6000</v>
      </c>
      <c r="W280" s="733" t="str">
        <f>IMSUM(COMPLEX(1,0),IMDIV(COMPLEX(0,2*PI()*D280),COMPLEX(2*PI()*'Stability Calculations'!EA_Pole1,0)))</f>
        <v>1+114821.661489009i</v>
      </c>
      <c r="X280" s="734">
        <f t="shared" si="233"/>
        <v>114821.66149336359</v>
      </c>
      <c r="Y280" s="735">
        <f t="shared" si="234"/>
        <v>1.5707876176368247</v>
      </c>
      <c r="Z280" s="340" t="str">
        <f>IMSUM(COMPLEX(1,0),IMDIV(COMPLEX(0,2*PI()*D280),COMPLEX(2*PI()*'Stability Calculations'!EA_Zero1,0)))</f>
        <v>1+1136.84813355454i</v>
      </c>
      <c r="AA280" s="734">
        <f t="shared" si="235"/>
        <v>1136.8485733669377</v>
      </c>
      <c r="AB280" s="735">
        <f t="shared" si="236"/>
        <v>1.5699167020564893</v>
      </c>
      <c r="AC280" s="733" t="str">
        <f>IMSUM(COMPLEX(1,0),IMDIV(COMPLEX(0,2*PI()*D280),COMPLEX(2*PI()*'Stability Calculations'!EA_Pole2,0)))</f>
        <v>1+11.4519897970839i</v>
      </c>
      <c r="AD280" s="734">
        <f t="shared" si="237"/>
        <v>11.495567420206527</v>
      </c>
      <c r="AE280" s="735">
        <f t="shared" si="238"/>
        <v>1.4836961873135293</v>
      </c>
      <c r="AF280" s="732" t="str">
        <f t="shared" si="239"/>
        <v>0.445057144995489-5.14852745630878i</v>
      </c>
      <c r="AG280" s="337">
        <f t="shared" si="240"/>
        <v>5.1677278208780395</v>
      </c>
      <c r="AH280" s="730">
        <f t="shared" si="241"/>
        <v>-1.4845671028938645</v>
      </c>
      <c r="AI280" s="731" t="str">
        <f t="shared" si="219"/>
        <v>10000</v>
      </c>
      <c r="AJ280" s="733" t="str">
        <f t="shared" si="242"/>
        <v>1+107045.392885869i</v>
      </c>
      <c r="AK280" s="734">
        <f t="shared" si="243"/>
        <v>107045.39289053992</v>
      </c>
      <c r="AL280" s="735">
        <f t="shared" si="244"/>
        <v>1.5707869849636136</v>
      </c>
      <c r="AM280" s="340" t="str">
        <f t="shared" si="245"/>
        <v>1+181.668331742015i</v>
      </c>
      <c r="AN280" s="734">
        <f t="shared" si="246"/>
        <v>181.67108398951885</v>
      </c>
      <c r="AO280" s="735">
        <f t="shared" si="247"/>
        <v>1.5652918456857239</v>
      </c>
      <c r="AP280" s="733" t="str">
        <f t="shared" si="248"/>
        <v>1+8.81121353898794i</v>
      </c>
      <c r="AQ280" s="734">
        <f t="shared" si="249"/>
        <v>8.8677778518434014</v>
      </c>
      <c r="AR280" s="735">
        <f t="shared" si="250"/>
        <v>1.4577881224835068</v>
      </c>
      <c r="AS280" s="732" t="str">
        <f t="shared" si="251"/>
        <v>0.00836656310398416-12.9356558426817i</v>
      </c>
      <c r="AT280" s="337">
        <f t="shared" si="252"/>
        <v>12.93565854835707</v>
      </c>
      <c r="AU280" s="730">
        <f t="shared" si="253"/>
        <v>-1.5701495438223843</v>
      </c>
      <c r="AV280" s="732" t="str">
        <f t="shared" si="254"/>
        <v>-1.04815600074046+0.0866883572674245i</v>
      </c>
      <c r="AW280" s="337">
        <f t="shared" si="255"/>
        <v>0.4381240340362757</v>
      </c>
      <c r="AX280" s="730">
        <f t="shared" si="256"/>
        <v>175.27207932839326</v>
      </c>
      <c r="AY280" s="360">
        <f t="shared" si="257"/>
        <v>-4.7279206716067392</v>
      </c>
      <c r="BB280" s="337">
        <f t="shared" si="258"/>
        <v>-17.764229133092908</v>
      </c>
      <c r="BC280" s="730">
        <f t="shared" si="259"/>
        <v>-89.962942065414126</v>
      </c>
      <c r="BD280" s="351"/>
      <c r="BE280" s="337">
        <f t="shared" si="220"/>
        <v>40.89523630294493</v>
      </c>
      <c r="BF280" s="730">
        <f t="shared" si="221"/>
        <v>-87.193288393811542</v>
      </c>
      <c r="BI280" s="351"/>
      <c r="BJ280" s="351"/>
      <c r="BL280" s="405">
        <f t="shared" si="222"/>
        <v>0</v>
      </c>
      <c r="BM280" s="405">
        <f t="shared" si="210"/>
        <v>0</v>
      </c>
      <c r="BN280" s="405">
        <f t="shared" si="223"/>
        <v>0</v>
      </c>
      <c r="BO280" s="405">
        <f t="shared" si="224"/>
        <v>0</v>
      </c>
    </row>
    <row r="281" spans="4:67" ht="13.5" thickBot="1" x14ac:dyDescent="0.25">
      <c r="D281" s="345">
        <v>18197</v>
      </c>
      <c r="E281" s="340" t="str">
        <f t="shared" si="211"/>
        <v>0.301844724811732i</v>
      </c>
      <c r="F281" s="728" t="str">
        <f t="shared" si="225"/>
        <v>0.005-0.143380635694674i</v>
      </c>
      <c r="G281" s="337" t="str">
        <f t="shared" si="226"/>
        <v>0.005-0.224262019932696i</v>
      </c>
      <c r="H281" s="338" t="str">
        <f t="shared" si="227"/>
        <v>0.0444800521005488-0.215178939634925i</v>
      </c>
      <c r="I281" s="338" t="str">
        <f t="shared" si="228"/>
        <v>0.0544800521005488-0.215178939634925i</v>
      </c>
      <c r="J281" s="337" t="str">
        <f t="shared" si="229"/>
        <v>0.0103533995112441-0.0870034320130175i</v>
      </c>
      <c r="K281" s="338" t="str">
        <f t="shared" si="212"/>
        <v>0.996320768788889-0.0952792691956224i</v>
      </c>
      <c r="L281" s="732"/>
      <c r="M281" s="732" t="str">
        <f t="shared" si="213"/>
        <v>5.28143623391897-109.59401181195i</v>
      </c>
      <c r="N281" s="337">
        <f t="shared" si="214"/>
        <v>0</v>
      </c>
      <c r="O281" s="730" t="str">
        <f t="shared" si="215"/>
        <v>-3.52057042902809-43.1667406287711i</v>
      </c>
      <c r="P281" s="731" t="str">
        <f t="shared" si="216"/>
        <v>-9.48037433639193-1.59417366663798i</v>
      </c>
      <c r="Q281" s="729" t="str">
        <f t="shared" si="217"/>
        <v>-9.44516863210164-1.16250626035027i</v>
      </c>
      <c r="R281" s="730"/>
      <c r="S281" s="405" t="str">
        <f t="shared" si="230"/>
        <v>39.8215706834204-1.60233638617532i</v>
      </c>
      <c r="T281" s="405" t="str">
        <f t="shared" si="231"/>
        <v>15.5053229046462-2.65755995933921i</v>
      </c>
      <c r="U281" s="405" t="str">
        <f t="shared" si="232"/>
        <v>0.117826636567648-3.45462734677062i</v>
      </c>
      <c r="V281" s="731" t="str">
        <f t="shared" si="218"/>
        <v>6000</v>
      </c>
      <c r="W281" s="733" t="str">
        <f>IMSUM(COMPLEX(1,0),IMDIV(COMPLEX(0,2*PI()*D281),COMPLEX(2*PI()*'Stability Calculations'!EA_Pole1,0)))</f>
        <v>1+115478.474265094i</v>
      </c>
      <c r="X281" s="734">
        <f t="shared" si="233"/>
        <v>115478.47426942381</v>
      </c>
      <c r="Y281" s="735">
        <f t="shared" si="234"/>
        <v>1.5707876671723451</v>
      </c>
      <c r="Z281" s="340" t="str">
        <f>IMSUM(COMPLEX(1,0),IMDIV(COMPLEX(0,2*PI()*D281),COMPLEX(2*PI()*'Stability Calculations'!EA_Zero1,0)))</f>
        <v>1+1143.35123034747i</v>
      </c>
      <c r="AA281" s="734">
        <f t="shared" si="235"/>
        <v>1143.3516676583254</v>
      </c>
      <c r="AB281" s="735">
        <f t="shared" si="236"/>
        <v>1.5699217051401768</v>
      </c>
      <c r="AC281" s="733" t="str">
        <f>IMSUM(COMPLEX(1,0),IMDIV(COMPLEX(0,2*PI()*D281),COMPLEX(2*PI()*'Stability Calculations'!EA_Pole2,0)))</f>
        <v>1+11.5174984573209i</v>
      </c>
      <c r="AD281" s="734">
        <f t="shared" si="237"/>
        <v>11.560829153412365</v>
      </c>
      <c r="AE281" s="735">
        <f t="shared" si="238"/>
        <v>1.484189110604065</v>
      </c>
      <c r="AF281" s="732" t="str">
        <f t="shared" si="239"/>
        <v>0.440046566715187-5.11967895557593i</v>
      </c>
      <c r="AG281" s="337">
        <f t="shared" si="240"/>
        <v>5.1385555936512812</v>
      </c>
      <c r="AH281" s="730">
        <f t="shared" si="241"/>
        <v>-1.485055072636233</v>
      </c>
      <c r="AI281" s="731" t="str">
        <f t="shared" si="219"/>
        <v>10000</v>
      </c>
      <c r="AJ281" s="733" t="str">
        <f t="shared" si="242"/>
        <v>1+107657.723179272i</v>
      </c>
      <c r="AK281" s="734">
        <f t="shared" si="243"/>
        <v>107657.72318391634</v>
      </c>
      <c r="AL281" s="735">
        <f t="shared" si="244"/>
        <v>1.5707870380976212</v>
      </c>
      <c r="AM281" s="340" t="str">
        <f t="shared" si="245"/>
        <v>1+182.707526609526i</v>
      </c>
      <c r="AN281" s="734">
        <f t="shared" si="246"/>
        <v>182.71026320316724</v>
      </c>
      <c r="AO281" s="735">
        <f t="shared" si="247"/>
        <v>1.5653231531751399</v>
      </c>
      <c r="AP281" s="733" t="str">
        <f t="shared" si="248"/>
        <v>1+8.86161620299906i</v>
      </c>
      <c r="AQ281" s="734">
        <f t="shared" si="249"/>
        <v>8.9178608269727722</v>
      </c>
      <c r="AR281" s="735">
        <f t="shared" si="250"/>
        <v>1.4584254725353671</v>
      </c>
      <c r="AS281" s="732" t="str">
        <f t="shared" si="251"/>
        <v>0.00827165995503056-12.8620811177761i</v>
      </c>
      <c r="AT281" s="337">
        <f t="shared" si="252"/>
        <v>12.862083777545957</v>
      </c>
      <c r="AU281" s="730">
        <f t="shared" si="253"/>
        <v>-1.5701532225616899</v>
      </c>
      <c r="AV281" s="732" t="str">
        <f t="shared" si="254"/>
        <v>-1.03611893261981+0.0865744946769293i</v>
      </c>
      <c r="AW281" s="337">
        <f t="shared" si="255"/>
        <v>0.33840793825412119</v>
      </c>
      <c r="AX281" s="730">
        <f t="shared" si="256"/>
        <v>175.22365895105821</v>
      </c>
      <c r="AY281" s="360">
        <f t="shared" si="257"/>
        <v>-4.7763410489417879</v>
      </c>
      <c r="BB281" s="337">
        <f t="shared" si="258"/>
        <v>-17.813773319093258</v>
      </c>
      <c r="BC281" s="730">
        <f t="shared" si="259"/>
        <v>-89.963152841650256</v>
      </c>
      <c r="BD281" s="351"/>
      <c r="BE281" s="337">
        <f t="shared" si="220"/>
        <v>40.805810709695308</v>
      </c>
      <c r="BF281" s="730">
        <f t="shared" si="221"/>
        <v>-87.240998166317937</v>
      </c>
      <c r="BI281" s="351"/>
      <c r="BJ281" s="351"/>
      <c r="BL281" s="405">
        <f t="shared" si="222"/>
        <v>0</v>
      </c>
      <c r="BM281" s="405">
        <f t="shared" si="210"/>
        <v>0</v>
      </c>
      <c r="BN281" s="405">
        <f t="shared" si="223"/>
        <v>0</v>
      </c>
      <c r="BO281" s="405">
        <f t="shared" si="224"/>
        <v>0</v>
      </c>
    </row>
    <row r="282" spans="4:67" ht="13.5" thickBot="1" x14ac:dyDescent="0.25">
      <c r="D282" s="345">
        <v>18303</v>
      </c>
      <c r="E282" s="340" t="str">
        <f t="shared" si="211"/>
        <v>0.303603011388093i</v>
      </c>
      <c r="F282" s="728" t="str">
        <f t="shared" si="225"/>
        <v>0.005-0.142550261035677i</v>
      </c>
      <c r="G282" s="337" t="str">
        <f t="shared" si="226"/>
        <v>0.005-0.222963228799392i</v>
      </c>
      <c r="H282" s="338" t="str">
        <f t="shared" si="227"/>
        <v>0.0440385561298023-0.214013328545345i</v>
      </c>
      <c r="I282" s="338" t="str">
        <f t="shared" si="228"/>
        <v>0.0540385561298023-0.214013328545345i</v>
      </c>
      <c r="J282" s="337" t="str">
        <f t="shared" si="229"/>
        <v>0.0102819064497435-0.086504884068231i</v>
      </c>
      <c r="K282" s="338" t="str">
        <f t="shared" si="212"/>
        <v>0.9962777799-0.0958342838977566i</v>
      </c>
      <c r="L282" s="732"/>
      <c r="M282" s="732" t="str">
        <f t="shared" si="213"/>
        <v>5.13689219749563-108.463316776057i</v>
      </c>
      <c r="N282" s="337">
        <f t="shared" si="214"/>
        <v>0</v>
      </c>
      <c r="O282" s="730" t="str">
        <f t="shared" si="215"/>
        <v>-3.49736821631468-42.7113438766544i</v>
      </c>
      <c r="P282" s="731" t="str">
        <f t="shared" si="216"/>
        <v>-9.32978959835155-1.55957594033567i</v>
      </c>
      <c r="Q282" s="729" t="str">
        <f t="shared" si="217"/>
        <v>-9.2948159161884-1.13246250156912i</v>
      </c>
      <c r="R282" s="730"/>
      <c r="S282" s="405" t="str">
        <f t="shared" si="230"/>
        <v>39.8222536006104-1.63704463102117i</v>
      </c>
      <c r="T282" s="405" t="str">
        <f t="shared" si="231"/>
        <v>15.5025456814595-2.66291290695566i</v>
      </c>
      <c r="U282" s="405" t="str">
        <f t="shared" si="232"/>
        <v>0.112810873303833-3.43502224173716i</v>
      </c>
      <c r="V282" s="731" t="str">
        <f t="shared" si="218"/>
        <v>6000</v>
      </c>
      <c r="W282" s="733" t="str">
        <f>IMSUM(COMPLEX(1,0),IMDIV(COMPLEX(0,2*PI()*D282),COMPLEX(2*PI()*'Stability Calculations'!EA_Pole1,0)))</f>
        <v>1+116151.152084081i</v>
      </c>
      <c r="X282" s="734">
        <f t="shared" si="233"/>
        <v>116151.15208838573</v>
      </c>
      <c r="Y282" s="735">
        <f t="shared" si="234"/>
        <v>1.5707877173236857</v>
      </c>
      <c r="Z282" s="340" t="str">
        <f>IMSUM(COMPLEX(1,0),IMDIV(COMPLEX(0,2*PI()*D282),COMPLEX(2*PI()*'Stability Calculations'!EA_Zero1,0)))</f>
        <v>1+1150.01140677308i</v>
      </c>
      <c r="AA282" s="734">
        <f t="shared" si="235"/>
        <v>1150.0118415512939</v>
      </c>
      <c r="AB282" s="735">
        <f t="shared" si="236"/>
        <v>1.5699267704217446</v>
      </c>
      <c r="AC282" s="733" t="str">
        <f>IMSUM(COMPLEX(1,0),IMDIV(COMPLEX(0,2*PI()*D282),COMPLEX(2*PI()*'Stability Calculations'!EA_Pole2,0)))</f>
        <v>1+11.5845894523462i</v>
      </c>
      <c r="AD282" s="734">
        <f t="shared" si="237"/>
        <v>11.627670135474725</v>
      </c>
      <c r="AE282" s="735">
        <f t="shared" si="238"/>
        <v>1.4846882048523553</v>
      </c>
      <c r="AF282" s="732" t="str">
        <f t="shared" si="239"/>
        <v>0.435001943900714-5.0904643045896i</v>
      </c>
      <c r="AG282" s="337">
        <f t="shared" si="240"/>
        <v>5.1090168846362483</v>
      </c>
      <c r="AH282" s="730">
        <f t="shared" si="241"/>
        <v>-1.4855491517542967</v>
      </c>
      <c r="AI282" s="731" t="str">
        <f t="shared" si="219"/>
        <v>10000</v>
      </c>
      <c r="AJ282" s="733" t="str">
        <f t="shared" si="242"/>
        <v>1+108284.844059472i</v>
      </c>
      <c r="AK282" s="734">
        <f t="shared" si="243"/>
        <v>108284.84406408944</v>
      </c>
      <c r="AL282" s="735">
        <f t="shared" si="244"/>
        <v>1.5707870918921856</v>
      </c>
      <c r="AM282" s="340" t="str">
        <f t="shared" si="245"/>
        <v>1+183.771822802338i</v>
      </c>
      <c r="AN282" s="734">
        <f t="shared" si="246"/>
        <v>183.77454354750529</v>
      </c>
      <c r="AO282" s="735">
        <f t="shared" si="247"/>
        <v>1.5653548498870586</v>
      </c>
      <c r="AP282" s="733" t="str">
        <f t="shared" si="248"/>
        <v>1+8.91323632266262i</v>
      </c>
      <c r="AQ282" s="734">
        <f t="shared" si="249"/>
        <v>8.9691572482386697</v>
      </c>
      <c r="AR282" s="735">
        <f t="shared" si="250"/>
        <v>1.4590708394669547</v>
      </c>
      <c r="AS282" s="732" t="str">
        <f t="shared" si="251"/>
        <v>0.00817612844001719-12.7875917181957i</v>
      </c>
      <c r="AT282" s="337">
        <f t="shared" si="252"/>
        <v>12.787594332021309</v>
      </c>
      <c r="AU282" s="730">
        <f t="shared" si="253"/>
        <v>-1.5701569470347319</v>
      </c>
      <c r="AV282" s="732" t="str">
        <f t="shared" si="254"/>
        <v>-1.02400327418663+0.0864521530819513i</v>
      </c>
      <c r="AW282" s="337">
        <f t="shared" si="255"/>
        <v>0.23687228130082341</v>
      </c>
      <c r="AX282" s="730">
        <f t="shared" si="256"/>
        <v>175.17420982418957</v>
      </c>
      <c r="AY282" s="360">
        <f t="shared" si="257"/>
        <v>-4.8257901758104254</v>
      </c>
      <c r="BB282" s="337">
        <f t="shared" si="258"/>
        <v>-17.864222990952136</v>
      </c>
      <c r="BC282" s="730">
        <f t="shared" si="259"/>
        <v>-89.963366238236475</v>
      </c>
      <c r="BD282" s="351"/>
      <c r="BE282" s="337">
        <f t="shared" si="220"/>
        <v>40.715388066060541</v>
      </c>
      <c r="BF282" s="730">
        <f t="shared" si="221"/>
        <v>-87.288461304219894</v>
      </c>
      <c r="BI282" s="351"/>
      <c r="BJ282" s="351"/>
      <c r="BL282" s="405">
        <f t="shared" si="222"/>
        <v>0</v>
      </c>
      <c r="BM282" s="405">
        <f t="shared" ref="BM282:BM345" si="260">IF(BL282&gt;0,AY282,0)</f>
        <v>0</v>
      </c>
      <c r="BN282" s="405">
        <f t="shared" si="223"/>
        <v>0</v>
      </c>
      <c r="BO282" s="405">
        <f t="shared" si="224"/>
        <v>0</v>
      </c>
    </row>
    <row r="283" spans="4:67" ht="13.5" thickBot="1" x14ac:dyDescent="0.25">
      <c r="D283" s="345">
        <v>18409</v>
      </c>
      <c r="E283" s="340" t="str">
        <f t="shared" si="211"/>
        <v>0.305361297964454i</v>
      </c>
      <c r="F283" s="728" t="str">
        <f t="shared" si="225"/>
        <v>0.005-0.141729449059481i</v>
      </c>
      <c r="G283" s="337" t="str">
        <f t="shared" si="226"/>
        <v>0.005-0.221679394682778i</v>
      </c>
      <c r="H283" s="338" t="str">
        <f t="shared" si="227"/>
        <v>0.0436043405031695-0.212859819690937i</v>
      </c>
      <c r="I283" s="338" t="str">
        <f t="shared" si="228"/>
        <v>0.0536043405031695-0.212859819690937i</v>
      </c>
      <c r="J283" s="337" t="str">
        <f t="shared" si="229"/>
        <v>0.0102116363228008-0.0860119923787208i</v>
      </c>
      <c r="K283" s="338" t="str">
        <f t="shared" si="212"/>
        <v>0.996234541322222-0.0963892985998908i</v>
      </c>
      <c r="L283" s="732"/>
      <c r="M283" s="732" t="str">
        <f t="shared" si="213"/>
        <v>4.99798086046204-107.358272114066i</v>
      </c>
      <c r="N283" s="337">
        <f t="shared" si="214"/>
        <v>0</v>
      </c>
      <c r="O283" s="730" t="str">
        <f t="shared" si="215"/>
        <v>-3.47401320928823-42.2664979518076i</v>
      </c>
      <c r="P283" s="731" t="str">
        <f t="shared" si="216"/>
        <v>-9.18306131997236-1.52618992275219i</v>
      </c>
      <c r="Q283" s="729" t="str">
        <f t="shared" si="217"/>
        <v>-9.14832118787947-1.10352494323411i</v>
      </c>
      <c r="R283" s="730"/>
      <c r="S283" s="405" t="str">
        <f t="shared" si="230"/>
        <v>39.8228674367367-1.67161456860114i</v>
      </c>
      <c r="T283" s="405" t="str">
        <f t="shared" si="231"/>
        <v>15.4997812087539-2.66831856948374i</v>
      </c>
      <c r="U283" s="405" t="str">
        <f t="shared" si="232"/>
        <v>0.107879927972845-3.41563090481903i</v>
      </c>
      <c r="V283" s="731" t="str">
        <f t="shared" si="218"/>
        <v>6000</v>
      </c>
      <c r="W283" s="733" t="str">
        <f>IMSUM(COMPLEX(1,0),IMDIV(COMPLEX(0,2*PI()*D283),COMPLEX(2*PI()*'Stability Calculations'!EA_Pole1,0)))</f>
        <v>1+116823.829903068i</v>
      </c>
      <c r="X283" s="734">
        <f t="shared" si="233"/>
        <v>116823.82990734797</v>
      </c>
      <c r="Y283" s="735">
        <f t="shared" si="234"/>
        <v>1.5707877668974783</v>
      </c>
      <c r="Z283" s="340" t="str">
        <f>IMSUM(COMPLEX(1,0),IMDIV(COMPLEX(0,2*PI()*D283),COMPLEX(2*PI()*'Stability Calculations'!EA_Zero1,0)))</f>
        <v>1+1156.67158319869i</v>
      </c>
      <c r="AA283" s="734">
        <f t="shared" si="235"/>
        <v>1156.6720154734289</v>
      </c>
      <c r="AB283" s="735">
        <f t="shared" si="236"/>
        <v>1.5699317773710351</v>
      </c>
      <c r="AC283" s="733" t="str">
        <f>IMSUM(COMPLEX(1,0),IMDIV(COMPLEX(0,2*PI()*D283),COMPLEX(2*PI()*'Stability Calculations'!EA_Pole2,0)))</f>
        <v>1+11.6516804473715i</v>
      </c>
      <c r="AD283" s="734">
        <f t="shared" si="237"/>
        <v>11.694513980822775</v>
      </c>
      <c r="AE283" s="735">
        <f t="shared" si="238"/>
        <v>1.4851815937473494</v>
      </c>
      <c r="AF283" s="732" t="str">
        <f t="shared" si="239"/>
        <v>0.430043361993868-5.06157870821527i</v>
      </c>
      <c r="AG283" s="337">
        <f t="shared" si="240"/>
        <v>5.0798145943186892</v>
      </c>
      <c r="AH283" s="730">
        <f t="shared" si="241"/>
        <v>-1.4860375832737927</v>
      </c>
      <c r="AI283" s="731" t="str">
        <f t="shared" si="219"/>
        <v>10000</v>
      </c>
      <c r="AJ283" s="733" t="str">
        <f t="shared" si="242"/>
        <v>1+108911.964939672i</v>
      </c>
      <c r="AK283" s="734">
        <f t="shared" si="243"/>
        <v>108911.96494426287</v>
      </c>
      <c r="AL283" s="735">
        <f t="shared" si="244"/>
        <v>1.5707871450672459</v>
      </c>
      <c r="AM283" s="340" t="str">
        <f t="shared" si="245"/>
        <v>1+184.836118995151i</v>
      </c>
      <c r="AN283" s="734">
        <f t="shared" si="246"/>
        <v>184.838824074353</v>
      </c>
      <c r="AO283" s="735">
        <f t="shared" si="247"/>
        <v>1.5653861815870211</v>
      </c>
      <c r="AP283" s="733" t="str">
        <f t="shared" si="248"/>
        <v>1+8.96485644232618i</v>
      </c>
      <c r="AQ283" s="734">
        <f t="shared" si="249"/>
        <v>9.0204573626572397</v>
      </c>
      <c r="AR283" s="735">
        <f t="shared" si="250"/>
        <v>1.4597088661476216</v>
      </c>
      <c r="AS283" s="732" t="str">
        <f t="shared" si="251"/>
        <v>0.0080822423950852-12.7139601454095i</v>
      </c>
      <c r="AT283" s="337">
        <f t="shared" si="252"/>
        <v>12.713962714342971</v>
      </c>
      <c r="AU283" s="730">
        <f t="shared" si="253"/>
        <v>-1.5701606286163639</v>
      </c>
      <c r="AV283" s="732" t="str">
        <f t="shared" si="254"/>
        <v>-1.01209738619643+0.0863242842928534i</v>
      </c>
      <c r="AW283" s="337">
        <f t="shared" si="255"/>
        <v>0.13592577667302017</v>
      </c>
      <c r="AX283" s="730">
        <f t="shared" si="256"/>
        <v>175.12490049151316</v>
      </c>
      <c r="AY283" s="360">
        <f t="shared" si="257"/>
        <v>-4.8750995084868407</v>
      </c>
      <c r="BB283" s="337">
        <f t="shared" si="258"/>
        <v>-17.91438133078519</v>
      </c>
      <c r="BC283" s="730">
        <f t="shared" si="259"/>
        <v>-89.963577177325917</v>
      </c>
      <c r="BD283" s="351"/>
      <c r="BE283" s="337">
        <f t="shared" si="220"/>
        <v>40.626112522083005</v>
      </c>
      <c r="BF283" s="730">
        <f t="shared" si="221"/>
        <v>-87.334564030777315</v>
      </c>
      <c r="BI283" s="351"/>
      <c r="BJ283" s="351"/>
      <c r="BL283" s="405">
        <f t="shared" si="222"/>
        <v>0</v>
      </c>
      <c r="BM283" s="405">
        <f t="shared" si="260"/>
        <v>0</v>
      </c>
      <c r="BN283" s="405">
        <f t="shared" si="223"/>
        <v>0</v>
      </c>
      <c r="BO283" s="405">
        <f t="shared" si="224"/>
        <v>0</v>
      </c>
    </row>
    <row r="284" spans="4:67" ht="13.5" thickBot="1" x14ac:dyDescent="0.25">
      <c r="D284" s="345">
        <v>18515</v>
      </c>
      <c r="E284" s="340" t="str">
        <f t="shared" si="211"/>
        <v>0.307119584540815i</v>
      </c>
      <c r="F284" s="728" t="str">
        <f t="shared" si="225"/>
        <v>0.005-0.140918035524493i</v>
      </c>
      <c r="G284" s="337" t="str">
        <f t="shared" si="226"/>
        <v>0.005-0.220410260692156i</v>
      </c>
      <c r="H284" s="338" t="str">
        <f t="shared" si="227"/>
        <v>0.0431772478014526-0.211718233613835i</v>
      </c>
      <c r="I284" s="338" t="str">
        <f t="shared" si="228"/>
        <v>0.0531772478014526-0.211718233613835i</v>
      </c>
      <c r="J284" s="337" t="str">
        <f t="shared" si="229"/>
        <v>0.0101425614336811-0.085524661743198i</v>
      </c>
      <c r="K284" s="338" t="str">
        <f t="shared" si="212"/>
        <v>0.996191053055556-0.096944313302025i</v>
      </c>
      <c r="L284" s="732"/>
      <c r="M284" s="732" t="str">
        <f t="shared" si="213"/>
        <v>4.86442107044052-106.277986937285i</v>
      </c>
      <c r="N284" s="337">
        <f t="shared" si="214"/>
        <v>0</v>
      </c>
      <c r="O284" s="730" t="str">
        <f t="shared" si="215"/>
        <v>-3.4505414747208-41.8318287650021i</v>
      </c>
      <c r="P284" s="731" t="str">
        <f t="shared" si="216"/>
        <v>-9.04005119401305-1.49395897818528i</v>
      </c>
      <c r="Q284" s="729" t="str">
        <f t="shared" si="217"/>
        <v>-9.00554577926583-1.07564069053526i</v>
      </c>
      <c r="R284" s="730"/>
      <c r="S284" s="405" t="str">
        <f t="shared" si="230"/>
        <v>39.8234133988866-1.70604839175458i</v>
      </c>
      <c r="T284" s="405" t="str">
        <f t="shared" si="231"/>
        <v>15.4970290105899-2.67377606994497i</v>
      </c>
      <c r="U284" s="405" t="str">
        <f t="shared" si="232"/>
        <v>0.103031915168851-3.39644990032206i</v>
      </c>
      <c r="V284" s="731" t="str">
        <f t="shared" si="218"/>
        <v>6000</v>
      </c>
      <c r="W284" s="733" t="str">
        <f>IMSUM(COMPLEX(1,0),IMDIV(COMPLEX(0,2*PI()*D284),COMPLEX(2*PI()*'Stability Calculations'!EA_Pole1,0)))</f>
        <v>1+117496.507722054i</v>
      </c>
      <c r="X284" s="734">
        <f t="shared" si="233"/>
        <v>117496.50772630944</v>
      </c>
      <c r="Y284" s="735">
        <f t="shared" si="234"/>
        <v>1.5707878159036424</v>
      </c>
      <c r="Z284" s="340" t="str">
        <f>IMSUM(COMPLEX(1,0),IMDIV(COMPLEX(0,2*PI()*D284),COMPLEX(2*PI()*'Stability Calculations'!EA_Zero1,0)))</f>
        <v>1+1163.3317596243i</v>
      </c>
      <c r="AA284" s="734">
        <f t="shared" si="235"/>
        <v>1163.3321894242292</v>
      </c>
      <c r="AB284" s="735">
        <f t="shared" si="236"/>
        <v>1.56993672698992</v>
      </c>
      <c r="AC284" s="733" t="str">
        <f>IMSUM(COMPLEX(1,0),IMDIV(COMPLEX(0,2*PI()*D284),COMPLEX(2*PI()*'Stability Calculations'!EA_Pole2,0)))</f>
        <v>1+11.7187714423969i</v>
      </c>
      <c r="AD284" s="734">
        <f t="shared" si="237"/>
        <v>11.761360640637507</v>
      </c>
      <c r="AE284" s="735">
        <f t="shared" si="238"/>
        <v>1.4856693743272953</v>
      </c>
      <c r="AF284" s="732" t="str">
        <f t="shared" si="239"/>
        <v>0.425168880111977-5.03301668047488i</v>
      </c>
      <c r="AG284" s="337">
        <f t="shared" si="240"/>
        <v>5.0509430290346824</v>
      </c>
      <c r="AH284" s="730">
        <f t="shared" si="241"/>
        <v>-1.4865204632410176</v>
      </c>
      <c r="AI284" s="731" t="str">
        <f t="shared" si="219"/>
        <v>10000</v>
      </c>
      <c r="AJ284" s="733" t="str">
        <f t="shared" si="242"/>
        <v>1+109539.085819873i</v>
      </c>
      <c r="AK284" s="734">
        <f t="shared" si="243"/>
        <v>109539.08582443757</v>
      </c>
      <c r="AL284" s="735">
        <f t="shared" si="244"/>
        <v>1.5707871976334427</v>
      </c>
      <c r="AM284" s="340" t="str">
        <f t="shared" si="245"/>
        <v>1+185.900415187963i</v>
      </c>
      <c r="AN284" s="734">
        <f t="shared" si="246"/>
        <v>185.90310478057387</v>
      </c>
      <c r="AO284" s="735">
        <f t="shared" si="247"/>
        <v>1.5654171545439599</v>
      </c>
      <c r="AP284" s="733" t="str">
        <f t="shared" si="248"/>
        <v>1+9.01647656198975i</v>
      </c>
      <c r="AQ284" s="734">
        <f t="shared" si="249"/>
        <v>9.0717611075750071</v>
      </c>
      <c r="AR284" s="735">
        <f t="shared" si="250"/>
        <v>1.4603396765879408</v>
      </c>
      <c r="AS284" s="732" t="str">
        <f t="shared" si="251"/>
        <v>0.00798996424649139-12.6411716660403i</v>
      </c>
      <c r="AT284" s="337">
        <f t="shared" si="252"/>
        <v>12.641174191103799</v>
      </c>
      <c r="AU284" s="730">
        <f t="shared" si="253"/>
        <v>-1.570164268043257</v>
      </c>
      <c r="AV284" s="732" t="str">
        <f t="shared" si="254"/>
        <v>-1.00039644990964+0.0861911489727269i</v>
      </c>
      <c r="AW284" s="337">
        <f t="shared" si="255"/>
        <v>3.5561573419262284E-2</v>
      </c>
      <c r="AX284" s="730">
        <f t="shared" si="256"/>
        <v>175.0757282896744</v>
      </c>
      <c r="AY284" s="360">
        <f t="shared" si="257"/>
        <v>-4.9242717103255984</v>
      </c>
      <c r="BB284" s="337">
        <f t="shared" si="258"/>
        <v>-17.964251683995265</v>
      </c>
      <c r="BC284" s="730">
        <f t="shared" si="259"/>
        <v>-89.963785701126753</v>
      </c>
      <c r="BD284" s="351"/>
      <c r="BE284" s="337">
        <f t="shared" si="220"/>
        <v>40.537955170276021</v>
      </c>
      <c r="BF284" s="730">
        <f t="shared" si="221"/>
        <v>-87.379359356386317</v>
      </c>
      <c r="BI284" s="351"/>
      <c r="BJ284" s="351"/>
      <c r="BL284" s="405">
        <f t="shared" si="222"/>
        <v>18515</v>
      </c>
      <c r="BM284" s="405">
        <f t="shared" si="260"/>
        <v>-4.9242717103255984</v>
      </c>
      <c r="BN284" s="405">
        <f t="shared" si="223"/>
        <v>0</v>
      </c>
      <c r="BO284" s="405">
        <f t="shared" si="224"/>
        <v>0</v>
      </c>
    </row>
    <row r="285" spans="4:67" ht="13.5" thickBot="1" x14ac:dyDescent="0.25">
      <c r="D285" s="345">
        <v>18621</v>
      </c>
      <c r="E285" s="340" t="str">
        <f t="shared" si="211"/>
        <v>0.308877871117176i</v>
      </c>
      <c r="F285" s="728" t="str">
        <f t="shared" si="225"/>
        <v>0.005-0.140115859928897i</v>
      </c>
      <c r="G285" s="337" t="str">
        <f t="shared" si="226"/>
        <v>0.005-0.219155575786223i</v>
      </c>
      <c r="H285" s="338" t="str">
        <f t="shared" si="227"/>
        <v>0.0427571247883127-0.210588394192053i</v>
      </c>
      <c r="I285" s="338" t="str">
        <f t="shared" si="228"/>
        <v>0.0527571247883127-0.210588394192053i</v>
      </c>
      <c r="J285" s="337" t="str">
        <f t="shared" si="229"/>
        <v>0.0100746548639948-0.0850427990737076i</v>
      </c>
      <c r="K285" s="338" t="str">
        <f t="shared" si="212"/>
        <v>0.9961473151-0.0974993280041592i</v>
      </c>
      <c r="L285" s="732"/>
      <c r="M285" s="732" t="str">
        <f t="shared" si="213"/>
        <v>4.73594869942523-105.221611324725i</v>
      </c>
      <c r="N285" s="337">
        <f t="shared" si="214"/>
        <v>0</v>
      </c>
      <c r="O285" s="730" t="str">
        <f t="shared" si="215"/>
        <v>-3.42698585259108-41.4069797848156i</v>
      </c>
      <c r="P285" s="731" t="str">
        <f t="shared" si="216"/>
        <v>-8.90062730150009-1.46282975199862i</v>
      </c>
      <c r="Q285" s="729" t="str">
        <f t="shared" si="217"/>
        <v>-8.86635744297419-1.04875995415046i</v>
      </c>
      <c r="R285" s="730"/>
      <c r="S285" s="405" t="str">
        <f t="shared" si="230"/>
        <v>39.8238926609226-1.74034824732841i</v>
      </c>
      <c r="T285" s="405" t="str">
        <f t="shared" si="231"/>
        <v>15.4942886241519-2.67928454951896i</v>
      </c>
      <c r="U285" s="405" t="str">
        <f t="shared" si="232"/>
        <v>0.0982650013422195-3.37747586433555i</v>
      </c>
      <c r="V285" s="731" t="str">
        <f t="shared" si="218"/>
        <v>6000</v>
      </c>
      <c r="W285" s="733" t="str">
        <f>IMSUM(COMPLEX(1,0),IMDIV(COMPLEX(0,2*PI()*D285),COMPLEX(2*PI()*'Stability Calculations'!EA_Pole1,0)))</f>
        <v>1+118169.185541041i</v>
      </c>
      <c r="X285" s="734">
        <f t="shared" si="233"/>
        <v>118169.18554527222</v>
      </c>
      <c r="Y285" s="735">
        <f t="shared" si="234"/>
        <v>1.5707878643518713</v>
      </c>
      <c r="Z285" s="340" t="str">
        <f>IMSUM(COMPLEX(1,0),IMDIV(COMPLEX(0,2*PI()*D285),COMPLEX(2*PI()*'Stability Calculations'!EA_Zero1,0)))</f>
        <v>1+1169.99193604991i</v>
      </c>
      <c r="AA285" s="734">
        <f t="shared" si="235"/>
        <v>1169.9923634032048</v>
      </c>
      <c r="AB285" s="735">
        <f t="shared" si="236"/>
        <v>1.5699416202574581</v>
      </c>
      <c r="AC285" s="733" t="str">
        <f>IMSUM(COMPLEX(1,0),IMDIV(COMPLEX(0,2*PI()*D285),COMPLEX(2*PI()*'Stability Calculations'!EA_Pole2,0)))</f>
        <v>1+11.7858624374222i</v>
      </c>
      <c r="AD285" s="734">
        <f t="shared" si="237"/>
        <v>11.828210067201189</v>
      </c>
      <c r="AE285" s="735">
        <f t="shared" si="238"/>
        <v>1.4861516414475315</v>
      </c>
      <c r="AF285" s="732" t="str">
        <f t="shared" si="239"/>
        <v>0.420376611660353-5.00477285569979i</v>
      </c>
      <c r="AG285" s="337">
        <f t="shared" si="240"/>
        <v>5.0223966224085164</v>
      </c>
      <c r="AH285" s="730">
        <f t="shared" si="241"/>
        <v>-1.486997885541945</v>
      </c>
      <c r="AI285" s="731" t="str">
        <f t="shared" si="219"/>
        <v>10000</v>
      </c>
      <c r="AJ285" s="733" t="str">
        <f t="shared" si="242"/>
        <v>1+110166.206700073i</v>
      </c>
      <c r="AK285" s="734">
        <f t="shared" si="243"/>
        <v>110166.2067046116</v>
      </c>
      <c r="AL285" s="735">
        <f t="shared" si="244"/>
        <v>1.5707872496011734</v>
      </c>
      <c r="AM285" s="340" t="str">
        <f t="shared" si="245"/>
        <v>1+186.964711380776i</v>
      </c>
      <c r="AN285" s="734">
        <f t="shared" si="246"/>
        <v>186.96738566310668</v>
      </c>
      <c r="AO285" s="735">
        <f t="shared" si="247"/>
        <v>1.5654477748840709</v>
      </c>
      <c r="AP285" s="733" t="str">
        <f t="shared" si="248"/>
        <v>1+9.06809668165331i</v>
      </c>
      <c r="AQ285" s="734">
        <f t="shared" si="249"/>
        <v>9.1230684217434082</v>
      </c>
      <c r="AR285" s="735">
        <f t="shared" si="250"/>
        <v>1.4609633920320579</v>
      </c>
      <c r="AS285" s="732" t="str">
        <f t="shared" si="251"/>
        <v>0.00789925748688125-12.5692118821888i</v>
      </c>
      <c r="AT285" s="337">
        <f t="shared" si="252"/>
        <v>12.56921436437556</v>
      </c>
      <c r="AU285" s="730">
        <f t="shared" si="253"/>
        <v>-1.570167866035308</v>
      </c>
      <c r="AV285" s="732" t="str">
        <f t="shared" si="254"/>
        <v>-0.988895784245893+0.086052996883464i</v>
      </c>
      <c r="AW285" s="337">
        <f t="shared" si="255"/>
        <v>-6.4227060663066105E-2</v>
      </c>
      <c r="AX285" s="730">
        <f t="shared" si="256"/>
        <v>175.02669062275396</v>
      </c>
      <c r="AY285" s="360">
        <f t="shared" si="257"/>
        <v>-4.9733093772460393</v>
      </c>
      <c r="BB285" s="337">
        <f t="shared" si="258"/>
        <v>-18.013837338690493</v>
      </c>
      <c r="BC285" s="730">
        <f t="shared" si="259"/>
        <v>-89.963991850885989</v>
      </c>
      <c r="BD285" s="351"/>
      <c r="BE285" s="337">
        <f t="shared" si="220"/>
        <v>40.450888152880353</v>
      </c>
      <c r="BF285" s="730">
        <f t="shared" si="221"/>
        <v>-87.422897684597984</v>
      </c>
      <c r="BI285" s="351"/>
      <c r="BJ285" s="351"/>
      <c r="BL285" s="405">
        <f t="shared" si="222"/>
        <v>0</v>
      </c>
      <c r="BM285" s="405">
        <f t="shared" si="260"/>
        <v>0</v>
      </c>
      <c r="BN285" s="405">
        <f t="shared" si="223"/>
        <v>0</v>
      </c>
      <c r="BO285" s="405">
        <f t="shared" si="224"/>
        <v>0</v>
      </c>
    </row>
    <row r="286" spans="4:67" ht="13.5" thickBot="1" x14ac:dyDescent="0.25">
      <c r="D286" s="345">
        <v>18729.5</v>
      </c>
      <c r="E286" s="340" t="str">
        <f t="shared" si="211"/>
        <v>0.310677626716565i</v>
      </c>
      <c r="F286" s="728" t="str">
        <f t="shared" si="225"/>
        <v>0.005-0.139304168703702i</v>
      </c>
      <c r="G286" s="337" t="str">
        <f t="shared" si="226"/>
        <v>0.005-0.217886007459637i</v>
      </c>
      <c r="H286" s="338" t="str">
        <f t="shared" si="227"/>
        <v>0.0423341557156082-0.209443892694005i</v>
      </c>
      <c r="I286" s="338" t="str">
        <f t="shared" si="228"/>
        <v>0.0523341557156082-0.209443892694005i</v>
      </c>
      <c r="J286" s="337" t="str">
        <f t="shared" si="229"/>
        <v>0.0100063293930891-0.0845551396403735i</v>
      </c>
      <c r="K286" s="338" t="str">
        <f t="shared" si="212"/>
        <v>0.996102286997222-0.0980674326756834i</v>
      </c>
      <c r="L286" s="732"/>
      <c r="M286" s="732" t="str">
        <f t="shared" si="213"/>
        <v>4.60945603760787-104.164236689243i</v>
      </c>
      <c r="N286" s="337">
        <f t="shared" si="214"/>
        <v>0</v>
      </c>
      <c r="O286" s="730" t="str">
        <f t="shared" si="215"/>
        <v>-3.40281897837957-40.981926351084i</v>
      </c>
      <c r="P286" s="731" t="str">
        <f t="shared" si="216"/>
        <v>-8.76149784335656-1.43205486221836i</v>
      </c>
      <c r="Q286" s="729" t="str">
        <f t="shared" si="217"/>
        <v>-8.72746965357276-1.02223559870752i</v>
      </c>
      <c r="R286" s="730"/>
      <c r="S286" s="405" t="str">
        <f t="shared" si="230"/>
        <v>39.8243153395039-1.77532051131584i</v>
      </c>
      <c r="T286" s="405" t="str">
        <f t="shared" si="231"/>
        <v>15.491495369078-2.6849748650057i</v>
      </c>
      <c r="U286" s="405" t="str">
        <f t="shared" si="232"/>
        <v>0.0934677897098192-3.35826523777848i</v>
      </c>
      <c r="V286" s="731" t="str">
        <f t="shared" si="218"/>
        <v>6000</v>
      </c>
      <c r="W286" s="733" t="str">
        <f>IMSUM(COMPLEX(1,0),IMDIV(COMPLEX(0,2*PI()*D286),COMPLEX(2*PI()*'Stability Calculations'!EA_Pole1,0)))</f>
        <v>1+118857.728402928i</v>
      </c>
      <c r="X286" s="734">
        <f t="shared" si="233"/>
        <v>118857.72840713471</v>
      </c>
      <c r="Y286" s="735">
        <f t="shared" si="234"/>
        <v>1.5707879133748068</v>
      </c>
      <c r="Z286" s="340" t="str">
        <f>IMSUM(COMPLEX(1,0),IMDIV(COMPLEX(0,2*PI()*D286),COMPLEX(2*PI()*'Stability Calculations'!EA_Zero1,0)))</f>
        <v>1+1176.8091921082i</v>
      </c>
      <c r="AA286" s="734">
        <f t="shared" si="235"/>
        <v>1176.8096169858377</v>
      </c>
      <c r="AB286" s="735">
        <f t="shared" si="236"/>
        <v>1.5699465715703356</v>
      </c>
      <c r="AC286" s="733" t="str">
        <f>IMSUM(COMPLEX(1,0),IMDIV(COMPLEX(0,2*PI()*D286),COMPLEX(2*PI()*'Stability Calculations'!EA_Pole2,0)))</f>
        <v>1+11.8545357672358i</v>
      </c>
      <c r="AD286" s="734">
        <f t="shared" si="237"/>
        <v>11.89663894789923</v>
      </c>
      <c r="AE286" s="735">
        <f t="shared" si="238"/>
        <v>1.4866396695295641</v>
      </c>
      <c r="AF286" s="732" t="str">
        <f t="shared" si="239"/>
        <v>0.415554548669695-4.976186973845i</v>
      </c>
      <c r="AG286" s="337">
        <f t="shared" si="240"/>
        <v>4.9935080235826934</v>
      </c>
      <c r="AH286" s="730">
        <f t="shared" si="241"/>
        <v>-1.4874810113340355</v>
      </c>
      <c r="AI286" s="731" t="str">
        <f t="shared" si="219"/>
        <v>10000</v>
      </c>
      <c r="AJ286" s="733" t="str">
        <f t="shared" si="242"/>
        <v>1+110808.11816707i</v>
      </c>
      <c r="AK286" s="734">
        <f t="shared" si="243"/>
        <v>110808.11817158229</v>
      </c>
      <c r="AL286" s="735">
        <f t="shared" si="244"/>
        <v>1.5707873021853598</v>
      </c>
      <c r="AM286" s="340" t="str">
        <f t="shared" si="245"/>
        <v>1+188.05410889889i</v>
      </c>
      <c r="AN286" s="734">
        <f t="shared" si="246"/>
        <v>188.0567676893219</v>
      </c>
      <c r="AO286" s="735">
        <f t="shared" si="247"/>
        <v>1.565478758461365</v>
      </c>
      <c r="AP286" s="733" t="str">
        <f t="shared" si="248"/>
        <v>1+9.12093425696932i</v>
      </c>
      <c r="AQ286" s="734">
        <f t="shared" si="249"/>
        <v>9.1755894480930493</v>
      </c>
      <c r="AR286" s="735">
        <f t="shared" si="250"/>
        <v>1.4615945935046613</v>
      </c>
      <c r="AS286" s="732" t="str">
        <f t="shared" si="251"/>
        <v>0.00780800180980263-12.4963984904116i</v>
      </c>
      <c r="AT286" s="337">
        <f t="shared" si="252"/>
        <v>12.496400929709864</v>
      </c>
      <c r="AU286" s="730">
        <f t="shared" si="253"/>
        <v>-1.5701715067077562</v>
      </c>
      <c r="AV286" s="732" t="str">
        <f t="shared" si="254"/>
        <v>-0.977326541321236+0.0859066406139712i</v>
      </c>
      <c r="AW286" s="337">
        <f t="shared" si="255"/>
        <v>-0.16578001415141683</v>
      </c>
      <c r="AX286" s="730">
        <f t="shared" si="256"/>
        <v>174.97663309786242</v>
      </c>
      <c r="AY286" s="360">
        <f t="shared" si="257"/>
        <v>-5.0233669021375817</v>
      </c>
      <c r="BB286" s="337">
        <f t="shared" si="258"/>
        <v>-18.064300990130334</v>
      </c>
      <c r="BC286" s="730">
        <f t="shared" si="259"/>
        <v>-89.964200446051862</v>
      </c>
      <c r="BD286" s="351"/>
      <c r="BE286" s="337">
        <f t="shared" si="220"/>
        <v>40.362868851519742</v>
      </c>
      <c r="BF286" s="730">
        <f t="shared" si="221"/>
        <v>-87.466211081316303</v>
      </c>
      <c r="BI286" s="351"/>
      <c r="BJ286" s="351"/>
      <c r="BL286" s="405">
        <f t="shared" si="222"/>
        <v>0</v>
      </c>
      <c r="BM286" s="405">
        <f t="shared" si="260"/>
        <v>0</v>
      </c>
      <c r="BN286" s="405">
        <f t="shared" si="223"/>
        <v>0</v>
      </c>
      <c r="BO286" s="405">
        <f t="shared" si="224"/>
        <v>0</v>
      </c>
    </row>
    <row r="287" spans="4:67" ht="13.5" thickBot="1" x14ac:dyDescent="0.25">
      <c r="D287" s="345">
        <v>18838</v>
      </c>
      <c r="E287" s="340" t="str">
        <f t="shared" si="211"/>
        <v>0.312477382315954i</v>
      </c>
      <c r="F287" s="728" t="str">
        <f t="shared" si="225"/>
        <v>0.005-0.138501827568531i</v>
      </c>
      <c r="G287" s="337" t="str">
        <f t="shared" si="226"/>
        <v>0.005-0.216631063632831i</v>
      </c>
      <c r="H287" s="338" t="str">
        <f t="shared" si="227"/>
        <v>0.0419181769460256-0.208311335467322i</v>
      </c>
      <c r="I287" s="338" t="str">
        <f t="shared" si="228"/>
        <v>0.0519181769460256-0.208311335467322i</v>
      </c>
      <c r="J287" s="337" t="str">
        <f t="shared" si="229"/>
        <v>0.00993917331633999-0.0840730183105473i</v>
      </c>
      <c r="K287" s="338" t="str">
        <f t="shared" si="212"/>
        <v>0.996056997288889-0.0986355373472075i</v>
      </c>
      <c r="L287" s="732"/>
      <c r="M287" s="732" t="str">
        <f t="shared" si="213"/>
        <v>4.48778314126092-103.130232419706i</v>
      </c>
      <c r="N287" s="337">
        <f t="shared" si="214"/>
        <v>0</v>
      </c>
      <c r="O287" s="730" t="str">
        <f t="shared" si="215"/>
        <v>-3.37862465407235-40.5664579537347i</v>
      </c>
      <c r="P287" s="731" t="str">
        <f t="shared" si="216"/>
        <v>-8.62586506414585-1.40233072838288i</v>
      </c>
      <c r="Q287" s="729" t="str">
        <f t="shared" si="217"/>
        <v>-8.59207881760514-0.996666148845524i</v>
      </c>
      <c r="R287" s="730"/>
      <c r="S287" s="405" t="str">
        <f t="shared" si="230"/>
        <v>39.8246705214161-1.81015682302805i</v>
      </c>
      <c r="T287" s="405" t="str">
        <f t="shared" si="231"/>
        <v>15.4887135485022-2.69071682810212i</v>
      </c>
      <c r="U287" s="405" t="str">
        <f t="shared" si="232"/>
        <v>0.0887518193660642-3.33926454807135i</v>
      </c>
      <c r="V287" s="731" t="str">
        <f t="shared" si="218"/>
        <v>6000</v>
      </c>
      <c r="W287" s="733" t="str">
        <f>IMSUM(COMPLEX(1,0),IMDIV(COMPLEX(0,2*PI()*D287),COMPLEX(2*PI()*'Stability Calculations'!EA_Pole1,0)))</f>
        <v>1+119546.271264815i</v>
      </c>
      <c r="X287" s="734">
        <f t="shared" si="233"/>
        <v>119546.27126899747</v>
      </c>
      <c r="Y287" s="735">
        <f t="shared" si="234"/>
        <v>1.5707879618330338</v>
      </c>
      <c r="Z287" s="340" t="str">
        <f>IMSUM(COMPLEX(1,0),IMDIV(COMPLEX(0,2*PI()*D287),COMPLEX(2*PI()*'Stability Calculations'!EA_Zero1,0)))</f>
        <v>1+1183.62644816649i</v>
      </c>
      <c r="AA287" s="734">
        <f t="shared" si="235"/>
        <v>1183.6268705969887</v>
      </c>
      <c r="AB287" s="735">
        <f t="shared" si="236"/>
        <v>1.5699514658477465</v>
      </c>
      <c r="AC287" s="733" t="str">
        <f>IMSUM(COMPLEX(1,0),IMDIV(COMPLEX(0,2*PI()*D287),COMPLEX(2*PI()*'Stability Calculations'!EA_Pole2,0)))</f>
        <v>1+11.9232090970495i</v>
      </c>
      <c r="AD287" s="734">
        <f t="shared" si="237"/>
        <v>11.965070629627055</v>
      </c>
      <c r="AE287" s="735">
        <f t="shared" si="238"/>
        <v>1.4871221153793595</v>
      </c>
      <c r="AF287" s="732" t="str">
        <f t="shared" si="239"/>
        <v>0.410814789461293-4.94792347765468i</v>
      </c>
      <c r="AG287" s="337">
        <f t="shared" si="240"/>
        <v>4.9649486937899479</v>
      </c>
      <c r="AH287" s="730">
        <f t="shared" si="241"/>
        <v>-1.4879586113646468</v>
      </c>
      <c r="AI287" s="731" t="str">
        <f t="shared" si="219"/>
        <v>10000</v>
      </c>
      <c r="AJ287" s="733" t="str">
        <f t="shared" si="242"/>
        <v>1+111450.029634067i</v>
      </c>
      <c r="AK287" s="734">
        <f t="shared" si="243"/>
        <v>111450.02963855331</v>
      </c>
      <c r="AL287" s="735">
        <f t="shared" si="244"/>
        <v>1.5707873541638147</v>
      </c>
      <c r="AM287" s="340" t="str">
        <f t="shared" si="245"/>
        <v>1+189.143506417005i</v>
      </c>
      <c r="AN287" s="734">
        <f t="shared" si="246"/>
        <v>189.14614989398967</v>
      </c>
      <c r="AO287" s="735">
        <f t="shared" si="247"/>
        <v>1.5655093851405144</v>
      </c>
      <c r="AP287" s="733" t="str">
        <f t="shared" si="248"/>
        <v>1+9.17377183228533i</v>
      </c>
      <c r="AQ287" s="734">
        <f t="shared" si="249"/>
        <v>9.2281140885249009</v>
      </c>
      <c r="AR287" s="735">
        <f t="shared" si="250"/>
        <v>1.4622186098701471</v>
      </c>
      <c r="AS287" s="732" t="str">
        <f t="shared" si="251"/>
        <v>0.00771831838474-12.4244238547452i</v>
      </c>
      <c r="AT287" s="337">
        <f t="shared" si="252"/>
        <v>12.424426252137371</v>
      </c>
      <c r="AU287" s="730">
        <f t="shared" si="253"/>
        <v>-1.5701751054423332</v>
      </c>
      <c r="AV287" s="732" t="str">
        <f t="shared" si="254"/>
        <v>-0.965957624269781+0.0857555247652272i</v>
      </c>
      <c r="AW287" s="337">
        <f t="shared" si="255"/>
        <v>-0.26674383274748525</v>
      </c>
      <c r="AX287" s="730">
        <f t="shared" si="256"/>
        <v>174.92671123230406</v>
      </c>
      <c r="AY287" s="360">
        <f t="shared" si="257"/>
        <v>-5.0732887676959422</v>
      </c>
      <c r="BB287" s="337">
        <f t="shared" si="258"/>
        <v>-18.114473148526784</v>
      </c>
      <c r="BC287" s="730">
        <f t="shared" si="259"/>
        <v>-89.964406638354703</v>
      </c>
      <c r="BD287" s="351"/>
      <c r="BE287" s="337">
        <f t="shared" si="220"/>
        <v>40.2759360197403</v>
      </c>
      <c r="BF287" s="730">
        <f t="shared" si="221"/>
        <v>-87.508306642219708</v>
      </c>
      <c r="BI287" s="351"/>
      <c r="BJ287" s="351"/>
      <c r="BL287" s="405">
        <f t="shared" si="222"/>
        <v>0</v>
      </c>
      <c r="BM287" s="405">
        <f t="shared" si="260"/>
        <v>0</v>
      </c>
      <c r="BN287" s="405">
        <f t="shared" si="223"/>
        <v>0</v>
      </c>
      <c r="BO287" s="405">
        <f t="shared" si="224"/>
        <v>0</v>
      </c>
    </row>
    <row r="288" spans="4:67" ht="13.5" thickBot="1" x14ac:dyDescent="0.25">
      <c r="D288" s="345">
        <v>18946.5</v>
      </c>
      <c r="E288" s="340" t="str">
        <f t="shared" si="211"/>
        <v>0.314277137915342i</v>
      </c>
      <c r="F288" s="728" t="str">
        <f t="shared" si="225"/>
        <v>0.005-0.137708675889267i</v>
      </c>
      <c r="G288" s="337" t="str">
        <f t="shared" si="226"/>
        <v>0.005-0.215390493057571i</v>
      </c>
      <c r="H288" s="338" t="str">
        <f t="shared" si="227"/>
        <v>0.0415090369188004-0.207190544031454i</v>
      </c>
      <c r="I288" s="338" t="str">
        <f t="shared" si="228"/>
        <v>0.0515090369188004-0.207190544031454i</v>
      </c>
      <c r="J288" s="337" t="str">
        <f t="shared" si="229"/>
        <v>0.00987316013233861-0.0835963417597912i</v>
      </c>
      <c r="K288" s="338" t="str">
        <f t="shared" si="212"/>
        <v>0.996011445975-0.0992036420187317i</v>
      </c>
      <c r="L288" s="732"/>
      <c r="M288" s="732" t="str">
        <f t="shared" si="213"/>
        <v>4.3706946538507-102.118805832057i</v>
      </c>
      <c r="N288" s="337">
        <f t="shared" si="214"/>
        <v>0</v>
      </c>
      <c r="O288" s="730" t="str">
        <f t="shared" si="215"/>
        <v>-3.35442931246948-40.1602430257179i</v>
      </c>
      <c r="P288" s="731" t="str">
        <f t="shared" si="216"/>
        <v>-8.49360602423134-1.37360940651408i</v>
      </c>
      <c r="Q288" s="729" t="str">
        <f t="shared" si="217"/>
        <v>-8.46006173110663-0.972006976256906i</v>
      </c>
      <c r="R288" s="730"/>
      <c r="S288" s="405" t="str">
        <f t="shared" si="230"/>
        <v>39.8249593643471-1.84485934262614i</v>
      </c>
      <c r="T288" s="405" t="str">
        <f t="shared" si="231"/>
        <v>15.4859427060597-2.69650957391606i</v>
      </c>
      <c r="U288" s="405" t="str">
        <f t="shared" si="232"/>
        <v>0.0841152819025638-3.32047040956397i</v>
      </c>
      <c r="V288" s="731" t="str">
        <f t="shared" si="218"/>
        <v>6000</v>
      </c>
      <c r="W288" s="733" t="str">
        <f>IMSUM(COMPLEX(1,0),IMDIV(COMPLEX(0,2*PI()*D288),COMPLEX(2*PI()*'Stability Calculations'!EA_Pole1,0)))</f>
        <v>1+120234.814126703i</v>
      </c>
      <c r="X288" s="734">
        <f t="shared" si="233"/>
        <v>120234.81413086153</v>
      </c>
      <c r="Y288" s="735">
        <f t="shared" si="234"/>
        <v>1.5707880097362541</v>
      </c>
      <c r="Z288" s="340" t="str">
        <f>IMSUM(COMPLEX(1,0),IMDIV(COMPLEX(0,2*PI()*D288),COMPLEX(2*PI()*'Stability Calculations'!EA_Zero1,0)))</f>
        <v>1+1190.44370422478i</v>
      </c>
      <c r="AA288" s="734">
        <f t="shared" si="235"/>
        <v>1190.4441242361672</v>
      </c>
      <c r="AB288" s="735">
        <f t="shared" si="236"/>
        <v>1.5699563040695561</v>
      </c>
      <c r="AC288" s="733" t="str">
        <f>IMSUM(COMPLEX(1,0),IMDIV(COMPLEX(0,2*PI()*D288),COMPLEX(2*PI()*'Stability Calculations'!EA_Pole2,0)))</f>
        <v>1+11.9918824268632i</v>
      </c>
      <c r="AD288" s="734">
        <f t="shared" si="237"/>
        <v>12.033505064598195</v>
      </c>
      <c r="AE288" s="735">
        <f t="shared" si="238"/>
        <v>1.4875990740087097</v>
      </c>
      <c r="AF288" s="732" t="str">
        <f t="shared" si="239"/>
        <v>0.406155475926986-4.9199769835049i</v>
      </c>
      <c r="AG288" s="337">
        <f t="shared" si="240"/>
        <v>4.936713055145443</v>
      </c>
      <c r="AH288" s="730">
        <f t="shared" si="241"/>
        <v>-1.4884307796754073</v>
      </c>
      <c r="AI288" s="731" t="str">
        <f t="shared" si="219"/>
        <v>10000</v>
      </c>
      <c r="AJ288" s="733" t="str">
        <f t="shared" si="242"/>
        <v>1+112091.941101065i</v>
      </c>
      <c r="AK288" s="734">
        <f t="shared" si="243"/>
        <v>112091.94110552562</v>
      </c>
      <c r="AL288" s="735">
        <f t="shared" si="244"/>
        <v>1.5707874055469446</v>
      </c>
      <c r="AM288" s="340" t="str">
        <f t="shared" si="245"/>
        <v>1+190.23290393512i</v>
      </c>
      <c r="AN288" s="734">
        <f t="shared" si="246"/>
        <v>190.23553227404335</v>
      </c>
      <c r="AO288" s="735">
        <f t="shared" si="247"/>
        <v>1.5655396610527852</v>
      </c>
      <c r="AP288" s="733" t="str">
        <f t="shared" si="248"/>
        <v>1+9.22660940760134i</v>
      </c>
      <c r="AQ288" s="734">
        <f t="shared" si="249"/>
        <v>9.2806422816762808</v>
      </c>
      <c r="AR288" s="735">
        <f t="shared" si="250"/>
        <v>1.4628355626409191</v>
      </c>
      <c r="AS288" s="732" t="str">
        <f t="shared" si="251"/>
        <v>0.0076301713000814-12.3532735654204i</v>
      </c>
      <c r="AT288" s="337">
        <f t="shared" si="252"/>
        <v>12.353275921860911</v>
      </c>
      <c r="AU288" s="730">
        <f t="shared" si="253"/>
        <v>-1.5701786629595296</v>
      </c>
      <c r="AV288" s="732" t="str">
        <f t="shared" si="254"/>
        <v>-0.954784431006315+0.0855998847983669i</v>
      </c>
      <c r="AW288" s="337">
        <f t="shared" si="255"/>
        <v>-0.36712536734741852</v>
      </c>
      <c r="AX288" s="730">
        <f t="shared" si="256"/>
        <v>174.87692244803401</v>
      </c>
      <c r="AY288" s="360">
        <f t="shared" si="257"/>
        <v>-5.1230775519659915</v>
      </c>
      <c r="BB288" s="337">
        <f t="shared" si="258"/>
        <v>-18.164357162048596</v>
      </c>
      <c r="BC288" s="730">
        <f t="shared" si="259"/>
        <v>-89.964610469075609</v>
      </c>
      <c r="BD288" s="351"/>
      <c r="BE288" s="337">
        <f t="shared" si="220"/>
        <v>40.190062888971845</v>
      </c>
      <c r="BF288" s="730">
        <f t="shared" si="221"/>
        <v>-87.549230907073223</v>
      </c>
      <c r="BI288" s="351"/>
      <c r="BJ288" s="351"/>
      <c r="BL288" s="405">
        <f t="shared" si="222"/>
        <v>0</v>
      </c>
      <c r="BM288" s="405">
        <f t="shared" si="260"/>
        <v>0</v>
      </c>
      <c r="BN288" s="405">
        <f t="shared" si="223"/>
        <v>0</v>
      </c>
      <c r="BO288" s="405">
        <f t="shared" si="224"/>
        <v>0</v>
      </c>
    </row>
    <row r="289" spans="4:67" ht="13.5" thickBot="1" x14ac:dyDescent="0.25">
      <c r="D289" s="345">
        <v>19055</v>
      </c>
      <c r="E289" s="340" t="str">
        <f t="shared" si="211"/>
        <v>0.316076893514731i</v>
      </c>
      <c r="F289" s="728" t="str">
        <f t="shared" si="225"/>
        <v>0.005-0.136924556690422i</v>
      </c>
      <c r="G289" s="337" t="str">
        <f t="shared" si="226"/>
        <v>0.005-0.214164050208096i</v>
      </c>
      <c r="H289" s="338" t="str">
        <f t="shared" si="227"/>
        <v>0.0411065881136049-0.20608134326265i</v>
      </c>
      <c r="I289" s="338" t="str">
        <f t="shared" si="228"/>
        <v>0.0511065881136049-0.20608134326265i</v>
      </c>
      <c r="J289" s="337" t="str">
        <f t="shared" si="229"/>
        <v>0.00980826408496457-0.0831250187383439i</v>
      </c>
      <c r="K289" s="338" t="str">
        <f t="shared" si="212"/>
        <v>0.995965633055556-0.0997717466902558i</v>
      </c>
      <c r="L289" s="732"/>
      <c r="M289" s="732" t="str">
        <f t="shared" si="213"/>
        <v>4.25796916373167-101.129199911313i</v>
      </c>
      <c r="N289" s="337">
        <f t="shared" si="214"/>
        <v>0</v>
      </c>
      <c r="O289" s="730" t="str">
        <f t="shared" si="215"/>
        <v>-3.3302569190785-39.7629652116471i</v>
      </c>
      <c r="P289" s="731" t="str">
        <f t="shared" si="216"/>
        <v>-8.36460335159815-1.34584566595382i</v>
      </c>
      <c r="Q289" s="729" t="str">
        <f t="shared" si="217"/>
        <v>-8.33130078240738-0.948216013837342i</v>
      </c>
      <c r="R289" s="730"/>
      <c r="S289" s="405" t="str">
        <f t="shared" si="230"/>
        <v>39.825182994063-1.87943018474211i</v>
      </c>
      <c r="T289" s="405" t="str">
        <f t="shared" si="231"/>
        <v>15.483182397995-2.70235225552982i</v>
      </c>
      <c r="U289" s="405" t="str">
        <f t="shared" si="232"/>
        <v>0.0795564187337573-3.30187950766539i</v>
      </c>
      <c r="V289" s="731" t="str">
        <f t="shared" si="218"/>
        <v>6000</v>
      </c>
      <c r="W289" s="733" t="str">
        <f>IMSUM(COMPLEX(1,0),IMDIV(COMPLEX(0,2*PI()*D289),COMPLEX(2*PI()*'Stability Calculations'!EA_Pole1,0)))</f>
        <v>1+120923.35698859i</v>
      </c>
      <c r="X289" s="734">
        <f t="shared" si="233"/>
        <v>120923.35699272486</v>
      </c>
      <c r="Y289" s="735">
        <f t="shared" si="234"/>
        <v>1.5707880570939481</v>
      </c>
      <c r="Z289" s="340" t="str">
        <f>IMSUM(COMPLEX(1,0),IMDIV(COMPLEX(0,2*PI()*D289),COMPLEX(2*PI()*'Stability Calculations'!EA_Zero1,0)))</f>
        <v>1+1197.26096028307i</v>
      </c>
      <c r="AA289" s="734">
        <f t="shared" si="235"/>
        <v>1197.261377902895</v>
      </c>
      <c r="AB289" s="735">
        <f t="shared" si="236"/>
        <v>1.5699610871933132</v>
      </c>
      <c r="AC289" s="733" t="str">
        <f>IMSUM(COMPLEX(1,0),IMDIV(COMPLEX(0,2*PI()*D289),COMPLEX(2*PI()*'Stability Calculations'!EA_Pole2,0)))</f>
        <v>1+12.0605557566769i</v>
      </c>
      <c r="AD289" s="734">
        <f t="shared" si="237"/>
        <v>12.10194220610528</v>
      </c>
      <c r="AE289" s="735">
        <f t="shared" si="238"/>
        <v>1.4880706382903373</v>
      </c>
      <c r="AF289" s="732" t="str">
        <f t="shared" si="239"/>
        <v>0.401574801979622-4.89234222607685i</v>
      </c>
      <c r="AG289" s="337">
        <f t="shared" si="240"/>
        <v>4.9087956546020086</v>
      </c>
      <c r="AH289" s="730">
        <f t="shared" si="241"/>
        <v>-1.4888976081909724</v>
      </c>
      <c r="AI289" s="731" t="str">
        <f t="shared" si="219"/>
        <v>10000</v>
      </c>
      <c r="AJ289" s="733" t="str">
        <f t="shared" si="242"/>
        <v>1+112733.852568062i</v>
      </c>
      <c r="AK289" s="734">
        <f t="shared" si="243"/>
        <v>112733.8525724972</v>
      </c>
      <c r="AL289" s="735">
        <f t="shared" si="244"/>
        <v>1.5707874563449191</v>
      </c>
      <c r="AM289" s="340" t="str">
        <f t="shared" si="245"/>
        <v>1+191.322301453235i</v>
      </c>
      <c r="AN289" s="734">
        <f t="shared" si="246"/>
        <v>191.32491482648709</v>
      </c>
      <c r="AO289" s="735">
        <f t="shared" si="247"/>
        <v>1.5655695921898025</v>
      </c>
      <c r="AP289" s="733" t="str">
        <f t="shared" si="248"/>
        <v>1+9.27944698291734i</v>
      </c>
      <c r="AQ289" s="734">
        <f t="shared" si="249"/>
        <v>9.3331739675618248</v>
      </c>
      <c r="AR289" s="735">
        <f t="shared" si="250"/>
        <v>1.4634455706154426</v>
      </c>
      <c r="AS289" s="732" t="str">
        <f t="shared" si="251"/>
        <v>0.00754352566370631-12.2829335408666i</v>
      </c>
      <c r="AT289" s="337">
        <f t="shared" si="252"/>
        <v>12.282935857282864</v>
      </c>
      <c r="AU289" s="730">
        <f t="shared" si="253"/>
        <v>-1.5701821799634255</v>
      </c>
      <c r="AV289" s="732" t="str">
        <f t="shared" si="254"/>
        <v>-0.943802490925003+0.0854399462137416i</v>
      </c>
      <c r="AW289" s="337">
        <f t="shared" si="255"/>
        <v>-0.46693135009992454</v>
      </c>
      <c r="AX289" s="730">
        <f t="shared" si="256"/>
        <v>174.8272642321248</v>
      </c>
      <c r="AY289" s="360">
        <f t="shared" si="257"/>
        <v>-5.1727357678751957</v>
      </c>
      <c r="BB289" s="337">
        <f t="shared" si="258"/>
        <v>-18.213956321506849</v>
      </c>
      <c r="BC289" s="730">
        <f t="shared" si="259"/>
        <v>-89.964811978555375</v>
      </c>
      <c r="BD289" s="351"/>
      <c r="BE289" s="337">
        <f t="shared" si="220"/>
        <v>40.105223643195245</v>
      </c>
      <c r="BF289" s="730">
        <f t="shared" si="221"/>
        <v>-87.589028172977535</v>
      </c>
      <c r="BI289" s="351"/>
      <c r="BJ289" s="351"/>
      <c r="BL289" s="405">
        <f t="shared" si="222"/>
        <v>0</v>
      </c>
      <c r="BM289" s="405">
        <f t="shared" si="260"/>
        <v>0</v>
      </c>
      <c r="BN289" s="405">
        <f t="shared" si="223"/>
        <v>0</v>
      </c>
      <c r="BO289" s="405">
        <f t="shared" si="224"/>
        <v>0</v>
      </c>
    </row>
    <row r="290" spans="4:67" ht="13.5" thickBot="1" x14ac:dyDescent="0.25">
      <c r="D290" s="345">
        <v>19165.75</v>
      </c>
      <c r="E290" s="340" t="str">
        <f t="shared" si="211"/>
        <v>0.317913971234844i</v>
      </c>
      <c r="F290" s="728" t="str">
        <f t="shared" si="225"/>
        <v>0.005-0.136133333041284i</v>
      </c>
      <c r="G290" s="337" t="str">
        <f t="shared" si="226"/>
        <v>0.005-0.212926495269701i</v>
      </c>
      <c r="H290" s="338" t="str">
        <f t="shared" si="227"/>
        <v>0.0407025452855935-0.204960915903344i</v>
      </c>
      <c r="I290" s="338" t="str">
        <f t="shared" si="228"/>
        <v>0.0507025452855935-0.204960915903344i</v>
      </c>
      <c r="J290" s="337" t="str">
        <f t="shared" si="229"/>
        <v>0.00974314839883935-0.0826493502919647i</v>
      </c>
      <c r="K290" s="338" t="str">
        <f t="shared" si="212"/>
        <v>0.995918600299306-0.100351632334231i</v>
      </c>
      <c r="L290" s="732"/>
      <c r="M290" s="732" t="str">
        <f t="shared" si="213"/>
        <v>4.14718931536581-100.140825359298i</v>
      </c>
      <c r="N290" s="337">
        <f t="shared" si="214"/>
        <v>0</v>
      </c>
      <c r="O290" s="730" t="str">
        <f t="shared" si="215"/>
        <v>-3.30562945643975-39.3663524088751i</v>
      </c>
      <c r="P290" s="731" t="str">
        <f t="shared" si="216"/>
        <v>-8.23616747270941-1.31844942471066i</v>
      </c>
      <c r="Q290" s="729" t="str">
        <f t="shared" si="217"/>
        <v>-8.20311117814501-0.924785900621909i</v>
      </c>
      <c r="R290" s="730"/>
      <c r="S290" s="405" t="str">
        <f t="shared" si="230"/>
        <v>39.8253451423267-1.91458428160115i</v>
      </c>
      <c r="T290" s="405" t="str">
        <f t="shared" si="231"/>
        <v>15.4803752647572-2.7083667373831i</v>
      </c>
      <c r="U290" s="405" t="str">
        <f t="shared" si="232"/>
        <v>0.07498134815557-3.28310931257045i</v>
      </c>
      <c r="V290" s="731" t="str">
        <f t="shared" si="218"/>
        <v>6000</v>
      </c>
      <c r="W290" s="733" t="str">
        <f>IMSUM(COMPLEX(1,0),IMDIV(COMPLEX(0,2*PI()*D290),COMPLEX(2*PI()*'Stability Calculations'!EA_Pole1,0)))</f>
        <v>1+121626.178389088i</v>
      </c>
      <c r="X290" s="734">
        <f t="shared" si="233"/>
        <v>121626.17839319898</v>
      </c>
      <c r="Y290" s="735">
        <f t="shared" si="234"/>
        <v>1.5707881048807231</v>
      </c>
      <c r="Z290" s="340" t="str">
        <f>IMSUM(COMPLEX(1,0),IMDIV(COMPLEX(0,2*PI()*D290),COMPLEX(2*PI()*'Stability Calculations'!EA_Zero1,0)))</f>
        <v>1+1204.21958801077i</v>
      </c>
      <c r="AA290" s="734">
        <f t="shared" si="235"/>
        <v>1204.2200032173641</v>
      </c>
      <c r="AB290" s="735">
        <f t="shared" si="236"/>
        <v>1.5699659136542252</v>
      </c>
      <c r="AC290" s="733" t="str">
        <f>IMSUM(COMPLEX(1,0),IMDIV(COMPLEX(0,2*PI()*D290),COMPLEX(2*PI()*'Stability Calculations'!EA_Pole2,0)))</f>
        <v>1+12.1306531878i</v>
      </c>
      <c r="AD290" s="734">
        <f t="shared" si="237"/>
        <v>12.171801294906286</v>
      </c>
      <c r="AE290" s="735">
        <f t="shared" si="238"/>
        <v>1.4885465125240582</v>
      </c>
      <c r="AF290" s="732" t="str">
        <f t="shared" si="239"/>
        <v>0.396978416708996-4.86445055063317i</v>
      </c>
      <c r="AG290" s="337">
        <f t="shared" si="240"/>
        <v>4.8806219913949631</v>
      </c>
      <c r="AH290" s="730">
        <f t="shared" si="241"/>
        <v>-1.4893687037505559</v>
      </c>
      <c r="AI290" s="731" t="str">
        <f t="shared" si="219"/>
        <v>10000</v>
      </c>
      <c r="AJ290" s="733" t="str">
        <f t="shared" si="242"/>
        <v>1+113389.075563177i</v>
      </c>
      <c r="AK290" s="734">
        <f t="shared" si="243"/>
        <v>113389.07556758659</v>
      </c>
      <c r="AL290" s="735">
        <f t="shared" si="244"/>
        <v>1.5707875076031446</v>
      </c>
      <c r="AM290" s="340" t="str">
        <f t="shared" si="245"/>
        <v>1+192.434290164121i</v>
      </c>
      <c r="AN290" s="734">
        <f t="shared" si="246"/>
        <v>192.43688843610292</v>
      </c>
      <c r="AO290" s="735">
        <f t="shared" si="247"/>
        <v>1.5655997945250237</v>
      </c>
      <c r="AP290" s="733" t="str">
        <f t="shared" si="248"/>
        <v>1+9.33338026832054i</v>
      </c>
      <c r="AQ290" s="734">
        <f t="shared" si="249"/>
        <v>9.3867985614412319</v>
      </c>
      <c r="AR290" s="735">
        <f t="shared" si="250"/>
        <v>1.4640611868226647</v>
      </c>
      <c r="AS290" s="732" t="str">
        <f t="shared" si="251"/>
        <v>0.00745659649784465-12.211956205132i</v>
      </c>
      <c r="AT290" s="337">
        <f t="shared" si="252"/>
        <v>12.211958481623382</v>
      </c>
      <c r="AU290" s="730">
        <f t="shared" si="253"/>
        <v>-1.570185728832874</v>
      </c>
      <c r="AV290" s="732" t="str">
        <f t="shared" si="254"/>
        <v>-0.932785548227245+0.085272481916967i</v>
      </c>
      <c r="AW290" s="337">
        <f t="shared" si="255"/>
        <v>-0.56822033336623601</v>
      </c>
      <c r="AX290" s="730">
        <f t="shared" si="256"/>
        <v>174.77670835171637</v>
      </c>
      <c r="AY290" s="360">
        <f t="shared" si="257"/>
        <v>-5.2232916482836345</v>
      </c>
      <c r="BB290" s="337">
        <f t="shared" si="258"/>
        <v>-18.264293617818822</v>
      </c>
      <c r="BC290" s="730">
        <f t="shared" si="259"/>
        <v>-89.965015313796812</v>
      </c>
      <c r="BD290" s="351"/>
      <c r="BE290" s="337">
        <f t="shared" si="220"/>
        <v>40.019665465474141</v>
      </c>
      <c r="BF290" s="730">
        <f t="shared" si="221"/>
        <v>-87.628532226217914</v>
      </c>
      <c r="BI290" s="351"/>
      <c r="BJ290" s="351"/>
      <c r="BL290" s="405">
        <f t="shared" si="222"/>
        <v>0</v>
      </c>
      <c r="BM290" s="405">
        <f t="shared" si="260"/>
        <v>0</v>
      </c>
      <c r="BN290" s="405">
        <f t="shared" si="223"/>
        <v>0</v>
      </c>
      <c r="BO290" s="405">
        <f t="shared" si="224"/>
        <v>0</v>
      </c>
    </row>
    <row r="291" spans="4:67" ht="13.5" thickBot="1" x14ac:dyDescent="0.25">
      <c r="D291" s="345">
        <v>19276.5</v>
      </c>
      <c r="E291" s="340" t="str">
        <f t="shared" si="211"/>
        <v>0.319751048954957i</v>
      </c>
      <c r="F291" s="728" t="str">
        <f t="shared" si="225"/>
        <v>0.005-0.135351201086089i</v>
      </c>
      <c r="G291" s="337" t="str">
        <f t="shared" si="226"/>
        <v>0.005-0.211703160673113i</v>
      </c>
      <c r="H291" s="338" t="str">
        <f t="shared" si="227"/>
        <v>0.0403051758067064-0.203852206583238i</v>
      </c>
      <c r="I291" s="338" t="str">
        <f t="shared" si="228"/>
        <v>0.0503051758067064-0.203852206583238i</v>
      </c>
      <c r="J291" s="337" t="str">
        <f t="shared" si="229"/>
        <v>0.00967914470232022-0.0821790739574528i</v>
      </c>
      <c r="K291" s="338" t="str">
        <f t="shared" si="212"/>
        <v>0.995871294975-0.100931517978206i</v>
      </c>
      <c r="L291" s="732"/>
      <c r="M291" s="732" t="str">
        <f t="shared" si="213"/>
        <v>4.04052947173365-99.1736972798102i</v>
      </c>
      <c r="N291" s="337">
        <f t="shared" si="214"/>
        <v>0</v>
      </c>
      <c r="O291" s="730" t="str">
        <f t="shared" si="215"/>
        <v>-3.2810693946624-38.9784299832127i</v>
      </c>
      <c r="P291" s="731" t="str">
        <f t="shared" si="216"/>
        <v>-8.11089373396068-1.29196353692025i</v>
      </c>
      <c r="Q291" s="729" t="str">
        <f t="shared" si="217"/>
        <v>-8.07808304001406-0.902179237088119i</v>
      </c>
      <c r="R291" s="730"/>
      <c r="S291" s="405" t="str">
        <f t="shared" si="230"/>
        <v>39.8254416176309-1.94960549523577i</v>
      </c>
      <c r="T291" s="405" t="str">
        <f t="shared" si="231"/>
        <v>15.4775782114481-2.71443151974409i</v>
      </c>
      <c r="U291" s="405" t="str">
        <f t="shared" si="232"/>
        <v>0.0704836559555354-3.26454411058691i</v>
      </c>
      <c r="V291" s="731" t="str">
        <f t="shared" si="218"/>
        <v>6000</v>
      </c>
      <c r="W291" s="733" t="str">
        <f>IMSUM(COMPLEX(1,0),IMDIV(COMPLEX(0,2*PI()*D291),COMPLEX(2*PI()*'Stability Calculations'!EA_Pole1,0)))</f>
        <v>1+122328.999789585i</v>
      </c>
      <c r="X291" s="734">
        <f t="shared" si="233"/>
        <v>122328.99979367235</v>
      </c>
      <c r="Y291" s="735">
        <f t="shared" si="234"/>
        <v>1.5707881521183955</v>
      </c>
      <c r="Z291" s="340" t="str">
        <f>IMSUM(COMPLEX(1,0),IMDIV(COMPLEX(0,2*PI()*D291),COMPLEX(2*PI()*'Stability Calculations'!EA_Zero1,0)))</f>
        <v>1+1211.17821573847i</v>
      </c>
      <c r="AA291" s="734">
        <f t="shared" si="235"/>
        <v>1211.1786285595631</v>
      </c>
      <c r="AB291" s="735">
        <f t="shared" si="236"/>
        <v>1.5699706846558807</v>
      </c>
      <c r="AC291" s="733" t="str">
        <f>IMSUM(COMPLEX(1,0),IMDIV(COMPLEX(0,2*PI()*D291),COMPLEX(2*PI()*'Stability Calculations'!EA_Pole2,0)))</f>
        <v>1+12.2007506189232i</v>
      </c>
      <c r="AD291" s="734">
        <f t="shared" si="237"/>
        <v>12.241663108628455</v>
      </c>
      <c r="AE291" s="735">
        <f t="shared" si="238"/>
        <v>1.4890169553403518</v>
      </c>
      <c r="AF291" s="732" t="str">
        <f t="shared" si="239"/>
        <v>0.392460322106849-4.83687295250554i</v>
      </c>
      <c r="AG291" s="337">
        <f t="shared" si="240"/>
        <v>4.8527688037972583</v>
      </c>
      <c r="AH291" s="730">
        <f t="shared" si="241"/>
        <v>-1.489834422802867</v>
      </c>
      <c r="AI291" s="731" t="str">
        <f t="shared" si="219"/>
        <v>10000</v>
      </c>
      <c r="AJ291" s="733" t="str">
        <f t="shared" si="242"/>
        <v>1+114044.298558292i</v>
      </c>
      <c r="AK291" s="734">
        <f t="shared" si="243"/>
        <v>114044.29856267625</v>
      </c>
      <c r="AL291" s="735">
        <f t="shared" si="244"/>
        <v>1.5707875582723785</v>
      </c>
      <c r="AM291" s="340" t="str">
        <f t="shared" si="245"/>
        <v>1+193.546278875007i</v>
      </c>
      <c r="AN291" s="734">
        <f t="shared" si="246"/>
        <v>193.54886221923906</v>
      </c>
      <c r="AO291" s="735">
        <f t="shared" si="247"/>
        <v>1.5656296498243394</v>
      </c>
      <c r="AP291" s="733" t="str">
        <f t="shared" si="248"/>
        <v>1+9.38731355372374i</v>
      </c>
      <c r="AQ291" s="734">
        <f t="shared" si="249"/>
        <v>9.4404266723451329</v>
      </c>
      <c r="AR291" s="735">
        <f t="shared" si="250"/>
        <v>1.4646698090121562</v>
      </c>
      <c r="AS291" s="732" t="str">
        <f t="shared" si="251"/>
        <v>0.00737116133514681-12.141794446i</v>
      </c>
      <c r="AT291" s="337">
        <f t="shared" si="252"/>
        <v>12.141796683478765</v>
      </c>
      <c r="AU291" s="730">
        <f t="shared" si="253"/>
        <v>-1.5701892369234314</v>
      </c>
      <c r="AV291" s="732" t="str">
        <f t="shared" si="254"/>
        <v>-0.921958860247104+0.0851009838151447i</v>
      </c>
      <c r="AW291" s="337">
        <f t="shared" si="255"/>
        <v>-0.66892345396451147</v>
      </c>
      <c r="AX291" s="730">
        <f t="shared" si="256"/>
        <v>174.72628341898604</v>
      </c>
      <c r="AY291" s="360">
        <f t="shared" si="257"/>
        <v>-5.2737165810139572</v>
      </c>
      <c r="BB291" s="337">
        <f t="shared" si="258"/>
        <v>-18.314340874793476</v>
      </c>
      <c r="BC291" s="730">
        <f t="shared" si="259"/>
        <v>-89.965216312579912</v>
      </c>
      <c r="BD291" s="351"/>
      <c r="BE291" s="337">
        <f t="shared" si="220"/>
        <v>39.935132992701313</v>
      </c>
      <c r="BF291" s="730">
        <f t="shared" si="221"/>
        <v>-87.666948725891672</v>
      </c>
      <c r="BI291" s="351"/>
      <c r="BJ291" s="351"/>
      <c r="BL291" s="405">
        <f t="shared" si="222"/>
        <v>0</v>
      </c>
      <c r="BM291" s="405">
        <f t="shared" si="260"/>
        <v>0</v>
      </c>
      <c r="BN291" s="405">
        <f t="shared" si="223"/>
        <v>0</v>
      </c>
      <c r="BO291" s="405">
        <f t="shared" si="224"/>
        <v>0</v>
      </c>
    </row>
    <row r="292" spans="4:67" ht="13.5" thickBot="1" x14ac:dyDescent="0.25">
      <c r="D292" s="345">
        <v>19387.25</v>
      </c>
      <c r="E292" s="340" t="str">
        <f t="shared" si="211"/>
        <v>0.32158812667507i</v>
      </c>
      <c r="F292" s="728" t="str">
        <f t="shared" si="225"/>
        <v>0.005-0.134578005015461i</v>
      </c>
      <c r="G292" s="337" t="str">
        <f t="shared" si="226"/>
        <v>0.005-0.21049380271649i</v>
      </c>
      <c r="H292" s="338" t="str">
        <f t="shared" si="227"/>
        <v>0.0399143350058638-0.202755039410733i</v>
      </c>
      <c r="I292" s="338" t="str">
        <f t="shared" si="228"/>
        <v>0.0499143350058638-0.202755039410733i</v>
      </c>
      <c r="J292" s="337" t="str">
        <f t="shared" si="229"/>
        <v>0.00961622784785123-0.0817140990148653i</v>
      </c>
      <c r="K292" s="338" t="str">
        <f t="shared" si="212"/>
        <v>0.995823717082639-0.101511403622181i</v>
      </c>
      <c r="L292" s="732"/>
      <c r="M292" s="732" t="str">
        <f t="shared" si="213"/>
        <v>3.9377931458015-98.2271132632556i</v>
      </c>
      <c r="N292" s="337">
        <f t="shared" si="214"/>
        <v>0</v>
      </c>
      <c r="O292" s="730" t="str">
        <f t="shared" si="215"/>
        <v>-3.2565955692079-38.5989051791528i</v>
      </c>
      <c r="P292" s="731" t="str">
        <f t="shared" si="216"/>
        <v>-7.98867334303032-1.26634752099224i</v>
      </c>
      <c r="Q292" s="729" t="str">
        <f t="shared" si="217"/>
        <v>-7.95610738733826-0.880358469200708i</v>
      </c>
      <c r="R292" s="730"/>
      <c r="S292" s="405" t="str">
        <f t="shared" si="230"/>
        <v>39.8254735209523-1.98449593522015i</v>
      </c>
      <c r="T292" s="405" t="str">
        <f t="shared" si="231"/>
        <v>15.4747908041649-2.72054575692427i</v>
      </c>
      <c r="U292" s="405" t="str">
        <f t="shared" si="232"/>
        <v>0.0660616221392162-3.24618059411197i</v>
      </c>
      <c r="V292" s="731" t="str">
        <f t="shared" si="218"/>
        <v>6000</v>
      </c>
      <c r="W292" s="733" t="str">
        <f>IMSUM(COMPLEX(1,0),IMDIV(COMPLEX(0,2*PI()*D292),COMPLEX(2*PI()*'Stability Calculations'!EA_Pole1,0)))</f>
        <v>1+123031.821190083i</v>
      </c>
      <c r="X292" s="734">
        <f t="shared" si="233"/>
        <v>123031.82119414699</v>
      </c>
      <c r="Y292" s="735">
        <f t="shared" si="234"/>
        <v>1.5707881988163761</v>
      </c>
      <c r="Z292" s="340" t="str">
        <f>IMSUM(COMPLEX(1,0),IMDIV(COMPLEX(0,2*PI()*D292),COMPLEX(2*PI()*'Stability Calculations'!EA_Zero1,0)))</f>
        <v>1+1218.13684346617i</v>
      </c>
      <c r="AA292" s="734">
        <f t="shared" si="235"/>
        <v>1218.1372539290162</v>
      </c>
      <c r="AB292" s="735">
        <f t="shared" si="236"/>
        <v>1.5699754011487148</v>
      </c>
      <c r="AC292" s="733" t="str">
        <f>IMSUM(COMPLEX(1,0),IMDIV(COMPLEX(0,2*PI()*D292),COMPLEX(2*PI()*'Stability Calculations'!EA_Pole2,0)))</f>
        <v>1+12.2708480500463i</v>
      </c>
      <c r="AD292" s="734">
        <f t="shared" si="237"/>
        <v>12.311527600883858</v>
      </c>
      <c r="AE292" s="735">
        <f t="shared" si="238"/>
        <v>1.4894820589945366</v>
      </c>
      <c r="AF292" s="732" t="str">
        <f t="shared" si="239"/>
        <v>0.388018754091697-4.80960419293958i</v>
      </c>
      <c r="AG292" s="337">
        <f t="shared" si="240"/>
        <v>4.8252306728558443</v>
      </c>
      <c r="AH292" s="730">
        <f t="shared" si="241"/>
        <v>-1.4902948566621979</v>
      </c>
      <c r="AI292" s="731" t="str">
        <f t="shared" si="219"/>
        <v>10000</v>
      </c>
      <c r="AJ292" s="733" t="str">
        <f t="shared" si="242"/>
        <v>1+114699.521553406i</v>
      </c>
      <c r="AK292" s="734">
        <f t="shared" si="243"/>
        <v>114699.52155776523</v>
      </c>
      <c r="AL292" s="735">
        <f t="shared" si="244"/>
        <v>1.5707876083627146</v>
      </c>
      <c r="AM292" s="340" t="str">
        <f t="shared" si="245"/>
        <v>1+194.658267585894i</v>
      </c>
      <c r="AN292" s="734">
        <f t="shared" si="246"/>
        <v>194.66083617292287</v>
      </c>
      <c r="AO292" s="735">
        <f t="shared" si="247"/>
        <v>1.5656591640348843</v>
      </c>
      <c r="AP292" s="733" t="str">
        <f t="shared" si="248"/>
        <v>1+9.44124683912693i</v>
      </c>
      <c r="AQ292" s="734">
        <f t="shared" si="249"/>
        <v>9.4940582406747556</v>
      </c>
      <c r="AR292" s="735">
        <f t="shared" si="250"/>
        <v>1.4652715552559676</v>
      </c>
      <c r="AS292" s="732" t="str">
        <f t="shared" si="251"/>
        <v>0.00728718613525321-12.072434286505i</v>
      </c>
      <c r="AT292" s="337">
        <f t="shared" si="252"/>
        <v>12.072436485857494</v>
      </c>
      <c r="AU292" s="730">
        <f t="shared" si="253"/>
        <v>-1.5701927049339479</v>
      </c>
      <c r="AV292" s="732" t="str">
        <f t="shared" si="254"/>
        <v>-0.911318067902651+0.0849256624291646i</v>
      </c>
      <c r="AW292" s="337">
        <f t="shared" si="255"/>
        <v>-0.76904750621722018</v>
      </c>
      <c r="AX292" s="730">
        <f t="shared" si="256"/>
        <v>174.67598695834801</v>
      </c>
      <c r="AY292" s="360">
        <f t="shared" si="257"/>
        <v>-5.3240130416519946</v>
      </c>
      <c r="BB292" s="337">
        <f t="shared" si="258"/>
        <v>-18.364101415655934</v>
      </c>
      <c r="BC292" s="730">
        <f t="shared" si="259"/>
        <v>-89.965415014945805</v>
      </c>
      <c r="BD292" s="351"/>
      <c r="BE292" s="337">
        <f t="shared" si="220"/>
        <v>39.851601566731311</v>
      </c>
      <c r="BF292" s="730">
        <f t="shared" si="221"/>
        <v>-87.704318363103738</v>
      </c>
      <c r="BI292" s="351"/>
      <c r="BJ292" s="351"/>
      <c r="BL292" s="405">
        <f t="shared" si="222"/>
        <v>0</v>
      </c>
      <c r="BM292" s="405">
        <f t="shared" si="260"/>
        <v>0</v>
      </c>
      <c r="BN292" s="405">
        <f t="shared" si="223"/>
        <v>0</v>
      </c>
      <c r="BO292" s="405">
        <f t="shared" si="224"/>
        <v>0</v>
      </c>
    </row>
    <row r="293" spans="4:67" ht="13.5" thickBot="1" x14ac:dyDescent="0.25">
      <c r="D293" s="345">
        <v>19498</v>
      </c>
      <c r="E293" s="340" t="str">
        <f t="shared" si="211"/>
        <v>0.323425204395183i</v>
      </c>
      <c r="F293" s="728" t="str">
        <f t="shared" si="225"/>
        <v>0.005-0.133813592560057i</v>
      </c>
      <c r="G293" s="337" t="str">
        <f t="shared" si="226"/>
        <v>0.005-0.209298183234961i</v>
      </c>
      <c r="H293" s="338" t="str">
        <f t="shared" si="227"/>
        <v>0.0395298820703588-0.20166924182951i</v>
      </c>
      <c r="I293" s="338" t="str">
        <f t="shared" si="228"/>
        <v>0.0495298820703588-0.20166924182951i</v>
      </c>
      <c r="J293" s="337" t="str">
        <f t="shared" si="229"/>
        <v>0.00955437339365911-0.0812543367583338i</v>
      </c>
      <c r="K293" s="338" t="str">
        <f t="shared" si="212"/>
        <v>0.995775866622222-0.102091289266156i</v>
      </c>
      <c r="L293" s="732"/>
      <c r="M293" s="732" t="str">
        <f t="shared" si="213"/>
        <v>3.83879522295953-97.3004017658837i</v>
      </c>
      <c r="N293" s="337">
        <f t="shared" si="214"/>
        <v>0</v>
      </c>
      <c r="O293" s="730" t="str">
        <f t="shared" si="215"/>
        <v>-3.23222495076976-38.2274983447661i</v>
      </c>
      <c r="P293" s="731" t="str">
        <f t="shared" si="216"/>
        <v>-7.86940232886435-1.24156312961694i</v>
      </c>
      <c r="Q293" s="729" t="str">
        <f t="shared" si="217"/>
        <v>-7.83708007935665-0.859288146169281i</v>
      </c>
      <c r="R293" s="730"/>
      <c r="S293" s="405" t="str">
        <f t="shared" si="230"/>
        <v>39.8254419229388-2.01925766657836i</v>
      </c>
      <c r="T293" s="405" t="str">
        <f t="shared" si="231"/>
        <v>15.4720126209859-2.72670862082267i</v>
      </c>
      <c r="U293" s="405" t="str">
        <f t="shared" si="232"/>
        <v>0.0617135740473801-3.22801552507221i</v>
      </c>
      <c r="V293" s="731" t="str">
        <f t="shared" si="218"/>
        <v>6000</v>
      </c>
      <c r="W293" s="733" t="str">
        <f>IMSUM(COMPLEX(1,0),IMDIV(COMPLEX(0,2*PI()*D293),COMPLEX(2*PI()*'Stability Calculations'!EA_Pole1,0)))</f>
        <v>1+123734.642590582i</v>
      </c>
      <c r="X293" s="734">
        <f t="shared" si="233"/>
        <v>123734.64259462291</v>
      </c>
      <c r="Y293" s="735">
        <f t="shared" si="234"/>
        <v>1.570788244983861</v>
      </c>
      <c r="Z293" s="340" t="str">
        <f>IMSUM(COMPLEX(1,0),IMDIV(COMPLEX(0,2*PI()*D293),COMPLEX(2*PI()*'Stability Calculations'!EA_Zero1,0)))</f>
        <v>1+1225.09547119388i</v>
      </c>
      <c r="AA293" s="734">
        <f t="shared" si="235"/>
        <v>1225.0958793252694</v>
      </c>
      <c r="AB293" s="735">
        <f t="shared" si="236"/>
        <v>1.5699800640615682</v>
      </c>
      <c r="AC293" s="733" t="str">
        <f>IMSUM(COMPLEX(1,0),IMDIV(COMPLEX(0,2*PI()*D293),COMPLEX(2*PI()*'Stability Calculations'!EA_Pole2,0)))</f>
        <v>1+12.3409454811696i</v>
      </c>
      <c r="AD293" s="734">
        <f t="shared" si="237"/>
        <v>12.381394726330326</v>
      </c>
      <c r="AE293" s="735">
        <f t="shared" si="238"/>
        <v>1.4899419136689394</v>
      </c>
      <c r="AF293" s="732" t="str">
        <f t="shared" si="239"/>
        <v>0.38365199788063-4.78263914821207i</v>
      </c>
      <c r="AG293" s="337">
        <f t="shared" si="240"/>
        <v>4.7980023006964547</v>
      </c>
      <c r="AH293" s="730">
        <f t="shared" si="241"/>
        <v>-1.4907500945912324</v>
      </c>
      <c r="AI293" s="731" t="str">
        <f t="shared" si="219"/>
        <v>10000</v>
      </c>
      <c r="AJ293" s="733" t="str">
        <f t="shared" si="242"/>
        <v>1+115354.744548522i</v>
      </c>
      <c r="AK293" s="734">
        <f t="shared" si="243"/>
        <v>115354.74455285646</v>
      </c>
      <c r="AL293" s="735">
        <f t="shared" si="244"/>
        <v>1.5707876578840174</v>
      </c>
      <c r="AM293" s="340" t="str">
        <f t="shared" si="245"/>
        <v>1+195.770256296782i</v>
      </c>
      <c r="AN293" s="734">
        <f t="shared" si="246"/>
        <v>195.77281029424825</v>
      </c>
      <c r="AO293" s="735">
        <f t="shared" si="247"/>
        <v>1.5656883429686781</v>
      </c>
      <c r="AP293" s="733" t="str">
        <f t="shared" si="248"/>
        <v>1+9.4951801245302i</v>
      </c>
      <c r="AQ293" s="734">
        <f t="shared" si="249"/>
        <v>9.5476932081667432</v>
      </c>
      <c r="AR293" s="735">
        <f t="shared" si="250"/>
        <v>1.4658665409932086</v>
      </c>
      <c r="AS293" s="732" t="str">
        <f t="shared" si="251"/>
        <v>0.00720463782180812-12.0038620672414i</v>
      </c>
      <c r="AT293" s="337">
        <f t="shared" si="252"/>
        <v>12.003864229328949</v>
      </c>
      <c r="AU293" s="730">
        <f t="shared" si="253"/>
        <v>-1.5701961335473953</v>
      </c>
      <c r="AV293" s="732" t="str">
        <f t="shared" si="254"/>
        <v>-0.900858936319623+0.0847467192848805i</v>
      </c>
      <c r="AW293" s="337">
        <f t="shared" si="255"/>
        <v>-0.86859916700296924</v>
      </c>
      <c r="AX293" s="730">
        <f t="shared" si="256"/>
        <v>174.62581655642396</v>
      </c>
      <c r="AY293" s="360">
        <f t="shared" si="257"/>
        <v>-5.3741834435760438</v>
      </c>
      <c r="BB293" s="337">
        <f t="shared" si="258"/>
        <v>-18.413578506840938</v>
      </c>
      <c r="BC293" s="730">
        <f t="shared" si="259"/>
        <v>-89.965611460025926</v>
      </c>
      <c r="BD293" s="351"/>
      <c r="BE293" s="337">
        <f t="shared" si="220"/>
        <v>39.769047387562388</v>
      </c>
      <c r="BF293" s="730">
        <f t="shared" si="221"/>
        <v>-87.740679910605394</v>
      </c>
      <c r="BI293" s="351"/>
      <c r="BJ293" s="351"/>
      <c r="BL293" s="405">
        <f t="shared" si="222"/>
        <v>0</v>
      </c>
      <c r="BM293" s="405">
        <f t="shared" si="260"/>
        <v>0</v>
      </c>
      <c r="BN293" s="405">
        <f t="shared" si="223"/>
        <v>0</v>
      </c>
      <c r="BO293" s="405">
        <f t="shared" si="224"/>
        <v>0</v>
      </c>
    </row>
    <row r="294" spans="4:67" ht="13.5" thickBot="1" x14ac:dyDescent="0.25">
      <c r="D294" s="345">
        <v>19611.75</v>
      </c>
      <c r="E294" s="340" t="str">
        <f t="shared" si="211"/>
        <v>0.325312044942929i</v>
      </c>
      <c r="F294" s="728" t="str">
        <f t="shared" si="225"/>
        <v>0.005-0.133037461100411i</v>
      </c>
      <c r="G294" s="337" t="str">
        <f t="shared" si="226"/>
        <v>0.005-0.208084234028848i</v>
      </c>
      <c r="H294" s="338" t="str">
        <f t="shared" si="227"/>
        <v>0.0391415208625478-0.20056569005268i</v>
      </c>
      <c r="I294" s="338" t="str">
        <f t="shared" si="228"/>
        <v>0.0491415208625478-0.20056569005268i</v>
      </c>
      <c r="J294" s="337" t="str">
        <f t="shared" si="229"/>
        <v>0.00949192442901742-0.0807874557404266i</v>
      </c>
      <c r="K294" s="338" t="str">
        <f t="shared" si="212"/>
        <v>0.99572643624375-0.102686882873399i</v>
      </c>
      <c r="L294" s="732"/>
      <c r="M294" s="732" t="str">
        <f t="shared" si="213"/>
        <v>3.7408240765966-96.3686002189656i</v>
      </c>
      <c r="N294" s="337">
        <f t="shared" si="214"/>
        <v>0</v>
      </c>
      <c r="O294" s="730" t="str">
        <f t="shared" si="215"/>
        <v>-3.20731764401583-37.8542009683155i</v>
      </c>
      <c r="P294" s="731" t="str">
        <f t="shared" si="216"/>
        <v>-7.74986640551925-1.21693513012938i</v>
      </c>
      <c r="Q294" s="729" t="str">
        <f t="shared" si="217"/>
        <v>-7.71779322907907-0.83839312044623i</v>
      </c>
      <c r="R294" s="730"/>
      <c r="S294" s="405" t="str">
        <f t="shared" si="230"/>
        <v>39.8253444577621-2.05482916262705i</v>
      </c>
      <c r="T294" s="405" t="str">
        <f t="shared" si="231"/>
        <v>15.4691683536318-2.73308819324726i</v>
      </c>
      <c r="U294" s="405" t="str">
        <f t="shared" si="232"/>
        <v>0.0573230563864786-3.20956165392242i</v>
      </c>
      <c r="V294" s="731" t="str">
        <f t="shared" si="218"/>
        <v>6000</v>
      </c>
      <c r="W294" s="733" t="str">
        <f>IMSUM(COMPLEX(1,0),IMDIV(COMPLEX(0,2*PI()*D294),COMPLEX(2*PI()*'Stability Calculations'!EA_Pole1,0)))</f>
        <v>1+124456.50204256i</v>
      </c>
      <c r="X294" s="734">
        <f t="shared" si="233"/>
        <v>124456.50204657744</v>
      </c>
      <c r="Y294" s="735">
        <f t="shared" si="234"/>
        <v>1.5707882918591274</v>
      </c>
      <c r="Z294" s="340" t="str">
        <f>IMSUM(COMPLEX(1,0),IMDIV(COMPLEX(0,2*PI()*D294),COMPLEX(2*PI()*'Stability Calculations'!EA_Zero1,0)))</f>
        <v>1+1232.24259448079i</v>
      </c>
      <c r="AA294" s="734">
        <f t="shared" si="235"/>
        <v>1232.2430002449796</v>
      </c>
      <c r="AB294" s="735">
        <f t="shared" si="236"/>
        <v>1.5699847984603359</v>
      </c>
      <c r="AC294" s="733" t="str">
        <f>IMSUM(COMPLEX(1,0),IMDIV(COMPLEX(0,2*PI()*D294),COMPLEX(2*PI()*'Stability Calculations'!EA_Pole2,0)))</f>
        <v>1+12.4129417140387i</v>
      </c>
      <c r="AD294" s="734">
        <f t="shared" si="237"/>
        <v>12.453157109589602</v>
      </c>
      <c r="AE294" s="735">
        <f t="shared" si="238"/>
        <v>1.4904088533175834</v>
      </c>
      <c r="AF294" s="732" t="str">
        <f t="shared" si="239"/>
        <v>0.379243083012704-4.75525457658556i</v>
      </c>
      <c r="AG294" s="337">
        <f t="shared" si="240"/>
        <v>4.7703533835713783</v>
      </c>
      <c r="AH294" s="730">
        <f t="shared" si="241"/>
        <v>-1.4912123467163754</v>
      </c>
      <c r="AI294" s="731" t="str">
        <f t="shared" si="219"/>
        <v>10000</v>
      </c>
      <c r="AJ294" s="733" t="str">
        <f t="shared" si="242"/>
        <v>1+116027.716247793i</v>
      </c>
      <c r="AK294" s="734">
        <f t="shared" si="243"/>
        <v>116027.71625210233</v>
      </c>
      <c r="AL294" s="735">
        <f t="shared" si="244"/>
        <v>1.5707877081645183</v>
      </c>
      <c r="AM294" s="340" t="str">
        <f t="shared" si="245"/>
        <v>1+196.91236659803i</v>
      </c>
      <c r="AN294" s="734">
        <f t="shared" si="246"/>
        <v>196.9149057822616</v>
      </c>
      <c r="AO294" s="735">
        <f t="shared" si="247"/>
        <v>1.5657179692458516</v>
      </c>
      <c r="AP294" s="733" t="str">
        <f t="shared" si="248"/>
        <v>1+9.55057435671629i</v>
      </c>
      <c r="AQ294" s="734">
        <f t="shared" si="249"/>
        <v>9.602784520292369</v>
      </c>
      <c r="AR294" s="735">
        <f t="shared" si="250"/>
        <v>1.4664707245954387</v>
      </c>
      <c r="AS294" s="732" t="str">
        <f t="shared" si="251"/>
        <v>0.00712130506540274-11.9342385846383i</v>
      </c>
      <c r="AT294" s="337">
        <f t="shared" si="252"/>
        <v>11.934240709322708</v>
      </c>
      <c r="AU294" s="730">
        <f t="shared" si="253"/>
        <v>-1.5701996147240191</v>
      </c>
      <c r="AV294" s="732" t="str">
        <f t="shared" si="254"/>
        <v>-0.89030127461642+0.0845593612754352i</v>
      </c>
      <c r="AW294" s="337">
        <f t="shared" si="255"/>
        <v>-0.97025851991030354</v>
      </c>
      <c r="AX294" s="730">
        <f t="shared" si="256"/>
        <v>174.57441589253517</v>
      </c>
      <c r="AY294" s="360">
        <f t="shared" si="257"/>
        <v>-5.4255841074648288</v>
      </c>
      <c r="BB294" s="337">
        <f t="shared" si="258"/>
        <v>-18.464104136816243</v>
      </c>
      <c r="BC294" s="730">
        <f t="shared" si="259"/>
        <v>-89.965810916754208</v>
      </c>
      <c r="BD294" s="351"/>
      <c r="BE294" s="337">
        <f t="shared" si="220"/>
        <v>39.685250157793334</v>
      </c>
      <c r="BF294" s="730">
        <f t="shared" si="221"/>
        <v>-87.777015814871959</v>
      </c>
      <c r="BI294" s="351"/>
      <c r="BJ294" s="351"/>
      <c r="BL294" s="405">
        <f t="shared" si="222"/>
        <v>0</v>
      </c>
      <c r="BM294" s="405">
        <f t="shared" si="260"/>
        <v>0</v>
      </c>
      <c r="BN294" s="405">
        <f t="shared" si="223"/>
        <v>0</v>
      </c>
      <c r="BO294" s="405">
        <f t="shared" si="224"/>
        <v>0</v>
      </c>
    </row>
    <row r="295" spans="4:67" ht="13.5" thickBot="1" x14ac:dyDescent="0.25">
      <c r="D295" s="345">
        <v>19725.5</v>
      </c>
      <c r="E295" s="340" t="str">
        <f t="shared" si="211"/>
        <v>0.327198885490675i</v>
      </c>
      <c r="F295" s="728" t="str">
        <f t="shared" si="225"/>
        <v>0.005-0.132270280993434i</v>
      </c>
      <c r="G295" s="337" t="str">
        <f t="shared" si="226"/>
        <v>0.005-0.206884285656397i</v>
      </c>
      <c r="H295" s="338" t="str">
        <f t="shared" si="227"/>
        <v>0.0387596091453569-0.199473773668424i</v>
      </c>
      <c r="I295" s="338" t="str">
        <f t="shared" si="228"/>
        <v>0.0487596091453569-0.199473773668424i</v>
      </c>
      <c r="J295" s="337" t="str">
        <f t="shared" si="229"/>
        <v>0.00943054612056519-0.0803258902374204i</v>
      </c>
      <c r="K295" s="338" t="str">
        <f t="shared" si="212"/>
        <v>0.995676718330556-0.103282476480642i</v>
      </c>
      <c r="L295" s="732"/>
      <c r="M295" s="732" t="str">
        <f t="shared" si="213"/>
        <v>3.64643432621884-95.4564192358754i</v>
      </c>
      <c r="N295" s="337">
        <f t="shared" si="214"/>
        <v>0</v>
      </c>
      <c r="O295" s="730" t="str">
        <f t="shared" si="215"/>
        <v>-3.18255014412027-37.4889086834378i</v>
      </c>
      <c r="P295" s="731" t="str">
        <f t="shared" si="216"/>
        <v>-7.63323398690909-1.19310924755374i</v>
      </c>
      <c r="Q295" s="729" t="str">
        <f t="shared" si="217"/>
        <v>-7.60140848546788-0.818220160719364i</v>
      </c>
      <c r="R295" s="730"/>
      <c r="S295" s="405" t="str">
        <f t="shared" si="230"/>
        <v>39.8251821998413-2.09026915904854i</v>
      </c>
      <c r="T295" s="405" t="str">
        <f t="shared" si="231"/>
        <v>15.4663329517864-2.73951734672801i</v>
      </c>
      <c r="U295" s="405" t="str">
        <f t="shared" si="232"/>
        <v>0.0530071569412506-3.19131042031125i</v>
      </c>
      <c r="V295" s="731" t="str">
        <f t="shared" si="218"/>
        <v>6000</v>
      </c>
      <c r="W295" s="733" t="str">
        <f>IMSUM(COMPLEX(1,0),IMDIV(COMPLEX(0,2*PI()*D295),COMPLEX(2*PI()*'Stability Calculations'!EA_Pole1,0)))</f>
        <v>1+125178.361494539i</v>
      </c>
      <c r="X295" s="734">
        <f t="shared" si="233"/>
        <v>125178.36149853331</v>
      </c>
      <c r="Y295" s="735">
        <f t="shared" si="234"/>
        <v>1.5707883381937675</v>
      </c>
      <c r="Z295" s="340" t="str">
        <f>IMSUM(COMPLEX(1,0),IMDIV(COMPLEX(0,2*PI()*D295),COMPLEX(2*PI()*'Stability Calculations'!EA_Zero1,0)))</f>
        <v>1+1239.38971776771i</v>
      </c>
      <c r="AA295" s="734">
        <f t="shared" si="235"/>
        <v>1239.3901211920013</v>
      </c>
      <c r="AB295" s="735">
        <f t="shared" si="236"/>
        <v>1.5699894782559241</v>
      </c>
      <c r="AC295" s="733" t="str">
        <f>IMSUM(COMPLEX(1,0),IMDIV(COMPLEX(0,2*PI()*D295),COMPLEX(2*PI()*'Stability Calculations'!EA_Pole2,0)))</f>
        <v>1+12.4849379469079i</v>
      </c>
      <c r="AD295" s="734">
        <f t="shared" si="237"/>
        <v>12.524922176929516</v>
      </c>
      <c r="AE295" s="735">
        <f t="shared" si="238"/>
        <v>1.4908704421415928</v>
      </c>
      <c r="AF295" s="732" t="str">
        <f t="shared" si="239"/>
        <v>0.374909573685414-4.72817979957276i</v>
      </c>
      <c r="AG295" s="337">
        <f t="shared" si="240"/>
        <v>4.743020283061087</v>
      </c>
      <c r="AH295" s="730">
        <f t="shared" si="241"/>
        <v>-1.4916693020794358</v>
      </c>
      <c r="AI295" s="731" t="str">
        <f t="shared" si="219"/>
        <v>10000</v>
      </c>
      <c r="AJ295" s="733" t="str">
        <f t="shared" si="242"/>
        <v>1+116700.687947064i</v>
      </c>
      <c r="AK295" s="734">
        <f t="shared" si="243"/>
        <v>116700.68795134846</v>
      </c>
      <c r="AL295" s="735">
        <f t="shared" si="244"/>
        <v>1.5707877578651193</v>
      </c>
      <c r="AM295" s="340" t="str">
        <f t="shared" si="245"/>
        <v>1+198.05447689928i</v>
      </c>
      <c r="AN295" s="734">
        <f t="shared" si="246"/>
        <v>198.05700144111904</v>
      </c>
      <c r="AO295" s="735">
        <f t="shared" si="247"/>
        <v>1.565747253843208</v>
      </c>
      <c r="AP295" s="733" t="str">
        <f t="shared" si="248"/>
        <v>1+9.60596858890245i</v>
      </c>
      <c r="AQ295" s="734">
        <f t="shared" si="249"/>
        <v>9.6578792978055255</v>
      </c>
      <c r="AR295" s="735">
        <f t="shared" si="250"/>
        <v>1.46706801510712</v>
      </c>
      <c r="AS295" s="732" t="str">
        <f t="shared" si="251"/>
        <v>0.00703940979936959-11.865418089309i</v>
      </c>
      <c r="AT295" s="337">
        <f t="shared" si="252"/>
        <v>11.86542017744806</v>
      </c>
      <c r="AU295" s="730">
        <f t="shared" si="253"/>
        <v>-1.5702030557512219</v>
      </c>
      <c r="AV295" s="732" t="str">
        <f t="shared" si="254"/>
        <v>-0.879926577179427+0.0843685861625635i</v>
      </c>
      <c r="AW295" s="337">
        <f t="shared" si="255"/>
        <v>-1.0713279602022954</v>
      </c>
      <c r="AX295" s="730">
        <f t="shared" si="256"/>
        <v>174.52314324170419</v>
      </c>
      <c r="AY295" s="360">
        <f t="shared" si="257"/>
        <v>-5.4768567582958099</v>
      </c>
      <c r="BB295" s="337">
        <f t="shared" si="258"/>
        <v>-18.514337559356623</v>
      </c>
      <c r="BC295" s="730">
        <f t="shared" si="259"/>
        <v>-89.966008073090123</v>
      </c>
      <c r="BD295" s="351"/>
      <c r="BE295" s="337">
        <f t="shared" si="220"/>
        <v>39.602435557671114</v>
      </c>
      <c r="BF295" s="730">
        <f t="shared" si="221"/>
        <v>-87.812365436305726</v>
      </c>
      <c r="BI295" s="351"/>
      <c r="BJ295" s="351"/>
      <c r="BL295" s="405">
        <f t="shared" si="222"/>
        <v>0</v>
      </c>
      <c r="BM295" s="405">
        <f t="shared" si="260"/>
        <v>0</v>
      </c>
      <c r="BN295" s="405">
        <f t="shared" si="223"/>
        <v>0</v>
      </c>
      <c r="BO295" s="405">
        <f t="shared" si="224"/>
        <v>0</v>
      </c>
    </row>
    <row r="296" spans="4:67" ht="13.5" thickBot="1" x14ac:dyDescent="0.25">
      <c r="D296" s="345">
        <v>19839.25</v>
      </c>
      <c r="E296" s="340" t="str">
        <f t="shared" si="211"/>
        <v>0.329085726038421i</v>
      </c>
      <c r="F296" s="728" t="str">
        <f t="shared" si="225"/>
        <v>0.005-0.131511898269138i</v>
      </c>
      <c r="G296" s="337" t="str">
        <f t="shared" si="226"/>
        <v>0.005-0.205698097292754i</v>
      </c>
      <c r="H296" s="338" t="str">
        <f t="shared" si="227"/>
        <v>0.0383840062719156-0.198393316220664i</v>
      </c>
      <c r="I296" s="338" t="str">
        <f t="shared" si="228"/>
        <v>0.0483840062719156-0.198393316220664i</v>
      </c>
      <c r="J296" s="337" t="str">
        <f t="shared" si="229"/>
        <v>0.00937021415803325-0.0798695504127154i</v>
      </c>
      <c r="K296" s="338" t="str">
        <f t="shared" si="212"/>
        <v>0.995626712882639-0.103878070087886i</v>
      </c>
      <c r="L296" s="732"/>
      <c r="M296" s="732" t="str">
        <f t="shared" si="213"/>
        <v>3.55545799334751-94.5632222226494i</v>
      </c>
      <c r="N296" s="337">
        <f t="shared" si="214"/>
        <v>0</v>
      </c>
      <c r="O296" s="730" t="str">
        <f t="shared" si="215"/>
        <v>-3.15793570630837-37.131357048638i</v>
      </c>
      <c r="P296" s="731" t="str">
        <f t="shared" si="216"/>
        <v>-7.51940664167313-1.17005047513988i</v>
      </c>
      <c r="Q296" s="729" t="str">
        <f t="shared" si="217"/>
        <v>-7.48782728461004-0.798736904653504i</v>
      </c>
      <c r="R296" s="730"/>
      <c r="S296" s="405" t="str">
        <f t="shared" si="230"/>
        <v>39.8249562157256-2.12557975394479i</v>
      </c>
      <c r="T296" s="405" t="str">
        <f t="shared" si="231"/>
        <v>15.463505995234-2.74599523903093i</v>
      </c>
      <c r="U296" s="405" t="str">
        <f t="shared" si="232"/>
        <v>0.0487642093093693-3.17325853327021i</v>
      </c>
      <c r="V296" s="731" t="str">
        <f t="shared" si="218"/>
        <v>6000</v>
      </c>
      <c r="W296" s="733" t="str">
        <f>IMSUM(COMPLEX(1,0),IMDIV(COMPLEX(0,2*PI()*D296),COMPLEX(2*PI()*'Stability Calculations'!EA_Pole1,0)))</f>
        <v>1+125900.220946518i</v>
      </c>
      <c r="X296" s="734">
        <f t="shared" si="233"/>
        <v>125900.22095048941</v>
      </c>
      <c r="Y296" s="735">
        <f t="shared" si="234"/>
        <v>1.5707883839970804</v>
      </c>
      <c r="Z296" s="340" t="str">
        <f>IMSUM(COMPLEX(1,0),IMDIV(COMPLEX(0,2*PI()*D296),COMPLEX(2*PI()*'Stability Calculations'!EA_Zero1,0)))</f>
        <v>1+1246.53684105463i</v>
      </c>
      <c r="AA296" s="734">
        <f t="shared" si="235"/>
        <v>1246.5372421658551</v>
      </c>
      <c r="AB296" s="735">
        <f t="shared" si="236"/>
        <v>1.5699941043875478</v>
      </c>
      <c r="AC296" s="733" t="str">
        <f>IMSUM(COMPLEX(1,0),IMDIV(COMPLEX(0,2*PI()*D296),COMPLEX(2*PI()*'Stability Calculations'!EA_Pole2,0)))</f>
        <v>1+12.5569341797771i</v>
      </c>
      <c r="AD296" s="734">
        <f t="shared" si="237"/>
        <v>12.596689882475252</v>
      </c>
      <c r="AE296" s="735">
        <f t="shared" si="238"/>
        <v>1.4913267713990743</v>
      </c>
      <c r="AF296" s="732" t="str">
        <f t="shared" si="239"/>
        <v>0.370649763723767-4.7014096243486i</v>
      </c>
      <c r="AG296" s="337">
        <f t="shared" si="240"/>
        <v>4.7159976360539169</v>
      </c>
      <c r="AH296" s="730">
        <f t="shared" si="241"/>
        <v>-1.4921210510086069</v>
      </c>
      <c r="AI296" s="731" t="str">
        <f t="shared" si="219"/>
        <v>10000</v>
      </c>
      <c r="AJ296" s="733" t="str">
        <f t="shared" si="242"/>
        <v>1+117373.659646336i</v>
      </c>
      <c r="AK296" s="734">
        <f t="shared" si="243"/>
        <v>117373.65965059592</v>
      </c>
      <c r="AL296" s="735">
        <f t="shared" si="244"/>
        <v>1.5707878069957952</v>
      </c>
      <c r="AM296" s="340" t="str">
        <f t="shared" si="245"/>
        <v>1+199.19658720053i</v>
      </c>
      <c r="AN296" s="734">
        <f t="shared" si="246"/>
        <v>199.19909726788009</v>
      </c>
      <c r="AO296" s="735">
        <f t="shared" si="247"/>
        <v>1.5657762026376973</v>
      </c>
      <c r="AP296" s="733" t="str">
        <f t="shared" si="248"/>
        <v>1+9.66136282108861i</v>
      </c>
      <c r="AQ296" s="734">
        <f t="shared" si="249"/>
        <v>9.7129774817361376</v>
      </c>
      <c r="AR296" s="735">
        <f t="shared" si="250"/>
        <v>1.4676585294043869</v>
      </c>
      <c r="AS296" s="732" t="str">
        <f t="shared" si="251"/>
        <v>0.00695891915053727-11.7973867692888i</v>
      </c>
      <c r="AT296" s="337">
        <f t="shared" si="252"/>
        <v>11.797388821715852</v>
      </c>
      <c r="AU296" s="730">
        <f t="shared" si="253"/>
        <v>-1.5702064573196037</v>
      </c>
      <c r="AV296" s="732" t="str">
        <f t="shared" si="254"/>
        <v>-0.86973063738439+0.0841745852667248i</v>
      </c>
      <c r="AW296" s="337">
        <f t="shared" si="255"/>
        <v>-1.1718143528535379</v>
      </c>
      <c r="AX296" s="730">
        <f t="shared" si="256"/>
        <v>174.47199618137202</v>
      </c>
      <c r="AY296" s="360">
        <f t="shared" si="257"/>
        <v>-5.5280038186279796</v>
      </c>
      <c r="BB296" s="337">
        <f t="shared" si="258"/>
        <v>-18.564282134911629</v>
      </c>
      <c r="BC296" s="730">
        <f t="shared" si="259"/>
        <v>-89.966202968602119</v>
      </c>
      <c r="BD296" s="351"/>
      <c r="BE296" s="337">
        <f t="shared" si="220"/>
        <v>39.520580380352783</v>
      </c>
      <c r="BF296" s="730">
        <f t="shared" si="221"/>
        <v>-87.84676515946758</v>
      </c>
      <c r="BI296" s="351"/>
      <c r="BJ296" s="351"/>
      <c r="BL296" s="405">
        <f t="shared" si="222"/>
        <v>0</v>
      </c>
      <c r="BM296" s="405">
        <f t="shared" si="260"/>
        <v>0</v>
      </c>
      <c r="BN296" s="405">
        <f t="shared" si="223"/>
        <v>0</v>
      </c>
      <c r="BO296" s="405">
        <f t="shared" si="224"/>
        <v>0</v>
      </c>
    </row>
    <row r="297" spans="4:67" ht="13.5" thickBot="1" x14ac:dyDescent="0.25">
      <c r="D297" s="345">
        <v>19953</v>
      </c>
      <c r="E297" s="340" t="str">
        <f t="shared" si="211"/>
        <v>0.330972566586167i</v>
      </c>
      <c r="F297" s="728" t="str">
        <f t="shared" si="225"/>
        <v>0.005-0.130762162468601i</v>
      </c>
      <c r="G297" s="337" t="str">
        <f t="shared" si="226"/>
        <v>0.005-0.204525433604734i</v>
      </c>
      <c r="H297" s="338" t="str">
        <f t="shared" si="227"/>
        <v>0.0380145753704486-0.197324144645145i</v>
      </c>
      <c r="I297" s="338" t="str">
        <f t="shared" si="228"/>
        <v>0.0480145753704486-0.197324144645145i</v>
      </c>
      <c r="J297" s="337" t="str">
        <f t="shared" si="229"/>
        <v>0.0093109049162088-0.0794183484336268i</v>
      </c>
      <c r="K297" s="338" t="str">
        <f t="shared" si="212"/>
        <v>0.9955764199-0.104473663695129i</v>
      </c>
      <c r="L297" s="732"/>
      <c r="M297" s="732" t="str">
        <f t="shared" si="213"/>
        <v>3.46773666274133-93.6884000862491i</v>
      </c>
      <c r="N297" s="337">
        <f t="shared" si="214"/>
        <v>0</v>
      </c>
      <c r="O297" s="730" t="str">
        <f t="shared" si="215"/>
        <v>-3.13348614535411-36.781293248483i</v>
      </c>
      <c r="P297" s="731" t="str">
        <f t="shared" si="216"/>
        <v>-7.40829023589752-1.14772570351245i</v>
      </c>
      <c r="Q297" s="729" t="str">
        <f t="shared" si="217"/>
        <v>-7.37695537444397-0.779912771027622i</v>
      </c>
      <c r="R297" s="730"/>
      <c r="S297" s="405" t="str">
        <f t="shared" si="230"/>
        <v>39.8246675424339-2.16076300075843i</v>
      </c>
      <c r="T297" s="405" t="str">
        <f t="shared" si="231"/>
        <v>15.4606870754248-2.75252104555246i</v>
      </c>
      <c r="U297" s="405" t="str">
        <f t="shared" si="232"/>
        <v>0.044592593176261-3.15540277152935i</v>
      </c>
      <c r="V297" s="731" t="str">
        <f t="shared" si="218"/>
        <v>6000</v>
      </c>
      <c r="W297" s="733" t="str">
        <f>IMSUM(COMPLEX(1,0),IMDIV(COMPLEX(0,2*PI()*D297),COMPLEX(2*PI()*'Stability Calculations'!EA_Pole1,0)))</f>
        <v>1+126622.080398496i</v>
      </c>
      <c r="X297" s="734">
        <f t="shared" si="233"/>
        <v>126622.08040244474</v>
      </c>
      <c r="Y297" s="735">
        <f t="shared" si="234"/>
        <v>1.5707884292781535</v>
      </c>
      <c r="Z297" s="340" t="str">
        <f>IMSUM(COMPLEX(1,0),IMDIV(COMPLEX(0,2*PI()*D297),COMPLEX(2*PI()*'Stability Calculations'!EA_Zero1,0)))</f>
        <v>1+1253.68396434154i</v>
      </c>
      <c r="AA297" s="734">
        <f t="shared" si="235"/>
        <v>1253.6843631660722</v>
      </c>
      <c r="AB297" s="735">
        <f t="shared" si="236"/>
        <v>1.5699986777730046</v>
      </c>
      <c r="AC297" s="733" t="str">
        <f>IMSUM(COMPLEX(1,0),IMDIV(COMPLEX(0,2*PI()*D297),COMPLEX(2*PI()*'Stability Calculations'!EA_Pole2,0)))</f>
        <v>1+12.6289304126462i</v>
      </c>
      <c r="AD297" s="734">
        <f t="shared" si="237"/>
        <v>12.668460181389849</v>
      </c>
      <c r="AE297" s="735">
        <f t="shared" si="238"/>
        <v>1.4917779302890024</v>
      </c>
      <c r="AF297" s="732" t="str">
        <f t="shared" si="239"/>
        <v>0.366461994836216-4.67493897271159i</v>
      </c>
      <c r="AG297" s="337">
        <f t="shared" si="240"/>
        <v>4.6892801998000753</v>
      </c>
      <c r="AH297" s="730">
        <f t="shared" si="241"/>
        <v>-1.4925676817941513</v>
      </c>
      <c r="AI297" s="731" t="str">
        <f t="shared" si="219"/>
        <v>10000</v>
      </c>
      <c r="AJ297" s="733" t="str">
        <f t="shared" si="242"/>
        <v>1+118046.631345607i</v>
      </c>
      <c r="AK297" s="734">
        <f t="shared" si="243"/>
        <v>118046.63134984262</v>
      </c>
      <c r="AL297" s="735">
        <f t="shared" si="244"/>
        <v>1.5707878555662933</v>
      </c>
      <c r="AM297" s="340" t="str">
        <f t="shared" si="245"/>
        <v>1+200.338697501778i</v>
      </c>
      <c r="AN297" s="734">
        <f t="shared" si="246"/>
        <v>200.34119325967117</v>
      </c>
      <c r="AO297" s="735">
        <f t="shared" si="247"/>
        <v>1.56580482137226</v>
      </c>
      <c r="AP297" s="733" t="str">
        <f t="shared" si="248"/>
        <v>1+9.7167570532747i</v>
      </c>
      <c r="AQ297" s="734">
        <f t="shared" si="249"/>
        <v>9.7680790144410494</v>
      </c>
      <c r="AR297" s="735">
        <f t="shared" si="250"/>
        <v>1.4682423817453392</v>
      </c>
      <c r="AS297" s="732" t="str">
        <f t="shared" si="251"/>
        <v>0.00687980118008793-11.7301311275746i</v>
      </c>
      <c r="AT297" s="337">
        <f t="shared" si="252"/>
        <v>11.730133145099368</v>
      </c>
      <c r="AU297" s="730">
        <f t="shared" si="253"/>
        <v>-1.5702098201040162</v>
      </c>
      <c r="AV297" s="732" t="str">
        <f t="shared" si="254"/>
        <v>-0.859709368885257+0.0839775415899645i</v>
      </c>
      <c r="AW297" s="337">
        <f t="shared" si="255"/>
        <v>-1.2717244437718014</v>
      </c>
      <c r="AX297" s="730">
        <f t="shared" si="256"/>
        <v>174.42097234991206</v>
      </c>
      <c r="AY297" s="360">
        <f t="shared" si="257"/>
        <v>-5.5790276500879372</v>
      </c>
      <c r="BB297" s="337">
        <f t="shared" si="258"/>
        <v>-18.613941166293358</v>
      </c>
      <c r="BC297" s="730">
        <f t="shared" si="259"/>
        <v>-89.966395641956368</v>
      </c>
      <c r="BD297" s="351"/>
      <c r="BE297" s="337">
        <f t="shared" si="220"/>
        <v>39.439662214200851</v>
      </c>
      <c r="BF297" s="730">
        <f t="shared" si="221"/>
        <v>-87.880249678916414</v>
      </c>
      <c r="BI297" s="351"/>
      <c r="BJ297" s="351"/>
      <c r="BL297" s="405">
        <f t="shared" si="222"/>
        <v>0</v>
      </c>
      <c r="BM297" s="405">
        <f t="shared" si="260"/>
        <v>0</v>
      </c>
      <c r="BN297" s="405">
        <f t="shared" si="223"/>
        <v>0</v>
      </c>
      <c r="BO297" s="405">
        <f t="shared" si="224"/>
        <v>0</v>
      </c>
    </row>
    <row r="298" spans="4:67" ht="13.5" thickBot="1" x14ac:dyDescent="0.25">
      <c r="D298" s="345">
        <v>20069</v>
      </c>
      <c r="E298" s="340" t="str">
        <f t="shared" si="211"/>
        <v>0.332896729254638i</v>
      </c>
      <c r="F298" s="728" t="str">
        <f t="shared" si="225"/>
        <v>0.005-0.13000634948109i</v>
      </c>
      <c r="G298" s="337" t="str">
        <f t="shared" si="226"/>
        <v>0.005-0.203343264572986i</v>
      </c>
      <c r="H298" s="338" t="str">
        <f t="shared" si="227"/>
        <v>0.0376440552670706-0.196245271602205i</v>
      </c>
      <c r="I298" s="338" t="str">
        <f t="shared" si="228"/>
        <v>0.0476440552670706-0.196245271602205i</v>
      </c>
      <c r="J298" s="337" t="str">
        <f t="shared" si="229"/>
        <v>0.00925145198818668-0.0789634238500286i</v>
      </c>
      <c r="K298" s="338" t="str">
        <f t="shared" si="212"/>
        <v>0.995524835988889-0.105081038274823i</v>
      </c>
      <c r="L298" s="732"/>
      <c r="M298" s="732" t="str">
        <f t="shared" si="213"/>
        <v>3.38147747411434-92.8145931308438i</v>
      </c>
      <c r="N298" s="337">
        <f t="shared" si="214"/>
        <v>0</v>
      </c>
      <c r="O298" s="730" t="str">
        <f t="shared" si="215"/>
        <v>-3.10873364722919-36.431765944155i</v>
      </c>
      <c r="P298" s="731" t="str">
        <f t="shared" si="216"/>
        <v>-7.29767448035785-1.1256827911809i</v>
      </c>
      <c r="Q298" s="729" t="str">
        <f t="shared" si="217"/>
        <v>-7.26658714388555-0.761365131739355i</v>
      </c>
      <c r="R298" s="730"/>
      <c r="S298" s="405" t="str">
        <f t="shared" si="230"/>
        <v>39.8243096429552-2.19651311186663i</v>
      </c>
      <c r="T298" s="405" t="str">
        <f t="shared" si="231"/>
        <v>15.4578202617581-2.75922444224409i</v>
      </c>
      <c r="U298" s="405" t="str">
        <f t="shared" si="232"/>
        <v>0.0404102901624343-3.13739253304486i</v>
      </c>
      <c r="V298" s="731" t="str">
        <f t="shared" si="218"/>
        <v>6000</v>
      </c>
      <c r="W298" s="733" t="str">
        <f>IMSUM(COMPLEX(1,0),IMDIV(COMPLEX(0,2*PI()*D298),COMPLEX(2*PI()*'Stability Calculations'!EA_Pole1,0)))</f>
        <v>1+127358.218389085i</v>
      </c>
      <c r="X298" s="734">
        <f t="shared" si="233"/>
        <v>127358.21839301095</v>
      </c>
      <c r="Y298" s="735">
        <f t="shared" si="234"/>
        <v>1.5707884749262648</v>
      </c>
      <c r="Z298" s="340" t="str">
        <f>IMSUM(COMPLEX(1,0),IMDIV(COMPLEX(0,2*PI()*D298),COMPLEX(2*PI()*'Stability Calculations'!EA_Zero1,0)))</f>
        <v>1+1260.97245929787i</v>
      </c>
      <c r="AA298" s="734">
        <f t="shared" si="235"/>
        <v>1260.9728558171737</v>
      </c>
      <c r="AB298" s="735">
        <f t="shared" si="236"/>
        <v>1.570003288229312</v>
      </c>
      <c r="AC298" s="733" t="str">
        <f>IMSUM(COMPLEX(1,0),IMDIV(COMPLEX(0,2*PI()*D298),COMPLEX(2*PI()*'Stability Calculations'!EA_Pole2,0)))</f>
        <v>1+12.7023507468249i</v>
      </c>
      <c r="AD298" s="734">
        <f t="shared" si="237"/>
        <v>12.741652737983525</v>
      </c>
      <c r="AE298" s="735">
        <f t="shared" si="238"/>
        <v>1.4922327787991745</v>
      </c>
      <c r="AF298" s="732" t="str">
        <f t="shared" si="239"/>
        <v>0.362263912741774-4.64824804671095i</v>
      </c>
      <c r="AG298" s="337">
        <f t="shared" si="240"/>
        <v>4.6623432999112309</v>
      </c>
      <c r="AH298" s="730">
        <f t="shared" si="241"/>
        <v>-1.4930179654961271</v>
      </c>
      <c r="AI298" s="731" t="str">
        <f t="shared" si="219"/>
        <v>10000</v>
      </c>
      <c r="AJ298" s="733" t="str">
        <f t="shared" si="242"/>
        <v>1+118732.914572996i</v>
      </c>
      <c r="AK298" s="734">
        <f t="shared" si="243"/>
        <v>118732.91457720712</v>
      </c>
      <c r="AL298" s="735">
        <f t="shared" si="244"/>
        <v>1.5707879045304927</v>
      </c>
      <c r="AM298" s="340" t="str">
        <f t="shared" si="245"/>
        <v>1+201.5033989958i</v>
      </c>
      <c r="AN298" s="734">
        <f t="shared" si="246"/>
        <v>201.50588032824396</v>
      </c>
      <c r="AO298" s="735">
        <f t="shared" si="247"/>
        <v>1.5658336720920176</v>
      </c>
      <c r="AP298" s="733" t="str">
        <f t="shared" si="248"/>
        <v>1+9.77324699554805i</v>
      </c>
      <c r="AQ298" s="734">
        <f t="shared" si="249"/>
        <v>9.82427385794945</v>
      </c>
      <c r="AR298" s="735">
        <f t="shared" si="250"/>
        <v>1.4688310376868092</v>
      </c>
      <c r="AS298" s="732" t="str">
        <f t="shared" si="251"/>
        <v>0.00680049974421111-11.6623303262009i</v>
      </c>
      <c r="AT298" s="337">
        <f t="shared" si="252"/>
        <v>11.662332308943265</v>
      </c>
      <c r="AU298" s="730">
        <f t="shared" si="253"/>
        <v>-1.5702132101464037</v>
      </c>
      <c r="AV298" s="732" t="str">
        <f t="shared" si="254"/>
        <v>-0.84966565038877+0.0837736481280177i</v>
      </c>
      <c r="AW298" s="337">
        <f t="shared" si="255"/>
        <v>-1.3730241367201625</v>
      </c>
      <c r="AX298" s="730">
        <f t="shared" si="256"/>
        <v>174.36906377835953</v>
      </c>
      <c r="AY298" s="360">
        <f t="shared" si="257"/>
        <v>-5.6309362216404679</v>
      </c>
      <c r="BB298" s="337">
        <f t="shared" si="258"/>
        <v>-18.664291757211849</v>
      </c>
      <c r="BC298" s="730">
        <f t="shared" si="259"/>
        <v>-89.966589877077539</v>
      </c>
      <c r="BD298" s="351"/>
      <c r="BE298" s="337">
        <f t="shared" si="220"/>
        <v>39.358086023357487</v>
      </c>
      <c r="BF298" s="730">
        <f t="shared" si="221"/>
        <v>-87.913488297081713</v>
      </c>
      <c r="BI298" s="351"/>
      <c r="BJ298" s="351"/>
      <c r="BL298" s="405">
        <f t="shared" si="222"/>
        <v>0</v>
      </c>
      <c r="BM298" s="405">
        <f t="shared" si="260"/>
        <v>0</v>
      </c>
      <c r="BN298" s="405">
        <f t="shared" si="223"/>
        <v>0</v>
      </c>
      <c r="BO298" s="405">
        <f t="shared" si="224"/>
        <v>0</v>
      </c>
    </row>
    <row r="299" spans="4:67" ht="13.5" thickBot="1" x14ac:dyDescent="0.25">
      <c r="D299" s="345">
        <v>20185</v>
      </c>
      <c r="E299" s="340" t="str">
        <f t="shared" si="211"/>
        <v>0.334820891923109i</v>
      </c>
      <c r="F299" s="728" t="str">
        <f t="shared" si="225"/>
        <v>0.005-0.129259223568788i</v>
      </c>
      <c r="G299" s="337" t="str">
        <f t="shared" si="226"/>
        <v>0.005-0.202174683017848i</v>
      </c>
      <c r="H299" s="338" t="str">
        <f t="shared" si="227"/>
        <v>0.0372796777014706-0.195177782250543i</v>
      </c>
      <c r="I299" s="338" t="str">
        <f t="shared" si="228"/>
        <v>0.0472796777014706-0.195177782250543i</v>
      </c>
      <c r="J299" s="337" t="str">
        <f t="shared" si="229"/>
        <v>0.00919301509416148-0.0785136640161457i</v>
      </c>
      <c r="K299" s="338" t="str">
        <f t="shared" si="212"/>
        <v>0.995472953055556-0.105688412854517i</v>
      </c>
      <c r="L299" s="732"/>
      <c r="M299" s="732" t="str">
        <f t="shared" si="213"/>
        <v>3.29829828013158-91.9586969380406i</v>
      </c>
      <c r="N299" s="337">
        <f t="shared" si="214"/>
        <v>0</v>
      </c>
      <c r="O299" s="730" t="str">
        <f t="shared" si="215"/>
        <v>-3.08417338273662-36.089528860044i</v>
      </c>
      <c r="P299" s="731" t="str">
        <f t="shared" si="216"/>
        <v>-7.18969292888159-1.10433917198211i</v>
      </c>
      <c r="Q299" s="729" t="str">
        <f t="shared" si="217"/>
        <v>-7.15885119505423-0.743443883381667i</v>
      </c>
      <c r="R299" s="730"/>
      <c r="S299" s="405" t="str">
        <f t="shared" si="230"/>
        <v>39.8238886383286-2.23213496340768i</v>
      </c>
      <c r="T299" s="405" t="str">
        <f t="shared" si="231"/>
        <v>15.454960983192-2.7659759894005i</v>
      </c>
      <c r="U299" s="405" t="str">
        <f t="shared" si="232"/>
        <v>0.0362989049727568-3.11957970288294i</v>
      </c>
      <c r="V299" s="731" t="str">
        <f t="shared" si="218"/>
        <v>6000</v>
      </c>
      <c r="W299" s="733" t="str">
        <f>IMSUM(COMPLEX(1,0),IMDIV(COMPLEX(0,2*PI()*D299),COMPLEX(2*PI()*'Stability Calculations'!EA_Pole1,0)))</f>
        <v>1+128094.356379674i</v>
      </c>
      <c r="X299" s="734">
        <f t="shared" si="233"/>
        <v>128094.35638357737</v>
      </c>
      <c r="Y299" s="735">
        <f t="shared" si="234"/>
        <v>1.5707885200497109</v>
      </c>
      <c r="Z299" s="340" t="str">
        <f>IMSUM(COMPLEX(1,0),IMDIV(COMPLEX(0,2*PI()*D299),COMPLEX(2*PI()*'Stability Calculations'!EA_Zero1,0)))</f>
        <v>1+1268.2609542542i</v>
      </c>
      <c r="AA299" s="734">
        <f t="shared" si="235"/>
        <v>1268.2613484947706</v>
      </c>
      <c r="AB299" s="735">
        <f t="shared" si="236"/>
        <v>1.5700078456945272</v>
      </c>
      <c r="AC299" s="733" t="str">
        <f>IMSUM(COMPLEX(1,0),IMDIV(COMPLEX(0,2*PI()*D299),COMPLEX(2*PI()*'Stability Calculations'!EA_Pole2,0)))</f>
        <v>1+12.7757710810035i</v>
      </c>
      <c r="AD299" s="734">
        <f t="shared" si="237"/>
        <v>12.814847900549006</v>
      </c>
      <c r="AE299" s="735">
        <f t="shared" si="238"/>
        <v>1.4926824314427236</v>
      </c>
      <c r="AF299" s="732" t="str">
        <f t="shared" si="239"/>
        <v>0.358137411964571-4.62185829487388i</v>
      </c>
      <c r="AG299" s="337">
        <f t="shared" si="240"/>
        <v>4.6357131602098898</v>
      </c>
      <c r="AH299" s="730">
        <f t="shared" si="241"/>
        <v>-1.4934631057979075</v>
      </c>
      <c r="AI299" s="731" t="str">
        <f t="shared" si="219"/>
        <v>10000</v>
      </c>
      <c r="AJ299" s="733" t="str">
        <f t="shared" si="242"/>
        <v>1+119419.197800385i</v>
      </c>
      <c r="AK299" s="734">
        <f t="shared" si="243"/>
        <v>119419.19780457193</v>
      </c>
      <c r="AL299" s="735">
        <f t="shared" si="244"/>
        <v>1.5707879529319131</v>
      </c>
      <c r="AM299" s="340" t="str">
        <f t="shared" si="245"/>
        <v>1+202.668100489821i</v>
      </c>
      <c r="AN299" s="734">
        <f t="shared" si="246"/>
        <v>202.67056756261425</v>
      </c>
      <c r="AO299" s="735">
        <f t="shared" si="247"/>
        <v>1.5658621912188553</v>
      </c>
      <c r="AP299" s="733" t="str">
        <f t="shared" si="248"/>
        <v>1+9.8297369378214i</v>
      </c>
      <c r="AQ299" s="734">
        <f t="shared" si="249"/>
        <v>9.8804720670001611</v>
      </c>
      <c r="AR299" s="735">
        <f t="shared" si="250"/>
        <v>1.4694129975063499</v>
      </c>
      <c r="AS299" s="732" t="str">
        <f t="shared" si="251"/>
        <v>0.00672256157378873-11.595308804984i</v>
      </c>
      <c r="AT299" s="337">
        <f t="shared" si="252"/>
        <v>11.595310753738927</v>
      </c>
      <c r="AU299" s="730">
        <f t="shared" si="253"/>
        <v>-1.5702165612247305</v>
      </c>
      <c r="AV299" s="732" t="str">
        <f t="shared" si="254"/>
        <v>-0.839795362906788+0.0835669498872684i</v>
      </c>
      <c r="AW299" s="337">
        <f t="shared" si="255"/>
        <v>-1.47373830685671</v>
      </c>
      <c r="AX299" s="730">
        <f t="shared" si="256"/>
        <v>174.31727858375032</v>
      </c>
      <c r="AY299" s="360">
        <f t="shared" si="257"/>
        <v>-5.6827214162496773</v>
      </c>
      <c r="BB299" s="337">
        <f t="shared" si="258"/>
        <v>-18.714352155999695</v>
      </c>
      <c r="BC299" s="730">
        <f t="shared" si="259"/>
        <v>-89.96678187972249</v>
      </c>
      <c r="BD299" s="351"/>
      <c r="BE299" s="337">
        <f t="shared" si="220"/>
        <v>39.2774395808961</v>
      </c>
      <c r="BF299" s="730">
        <f t="shared" si="221"/>
        <v>-87.945843053447277</v>
      </c>
      <c r="BI299" s="351"/>
      <c r="BJ299" s="351"/>
      <c r="BL299" s="405">
        <f t="shared" si="222"/>
        <v>0</v>
      </c>
      <c r="BM299" s="405">
        <f t="shared" si="260"/>
        <v>0</v>
      </c>
      <c r="BN299" s="405">
        <f t="shared" si="223"/>
        <v>0</v>
      </c>
      <c r="BO299" s="405">
        <f t="shared" si="224"/>
        <v>0</v>
      </c>
    </row>
    <row r="300" spans="4:67" ht="13.5" thickBot="1" x14ac:dyDescent="0.25">
      <c r="D300" s="345">
        <v>20301</v>
      </c>
      <c r="E300" s="340" t="str">
        <f t="shared" si="211"/>
        <v>0.336745054591579i</v>
      </c>
      <c r="F300" s="728" t="str">
        <f t="shared" si="225"/>
        <v>0.005-0.128520635817742i</v>
      </c>
      <c r="G300" s="337" t="str">
        <f t="shared" si="226"/>
        <v>0.005-0.201019456022623i</v>
      </c>
      <c r="H300" s="338" t="str">
        <f t="shared" si="227"/>
        <v>0.0369213088911092-0.194121503464058i</v>
      </c>
      <c r="I300" s="338" t="str">
        <f t="shared" si="228"/>
        <v>0.0469213088911092-0.194121503464058i</v>
      </c>
      <c r="J300" s="337" t="str">
        <f t="shared" si="229"/>
        <v>0.00913557123503275-0.0780689818716838i</v>
      </c>
      <c r="K300" s="338" t="str">
        <f t="shared" si="212"/>
        <v>0.9954207711-0.106295787434211i</v>
      </c>
      <c r="L300" s="732"/>
      <c r="M300" s="732" t="str">
        <f t="shared" si="213"/>
        <v>3.21805787845431-91.1201448018585i</v>
      </c>
      <c r="N300" s="337">
        <f t="shared" si="214"/>
        <v>0</v>
      </c>
      <c r="O300" s="730" t="str">
        <f t="shared" si="215"/>
        <v>-3.05981402441118-35.7543473177908i</v>
      </c>
      <c r="P300" s="731" t="str">
        <f t="shared" si="216"/>
        <v>-7.08425813569443-1.08366507595896i</v>
      </c>
      <c r="Q300" s="729" t="str">
        <f t="shared" si="217"/>
        <v>-7.05365999545032-0.726121602781048i</v>
      </c>
      <c r="R300" s="730"/>
      <c r="S300" s="405" t="str">
        <f t="shared" si="230"/>
        <v>39.8234055395789-2.26763059693326i</v>
      </c>
      <c r="T300" s="405" t="str">
        <f t="shared" si="231"/>
        <v>15.4521088415168-2.77277486626691i</v>
      </c>
      <c r="U300" s="405" t="str">
        <f t="shared" si="232"/>
        <v>0.0322568577495934-3.10196107732845i</v>
      </c>
      <c r="V300" s="731" t="str">
        <f t="shared" si="218"/>
        <v>6000</v>
      </c>
      <c r="W300" s="733" t="str">
        <f>IMSUM(COMPLEX(1,0),IMDIV(COMPLEX(0,2*PI()*D300),COMPLEX(2*PI()*'Stability Calculations'!EA_Pole1,0)))</f>
        <v>1+128830.494370264i</v>
      </c>
      <c r="X300" s="734">
        <f t="shared" si="233"/>
        <v>128830.49437414506</v>
      </c>
      <c r="Y300" s="735">
        <f t="shared" si="234"/>
        <v>1.570788564657486</v>
      </c>
      <c r="Z300" s="340" t="str">
        <f>IMSUM(COMPLEX(1,0),IMDIV(COMPLEX(0,2*PI()*D300),COMPLEX(2*PI()*'Stability Calculations'!EA_Zero1,0)))</f>
        <v>1+1275.54944921053i</v>
      </c>
      <c r="AA300" s="734">
        <f t="shared" si="235"/>
        <v>1275.5498411984088</v>
      </c>
      <c r="AB300" s="735">
        <f t="shared" si="236"/>
        <v>1.5700123510770236</v>
      </c>
      <c r="AC300" s="733" t="str">
        <f>IMSUM(COMPLEX(1,0),IMDIV(COMPLEX(0,2*PI()*D300),COMPLEX(2*PI()*'Stability Calculations'!EA_Pole2,0)))</f>
        <v>1+12.8491914151822i</v>
      </c>
      <c r="AD300" s="734">
        <f t="shared" si="237"/>
        <v>12.888045624686155</v>
      </c>
      <c r="AE300" s="735">
        <f t="shared" si="238"/>
        <v>1.4931269765661122</v>
      </c>
      <c r="AF300" s="732" t="str">
        <f t="shared" si="239"/>
        <v>0.354080877601871-4.59576468015013i</v>
      </c>
      <c r="AG300" s="337">
        <f t="shared" si="240"/>
        <v>4.609384586167522</v>
      </c>
      <c r="AH300" s="730">
        <f t="shared" si="241"/>
        <v>-1.4939031901465749</v>
      </c>
      <c r="AI300" s="731" t="str">
        <f t="shared" si="219"/>
        <v>10000</v>
      </c>
      <c r="AJ300" s="733" t="str">
        <f t="shared" si="242"/>
        <v>1+120105.481027774i</v>
      </c>
      <c r="AK300" s="734">
        <f t="shared" si="243"/>
        <v>120105.481031937</v>
      </c>
      <c r="AL300" s="735">
        <f t="shared" si="244"/>
        <v>1.5707880007802018</v>
      </c>
      <c r="AM300" s="340" t="str">
        <f t="shared" si="245"/>
        <v>1+203.832801983843i</v>
      </c>
      <c r="AN300" s="734">
        <f t="shared" si="246"/>
        <v>203.83525495994201</v>
      </c>
      <c r="AO300" s="735">
        <f t="shared" si="247"/>
        <v>1.5658903844367595</v>
      </c>
      <c r="AP300" s="733" t="str">
        <f t="shared" si="248"/>
        <v>1+9.88622688009474i</v>
      </c>
      <c r="AQ300" s="734">
        <f t="shared" si="249"/>
        <v>9.9366735844903236</v>
      </c>
      <c r="AR300" s="735">
        <f t="shared" si="250"/>
        <v>1.4699883744255591</v>
      </c>
      <c r="AS300" s="732" t="str">
        <f t="shared" si="251"/>
        <v>0.00664595559921209-11.5290532055115i</v>
      </c>
      <c r="AT300" s="337">
        <f t="shared" si="252"/>
        <v>11.529055121051369</v>
      </c>
      <c r="AU300" s="730">
        <f t="shared" si="253"/>
        <v>-1.5702198740069184</v>
      </c>
      <c r="AV300" s="732" t="str">
        <f t="shared" si="254"/>
        <v>-0.830094533346006+0.0833576165803457i</v>
      </c>
      <c r="AW300" s="337">
        <f t="shared" si="255"/>
        <v>-1.5738737432033132</v>
      </c>
      <c r="AX300" s="730">
        <f t="shared" si="256"/>
        <v>174.26561444524751</v>
      </c>
      <c r="AY300" s="360">
        <f t="shared" si="257"/>
        <v>-5.7343855547524925</v>
      </c>
      <c r="BB300" s="337">
        <f t="shared" si="258"/>
        <v>-18.764125688500826</v>
      </c>
      <c r="BC300" s="730">
        <f t="shared" si="259"/>
        <v>-89.966971688160299</v>
      </c>
      <c r="BD300" s="351"/>
      <c r="BE300" s="337">
        <f t="shared" si="220"/>
        <v>39.197701454269549</v>
      </c>
      <c r="BF300" s="730">
        <f t="shared" si="221"/>
        <v>-87.977345898936804</v>
      </c>
      <c r="BI300" s="351"/>
      <c r="BJ300" s="351"/>
      <c r="BL300" s="405">
        <f t="shared" si="222"/>
        <v>0</v>
      </c>
      <c r="BM300" s="405">
        <f t="shared" si="260"/>
        <v>0</v>
      </c>
      <c r="BN300" s="405">
        <f t="shared" si="223"/>
        <v>0</v>
      </c>
      <c r="BO300" s="405">
        <f t="shared" si="224"/>
        <v>0</v>
      </c>
    </row>
    <row r="301" spans="4:67" ht="13.5" thickBot="1" x14ac:dyDescent="0.25">
      <c r="D301" s="345">
        <v>20417</v>
      </c>
      <c r="E301" s="340" t="str">
        <f t="shared" si="211"/>
        <v>0.33866921726005i</v>
      </c>
      <c r="F301" s="728" t="str">
        <f t="shared" si="225"/>
        <v>0.005-0.127790440698241i</v>
      </c>
      <c r="G301" s="337" t="str">
        <f t="shared" si="226"/>
        <v>0.005-0.199877355963916i</v>
      </c>
      <c r="H301" s="338" t="str">
        <f t="shared" si="227"/>
        <v>0.0365688186414886-0.193076265464103i</v>
      </c>
      <c r="I301" s="338" t="str">
        <f t="shared" si="228"/>
        <v>0.0465688186414886-0.193076265464103i</v>
      </c>
      <c r="J301" s="337" t="str">
        <f t="shared" si="229"/>
        <v>0.00907909805786353-0.0776292922937056i</v>
      </c>
      <c r="K301" s="338" t="str">
        <f t="shared" si="212"/>
        <v>0.995368290122222-0.106903162013905i</v>
      </c>
      <c r="L301" s="732"/>
      <c r="M301" s="732" t="str">
        <f t="shared" si="213"/>
        <v>3.14062292608482-90.2983939316194i</v>
      </c>
      <c r="N301" s="337">
        <f t="shared" si="214"/>
        <v>0</v>
      </c>
      <c r="O301" s="730" t="str">
        <f t="shared" si="215"/>
        <v>-3.03566316906285-35.4259967098654i</v>
      </c>
      <c r="P301" s="731" t="str">
        <f t="shared" si="216"/>
        <v>-6.98128639266115-1.06363230808611i</v>
      </c>
      <c r="Q301" s="729" t="str">
        <f t="shared" si="217"/>
        <v>-6.95092976097054-0.709372340987449i</v>
      </c>
      <c r="R301" s="730"/>
      <c r="S301" s="405" t="str">
        <f t="shared" si="230"/>
        <v>39.8228613297943-2.30300201050991i</v>
      </c>
      <c r="T301" s="405" t="str">
        <f t="shared" si="231"/>
        <v>15.4492634495597-2.77962026925501i</v>
      </c>
      <c r="U301" s="405" t="str">
        <f t="shared" si="232"/>
        <v>0.0282826122354387-3.08453352053064i</v>
      </c>
      <c r="V301" s="731" t="str">
        <f t="shared" si="218"/>
        <v>6000</v>
      </c>
      <c r="W301" s="733" t="str">
        <f>IMSUM(COMPLEX(1,0),IMDIV(COMPLEX(0,2*PI()*D301),COMPLEX(2*PI()*'Stability Calculations'!EA_Pole1,0)))</f>
        <v>1+129566.632360853i</v>
      </c>
      <c r="X301" s="734">
        <f t="shared" si="233"/>
        <v>129566.63236471203</v>
      </c>
      <c r="Y301" s="735">
        <f t="shared" si="234"/>
        <v>1.5707886087583793</v>
      </c>
      <c r="Z301" s="340" t="str">
        <f>IMSUM(COMPLEX(1,0),IMDIV(COMPLEX(0,2*PI()*D301),COMPLEX(2*PI()*'Stability Calculations'!EA_Zero1,0)))</f>
        <v>1+1282.83794416686i</v>
      </c>
      <c r="AA301" s="734">
        <f t="shared" si="235"/>
        <v>1282.8383339276452</v>
      </c>
      <c r="AB301" s="735">
        <f t="shared" si="236"/>
        <v>1.5700168052645305</v>
      </c>
      <c r="AC301" s="733" t="str">
        <f>IMSUM(COMPLEX(1,0),IMDIV(COMPLEX(0,2*PI()*D301),COMPLEX(2*PI()*'Stability Calculations'!EA_Pole2,0)))</f>
        <v>1+12.9226117493609i</v>
      </c>
      <c r="AD301" s="734">
        <f t="shared" si="237"/>
        <v>12.961245866995979</v>
      </c>
      <c r="AE301" s="735">
        <f t="shared" si="238"/>
        <v>1.4935665005281911</v>
      </c>
      <c r="AF301" s="732" t="str">
        <f t="shared" si="239"/>
        <v>0.35009273994523-4.56996227646511i</v>
      </c>
      <c r="AG301" s="337">
        <f t="shared" si="240"/>
        <v>4.5833524995222144</v>
      </c>
      <c r="AH301" s="730">
        <f t="shared" si="241"/>
        <v>-1.4943383040220399</v>
      </c>
      <c r="AI301" s="731" t="str">
        <f t="shared" si="219"/>
        <v>10000</v>
      </c>
      <c r="AJ301" s="733" t="str">
        <f t="shared" si="242"/>
        <v>1+120791.764255163i</v>
      </c>
      <c r="AK301" s="734">
        <f t="shared" si="243"/>
        <v>120791.76425930236</v>
      </c>
      <c r="AL301" s="735">
        <f t="shared" si="244"/>
        <v>1.5707880480847864</v>
      </c>
      <c r="AM301" s="340" t="str">
        <f t="shared" si="245"/>
        <v>1+204.997503477864i</v>
      </c>
      <c r="AN301" s="734">
        <f t="shared" si="246"/>
        <v>204.99994251744772</v>
      </c>
      <c r="AO301" s="735">
        <f t="shared" si="247"/>
        <v>1.5659182573005459</v>
      </c>
      <c r="AP301" s="733" t="str">
        <f t="shared" si="248"/>
        <v>1+9.94271682236809i</v>
      </c>
      <c r="AQ301" s="734">
        <f t="shared" si="249"/>
        <v>9.9928783545984103</v>
      </c>
      <c r="AR301" s="735">
        <f t="shared" si="250"/>
        <v>1.4705572791364434</v>
      </c>
      <c r="AS301" s="732" t="str">
        <f t="shared" si="251"/>
        <v>0.00657065163097347-11.4635504729559i</v>
      </c>
      <c r="AT301" s="337">
        <f t="shared" si="252"/>
        <v>11.463552356031279</v>
      </c>
      <c r="AU301" s="730">
        <f t="shared" si="253"/>
        <v>-1.5702231491457104</v>
      </c>
      <c r="AV301" s="732" t="str">
        <f t="shared" si="254"/>
        <v>-0.820559301807585+0.0831458104515448i</v>
      </c>
      <c r="AW301" s="337">
        <f t="shared" si="255"/>
        <v>-1.6734371174679354</v>
      </c>
      <c r="AX301" s="730">
        <f t="shared" si="256"/>
        <v>174.21406910003222</v>
      </c>
      <c r="AY301" s="360">
        <f t="shared" si="257"/>
        <v>-5.7859308999677808</v>
      </c>
      <c r="BB301" s="337">
        <f t="shared" si="258"/>
        <v>-18.813615623709687</v>
      </c>
      <c r="BC301" s="730">
        <f t="shared" si="259"/>
        <v>-89.967159339790399</v>
      </c>
      <c r="BD301" s="351"/>
      <c r="BE301" s="337">
        <f t="shared" si="220"/>
        <v>39.118850929432824</v>
      </c>
      <c r="BF301" s="730">
        <f t="shared" si="221"/>
        <v>-88.008027331128233</v>
      </c>
      <c r="BI301" s="351"/>
      <c r="BJ301" s="351"/>
      <c r="BL301" s="405">
        <f t="shared" si="222"/>
        <v>0</v>
      </c>
      <c r="BM301" s="405">
        <f t="shared" si="260"/>
        <v>0</v>
      </c>
      <c r="BN301" s="405">
        <f t="shared" si="223"/>
        <v>0</v>
      </c>
      <c r="BO301" s="405">
        <f t="shared" si="224"/>
        <v>0</v>
      </c>
    </row>
    <row r="302" spans="4:67" ht="13.5" thickBot="1" x14ac:dyDescent="0.25">
      <c r="D302" s="345">
        <v>20536</v>
      </c>
      <c r="E302" s="340" t="str">
        <f t="shared" si="211"/>
        <v>0.340643142756154i</v>
      </c>
      <c r="F302" s="728" t="str">
        <f t="shared" si="225"/>
        <v>0.005-0.127049933177639i</v>
      </c>
      <c r="G302" s="337" t="str">
        <f t="shared" si="226"/>
        <v>0.005-0.198719126252204i</v>
      </c>
      <c r="H302" s="338" t="str">
        <f t="shared" si="227"/>
        <v>0.0362131880483594-0.192015293740031i</v>
      </c>
      <c r="I302" s="338" t="str">
        <f t="shared" si="228"/>
        <v>0.0462131880483594-0.192015293740031i</v>
      </c>
      <c r="J302" s="337" t="str">
        <f t="shared" si="229"/>
        <v>0.0090221502607256-0.077183332117766i</v>
      </c>
      <c r="K302" s="338" t="str">
        <f t="shared" si="212"/>
        <v>0.995314141155556-0.107526244556867i</v>
      </c>
      <c r="L302" s="732"/>
      <c r="M302" s="732" t="str">
        <f t="shared" si="213"/>
        <v>3.06396855712921-89.4723045544039i</v>
      </c>
      <c r="N302" s="337">
        <f t="shared" si="214"/>
        <v>0</v>
      </c>
      <c r="O302" s="730" t="str">
        <f t="shared" si="215"/>
        <v>-3.01111131274913-35.0960271364694i</v>
      </c>
      <c r="P302" s="731" t="str">
        <f t="shared" si="216"/>
        <v>-6.87812701304792-1.04371987860653i</v>
      </c>
      <c r="Q302" s="729" t="str">
        <f t="shared" si="217"/>
        <v>-6.84801589992043-0.692759607241833i</v>
      </c>
      <c r="R302" s="730"/>
      <c r="S302" s="405" t="str">
        <f t="shared" si="230"/>
        <v>39.8222405453231-2.33916117112166i</v>
      </c>
      <c r="T302" s="405" t="str">
        <f t="shared" si="231"/>
        <v>15.4463510891673-2.78669023050905i</v>
      </c>
      <c r="U302" s="405" t="str">
        <f t="shared" si="232"/>
        <v>0.0242744734793227-3.06685057894807i</v>
      </c>
      <c r="V302" s="731" t="str">
        <f t="shared" si="218"/>
        <v>6000</v>
      </c>
      <c r="W302" s="733" t="str">
        <f>IMSUM(COMPLEX(1,0),IMDIV(COMPLEX(0,2*PI()*D302),COMPLEX(2*PI()*'Stability Calculations'!EA_Pole1,0)))</f>
        <v>1+130321.808402922i</v>
      </c>
      <c r="X302" s="734">
        <f t="shared" si="233"/>
        <v>130321.80840675868</v>
      </c>
      <c r="Y302" s="735">
        <f t="shared" si="234"/>
        <v>1.5707886534821009</v>
      </c>
      <c r="Z302" s="340" t="str">
        <f>IMSUM(COMPLEX(1,0),IMDIV(COMPLEX(0,2*PI()*D302),COMPLEX(2*PI()*'Stability Calculations'!EA_Zero1,0)))</f>
        <v>1+1290.3149346824i</v>
      </c>
      <c r="AA302" s="734">
        <f t="shared" si="235"/>
        <v>1290.315322184638</v>
      </c>
      <c r="AB302" s="735">
        <f t="shared" si="236"/>
        <v>1.5700213223576771</v>
      </c>
      <c r="AC302" s="733" t="str">
        <f>IMSUM(COMPLEX(1,0),IMDIV(COMPLEX(0,2*PI()*D302),COMPLEX(2*PI()*'Stability Calculations'!EA_Pole2,0)))</f>
        <v>1+12.9979308852855i</v>
      </c>
      <c r="AD302" s="734">
        <f t="shared" si="237"/>
        <v>13.036341791264093</v>
      </c>
      <c r="AE302" s="735">
        <f t="shared" si="238"/>
        <v>1.4940122623359726</v>
      </c>
      <c r="AF302" s="732" t="str">
        <f t="shared" si="239"/>
        <v>0.346070934585632-4.54379012555869i</v>
      </c>
      <c r="AG302" s="337">
        <f t="shared" si="240"/>
        <v>4.5569500542456716</v>
      </c>
      <c r="AH302" s="730">
        <f t="shared" si="241"/>
        <v>-1.4947795934603967</v>
      </c>
      <c r="AI302" s="731" t="str">
        <f t="shared" si="219"/>
        <v>10000</v>
      </c>
      <c r="AJ302" s="733" t="str">
        <f t="shared" si="242"/>
        <v>1+121495.796186708i</v>
      </c>
      <c r="AK302" s="734">
        <f t="shared" si="243"/>
        <v>121495.79619082336</v>
      </c>
      <c r="AL302" s="735">
        <f t="shared" si="244"/>
        <v>1.5707880960574443</v>
      </c>
      <c r="AM302" s="340" t="str">
        <f t="shared" si="245"/>
        <v>1+206.192326562247i</v>
      </c>
      <c r="AN302" s="734">
        <f t="shared" si="246"/>
        <v>206.19475146848987</v>
      </c>
      <c r="AO302" s="735">
        <f t="shared" si="247"/>
        <v>1.5659465238150096</v>
      </c>
      <c r="AP302" s="733" t="str">
        <f t="shared" si="248"/>
        <v>1+10.0006677114243i</v>
      </c>
      <c r="AQ302" s="734">
        <f t="shared" si="249"/>
        <v>10.05054001904</v>
      </c>
      <c r="AR302" s="735">
        <f t="shared" si="250"/>
        <v>1.4711342848709106</v>
      </c>
      <c r="AS302" s="732" t="str">
        <f t="shared" si="251"/>
        <v>0.00649472235260296-11.3971226575237i</v>
      </c>
      <c r="AT302" s="337">
        <f t="shared" si="252"/>
        <v>11.397124508052833</v>
      </c>
      <c r="AU302" s="730">
        <f t="shared" si="253"/>
        <v>-1.5702264705386517</v>
      </c>
      <c r="AV302" s="732" t="str">
        <f t="shared" si="254"/>
        <v>-0.810945616736243+0.082926119528263i</v>
      </c>
      <c r="AW302" s="337">
        <f t="shared" si="255"/>
        <v>-1.7749878327492135</v>
      </c>
      <c r="AX302" s="730">
        <f t="shared" si="256"/>
        <v>174.16131181457706</v>
      </c>
      <c r="AY302" s="360">
        <f t="shared" si="257"/>
        <v>-5.8386881854229387</v>
      </c>
      <c r="BB302" s="337">
        <f t="shared" si="258"/>
        <v>-18.864094144866087</v>
      </c>
      <c r="BC302" s="730">
        <f t="shared" si="259"/>
        <v>-89.967349641588044</v>
      </c>
      <c r="BD302" s="351"/>
      <c r="BE302" s="337">
        <f t="shared" si="220"/>
        <v>39.038862513201522</v>
      </c>
      <c r="BF302" s="730">
        <f t="shared" si="221"/>
        <v>-88.038679210919625</v>
      </c>
      <c r="BI302" s="351"/>
      <c r="BJ302" s="351"/>
      <c r="BL302" s="405">
        <f t="shared" si="222"/>
        <v>0</v>
      </c>
      <c r="BM302" s="405">
        <f t="shared" si="260"/>
        <v>0</v>
      </c>
      <c r="BN302" s="405">
        <f t="shared" si="223"/>
        <v>0</v>
      </c>
      <c r="BO302" s="405">
        <f t="shared" si="224"/>
        <v>0</v>
      </c>
    </row>
    <row r="303" spans="4:67" ht="13.5" thickBot="1" x14ac:dyDescent="0.25">
      <c r="D303" s="345">
        <v>20655</v>
      </c>
      <c r="E303" s="340" t="str">
        <f t="shared" si="211"/>
        <v>0.342617068252257i</v>
      </c>
      <c r="F303" s="728" t="str">
        <f t="shared" si="225"/>
        <v>0.005-0.126317958253981i</v>
      </c>
      <c r="G303" s="337" t="str">
        <f t="shared" si="226"/>
        <v>0.005-0.197574242397253i</v>
      </c>
      <c r="H303" s="338" t="str">
        <f t="shared" si="227"/>
        <v>0.0358634775370273-0.190965589778348i</v>
      </c>
      <c r="I303" s="338" t="str">
        <f t="shared" si="228"/>
        <v>0.0458634775370273-0.190965589778348i</v>
      </c>
      <c r="J303" s="337" t="str">
        <f t="shared" si="229"/>
        <v>0.0089661783401618-0.0767424506296804i</v>
      </c>
      <c r="K303" s="338" t="str">
        <f t="shared" si="212"/>
        <v>0.9952596775-0.108149327099829i</v>
      </c>
      <c r="L303" s="732"/>
      <c r="M303" s="732" t="str">
        <f t="shared" si="213"/>
        <v>2.99000553802482-88.6628113954502i</v>
      </c>
      <c r="N303" s="337">
        <f t="shared" si="214"/>
        <v>0</v>
      </c>
      <c r="O303" s="730" t="str">
        <f t="shared" si="215"/>
        <v>-2.98679201174308-34.7727977730496i</v>
      </c>
      <c r="P303" s="731" t="str">
        <f t="shared" si="216"/>
        <v>-6.77739250331201-1.02442693149608i</v>
      </c>
      <c r="Q303" s="729" t="str">
        <f t="shared" si="217"/>
        <v>-6.7475245831946-0.676698953765581i</v>
      </c>
      <c r="R303" s="730"/>
      <c r="S303" s="405" t="str">
        <f t="shared" si="230"/>
        <v>39.8215574576732-2.37519372779567i</v>
      </c>
      <c r="T303" s="405" t="str">
        <f t="shared" si="231"/>
        <v>15.4434450407765-2.79380749581122i</v>
      </c>
      <c r="U303" s="405" t="str">
        <f t="shared" si="232"/>
        <v>0.0203345481494452-3.04936224279022i</v>
      </c>
      <c r="V303" s="731" t="str">
        <f t="shared" si="218"/>
        <v>6000</v>
      </c>
      <c r="W303" s="733" t="str">
        <f>IMSUM(COMPLEX(1,0),IMDIV(COMPLEX(0,2*PI()*D303),COMPLEX(2*PI()*'Stability Calculations'!EA_Pole1,0)))</f>
        <v>1+131076.984444992i</v>
      </c>
      <c r="X303" s="734">
        <f t="shared" si="233"/>
        <v>131076.98444880656</v>
      </c>
      <c r="Y303" s="735">
        <f t="shared" si="234"/>
        <v>1.5707886976904875</v>
      </c>
      <c r="Z303" s="340" t="str">
        <f>IMSUM(COMPLEX(1,0),IMDIV(COMPLEX(0,2*PI()*D303),COMPLEX(2*PI()*'Stability Calculations'!EA_Zero1,0)))</f>
        <v>1+1297.79192519794i</v>
      </c>
      <c r="AA303" s="734">
        <f t="shared" si="235"/>
        <v>1297.7923104676554</v>
      </c>
      <c r="AB303" s="735">
        <f t="shared" si="236"/>
        <v>1.5700257874020451</v>
      </c>
      <c r="AC303" s="733" t="str">
        <f>IMSUM(COMPLEX(1,0),IMDIV(COMPLEX(0,2*PI()*D303),COMPLEX(2*PI()*'Stability Calculations'!EA_Pole2,0)))</f>
        <v>1+13.0732500212102i</v>
      </c>
      <c r="AD303" s="734">
        <f t="shared" si="237"/>
        <v>13.11144027622719</v>
      </c>
      <c r="AE303" s="735">
        <f t="shared" si="238"/>
        <v>1.4944529178446506</v>
      </c>
      <c r="AF303" s="732" t="str">
        <f t="shared" si="239"/>
        <v>0.34211790232597-4.5179142861698i</v>
      </c>
      <c r="AG303" s="337">
        <f t="shared" si="240"/>
        <v>4.5308491650317713</v>
      </c>
      <c r="AH303" s="730">
        <f t="shared" si="241"/>
        <v>-1.495215828133093</v>
      </c>
      <c r="AI303" s="731" t="str">
        <f t="shared" si="219"/>
        <v>10000</v>
      </c>
      <c r="AJ303" s="733" t="str">
        <f t="shared" si="242"/>
        <v>1+122199.828118253i</v>
      </c>
      <c r="AK303" s="734">
        <f t="shared" si="243"/>
        <v>122199.82812234467</v>
      </c>
      <c r="AL303" s="735">
        <f t="shared" si="244"/>
        <v>1.5707881434773308</v>
      </c>
      <c r="AM303" s="340" t="str">
        <f t="shared" si="245"/>
        <v>1+207.387149646631i</v>
      </c>
      <c r="AN303" s="734">
        <f t="shared" si="246"/>
        <v>207.3895605823835</v>
      </c>
      <c r="AO303" s="735">
        <f t="shared" si="247"/>
        <v>1.565974464632397</v>
      </c>
      <c r="AP303" s="733" t="str">
        <f t="shared" si="248"/>
        <v>1+10.0586186004806i</v>
      </c>
      <c r="AQ303" s="734">
        <f t="shared" si="249"/>
        <v>10.108204991487572</v>
      </c>
      <c r="AR303" s="735">
        <f t="shared" si="250"/>
        <v>1.4717047074248697</v>
      </c>
      <c r="AS303" s="732" t="str">
        <f t="shared" si="251"/>
        <v>0.00642010164745195-11.3314602647379i</v>
      </c>
      <c r="AT303" s="337">
        <f t="shared" si="252"/>
        <v>11.331462083466505</v>
      </c>
      <c r="AU303" s="730">
        <f t="shared" si="253"/>
        <v>-1.5702297536604111</v>
      </c>
      <c r="AV303" s="732" t="str">
        <f t="shared" si="254"/>
        <v>-0.801498325636905+0.0827041494605162i</v>
      </c>
      <c r="AW303" s="337">
        <f t="shared" si="255"/>
        <v>-1.875950370656537</v>
      </c>
      <c r="AX303" s="730">
        <f t="shared" si="256"/>
        <v>174.10867490164418</v>
      </c>
      <c r="AY303" s="360">
        <f t="shared" si="257"/>
        <v>-5.8913250983558214</v>
      </c>
      <c r="BB303" s="337">
        <f t="shared" si="258"/>
        <v>-18.914281001646714</v>
      </c>
      <c r="BC303" s="730">
        <f t="shared" si="259"/>
        <v>-89.967537750608486</v>
      </c>
      <c r="BD303" s="351"/>
      <c r="BE303" s="337">
        <f t="shared" si="220"/>
        <v>38.959766228141405</v>
      </c>
      <c r="BF303" s="730">
        <f t="shared" si="221"/>
        <v>-88.068527307763986</v>
      </c>
      <c r="BI303" s="351"/>
      <c r="BJ303" s="351"/>
      <c r="BL303" s="405">
        <f t="shared" si="222"/>
        <v>0</v>
      </c>
      <c r="BM303" s="405">
        <f t="shared" si="260"/>
        <v>0</v>
      </c>
      <c r="BN303" s="405">
        <f t="shared" si="223"/>
        <v>0</v>
      </c>
      <c r="BO303" s="405">
        <f t="shared" si="224"/>
        <v>0</v>
      </c>
    </row>
    <row r="304" spans="4:67" ht="13.5" thickBot="1" x14ac:dyDescent="0.25">
      <c r="D304" s="345">
        <v>20774</v>
      </c>
      <c r="E304" s="340" t="str">
        <f t="shared" si="211"/>
        <v>0.344590993748361i</v>
      </c>
      <c r="F304" s="728" t="str">
        <f t="shared" si="225"/>
        <v>0.005-0.12559436929508i</v>
      </c>
      <c r="G304" s="337" t="str">
        <f t="shared" si="226"/>
        <v>0.005-0.196442475051279i</v>
      </c>
      <c r="H304" s="338" t="str">
        <f t="shared" si="227"/>
        <v>0.0355195575838173-0.189926980770449i</v>
      </c>
      <c r="I304" s="338" t="str">
        <f t="shared" si="228"/>
        <v>0.0455195575838173-0.189926980770449i</v>
      </c>
      <c r="J304" s="337" t="str">
        <f t="shared" si="229"/>
        <v>0.00891116014387059-0.0763065619397575i</v>
      </c>
      <c r="K304" s="338" t="str">
        <f t="shared" si="212"/>
        <v>0.995204899155556-0.108772409642791i</v>
      </c>
      <c r="L304" s="732"/>
      <c r="M304" s="732" t="str">
        <f t="shared" si="213"/>
        <v>2.91861246185409-87.8693989734461i</v>
      </c>
      <c r="N304" s="337">
        <f t="shared" si="214"/>
        <v>0</v>
      </c>
      <c r="O304" s="730" t="str">
        <f t="shared" si="215"/>
        <v>-2.96271053649705-34.4560957738291i</v>
      </c>
      <c r="P304" s="731" t="str">
        <f t="shared" si="216"/>
        <v>-6.67900351233106-1.00572756859665i</v>
      </c>
      <c r="Q304" s="729" t="str">
        <f t="shared" si="217"/>
        <v>-6.64937640696608-0.661166610858358i</v>
      </c>
      <c r="R304" s="730"/>
      <c r="S304" s="405" t="str">
        <f t="shared" si="230"/>
        <v>39.8208130424637-2.41110170230907i</v>
      </c>
      <c r="T304" s="405" t="str">
        <f t="shared" si="231"/>
        <v>15.4405449202666-2.80097125103217i</v>
      </c>
      <c r="U304" s="405" t="str">
        <f t="shared" si="232"/>
        <v>0.0164613114875554-3.03206533779838i</v>
      </c>
      <c r="V304" s="731" t="str">
        <f t="shared" si="218"/>
        <v>6000</v>
      </c>
      <c r="W304" s="733" t="str">
        <f>IMSUM(COMPLEX(1,0),IMDIV(COMPLEX(0,2*PI()*D304),COMPLEX(2*PI()*'Stability Calculations'!EA_Pole1,0)))</f>
        <v>1+131832.160487063i</v>
      </c>
      <c r="X304" s="734">
        <f t="shared" si="233"/>
        <v>131832.16049085569</v>
      </c>
      <c r="Y304" s="735">
        <f t="shared" si="234"/>
        <v>1.5707887413923949</v>
      </c>
      <c r="Z304" s="340" t="str">
        <f>IMSUM(COMPLEX(1,0),IMDIV(COMPLEX(0,2*PI()*D304),COMPLEX(2*PI()*'Stability Calculations'!EA_Zero1,0)))</f>
        <v>1+1305.26891571349i</v>
      </c>
      <c r="AA304" s="734">
        <f t="shared" si="235"/>
        <v>1305.2692987762605</v>
      </c>
      <c r="AB304" s="735">
        <f t="shared" si="236"/>
        <v>1.5700302012920886</v>
      </c>
      <c r="AC304" s="733" t="str">
        <f>IMSUM(COMPLEX(1,0),IMDIV(COMPLEX(0,2*PI()*D304),COMPLEX(2*PI()*'Stability Calculations'!EA_Pole2,0)))</f>
        <v>1+13.1485691571349i</v>
      </c>
      <c r="AD304" s="734">
        <f t="shared" si="237"/>
        <v>13.186541278135037</v>
      </c>
      <c r="AE304" s="735">
        <f t="shared" si="238"/>
        <v>1.4948885541269747</v>
      </c>
      <c r="AF304" s="732" t="str">
        <f t="shared" si="239"/>
        <v>0.338232087032819-4.49232978455196i</v>
      </c>
      <c r="AG304" s="337">
        <f t="shared" si="240"/>
        <v>4.5050447098637356</v>
      </c>
      <c r="AH304" s="730">
        <f t="shared" si="241"/>
        <v>-1.4956470942272808</v>
      </c>
      <c r="AI304" s="731" t="str">
        <f t="shared" si="219"/>
        <v>10000</v>
      </c>
      <c r="AJ304" s="733" t="str">
        <f t="shared" si="242"/>
        <v>1+122903.8600498i</v>
      </c>
      <c r="AK304" s="734">
        <f t="shared" si="243"/>
        <v>122903.86005386822</v>
      </c>
      <c r="AL304" s="735">
        <f t="shared" si="244"/>
        <v>1.5707881903539453</v>
      </c>
      <c r="AM304" s="340" t="str">
        <f t="shared" si="245"/>
        <v>1+208.581972731016i</v>
      </c>
      <c r="AN304" s="734">
        <f t="shared" si="246"/>
        <v>208.58436985633011</v>
      </c>
      <c r="AO304" s="735">
        <f t="shared" si="247"/>
        <v>1.5660020853496202</v>
      </c>
      <c r="AP304" s="733" t="str">
        <f t="shared" si="248"/>
        <v>1+10.1165694895369i</v>
      </c>
      <c r="AQ304" s="734">
        <f t="shared" si="249"/>
        <v>10.165873215647975</v>
      </c>
      <c r="AR304" s="735">
        <f t="shared" si="250"/>
        <v>1.4722686584576734</v>
      </c>
      <c r="AS304" s="732" t="str">
        <f t="shared" si="251"/>
        <v>0.00634675961790576-11.2665501408709i</v>
      </c>
      <c r="AT304" s="337">
        <f t="shared" si="252"/>
        <v>11.266551928523461</v>
      </c>
      <c r="AU304" s="730">
        <f t="shared" si="253"/>
        <v>-1.5702329991686763</v>
      </c>
      <c r="AV304" s="732" t="str">
        <f t="shared" si="254"/>
        <v>-0.792213607830519+0.0824800530830553i</v>
      </c>
      <c r="AW304" s="337">
        <f t="shared" si="255"/>
        <v>-1.9763315666484014</v>
      </c>
      <c r="AX304" s="730">
        <f t="shared" si="256"/>
        <v>174.05615609692674</v>
      </c>
      <c r="AY304" s="360">
        <f t="shared" si="257"/>
        <v>-5.9438439030732582</v>
      </c>
      <c r="BB304" s="337">
        <f t="shared" si="258"/>
        <v>-18.964179545164725</v>
      </c>
      <c r="BC304" s="730">
        <f t="shared" si="259"/>
        <v>-89.96772370453445</v>
      </c>
      <c r="BD304" s="351"/>
      <c r="BE304" s="337">
        <f t="shared" si="220"/>
        <v>38.881541869402625</v>
      </c>
      <c r="BF304" s="730">
        <f t="shared" si="221"/>
        <v>-88.097600284913256</v>
      </c>
      <c r="BI304" s="351"/>
      <c r="BJ304" s="351"/>
      <c r="BL304" s="405">
        <f t="shared" si="222"/>
        <v>0</v>
      </c>
      <c r="BM304" s="405">
        <f t="shared" si="260"/>
        <v>0</v>
      </c>
      <c r="BN304" s="405">
        <f t="shared" si="223"/>
        <v>0</v>
      </c>
      <c r="BO304" s="405">
        <f t="shared" si="224"/>
        <v>0</v>
      </c>
    </row>
    <row r="305" spans="4:67" ht="13.5" thickBot="1" x14ac:dyDescent="0.25">
      <c r="D305" s="345">
        <v>20893</v>
      </c>
      <c r="E305" s="340" t="str">
        <f t="shared" si="211"/>
        <v>0.346564919244464i</v>
      </c>
      <c r="F305" s="728" t="str">
        <f t="shared" si="225"/>
        <v>0.005-0.124879023009428i</v>
      </c>
      <c r="G305" s="337" t="str">
        <f t="shared" si="226"/>
        <v>0.005-0.19532360009167i</v>
      </c>
      <c r="H305" s="338" t="str">
        <f t="shared" si="227"/>
        <v>0.0351813021561857-0.188899297286608i</v>
      </c>
      <c r="I305" s="338" t="str">
        <f t="shared" si="228"/>
        <v>0.0451813021561857-0.188899297286608i</v>
      </c>
      <c r="J305" s="337" t="str">
        <f t="shared" si="229"/>
        <v>0.00885707414369996-0.0758755820762284i</v>
      </c>
      <c r="K305" s="338" t="str">
        <f t="shared" si="212"/>
        <v>0.995149806122222-0.109395492185753i</v>
      </c>
      <c r="L305" s="732"/>
      <c r="M305" s="732" t="str">
        <f t="shared" si="213"/>
        <v>2.849674572139-87.0915731947624i</v>
      </c>
      <c r="N305" s="337">
        <f t="shared" si="214"/>
        <v>0</v>
      </c>
      <c r="O305" s="730" t="str">
        <f t="shared" si="215"/>
        <v>-2.93887134138789-34.1457172667846i</v>
      </c>
      <c r="P305" s="731" t="str">
        <f t="shared" si="216"/>
        <v>-6.5828840311162-0.987597237966356i</v>
      </c>
      <c r="Q305" s="729" t="str">
        <f t="shared" si="217"/>
        <v>-6.5534953177023-0.646140065298514i</v>
      </c>
      <c r="R305" s="730"/>
      <c r="S305" s="405" t="str">
        <f t="shared" si="230"/>
        <v>39.8200082482518-2.44688707309716i</v>
      </c>
      <c r="T305" s="405" t="str">
        <f t="shared" si="231"/>
        <v>15.4376503542091-2.80818069915188i</v>
      </c>
      <c r="U305" s="405" t="str">
        <f t="shared" si="232"/>
        <v>0.0126532809693749-3.01495675735249i</v>
      </c>
      <c r="V305" s="731" t="str">
        <f t="shared" si="218"/>
        <v>6000</v>
      </c>
      <c r="W305" s="733" t="str">
        <f>IMSUM(COMPLEX(1,0),IMDIV(COMPLEX(0,2*PI()*D305),COMPLEX(2*PI()*'Stability Calculations'!EA_Pole1,0)))</f>
        <v>1+132587.336529132i</v>
      </c>
      <c r="X305" s="734">
        <f t="shared" si="233"/>
        <v>132587.33653290311</v>
      </c>
      <c r="Y305" s="735">
        <f t="shared" si="234"/>
        <v>1.5707887845964774</v>
      </c>
      <c r="Z305" s="340" t="str">
        <f>IMSUM(COMPLEX(1,0),IMDIV(COMPLEX(0,2*PI()*D305),COMPLEX(2*PI()*'Stability Calculations'!EA_Zero1,0)))</f>
        <v>1+1312.74590622903i</v>
      </c>
      <c r="AA305" s="734">
        <f t="shared" si="235"/>
        <v>1312.7462871099947</v>
      </c>
      <c r="AB305" s="735">
        <f t="shared" si="236"/>
        <v>1.5700345649018845</v>
      </c>
      <c r="AC305" s="733" t="str">
        <f>IMSUM(COMPLEX(1,0),IMDIV(COMPLEX(0,2*PI()*D305),COMPLEX(2*PI()*'Stability Calculations'!EA_Pole2,0)))</f>
        <v>1+13.2238882930595i</v>
      </c>
      <c r="AD305" s="734">
        <f t="shared" si="237"/>
        <v>13.261644754226987</v>
      </c>
      <c r="AE305" s="735">
        <f t="shared" si="238"/>
        <v>1.4953192562909692</v>
      </c>
      <c r="AF305" s="732" t="str">
        <f t="shared" si="239"/>
        <v>0.334411976254331-4.46703175697104i</v>
      </c>
      <c r="AG305" s="337">
        <f t="shared" si="240"/>
        <v>4.4795316817330466</v>
      </c>
      <c r="AH305" s="730">
        <f t="shared" si="241"/>
        <v>-1.4960734759855623</v>
      </c>
      <c r="AI305" s="731" t="str">
        <f t="shared" si="219"/>
        <v>10000</v>
      </c>
      <c r="AJ305" s="733" t="str">
        <f t="shared" si="242"/>
        <v>1+123607.891981345i</v>
      </c>
      <c r="AK305" s="734">
        <f t="shared" si="243"/>
        <v>123607.89198539006</v>
      </c>
      <c r="AL305" s="735">
        <f t="shared" si="244"/>
        <v>1.5707882366965709</v>
      </c>
      <c r="AM305" s="340" t="str">
        <f t="shared" si="245"/>
        <v>1+209.776795815399i</v>
      </c>
      <c r="AN305" s="734">
        <f t="shared" si="246"/>
        <v>209.77917928759183</v>
      </c>
      <c r="AO305" s="735">
        <f t="shared" si="247"/>
        <v>1.5660293914360834</v>
      </c>
      <c r="AP305" s="733" t="str">
        <f t="shared" si="248"/>
        <v>1+10.1745203785931i</v>
      </c>
      <c r="AQ305" s="734">
        <f t="shared" si="249"/>
        <v>10.223544636495028</v>
      </c>
      <c r="AR305" s="735">
        <f t="shared" si="250"/>
        <v>1.4728262471258542</v>
      </c>
      <c r="AS305" s="732" t="str">
        <f t="shared" si="251"/>
        <v>0.00627466721535474-11.2023794318728i</v>
      </c>
      <c r="AT305" s="337">
        <f t="shared" si="252"/>
        <v>11.202381189153288</v>
      </c>
      <c r="AU305" s="730">
        <f t="shared" si="253"/>
        <v>-1.5702362077061509</v>
      </c>
      <c r="AV305" s="732" t="str">
        <f t="shared" si="254"/>
        <v>-0.783087751739592+0.0822539763712362i</v>
      </c>
      <c r="AW305" s="337">
        <f t="shared" si="255"/>
        <v>-2.0761381378078276</v>
      </c>
      <c r="AX305" s="730">
        <f t="shared" si="256"/>
        <v>174.00375319271018</v>
      </c>
      <c r="AY305" s="360">
        <f t="shared" si="257"/>
        <v>-5.9962468072898218</v>
      </c>
      <c r="BB305" s="337">
        <f t="shared" si="258"/>
        <v>-19.013793069108445</v>
      </c>
      <c r="BC305" s="730">
        <f t="shared" si="259"/>
        <v>-89.967907540190154</v>
      </c>
      <c r="BD305" s="351"/>
      <c r="BE305" s="337">
        <f t="shared" si="220"/>
        <v>38.804169899110114</v>
      </c>
      <c r="BF305" s="730">
        <f t="shared" si="221"/>
        <v>-88.125925520227128</v>
      </c>
      <c r="BI305" s="351"/>
      <c r="BJ305" s="351"/>
      <c r="BL305" s="405">
        <f t="shared" si="222"/>
        <v>0</v>
      </c>
      <c r="BM305" s="405">
        <f t="shared" si="260"/>
        <v>0</v>
      </c>
      <c r="BN305" s="405">
        <f t="shared" si="223"/>
        <v>0</v>
      </c>
      <c r="BO305" s="405">
        <f t="shared" si="224"/>
        <v>0</v>
      </c>
    </row>
    <row r="306" spans="4:67" ht="13.5" thickBot="1" x14ac:dyDescent="0.25">
      <c r="D306" s="345">
        <v>21014.75</v>
      </c>
      <c r="E306" s="340" t="str">
        <f t="shared" si="211"/>
        <v>0.348584460665898i</v>
      </c>
      <c r="F306" s="728" t="str">
        <f t="shared" si="225"/>
        <v>0.005-0.124155530174567i</v>
      </c>
      <c r="G306" s="337" t="str">
        <f t="shared" si="226"/>
        <v>0.005-0.194191983093554i</v>
      </c>
      <c r="H306" s="338" t="str">
        <f t="shared" si="227"/>
        <v>0.0348409643989088-0.187858998740225i</v>
      </c>
      <c r="I306" s="338" t="str">
        <f t="shared" si="228"/>
        <v>0.0448409643989088-0.187858998740225i</v>
      </c>
      <c r="J306" s="337" t="str">
        <f t="shared" si="229"/>
        <v>0.00880268119635832-0.0754396372715456i</v>
      </c>
      <c r="K306" s="338" t="str">
        <f t="shared" si="212"/>
        <v>0.995093114249306-0.110032973695044i</v>
      </c>
      <c r="L306" s="732"/>
      <c r="M306" s="732" t="str">
        <f t="shared" si="213"/>
        <v>2.78157137408226-86.3114095335864i</v>
      </c>
      <c r="N306" s="337">
        <f t="shared" si="214"/>
        <v>0</v>
      </c>
      <c r="O306" s="730" t="str">
        <f t="shared" si="215"/>
        <v>-2.91473585202863-33.8345068249563i</v>
      </c>
      <c r="P306" s="731" t="str">
        <f t="shared" si="216"/>
        <v>-6.48681614157863-0.969612557238162i</v>
      </c>
      <c r="Q306" s="729" t="str">
        <f t="shared" si="217"/>
        <v>-6.45766878305834-0.6312674889886i</v>
      </c>
      <c r="R306" s="730"/>
      <c r="S306" s="405" t="str">
        <f t="shared" si="230"/>
        <v>39.8191233295656-2.48337454940084i</v>
      </c>
      <c r="T306" s="405" t="str">
        <f t="shared" si="231"/>
        <v>15.4346942667904-2.81560322741931i</v>
      </c>
      <c r="U306" s="405" t="str">
        <f t="shared" si="232"/>
        <v>0.00882323030454841-2.9976445426287i</v>
      </c>
      <c r="V306" s="731" t="str">
        <f t="shared" si="218"/>
        <v>6000</v>
      </c>
      <c r="W306" s="733" t="str">
        <f>IMSUM(COMPLEX(1,0),IMDIV(COMPLEX(0,2*PI()*D306),COMPLEX(2*PI()*'Stability Calculations'!EA_Pole1,0)))</f>
        <v>1+133359.964118393i</v>
      </c>
      <c r="X306" s="734">
        <f t="shared" si="233"/>
        <v>133359.96412214224</v>
      </c>
      <c r="Y306" s="735">
        <f t="shared" si="234"/>
        <v>1.5707888282925793</v>
      </c>
      <c r="Z306" s="340" t="str">
        <f>IMSUM(COMPLEX(1,0),IMDIV(COMPLEX(0,2*PI()*D306),COMPLEX(2*PI()*'Stability Calculations'!EA_Zero1,0)))</f>
        <v>1+1320.39568434052i</v>
      </c>
      <c r="AA306" s="734">
        <f t="shared" si="235"/>
        <v>1320.3960630148326</v>
      </c>
      <c r="AB306" s="735">
        <f t="shared" si="236"/>
        <v>1.570038978205631</v>
      </c>
      <c r="AC306" s="733" t="str">
        <f>IMSUM(COMPLEX(1,0),IMDIV(COMPLEX(0,2*PI()*D306),COMPLEX(2*PI()*'Stability Calculations'!EA_Pole2,0)))</f>
        <v>1+13.3009479972514i</v>
      </c>
      <c r="AD306" s="734">
        <f t="shared" si="237"/>
        <v>13.338486331873868</v>
      </c>
      <c r="AE306" s="735">
        <f t="shared" si="238"/>
        <v>1.4957548919413008</v>
      </c>
      <c r="AF306" s="732" t="str">
        <f t="shared" si="239"/>
        <v>0.330570052175878-4.44144063175918i</v>
      </c>
      <c r="AG306" s="337">
        <f t="shared" si="240"/>
        <v>4.4537255690979594</v>
      </c>
      <c r="AH306" s="730">
        <f t="shared" si="241"/>
        <v>-1.4965047420282496</v>
      </c>
      <c r="AI306" s="731" t="str">
        <f t="shared" si="219"/>
        <v>10000</v>
      </c>
      <c r="AJ306" s="733" t="str">
        <f t="shared" si="242"/>
        <v>1+124328.193558367i</v>
      </c>
      <c r="AK306" s="734">
        <f t="shared" si="243"/>
        <v>124328.19356238861</v>
      </c>
      <c r="AL306" s="735">
        <f t="shared" si="244"/>
        <v>1.570788283566958</v>
      </c>
      <c r="AM306" s="340" t="str">
        <f t="shared" si="245"/>
        <v>1+210.999230357615i</v>
      </c>
      <c r="AN306" s="734">
        <f t="shared" si="246"/>
        <v>211.00160002119858</v>
      </c>
      <c r="AO306" s="735">
        <f t="shared" si="247"/>
        <v>1.5660570084985788</v>
      </c>
      <c r="AP306" s="733" t="str">
        <f t="shared" si="248"/>
        <v>1+10.2338104688671i</v>
      </c>
      <c r="AQ306" s="734">
        <f t="shared" si="249"/>
        <v>10.282552052515653</v>
      </c>
      <c r="AR306" s="735">
        <f t="shared" si="250"/>
        <v>1.4733902479264473</v>
      </c>
      <c r="AS306" s="732" t="str">
        <f t="shared" si="251"/>
        <v>0.00620217265482737-11.1374779294777i</v>
      </c>
      <c r="AT306" s="337">
        <f t="shared" si="252"/>
        <v>11.137479656392129</v>
      </c>
      <c r="AU306" s="730">
        <f t="shared" si="253"/>
        <v>-1.570239452783295</v>
      </c>
      <c r="AV306" s="732" t="str">
        <f t="shared" si="254"/>
        <v>-0.773911654617972+0.0820207710627209i</v>
      </c>
      <c r="AW306" s="337">
        <f t="shared" si="255"/>
        <v>-2.1776633503203802</v>
      </c>
      <c r="AX306" s="730">
        <f t="shared" si="256"/>
        <v>173.95025700108965</v>
      </c>
      <c r="AY306" s="360">
        <f t="shared" si="257"/>
        <v>-6.0497429989103466</v>
      </c>
      <c r="BB306" s="337">
        <f t="shared" si="258"/>
        <v>-19.064261524645211</v>
      </c>
      <c r="BC306" s="730">
        <f t="shared" si="259"/>
        <v>-89.968093469414711</v>
      </c>
      <c r="BD306" s="351"/>
      <c r="BE306" s="337">
        <f t="shared" si="220"/>
        <v>38.725872377751131</v>
      </c>
      <c r="BF306" s="730">
        <f t="shared" si="221"/>
        <v>-88.154158746506042</v>
      </c>
      <c r="BI306" s="351"/>
      <c r="BJ306" s="351"/>
      <c r="BL306" s="405">
        <f t="shared" si="222"/>
        <v>0</v>
      </c>
      <c r="BM306" s="405">
        <f t="shared" si="260"/>
        <v>0</v>
      </c>
      <c r="BN306" s="405">
        <f t="shared" si="223"/>
        <v>0</v>
      </c>
      <c r="BO306" s="405">
        <f t="shared" si="224"/>
        <v>0</v>
      </c>
    </row>
    <row r="307" spans="4:67" ht="13.5" thickBot="1" x14ac:dyDescent="0.25">
      <c r="D307" s="345">
        <v>21136.5</v>
      </c>
      <c r="E307" s="340" t="str">
        <f t="shared" si="211"/>
        <v>0.350604002087332i</v>
      </c>
      <c r="F307" s="728" t="str">
        <f t="shared" si="225"/>
        <v>0.005-0.12344037223457i</v>
      </c>
      <c r="G307" s="337" t="str">
        <f t="shared" si="226"/>
        <v>0.005-0.193073402725866i</v>
      </c>
      <c r="H307" s="338" t="str">
        <f t="shared" si="227"/>
        <v>0.0345062998145738-0.186829788209379i</v>
      </c>
      <c r="I307" s="338" t="str">
        <f t="shared" si="228"/>
        <v>0.0445062998145738-0.186829788209379i</v>
      </c>
      <c r="J307" s="337" t="str">
        <f t="shared" si="229"/>
        <v>0.00874922034874566-0.0750086588875561i</v>
      </c>
      <c r="K307" s="338" t="str">
        <f t="shared" si="212"/>
        <v>0.995036092975-0.110670455204334i</v>
      </c>
      <c r="L307" s="732"/>
      <c r="M307" s="732" t="str">
        <f t="shared" si="213"/>
        <v>2.71581464027795-85.5465787830664i</v>
      </c>
      <c r="N307" s="337">
        <f t="shared" si="214"/>
        <v>0</v>
      </c>
      <c r="O307" s="730" t="str">
        <f t="shared" si="215"/>
        <v>-2.89086110224753-33.5295105524769i</v>
      </c>
      <c r="P307" s="731" t="str">
        <f t="shared" si="216"/>
        <v>-6.39297288622231-0.952175481808819i</v>
      </c>
      <c r="Q307" s="729" t="str">
        <f t="shared" si="217"/>
        <v>-6.36406427519986-0.616880376284043i</v>
      </c>
      <c r="R307" s="730"/>
      <c r="S307" s="405" t="str">
        <f t="shared" si="230"/>
        <v>39.8181771348219-2.51973774557461i</v>
      </c>
      <c r="T307" s="405" t="str">
        <f t="shared" si="231"/>
        <v>15.4317432354757-2.82307194993164i</v>
      </c>
      <c r="U307" s="405" t="str">
        <f t="shared" si="232"/>
        <v>0.00505842423927762-2.9805230874879i</v>
      </c>
      <c r="V307" s="731" t="str">
        <f t="shared" si="218"/>
        <v>6000</v>
      </c>
      <c r="W307" s="733" t="str">
        <f>IMSUM(COMPLEX(1,0),IMDIV(COMPLEX(0,2*PI()*D307),COMPLEX(2*PI()*'Stability Calculations'!EA_Pole1,0)))</f>
        <v>1+134132.591707653i</v>
      </c>
      <c r="X307" s="734">
        <f t="shared" si="233"/>
        <v>134132.59171138061</v>
      </c>
      <c r="Y307" s="735">
        <f t="shared" si="234"/>
        <v>1.5707888714852865</v>
      </c>
      <c r="Z307" s="340" t="str">
        <f>IMSUM(COMPLEX(1,0),IMDIV(COMPLEX(0,2*PI()*D307),COMPLEX(2*PI()*'Stability Calculations'!EA_Zero1,0)))</f>
        <v>1+1328.04546245201i</v>
      </c>
      <c r="AA307" s="734">
        <f t="shared" si="235"/>
        <v>1328.0458389450921</v>
      </c>
      <c r="AB307" s="735">
        <f t="shared" si="236"/>
        <v>1.5700433406665772</v>
      </c>
      <c r="AC307" s="733" t="str">
        <f>IMSUM(COMPLEX(1,0),IMDIV(COMPLEX(0,2*PI()*D307),COMPLEX(2*PI()*'Stability Calculations'!EA_Pole2,0)))</f>
        <v>1+13.3780077014432i</v>
      </c>
      <c r="AD307" s="734">
        <f t="shared" si="237"/>
        <v>13.415330411878552</v>
      </c>
      <c r="AE307" s="735">
        <f t="shared" si="238"/>
        <v>1.4961855369612469</v>
      </c>
      <c r="AF307" s="732" t="str">
        <f t="shared" si="239"/>
        <v>0.326793835331937-4.4161394138338i</v>
      </c>
      <c r="AG307" s="337">
        <f t="shared" si="240"/>
        <v>4.4282142600858085</v>
      </c>
      <c r="AH307" s="730">
        <f t="shared" si="241"/>
        <v>-1.4969310677799565</v>
      </c>
      <c r="AI307" s="731" t="str">
        <f t="shared" si="219"/>
        <v>10000</v>
      </c>
      <c r="AJ307" s="733" t="str">
        <f t="shared" si="242"/>
        <v>1+125048.495135389i</v>
      </c>
      <c r="AK307" s="734">
        <f t="shared" si="243"/>
        <v>125048.49513938747</v>
      </c>
      <c r="AL307" s="735">
        <f t="shared" si="244"/>
        <v>1.5707883298973817</v>
      </c>
      <c r="AM307" s="340" t="str">
        <f t="shared" si="245"/>
        <v>1+212.221664899831i</v>
      </c>
      <c r="AN307" s="734">
        <f t="shared" si="246"/>
        <v>212.22402091388278</v>
      </c>
      <c r="AO307" s="735">
        <f t="shared" si="247"/>
        <v>1.5660843074097937</v>
      </c>
      <c r="AP307" s="733" t="str">
        <f t="shared" si="248"/>
        <v>1+10.293100559141i</v>
      </c>
      <c r="AQ307" s="734">
        <f t="shared" si="249"/>
        <v>10.341562702057594</v>
      </c>
      <c r="AR307" s="735">
        <f t="shared" si="250"/>
        <v>1.4739478123409422</v>
      </c>
      <c r="AS307" s="732" t="str">
        <f t="shared" si="251"/>
        <v>0.0061309272269722-11.0733241147893i</v>
      </c>
      <c r="AT307" s="337">
        <f t="shared" si="252"/>
        <v>11.073325812033296</v>
      </c>
      <c r="AU307" s="730">
        <f t="shared" si="253"/>
        <v>-1.5702426604760076</v>
      </c>
      <c r="AV307" s="732" t="str">
        <f t="shared" si="254"/>
        <v>-0.764894320243828+0.0817857813164863i</v>
      </c>
      <c r="AW307" s="337">
        <f t="shared" si="255"/>
        <v>-2.2786009297846408</v>
      </c>
      <c r="AX307" s="730">
        <f t="shared" si="256"/>
        <v>173.89687762721255</v>
      </c>
      <c r="AY307" s="360">
        <f t="shared" si="257"/>
        <v>-6.1031223727874533</v>
      </c>
      <c r="BB307" s="337">
        <f t="shared" si="258"/>
        <v>-19.114438431773053</v>
      </c>
      <c r="BC307" s="730">
        <f t="shared" si="259"/>
        <v>-89.968277256669111</v>
      </c>
      <c r="BD307" s="351"/>
      <c r="BE307" s="337">
        <f t="shared" si="220"/>
        <v>38.648427737757217</v>
      </c>
      <c r="BF307" s="730">
        <f t="shared" si="221"/>
        <v>-88.181663424325947</v>
      </c>
      <c r="BI307" s="351"/>
      <c r="BJ307" s="351"/>
      <c r="BL307" s="405">
        <f t="shared" si="222"/>
        <v>0</v>
      </c>
      <c r="BM307" s="405">
        <f t="shared" si="260"/>
        <v>0</v>
      </c>
      <c r="BN307" s="405">
        <f t="shared" si="223"/>
        <v>0</v>
      </c>
      <c r="BO307" s="405">
        <f t="shared" si="224"/>
        <v>0</v>
      </c>
    </row>
    <row r="308" spans="4:67" ht="13.5" thickBot="1" x14ac:dyDescent="0.25">
      <c r="D308" s="345">
        <v>21258.25</v>
      </c>
      <c r="E308" s="340" t="str">
        <f t="shared" si="211"/>
        <v>0.352623543508765i</v>
      </c>
      <c r="F308" s="728" t="str">
        <f t="shared" si="225"/>
        <v>0.005-0.1227334059829i</v>
      </c>
      <c r="G308" s="337" t="str">
        <f t="shared" si="226"/>
        <v>0.005-0.191967634998895i</v>
      </c>
      <c r="H308" s="338" t="str">
        <f t="shared" si="227"/>
        <v>0.0341771840634812-0.185811494722838i</v>
      </c>
      <c r="I308" s="338" t="str">
        <f t="shared" si="228"/>
        <v>0.0441771840634812-0.185811494722838i</v>
      </c>
      <c r="J308" s="337" t="str">
        <f t="shared" si="229"/>
        <v>0.00869667043997824-0.0745825628883208i</v>
      </c>
      <c r="K308" s="338" t="str">
        <f t="shared" si="212"/>
        <v>0.994978742299306-0.111307936713625i</v>
      </c>
      <c r="L308" s="732"/>
      <c r="M308" s="732" t="str">
        <f t="shared" si="213"/>
        <v>2.65230042024872-84.7966143865761i</v>
      </c>
      <c r="N308" s="337">
        <f t="shared" si="214"/>
        <v>0</v>
      </c>
      <c r="O308" s="730" t="str">
        <f t="shared" si="215"/>
        <v>-2.86724967234656-33.2305363304881i</v>
      </c>
      <c r="P308" s="731" t="str">
        <f t="shared" si="216"/>
        <v>-6.30128264254078-0.935263572637888i</v>
      </c>
      <c r="Q308" s="729" t="str">
        <f t="shared" si="217"/>
        <v>-6.2726101458173-0.60295820933301i</v>
      </c>
      <c r="R308" s="730"/>
      <c r="S308" s="405" t="str">
        <f t="shared" si="230"/>
        <v>39.8171705976158-2.55597864680501i</v>
      </c>
      <c r="T308" s="405" t="str">
        <f t="shared" si="231"/>
        <v>15.4287968928486-2.8305860658656i</v>
      </c>
      <c r="U308" s="405" t="str">
        <f t="shared" si="232"/>
        <v>0.0013574034448311-2.96358927341589i</v>
      </c>
      <c r="V308" s="731" t="str">
        <f t="shared" si="218"/>
        <v>6000</v>
      </c>
      <c r="W308" s="733" t="str">
        <f>IMSUM(COMPLEX(1,0),IMDIV(COMPLEX(0,2*PI()*D308),COMPLEX(2*PI()*'Stability Calculations'!EA_Pole1,0)))</f>
        <v>1+134905.219296914i</v>
      </c>
      <c r="X308" s="734">
        <f t="shared" si="233"/>
        <v>134905.21930062029</v>
      </c>
      <c r="Y308" s="735">
        <f t="shared" si="234"/>
        <v>1.5707889141832483</v>
      </c>
      <c r="Z308" s="340" t="str">
        <f>IMSUM(COMPLEX(1,0),IMDIV(COMPLEX(0,2*PI()*D308),COMPLEX(2*PI()*'Stability Calculations'!EA_Zero1,0)))</f>
        <v>1+1335.6952405635i</v>
      </c>
      <c r="AA308" s="734">
        <f t="shared" si="235"/>
        <v>1335.6956149003356</v>
      </c>
      <c r="AB308" s="735">
        <f t="shared" si="236"/>
        <v>1.5700476531582812</v>
      </c>
      <c r="AC308" s="733" t="str">
        <f>IMSUM(COMPLEX(1,0),IMDIV(COMPLEX(0,2*PI()*D308),COMPLEX(2*PI()*'Stability Calculations'!EA_Pole2,0)))</f>
        <v>1+13.455067405635i</v>
      </c>
      <c r="AD308" s="734">
        <f t="shared" si="237"/>
        <v>13.492176951484938</v>
      </c>
      <c r="AE308" s="735">
        <f t="shared" si="238"/>
        <v>1.4966112764641508</v>
      </c>
      <c r="AF308" s="732" t="str">
        <f t="shared" si="239"/>
        <v>0.32308183860283-4.39112323265873i</v>
      </c>
      <c r="AG308" s="337">
        <f t="shared" si="240"/>
        <v>4.4029927457162854</v>
      </c>
      <c r="AH308" s="730">
        <f t="shared" si="241"/>
        <v>-1.4973525374891177</v>
      </c>
      <c r="AI308" s="731" t="str">
        <f t="shared" si="219"/>
        <v>10000</v>
      </c>
      <c r="AJ308" s="733" t="str">
        <f t="shared" si="242"/>
        <v>1+125768.796712412i</v>
      </c>
      <c r="AK308" s="734">
        <f t="shared" si="243"/>
        <v>125768.79671638753</v>
      </c>
      <c r="AL308" s="735">
        <f t="shared" si="244"/>
        <v>1.5707883756971195</v>
      </c>
      <c r="AM308" s="340" t="str">
        <f t="shared" si="245"/>
        <v>1+213.444099442047i</v>
      </c>
      <c r="AN308" s="734">
        <f t="shared" si="246"/>
        <v>213.44644196291128</v>
      </c>
      <c r="AO308" s="735">
        <f t="shared" si="247"/>
        <v>1.5661112936359036</v>
      </c>
      <c r="AP308" s="733" t="str">
        <f t="shared" si="248"/>
        <v>1+10.352390649415i</v>
      </c>
      <c r="AQ308" s="734">
        <f t="shared" si="249"/>
        <v>10.400576530082125</v>
      </c>
      <c r="AR308" s="735">
        <f t="shared" si="250"/>
        <v>1.4744990495816275</v>
      </c>
      <c r="AS308" s="732" t="str">
        <f t="shared" si="251"/>
        <v>0.00606090239783484-11.0099051413788i</v>
      </c>
      <c r="AT308" s="337">
        <f t="shared" si="252"/>
        <v>11.009906809628191</v>
      </c>
      <c r="AU308" s="730">
        <f t="shared" si="253"/>
        <v>-1.570245831426611</v>
      </c>
      <c r="AV308" s="732" t="str">
        <f t="shared" si="254"/>
        <v>-0.756032104550862+0.0815491431653557i</v>
      </c>
      <c r="AW308" s="337">
        <f t="shared" si="255"/>
        <v>-2.3789577025941293</v>
      </c>
      <c r="AX308" s="730">
        <f t="shared" si="256"/>
        <v>173.8436128793852</v>
      </c>
      <c r="AY308" s="360">
        <f t="shared" si="257"/>
        <v>-6.1563871206147951</v>
      </c>
      <c r="BB308" s="337">
        <f t="shared" si="258"/>
        <v>-19.164327139612233</v>
      </c>
      <c r="BC308" s="730">
        <f t="shared" si="259"/>
        <v>-89.968458938755731</v>
      </c>
      <c r="BD308" s="351"/>
      <c r="BE308" s="337">
        <f t="shared" si="220"/>
        <v>38.57181704259667</v>
      </c>
      <c r="BF308" s="730">
        <f t="shared" si="221"/>
        <v>-88.208465132765383</v>
      </c>
      <c r="BI308" s="351"/>
      <c r="BJ308" s="351"/>
      <c r="BL308" s="405">
        <f t="shared" si="222"/>
        <v>0</v>
      </c>
      <c r="BM308" s="405">
        <f t="shared" si="260"/>
        <v>0</v>
      </c>
      <c r="BN308" s="405">
        <f t="shared" si="223"/>
        <v>0</v>
      </c>
      <c r="BO308" s="405">
        <f t="shared" si="224"/>
        <v>0</v>
      </c>
    </row>
    <row r="309" spans="4:67" ht="13.5" thickBot="1" x14ac:dyDescent="0.25">
      <c r="D309" s="345">
        <v>21380</v>
      </c>
      <c r="E309" s="340" t="str">
        <f t="shared" si="211"/>
        <v>0.354643084930199i</v>
      </c>
      <c r="F309" s="728" t="str">
        <f t="shared" si="225"/>
        <v>0.005-0.122034491475023i</v>
      </c>
      <c r="G309" s="337" t="str">
        <f t="shared" si="226"/>
        <v>0.005-0.190874461025036i</v>
      </c>
      <c r="H309" s="338" t="str">
        <f t="shared" si="227"/>
        <v>0.0338534961646584-0.184803950679033i</v>
      </c>
      <c r="I309" s="338" t="str">
        <f t="shared" si="228"/>
        <v>0.0438534961646584-0.184803950679033i</v>
      </c>
      <c r="J309" s="337" t="str">
        <f t="shared" si="229"/>
        <v>0.00864501090548323-0.0741612671157977i</v>
      </c>
      <c r="K309" s="338" t="str">
        <f t="shared" si="212"/>
        <v>0.994921062222222-0.111945418222916i</v>
      </c>
      <c r="L309" s="732"/>
      <c r="M309" s="732" t="str">
        <f t="shared" si="213"/>
        <v>2.5909303568823-84.0610687799059i</v>
      </c>
      <c r="N309" s="337">
        <f t="shared" si="214"/>
        <v>0</v>
      </c>
      <c r="O309" s="730" t="str">
        <f t="shared" si="215"/>
        <v>-2.84390353800419-32.9373999818366i</v>
      </c>
      <c r="P309" s="731" t="str">
        <f t="shared" si="216"/>
        <v>-6.21167675463547-0.91885553460404i</v>
      </c>
      <c r="Q309" s="729" t="str">
        <f t="shared" si="217"/>
        <v>-6.18323771925545-0.589481534785667i</v>
      </c>
      <c r="R309" s="730"/>
      <c r="S309" s="405" t="str">
        <f t="shared" si="230"/>
        <v>39.8161046256177-2.592099195567i</v>
      </c>
      <c r="T309" s="405" t="str">
        <f t="shared" si="231"/>
        <v>15.4258548817376-2.83814479125813i</v>
      </c>
      <c r="U309" s="405" t="str">
        <f t="shared" si="232"/>
        <v>-0.0022812509481443-2.94684004855219i</v>
      </c>
      <c r="V309" s="731" t="str">
        <f t="shared" si="218"/>
        <v>6000</v>
      </c>
      <c r="W309" s="733" t="str">
        <f>IMSUM(COMPLEX(1,0),IMDIV(COMPLEX(0,2*PI()*D309),COMPLEX(2*PI()*'Stability Calculations'!EA_Pole1,0)))</f>
        <v>1+135677.846886175i</v>
      </c>
      <c r="X309" s="734">
        <f t="shared" si="233"/>
        <v>135677.84688986017</v>
      </c>
      <c r="Y309" s="735">
        <f t="shared" si="234"/>
        <v>1.5707889563949167</v>
      </c>
      <c r="Z309" s="340" t="str">
        <f>IMSUM(COMPLEX(1,0),IMDIV(COMPLEX(0,2*PI()*D309),COMPLEX(2*PI()*'Stability Calculations'!EA_Zero1,0)))</f>
        <v>1+1343.345018675i</v>
      </c>
      <c r="AA309" s="734">
        <f t="shared" si="235"/>
        <v>1343.3453908801475</v>
      </c>
      <c r="AB309" s="735">
        <f t="shared" si="236"/>
        <v>1.5700519165344031</v>
      </c>
      <c r="AC309" s="733" t="str">
        <f>IMSUM(COMPLEX(1,0),IMDIV(COMPLEX(0,2*PI()*D309),COMPLEX(2*PI()*'Stability Calculations'!EA_Pole2,0)))</f>
        <v>1+13.5321271098269i</v>
      </c>
      <c r="AD309" s="734">
        <f t="shared" si="237"/>
        <v>13.569025908904152</v>
      </c>
      <c r="AE309" s="735">
        <f t="shared" si="238"/>
        <v>1.4970321936423852</v>
      </c>
      <c r="AF309" s="732" t="str">
        <f t="shared" si="239"/>
        <v>0.319432616626865-4.36638732555462i</v>
      </c>
      <c r="AG309" s="337">
        <f t="shared" si="240"/>
        <v>4.378056129531589</v>
      </c>
      <c r="AH309" s="730">
        <f t="shared" si="241"/>
        <v>-1.4977692335028983</v>
      </c>
      <c r="AI309" s="731" t="str">
        <f t="shared" si="219"/>
        <v>10000</v>
      </c>
      <c r="AJ309" s="733" t="str">
        <f t="shared" si="242"/>
        <v>1+126489.098289435i</v>
      </c>
      <c r="AK309" s="734">
        <f t="shared" si="243"/>
        <v>126489.09829338791</v>
      </c>
      <c r="AL309" s="735">
        <f t="shared" si="244"/>
        <v>1.570788420975237</v>
      </c>
      <c r="AM309" s="340" t="str">
        <f t="shared" si="245"/>
        <v>1+214.666533984265i</v>
      </c>
      <c r="AN309" s="734">
        <f t="shared" si="246"/>
        <v>214.66886316561516</v>
      </c>
      <c r="AO309" s="735">
        <f t="shared" si="247"/>
        <v>1.5661379725185784</v>
      </c>
      <c r="AP309" s="733" t="str">
        <f t="shared" si="248"/>
        <v>1+10.411680739689i</v>
      </c>
      <c r="AQ309" s="734">
        <f t="shared" si="249"/>
        <v>10.459593482789419</v>
      </c>
      <c r="AR309" s="735">
        <f t="shared" si="250"/>
        <v>1.4750440664115032</v>
      </c>
      <c r="AS309" s="732" t="str">
        <f t="shared" si="251"/>
        <v>0.00599207044358411-10.9472084554362i</v>
      </c>
      <c r="AT309" s="337">
        <f t="shared" si="252"/>
        <v>10.947210095347675</v>
      </c>
      <c r="AU309" s="730">
        <f t="shared" si="253"/>
        <v>-1.5702489662627974</v>
      </c>
      <c r="AV309" s="732" t="str">
        <f t="shared" si="254"/>
        <v>-0.747321467491258+0.0813109864185304i</v>
      </c>
      <c r="AW309" s="337">
        <f t="shared" si="255"/>
        <v>-2.4787403769825791</v>
      </c>
      <c r="AX309" s="730">
        <f t="shared" si="256"/>
        <v>173.790460620533</v>
      </c>
      <c r="AY309" s="360">
        <f t="shared" si="257"/>
        <v>-6.2095393794670031</v>
      </c>
      <c r="BB309" s="337">
        <f t="shared" si="258"/>
        <v>-19.21393093990396</v>
      </c>
      <c r="BC309" s="730">
        <f t="shared" si="259"/>
        <v>-89.968638551638691</v>
      </c>
      <c r="BD309" s="351"/>
      <c r="BE309" s="337">
        <f t="shared" si="220"/>
        <v>38.496021969970748</v>
      </c>
      <c r="BF309" s="730">
        <f t="shared" si="221"/>
        <v>-88.234588322110383</v>
      </c>
      <c r="BI309" s="351"/>
      <c r="BJ309" s="351"/>
      <c r="BL309" s="405">
        <f t="shared" si="222"/>
        <v>0</v>
      </c>
      <c r="BM309" s="405">
        <f t="shared" si="260"/>
        <v>0</v>
      </c>
      <c r="BN309" s="405">
        <f t="shared" si="223"/>
        <v>0</v>
      </c>
      <c r="BO309" s="405">
        <f t="shared" si="224"/>
        <v>0</v>
      </c>
    </row>
    <row r="310" spans="4:67" ht="13.5" thickBot="1" x14ac:dyDescent="0.25">
      <c r="D310" s="345">
        <v>21504.5</v>
      </c>
      <c r="E310" s="340" t="str">
        <f t="shared" si="211"/>
        <v>0.356708242276963i</v>
      </c>
      <c r="F310" s="728" t="str">
        <f t="shared" si="225"/>
        <v>0.005-0.121327974504685i</v>
      </c>
      <c r="G310" s="337" t="str">
        <f t="shared" si="226"/>
        <v>0.005-0.189769396020148i</v>
      </c>
      <c r="H310" s="338" t="str">
        <f t="shared" si="227"/>
        <v>0.0335279875312051-0.18378459417267i</v>
      </c>
      <c r="I310" s="338" t="str">
        <f t="shared" si="228"/>
        <v>0.0435279875312051-0.18378459417267i</v>
      </c>
      <c r="J310" s="337" t="str">
        <f t="shared" si="229"/>
        <v>0.00859308446833065-0.073735335820281i</v>
      </c>
      <c r="K310" s="338" t="str">
        <f t="shared" si="212"/>
        <v>0.994861738663889-0.112597298698536i</v>
      </c>
      <c r="L310" s="732"/>
      <c r="M310" s="732" t="str">
        <f t="shared" si="213"/>
        <v>2.53029446983179-83.3233727607784i</v>
      </c>
      <c r="N310" s="337">
        <f t="shared" si="214"/>
        <v>0</v>
      </c>
      <c r="O310" s="730" t="str">
        <f t="shared" si="215"/>
        <v>-2.8203059155295-32.6434956333909i</v>
      </c>
      <c r="P310" s="731" t="str">
        <f t="shared" si="216"/>
        <v>-6.12213383808543-0.902576892776815i</v>
      </c>
      <c r="Q310" s="729" t="str">
        <f t="shared" si="217"/>
        <v>-6.09393077893015-0.576141936442903i</v>
      </c>
      <c r="R310" s="730"/>
      <c r="S310" s="405" t="str">
        <f t="shared" si="230"/>
        <v>39.8149540320211-2.62891312838936i</v>
      </c>
      <c r="T310" s="405" t="str">
        <f t="shared" si="231"/>
        <v>15.4228505362421-2.84591958023455i</v>
      </c>
      <c r="U310" s="405" t="str">
        <f t="shared" si="232"/>
        <v>-0.00593903462669952-2.92990028298994i</v>
      </c>
      <c r="V310" s="731" t="str">
        <f t="shared" si="218"/>
        <v>6000</v>
      </c>
      <c r="W310" s="733" t="str">
        <f>IMSUM(COMPLEX(1,0),IMDIV(COMPLEX(0,2*PI()*D310),COMPLEX(2*PI()*'Stability Calculations'!EA_Pole1,0)))</f>
        <v>1+136467.926022625i</v>
      </c>
      <c r="X310" s="734">
        <f t="shared" si="233"/>
        <v>136467.92602628889</v>
      </c>
      <c r="Y310" s="735">
        <f t="shared" si="234"/>
        <v>1.5707889990657435</v>
      </c>
      <c r="Z310" s="340" t="str">
        <f>IMSUM(COMPLEX(1,0),IMDIV(COMPLEX(0,2*PI()*D310),COMPLEX(2*PI()*'Stability Calculations'!EA_Zero1,0)))</f>
        <v>1+1351.16758438243i</v>
      </c>
      <c r="AA310" s="734">
        <f t="shared" si="235"/>
        <v>1351.1679544327017</v>
      </c>
      <c r="AB310" s="735">
        <f t="shared" si="236"/>
        <v>1.5700562262855478</v>
      </c>
      <c r="AC310" s="733" t="str">
        <f>IMSUM(COMPLEX(1,0),IMDIV(COMPLEX(0,2*PI()*D310),COMPLEX(2*PI()*'Stability Calculations'!EA_Pole2,0)))</f>
        <v>1+13.6109273822858i</v>
      </c>
      <c r="AD310" s="734">
        <f t="shared" si="237"/>
        <v>13.647613132187525</v>
      </c>
      <c r="AE310" s="735">
        <f t="shared" si="238"/>
        <v>1.4974577159744002</v>
      </c>
      <c r="AF310" s="732" t="str">
        <f t="shared" si="239"/>
        <v>0.315764422654541-4.34137769093478i</v>
      </c>
      <c r="AG310" s="337">
        <f t="shared" si="240"/>
        <v>4.3528458996340031</v>
      </c>
      <c r="AH310" s="730">
        <f t="shared" si="241"/>
        <v>-1.498190488754596</v>
      </c>
      <c r="AI310" s="731" t="str">
        <f t="shared" si="219"/>
        <v>10000</v>
      </c>
      <c r="AJ310" s="733" t="str">
        <f t="shared" si="242"/>
        <v>1+127225.669511933i</v>
      </c>
      <c r="AK310" s="734">
        <f t="shared" si="243"/>
        <v>127225.66951586302</v>
      </c>
      <c r="AL310" s="735">
        <f t="shared" si="244"/>
        <v>1.5707884667458687</v>
      </c>
      <c r="AM310" s="340" t="str">
        <f t="shared" si="245"/>
        <v>1+215.916579984312i</v>
      </c>
      <c r="AN310" s="734">
        <f t="shared" si="246"/>
        <v>215.91889568104455</v>
      </c>
      <c r="AO310" s="735">
        <f t="shared" si="247"/>
        <v>1.5661649416082988</v>
      </c>
      <c r="AP310" s="733" t="str">
        <f t="shared" si="248"/>
        <v>1+10.4723100311806i</v>
      </c>
      <c r="AQ310" s="734">
        <f t="shared" si="249"/>
        <v>10.519946643836452</v>
      </c>
      <c r="AR310" s="735">
        <f t="shared" si="250"/>
        <v>1.4755950696763813</v>
      </c>
      <c r="AS310" s="732" t="str">
        <f t="shared" si="251"/>
        <v>0.00592288929222297-10.883829783851i</v>
      </c>
      <c r="AT310" s="337">
        <f t="shared" si="252"/>
        <v>10.88383139544433</v>
      </c>
      <c r="AU310" s="730">
        <f t="shared" si="253"/>
        <v>-1.5702521351982646</v>
      </c>
      <c r="AV310" s="732" t="str">
        <f t="shared" si="254"/>
        <v>-0.738567250657433+0.08106600895882i</v>
      </c>
      <c r="AW310" s="337">
        <f t="shared" si="255"/>
        <v>-2.580190042139312</v>
      </c>
      <c r="AX310" s="730">
        <f t="shared" si="256"/>
        <v>173.73622195499036</v>
      </c>
      <c r="AY310" s="360">
        <f t="shared" si="257"/>
        <v>-6.2637780450096443</v>
      </c>
      <c r="BB310" s="337">
        <f t="shared" si="258"/>
        <v>-19.264363892412536</v>
      </c>
      <c r="BC310" s="730">
        <f t="shared" si="259"/>
        <v>-89.968820118266507</v>
      </c>
      <c r="BD310" s="351"/>
      <c r="BE310" s="337">
        <f t="shared" si="220"/>
        <v>38.419339884340012</v>
      </c>
      <c r="BF310" s="730">
        <f t="shared" si="221"/>
        <v>-88.26062423758124</v>
      </c>
      <c r="BI310" s="351"/>
      <c r="BJ310" s="351"/>
      <c r="BL310" s="405">
        <f t="shared" si="222"/>
        <v>0</v>
      </c>
      <c r="BM310" s="405">
        <f t="shared" si="260"/>
        <v>0</v>
      </c>
      <c r="BN310" s="405">
        <f t="shared" si="223"/>
        <v>0</v>
      </c>
      <c r="BO310" s="405">
        <f t="shared" si="224"/>
        <v>0</v>
      </c>
    </row>
    <row r="311" spans="4:67" ht="13.5" thickBot="1" x14ac:dyDescent="0.25">
      <c r="D311" s="345">
        <v>21629</v>
      </c>
      <c r="E311" s="340" t="str">
        <f t="shared" si="211"/>
        <v>0.358773399623726i</v>
      </c>
      <c r="F311" s="728" t="str">
        <f t="shared" si="225"/>
        <v>0.005-0.120629591184798i</v>
      </c>
      <c r="G311" s="337" t="str">
        <f t="shared" si="226"/>
        <v>0.005-0.188677052878786i</v>
      </c>
      <c r="H311" s="338" t="str">
        <f t="shared" si="227"/>
        <v>0.0332079091387697-0.182776134166947i</v>
      </c>
      <c r="I311" s="338" t="str">
        <f t="shared" si="228"/>
        <v>0.0432079091387697-0.182776134166947i</v>
      </c>
      <c r="J311" s="337" t="str">
        <f t="shared" si="229"/>
        <v>0.00854204741130755-0.0733142560737056i</v>
      </c>
      <c r="K311" s="338" t="str">
        <f t="shared" si="212"/>
        <v>0.994802070655556-0.113249179174156i</v>
      </c>
      <c r="L311" s="732"/>
      <c r="M311" s="732" t="str">
        <f t="shared" si="213"/>
        <v>2.47170908223143-82.5998643819969i</v>
      </c>
      <c r="N311" s="337">
        <f t="shared" si="214"/>
        <v>0</v>
      </c>
      <c r="O311" s="730" t="str">
        <f t="shared" si="215"/>
        <v>-2.79698819402161-32.3553300215692i</v>
      </c>
      <c r="P311" s="731" t="str">
        <f t="shared" si="216"/>
        <v>-6.03463415278768-0.886783470313009i</v>
      </c>
      <c r="Q311" s="729" t="str">
        <f t="shared" si="217"/>
        <v>-6.00666427084744-0.563230170097322i</v>
      </c>
      <c r="R311" s="730"/>
      <c r="S311" s="405" t="str">
        <f t="shared" si="230"/>
        <v>39.8137431287474-2.66560518685552i</v>
      </c>
      <c r="T311" s="405" t="str">
        <f t="shared" si="231"/>
        <v>15.419849996086-2.85373941064461i</v>
      </c>
      <c r="U311" s="405" t="str">
        <f t="shared" si="232"/>
        <v>-0.00953447979399852-2.91314729077321i</v>
      </c>
      <c r="V311" s="731" t="str">
        <f t="shared" si="218"/>
        <v>6000</v>
      </c>
      <c r="W311" s="733" t="str">
        <f>IMSUM(COMPLEX(1,0),IMDIV(COMPLEX(0,2*PI()*D311),COMPLEX(2*PI()*'Stability Calculations'!EA_Pole1,0)))</f>
        <v>1+137258.005159077i</v>
      </c>
      <c r="X311" s="734">
        <f t="shared" si="233"/>
        <v>137258.00516271978</v>
      </c>
      <c r="Y311" s="735">
        <f t="shared" si="234"/>
        <v>1.57078904124533</v>
      </c>
      <c r="Z311" s="340" t="str">
        <f>IMSUM(COMPLEX(1,0),IMDIV(COMPLEX(0,2*PI()*D311),COMPLEX(2*PI()*'Stability Calculations'!EA_Zero1,0)))</f>
        <v>1+1358.99015008987i</v>
      </c>
      <c r="AA311" s="734">
        <f t="shared" si="235"/>
        <v>1358.9905180100732</v>
      </c>
      <c r="AB311" s="735">
        <f t="shared" si="236"/>
        <v>1.5700604864214791</v>
      </c>
      <c r="AC311" s="733" t="str">
        <f>IMSUM(COMPLEX(1,0),IMDIV(COMPLEX(0,2*PI()*D311),COMPLEX(2*PI()*'Stability Calculations'!EA_Pole2,0)))</f>
        <v>1+13.6897276547449i</v>
      </c>
      <c r="AD311" s="734">
        <f t="shared" si="237"/>
        <v>13.726202798337466</v>
      </c>
      <c r="AE311" s="735">
        <f t="shared" si="238"/>
        <v>1.4978783657075276</v>
      </c>
      <c r="AF311" s="732" t="str">
        <f t="shared" si="239"/>
        <v>0.312158942056433-4.31665139421844i</v>
      </c>
      <c r="AG311" s="337">
        <f t="shared" si="240"/>
        <v>4.3279235742228392</v>
      </c>
      <c r="AH311" s="730">
        <f t="shared" si="241"/>
        <v>-1.4986069205313786</v>
      </c>
      <c r="AI311" s="731" t="str">
        <f t="shared" si="219"/>
        <v>10000</v>
      </c>
      <c r="AJ311" s="733" t="str">
        <f t="shared" si="242"/>
        <v>1+127962.240734433i</v>
      </c>
      <c r="AK311" s="734">
        <f t="shared" si="243"/>
        <v>127962.24073834041</v>
      </c>
      <c r="AL311" s="735">
        <f t="shared" si="244"/>
        <v>1.5707885119895741</v>
      </c>
      <c r="AM311" s="340" t="str">
        <f t="shared" si="245"/>
        <v>1+217.166625984361i</v>
      </c>
      <c r="AN311" s="734">
        <f t="shared" si="246"/>
        <v>217.16892835171274</v>
      </c>
      <c r="AO311" s="735">
        <f t="shared" si="247"/>
        <v>1.5661916002278116</v>
      </c>
      <c r="AP311" s="733" t="str">
        <f t="shared" si="248"/>
        <v>1+10.5329393226722i</v>
      </c>
      <c r="AQ311" s="734">
        <f t="shared" si="249"/>
        <v>10.580302962349156</v>
      </c>
      <c r="AR311" s="735">
        <f t="shared" si="250"/>
        <v>1.4761397866067194</v>
      </c>
      <c r="AS311" s="732" t="str">
        <f t="shared" si="251"/>
        <v>0.00585489935223553-10.8211807472597i</v>
      </c>
      <c r="AT311" s="337">
        <f t="shared" si="252"/>
        <v>10.821182331183151</v>
      </c>
      <c r="AU311" s="730">
        <f t="shared" si="253"/>
        <v>-1.5702552676519388</v>
      </c>
      <c r="AV311" s="732" t="str">
        <f t="shared" si="254"/>
        <v>-0.729964367941571+0.0808196993722861i</v>
      </c>
      <c r="AW311" s="337">
        <f t="shared" si="255"/>
        <v>-2.681053202607691</v>
      </c>
      <c r="AX311" s="730">
        <f t="shared" si="256"/>
        <v>173.6820965651379</v>
      </c>
      <c r="AY311" s="360">
        <f t="shared" si="257"/>
        <v>-6.317903434862103</v>
      </c>
      <c r="BB311" s="337">
        <f t="shared" si="258"/>
        <v>-19.314505705372707</v>
      </c>
      <c r="BC311" s="730">
        <f t="shared" si="259"/>
        <v>-89.968999594641559</v>
      </c>
      <c r="BD311" s="351"/>
      <c r="BE311" s="337">
        <f t="shared" si="220"/>
        <v>38.343473787727248</v>
      </c>
      <c r="BF311" s="730">
        <f t="shared" si="221"/>
        <v>-88.285998989155757</v>
      </c>
      <c r="BI311" s="351"/>
      <c r="BJ311" s="351"/>
      <c r="BL311" s="405">
        <f t="shared" si="222"/>
        <v>0</v>
      </c>
      <c r="BM311" s="405">
        <f t="shared" si="260"/>
        <v>0</v>
      </c>
      <c r="BN311" s="405">
        <f t="shared" si="223"/>
        <v>0</v>
      </c>
      <c r="BO311" s="405">
        <f t="shared" si="224"/>
        <v>0</v>
      </c>
    </row>
    <row r="312" spans="4:67" ht="13.5" thickBot="1" x14ac:dyDescent="0.25">
      <c r="D312" s="345">
        <v>21753.5</v>
      </c>
      <c r="E312" s="340" t="str">
        <f t="shared" si="211"/>
        <v>0.36083855697049i</v>
      </c>
      <c r="F312" s="728" t="str">
        <f t="shared" si="225"/>
        <v>0.005-0.119939201863424i</v>
      </c>
      <c r="G312" s="337" t="str">
        <f t="shared" si="226"/>
        <v>0.005-0.187597213170996i</v>
      </c>
      <c r="H312" s="338" t="str">
        <f t="shared" si="227"/>
        <v>0.0328931418325922-0.181778401869969i</v>
      </c>
      <c r="I312" s="338" t="str">
        <f t="shared" si="228"/>
        <v>0.0428931418325922-0.181778401869969i</v>
      </c>
      <c r="J312" s="337" t="str">
        <f t="shared" si="229"/>
        <v>0.00849187955142165-0.0728979457835894i</v>
      </c>
      <c r="K312" s="338" t="str">
        <f t="shared" si="212"/>
        <v>0.994742058197222-0.113901059649776i</v>
      </c>
      <c r="L312" s="732"/>
      <c r="M312" s="732" t="str">
        <f t="shared" si="213"/>
        <v>2.41508496534144-81.890120647353i</v>
      </c>
      <c r="N312" s="337">
        <f t="shared" si="214"/>
        <v>0</v>
      </c>
      <c r="O312" s="730" t="str">
        <f t="shared" si="215"/>
        <v>-2.77395087953611-32.0727294114296i</v>
      </c>
      <c r="P312" s="731" t="str">
        <f t="shared" si="216"/>
        <v>-5.9491129645302-0.87145577385493i</v>
      </c>
      <c r="Q312" s="729" t="str">
        <f t="shared" si="217"/>
        <v>-5.92137345573483-0.550728479740636i</v>
      </c>
      <c r="R312" s="730"/>
      <c r="S312" s="405" t="str">
        <f t="shared" si="230"/>
        <v>39.8124728077174-2.70217731666179i</v>
      </c>
      <c r="T312" s="405" t="str">
        <f t="shared" si="231"/>
        <v>15.4168529104287-2.86160349606107i</v>
      </c>
      <c r="U312" s="405" t="str">
        <f t="shared" si="232"/>
        <v>-0.0130689809045554-2.89657801358668i</v>
      </c>
      <c r="V312" s="731" t="str">
        <f t="shared" si="218"/>
        <v>6000</v>
      </c>
      <c r="W312" s="733" t="str">
        <f>IMSUM(COMPLEX(1,0),IMDIV(COMPLEX(0,2*PI()*D312),COMPLEX(2*PI()*'Stability Calculations'!EA_Pole1,0)))</f>
        <v>1+138048.084295528i</v>
      </c>
      <c r="X312" s="734">
        <f t="shared" si="233"/>
        <v>138048.08429914995</v>
      </c>
      <c r="Y312" s="735">
        <f t="shared" si="234"/>
        <v>1.5707890829421109</v>
      </c>
      <c r="Z312" s="340" t="str">
        <f>IMSUM(COMPLEX(1,0),IMDIV(COMPLEX(0,2*PI()*D312),COMPLEX(2*PI()*'Stability Calculations'!EA_Zero1,0)))</f>
        <v>1+1366.81271579731i</v>
      </c>
      <c r="AA312" s="734">
        <f t="shared" si="235"/>
        <v>1366.8130816118266</v>
      </c>
      <c r="AB312" s="735">
        <f t="shared" si="236"/>
        <v>1.5700646977940722</v>
      </c>
      <c r="AC312" s="733" t="str">
        <f>IMSUM(COMPLEX(1,0),IMDIV(COMPLEX(0,2*PI()*D312),COMPLEX(2*PI()*'Stability Calculations'!EA_Pole2,0)))</f>
        <v>1+13.7685279272039i</v>
      </c>
      <c r="AD312" s="734">
        <f t="shared" si="237"/>
        <v>13.804794865632511</v>
      </c>
      <c r="AE312" s="735">
        <f t="shared" si="238"/>
        <v>1.4982942259121828</v>
      </c>
      <c r="AF312" s="732" t="str">
        <f t="shared" si="239"/>
        <v>0.30861475586158-4.29220367365173i</v>
      </c>
      <c r="AG312" s="337">
        <f t="shared" si="240"/>
        <v>4.3032842624726646</v>
      </c>
      <c r="AH312" s="730">
        <f t="shared" si="241"/>
        <v>-1.4990186110602217</v>
      </c>
      <c r="AI312" s="731" t="str">
        <f t="shared" si="219"/>
        <v>10000</v>
      </c>
      <c r="AJ312" s="733" t="str">
        <f t="shared" si="242"/>
        <v>1+128698.811956932i</v>
      </c>
      <c r="AK312" s="734">
        <f t="shared" si="243"/>
        <v>128698.81196081702</v>
      </c>
      <c r="AL312" s="735">
        <f t="shared" si="244"/>
        <v>1.5707885567154003</v>
      </c>
      <c r="AM312" s="340" t="str">
        <f t="shared" si="245"/>
        <v>1+218.41667198441i</v>
      </c>
      <c r="AN312" s="734">
        <f t="shared" si="246"/>
        <v>218.41896117495239</v>
      </c>
      <c r="AO312" s="735">
        <f t="shared" si="247"/>
        <v>1.5662179537076311</v>
      </c>
      <c r="AP312" s="733" t="str">
        <f t="shared" si="248"/>
        <v>1+10.5935686141639i</v>
      </c>
      <c r="AQ312" s="734">
        <f t="shared" si="249"/>
        <v>10.640662384597984</v>
      </c>
      <c r="AR312" s="735">
        <f t="shared" si="250"/>
        <v>1.4766783238546508</v>
      </c>
      <c r="AS312" s="732" t="str">
        <f t="shared" si="251"/>
        <v>0.00578807343157787-10.7592488180989i</v>
      </c>
      <c r="AT312" s="337">
        <f t="shared" si="252"/>
        <v>10.759250374982294</v>
      </c>
      <c r="AU312" s="730">
        <f t="shared" si="253"/>
        <v>-1.5702583642501995</v>
      </c>
      <c r="AV312" s="732" t="str">
        <f t="shared" si="254"/>
        <v>-0.721509348811446+0.0805721780919849i</v>
      </c>
      <c r="AW312" s="337">
        <f t="shared" si="255"/>
        <v>-2.7813366656283711</v>
      </c>
      <c r="AX312" s="730">
        <f t="shared" si="256"/>
        <v>173.62808233214511</v>
      </c>
      <c r="AY312" s="360">
        <f t="shared" si="257"/>
        <v>-6.3719176678548877</v>
      </c>
      <c r="BB312" s="337">
        <f t="shared" si="258"/>
        <v>-19.364359720882661</v>
      </c>
      <c r="BC312" s="730">
        <f t="shared" si="259"/>
        <v>-89.969177016652736</v>
      </c>
      <c r="BD312" s="351"/>
      <c r="BE312" s="337">
        <f t="shared" si="220"/>
        <v>38.268405917661923</v>
      </c>
      <c r="BF312" s="730">
        <f t="shared" si="221"/>
        <v>-88.310735436115166</v>
      </c>
      <c r="BI312" s="351"/>
      <c r="BJ312" s="351"/>
      <c r="BL312" s="405">
        <f t="shared" si="222"/>
        <v>0</v>
      </c>
      <c r="BM312" s="405">
        <f t="shared" si="260"/>
        <v>0</v>
      </c>
      <c r="BN312" s="405">
        <f t="shared" si="223"/>
        <v>0</v>
      </c>
      <c r="BO312" s="405">
        <f t="shared" si="224"/>
        <v>0</v>
      </c>
    </row>
    <row r="313" spans="4:67" ht="13.5" thickBot="1" x14ac:dyDescent="0.25">
      <c r="D313" s="345">
        <v>21878</v>
      </c>
      <c r="E313" s="340" t="str">
        <f t="shared" si="211"/>
        <v>0.362903714317254i</v>
      </c>
      <c r="F313" s="728" t="str">
        <f t="shared" si="225"/>
        <v>0.005-0.119256670067464i</v>
      </c>
      <c r="G313" s="337" t="str">
        <f t="shared" si="226"/>
        <v>0.005-0.186529663438855i</v>
      </c>
      <c r="H313" s="338" t="str">
        <f t="shared" si="227"/>
        <v>0.0325835696816653-0.180791231839768i</v>
      </c>
      <c r="I313" s="338" t="str">
        <f t="shared" si="228"/>
        <v>0.0425835696816653-0.180791231839768i</v>
      </c>
      <c r="J313" s="337" t="str">
        <f t="shared" si="229"/>
        <v>0.00844256127423571-0.0724863246922687i</v>
      </c>
      <c r="K313" s="338" t="str">
        <f t="shared" si="212"/>
        <v>0.994681701288889-0.114552940125396i</v>
      </c>
      <c r="L313" s="732"/>
      <c r="M313" s="732" t="str">
        <f t="shared" si="213"/>
        <v>2.36033760774111-81.1937354562949i</v>
      </c>
      <c r="N313" s="337">
        <f t="shared" si="214"/>
        <v>0</v>
      </c>
      <c r="O313" s="730" t="str">
        <f t="shared" si="215"/>
        <v>-2.75119403923677-31.7955271105126i</v>
      </c>
      <c r="P313" s="731" t="str">
        <f t="shared" si="216"/>
        <v>-5.86550817638192-0.85657528489195i</v>
      </c>
      <c r="Q313" s="729" t="str">
        <f t="shared" si="217"/>
        <v>-5.83799623598956-0.538620013786825i</v>
      </c>
      <c r="R313" s="730"/>
      <c r="S313" s="405" t="str">
        <f t="shared" si="230"/>
        <v>39.8111439360687-2.73863142151536i</v>
      </c>
      <c r="T313" s="405" t="str">
        <f t="shared" si="231"/>
        <v>15.4138589382246-2.86951106663054i</v>
      </c>
      <c r="U313" s="405" t="str">
        <f t="shared" si="232"/>
        <v>-0.0165438937369805-2.88018945863792i</v>
      </c>
      <c r="V313" s="731" t="str">
        <f t="shared" si="218"/>
        <v>6000</v>
      </c>
      <c r="W313" s="733" t="str">
        <f>IMSUM(COMPLEX(1,0),IMDIV(COMPLEX(0,2*PI()*D313),COMPLEX(2*PI()*'Stability Calculations'!EA_Pole1,0)))</f>
        <v>1+138838.16343198i</v>
      </c>
      <c r="X313" s="734">
        <f t="shared" si="233"/>
        <v>138838.16343558131</v>
      </c>
      <c r="Y313" s="735">
        <f t="shared" si="234"/>
        <v>1.5707891241643284</v>
      </c>
      <c r="Z313" s="340" t="str">
        <f>IMSUM(COMPLEX(1,0),IMDIV(COMPLEX(0,2*PI()*D313),COMPLEX(2*PI()*'Stability Calculations'!EA_Zero1,0)))</f>
        <v>1+1374.63528150475i</v>
      </c>
      <c r="AA313" s="734">
        <f t="shared" si="235"/>
        <v>1374.6356452375455</v>
      </c>
      <c r="AB313" s="735">
        <f t="shared" si="236"/>
        <v>1.5700688612358116</v>
      </c>
      <c r="AC313" s="733" t="str">
        <f>IMSUM(COMPLEX(1,0),IMDIV(COMPLEX(0,2*PI()*D313),COMPLEX(2*PI()*'Stability Calculations'!EA_Pole2,0)))</f>
        <v>1+13.8473281996629i</v>
      </c>
      <c r="AD313" s="734">
        <f t="shared" si="237"/>
        <v>13.883389293295041</v>
      </c>
      <c r="AE313" s="735">
        <f t="shared" si="238"/>
        <v>1.498705377784435</v>
      </c>
      <c r="AF313" s="732" t="str">
        <f t="shared" si="239"/>
        <v>0.305130484935849-4.26802987299368i</v>
      </c>
      <c r="AG313" s="337">
        <f t="shared" si="240"/>
        <v>4.2789231834193568</v>
      </c>
      <c r="AH313" s="730">
        <f t="shared" si="241"/>
        <v>-1.4994256407129516</v>
      </c>
      <c r="AI313" s="731" t="str">
        <f t="shared" si="219"/>
        <v>10000</v>
      </c>
      <c r="AJ313" s="733" t="str">
        <f t="shared" si="242"/>
        <v>1+129435.383179431i</v>
      </c>
      <c r="AK313" s="734">
        <f t="shared" si="243"/>
        <v>129435.38318329393</v>
      </c>
      <c r="AL313" s="735">
        <f t="shared" si="244"/>
        <v>1.5707886009321887</v>
      </c>
      <c r="AM313" s="340" t="str">
        <f t="shared" si="245"/>
        <v>1+219.666717984459i</v>
      </c>
      <c r="AN313" s="734">
        <f t="shared" si="246"/>
        <v>219.66899414815887</v>
      </c>
      <c r="AO313" s="735">
        <f t="shared" si="247"/>
        <v>1.5662440072569404</v>
      </c>
      <c r="AP313" s="733" t="str">
        <f t="shared" si="248"/>
        <v>1+10.6541979056555i</v>
      </c>
      <c r="AQ313" s="734">
        <f t="shared" si="249"/>
        <v>10.701024858062617</v>
      </c>
      <c r="AR313" s="735">
        <f t="shared" si="250"/>
        <v>1.4772107856804115</v>
      </c>
      <c r="AS313" s="732" t="str">
        <f t="shared" si="251"/>
        <v>0.00572238510969956-10.6980217539646i</v>
      </c>
      <c r="AT313" s="337">
        <f t="shared" si="252"/>
        <v>10.698023284419937</v>
      </c>
      <c r="AU313" s="730">
        <f t="shared" si="253"/>
        <v>-1.5702614256051681</v>
      </c>
      <c r="AV313" s="732" t="str">
        <f t="shared" si="254"/>
        <v>-0.713198821713496+0.0803235599230369i</v>
      </c>
      <c r="AW313" s="337">
        <f t="shared" si="255"/>
        <v>-2.8810471207308508</v>
      </c>
      <c r="AX313" s="730">
        <f t="shared" si="256"/>
        <v>173.5741771898081</v>
      </c>
      <c r="AY313" s="360">
        <f t="shared" si="257"/>
        <v>-6.425822810191903</v>
      </c>
      <c r="BB313" s="337">
        <f t="shared" si="258"/>
        <v>-19.413929223820837</v>
      </c>
      <c r="BC313" s="730">
        <f t="shared" si="259"/>
        <v>-89.969352419372029</v>
      </c>
      <c r="BD313" s="351"/>
      <c r="BE313" s="337">
        <f t="shared" si="220"/>
        <v>38.194119077832205</v>
      </c>
      <c r="BF313" s="730">
        <f t="shared" si="221"/>
        <v>-88.334855444779038</v>
      </c>
      <c r="BI313" s="351"/>
      <c r="BJ313" s="351"/>
      <c r="BL313" s="405">
        <f t="shared" si="222"/>
        <v>0</v>
      </c>
      <c r="BM313" s="405">
        <f t="shared" si="260"/>
        <v>0</v>
      </c>
      <c r="BN313" s="405">
        <f t="shared" si="223"/>
        <v>0</v>
      </c>
      <c r="BO313" s="405">
        <f t="shared" si="224"/>
        <v>0</v>
      </c>
    </row>
    <row r="314" spans="4:67" ht="13.5" thickBot="1" x14ac:dyDescent="0.25">
      <c r="D314" s="345">
        <v>22005.25</v>
      </c>
      <c r="E314" s="340" t="str">
        <f t="shared" si="211"/>
        <v>0.365014487589348i</v>
      </c>
      <c r="F314" s="728" t="str">
        <f t="shared" si="225"/>
        <v>0.005-0.118567043216323i</v>
      </c>
      <c r="G314" s="337" t="str">
        <f t="shared" si="226"/>
        <v>0.005-0.18545101631271i</v>
      </c>
      <c r="H314" s="338" t="str">
        <f t="shared" si="227"/>
        <v>0.032272410726362-0.179793002847803i</v>
      </c>
      <c r="I314" s="338" t="str">
        <f t="shared" si="228"/>
        <v>0.042272410726362-0.179793002847803i</v>
      </c>
      <c r="J314" s="337" t="str">
        <f t="shared" si="229"/>
        <v>0.00839301173301577-0.0720703755967006i</v>
      </c>
      <c r="K314" s="338" t="str">
        <f t="shared" si="212"/>
        <v>0.994619655249306-0.115219219567345i</v>
      </c>
      <c r="L314" s="732"/>
      <c r="M314" s="732" t="str">
        <f t="shared" si="213"/>
        <v>2.30623702522655-80.495366727767i</v>
      </c>
      <c r="N314" s="337">
        <f t="shared" si="214"/>
        <v>0</v>
      </c>
      <c r="O314" s="730" t="str">
        <f t="shared" si="215"/>
        <v>-2.72822403014211-31.5176138277954i</v>
      </c>
      <c r="P314" s="731" t="str">
        <f t="shared" si="216"/>
        <v>-5.78197503945247-0.841809926022649i</v>
      </c>
      <c r="Q314" s="729" t="str">
        <f t="shared" si="217"/>
        <v>-5.75469279915104-0.526633787744697i</v>
      </c>
      <c r="R314" s="730"/>
      <c r="S314" s="405" t="str">
        <f t="shared" si="230"/>
        <v>39.8097260845964-2.77577071224815i</v>
      </c>
      <c r="T314" s="405" t="str">
        <f t="shared" si="231"/>
        <v>15.4108017063645-2.87763745443316i</v>
      </c>
      <c r="U314" s="405" t="str">
        <f t="shared" si="232"/>
        <v>-0.0200353567495281-2.86362261293034i</v>
      </c>
      <c r="V314" s="731" t="str">
        <f t="shared" si="218"/>
        <v>6000</v>
      </c>
      <c r="W314" s="733" t="str">
        <f>IMSUM(COMPLEX(1,0),IMDIV(COMPLEX(0,2*PI()*D314),COMPLEX(2*PI()*'Stability Calculations'!EA_Pole1,0)))</f>
        <v>1+139645.694115622i</v>
      </c>
      <c r="X314" s="734">
        <f t="shared" si="233"/>
        <v>139645.6941192025</v>
      </c>
      <c r="Y314" s="735">
        <f t="shared" si="234"/>
        <v>1.570789165815059</v>
      </c>
      <c r="Z314" s="340" t="str">
        <f>IMSUM(COMPLEX(1,0),IMDIV(COMPLEX(0,2*PI()*D314),COMPLEX(2*PI()*'Stability Calculations'!EA_Zero1,0)))</f>
        <v>1+1382.63063480814i</v>
      </c>
      <c r="AA314" s="734">
        <f t="shared" si="235"/>
        <v>1382.6309964375746</v>
      </c>
      <c r="AB314" s="735">
        <f t="shared" si="236"/>
        <v>1.5700730679573902</v>
      </c>
      <c r="AC314" s="733" t="str">
        <f>IMSUM(COMPLEX(1,0),IMDIV(COMPLEX(0,2*PI()*D314),COMPLEX(2*PI()*'Stability Calculations'!EA_Pole2,0)))</f>
        <v>1+13.9278690403891i</v>
      </c>
      <c r="AD314" s="734">
        <f t="shared" si="237"/>
        <v>13.963722140111107</v>
      </c>
      <c r="AE314" s="735">
        <f t="shared" si="238"/>
        <v>1.4991208284617081</v>
      </c>
      <c r="AF314" s="732" t="str">
        <f t="shared" si="239"/>
        <v>0.3016297718724-4.24360043560313i</v>
      </c>
      <c r="AG314" s="337">
        <f t="shared" si="240"/>
        <v>4.254306662234268</v>
      </c>
      <c r="AH314" s="730">
        <f t="shared" si="241"/>
        <v>-1.4998369263193774</v>
      </c>
      <c r="AI314" s="731" t="str">
        <f t="shared" si="219"/>
        <v>10000</v>
      </c>
      <c r="AJ314" s="733" t="str">
        <f t="shared" si="242"/>
        <v>1+130188.224047408i</v>
      </c>
      <c r="AK314" s="734">
        <f t="shared" si="243"/>
        <v>130188.2240512486</v>
      </c>
      <c r="AL314" s="735">
        <f t="shared" si="244"/>
        <v>1.5707886456086195</v>
      </c>
      <c r="AM314" s="340" t="str">
        <f t="shared" si="245"/>
        <v>1+220.944375442341i</v>
      </c>
      <c r="AN314" s="734">
        <f t="shared" si="246"/>
        <v>220.94663844377931</v>
      </c>
      <c r="AO314" s="735">
        <f t="shared" si="247"/>
        <v>1.5662703316444071</v>
      </c>
      <c r="AP314" s="733" t="str">
        <f t="shared" si="248"/>
        <v>1+10.7161663983649i</v>
      </c>
      <c r="AQ314" s="734">
        <f t="shared" si="249"/>
        <v>10.762723738786802</v>
      </c>
      <c r="AR314" s="735">
        <f t="shared" si="250"/>
        <v>1.4777488366123537</v>
      </c>
      <c r="AS314" s="732" t="str">
        <f t="shared" si="251"/>
        <v>0.00565639468546769-10.6361582215833i</v>
      </c>
      <c r="AT314" s="337">
        <f t="shared" si="252"/>
        <v>10.63615972564134</v>
      </c>
      <c r="AU314" s="730">
        <f t="shared" si="253"/>
        <v>-1.5702645187835469</v>
      </c>
      <c r="AV314" s="732" t="str">
        <f t="shared" si="254"/>
        <v>-0.704850633748609+0.0800684305835014i</v>
      </c>
      <c r="AW314" s="337">
        <f t="shared" si="255"/>
        <v>-2.9823747260266318</v>
      </c>
      <c r="AX314" s="730">
        <f t="shared" si="256"/>
        <v>173.51919200583754</v>
      </c>
      <c r="AY314" s="360">
        <f t="shared" si="257"/>
        <v>-6.4808079941624612</v>
      </c>
      <c r="BB314" s="337">
        <f t="shared" si="258"/>
        <v>-19.464302987840295</v>
      </c>
      <c r="BC314" s="730">
        <f t="shared" si="259"/>
        <v>-89.969529645438413</v>
      </c>
      <c r="BD314" s="351"/>
      <c r="BE314" s="337">
        <f t="shared" si="220"/>
        <v>38.118981129254543</v>
      </c>
      <c r="BF314" s="730">
        <f t="shared" si="221"/>
        <v>-88.358892989576518</v>
      </c>
      <c r="BI314" s="351"/>
      <c r="BJ314" s="351"/>
      <c r="BL314" s="405">
        <f t="shared" si="222"/>
        <v>0</v>
      </c>
      <c r="BM314" s="405">
        <f t="shared" si="260"/>
        <v>0</v>
      </c>
      <c r="BN314" s="405">
        <f t="shared" si="223"/>
        <v>0</v>
      </c>
      <c r="BO314" s="405">
        <f t="shared" si="224"/>
        <v>0</v>
      </c>
    </row>
    <row r="315" spans="4:67" ht="13.5" thickBot="1" x14ac:dyDescent="0.25">
      <c r="D315" s="345">
        <v>22132.5</v>
      </c>
      <c r="E315" s="340" t="str">
        <f t="shared" si="211"/>
        <v>0.367125260861442i</v>
      </c>
      <c r="F315" s="728" t="str">
        <f t="shared" si="225"/>
        <v>0.005-0.117885346333943i</v>
      </c>
      <c r="G315" s="337" t="str">
        <f t="shared" si="226"/>
        <v>0.005-0.184384772471039i</v>
      </c>
      <c r="H315" s="338" t="str">
        <f t="shared" si="227"/>
        <v>0.0319664439365383-0.178805468770382i</v>
      </c>
      <c r="I315" s="338" t="str">
        <f t="shared" si="228"/>
        <v>0.0419664439365383-0.178805468770382i</v>
      </c>
      <c r="J315" s="337" t="str">
        <f t="shared" si="229"/>
        <v>0.00834431002305876-0.0716591612521878i</v>
      </c>
      <c r="K315" s="338" t="str">
        <f t="shared" si="212"/>
        <v>0.994557249375-0.115885499009293i</v>
      </c>
      <c r="L315" s="732"/>
      <c r="M315" s="732" t="str">
        <f t="shared" si="213"/>
        <v>2.25393234773193-79.8101458032073i</v>
      </c>
      <c r="N315" s="337">
        <f t="shared" si="214"/>
        <v>0</v>
      </c>
      <c r="O315" s="730" t="str">
        <f t="shared" si="215"/>
        <v>-2.70554594678974-31.2450088552544i</v>
      </c>
      <c r="P315" s="731" t="str">
        <f t="shared" si="216"/>
        <v>-5.70032059739217-0.827475501125129i</v>
      </c>
      <c r="Q315" s="729" t="str">
        <f t="shared" si="217"/>
        <v>-5.67326513792427-0.515025412572586i</v>
      </c>
      <c r="R315" s="730"/>
      <c r="S315" s="405" t="str">
        <f t="shared" si="230"/>
        <v>39.8082488233796-2.81279059839065i</v>
      </c>
      <c r="T315" s="405" t="str">
        <f t="shared" si="231"/>
        <v>15.4077470365254-2.88580769451023i</v>
      </c>
      <c r="U315" s="405" t="str">
        <f t="shared" si="232"/>
        <v>-0.0234673157666229-2.84723844143958i</v>
      </c>
      <c r="V315" s="731" t="str">
        <f t="shared" si="218"/>
        <v>6000</v>
      </c>
      <c r="W315" s="733" t="str">
        <f>IMSUM(COMPLEX(1,0),IMDIV(COMPLEX(0,2*PI()*D315),COMPLEX(2*PI()*'Stability Calculations'!EA_Pole1,0)))</f>
        <v>1+140453.224799264i</v>
      </c>
      <c r="X315" s="734">
        <f t="shared" si="233"/>
        <v>140453.22480282391</v>
      </c>
      <c r="Y315" s="735">
        <f t="shared" si="234"/>
        <v>1.5707892069868508</v>
      </c>
      <c r="Z315" s="340" t="str">
        <f>IMSUM(COMPLEX(1,0),IMDIV(COMPLEX(0,2*PI()*D315),COMPLEX(2*PI()*'Stability Calculations'!EA_Zero1,0)))</f>
        <v>1+1390.62598811152i</v>
      </c>
      <c r="AA315" s="734">
        <f t="shared" si="235"/>
        <v>1390.6263476617796</v>
      </c>
      <c r="AB315" s="735">
        <f t="shared" si="236"/>
        <v>1.5700772263062099</v>
      </c>
      <c r="AC315" s="733" t="str">
        <f>IMSUM(COMPLEX(1,0),IMDIV(COMPLEX(0,2*PI()*D315),COMPLEX(2*PI()*'Stability Calculations'!EA_Pole2,0)))</f>
        <v>1+14.0084098811152i</v>
      </c>
      <c r="AD315" s="734">
        <f t="shared" si="237"/>
        <v>14.044057369482864</v>
      </c>
      <c r="AE315" s="735">
        <f t="shared" si="238"/>
        <v>1.4995315262628648</v>
      </c>
      <c r="AF315" s="732" t="str">
        <f t="shared" si="239"/>
        <v>0.298188858532714-4.21944764168763i</v>
      </c>
      <c r="AG315" s="337">
        <f t="shared" si="240"/>
        <v>4.2299710396522041</v>
      </c>
      <c r="AH315" s="730">
        <f t="shared" si="241"/>
        <v>-1.5002435069435056</v>
      </c>
      <c r="AI315" s="731" t="str">
        <f t="shared" si="219"/>
        <v>10000</v>
      </c>
      <c r="AJ315" s="733" t="str">
        <f t="shared" si="242"/>
        <v>1+130941.064915384i</v>
      </c>
      <c r="AK315" s="734">
        <f t="shared" si="243"/>
        <v>130941.06491920252</v>
      </c>
      <c r="AL315" s="735">
        <f t="shared" si="244"/>
        <v>1.5707886897713195</v>
      </c>
      <c r="AM315" s="340" t="str">
        <f t="shared" si="245"/>
        <v>1+222.222032900221i</v>
      </c>
      <c r="AN315" s="734">
        <f t="shared" si="246"/>
        <v>222.22428289074733</v>
      </c>
      <c r="AO315" s="735">
        <f t="shared" si="247"/>
        <v>1.5662963533358314</v>
      </c>
      <c r="AP315" s="733" t="str">
        <f t="shared" si="248"/>
        <v>1+10.7781348910741i</v>
      </c>
      <c r="AQ315" s="734">
        <f t="shared" si="249"/>
        <v>10.824425699786058</v>
      </c>
      <c r="AR315" s="735">
        <f t="shared" si="250"/>
        <v>1.4782807536443507</v>
      </c>
      <c r="AS315" s="732" t="str">
        <f t="shared" si="251"/>
        <v>0.00559153921414516-10.5750060528395i</v>
      </c>
      <c r="AT315" s="337">
        <f t="shared" si="252"/>
        <v>10.575007531103836</v>
      </c>
      <c r="AU315" s="730">
        <f t="shared" si="253"/>
        <v>-1.5702675763937037</v>
      </c>
      <c r="AV315" s="732" t="str">
        <f t="shared" si="254"/>
        <v>-0.696646571417012+0.0798123809997807i</v>
      </c>
      <c r="AW315" s="337">
        <f t="shared" si="255"/>
        <v>-3.0831174965417221</v>
      </c>
      <c r="AX315" s="730">
        <f t="shared" si="256"/>
        <v>173.46431658160679</v>
      </c>
      <c r="AY315" s="360">
        <f t="shared" si="257"/>
        <v>-6.5356834183932051</v>
      </c>
      <c r="BB315" s="337">
        <f t="shared" si="258"/>
        <v>-19.514386293307744</v>
      </c>
      <c r="BC315" s="730">
        <f t="shared" si="259"/>
        <v>-89.969704833595799</v>
      </c>
      <c r="BD315" s="351"/>
      <c r="BE315" s="337">
        <f t="shared" si="220"/>
        <v>38.044624480121094</v>
      </c>
      <c r="BF315" s="730">
        <f t="shared" si="221"/>
        <v>-88.382329799469332</v>
      </c>
      <c r="BI315" s="351"/>
      <c r="BJ315" s="351"/>
      <c r="BL315" s="405">
        <f t="shared" si="222"/>
        <v>0</v>
      </c>
      <c r="BM315" s="405">
        <f t="shared" si="260"/>
        <v>0</v>
      </c>
      <c r="BN315" s="405">
        <f t="shared" si="223"/>
        <v>0</v>
      </c>
      <c r="BO315" s="405">
        <f t="shared" si="224"/>
        <v>0</v>
      </c>
    </row>
    <row r="316" spans="4:67" ht="13.5" thickBot="1" x14ac:dyDescent="0.25">
      <c r="D316" s="345">
        <v>22259.75</v>
      </c>
      <c r="E316" s="340" t="str">
        <f t="shared" si="211"/>
        <v>0.369236034133536i</v>
      </c>
      <c r="F316" s="728" t="str">
        <f t="shared" si="225"/>
        <v>0.005-0.117211443423039i</v>
      </c>
      <c r="G316" s="337" t="str">
        <f t="shared" si="226"/>
        <v>0.005-0.183330719200138i</v>
      </c>
      <c r="H316" s="338" t="str">
        <f t="shared" si="227"/>
        <v>0.0316655553105067-0.177828463299772i</v>
      </c>
      <c r="I316" s="338" t="str">
        <f t="shared" si="228"/>
        <v>0.0416655553105067-0.177828463299772i</v>
      </c>
      <c r="J316" s="337" t="str">
        <f t="shared" si="229"/>
        <v>0.00829643692105515-0.0712526015820793i</v>
      </c>
      <c r="K316" s="338" t="str">
        <f t="shared" si="212"/>
        <v>0.994494483665972-0.116551778451242i</v>
      </c>
      <c r="L316" s="732"/>
      <c r="M316" s="732" t="str">
        <f t="shared" si="213"/>
        <v>2.20334679463216-79.1376885298176i</v>
      </c>
      <c r="N316" s="337">
        <f t="shared" si="214"/>
        <v>0</v>
      </c>
      <c r="O316" s="730" t="str">
        <f t="shared" si="215"/>
        <v>-2.68315871079139-30.9775547927182i</v>
      </c>
      <c r="P316" s="731" t="str">
        <f t="shared" si="216"/>
        <v>-5.6204862632449-0.81355503227082i</v>
      </c>
      <c r="Q316" s="729" t="str">
        <f t="shared" si="217"/>
        <v>-5.59365467613699-0.503779484343639i</v>
      </c>
      <c r="R316" s="730"/>
      <c r="S316" s="405" t="str">
        <f t="shared" si="230"/>
        <v>39.8067130032369-2.84969298367285i</v>
      </c>
      <c r="T316" s="405" t="str">
        <f t="shared" si="231"/>
        <v>15.404694594227-2.89402101575083i</v>
      </c>
      <c r="U316" s="405" t="str">
        <f t="shared" si="232"/>
        <v>-0.0268411012732571-2.83103394983773i</v>
      </c>
      <c r="V316" s="731" t="str">
        <f t="shared" si="218"/>
        <v>6000</v>
      </c>
      <c r="W316" s="733" t="str">
        <f>IMSUM(COMPLEX(1,0),IMDIV(COMPLEX(0,2*PI()*D316),COMPLEX(2*PI()*'Stability Calculations'!EA_Pole1,0)))</f>
        <v>1+141260.755482906i</v>
      </c>
      <c r="X316" s="734">
        <f t="shared" si="233"/>
        <v>141260.75548644556</v>
      </c>
      <c r="Y316" s="735">
        <f t="shared" si="234"/>
        <v>1.5707892476879177</v>
      </c>
      <c r="Z316" s="340" t="str">
        <f>IMSUM(COMPLEX(1,0),IMDIV(COMPLEX(0,2*PI()*D316),COMPLEX(2*PI()*'Stability Calculations'!EA_Zero1,0)))</f>
        <v>1+1398.62134141491i</v>
      </c>
      <c r="AA316" s="734">
        <f t="shared" si="235"/>
        <v>1398.6216989097668</v>
      </c>
      <c r="AB316" s="735">
        <f t="shared" si="236"/>
        <v>1.5700813371118527</v>
      </c>
      <c r="AC316" s="733" t="str">
        <f>IMSUM(COMPLEX(1,0),IMDIV(COMPLEX(0,2*PI()*D316),COMPLEX(2*PI()*'Stability Calculations'!EA_Pole2,0)))</f>
        <v>1+14.0889507218414i</v>
      </c>
      <c r="AD316" s="734">
        <f t="shared" si="237"/>
        <v>14.124394940756764</v>
      </c>
      <c r="AE316" s="735">
        <f t="shared" si="238"/>
        <v>1.4999375521492351</v>
      </c>
      <c r="AF316" s="732" t="str">
        <f t="shared" si="239"/>
        <v>0.294806392894187-4.19556684283334i</v>
      </c>
      <c r="AG316" s="337">
        <f t="shared" si="240"/>
        <v>4.2059115470934243</v>
      </c>
      <c r="AH316" s="730">
        <f t="shared" si="241"/>
        <v>-1.5006454627253001</v>
      </c>
      <c r="AI316" s="731" t="str">
        <f t="shared" si="219"/>
        <v>10000</v>
      </c>
      <c r="AJ316" s="733" t="str">
        <f t="shared" si="242"/>
        <v>1+131693.90578336i</v>
      </c>
      <c r="AK316" s="734">
        <f t="shared" si="243"/>
        <v>131693.90578715669</v>
      </c>
      <c r="AL316" s="735">
        <f t="shared" si="244"/>
        <v>1.5707887334290986</v>
      </c>
      <c r="AM316" s="340" t="str">
        <f t="shared" si="245"/>
        <v>1+223.499690358103i</v>
      </c>
      <c r="AN316" s="734">
        <f t="shared" si="246"/>
        <v>223.5019274864714</v>
      </c>
      <c r="AO316" s="735">
        <f t="shared" si="247"/>
        <v>1.5663220775222466</v>
      </c>
      <c r="AP316" s="733" t="str">
        <f t="shared" si="248"/>
        <v>1+10.8401033837835i</v>
      </c>
      <c r="AQ316" s="734">
        <f t="shared" si="249"/>
        <v>10.886130688684318</v>
      </c>
      <c r="AR316" s="735">
        <f t="shared" si="250"/>
        <v>1.4788066407777121</v>
      </c>
      <c r="AS316" s="732" t="str">
        <f t="shared" si="251"/>
        <v>0.00552779281779675-10.5145530480112i</v>
      </c>
      <c r="AT316" s="337">
        <f t="shared" si="252"/>
        <v>10.514554501068272</v>
      </c>
      <c r="AU316" s="730">
        <f t="shared" si="253"/>
        <v>-1.5702705990456256</v>
      </c>
      <c r="AV316" s="732" t="str">
        <f t="shared" si="254"/>
        <v>-0.688583333887318+0.0795555171793181i</v>
      </c>
      <c r="AW316" s="337">
        <f t="shared" si="255"/>
        <v>-3.1832822110453254</v>
      </c>
      <c r="AX316" s="730">
        <f t="shared" si="256"/>
        <v>173.40954887098573</v>
      </c>
      <c r="AY316" s="360">
        <f t="shared" si="257"/>
        <v>-6.5904511290142693</v>
      </c>
      <c r="BB316" s="337">
        <f t="shared" si="258"/>
        <v>-19.564182470635416</v>
      </c>
      <c r="BC316" s="730">
        <f t="shared" si="259"/>
        <v>-89.969878018793864</v>
      </c>
      <c r="BD316" s="351"/>
      <c r="BE316" s="337">
        <f t="shared" si="220"/>
        <v>37.97103245519741</v>
      </c>
      <c r="BF316" s="730">
        <f t="shared" si="221"/>
        <v>-88.405186331586705</v>
      </c>
      <c r="BI316" s="351"/>
      <c r="BJ316" s="351"/>
      <c r="BL316" s="405">
        <f t="shared" si="222"/>
        <v>0</v>
      </c>
      <c r="BM316" s="405">
        <f t="shared" si="260"/>
        <v>0</v>
      </c>
      <c r="BN316" s="405">
        <f t="shared" si="223"/>
        <v>0</v>
      </c>
      <c r="BO316" s="405">
        <f t="shared" si="224"/>
        <v>0</v>
      </c>
    </row>
    <row r="317" spans="4:67" ht="13.5" thickBot="1" x14ac:dyDescent="0.25">
      <c r="D317" s="345">
        <v>22387</v>
      </c>
      <c r="E317" s="340" t="str">
        <f t="shared" si="211"/>
        <v>0.37134680740563i</v>
      </c>
      <c r="F317" s="728" t="str">
        <f t="shared" si="225"/>
        <v>0.005-0.116545201578415i</v>
      </c>
      <c r="G317" s="337" t="str">
        <f t="shared" si="226"/>
        <v>0.005-0.18228864862265i</v>
      </c>
      <c r="H317" s="338" t="str">
        <f t="shared" si="227"/>
        <v>0.0313696339340384-0.176861823448787i</v>
      </c>
      <c r="I317" s="338" t="str">
        <f t="shared" si="228"/>
        <v>0.0413696339340384-0.176861823448787i</v>
      </c>
      <c r="J317" s="337" t="str">
        <f t="shared" si="229"/>
        <v>0.00824937374476951-0.0708506182989226i</v>
      </c>
      <c r="K317" s="338" t="str">
        <f t="shared" si="212"/>
        <v>0.994431358122222-0.117218057893191i</v>
      </c>
      <c r="L317" s="732"/>
      <c r="M317" s="732" t="str">
        <f t="shared" si="213"/>
        <v>2.15440757452474-78.4776258122364i</v>
      </c>
      <c r="N317" s="337">
        <f t="shared" si="214"/>
        <v>0</v>
      </c>
      <c r="O317" s="730" t="str">
        <f t="shared" si="215"/>
        <v>-2.66106093448382-30.7151004975637i</v>
      </c>
      <c r="P317" s="731" t="str">
        <f t="shared" si="216"/>
        <v>-5.54241579814761-0.800032374650267i</v>
      </c>
      <c r="Q317" s="729" t="str">
        <f t="shared" si="217"/>
        <v>-5.51580518880277-0.49288136967463i</v>
      </c>
      <c r="R317" s="730"/>
      <c r="S317" s="405" t="str">
        <f t="shared" si="230"/>
        <v>39.8051194513431-2.88647973064045i</v>
      </c>
      <c r="T317" s="405" t="str">
        <f t="shared" si="231"/>
        <v>15.4016440543351-2.90227666329978i</v>
      </c>
      <c r="U317" s="405" t="str">
        <f t="shared" si="232"/>
        <v>-0.03015800685721-2.81500620806187i</v>
      </c>
      <c r="V317" s="731" t="str">
        <f t="shared" si="218"/>
        <v>6000</v>
      </c>
      <c r="W317" s="733" t="str">
        <f>IMSUM(COMPLEX(1,0),IMDIV(COMPLEX(0,2*PI()*D317),COMPLEX(2*PI()*'Stability Calculations'!EA_Pole1,0)))</f>
        <v>1+142068.286166547i</v>
      </c>
      <c r="X317" s="734">
        <f t="shared" si="233"/>
        <v>142068.28617006645</v>
      </c>
      <c r="Y317" s="735">
        <f t="shared" si="234"/>
        <v>1.5707892879262866</v>
      </c>
      <c r="Z317" s="340" t="str">
        <f>IMSUM(COMPLEX(1,0),IMDIV(COMPLEX(0,2*PI()*D317),COMPLEX(2*PI()*'Stability Calculations'!EA_Zero1,0)))</f>
        <v>1+1406.61669471829i</v>
      </c>
      <c r="AA317" s="734">
        <f t="shared" si="235"/>
        <v>1406.61705018111</v>
      </c>
      <c r="AB317" s="735">
        <f t="shared" si="236"/>
        <v>1.5700854011850391</v>
      </c>
      <c r="AC317" s="733" t="str">
        <f>IMSUM(COMPLEX(1,0),IMDIV(COMPLEX(0,2*PI()*D317),COMPLEX(2*PI()*'Stability Calculations'!EA_Pole2,0)))</f>
        <v>1+14.1694915625675i</v>
      </c>
      <c r="AD317" s="734">
        <f t="shared" si="237"/>
        <v>14.204734814197398</v>
      </c>
      <c r="AE317" s="735">
        <f t="shared" si="238"/>
        <v>1.5003389852567683</v>
      </c>
      <c r="AF317" s="732" t="str">
        <f t="shared" si="239"/>
        <v>0.291481060866019-4.17195349363777i</v>
      </c>
      <c r="AG317" s="337">
        <f t="shared" si="240"/>
        <v>4.1821235230346767</v>
      </c>
      <c r="AH317" s="730">
        <f t="shared" si="241"/>
        <v>-1.5010428719980153</v>
      </c>
      <c r="AI317" s="731" t="str">
        <f t="shared" si="219"/>
        <v>10000</v>
      </c>
      <c r="AJ317" s="733" t="str">
        <f t="shared" si="242"/>
        <v>1+132446.746651336i</v>
      </c>
      <c r="AK317" s="734">
        <f t="shared" si="243"/>
        <v>132446.74665511108</v>
      </c>
      <c r="AL317" s="735">
        <f t="shared" si="244"/>
        <v>1.5707887765905673</v>
      </c>
      <c r="AM317" s="340" t="str">
        <f t="shared" si="245"/>
        <v>1+224.777347815983i</v>
      </c>
      <c r="AN317" s="734">
        <f t="shared" si="246"/>
        <v>224.77957222841093</v>
      </c>
      <c r="AO317" s="735">
        <f t="shared" si="247"/>
        <v>1.5663475092766643</v>
      </c>
      <c r="AP317" s="733" t="str">
        <f t="shared" si="248"/>
        <v>1+10.9020718764928i</v>
      </c>
      <c r="AQ317" s="734">
        <f t="shared" si="249"/>
        <v>10.947838654283101</v>
      </c>
      <c r="AR317" s="735">
        <f t="shared" si="250"/>
        <v>1.479326599682425</v>
      </c>
      <c r="AS317" s="732" t="str">
        <f t="shared" si="251"/>
        <v>0.00546513035185478-10.4547872847536i</v>
      </c>
      <c r="AT317" s="337">
        <f t="shared" si="252"/>
        <v>10.454788713173274</v>
      </c>
      <c r="AU317" s="730">
        <f t="shared" si="253"/>
        <v>-1.570273587335431</v>
      </c>
      <c r="AV317" s="732" t="str">
        <f t="shared" si="254"/>
        <v>-0.680657714342038+0.0792979400571776i</v>
      </c>
      <c r="AW317" s="337">
        <f t="shared" si="255"/>
        <v>-3.2828755312583575</v>
      </c>
      <c r="AX317" s="730">
        <f t="shared" si="256"/>
        <v>173.35488687847149</v>
      </c>
      <c r="AY317" s="360">
        <f t="shared" si="257"/>
        <v>-6.6451131215285102</v>
      </c>
      <c r="BB317" s="337">
        <f t="shared" si="258"/>
        <v>-19.613694793282285</v>
      </c>
      <c r="BC317" s="730">
        <f t="shared" si="259"/>
        <v>-89.970049235187673</v>
      </c>
      <c r="BD317" s="351"/>
      <c r="BE317" s="337">
        <f t="shared" si="220"/>
        <v>37.898188901566485</v>
      </c>
      <c r="BF317" s="730">
        <f t="shared" si="221"/>
        <v>-88.427482168130894</v>
      </c>
      <c r="BI317" s="351"/>
      <c r="BJ317" s="351"/>
      <c r="BL317" s="405">
        <f t="shared" si="222"/>
        <v>0</v>
      </c>
      <c r="BM317" s="405">
        <f t="shared" si="260"/>
        <v>0</v>
      </c>
      <c r="BN317" s="405">
        <f t="shared" si="223"/>
        <v>0</v>
      </c>
      <c r="BO317" s="405">
        <f t="shared" si="224"/>
        <v>0</v>
      </c>
    </row>
    <row r="318" spans="4:67" ht="13.5" thickBot="1" x14ac:dyDescent="0.25">
      <c r="D318" s="345">
        <v>22517.5</v>
      </c>
      <c r="E318" s="340" t="str">
        <f t="shared" si="211"/>
        <v>0.373511490407659i</v>
      </c>
      <c r="F318" s="728" t="str">
        <f t="shared" si="225"/>
        <v>0.005-0.115869764749017i</v>
      </c>
      <c r="G318" s="337" t="str">
        <f t="shared" si="226"/>
        <v>0.005-0.181232196145898i</v>
      </c>
      <c r="H318" s="338" t="str">
        <f t="shared" si="227"/>
        <v>0.031071200780756-0.175881094152624i</v>
      </c>
      <c r="I318" s="338" t="str">
        <f t="shared" si="228"/>
        <v>0.041071200780756-0.175881094152624i</v>
      </c>
      <c r="J318" s="337" t="str">
        <f t="shared" si="229"/>
        <v>0.0082019307623872-0.0704430412841833i</v>
      </c>
      <c r="K318" s="338" t="str">
        <f t="shared" si="212"/>
        <v>0.994366246597222-0.117901354295347i</v>
      </c>
      <c r="L318" s="732"/>
      <c r="M318" s="732" t="str">
        <f t="shared" si="213"/>
        <v>2.10585607521103-77.813206826645i</v>
      </c>
      <c r="N318" s="337">
        <f t="shared" si="214"/>
        <v>0</v>
      </c>
      <c r="O318" s="730" t="str">
        <f t="shared" si="215"/>
        <v>-2.63869767433101-30.450983939126i</v>
      </c>
      <c r="P318" s="731" t="str">
        <f t="shared" si="216"/>
        <v>-5.46412685521963-0.786561441236096i</v>
      </c>
      <c r="Q318" s="729" t="str">
        <f t="shared" si="217"/>
        <v>-5.43773987847632-0.482051601844833i</v>
      </c>
      <c r="R318" s="730"/>
      <c r="S318" s="405" t="str">
        <f t="shared" si="230"/>
        <v>39.803426079737-2.92408782377157i</v>
      </c>
      <c r="T318" s="405" t="str">
        <f t="shared" si="231"/>
        <v>15.3985172476795-2.91078634999759i</v>
      </c>
      <c r="U318" s="405" t="str">
        <f t="shared" si="232"/>
        <v>-0.0335018669535165-2.79874968896059i</v>
      </c>
      <c r="V318" s="731" t="str">
        <f t="shared" si="218"/>
        <v>6000</v>
      </c>
      <c r="W318" s="733" t="str">
        <f>IMSUM(COMPLEX(1,0),IMDIV(COMPLEX(0,2*PI()*D318),COMPLEX(2*PI()*'Stability Calculations'!EA_Pole1,0)))</f>
        <v>1+142896.44140596i</v>
      </c>
      <c r="X318" s="734">
        <f t="shared" si="233"/>
        <v>142896.44140945908</v>
      </c>
      <c r="Y318" s="735">
        <f t="shared" si="234"/>
        <v>1.5707893287199961</v>
      </c>
      <c r="Z318" s="340" t="str">
        <f>IMSUM(COMPLEX(1,0),IMDIV(COMPLEX(0,2*PI()*D318),COMPLEX(2*PI()*'Stability Calculations'!EA_Zero1,0)))</f>
        <v>1+1414.81625154416i</v>
      </c>
      <c r="AA318" s="734">
        <f t="shared" si="235"/>
        <v>1414.8166049468985</v>
      </c>
      <c r="AB318" s="735">
        <f t="shared" si="236"/>
        <v>1.5700895213476282</v>
      </c>
      <c r="AC318" s="733" t="str">
        <f>IMSUM(COMPLEX(1,0),IMDIV(COMPLEX(0,2*PI()*D318),COMPLEX(2*PI()*'Stability Calculations'!EA_Pole2,0)))</f>
        <v>1+14.2520894385185i</v>
      </c>
      <c r="AD318" s="734">
        <f t="shared" si="237"/>
        <v>14.287128940537023</v>
      </c>
      <c r="AE318" s="735">
        <f t="shared" si="238"/>
        <v>1.5007459818713353</v>
      </c>
      <c r="AF318" s="732" t="str">
        <f t="shared" si="239"/>
        <v>0.288128802160978-4.14801018039168i</v>
      </c>
      <c r="AG318" s="337">
        <f t="shared" si="240"/>
        <v>4.1580051302599106</v>
      </c>
      <c r="AH318" s="730">
        <f t="shared" si="241"/>
        <v>-1.501445789243703</v>
      </c>
      <c r="AI318" s="731" t="str">
        <f t="shared" si="219"/>
        <v>10000</v>
      </c>
      <c r="AJ318" s="733" t="str">
        <f t="shared" si="242"/>
        <v>1+133218.815282148i</v>
      </c>
      <c r="AK318" s="734">
        <f t="shared" si="243"/>
        <v>133218.81528590122</v>
      </c>
      <c r="AL318" s="735">
        <f t="shared" si="244"/>
        <v>1.5707888203477189</v>
      </c>
      <c r="AM318" s="340" t="str">
        <f t="shared" si="245"/>
        <v>1+226.087636996757i</v>
      </c>
      <c r="AN318" s="734">
        <f t="shared" si="246"/>
        <v>226.08984851774605</v>
      </c>
      <c r="AO318" s="735">
        <f t="shared" si="247"/>
        <v>1.5663732920275113</v>
      </c>
      <c r="AP318" s="733" t="str">
        <f t="shared" si="248"/>
        <v>1+10.9656230615503i</v>
      </c>
      <c r="AQ318" s="734">
        <f t="shared" si="249"/>
        <v>11.01112569758441</v>
      </c>
      <c r="AR318" s="735">
        <f t="shared" si="250"/>
        <v>1.4798537853137335</v>
      </c>
      <c r="AS318" s="732" t="str">
        <f t="shared" si="251"/>
        <v>0.00540196768746749-10.3941966773818i</v>
      </c>
      <c r="AT318" s="337">
        <f t="shared" si="252"/>
        <v>10.394198081109948</v>
      </c>
      <c r="AU318" s="730">
        <f t="shared" si="253"/>
        <v>-1.5702766168674456</v>
      </c>
      <c r="AV318" s="732" t="str">
        <f t="shared" si="254"/>
        <v>-0.6726693440107+0.0790331441149714i</v>
      </c>
      <c r="AW318" s="337">
        <f t="shared" si="255"/>
        <v>-3.3844258787242021</v>
      </c>
      <c r="AX318" s="730">
        <f t="shared" si="256"/>
        <v>173.29893656779035</v>
      </c>
      <c r="AY318" s="360">
        <f t="shared" si="257"/>
        <v>-6.7010634322096507</v>
      </c>
      <c r="BB318" s="337">
        <f t="shared" si="258"/>
        <v>-19.664180222625504</v>
      </c>
      <c r="BC318" s="730">
        <f t="shared" si="259"/>
        <v>-89.970222814586009</v>
      </c>
      <c r="BD318" s="351"/>
      <c r="BE318" s="337">
        <f t="shared" si="220"/>
        <v>37.824245901496539</v>
      </c>
      <c r="BF318" s="730">
        <f t="shared" si="221"/>
        <v>-88.44978472483875</v>
      </c>
      <c r="BI318" s="351"/>
      <c r="BJ318" s="351"/>
      <c r="BL318" s="405">
        <f t="shared" si="222"/>
        <v>0</v>
      </c>
      <c r="BM318" s="405">
        <f t="shared" si="260"/>
        <v>0</v>
      </c>
      <c r="BN318" s="405">
        <f t="shared" si="223"/>
        <v>0</v>
      </c>
      <c r="BO318" s="405">
        <f t="shared" si="224"/>
        <v>0</v>
      </c>
    </row>
    <row r="319" spans="4:67" ht="13.5" thickBot="1" x14ac:dyDescent="0.25">
      <c r="D319" s="345">
        <v>22648</v>
      </c>
      <c r="E319" s="340" t="str">
        <f t="shared" si="211"/>
        <v>0.375676173409689i</v>
      </c>
      <c r="F319" s="728" t="str">
        <f t="shared" si="225"/>
        <v>0.005-0.115202111786294i</v>
      </c>
      <c r="G319" s="337" t="str">
        <f t="shared" si="226"/>
        <v>0.005-0.180187918434973i</v>
      </c>
      <c r="H319" s="338" t="str">
        <f t="shared" si="227"/>
        <v>0.0307777651020257-0.174910929878365i</v>
      </c>
      <c r="I319" s="338" t="str">
        <f t="shared" si="228"/>
        <v>0.0407777651020257-0.174910929878365i</v>
      </c>
      <c r="J319" s="337" t="str">
        <f t="shared" si="229"/>
        <v>0.00815530147443194-0.0700401161892679i</v>
      </c>
      <c r="K319" s="338" t="str">
        <f t="shared" si="212"/>
        <v>0.994300756622222-0.118584650697503i</v>
      </c>
      <c r="L319" s="732"/>
      <c r="M319" s="732" t="str">
        <f t="shared" si="213"/>
        <v>2.05889284723477-77.161082768187i</v>
      </c>
      <c r="N319" s="337">
        <f t="shared" si="214"/>
        <v>0</v>
      </c>
      <c r="O319" s="730" t="str">
        <f t="shared" si="215"/>
        <v>-2.61663503652064-30.1918226911046i</v>
      </c>
      <c r="P319" s="731" t="str">
        <f t="shared" si="216"/>
        <v>-5.38758031050078-0.773476986309737i</v>
      </c>
      <c r="Q319" s="729" t="str">
        <f t="shared" si="217"/>
        <v>-5.36141396013557-0.471558759398691i</v>
      </c>
      <c r="R319" s="730"/>
      <c r="S319" s="405" t="str">
        <f t="shared" si="230"/>
        <v>39.8016736789475-2.96157813586977i</v>
      </c>
      <c r="T319" s="405" t="str">
        <f t="shared" si="231"/>
        <v>15.3953917780453-2.9193389951961i</v>
      </c>
      <c r="U319" s="405" t="str">
        <f t="shared" si="232"/>
        <v>-0.0367885464815858-2.78267302158696i</v>
      </c>
      <c r="V319" s="731" t="str">
        <f t="shared" si="218"/>
        <v>6000</v>
      </c>
      <c r="W319" s="733" t="str">
        <f>IMSUM(COMPLEX(1,0),IMDIV(COMPLEX(0,2*PI()*D319),COMPLEX(2*PI()*'Stability Calculations'!EA_Pole1,0)))</f>
        <v>1+143724.596645373i</v>
      </c>
      <c r="X319" s="734">
        <f t="shared" si="233"/>
        <v>143724.59664885188</v>
      </c>
      <c r="Y319" s="735">
        <f t="shared" si="234"/>
        <v>1.5707893690435908</v>
      </c>
      <c r="Z319" s="340" t="str">
        <f>IMSUM(COMPLEX(1,0),IMDIV(COMPLEX(0,2*PI()*D319),COMPLEX(2*PI()*'Stability Calculations'!EA_Zero1,0)))</f>
        <v>1+1423.01580837003i</v>
      </c>
      <c r="AA319" s="734">
        <f t="shared" si="235"/>
        <v>1423.0161597364274</v>
      </c>
      <c r="AB319" s="735">
        <f t="shared" si="236"/>
        <v>1.5700935940286778</v>
      </c>
      <c r="AC319" s="733" t="str">
        <f>IMSUM(COMPLEX(1,0),IMDIV(COMPLEX(0,2*PI()*D319),COMPLEX(2*PI()*'Stability Calculations'!EA_Pole2,0)))</f>
        <v>1+14.3346873144695i</v>
      </c>
      <c r="AD319" s="734">
        <f t="shared" si="237"/>
        <v>14.369525406345639</v>
      </c>
      <c r="AE319" s="735">
        <f t="shared" si="238"/>
        <v>1.5011483110236961</v>
      </c>
      <c r="AF319" s="732" t="str">
        <f t="shared" si="239"/>
        <v>0.284833950277456-4.12433878984517i</v>
      </c>
      <c r="AG319" s="337">
        <f t="shared" si="240"/>
        <v>4.1341626519347523</v>
      </c>
      <c r="AH319" s="730">
        <f t="shared" si="241"/>
        <v>-1.5018440860386091</v>
      </c>
      <c r="AI319" s="731" t="str">
        <f t="shared" si="219"/>
        <v>10000</v>
      </c>
      <c r="AJ319" s="733" t="str">
        <f t="shared" si="242"/>
        <v>1+133990.883912961i</v>
      </c>
      <c r="AK319" s="734">
        <f t="shared" si="243"/>
        <v>133990.8839166926</v>
      </c>
      <c r="AL319" s="735">
        <f t="shared" si="244"/>
        <v>1.5707888636006047</v>
      </c>
      <c r="AM319" s="340" t="str">
        <f t="shared" si="245"/>
        <v>1+227.397926177531i</v>
      </c>
      <c r="AN319" s="734">
        <f t="shared" si="246"/>
        <v>227.40012495564253</v>
      </c>
      <c r="AO319" s="735">
        <f t="shared" si="247"/>
        <v>1.5663987776586532</v>
      </c>
      <c r="AP319" s="733" t="str">
        <f t="shared" si="248"/>
        <v>1+11.0291742466078i</v>
      </c>
      <c r="AQ319" s="734">
        <f t="shared" si="249"/>
        <v>11.074415766171898</v>
      </c>
      <c r="AR319" s="735">
        <f t="shared" si="250"/>
        <v>1.4803749453774522</v>
      </c>
      <c r="AS319" s="732" t="str">
        <f t="shared" si="251"/>
        <v>0.00533989372239932-10.3343043275066i</v>
      </c>
      <c r="AT319" s="337">
        <f t="shared" si="252"/>
        <v>10.334305707109047</v>
      </c>
      <c r="AU319" s="730">
        <f t="shared" si="253"/>
        <v>-1.5702796114865478</v>
      </c>
      <c r="AV319" s="732" t="str">
        <f t="shared" si="254"/>
        <v>-0.664819169143826+0.078767797641422i</v>
      </c>
      <c r="AW319" s="337">
        <f t="shared" si="255"/>
        <v>-3.4853890974926665</v>
      </c>
      <c r="AX319" s="730">
        <f t="shared" si="256"/>
        <v>173.24309334990718</v>
      </c>
      <c r="AY319" s="360">
        <f t="shared" si="257"/>
        <v>-6.7569066500928159</v>
      </c>
      <c r="BB319" s="337">
        <f t="shared" si="258"/>
        <v>-19.714373907971343</v>
      </c>
      <c r="BC319" s="730">
        <f t="shared" si="259"/>
        <v>-89.970394393621817</v>
      </c>
      <c r="BD319" s="351"/>
      <c r="BE319" s="337">
        <f t="shared" si="220"/>
        <v>37.751057277090389</v>
      </c>
      <c r="BF319" s="730">
        <f t="shared" si="221"/>
        <v>-88.471536664672144</v>
      </c>
      <c r="BI319" s="351"/>
      <c r="BJ319" s="351"/>
      <c r="BL319" s="405">
        <f t="shared" si="222"/>
        <v>0</v>
      </c>
      <c r="BM319" s="405">
        <f t="shared" si="260"/>
        <v>0</v>
      </c>
      <c r="BN319" s="405">
        <f t="shared" si="223"/>
        <v>0</v>
      </c>
      <c r="BO319" s="405">
        <f t="shared" si="224"/>
        <v>0</v>
      </c>
    </row>
    <row r="320" spans="4:67" ht="13.5" thickBot="1" x14ac:dyDescent="0.25">
      <c r="D320" s="345">
        <v>22778.5</v>
      </c>
      <c r="E320" s="340" t="str">
        <f t="shared" si="211"/>
        <v>0.377840856411718i</v>
      </c>
      <c r="F320" s="728" t="str">
        <f t="shared" si="225"/>
        <v>0.005-0.114542108906907i</v>
      </c>
      <c r="G320" s="337" t="str">
        <f t="shared" si="226"/>
        <v>0.005-0.179155606239009i</v>
      </c>
      <c r="H320" s="338" t="str">
        <f t="shared" si="227"/>
        <v>0.0304892167448876-0.173951165195999i</v>
      </c>
      <c r="I320" s="338" t="str">
        <f t="shared" si="228"/>
        <v>0.0404892167448876-0.173951165195999i</v>
      </c>
      <c r="J320" s="337" t="str">
        <f t="shared" si="229"/>
        <v>0.00810946738641441-0.0696417641164788i</v>
      </c>
      <c r="K320" s="338" t="str">
        <f t="shared" si="212"/>
        <v>0.994234888197222-0.119267947099659i</v>
      </c>
      <c r="L320" s="732"/>
      <c r="M320" s="732" t="str">
        <f t="shared" si="213"/>
        <v>2.0134509157304-76.5209002071712i</v>
      </c>
      <c r="N320" s="337">
        <f t="shared" si="214"/>
        <v>0</v>
      </c>
      <c r="O320" s="730" t="str">
        <f t="shared" si="215"/>
        <v>-2.5948707198854-29.9374722716174i</v>
      </c>
      <c r="P320" s="731" t="str">
        <f t="shared" si="216"/>
        <v>-5.31272246767317-0.760764018342531i</v>
      </c>
      <c r="Q320" s="729" t="str">
        <f t="shared" si="217"/>
        <v>-5.28677376047432-0.461389295626356i</v>
      </c>
      <c r="R320" s="730"/>
      <c r="S320" s="405" t="str">
        <f t="shared" si="230"/>
        <v>39.799863068708-2.9989525479263i</v>
      </c>
      <c r="T320" s="405" t="str">
        <f t="shared" si="231"/>
        <v>15.3922673233866-2.92793383521018i</v>
      </c>
      <c r="U320" s="405" t="str">
        <f t="shared" si="232"/>
        <v>-0.0400193276336181-2.76677324522783i</v>
      </c>
      <c r="V320" s="731" t="str">
        <f t="shared" si="218"/>
        <v>6000</v>
      </c>
      <c r="W320" s="733" t="str">
        <f>IMSUM(COMPLEX(1,0),IMDIV(COMPLEX(0,2*PI()*D320),COMPLEX(2*PI()*'Stability Calculations'!EA_Pole1,0)))</f>
        <v>1+144552.751884786i</v>
      </c>
      <c r="X320" s="734">
        <f t="shared" si="233"/>
        <v>144552.75188824497</v>
      </c>
      <c r="Y320" s="735">
        <f t="shared" si="234"/>
        <v>1.5707894089051508</v>
      </c>
      <c r="Z320" s="340" t="str">
        <f>IMSUM(COMPLEX(1,0),IMDIV(COMPLEX(0,2*PI()*D320),COMPLEX(2*PI()*'Stability Calculations'!EA_Zero1,0)))</f>
        <v>1+1431.2153651959i</v>
      </c>
      <c r="AA320" s="734">
        <f t="shared" si="235"/>
        <v>1431.2157145492895</v>
      </c>
      <c r="AB320" s="735">
        <f t="shared" si="236"/>
        <v>1.5700976200442653</v>
      </c>
      <c r="AC320" s="733" t="str">
        <f>IMSUM(COMPLEX(1,0),IMDIV(COMPLEX(0,2*PI()*D320),COMPLEX(2*PI()*'Stability Calculations'!EA_Pole2,0)))</f>
        <v>1+14.4172851904205i</v>
      </c>
      <c r="AD320" s="734">
        <f t="shared" si="237"/>
        <v>14.451924171608372</v>
      </c>
      <c r="AE320" s="735">
        <f t="shared" si="238"/>
        <v>1.5015460524181665</v>
      </c>
      <c r="AF320" s="732" t="str">
        <f t="shared" si="239"/>
        <v>0.2815952039722-4.10093473864777i</v>
      </c>
      <c r="AG320" s="337">
        <f t="shared" si="240"/>
        <v>4.1105913917036556</v>
      </c>
      <c r="AH320" s="730">
        <f t="shared" si="241"/>
        <v>-1.5022378412790522</v>
      </c>
      <c r="AI320" s="731" t="str">
        <f t="shared" si="219"/>
        <v>10000</v>
      </c>
      <c r="AJ320" s="733" t="str">
        <f t="shared" si="242"/>
        <v>1+134762.952543773i</v>
      </c>
      <c r="AK320" s="734">
        <f t="shared" si="243"/>
        <v>134762.9525474832</v>
      </c>
      <c r="AL320" s="735">
        <f t="shared" si="244"/>
        <v>1.5707889063578915</v>
      </c>
      <c r="AM320" s="340" t="str">
        <f t="shared" si="245"/>
        <v>1+228.708215358305i</v>
      </c>
      <c r="AN320" s="734">
        <f t="shared" si="246"/>
        <v>228.71040153954701</v>
      </c>
      <c r="AO320" s="735">
        <f t="shared" si="247"/>
        <v>1.5664239712766321</v>
      </c>
      <c r="AP320" s="733" t="str">
        <f t="shared" si="248"/>
        <v>1+11.0927254316653i</v>
      </c>
      <c r="AQ320" s="734">
        <f t="shared" si="249"/>
        <v>11.13770880847197</v>
      </c>
      <c r="AR320" s="735">
        <f t="shared" si="250"/>
        <v>1.4808901823137897</v>
      </c>
      <c r="AS320" s="732" t="str">
        <f t="shared" si="251"/>
        <v>0.00527888357925602-10.2750982340077i</v>
      </c>
      <c r="AT320" s="337">
        <f t="shared" si="252"/>
        <v>10.275099590034152</v>
      </c>
      <c r="AU320" s="730">
        <f t="shared" si="253"/>
        <v>-1.5702825717927944</v>
      </c>
      <c r="AV320" s="732" t="str">
        <f t="shared" si="254"/>
        <v>-0.657104018369181+0.078501994401386i</v>
      </c>
      <c r="AW320" s="337">
        <f t="shared" si="255"/>
        <v>-3.5857720067005836</v>
      </c>
      <c r="AX320" s="730">
        <f t="shared" si="256"/>
        <v>173.18735522829255</v>
      </c>
      <c r="AY320" s="360">
        <f t="shared" si="257"/>
        <v>-6.8126447717074541</v>
      </c>
      <c r="BB320" s="337">
        <f t="shared" si="258"/>
        <v>-19.764279201801465</v>
      </c>
      <c r="BC320" s="730">
        <f t="shared" si="259"/>
        <v>-89.970564006675815</v>
      </c>
      <c r="BD320" s="351"/>
      <c r="BE320" s="337">
        <f t="shared" si="220"/>
        <v>37.67860718177851</v>
      </c>
      <c r="BF320" s="730">
        <f t="shared" si="221"/>
        <v>-88.492756527729966</v>
      </c>
      <c r="BI320" s="351"/>
      <c r="BJ320" s="351"/>
      <c r="BL320" s="405">
        <f t="shared" si="222"/>
        <v>0</v>
      </c>
      <c r="BM320" s="405">
        <f t="shared" si="260"/>
        <v>0</v>
      </c>
      <c r="BN320" s="405">
        <f t="shared" si="223"/>
        <v>0</v>
      </c>
      <c r="BO320" s="405">
        <f t="shared" si="224"/>
        <v>0</v>
      </c>
    </row>
    <row r="321" spans="4:67" ht="13.5" thickBot="1" x14ac:dyDescent="0.25">
      <c r="D321" s="345">
        <v>22909</v>
      </c>
      <c r="E321" s="340" t="str">
        <f t="shared" si="211"/>
        <v>0.380005539413748i</v>
      </c>
      <c r="F321" s="728" t="str">
        <f t="shared" si="225"/>
        <v>0.005-0.113889625375878i</v>
      </c>
      <c r="G321" s="337" t="str">
        <f t="shared" si="226"/>
        <v>0.005-0.178135055075091i</v>
      </c>
      <c r="H321" s="338" t="str">
        <f t="shared" si="227"/>
        <v>0.0302054485522456-0.173001638008135i</v>
      </c>
      <c r="I321" s="338" t="str">
        <f t="shared" si="228"/>
        <v>0.0402054485522456-0.173001638008135i</v>
      </c>
      <c r="J321" s="337" t="str">
        <f t="shared" si="229"/>
        <v>0.00806441052569389-0.0692479079362202i</v>
      </c>
      <c r="K321" s="338" t="str">
        <f t="shared" si="212"/>
        <v>0.994168641322222-0.119951243501814i</v>
      </c>
      <c r="L321" s="732"/>
      <c r="M321" s="732" t="str">
        <f t="shared" si="213"/>
        <v>1.96946673894212-75.8923193601632i</v>
      </c>
      <c r="N321" s="337">
        <f t="shared" si="214"/>
        <v>0</v>
      </c>
      <c r="O321" s="730" t="str">
        <f t="shared" si="215"/>
        <v>-2.57340221203071-29.6877938539387i</v>
      </c>
      <c r="P321" s="731" t="str">
        <f t="shared" si="216"/>
        <v>-5.23950175581929-0.748408270489135i</v>
      </c>
      <c r="Q321" s="729" t="str">
        <f t="shared" si="217"/>
        <v>-5.21376773369898-0.451530331949748i</v>
      </c>
      <c r="R321" s="730"/>
      <c r="S321" s="405" t="str">
        <f t="shared" si="230"/>
        <v>39.7979950458925-3.036212900007i</v>
      </c>
      <c r="T321" s="405" t="str">
        <f t="shared" si="231"/>
        <v>15.3891435706953-2.93657012250751i</v>
      </c>
      <c r="U321" s="405" t="str">
        <f t="shared" si="232"/>
        <v>-0.0431954569317928-2.75104746302812i</v>
      </c>
      <c r="V321" s="731" t="str">
        <f t="shared" si="218"/>
        <v>6000</v>
      </c>
      <c r="W321" s="733" t="str">
        <f>IMSUM(COMPLEX(1,0),IMDIV(COMPLEX(0,2*PI()*D321),COMPLEX(2*PI()*'Stability Calculations'!EA_Pole1,0)))</f>
        <v>1+145380.907124199i</v>
      </c>
      <c r="X321" s="734">
        <f t="shared" si="233"/>
        <v>145380.90712763823</v>
      </c>
      <c r="Y321" s="735">
        <f t="shared" si="234"/>
        <v>1.5707894483125719</v>
      </c>
      <c r="Z321" s="340" t="str">
        <f>IMSUM(COMPLEX(1,0),IMDIV(COMPLEX(0,2*PI()*D321),COMPLEX(2*PI()*'Stability Calculations'!EA_Zero1,0)))</f>
        <v>1+1439.41492202177i</v>
      </c>
      <c r="AA321" s="734">
        <f t="shared" si="235"/>
        <v>1439.4152693850856</v>
      </c>
      <c r="AB321" s="735">
        <f t="shared" si="236"/>
        <v>1.5701016001918726</v>
      </c>
      <c r="AC321" s="733" t="str">
        <f>IMSUM(COMPLEX(1,0),IMDIV(COMPLEX(0,2*PI()*D321),COMPLEX(2*PI()*'Stability Calculations'!EA_Pole2,0)))</f>
        <v>1+14.4998830663716i</v>
      </c>
      <c r="AD321" s="734">
        <f t="shared" si="237"/>
        <v>14.534325197216756</v>
      </c>
      <c r="AE321" s="735">
        <f t="shared" si="238"/>
        <v>1.5019392839574404</v>
      </c>
      <c r="AF321" s="732" t="str">
        <f t="shared" si="239"/>
        <v>0.278411298604794-4.07779354535999i</v>
      </c>
      <c r="AG321" s="337">
        <f t="shared" si="240"/>
        <v>4.0872867589356146</v>
      </c>
      <c r="AH321" s="730">
        <f t="shared" si="241"/>
        <v>-1.5026271320781401</v>
      </c>
      <c r="AI321" s="731" t="str">
        <f t="shared" si="219"/>
        <v>10000</v>
      </c>
      <c r="AJ321" s="733" t="str">
        <f t="shared" si="242"/>
        <v>1+135535.021174586i</v>
      </c>
      <c r="AK321" s="734">
        <f t="shared" si="243"/>
        <v>135535.02117827508</v>
      </c>
      <c r="AL321" s="735">
        <f t="shared" si="244"/>
        <v>1.5707889486280486</v>
      </c>
      <c r="AM321" s="340" t="str">
        <f t="shared" si="245"/>
        <v>1+230.018504539079i</v>
      </c>
      <c r="AN321" s="734">
        <f t="shared" si="246"/>
        <v>230.0206782669643</v>
      </c>
      <c r="AO321" s="735">
        <f t="shared" si="247"/>
        <v>1.5664488778716379</v>
      </c>
      <c r="AP321" s="733" t="str">
        <f t="shared" si="248"/>
        <v>1+11.1562766167228i</v>
      </c>
      <c r="AQ321" s="734">
        <f t="shared" si="249"/>
        <v>11.201004774074329</v>
      </c>
      <c r="AR321" s="735">
        <f t="shared" si="250"/>
        <v>1.4813995962601727</v>
      </c>
      <c r="AS321" s="732" t="str">
        <f t="shared" si="251"/>
        <v>0.00521891308718322-10.2165666692197i</v>
      </c>
      <c r="AT321" s="337">
        <f t="shared" si="252"/>
        <v>10.2165680022043</v>
      </c>
      <c r="AU321" s="730">
        <f t="shared" si="253"/>
        <v>-1.57028549837257</v>
      </c>
      <c r="AV321" s="732" t="str">
        <f t="shared" si="254"/>
        <v>-0.649520810820863+0.0782358235344299i</v>
      </c>
      <c r="AW321" s="337">
        <f t="shared" si="255"/>
        <v>-3.6855813075181736</v>
      </c>
      <c r="AX321" s="730">
        <f t="shared" si="256"/>
        <v>173.1317202557934</v>
      </c>
      <c r="AY321" s="360">
        <f t="shared" si="257"/>
        <v>-6.8682797442066033</v>
      </c>
      <c r="BB321" s="337">
        <f t="shared" si="258"/>
        <v>-19.813899399141707</v>
      </c>
      <c r="BC321" s="730">
        <f t="shared" si="259"/>
        <v>-89.970731687345364</v>
      </c>
      <c r="BD321" s="351"/>
      <c r="BE321" s="337">
        <f t="shared" si="220"/>
        <v>37.606880258617508</v>
      </c>
      <c r="BF321" s="730">
        <f t="shared" si="221"/>
        <v>-88.513462070303376</v>
      </c>
      <c r="BI321" s="351"/>
      <c r="BJ321" s="351"/>
      <c r="BL321" s="405">
        <f t="shared" si="222"/>
        <v>0</v>
      </c>
      <c r="BM321" s="405">
        <f t="shared" si="260"/>
        <v>0</v>
      </c>
      <c r="BN321" s="405">
        <f t="shared" si="223"/>
        <v>0</v>
      </c>
      <c r="BO321" s="405">
        <f t="shared" si="224"/>
        <v>0</v>
      </c>
    </row>
    <row r="322" spans="4:67" ht="13.5" thickBot="1" x14ac:dyDescent="0.25">
      <c r="D322" s="345">
        <v>23042.25</v>
      </c>
      <c r="E322" s="340" t="str">
        <f t="shared" si="211"/>
        <v>0.382215838341107i</v>
      </c>
      <c r="F322" s="728" t="str">
        <f t="shared" si="225"/>
        <v>0.005-0.113231018139982i</v>
      </c>
      <c r="G322" s="337" t="str">
        <f t="shared" si="226"/>
        <v>0.005-0.177104925808689i</v>
      </c>
      <c r="H322" s="338" t="str">
        <f t="shared" si="227"/>
        <v>0.029920524576529-0.172042499957944i</v>
      </c>
      <c r="I322" s="338" t="str">
        <f t="shared" si="228"/>
        <v>0.039920524576529-0.172042499957944i</v>
      </c>
      <c r="J322" s="337" t="str">
        <f t="shared" si="229"/>
        <v>0.00801918800998693-0.0688503127586045i</v>
      </c>
      <c r="K322" s="338" t="str">
        <f t="shared" si="212"/>
        <v>0.99410060794375-0.120648938870299i</v>
      </c>
      <c r="L322" s="732"/>
      <c r="M322" s="732" t="str">
        <f t="shared" si="213"/>
        <v>1.92599719399708-75.2621240723727i</v>
      </c>
      <c r="N322" s="337">
        <f t="shared" si="214"/>
        <v>0</v>
      </c>
      <c r="O322" s="730" t="str">
        <f t="shared" si="215"/>
        <v>-2.55178372328662-29.4375360974932i</v>
      </c>
      <c r="P322" s="731" t="str">
        <f t="shared" si="216"/>
        <v>-5.1663758476544-0.736146632146215i</v>
      </c>
      <c r="Q322" s="729" t="str">
        <f t="shared" si="217"/>
        <v>-5.14085801042153-0.441771271171282i</v>
      </c>
      <c r="R322" s="730"/>
      <c r="S322" s="405" t="str">
        <f t="shared" si="230"/>
        <v>39.7960292234556-3.07414261163637i</v>
      </c>
      <c r="T322" s="405" t="str">
        <f t="shared" si="231"/>
        <v>15.3859543999951-2.94543040681298i</v>
      </c>
      <c r="U322" s="405" t="str">
        <f t="shared" si="232"/>
        <v>-0.0463833838818433-2.73516688208958i</v>
      </c>
      <c r="V322" s="731" t="str">
        <f t="shared" si="218"/>
        <v>6000</v>
      </c>
      <c r="W322" s="733" t="str">
        <f>IMSUM(COMPLEX(1,0),IMDIV(COMPLEX(0,2*PI()*D322),COMPLEX(2*PI()*'Stability Calculations'!EA_Pole1,0)))</f>
        <v>1+146226.513910803i</v>
      </c>
      <c r="X322" s="734">
        <f t="shared" si="233"/>
        <v>146226.51391422236</v>
      </c>
      <c r="Y322" s="735">
        <f t="shared" si="234"/>
        <v>1.5707894880898408</v>
      </c>
      <c r="Z322" s="340" t="str">
        <f>IMSUM(COMPLEX(1,0),IMDIV(COMPLEX(0,2*PI()*D322),COMPLEX(2*PI()*'Stability Calculations'!EA_Zero1,0)))</f>
        <v>1+1447.78726644359i</v>
      </c>
      <c r="AA322" s="734">
        <f t="shared" si="235"/>
        <v>1447.7876117981539</v>
      </c>
      <c r="AB322" s="735">
        <f t="shared" si="236"/>
        <v>1.5701056176940837</v>
      </c>
      <c r="AC322" s="733" t="str">
        <f>IMSUM(COMPLEX(1,0),IMDIV(COMPLEX(0,2*PI()*D322),COMPLEX(2*PI()*'Stability Calculations'!EA_Pole2,0)))</f>
        <v>1+14.5842215105898i</v>
      </c>
      <c r="AD322" s="734">
        <f t="shared" si="237"/>
        <v>14.618464935483145</v>
      </c>
      <c r="AE322" s="735">
        <f t="shared" si="238"/>
        <v>1.5023362276938426</v>
      </c>
      <c r="AF322" s="732" t="str">
        <f t="shared" si="239"/>
        <v>0.275215608924003-4.05443137434718i</v>
      </c>
      <c r="AG322" s="337">
        <f t="shared" si="240"/>
        <v>4.0637614842269185</v>
      </c>
      <c r="AH322" s="730">
        <f t="shared" si="241"/>
        <v>-1.5030200980895994</v>
      </c>
      <c r="AI322" s="731" t="str">
        <f t="shared" si="219"/>
        <v>10000</v>
      </c>
      <c r="AJ322" s="733" t="str">
        <f t="shared" si="242"/>
        <v>1+136323.359450876i</v>
      </c>
      <c r="AK322" s="734">
        <f t="shared" si="243"/>
        <v>136323.35945454377</v>
      </c>
      <c r="AL322" s="735">
        <f t="shared" si="244"/>
        <v>1.5707889912949207</v>
      </c>
      <c r="AM322" s="340" t="str">
        <f t="shared" si="245"/>
        <v>1+231.356405177686i</v>
      </c>
      <c r="AN322" s="734">
        <f t="shared" si="246"/>
        <v>231.35856633533501</v>
      </c>
      <c r="AO322" s="735">
        <f t="shared" si="247"/>
        <v>1.5664740182261161</v>
      </c>
      <c r="AP322" s="733" t="str">
        <f t="shared" si="248"/>
        <v>1+11.221167002998i</v>
      </c>
      <c r="AQ322" s="734">
        <f t="shared" si="249"/>
        <v>11.265637527861932</v>
      </c>
      <c r="AR322" s="735">
        <f t="shared" si="250"/>
        <v>1.4819138383529671</v>
      </c>
      <c r="AS322" s="732" t="str">
        <f t="shared" si="251"/>
        <v>0.00515872719102552-10.1574857719834i</v>
      </c>
      <c r="AT322" s="337">
        <f t="shared" si="252"/>
        <v>10.157487081976104</v>
      </c>
      <c r="AU322" s="730">
        <f t="shared" si="253"/>
        <v>-1.5702884524189646</v>
      </c>
      <c r="AV322" s="732" t="str">
        <f t="shared" si="254"/>
        <v>-0.641910837062355+0.0779637523952276i</v>
      </c>
      <c r="AW322" s="337">
        <f t="shared" si="255"/>
        <v>-3.7869088450796493</v>
      </c>
      <c r="AX322" s="730">
        <f t="shared" si="256"/>
        <v>173.07501735802555</v>
      </c>
      <c r="AY322" s="360">
        <f t="shared" si="257"/>
        <v>-6.9249826419744522</v>
      </c>
      <c r="BB322" s="337">
        <f t="shared" si="258"/>
        <v>-19.864274426509112</v>
      </c>
      <c r="BC322" s="730">
        <f t="shared" si="259"/>
        <v>-89.970900941736261</v>
      </c>
      <c r="BD322" s="351"/>
      <c r="BE322" s="337">
        <f t="shared" si="220"/>
        <v>37.534372573950748</v>
      </c>
      <c r="BF322" s="730">
        <f t="shared" si="221"/>
        <v>-88.534090917864049</v>
      </c>
      <c r="BI322" s="351"/>
      <c r="BJ322" s="351"/>
      <c r="BL322" s="405">
        <f t="shared" si="222"/>
        <v>0</v>
      </c>
      <c r="BM322" s="405">
        <f t="shared" si="260"/>
        <v>0</v>
      </c>
      <c r="BN322" s="405">
        <f t="shared" si="223"/>
        <v>0</v>
      </c>
      <c r="BO322" s="405">
        <f t="shared" si="224"/>
        <v>0</v>
      </c>
    </row>
    <row r="323" spans="4:67" ht="13.5" thickBot="1" x14ac:dyDescent="0.25">
      <c r="D323" s="345">
        <v>23175.5</v>
      </c>
      <c r="E323" s="340" t="str">
        <f t="shared" si="211"/>
        <v>0.384426137268467i</v>
      </c>
      <c r="F323" s="728" t="str">
        <f t="shared" si="225"/>
        <v>0.005-0.112579984368665i</v>
      </c>
      <c r="G323" s="337" t="str">
        <f t="shared" si="226"/>
        <v>0.005-0.176086642217655i</v>
      </c>
      <c r="H323" s="338" t="str">
        <f t="shared" si="227"/>
        <v>0.029640367692696-0.171093704128548i</v>
      </c>
      <c r="I323" s="338" t="str">
        <f t="shared" si="228"/>
        <v>0.039640367692696-0.171093704128548i</v>
      </c>
      <c r="J323" s="337" t="str">
        <f t="shared" si="229"/>
        <v>0.0079747395409905-0.0684572478545521i</v>
      </c>
      <c r="K323" s="338" t="str">
        <f t="shared" si="212"/>
        <v>0.994032179997222-0.121346634238784i</v>
      </c>
      <c r="L323" s="732"/>
      <c r="M323" s="732" t="str">
        <f t="shared" si="213"/>
        <v>1.88392366956586-74.6433493600191i</v>
      </c>
      <c r="N323" s="337">
        <f t="shared" si="214"/>
        <v>0</v>
      </c>
      <c r="O323" s="730" t="str">
        <f t="shared" si="215"/>
        <v>-2.53046778249242-29.1918736540287i</v>
      </c>
      <c r="P323" s="731" t="str">
        <f t="shared" si="216"/>
        <v>-5.09485446725286-0.724229499199841i</v>
      </c>
      <c r="Q323" s="729" t="str">
        <f t="shared" si="217"/>
        <v>-5.06954978942793-0.432310762659557i</v>
      </c>
      <c r="R323" s="730"/>
      <c r="S323" s="405" t="str">
        <f t="shared" si="230"/>
        <v>39.7940051527567-3.11195715698781i</v>
      </c>
      <c r="T323" s="405" t="str">
        <f t="shared" si="231"/>
        <v>15.3827653291358-2.95433237812316i</v>
      </c>
      <c r="U323" s="405" t="str">
        <f t="shared" si="232"/>
        <v>-0.0495168493139482-2.71946179787605i</v>
      </c>
      <c r="V323" s="731" t="str">
        <f t="shared" si="218"/>
        <v>6000</v>
      </c>
      <c r="W323" s="733" t="str">
        <f>IMSUM(COMPLEX(1,0),IMDIV(COMPLEX(0,2*PI()*D323),COMPLEX(2*PI()*'Stability Calculations'!EA_Pole1,0)))</f>
        <v>1+147072.120697406i</v>
      </c>
      <c r="X323" s="734">
        <f t="shared" si="233"/>
        <v>147072.12070080568</v>
      </c>
      <c r="Y323" s="735">
        <f t="shared" si="234"/>
        <v>1.5707895274097021</v>
      </c>
      <c r="Z323" s="340" t="str">
        <f>IMSUM(COMPLEX(1,0),IMDIV(COMPLEX(0,2*PI()*D323),COMPLEX(2*PI()*'Stability Calculations'!EA_Zero1,0)))</f>
        <v>1+1456.15961086541i</v>
      </c>
      <c r="AA323" s="734">
        <f t="shared" si="235"/>
        <v>1456.159954234322</v>
      </c>
      <c r="AB323" s="735">
        <f t="shared" si="236"/>
        <v>1.5701095889982051</v>
      </c>
      <c r="AC323" s="733" t="str">
        <f>IMSUM(COMPLEX(1,0),IMDIV(COMPLEX(0,2*PI()*D323),COMPLEX(2*PI()*'Stability Calculations'!EA_Pole2,0)))</f>
        <v>1+14.668559954808i</v>
      </c>
      <c r="AD323" s="734">
        <f t="shared" si="237"/>
        <v>14.702606950734854</v>
      </c>
      <c r="AE323" s="735">
        <f t="shared" si="238"/>
        <v>1.5027286281277079</v>
      </c>
      <c r="AF323" s="732" t="str">
        <f t="shared" si="239"/>
        <v>0.272074542496262-4.03133412607582i</v>
      </c>
      <c r="AG323" s="337">
        <f t="shared" si="240"/>
        <v>4.0405048437958895</v>
      </c>
      <c r="AH323" s="730">
        <f t="shared" si="241"/>
        <v>-1.503408566539205</v>
      </c>
      <c r="AI323" s="731" t="str">
        <f t="shared" si="219"/>
        <v>10000</v>
      </c>
      <c r="AJ323" s="733" t="str">
        <f t="shared" si="242"/>
        <v>1+137111.697727165i</v>
      </c>
      <c r="AK323" s="734">
        <f t="shared" si="243"/>
        <v>137111.69773081166</v>
      </c>
      <c r="AL323" s="735">
        <f t="shared" si="244"/>
        <v>1.5707890334711572</v>
      </c>
      <c r="AM323" s="340" t="str">
        <f t="shared" si="245"/>
        <v>1+232.694305816292i</v>
      </c>
      <c r="AN323" s="734">
        <f t="shared" si="246"/>
        <v>232.69645454825053</v>
      </c>
      <c r="AO323" s="735">
        <f t="shared" si="247"/>
        <v>1.566498869491685</v>
      </c>
      <c r="AP323" s="733" t="str">
        <f t="shared" si="248"/>
        <v>1+11.2860573892732i</v>
      </c>
      <c r="AQ323" s="734">
        <f t="shared" si="249"/>
        <v>11.330273226801204</v>
      </c>
      <c r="AR323" s="735">
        <f t="shared" si="250"/>
        <v>1.4824222133952418</v>
      </c>
      <c r="AS323" s="732" t="str">
        <f t="shared" si="251"/>
        <v>0.00509957644281147-10.0990842580181i</v>
      </c>
      <c r="AT323" s="337">
        <f t="shared" si="252"/>
        <v>10.099085545544652</v>
      </c>
      <c r="AU323" s="730">
        <f t="shared" si="253"/>
        <v>-1.5702913724961607</v>
      </c>
      <c r="AV323" s="732" t="str">
        <f t="shared" si="254"/>
        <v>-0.634432209456696+0.077691471987763i</v>
      </c>
      <c r="AW323" s="337">
        <f t="shared" si="255"/>
        <v>-3.8876521004195514</v>
      </c>
      <c r="AX323" s="730">
        <f t="shared" si="256"/>
        <v>173.0184180503984</v>
      </c>
      <c r="AY323" s="360">
        <f t="shared" si="257"/>
        <v>-6.9815819496016047</v>
      </c>
      <c r="BB323" s="337">
        <f t="shared" si="258"/>
        <v>-19.91435898078997</v>
      </c>
      <c r="BC323" s="730">
        <f t="shared" si="259"/>
        <v>-89.97106824983544</v>
      </c>
      <c r="BD323" s="351"/>
      <c r="BE323" s="337">
        <f t="shared" si="220"/>
        <v>37.462587979050817</v>
      </c>
      <c r="BF323" s="730">
        <f t="shared" si="221"/>
        <v>-88.554218625424582</v>
      </c>
      <c r="BI323" s="351"/>
      <c r="BJ323" s="351"/>
      <c r="BL323" s="405">
        <f t="shared" si="222"/>
        <v>0</v>
      </c>
      <c r="BM323" s="405">
        <f t="shared" si="260"/>
        <v>0</v>
      </c>
      <c r="BN323" s="405">
        <f t="shared" si="223"/>
        <v>0</v>
      </c>
      <c r="BO323" s="405">
        <f t="shared" si="224"/>
        <v>0</v>
      </c>
    </row>
    <row r="324" spans="4:67" ht="13.5" thickBot="1" x14ac:dyDescent="0.25">
      <c r="D324" s="345">
        <v>23308.75</v>
      </c>
      <c r="E324" s="340" t="str">
        <f t="shared" si="211"/>
        <v>0.386636436195827i</v>
      </c>
      <c r="F324" s="728" t="str">
        <f t="shared" si="225"/>
        <v>0.005-0.111936394175406i</v>
      </c>
      <c r="G324" s="337" t="str">
        <f t="shared" si="226"/>
        <v>0.005-0.175080001146147i</v>
      </c>
      <c r="H324" s="338" t="str">
        <f t="shared" si="227"/>
        <v>0.0293648728815362-0.170155088199228i</v>
      </c>
      <c r="I324" s="338" t="str">
        <f t="shared" si="228"/>
        <v>0.0393648728815362-0.170155088199228i</v>
      </c>
      <c r="J324" s="337" t="str">
        <f t="shared" si="229"/>
        <v>0.00793104755863516-0.0680686365087319i</v>
      </c>
      <c r="K324" s="338" t="str">
        <f t="shared" si="212"/>
        <v>0.993963357482639-0.122044329607268i</v>
      </c>
      <c r="L324" s="732"/>
      <c r="M324" s="732" t="str">
        <f t="shared" si="213"/>
        <v>1.84318831864459-74.0356734389083i</v>
      </c>
      <c r="N324" s="337">
        <f t="shared" si="214"/>
        <v>0</v>
      </c>
      <c r="O324" s="730" t="str">
        <f t="shared" si="215"/>
        <v>-2.50945119116993-28.9506752620111i</v>
      </c>
      <c r="P324" s="731" t="str">
        <f t="shared" si="216"/>
        <v>-5.02488892977752-0.712643762758523i</v>
      </c>
      <c r="Q324" s="729" t="str">
        <f t="shared" si="217"/>
        <v>-4.99979441786582-0.423137010138415i</v>
      </c>
      <c r="R324" s="730"/>
      <c r="S324" s="405" t="str">
        <f t="shared" si="230"/>
        <v>39.7919236131424-3.14965836974291i</v>
      </c>
      <c r="T324" s="405" t="str">
        <f t="shared" si="231"/>
        <v>15.3795760521734-2.96327529004986i</v>
      </c>
      <c r="U324" s="405" t="str">
        <f t="shared" si="232"/>
        <v>-0.0525970725930379-2.7039293218296i</v>
      </c>
      <c r="V324" s="731" t="str">
        <f t="shared" si="218"/>
        <v>6000</v>
      </c>
      <c r="W324" s="733" t="str">
        <f>IMSUM(COMPLEX(1,0),IMDIV(COMPLEX(0,2*PI()*D324),COMPLEX(2*PI()*'Stability Calculations'!EA_Pole1,0)))</f>
        <v>1+147917.727484009i</v>
      </c>
      <c r="X324" s="734">
        <f t="shared" si="233"/>
        <v>147917.72748738926</v>
      </c>
      <c r="Y324" s="735">
        <f t="shared" si="234"/>
        <v>1.5707895662800009</v>
      </c>
      <c r="Z324" s="340" t="str">
        <f>IMSUM(COMPLEX(1,0),IMDIV(COMPLEX(0,2*PI()*D324),COMPLEX(2*PI()*'Stability Calculations'!EA_Zero1,0)))</f>
        <v>1+1464.53195528722i</v>
      </c>
      <c r="AA324" s="734">
        <f t="shared" si="235"/>
        <v>1464.5322966931824</v>
      </c>
      <c r="AB324" s="735">
        <f t="shared" si="236"/>
        <v>1.5701135148965428</v>
      </c>
      <c r="AC324" s="733" t="str">
        <f>IMSUM(COMPLEX(1,0),IMDIV(COMPLEX(0,2*PI()*D324),COMPLEX(2*PI()*'Stability Calculations'!EA_Pole2,0)))</f>
        <v>1+14.752898399026i</v>
      </c>
      <c r="AD324" s="734">
        <f t="shared" si="237"/>
        <v>14.786751204101053</v>
      </c>
      <c r="AE324" s="735">
        <f t="shared" si="238"/>
        <v>1.5031165626983654</v>
      </c>
      <c r="AF324" s="732" t="str">
        <f t="shared" si="239"/>
        <v>0.268986863386528-4.00849734084046i</v>
      </c>
      <c r="AG324" s="337">
        <f t="shared" si="240"/>
        <v>4.017512273061473</v>
      </c>
      <c r="AH324" s="730">
        <f t="shared" si="241"/>
        <v>-1.5037926140818232</v>
      </c>
      <c r="AI324" s="731" t="str">
        <f t="shared" si="219"/>
        <v>10000</v>
      </c>
      <c r="AJ324" s="733" t="str">
        <f t="shared" si="242"/>
        <v>1+137900.036003454i</v>
      </c>
      <c r="AK324" s="734">
        <f t="shared" si="243"/>
        <v>137900.03600707985</v>
      </c>
      <c r="AL324" s="735">
        <f t="shared" si="244"/>
        <v>1.570789075165173</v>
      </c>
      <c r="AM324" s="340" t="str">
        <f t="shared" si="245"/>
        <v>1+234.032206454898i</v>
      </c>
      <c r="AN324" s="734">
        <f t="shared" si="246"/>
        <v>234.0343429032329</v>
      </c>
      <c r="AO324" s="735">
        <f t="shared" si="247"/>
        <v>1.5665234366261589</v>
      </c>
      <c r="AP324" s="733" t="str">
        <f t="shared" si="248"/>
        <v>1+11.3509477755484i</v>
      </c>
      <c r="AQ324" s="734">
        <f t="shared" si="249"/>
        <v>11.394911820774531</v>
      </c>
      <c r="AR324" s="735">
        <f t="shared" si="250"/>
        <v>1.4829248209659711</v>
      </c>
      <c r="AS324" s="732" t="str">
        <f t="shared" si="251"/>
        <v>0.00504143723966564-10.0413504757688i</v>
      </c>
      <c r="AT324" s="337">
        <f t="shared" si="252"/>
        <v>10.041351741339994</v>
      </c>
      <c r="AU324" s="730">
        <f t="shared" si="253"/>
        <v>-1.5702942591867368</v>
      </c>
      <c r="AV324" s="732" t="str">
        <f t="shared" si="254"/>
        <v>-0.627081920787641+0.0774190636567664i</v>
      </c>
      <c r="AW324" s="337">
        <f t="shared" si="255"/>
        <v>-3.9878178439128691</v>
      </c>
      <c r="AX324" s="730">
        <f t="shared" si="256"/>
        <v>172.96192040972073</v>
      </c>
      <c r="AY324" s="360">
        <f t="shared" si="257"/>
        <v>-7.038079590279267</v>
      </c>
      <c r="BB324" s="337">
        <f t="shared" si="258"/>
        <v>-19.964156392646082</v>
      </c>
      <c r="BC324" s="730">
        <f t="shared" si="259"/>
        <v>-89.971233645022224</v>
      </c>
      <c r="BD324" s="351"/>
      <c r="BE324" s="337">
        <f t="shared" si="220"/>
        <v>37.391511582071935</v>
      </c>
      <c r="BF324" s="730">
        <f t="shared" si="221"/>
        <v>-88.573861815072235</v>
      </c>
      <c r="BI324" s="351"/>
      <c r="BJ324" s="351"/>
      <c r="BL324" s="405">
        <f t="shared" si="222"/>
        <v>0</v>
      </c>
      <c r="BM324" s="405">
        <f t="shared" si="260"/>
        <v>0</v>
      </c>
      <c r="BN324" s="405">
        <f t="shared" si="223"/>
        <v>0</v>
      </c>
      <c r="BO324" s="405">
        <f t="shared" si="224"/>
        <v>0</v>
      </c>
    </row>
    <row r="325" spans="4:67" ht="13.5" thickBot="1" x14ac:dyDescent="0.25">
      <c r="D325" s="345">
        <v>23442</v>
      </c>
      <c r="E325" s="340" t="str">
        <f t="shared" si="211"/>
        <v>0.388846735123186i</v>
      </c>
      <c r="F325" s="728" t="str">
        <f t="shared" si="225"/>
        <v>0.005-0.111300120626908i</v>
      </c>
      <c r="G325" s="337" t="str">
        <f t="shared" si="226"/>
        <v>0.005-0.174084804057472i</v>
      </c>
      <c r="H325" s="338" t="str">
        <f t="shared" si="227"/>
        <v>0.0290939379795844-0.169226493133005i</v>
      </c>
      <c r="I325" s="338" t="str">
        <f t="shared" si="228"/>
        <v>0.0390939379795844-0.169226493133005i</v>
      </c>
      <c r="J325" s="337" t="str">
        <f t="shared" si="229"/>
        <v>0.00788809499742076-0.0676844037226275i</v>
      </c>
      <c r="K325" s="338" t="str">
        <f t="shared" si="212"/>
        <v>0.9938941404-0.122742024975753i</v>
      </c>
      <c r="L325" s="732"/>
      <c r="M325" s="732" t="str">
        <f t="shared" si="213"/>
        <v>1.80373620902871-73.4387867175382i</v>
      </c>
      <c r="N325" s="337">
        <f t="shared" si="214"/>
        <v>0</v>
      </c>
      <c r="O325" s="730" t="str">
        <f t="shared" si="215"/>
        <v>-2.48873061959713-28.7138146992929i</v>
      </c>
      <c r="P325" s="731" t="str">
        <f t="shared" si="216"/>
        <v>-4.95643244652268-0.701376935904284i</v>
      </c>
      <c r="Q325" s="729" t="str">
        <f t="shared" si="217"/>
        <v>-4.93154514032671-0.414238788911356i</v>
      </c>
      <c r="R325" s="730"/>
      <c r="S325" s="405" t="str">
        <f t="shared" si="230"/>
        <v>39.7897853622464-3.18724804363389i</v>
      </c>
      <c r="T325" s="405" t="str">
        <f t="shared" si="231"/>
        <v>15.3763862717492-2.97225841197136i</v>
      </c>
      <c r="U325" s="405" t="str">
        <f t="shared" si="232"/>
        <v>-0.0556252392025796-2.68856662772379i</v>
      </c>
      <c r="V325" s="731" t="str">
        <f t="shared" si="218"/>
        <v>6000</v>
      </c>
      <c r="W325" s="733" t="str">
        <f>IMSUM(COMPLEX(1,0),IMDIV(COMPLEX(0,2*PI()*D325),COMPLEX(2*PI()*'Stability Calculations'!EA_Pole1,0)))</f>
        <v>1+148763.334270613i</v>
      </c>
      <c r="X325" s="734">
        <f t="shared" si="233"/>
        <v>148763.33427397406</v>
      </c>
      <c r="Y325" s="735">
        <f t="shared" si="234"/>
        <v>1.5707896047084033</v>
      </c>
      <c r="Z325" s="340" t="str">
        <f>IMSUM(COMPLEX(1,0),IMDIV(COMPLEX(0,2*PI()*D325),COMPLEX(2*PI()*'Stability Calculations'!EA_Zero1,0)))</f>
        <v>1+1472.90429970904i</v>
      </c>
      <c r="AA325" s="734">
        <f t="shared" si="235"/>
        <v>1472.9046391743689</v>
      </c>
      <c r="AB325" s="735">
        <f t="shared" si="236"/>
        <v>1.5701173961633894</v>
      </c>
      <c r="AC325" s="733" t="str">
        <f>IMSUM(COMPLEX(1,0),IMDIV(COMPLEX(0,2*PI()*D325),COMPLEX(2*PI()*'Stability Calculations'!EA_Pole2,0)))</f>
        <v>1+14.8372368432443i</v>
      </c>
      <c r="AD325" s="734">
        <f t="shared" si="237"/>
        <v>14.87089765759035</v>
      </c>
      <c r="AE325" s="735">
        <f t="shared" si="238"/>
        <v>1.5035001070978435</v>
      </c>
      <c r="AF325" s="732" t="str">
        <f t="shared" si="239"/>
        <v>0.265951370366246-3.98591665799654i</v>
      </c>
      <c r="AG325" s="337">
        <f t="shared" si="240"/>
        <v>3.9947793100362867</v>
      </c>
      <c r="AH325" s="730">
        <f t="shared" si="241"/>
        <v>-1.5041723156428575</v>
      </c>
      <c r="AI325" s="731" t="str">
        <f t="shared" si="219"/>
        <v>10000</v>
      </c>
      <c r="AJ325" s="733" t="str">
        <f t="shared" si="242"/>
        <v>1+138688.374279744i</v>
      </c>
      <c r="AK325" s="734">
        <f t="shared" si="243"/>
        <v>138688.3742833492</v>
      </c>
      <c r="AL325" s="735">
        <f t="shared" si="244"/>
        <v>1.5707891163851908</v>
      </c>
      <c r="AM325" s="340" t="str">
        <f t="shared" si="245"/>
        <v>1+235.370107093505i</v>
      </c>
      <c r="AN325" s="734">
        <f t="shared" si="246"/>
        <v>235.37223139786056</v>
      </c>
      <c r="AO325" s="735">
        <f t="shared" si="247"/>
        <v>1.56654772447463</v>
      </c>
      <c r="AP325" s="733" t="str">
        <f t="shared" si="248"/>
        <v>1+11.4158381618236i</v>
      </c>
      <c r="AQ325" s="734">
        <f t="shared" si="249"/>
        <v>11.459553260792852</v>
      </c>
      <c r="AR325" s="735">
        <f t="shared" si="250"/>
        <v>1.4834217584091021</v>
      </c>
      <c r="AS325" s="732" t="str">
        <f t="shared" si="251"/>
        <v>0.00498428664762243-9.98427303860102i</v>
      </c>
      <c r="AT325" s="337">
        <f t="shared" si="252"/>
        <v>9.9842742827132209</v>
      </c>
      <c r="AU325" s="730">
        <f t="shared" si="253"/>
        <v>-1.5702971130600258</v>
      </c>
      <c r="AV325" s="732" t="str">
        <f t="shared" si="254"/>
        <v>-0.619857049462185+0.0771466046103585i</v>
      </c>
      <c r="AW325" s="337">
        <f t="shared" si="255"/>
        <v>-4.0874127290998743</v>
      </c>
      <c r="AX325" s="730">
        <f t="shared" si="256"/>
        <v>172.90552256013726</v>
      </c>
      <c r="AY325" s="360">
        <f t="shared" si="257"/>
        <v>-7.094477439862743</v>
      </c>
      <c r="BB325" s="337">
        <f t="shared" si="258"/>
        <v>-20.013669935779852</v>
      </c>
      <c r="BC325" s="730">
        <f t="shared" si="259"/>
        <v>-89.971397159916947</v>
      </c>
      <c r="BD325" s="351"/>
      <c r="BE325" s="337">
        <f t="shared" si="220"/>
        <v>37.321128943307755</v>
      </c>
      <c r="BF325" s="730">
        <f t="shared" si="221"/>
        <v>-88.593036416796281</v>
      </c>
      <c r="BI325" s="351"/>
      <c r="BJ325" s="351"/>
      <c r="BL325" s="405">
        <f t="shared" si="222"/>
        <v>0</v>
      </c>
      <c r="BM325" s="405">
        <f t="shared" si="260"/>
        <v>0</v>
      </c>
      <c r="BN325" s="405">
        <f t="shared" si="223"/>
        <v>0</v>
      </c>
      <c r="BO325" s="405">
        <f t="shared" si="224"/>
        <v>0</v>
      </c>
    </row>
    <row r="326" spans="4:67" ht="13.5" thickBot="1" x14ac:dyDescent="0.25">
      <c r="D326" s="345">
        <v>23578.5</v>
      </c>
      <c r="E326" s="340" t="str">
        <f t="shared" si="211"/>
        <v>0.391110943780482i</v>
      </c>
      <c r="F326" s="728" t="str">
        <f t="shared" si="225"/>
        <v>0.005-0.110655785047225i</v>
      </c>
      <c r="G326" s="337" t="str">
        <f t="shared" si="226"/>
        <v>0.005-0.173076997125146i</v>
      </c>
      <c r="H326" s="338" t="str">
        <f t="shared" si="227"/>
        <v>0.0288210191141107-0.1682854769931i</v>
      </c>
      <c r="I326" s="338" t="str">
        <f t="shared" si="228"/>
        <v>0.0388210191141107-0.1682854769931i</v>
      </c>
      <c r="J326" s="337" t="str">
        <f t="shared" si="229"/>
        <v>0.00784484416963199-0.0672952628167955i</v>
      </c>
      <c r="K326" s="338" t="str">
        <f t="shared" si="212"/>
        <v>0.993822825975-0.123456737304445i</v>
      </c>
      <c r="L326" s="732"/>
      <c r="M326" s="732" t="str">
        <f t="shared" si="213"/>
        <v>1.76459788572526-72.8382175142698i</v>
      </c>
      <c r="N326" s="337">
        <f t="shared" si="214"/>
        <v>0</v>
      </c>
      <c r="O326" s="730" t="str">
        <f t="shared" si="215"/>
        <v>-2.46780800772333-28.4755479740704i</v>
      </c>
      <c r="P326" s="731" t="str">
        <f t="shared" si="216"/>
        <v>-4.88782399529411-0.690153544479048i</v>
      </c>
      <c r="Q326" s="729" t="str">
        <f t="shared" si="217"/>
        <v>-4.86314591521688-0.405398064738346i</v>
      </c>
      <c r="R326" s="730"/>
      <c r="S326" s="405" t="str">
        <f t="shared" si="230"/>
        <v>39.7875369258238-3.22564072022389i</v>
      </c>
      <c r="T326" s="405" t="str">
        <f t="shared" si="231"/>
        <v>15.3731178676695-2.98150157989156i</v>
      </c>
      <c r="U326" s="405" t="str">
        <f t="shared" si="232"/>
        <v>-0.0586744916201523-2.67300238725472i</v>
      </c>
      <c r="V326" s="731" t="str">
        <f t="shared" si="218"/>
        <v>6000</v>
      </c>
      <c r="W326" s="733" t="str">
        <f>IMSUM(COMPLEX(1,0),IMDIV(COMPLEX(0,2*PI()*D326),COMPLEX(2*PI()*'Stability Calculations'!EA_Pole1,0)))</f>
        <v>1+149629.565612987i</v>
      </c>
      <c r="X326" s="734">
        <f t="shared" si="233"/>
        <v>149629.56561632859</v>
      </c>
      <c r="Y326" s="735">
        <f t="shared" si="234"/>
        <v>1.5707896436237205</v>
      </c>
      <c r="Z326" s="340" t="str">
        <f>IMSUM(COMPLEX(1,0),IMDIV(COMPLEX(0,2*PI()*D326),COMPLEX(2*PI()*'Stability Calculations'!EA_Zero1,0)))</f>
        <v>1+1481.48084765334i</v>
      </c>
      <c r="AA326" s="734">
        <f t="shared" si="235"/>
        <v>1481.4811851534459</v>
      </c>
      <c r="AB326" s="735">
        <f t="shared" si="236"/>
        <v>1.5701213266086242</v>
      </c>
      <c r="AC326" s="733" t="str">
        <f>IMSUM(COMPLEX(1,0),IMDIV(COMPLEX(0,2*PI()*D326),COMPLEX(2*PI()*'Stability Calculations'!EA_Pole2,0)))</f>
        <v>1+14.9236323226873i</v>
      </c>
      <c r="AD326" s="734">
        <f t="shared" si="237"/>
        <v>14.95709870605784</v>
      </c>
      <c r="AE326" s="735">
        <f t="shared" si="238"/>
        <v>1.5038885314816783</v>
      </c>
      <c r="AF326" s="732" t="str">
        <f t="shared" si="239"/>
        <v>0.262894731403694-3.96304631802543i</v>
      </c>
      <c r="AG326" s="337">
        <f t="shared" si="240"/>
        <v>3.9717565079715977</v>
      </c>
      <c r="AH326" s="730">
        <f t="shared" si="241"/>
        <v>-1.5045568484967744</v>
      </c>
      <c r="AI326" s="731" t="str">
        <f t="shared" si="219"/>
        <v>10000</v>
      </c>
      <c r="AJ326" s="733" t="str">
        <f t="shared" si="242"/>
        <v>1+139495.94031887i</v>
      </c>
      <c r="AK326" s="734">
        <f t="shared" si="243"/>
        <v>139495.94032245435</v>
      </c>
      <c r="AL326" s="735">
        <f t="shared" si="244"/>
        <v>1.5707891581274953</v>
      </c>
      <c r="AM326" s="340" t="str">
        <f t="shared" si="245"/>
        <v>1+236.740639455004i</v>
      </c>
      <c r="AN326" s="734">
        <f t="shared" si="246"/>
        <v>236.74275146150552</v>
      </c>
      <c r="AO326" s="735">
        <f t="shared" si="247"/>
        <v>1.5665723200722483</v>
      </c>
      <c r="AP326" s="733" t="str">
        <f t="shared" si="248"/>
        <v>1+11.482311240447i</v>
      </c>
      <c r="AQ326" s="734">
        <f t="shared" si="249"/>
        <v>11.525774222259237</v>
      </c>
      <c r="AR326" s="735">
        <f t="shared" si="250"/>
        <v>1.4839250364898919</v>
      </c>
      <c r="AS326" s="732" t="str">
        <f t="shared" si="251"/>
        <v>0.00492674391897166-9.92647238985872i</v>
      </c>
      <c r="AT326" s="337">
        <f t="shared" si="252"/>
        <v>9.9264736124886319</v>
      </c>
      <c r="AU326" s="730">
        <f t="shared" si="253"/>
        <v>-1.5703000030938949</v>
      </c>
      <c r="AV326" s="732" t="str">
        <f t="shared" si="254"/>
        <v>-0.612583037845759+0.0768675242002507i</v>
      </c>
      <c r="AW326" s="337">
        <f t="shared" si="255"/>
        <v>-4.188851679646957</v>
      </c>
      <c r="AX326" s="730">
        <f t="shared" si="256"/>
        <v>172.84785071230704</v>
      </c>
      <c r="AY326" s="360">
        <f t="shared" si="257"/>
        <v>-7.1521492876929642</v>
      </c>
      <c r="BB326" s="337">
        <f t="shared" si="258"/>
        <v>-20.064100151213538</v>
      </c>
      <c r="BC326" s="730">
        <f t="shared" si="259"/>
        <v>-89.971562746660297</v>
      </c>
      <c r="BD326" s="351"/>
      <c r="BE326" s="337">
        <f t="shared" si="220"/>
        <v>37.249734363440147</v>
      </c>
      <c r="BF326" s="730">
        <f t="shared" si="221"/>
        <v>-88.612208781499518</v>
      </c>
      <c r="BI326" s="351"/>
      <c r="BJ326" s="351"/>
      <c r="BL326" s="405">
        <f t="shared" si="222"/>
        <v>0</v>
      </c>
      <c r="BM326" s="405">
        <f t="shared" si="260"/>
        <v>0</v>
      </c>
      <c r="BN326" s="405">
        <f t="shared" si="223"/>
        <v>0</v>
      </c>
      <c r="BO326" s="405">
        <f t="shared" si="224"/>
        <v>0</v>
      </c>
    </row>
    <row r="327" spans="4:67" ht="13.5" thickBot="1" x14ac:dyDescent="0.25">
      <c r="D327" s="345">
        <v>23715</v>
      </c>
      <c r="E327" s="340" t="str">
        <f t="shared" si="211"/>
        <v>0.393375152437777i</v>
      </c>
      <c r="F327" s="728" t="str">
        <f t="shared" si="225"/>
        <v>0.005-0.110018866866371i</v>
      </c>
      <c r="G327" s="337" t="str">
        <f t="shared" si="226"/>
        <v>0.005-0.17208079176535i</v>
      </c>
      <c r="H327" s="338" t="str">
        <f t="shared" si="227"/>
        <v>0.0285526770668964-0.167354648871337i</v>
      </c>
      <c r="I327" s="338" t="str">
        <f t="shared" si="228"/>
        <v>0.0385526770668964-0.167354648871337i</v>
      </c>
      <c r="J327" s="337" t="str">
        <f t="shared" si="229"/>
        <v>0.00780233453901382-0.0669105626595045i</v>
      </c>
      <c r="K327" s="338" t="str">
        <f t="shared" si="212"/>
        <v>0.9937510975-0.124171449633137i</v>
      </c>
      <c r="L327" s="732"/>
      <c r="M327" s="732" t="str">
        <f t="shared" si="213"/>
        <v>1.72669811352948-72.2483493223257i</v>
      </c>
      <c r="N327" s="337">
        <f t="shared" si="214"/>
        <v>0</v>
      </c>
      <c r="O327" s="730" t="str">
        <f t="shared" si="215"/>
        <v>-2.44718861715654-28.2415803053206i</v>
      </c>
      <c r="P327" s="731" t="str">
        <f t="shared" si="216"/>
        <v>-4.82070542804762-0.67924013362368i</v>
      </c>
      <c r="Q327" s="729" t="str">
        <f t="shared" si="217"/>
        <v>-4.79623354187605-0.396824330570473i</v>
      </c>
      <c r="R327" s="730"/>
      <c r="S327" s="405" t="str">
        <f t="shared" si="230"/>
        <v>39.7852305206807-3.26392003721333i</v>
      </c>
      <c r="T327" s="405" t="str">
        <f t="shared" si="231"/>
        <v>15.3698483299842-2.99078544002265i</v>
      </c>
      <c r="U327" s="405" t="str">
        <f t="shared" si="232"/>
        <v>-0.0616715312312829-2.65761050131554i</v>
      </c>
      <c r="V327" s="731" t="str">
        <f t="shared" si="218"/>
        <v>6000</v>
      </c>
      <c r="W327" s="733" t="str">
        <f>IMSUM(COMPLEX(1,0),IMDIV(COMPLEX(0,2*PI()*D327),COMPLEX(2*PI()*'Stability Calculations'!EA_Pole1,0)))</f>
        <v>1+150495.796955362i</v>
      </c>
      <c r="X327" s="734">
        <f t="shared" si="233"/>
        <v>150495.79695868437</v>
      </c>
      <c r="Y327" s="735">
        <f t="shared" si="234"/>
        <v>1.5707896820910563</v>
      </c>
      <c r="Z327" s="340" t="str">
        <f>IMSUM(COMPLEX(1,0),IMDIV(COMPLEX(0,2*PI()*D327),COMPLEX(2*PI()*'Stability Calculations'!EA_Zero1,0)))</f>
        <v>1+1490.05739559764i</v>
      </c>
      <c r="AA327" s="734">
        <f t="shared" si="235"/>
        <v>1490.057731155146</v>
      </c>
      <c r="AB327" s="735">
        <f t="shared" si="236"/>
        <v>1.5701252118077675</v>
      </c>
      <c r="AC327" s="733" t="str">
        <f>IMSUM(COMPLEX(1,0),IMDIV(COMPLEX(0,2*PI()*D327),COMPLEX(2*PI()*'Stability Calculations'!EA_Pole2,0)))</f>
        <v>1+15.0100278021303i</v>
      </c>
      <c r="AD327" s="734">
        <f t="shared" si="237"/>
        <v>15.043301985293143</v>
      </c>
      <c r="AE327" s="735">
        <f t="shared" si="238"/>
        <v>1.5042725043130458</v>
      </c>
      <c r="AF327" s="732" t="str">
        <f t="shared" si="239"/>
        <v>0.259890410086907-3.94043576907084i</v>
      </c>
      <c r="AG327" s="337">
        <f t="shared" si="240"/>
        <v>3.9489969708051236</v>
      </c>
      <c r="AH327" s="730">
        <f t="shared" si="241"/>
        <v>-1.5049369745963348</v>
      </c>
      <c r="AI327" s="731" t="str">
        <f t="shared" si="219"/>
        <v>10000</v>
      </c>
      <c r="AJ327" s="733" t="str">
        <f t="shared" si="242"/>
        <v>1+140303.506357995i</v>
      </c>
      <c r="AK327" s="734">
        <f t="shared" si="243"/>
        <v>140303.50636155871</v>
      </c>
      <c r="AL327" s="735">
        <f t="shared" si="244"/>
        <v>1.5707891993892749</v>
      </c>
      <c r="AM327" s="340" t="str">
        <f t="shared" si="245"/>
        <v>1+238.111171816503i</v>
      </c>
      <c r="AN327" s="734">
        <f t="shared" si="246"/>
        <v>238.11327166671796</v>
      </c>
      <c r="AO327" s="735">
        <f t="shared" si="247"/>
        <v>1.5665966325377125</v>
      </c>
      <c r="AP327" s="733" t="str">
        <f t="shared" si="248"/>
        <v>1+11.5487843190703i</v>
      </c>
      <c r="AQ327" s="734">
        <f t="shared" si="249"/>
        <v>11.591998069720511</v>
      </c>
      <c r="AR327" s="735">
        <f t="shared" si="250"/>
        <v>1.4844225643476068</v>
      </c>
      <c r="AS327" s="732" t="str">
        <f t="shared" si="251"/>
        <v>0.00487019194973069-9.86933712443973i</v>
      </c>
      <c r="AT327" s="337">
        <f t="shared" si="252"/>
        <v>9.8693383260791059</v>
      </c>
      <c r="AU327" s="730">
        <f t="shared" si="253"/>
        <v>-1.5703028598585653</v>
      </c>
      <c r="AV327" s="732" t="str">
        <f t="shared" si="254"/>
        <v>-0.605434692605709+0.076588542123254i</v>
      </c>
      <c r="AW327" s="337">
        <f t="shared" si="255"/>
        <v>-4.2897053556120426</v>
      </c>
      <c r="AX327" s="730">
        <f t="shared" si="256"/>
        <v>172.79027974386719</v>
      </c>
      <c r="AY327" s="360">
        <f t="shared" si="257"/>
        <v>-7.2097202561328118</v>
      </c>
      <c r="BB327" s="337">
        <f t="shared" si="258"/>
        <v>-20.114239258593656</v>
      </c>
      <c r="BC327" s="730">
        <f t="shared" si="259"/>
        <v>-89.971726427218968</v>
      </c>
      <c r="BD327" s="351"/>
      <c r="BE327" s="337">
        <f t="shared" si="220"/>
        <v>37.179038499726119</v>
      </c>
      <c r="BF327" s="730">
        <f t="shared" si="221"/>
        <v>-88.63092118345628</v>
      </c>
      <c r="BI327" s="351"/>
      <c r="BJ327" s="351"/>
      <c r="BL327" s="405">
        <f t="shared" si="222"/>
        <v>0</v>
      </c>
      <c r="BM327" s="405">
        <f t="shared" si="260"/>
        <v>0</v>
      </c>
      <c r="BN327" s="405">
        <f t="shared" si="223"/>
        <v>0</v>
      </c>
      <c r="BO327" s="405">
        <f t="shared" si="224"/>
        <v>0</v>
      </c>
    </row>
    <row r="328" spans="4:67" ht="13.5" thickBot="1" x14ac:dyDescent="0.25">
      <c r="D328" s="345">
        <v>23851.5</v>
      </c>
      <c r="E328" s="340" t="str">
        <f t="shared" si="211"/>
        <v>0.395639361095072i</v>
      </c>
      <c r="F328" s="728" t="str">
        <f t="shared" si="225"/>
        <v>0.005-0.109389238737018i</v>
      </c>
      <c r="G328" s="337" t="str">
        <f t="shared" si="226"/>
        <v>0.005-0.171095988793798i</v>
      </c>
      <c r="H328" s="338" t="str">
        <f t="shared" si="227"/>
        <v>0.0282888107455209-0.16643384801049i</v>
      </c>
      <c r="I328" s="338" t="str">
        <f t="shared" si="228"/>
        <v>0.0382888107455209-0.16643384801049i</v>
      </c>
      <c r="J328" s="337" t="str">
        <f t="shared" si="229"/>
        <v>0.00776054926842391-0.0665302279267612i</v>
      </c>
      <c r="K328" s="338" t="str">
        <f t="shared" si="212"/>
        <v>0.993678954975-0.124886161961828i</v>
      </c>
      <c r="L328" s="732"/>
      <c r="M328" s="732" t="str">
        <f t="shared" si="213"/>
        <v>1.68998627140053-71.6688854885567i</v>
      </c>
      <c r="N328" s="337">
        <f t="shared" si="214"/>
        <v>0</v>
      </c>
      <c r="O328" s="730" t="str">
        <f t="shared" si="215"/>
        <v>-2.4268685589524-28.0117909299113i</v>
      </c>
      <c r="P328" s="731" t="str">
        <f t="shared" si="216"/>
        <v>-4.75503206508845-0.668625088676349i</v>
      </c>
      <c r="Q328" s="729" t="str">
        <f t="shared" si="217"/>
        <v>-4.73076337949893-0.388507179377234i</v>
      </c>
      <c r="R328" s="730"/>
      <c r="S328" s="405" t="str">
        <f t="shared" si="230"/>
        <v>39.7828668949847-3.30208779923697i</v>
      </c>
      <c r="T328" s="405" t="str">
        <f t="shared" si="231"/>
        <v>15.3665773652484-3.00010925573663i</v>
      </c>
      <c r="U328" s="405" t="str">
        <f t="shared" si="232"/>
        <v>-0.0646175289922189-2.6423881246006i</v>
      </c>
      <c r="V328" s="731" t="str">
        <f t="shared" si="218"/>
        <v>6000</v>
      </c>
      <c r="W328" s="733" t="str">
        <f>IMSUM(COMPLEX(1,0),IMDIV(COMPLEX(0,2*PI()*D328),COMPLEX(2*PI()*'Stability Calculations'!EA_Pole1,0)))</f>
        <v>1+151362.028297736i</v>
      </c>
      <c r="X328" s="734">
        <f t="shared" si="233"/>
        <v>151362.02830103933</v>
      </c>
      <c r="Y328" s="735">
        <f t="shared" si="234"/>
        <v>1.5707897201181018</v>
      </c>
      <c r="Z328" s="340" t="str">
        <f>IMSUM(COMPLEX(1,0),IMDIV(COMPLEX(0,2*PI()*D328),COMPLEX(2*PI()*'Stability Calculations'!EA_Zero1,0)))</f>
        <v>1+1498.63394354194i</v>
      </c>
      <c r="AA328" s="734">
        <f t="shared" si="235"/>
        <v>1498.6342771790808</v>
      </c>
      <c r="AB328" s="735">
        <f t="shared" si="236"/>
        <v>1.5701290525376366</v>
      </c>
      <c r="AC328" s="733" t="str">
        <f>IMSUM(COMPLEX(1,0),IMDIV(COMPLEX(0,2*PI()*D328),COMPLEX(2*PI()*'Stability Calculations'!EA_Pole2,0)))</f>
        <v>1+15.0964232815732i</v>
      </c>
      <c r="AD328" s="734">
        <f t="shared" si="237"/>
        <v>15.129507457165461</v>
      </c>
      <c r="AE328" s="735">
        <f t="shared" si="238"/>
        <v>1.5046521015704095</v>
      </c>
      <c r="AF328" s="732" t="str">
        <f t="shared" si="239"/>
        <v>0.256937220963549-3.91808062937595i</v>
      </c>
      <c r="AG328" s="337">
        <f t="shared" si="240"/>
        <v>3.9264962184888845</v>
      </c>
      <c r="AH328" s="730">
        <f t="shared" si="241"/>
        <v>-1.5053127691508745</v>
      </c>
      <c r="AI328" s="731" t="str">
        <f t="shared" si="219"/>
        <v>10000</v>
      </c>
      <c r="AJ328" s="733" t="str">
        <f t="shared" si="242"/>
        <v>1+141111.072397121i</v>
      </c>
      <c r="AK328" s="734">
        <f t="shared" si="243"/>
        <v>141111.0724006643</v>
      </c>
      <c r="AL328" s="735">
        <f t="shared" si="244"/>
        <v>1.5707892401787793</v>
      </c>
      <c r="AM328" s="340" t="str">
        <f t="shared" si="245"/>
        <v>1+239.481704178002i</v>
      </c>
      <c r="AN328" s="734">
        <f t="shared" si="246"/>
        <v>239.48379201106712</v>
      </c>
      <c r="AO328" s="735">
        <f t="shared" si="247"/>
        <v>1.5666206667319287</v>
      </c>
      <c r="AP328" s="733" t="str">
        <f t="shared" si="248"/>
        <v>1+11.6152573976937i</v>
      </c>
      <c r="AQ328" s="734">
        <f t="shared" si="249"/>
        <v>11.658224753995707</v>
      </c>
      <c r="AR328" s="735">
        <f t="shared" si="250"/>
        <v>1.4849144397294056</v>
      </c>
      <c r="AS328" s="732" t="str">
        <f t="shared" si="251"/>
        <v>0.00481460812482217-9.8128558185674i</v>
      </c>
      <c r="AT328" s="337">
        <f t="shared" si="252"/>
        <v>9.8128569996939969</v>
      </c>
      <c r="AU328" s="730">
        <f t="shared" si="253"/>
        <v>-1.5703056839252265</v>
      </c>
      <c r="AV328" s="732" t="str">
        <f t="shared" si="254"/>
        <v>-0.598409133929538+0.0763097291309046i</v>
      </c>
      <c r="AW328" s="337">
        <f t="shared" si="255"/>
        <v>-4.3899805452766332</v>
      </c>
      <c r="AX328" s="730">
        <f t="shared" si="256"/>
        <v>172.73280778348567</v>
      </c>
      <c r="AY328" s="360">
        <f t="shared" si="257"/>
        <v>-7.2671922165143314</v>
      </c>
      <c r="BB328" s="337">
        <f t="shared" si="258"/>
        <v>-20.164090599477888</v>
      </c>
      <c r="BC328" s="730">
        <f t="shared" si="259"/>
        <v>-89.971888234319721</v>
      </c>
      <c r="BD328" s="351"/>
      <c r="BE328" s="337">
        <f t="shared" si="220"/>
        <v>37.109027191997711</v>
      </c>
      <c r="BF328" s="730">
        <f t="shared" si="221"/>
        <v>-88.649188707139118</v>
      </c>
      <c r="BI328" s="351"/>
      <c r="BJ328" s="351"/>
      <c r="BL328" s="405">
        <f t="shared" si="222"/>
        <v>0</v>
      </c>
      <c r="BM328" s="405">
        <f t="shared" si="260"/>
        <v>0</v>
      </c>
      <c r="BN328" s="405">
        <f t="shared" si="223"/>
        <v>0</v>
      </c>
      <c r="BO328" s="405">
        <f t="shared" si="224"/>
        <v>0</v>
      </c>
    </row>
    <row r="329" spans="4:67" ht="13.5" thickBot="1" x14ac:dyDescent="0.25">
      <c r="D329" s="345">
        <v>23988</v>
      </c>
      <c r="E329" s="340" t="str">
        <f t="shared" si="211"/>
        <v>0.397903569752367i</v>
      </c>
      <c r="F329" s="728" t="str">
        <f t="shared" si="225"/>
        <v>0.005-0.108766776210438i</v>
      </c>
      <c r="G329" s="337" t="str">
        <f t="shared" si="226"/>
        <v>0.005-0.170122393559916i</v>
      </c>
      <c r="H329" s="338" t="str">
        <f t="shared" si="227"/>
        <v>0.0280293218146422-0.165522916928455i</v>
      </c>
      <c r="I329" s="338" t="str">
        <f t="shared" si="228"/>
        <v>0.0380293218146422-0.165522916928455i</v>
      </c>
      <c r="J329" s="337" t="str">
        <f t="shared" si="229"/>
        <v>0.00771947199556915-0.0661541849832872i</v>
      </c>
      <c r="K329" s="338" t="str">
        <f t="shared" si="212"/>
        <v>0.9936063984-0.12560087429052i</v>
      </c>
      <c r="L329" s="732"/>
      <c r="M329" s="732" t="str">
        <f t="shared" si="213"/>
        <v>1.65441425502643-71.099540431424i</v>
      </c>
      <c r="N329" s="337">
        <f t="shared" si="214"/>
        <v>0</v>
      </c>
      <c r="O329" s="730" t="str">
        <f t="shared" si="215"/>
        <v>-2.40684387364007-27.7860636492775i</v>
      </c>
      <c r="P329" s="731" t="str">
        <f t="shared" si="216"/>
        <v>-4.69076094541639-0.658297337924221i</v>
      </c>
      <c r="Q329" s="729" t="str">
        <f t="shared" si="217"/>
        <v>-4.66669250667999-0.380436701431444i</v>
      </c>
      <c r="R329" s="730"/>
      <c r="S329" s="405" t="str">
        <f t="shared" si="230"/>
        <v>39.7804467760108-3.34014577143538i</v>
      </c>
      <c r="T329" s="405" t="str">
        <f t="shared" si="231"/>
        <v>15.3633046882814-3.00947230599134i</v>
      </c>
      <c r="U329" s="405" t="str">
        <f t="shared" si="232"/>
        <v>-0.0675136232588506-2.62733247342184i</v>
      </c>
      <c r="V329" s="731" t="str">
        <f t="shared" si="218"/>
        <v>6000</v>
      </c>
      <c r="W329" s="733" t="str">
        <f>IMSUM(COMPLEX(1,0),IMDIV(COMPLEX(0,2*PI()*D329),COMPLEX(2*PI()*'Stability Calculations'!EA_Pole1,0)))</f>
        <v>1+152228.25964011i</v>
      </c>
      <c r="X329" s="734">
        <f t="shared" si="233"/>
        <v>152228.25964339453</v>
      </c>
      <c r="Y329" s="735">
        <f t="shared" si="234"/>
        <v>1.5707897577123731</v>
      </c>
      <c r="Z329" s="340" t="str">
        <f>IMSUM(COMPLEX(1,0),IMDIV(COMPLEX(0,2*PI()*D329),COMPLEX(2*PI()*'Stability Calculations'!EA_Zero1,0)))</f>
        <v>1+1507.21049148624i</v>
      </c>
      <c r="AA329" s="734">
        <f t="shared" si="235"/>
        <v>1507.2108232248709</v>
      </c>
      <c r="AB329" s="735">
        <f t="shared" si="236"/>
        <v>1.5701328495573676</v>
      </c>
      <c r="AC329" s="733" t="str">
        <f>IMSUM(COMPLEX(1,0),IMDIV(COMPLEX(0,2*PI()*D329),COMPLEX(2*PI()*'Stability Calculations'!EA_Pole2,0)))</f>
        <v>1+15.1828187610163i</v>
      </c>
      <c r="AD329" s="734">
        <f t="shared" si="237"/>
        <v>15.215715084407586</v>
      </c>
      <c r="AE329" s="735">
        <f t="shared" si="238"/>
        <v>1.5050273975154609</v>
      </c>
      <c r="AF329" s="732" t="str">
        <f t="shared" si="239"/>
        <v>0.25403401191959-3.89597661472276i</v>
      </c>
      <c r="AG329" s="337">
        <f t="shared" si="240"/>
        <v>3.9042498718292324</v>
      </c>
      <c r="AH329" s="730">
        <f t="shared" si="241"/>
        <v>-1.5056843056704663</v>
      </c>
      <c r="AI329" s="731" t="str">
        <f t="shared" si="219"/>
        <v>10000</v>
      </c>
      <c r="AJ329" s="733" t="str">
        <f t="shared" si="242"/>
        <v>1+141918.638436247i</v>
      </c>
      <c r="AK329" s="734">
        <f t="shared" si="243"/>
        <v>141918.63843977015</v>
      </c>
      <c r="AL329" s="735">
        <f t="shared" si="244"/>
        <v>1.5707892805040711</v>
      </c>
      <c r="AM329" s="340" t="str">
        <f t="shared" si="245"/>
        <v>1+240.852236539501i</v>
      </c>
      <c r="AN329" s="734">
        <f t="shared" si="246"/>
        <v>240.85431249217805</v>
      </c>
      <c r="AO329" s="735">
        <f t="shared" si="247"/>
        <v>1.566644427405165</v>
      </c>
      <c r="AP329" s="733" t="str">
        <f t="shared" si="248"/>
        <v>1+11.6817304763171i</v>
      </c>
      <c r="AQ329" s="734">
        <f t="shared" si="249"/>
        <v>11.724454227012691</v>
      </c>
      <c r="AR329" s="735">
        <f t="shared" si="250"/>
        <v>1.4854007581848994</v>
      </c>
      <c r="AS329" s="732" t="str">
        <f t="shared" si="251"/>
        <v>0.00475997047077071-9.757017308486i</v>
      </c>
      <c r="AT329" s="337">
        <f t="shared" si="252"/>
        <v>9.7570184695640663</v>
      </c>
      <c r="AU329" s="730">
        <f t="shared" si="253"/>
        <v>-1.5703084758520671</v>
      </c>
      <c r="AV329" s="732" t="str">
        <f t="shared" si="254"/>
        <v>-0.591503564074466+0.076031152234584i</v>
      </c>
      <c r="AW329" s="337">
        <f t="shared" si="255"/>
        <v>-4.4896839196864571</v>
      </c>
      <c r="AX329" s="730">
        <f t="shared" si="256"/>
        <v>172.67543300582039</v>
      </c>
      <c r="AY329" s="360">
        <f t="shared" si="257"/>
        <v>-7.3245669941796052</v>
      </c>
      <c r="BB329" s="337">
        <f t="shared" si="258"/>
        <v>-20.21365745821641</v>
      </c>
      <c r="BC329" s="730">
        <f t="shared" si="259"/>
        <v>-89.972048199944396</v>
      </c>
      <c r="BD329" s="351"/>
      <c r="BE329" s="337">
        <f t="shared" si="220"/>
        <v>37.03968670408679</v>
      </c>
      <c r="BF329" s="730">
        <f t="shared" si="221"/>
        <v>-88.667025816100107</v>
      </c>
      <c r="BI329" s="351"/>
      <c r="BJ329" s="351"/>
      <c r="BL329" s="405">
        <f t="shared" si="222"/>
        <v>0</v>
      </c>
      <c r="BM329" s="405">
        <f t="shared" si="260"/>
        <v>0</v>
      </c>
      <c r="BN329" s="405">
        <f t="shared" si="223"/>
        <v>0</v>
      </c>
      <c r="BO329" s="405">
        <f t="shared" si="224"/>
        <v>0</v>
      </c>
    </row>
    <row r="330" spans="4:67" ht="13.5" thickBot="1" x14ac:dyDescent="0.25">
      <c r="D330" s="345">
        <v>24127.75</v>
      </c>
      <c r="E330" s="340" t="str">
        <f t="shared" si="211"/>
        <v>0.400221688139598i</v>
      </c>
      <c r="F330" s="728" t="str">
        <f t="shared" si="225"/>
        <v>0.005-0.108136789702147i</v>
      </c>
      <c r="G330" s="337" t="str">
        <f t="shared" si="226"/>
        <v>0.005-0.169137030046949i</v>
      </c>
      <c r="H330" s="338" t="str">
        <f t="shared" si="227"/>
        <v>0.0277680896608747-0.164600360989198i</v>
      </c>
      <c r="I330" s="338" t="str">
        <f t="shared" si="228"/>
        <v>0.0377680896608747-0.164600360989198i</v>
      </c>
      <c r="J330" s="337" t="str">
        <f t="shared" si="229"/>
        <v>0.00767813357257546-0.0657735597533006i</v>
      </c>
      <c r="K330" s="338" t="str">
        <f t="shared" si="212"/>
        <v>0.993531685332639-0.126332603579419i</v>
      </c>
      <c r="L330" s="732"/>
      <c r="M330" s="732" t="str">
        <f t="shared" si="213"/>
        <v>1.61912840002153-70.5268354458518i</v>
      </c>
      <c r="N330" s="337">
        <f t="shared" si="214"/>
        <v>0</v>
      </c>
      <c r="O330" s="730" t="str">
        <f t="shared" si="215"/>
        <v>-2.38664422226066-27.5590534616456i</v>
      </c>
      <c r="P330" s="731" t="str">
        <f t="shared" si="216"/>
        <v>-4.6263691412824-0.648010301571382i</v>
      </c>
      <c r="Q330" s="729" t="str">
        <f t="shared" si="217"/>
        <v>-4.60250269905979-0.372419766954927i</v>
      </c>
      <c r="R330" s="730"/>
      <c r="S330" s="405" t="str">
        <f t="shared" si="230"/>
        <v>39.777911246468-3.3789979466367i</v>
      </c>
      <c r="T330" s="405" t="str">
        <f t="shared" si="231"/>
        <v>15.3599520271668-3.01909819591671i</v>
      </c>
      <c r="U330" s="405" t="str">
        <f t="shared" si="232"/>
        <v>-0.0704281278326229-2.61208823784762i</v>
      </c>
      <c r="V330" s="731" t="str">
        <f t="shared" si="218"/>
        <v>6000</v>
      </c>
      <c r="W330" s="733" t="str">
        <f>IMSUM(COMPLEX(1,0),IMDIV(COMPLEX(0,2*PI()*D330),COMPLEX(2*PI()*'Stability Calculations'!EA_Pole1,0)))</f>
        <v>1+153115.115538255i</v>
      </c>
      <c r="X330" s="734">
        <f t="shared" si="233"/>
        <v>153115.1155415205</v>
      </c>
      <c r="Y330" s="735">
        <f t="shared" si="234"/>
        <v>1.5707897957610633</v>
      </c>
      <c r="Z330" s="340" t="str">
        <f>IMSUM(COMPLEX(1,0),IMDIV(COMPLEX(0,2*PI()*D330),COMPLEX(2*PI()*'Stability Calculations'!EA_Zero1,0)))</f>
        <v>1+1515.99124295302i</v>
      </c>
      <c r="AA330" s="734">
        <f t="shared" si="235"/>
        <v>1515.9915727701928</v>
      </c>
      <c r="AB330" s="735">
        <f t="shared" si="236"/>
        <v>1.5701366924733864</v>
      </c>
      <c r="AC330" s="733" t="str">
        <f>IMSUM(COMPLEX(1,0),IMDIV(COMPLEX(0,2*PI()*D330),COMPLEX(2*PI()*'Stability Calculations'!EA_Pole2,0)))</f>
        <v>1+15.2712712756841i</v>
      </c>
      <c r="AD330" s="734">
        <f t="shared" si="237"/>
        <v>15.303977469126588</v>
      </c>
      <c r="AE330" s="735">
        <f t="shared" si="238"/>
        <v>1.5054072487214347</v>
      </c>
      <c r="AF330" s="732" t="str">
        <f t="shared" si="239"/>
        <v>0.251112288880153-3.87360210493816i</v>
      </c>
      <c r="AG330" s="337">
        <f t="shared" si="240"/>
        <v>3.8817329440609352</v>
      </c>
      <c r="AH330" s="730">
        <f t="shared" si="241"/>
        <v>-1.5060603520091116</v>
      </c>
      <c r="AI330" s="731" t="str">
        <f t="shared" si="219"/>
        <v>10000</v>
      </c>
      <c r="AJ330" s="733" t="str">
        <f t="shared" si="242"/>
        <v>1+142745.432238208i</v>
      </c>
      <c r="AK330" s="734">
        <f t="shared" si="243"/>
        <v>142745.43224171075</v>
      </c>
      <c r="AL330" s="735">
        <f t="shared" si="244"/>
        <v>1.5707893213167927</v>
      </c>
      <c r="AM330" s="340" t="str">
        <f t="shared" si="245"/>
        <v>1+242.255400623893i</v>
      </c>
      <c r="AN330" s="734">
        <f t="shared" si="246"/>
        <v>242.25746455257655</v>
      </c>
      <c r="AO330" s="735">
        <f t="shared" si="247"/>
        <v>1.5666684752890112</v>
      </c>
      <c r="AP330" s="733" t="str">
        <f t="shared" si="248"/>
        <v>1+11.7497862472886i</v>
      </c>
      <c r="AQ330" s="734">
        <f t="shared" si="249"/>
        <v>11.792263432309012</v>
      </c>
      <c r="AR330" s="735">
        <f t="shared" si="250"/>
        <v>1.4858929962192633</v>
      </c>
      <c r="AS330" s="732" t="str">
        <f t="shared" si="251"/>
        <v>0.00470498985695607-9.70050385300639i</v>
      </c>
      <c r="AT330" s="337">
        <f t="shared" si="252"/>
        <v>9.7005049940258985</v>
      </c>
      <c r="AU330" s="730">
        <f t="shared" si="253"/>
        <v>-1.5703113015261783</v>
      </c>
      <c r="AV330" s="732" t="str">
        <f t="shared" si="254"/>
        <v>-0.584555045839961+0.0757462533865502i</v>
      </c>
      <c r="AW330" s="337">
        <f t="shared" si="255"/>
        <v>-4.5911756303820823</v>
      </c>
      <c r="AX330" s="730">
        <f t="shared" si="256"/>
        <v>172.61679098385451</v>
      </c>
      <c r="AY330" s="360">
        <f t="shared" si="257"/>
        <v>-7.3832090161454857</v>
      </c>
      <c r="BB330" s="337">
        <f t="shared" si="258"/>
        <v>-20.264113128262512</v>
      </c>
      <c r="BC330" s="730">
        <f t="shared" si="259"/>
        <v>-89.972210099145244</v>
      </c>
      <c r="BD330" s="351"/>
      <c r="BE330" s="337">
        <f t="shared" si="220"/>
        <v>36.969376304368346</v>
      </c>
      <c r="BF330" s="730">
        <f t="shared" si="221"/>
        <v>-88.684856192733946</v>
      </c>
      <c r="BI330" s="351"/>
      <c r="BJ330" s="351"/>
      <c r="BL330" s="405">
        <f t="shared" si="222"/>
        <v>0</v>
      </c>
      <c r="BM330" s="405">
        <f t="shared" si="260"/>
        <v>0</v>
      </c>
      <c r="BN330" s="405">
        <f t="shared" si="223"/>
        <v>0</v>
      </c>
      <c r="BO330" s="405">
        <f t="shared" si="224"/>
        <v>0</v>
      </c>
    </row>
    <row r="331" spans="4:67" ht="13.5" thickBot="1" x14ac:dyDescent="0.25">
      <c r="D331" s="345">
        <v>24267.5</v>
      </c>
      <c r="E331" s="340" t="str">
        <f t="shared" si="211"/>
        <v>0.402539806526829i</v>
      </c>
      <c r="F331" s="728" t="str">
        <f t="shared" si="225"/>
        <v>0.005-0.107514059039291i</v>
      </c>
      <c r="G331" s="337" t="str">
        <f t="shared" si="226"/>
        <v>0.005-0.168163015420429i</v>
      </c>
      <c r="H331" s="338" t="str">
        <f t="shared" si="227"/>
        <v>0.0275112456981177-0.163687826515924i</v>
      </c>
      <c r="I331" s="338" t="str">
        <f t="shared" si="228"/>
        <v>0.0375112456981177-0.163687826515924i</v>
      </c>
      <c r="J331" s="337" t="str">
        <f t="shared" si="229"/>
        <v>0.00763750400982287-0.0653972821344072i</v>
      </c>
      <c r="K331" s="338" t="str">
        <f t="shared" si="212"/>
        <v>0.993456538263889-0.127064332868317i</v>
      </c>
      <c r="L331" s="732"/>
      <c r="M331" s="732" t="str">
        <f t="shared" si="213"/>
        <v>1.58494270903775-69.964164372955i</v>
      </c>
      <c r="N331" s="337">
        <f t="shared" si="214"/>
        <v>0</v>
      </c>
      <c r="O331" s="730" t="str">
        <f t="shared" si="215"/>
        <v>-2.36674561111709-27.3360683541223i</v>
      </c>
      <c r="P331" s="731" t="str">
        <f t="shared" si="216"/>
        <v>-4.56336119050056-0.638002531452164i</v>
      </c>
      <c r="Q331" s="729" t="str">
        <f t="shared" si="217"/>
        <v>-4.53969373438939-0.364641847910941i</v>
      </c>
      <c r="R331" s="730"/>
      <c r="S331" s="405" t="str">
        <f t="shared" si="230"/>
        <v>39.7753179801154-3.41773866379227i</v>
      </c>
      <c r="T331" s="405" t="str">
        <f t="shared" si="231"/>
        <v>15.356596991724-3.02876372964663i</v>
      </c>
      <c r="U331" s="405" t="str">
        <f t="shared" si="232"/>
        <v>-0.0732926390098241-2.59701304738414i</v>
      </c>
      <c r="V331" s="731" t="str">
        <f t="shared" si="218"/>
        <v>6000</v>
      </c>
      <c r="W331" s="733" t="str">
        <f>IMSUM(COMPLEX(1,0),IMDIV(COMPLEX(0,2*PI()*D331),COMPLEX(2*PI()*'Stability Calculations'!EA_Pole1,0)))</f>
        <v>1+154001.971436401i</v>
      </c>
      <c r="X331" s="734">
        <f t="shared" si="233"/>
        <v>154001.97143964772</v>
      </c>
      <c r="Y331" s="735">
        <f t="shared" si="234"/>
        <v>1.5707898333715289</v>
      </c>
      <c r="Z331" s="340" t="str">
        <f>IMSUM(COMPLEX(1,0),IMDIV(COMPLEX(0,2*PI()*D331),COMPLEX(2*PI()*'Stability Calculations'!EA_Zero1,0)))</f>
        <v>1+1524.77199441981i</v>
      </c>
      <c r="AA331" s="734">
        <f t="shared" si="235"/>
        <v>1524.7723223376547</v>
      </c>
      <c r="AB331" s="735">
        <f t="shared" si="236"/>
        <v>1.5701404911287864</v>
      </c>
      <c r="AC331" s="733" t="str">
        <f>IMSUM(COMPLEX(1,0),IMDIV(COMPLEX(0,2*PI()*D331),COMPLEX(2*PI()*'Stability Calculations'!EA_Pole2,0)))</f>
        <v>1+15.359723790352i</v>
      </c>
      <c r="AD331" s="734">
        <f t="shared" si="237"/>
        <v>15.392242036685401</v>
      </c>
      <c r="AE331" s="735">
        <f t="shared" si="238"/>
        <v>1.5057827435783651</v>
      </c>
      <c r="AF331" s="732" t="str">
        <f t="shared" si="239"/>
        <v>0.248240612537628-3.85148203440763i</v>
      </c>
      <c r="AG331" s="337">
        <f t="shared" si="240"/>
        <v>3.8594737028612842</v>
      </c>
      <c r="AH331" s="730">
        <f t="shared" si="241"/>
        <v>-1.5064320858211078</v>
      </c>
      <c r="AI331" s="731" t="str">
        <f t="shared" si="219"/>
        <v>10000</v>
      </c>
      <c r="AJ331" s="733" t="str">
        <f t="shared" si="242"/>
        <v>1+143572.226040171i</v>
      </c>
      <c r="AK331" s="734">
        <f t="shared" si="243"/>
        <v>143572.22604365356</v>
      </c>
      <c r="AL331" s="735">
        <f t="shared" si="244"/>
        <v>1.5707893616594553</v>
      </c>
      <c r="AM331" s="340" t="str">
        <f t="shared" si="245"/>
        <v>1+243.658564708286i</v>
      </c>
      <c r="AN331" s="734">
        <f t="shared" si="246"/>
        <v>243.66061675146028</v>
      </c>
      <c r="AO331" s="735">
        <f t="shared" si="247"/>
        <v>1.5666922462069706</v>
      </c>
      <c r="AP331" s="733" t="str">
        <f t="shared" si="248"/>
        <v>1+11.8178420182602i</v>
      </c>
      <c r="AQ331" s="734">
        <f t="shared" si="249"/>
        <v>11.860075462177983</v>
      </c>
      <c r="AR331" s="735">
        <f t="shared" si="250"/>
        <v>1.4863796054584548</v>
      </c>
      <c r="AS331" s="732" t="str">
        <f t="shared" si="251"/>
        <v>0.00465095636088222-9.64464128862497i</v>
      </c>
      <c r="AT331" s="337">
        <f t="shared" si="252"/>
        <v>9.644642410045309</v>
      </c>
      <c r="AU331" s="730">
        <f t="shared" si="253"/>
        <v>-1.5703140946557039</v>
      </c>
      <c r="AV331" s="732" t="str">
        <f t="shared" si="254"/>
        <v>-0.577726614908836+0.0754617329226264i</v>
      </c>
      <c r="AW331" s="337">
        <f t="shared" si="255"/>
        <v>-4.6920817588579746</v>
      </c>
      <c r="AX331" s="730">
        <f t="shared" si="256"/>
        <v>172.55824709695332</v>
      </c>
      <c r="AY331" s="360">
        <f t="shared" si="257"/>
        <v>-7.4417529030466767</v>
      </c>
      <c r="BB331" s="337">
        <f t="shared" si="258"/>
        <v>-20.31427739715269</v>
      </c>
      <c r="BC331" s="730">
        <f t="shared" si="259"/>
        <v>-89.972370133678695</v>
      </c>
      <c r="BD331" s="351"/>
      <c r="BE331" s="337">
        <f t="shared" si="220"/>
        <v>36.899741200916544</v>
      </c>
      <c r="BF331" s="730">
        <f t="shared" si="221"/>
        <v>-88.70226423304625</v>
      </c>
      <c r="BI331" s="351"/>
      <c r="BJ331" s="351"/>
      <c r="BL331" s="405">
        <f t="shared" si="222"/>
        <v>0</v>
      </c>
      <c r="BM331" s="405">
        <f t="shared" si="260"/>
        <v>0</v>
      </c>
      <c r="BN331" s="405">
        <f t="shared" si="223"/>
        <v>0</v>
      </c>
      <c r="BO331" s="405">
        <f t="shared" si="224"/>
        <v>0</v>
      </c>
    </row>
    <row r="332" spans="4:67" ht="13.5" thickBot="1" x14ac:dyDescent="0.25">
      <c r="D332" s="345">
        <v>24407.25</v>
      </c>
      <c r="E332" s="340" t="str">
        <f t="shared" si="211"/>
        <v>0.40485792491406i</v>
      </c>
      <c r="F332" s="728" t="str">
        <f t="shared" si="225"/>
        <v>0.005-0.106898459586229i</v>
      </c>
      <c r="G332" s="337" t="str">
        <f t="shared" si="226"/>
        <v>0.005-0.167200154737435i</v>
      </c>
      <c r="H332" s="338" t="str">
        <f t="shared" si="227"/>
        <v>0.0272586928086746-0.162785154658932i</v>
      </c>
      <c r="I332" s="338" t="str">
        <f t="shared" si="228"/>
        <v>0.0372586928086746-0.162785154658932i</v>
      </c>
      <c r="J332" s="337" t="str">
        <f t="shared" si="229"/>
        <v>0.00759756719288374-0.065025278305037i</v>
      </c>
      <c r="K332" s="338" t="str">
        <f t="shared" si="212"/>
        <v>0.99338095719375-0.127796062157216i</v>
      </c>
      <c r="L332" s="732"/>
      <c r="M332" s="732" t="str">
        <f t="shared" si="213"/>
        <v>1.55181283504236-69.4112535481419i</v>
      </c>
      <c r="N332" s="337">
        <f t="shared" si="214"/>
        <v>0</v>
      </c>
      <c r="O332" s="730" t="str">
        <f t="shared" si="215"/>
        <v>-2.34714364956898-27.1169971378288i</v>
      </c>
      <c r="P332" s="731" t="str">
        <f t="shared" si="216"/>
        <v>-4.50169607718439-0.628263724250255i</v>
      </c>
      <c r="Q332" s="729" t="str">
        <f t="shared" si="217"/>
        <v>-4.4782246406887-0.357093752871966i</v>
      </c>
      <c r="R332" s="730"/>
      <c r="S332" s="405" t="str">
        <f t="shared" si="230"/>
        <v>39.7726676937953-3.45636969525328i</v>
      </c>
      <c r="T332" s="405" t="str">
        <f t="shared" si="231"/>
        <v>15.3532393010829-3.03846818150301i</v>
      </c>
      <c r="U332" s="405" t="str">
        <f t="shared" si="232"/>
        <v>-0.0761082791259227-2.58210410491088i</v>
      </c>
      <c r="V332" s="731" t="str">
        <f t="shared" si="218"/>
        <v>6000</v>
      </c>
      <c r="W332" s="733" t="str">
        <f>IMSUM(COMPLEX(1,0),IMDIV(COMPLEX(0,2*PI()*D332),COMPLEX(2*PI()*'Stability Calculations'!EA_Pole1,0)))</f>
        <v>1+154888.827334546i</v>
      </c>
      <c r="X332" s="734">
        <f t="shared" si="233"/>
        <v>154888.8273377741</v>
      </c>
      <c r="Y332" s="735">
        <f t="shared" si="234"/>
        <v>1.5707898705512979</v>
      </c>
      <c r="Z332" s="340" t="str">
        <f>IMSUM(COMPLEX(1,0),IMDIV(COMPLEX(0,2*PI()*D332),COMPLEX(2*PI()*'Stability Calculations'!EA_Zero1,0)))</f>
        <v>1+1533.55274588659i</v>
      </c>
      <c r="AA332" s="734">
        <f t="shared" si="235"/>
        <v>1533.5530719268572</v>
      </c>
      <c r="AB332" s="735">
        <f t="shared" si="236"/>
        <v>1.5701442462838442</v>
      </c>
      <c r="AC332" s="733" t="str">
        <f>IMSUM(COMPLEX(1,0),IMDIV(COMPLEX(0,2*PI()*D332),COMPLEX(2*PI()*'Stability Calculations'!EA_Pole2,0)))</f>
        <v>1+15.4481763050198i</v>
      </c>
      <c r="AD332" s="734">
        <f t="shared" si="237"/>
        <v>15.480508749746409</v>
      </c>
      <c r="AE332" s="735">
        <f t="shared" si="238"/>
        <v>1.5061539564964974</v>
      </c>
      <c r="AF332" s="732" t="str">
        <f t="shared" si="239"/>
        <v>0.245417847958299-3.8296121060257i</v>
      </c>
      <c r="AG332" s="337">
        <f t="shared" si="240"/>
        <v>3.8374677591759752</v>
      </c>
      <c r="AH332" s="730">
        <f t="shared" si="241"/>
        <v>-1.5067995807639512</v>
      </c>
      <c r="AI332" s="731" t="str">
        <f t="shared" si="219"/>
        <v>10000</v>
      </c>
      <c r="AJ332" s="733" t="str">
        <f t="shared" si="242"/>
        <v>1+144399.019842133i</v>
      </c>
      <c r="AK332" s="734">
        <f t="shared" si="243"/>
        <v>144399.01984559564</v>
      </c>
      <c r="AL332" s="735">
        <f t="shared" si="244"/>
        <v>1.5707894015401334</v>
      </c>
      <c r="AM332" s="340" t="str">
        <f t="shared" si="245"/>
        <v>1+245.061728792677i</v>
      </c>
      <c r="AN332" s="734">
        <f t="shared" si="246"/>
        <v>245.06376908644731</v>
      </c>
      <c r="AO332" s="735">
        <f t="shared" si="247"/>
        <v>1.5667157449164548</v>
      </c>
      <c r="AP332" s="733" t="str">
        <f t="shared" si="248"/>
        <v>1+11.8858977892317i</v>
      </c>
      <c r="AQ332" s="734">
        <f t="shared" si="249"/>
        <v>11.927890268444919</v>
      </c>
      <c r="AR332" s="735">
        <f t="shared" si="250"/>
        <v>1.4868606816758638</v>
      </c>
      <c r="AS332" s="732" t="str">
        <f t="shared" si="251"/>
        <v>0.00459784835291166-9.58941843481782i</v>
      </c>
      <c r="AT332" s="337">
        <f t="shared" si="252"/>
        <v>9.5894195370853019</v>
      </c>
      <c r="AU332" s="730">
        <f t="shared" si="253"/>
        <v>-1.5703168557996712</v>
      </c>
      <c r="AV332" s="732" t="str">
        <f t="shared" si="254"/>
        <v>-0.571015518383286+0.0751776517201087i</v>
      </c>
      <c r="AW332" s="337">
        <f t="shared" si="255"/>
        <v>-4.792409099514046</v>
      </c>
      <c r="AX332" s="730">
        <f t="shared" si="256"/>
        <v>172.49979952702401</v>
      </c>
      <c r="AY332" s="360">
        <f t="shared" si="257"/>
        <v>-7.5002004729759904</v>
      </c>
      <c r="BB332" s="337">
        <f t="shared" si="258"/>
        <v>-20.364153611478098</v>
      </c>
      <c r="BC332" s="730">
        <f t="shared" si="259"/>
        <v>-89.972528335574651</v>
      </c>
      <c r="BD332" s="351"/>
      <c r="BE332" s="337">
        <f t="shared" si="220"/>
        <v>36.830767928969081</v>
      </c>
      <c r="BF332" s="730">
        <f t="shared" si="221"/>
        <v>-88.719263629847958</v>
      </c>
      <c r="BI332" s="351"/>
      <c r="BJ332" s="351"/>
      <c r="BL332" s="405">
        <f t="shared" si="222"/>
        <v>0</v>
      </c>
      <c r="BM332" s="405">
        <f t="shared" si="260"/>
        <v>0</v>
      </c>
      <c r="BN332" s="405">
        <f t="shared" si="223"/>
        <v>0</v>
      </c>
      <c r="BO332" s="405">
        <f t="shared" si="224"/>
        <v>0</v>
      </c>
    </row>
    <row r="333" spans="4:67" ht="13.5" thickBot="1" x14ac:dyDescent="0.25">
      <c r="D333" s="345">
        <v>24547</v>
      </c>
      <c r="E333" s="340" t="str">
        <f t="shared" ref="E333:E396" si="261">COMPLEX(0,2*PI()*D333*L)</f>
        <v>0.407176043301291i</v>
      </c>
      <c r="F333" s="728" t="str">
        <f t="shared" si="225"/>
        <v>0.005-0.106289869545606i</v>
      </c>
      <c r="G333" s="337" t="str">
        <f t="shared" si="226"/>
        <v>0.005-0.166248257494409i</v>
      </c>
      <c r="H333" s="338" t="str">
        <f t="shared" si="227"/>
        <v>0.0270103365295827-0.16189218982468i</v>
      </c>
      <c r="I333" s="338" t="str">
        <f t="shared" si="228"/>
        <v>0.0370103365295827-0.16189218982468i</v>
      </c>
      <c r="J333" s="337" t="str">
        <f t="shared" si="229"/>
        <v>0.00755830746214321-0.0646574761006171i</v>
      </c>
      <c r="K333" s="338" t="str">
        <f t="shared" ref="K333:K396" si="262">IMSUM(COMPLEX(1,0),COMPLEX(0,2*PI()*D333/(Fsw*PI()*(-2)/PI())),IMPRODUCT(COMPLEX(0,2*PI()*D333/(Fsw*PI())),COMPLEX(0,2*PI()*D333/(Fsw*PI()))))</f>
        <v>0.993304942122222-0.128527791446114i</v>
      </c>
      <c r="L333" s="732"/>
      <c r="M333" s="732" t="str">
        <f t="shared" ref="M333:M396" si="263">IF(Vin&gt;=Vout,IMDIV(COMPLEX(Vin,0),IMSUM(E333,J333)),IMDIV(IMSUM(COMPLEX(Vout,0),IMPRODUCT(J333,COMPLEX($B$4,0))),IMSUM(E333,IMPRODUCT(J333,COMPLEX((1-$B$11)^2,0)))))</f>
        <v>1.51969660633226-68.8678393658589i</v>
      </c>
      <c r="N333" s="337">
        <f t="shared" ref="N333:N396" si="264">IF(Vin&gt;=Vout,0,IMSUB(IMPRODUCT(M333,COMPLEX(1-$B$11,0)),COMPLEX($B$4/(1-$B$11),0)))</f>
        <v>0</v>
      </c>
      <c r="O333" s="730" t="str">
        <f t="shared" ref="O333:O396" si="265">IMDIV(IF(Vin&gt;=Vout,M333,N333),IMPRODUCT(I333,IMSUM(IMDIV(COMPLEX(1,0),F333),IMDIV(COMPLEX(1,0),I333))))</f>
        <v>-2.32783392418299-26.9017327611465i</v>
      </c>
      <c r="P333" s="731" t="str">
        <f t="shared" ref="P333:P396" si="266">IF(Vin&gt;=Vout,IMDIV(IMPRODUCT(COMPLEX(Vin,0),J333),IMSUM(J333,E333)),IMPRODUCT(N333,J333))</f>
        <v>-4.44133434369931-0.618784051184769i</v>
      </c>
      <c r="Q333" s="729" t="str">
        <f t="shared" ref="Q333:Q396" si="267">IF(Vin&gt;=Vout,IMDIV(IMPRODUCT(P333,H333),IMSUM(COMPLEX($B$15,0),H333)),IMPRODUCT(O333,H333))</f>
        <v>-4.41805600445748-0.349766723573307i</v>
      </c>
      <c r="R333" s="730"/>
      <c r="S333" s="405" t="str">
        <f t="shared" si="230"/>
        <v>39.7699610842973-3.49489277443208i</v>
      </c>
      <c r="T333" s="405" t="str">
        <f t="shared" si="231"/>
        <v>15.349878682307-3.04821084117358i</v>
      </c>
      <c r="U333" s="405" t="str">
        <f t="shared" si="232"/>
        <v>-0.0788761392275387-2.56735867405505i</v>
      </c>
      <c r="V333" s="731" t="str">
        <f t="shared" ref="V333:V396" si="268">COMPLEX(AEA,0)</f>
        <v>6000</v>
      </c>
      <c r="W333" s="733" t="str">
        <f>IMSUM(COMPLEX(1,0),IMDIV(COMPLEX(0,2*PI()*D333),COMPLEX(2*PI()*'Stability Calculations'!EA_Pole1,0)))</f>
        <v>1+155775.68323269i</v>
      </c>
      <c r="X333" s="734">
        <f t="shared" si="233"/>
        <v>155775.68323589975</v>
      </c>
      <c r="Y333" s="735">
        <f t="shared" si="234"/>
        <v>1.5707899073077261</v>
      </c>
      <c r="Z333" s="340" t="str">
        <f>IMSUM(COMPLEX(1,0),IMDIV(COMPLEX(0,2*PI()*D333),COMPLEX(2*PI()*'Stability Calculations'!EA_Zero1,0)))</f>
        <v>1+1542.33349735337i</v>
      </c>
      <c r="AA333" s="734">
        <f t="shared" si="235"/>
        <v>1542.3338215374379</v>
      </c>
      <c r="AB333" s="735">
        <f t="shared" si="236"/>
        <v>1.5701479586815223</v>
      </c>
      <c r="AC333" s="733" t="str">
        <f>IMSUM(COMPLEX(1,0),IMDIV(COMPLEX(0,2*PI()*D333),COMPLEX(2*PI()*'Stability Calculations'!EA_Pole2,0)))</f>
        <v>1+15.5366288196876i</v>
      </c>
      <c r="AD333" s="734">
        <f t="shared" si="237"/>
        <v>15.568777571818131</v>
      </c>
      <c r="AE333" s="735">
        <f t="shared" si="238"/>
        <v>1.5065209602033536</v>
      </c>
      <c r="AF333" s="732" t="str">
        <f t="shared" si="239"/>
        <v>0.242642892154426-3.80798811848718i</v>
      </c>
      <c r="AG333" s="337">
        <f t="shared" si="240"/>
        <v>3.8157108228549759</v>
      </c>
      <c r="AH333" s="730">
        <f t="shared" si="241"/>
        <v>-1.5071629088295571</v>
      </c>
      <c r="AI333" s="731" t="str">
        <f t="shared" ref="AI333:AI396" si="269">COMPLEX(AIL,0)</f>
        <v>10000</v>
      </c>
      <c r="AJ333" s="733" t="str">
        <f t="shared" si="242"/>
        <v>1+145225.813644094i</v>
      </c>
      <c r="AK333" s="734">
        <f t="shared" si="243"/>
        <v>145225.81364753691</v>
      </c>
      <c r="AL333" s="735">
        <f t="shared" si="244"/>
        <v>1.5707894409667171</v>
      </c>
      <c r="AM333" s="340" t="str">
        <f t="shared" si="245"/>
        <v>1+246.464892877068i</v>
      </c>
      <c r="AN333" s="734">
        <f t="shared" si="246"/>
        <v>246.46692155521521</v>
      </c>
      <c r="AO333" s="735">
        <f t="shared" si="247"/>
        <v>1.5667389760665404</v>
      </c>
      <c r="AP333" s="733" t="str">
        <f t="shared" si="248"/>
        <v>1+11.9539535602032i</v>
      </c>
      <c r="AQ333" s="734">
        <f t="shared" si="249"/>
        <v>11.995707804022851</v>
      </c>
      <c r="AR333" s="735">
        <f t="shared" si="250"/>
        <v>1.487336318489447</v>
      </c>
      <c r="AS333" s="732" t="str">
        <f t="shared" si="251"/>
        <v>0.0045456448173539-9.53482436567089i</v>
      </c>
      <c r="AT333" s="337">
        <f t="shared" si="252"/>
        <v>9.5348254492191984</v>
      </c>
      <c r="AU333" s="730">
        <f t="shared" si="253"/>
        <v>-1.5703195855043766</v>
      </c>
      <c r="AV333" s="732" t="str">
        <f t="shared" si="254"/>
        <v>-0.56441908184414+0.0748940672910162i</v>
      </c>
      <c r="AW333" s="337">
        <f t="shared" si="255"/>
        <v>-4.8921643293853103</v>
      </c>
      <c r="AX333" s="730">
        <f t="shared" si="256"/>
        <v>172.44144650056225</v>
      </c>
      <c r="AY333" s="360">
        <f t="shared" si="257"/>
        <v>-7.5585534994377497</v>
      </c>
      <c r="BB333" s="337">
        <f t="shared" si="258"/>
        <v>-20.413745060507999</v>
      </c>
      <c r="BC333" s="730">
        <f t="shared" si="259"/>
        <v>-89.972684736133587</v>
      </c>
      <c r="BD333" s="351"/>
      <c r="BE333" s="337">
        <f t="shared" ref="BE333:BE396" si="270">20*LOG10(IMABS(M333))</f>
        <v>36.762443421308511</v>
      </c>
      <c r="BF333" s="730">
        <f t="shared" ref="BF333:BF396" si="271">180/PI()*IMARGUMENT(IMPRODUCT(COMPLEX(1,0),M333))</f>
        <v>-88.735867518758241</v>
      </c>
      <c r="BI333" s="351"/>
      <c r="BJ333" s="351"/>
      <c r="BL333" s="405">
        <f t="shared" ref="BL333:BL396" si="272">SUM((AW334&lt;0)*(AW333&gt;0))*D333</f>
        <v>0</v>
      </c>
      <c r="BM333" s="405">
        <f t="shared" si="260"/>
        <v>0</v>
      </c>
      <c r="BN333" s="405">
        <f t="shared" ref="BN333:BN396" si="273">SUM((BB334&lt;0)*(BB333&gt;0))*D333</f>
        <v>0</v>
      </c>
      <c r="BO333" s="405">
        <f t="shared" ref="BO333:BO396" si="274">IF(BN333&gt;0,BC333,0)</f>
        <v>0</v>
      </c>
    </row>
    <row r="334" spans="4:67" ht="13.5" thickBot="1" x14ac:dyDescent="0.25">
      <c r="D334" s="345">
        <v>24690</v>
      </c>
      <c r="E334" s="340" t="str">
        <f t="shared" si="261"/>
        <v>0.409548071418457i</v>
      </c>
      <c r="F334" s="728" t="str">
        <f t="shared" ref="F334:F397" si="275">IMSUM(COMPLEX($B$8,0),IMDIV(COMPLEX(1,0),COMPLEX(0,2*PI()*D334*$B$6)))</f>
        <v>0.005-0.105674257907493i</v>
      </c>
      <c r="G334" s="337" t="str">
        <f t="shared" ref="G334:G397" si="276">IMSUM(COMPLEX($B$9,0),IMDIV(COMPLEX(1,0),COMPLEX(0,2*PI()*D334*$B$7)))</f>
        <v>0.005-0.165285377752745i</v>
      </c>
      <c r="H334" s="338" t="str">
        <f t="shared" ref="H334:H397" si="277">IMDIV(COMPLEX(1,0),IMSUM(IMDIV(COMPLEX(1,0),COMPLEX($B$5,0)), IMDIV(COMPLEX(1,0),G334)))</f>
        <v>0.0267604528146831-0.160988347650911i</v>
      </c>
      <c r="I334" s="338" t="str">
        <f t="shared" ref="I334:I397" si="278">IMSUM(H334,COMPLEX($B$15,0))</f>
        <v>0.0367604528146831-0.160988347650911i</v>
      </c>
      <c r="J334" s="337" t="str">
        <f t="shared" ref="J334:J397" si="279">IMDIV(COMPLEX(1,0),IMSUM(IMDIV(COMPLEX(1,0),F334),IMDIV(COMPLEX(1,0),IMSUM(COMPLEX($B$15,0),H334))))</f>
        <v>0.00751881972829452-0.0642853960954832i</v>
      </c>
      <c r="K334" s="338" t="str">
        <f t="shared" si="262"/>
        <v>0.99322671-0.12927653769522i</v>
      </c>
      <c r="L334" s="732"/>
      <c r="M334" s="732" t="str">
        <f t="shared" si="263"/>
        <v>1.48784092554305-68.3213532138406i</v>
      </c>
      <c r="N334" s="337">
        <f t="shared" si="264"/>
        <v>0</v>
      </c>
      <c r="O334" s="730" t="str">
        <f t="shared" si="265"/>
        <v>-2.30837302798984-26.6852953666501i</v>
      </c>
      <c r="P334" s="731" t="str">
        <f t="shared" si="266"/>
        <v>-4.38087844542761-0.609342381633609i</v>
      </c>
      <c r="Q334" s="729" t="str">
        <f t="shared" si="267"/>
        <v>-4.35779471514771-0.342489427967106i</v>
      </c>
      <c r="R334" s="730"/>
      <c r="S334" s="405" t="str">
        <f t="shared" ref="S334:S397" si="280">IMDIV(IMPRODUCT(COMPLEX($B$34,0),M334),IMSUM(COMPLEX(1,0),IMPRODUCT(M334,COMPLEX($B$29,0),K334,COMPLEX($B$34,0))))</f>
        <v>39.7671339337584-3.53420176041868i</v>
      </c>
      <c r="T334" s="405" t="str">
        <f t="shared" ref="T334:T397" si="281">IMDIV(IMPRODUCT(COMPLEX($B$34,0),O334),IMSUM(COMPLEX(1,0),IMPRODUCT(M334,COMPLEX($B$29,0),K334,COMPLEX($B$34,0))))</f>
        <v>15.3464366018609-3.05821890000896i</v>
      </c>
      <c r="U334" s="405" t="str">
        <f t="shared" ref="U334:U397" si="282">IMDIV(IMPRODUCT(COMPLEX($B$34,0),Q334),IMSUM(COMPLEX(1,0),IMPRODUCT(M334,COMPLEX($B$29,0),K334,COMPLEX($B$34,0))))</f>
        <v>-0.0816600149096059-2.55243679343371i</v>
      </c>
      <c r="V334" s="731" t="str">
        <f t="shared" si="268"/>
        <v>6000</v>
      </c>
      <c r="W334" s="733" t="str">
        <f>IMSUM(COMPLEX(1,0),IMDIV(COMPLEX(0,2*PI()*D334),COMPLEX(2*PI()*'Stability Calculations'!EA_Pole1,0)))</f>
        <v>1+156683.163686607i</v>
      </c>
      <c r="X334" s="734">
        <f t="shared" ref="X334:X397" si="283">IMABS(W334)</f>
        <v>156683.16368979815</v>
      </c>
      <c r="Y334" s="735">
        <f t="shared" ref="Y334:Y397" si="284">IMARGUMENT(W334)</f>
        <v>1.5707899444882309</v>
      </c>
      <c r="Z334" s="340" t="str">
        <f>IMSUM(COMPLEX(1,0),IMDIV(COMPLEX(0,2*PI()*D334),COMPLEX(2*PI()*'Stability Calculations'!EA_Zero1,0)))</f>
        <v>1+1551.31845234264i</v>
      </c>
      <c r="AA334" s="734">
        <f t="shared" ref="AA334:AA397" si="285">IMABS(Z334)</f>
        <v>1551.3187746490933</v>
      </c>
      <c r="AB334" s="735">
        <f t="shared" ref="AB334:AB397" si="286">IMARGUMENT(Z334)</f>
        <v>1.5701517139109453</v>
      </c>
      <c r="AC334" s="733" t="str">
        <f>IMSUM(COMPLEX(1,0),IMDIV(COMPLEX(0,2*PI()*D334),COMPLEX(2*PI()*'Stability Calculations'!EA_Pole2,0)))</f>
        <v>1+15.6271383695803i</v>
      </c>
      <c r="AD334" s="734">
        <f t="shared" ref="AD334:AD397" si="287">IMABS(AC334)</f>
        <v>15.659101303140254</v>
      </c>
      <c r="AE334" s="735">
        <f t="shared" ref="AE334:AE397" si="288">IMARGUMENT(AC334)</f>
        <v>1.5068922158496587</v>
      </c>
      <c r="AF334" s="732" t="str">
        <f t="shared" ref="AF334:AF397" si="289">IMPRODUCT(V334,IMDIV(Z334,IMPRODUCT(W334,AC334)))</f>
        <v>0.239851773722931-3.78611154921952i</v>
      </c>
      <c r="AG334" s="337">
        <f t="shared" ref="AG334:AG397" si="290">IMABS(AF334)</f>
        <v>3.7937012977422815</v>
      </c>
      <c r="AH334" s="730">
        <f t="shared" ref="AH334:AH397" si="291">IMARGUMENT(AF334)</f>
        <v>-1.5075304464269443</v>
      </c>
      <c r="AI334" s="731" t="str">
        <f t="shared" si="269"/>
        <v>10000</v>
      </c>
      <c r="AJ334" s="733" t="str">
        <f t="shared" ref="AJ334:AJ397" si="292">IMSUM(COMPLEX(1,0),IMDIV(COMPLEX(0,2*PI()*D334),COMPLEX(2*PI()*IL_Pole1,0)))</f>
        <v>1+146071.835208893i</v>
      </c>
      <c r="AK334" s="734">
        <f t="shared" ref="AK334:AK397" si="293">IMABS(AJ334)</f>
        <v>146071.83521231596</v>
      </c>
      <c r="AL334" s="735">
        <f t="shared" ref="AL334:AL397" si="294">IMARGUMENT(AJ334)</f>
        <v>1.5707894808481844</v>
      </c>
      <c r="AM334" s="340" t="str">
        <f t="shared" ref="AM334:AM397" si="295">IMSUM(COMPLEX(1,0),IMDIV(COMPLEX(0,2*PI()*D334),COMPLEX(2*PI()*IL_Zero1,0)))</f>
        <v>1+247.900688684354i</v>
      </c>
      <c r="AN334" s="734">
        <f t="shared" ref="AN334:AN397" si="296">IMABS(AM334)</f>
        <v>247.90270561286135</v>
      </c>
      <c r="AO334" s="735">
        <f t="shared" ref="AO334:AO397" si="297">IMARGUMENT(AM334)</f>
        <v>1.5667624752500899</v>
      </c>
      <c r="AP334" s="733" t="str">
        <f t="shared" ref="AP334:AP397" si="298">IMSUM(COMPLEX(1,0),IMDIV(COMPLEX(0,2*PI()*D334),COMPLEX(2*PI()*IL_Pole2,0)))</f>
        <v>1+12.0235920235229i</v>
      </c>
      <c r="AQ334" s="734">
        <f t="shared" ref="AQ334:AQ397" si="299">IMABS(AP334)</f>
        <v>12.065105268837215</v>
      </c>
      <c r="AR334" s="735">
        <f t="shared" ref="AR334:AR397" si="300">IMARGUMENT(AP334)</f>
        <v>1.4878174814649756</v>
      </c>
      <c r="AS334" s="732" t="str">
        <f t="shared" ref="AS334:AS397" si="301">_xlfn.SWITCH(IMONLIM_select,0,COMPLEX(1,0),1,IMPRODUCT(gm_IL,IMDIV(COMPLEX(1,0),IMSUM(COMPLEX(1/20000000,0),COMPLEX(0,2*PI()*D334*CISET),COMPLEX(1/RISET,0)))),2,IMPRODUCT(gm_IL,IMDIV(COMPLEX(1,0),IMSUM(COMPLEX(1/20000000,0),COMPLEX(0,2*PI()*D334*CcIL)))),3,IMPRODUCT(AI334,IMDIV(AM334,IMPRODUCT(AJ334,AP334))))</f>
        <v>0.00449314221359133-9.47960041792372i</v>
      </c>
      <c r="AT334" s="337">
        <f t="shared" ref="AT334:AT397" si="302">IMABS(AS334)</f>
        <v>9.4796014827537185</v>
      </c>
      <c r="AU334" s="730">
        <f t="shared" ref="AU334:AU397" si="303">IMARGUMENT(AS334)</f>
        <v>-1.5703223467030119</v>
      </c>
      <c r="AV334" s="732" t="str">
        <f t="shared" ref="AV334:AV397" si="304">IMPRODUCT(T334,AS334,COMPLEX($B$15,0),IMPRODUCT(COMPLEX(0.1,0),AF334))</f>
        <v>-0.557785220194978+0.074604458750292i</v>
      </c>
      <c r="AW334" s="337">
        <f t="shared" ref="AW334:AW397" si="305">20*LOG10(IMABS(AV334))</f>
        <v>-4.9936540705097157</v>
      </c>
      <c r="AX334" s="730">
        <f t="shared" ref="AX334:AX397" si="306">(180/PI())*IMARGUMENT(AV334)</f>
        <v>172.38183248929718</v>
      </c>
      <c r="AY334" s="360">
        <f t="shared" ref="AY334:AY397" si="307">IF(AX334&gt;0,AX334-180,AX334+180)</f>
        <v>-7.6181675107028184</v>
      </c>
      <c r="BB334" s="337">
        <f t="shared" ref="BB334:BB397" si="308">20*LOG10(IMPRODUCT(COMPLEX($B$15,0),IMABS(AS334)))</f>
        <v>-20.464198395599258</v>
      </c>
      <c r="BC334" s="730">
        <f t="shared" ref="BC334:BC397" si="309">(180/PI())*IMARGUMENT(AS334)</f>
        <v>-89.972842941161787</v>
      </c>
      <c r="BD334" s="351"/>
      <c r="BE334" s="337">
        <f t="shared" si="270"/>
        <v>36.693188312219092</v>
      </c>
      <c r="BF334" s="730">
        <f t="shared" si="271"/>
        <v>-88.752461279838982</v>
      </c>
      <c r="BI334" s="351"/>
      <c r="BJ334" s="351"/>
      <c r="BL334" s="405">
        <f t="shared" si="272"/>
        <v>0</v>
      </c>
      <c r="BM334" s="405">
        <f t="shared" si="260"/>
        <v>0</v>
      </c>
      <c r="BN334" s="405">
        <f t="shared" si="273"/>
        <v>0</v>
      </c>
      <c r="BO334" s="405">
        <f t="shared" si="274"/>
        <v>0</v>
      </c>
    </row>
    <row r="335" spans="4:67" ht="13.5" thickBot="1" x14ac:dyDescent="0.25">
      <c r="D335" s="345">
        <v>24833</v>
      </c>
      <c r="E335" s="340" t="str">
        <f t="shared" si="261"/>
        <v>0.411920099535623i</v>
      </c>
      <c r="F335" s="728" t="str">
        <f t="shared" si="275"/>
        <v>0.005-0.105065736227439i</v>
      </c>
      <c r="G335" s="337" t="str">
        <f t="shared" si="276"/>
        <v>0.005-0.164333587432661i</v>
      </c>
      <c r="H335" s="338" t="str">
        <f t="shared" si="277"/>
        <v>0.0265147712006532-0.160094349717635i</v>
      </c>
      <c r="I335" s="338" t="str">
        <f t="shared" si="278"/>
        <v>0.0365147712006532-0.160094349717635i</v>
      </c>
      <c r="J335" s="337" t="str">
        <f t="shared" si="279"/>
        <v>0.0074800091581019-0.0639175676508918i</v>
      </c>
      <c r="K335" s="338" t="str">
        <f t="shared" si="262"/>
        <v>0.993148023455556-0.130025283944326i</v>
      </c>
      <c r="L335" s="732"/>
      <c r="M335" s="732" t="str">
        <f t="shared" si="263"/>
        <v>1.45696369047725-67.7842824030534i</v>
      </c>
      <c r="N335" s="337">
        <f t="shared" si="264"/>
        <v>0</v>
      </c>
      <c r="O335" s="730" t="str">
        <f t="shared" si="265"/>
        <v>-2.28920873943785-26.4726295996102i</v>
      </c>
      <c r="P335" s="731" t="str">
        <f t="shared" si="266"/>
        <v>-4.32170835441654-0.600152628401178i</v>
      </c>
      <c r="Q335" s="729" t="str">
        <f t="shared" si="267"/>
        <v>-4.29881626702216-0.335426332405074i</v>
      </c>
      <c r="R335" s="730"/>
      <c r="S335" s="405" t="str">
        <f t="shared" si="280"/>
        <v>39.7642492245536-3.57340126644237i</v>
      </c>
      <c r="T335" s="405" t="str">
        <f t="shared" si="281"/>
        <v>15.3429909016191-3.06826550718124i</v>
      </c>
      <c r="U335" s="405" t="str">
        <f t="shared" si="282"/>
        <v>-0.0843960778430991-2.53768050902408i</v>
      </c>
      <c r="V335" s="731" t="str">
        <f t="shared" si="268"/>
        <v>6000</v>
      </c>
      <c r="W335" s="733" t="str">
        <f>IMSUM(COMPLEX(1,0),IMDIV(COMPLEX(0,2*PI()*D335),COMPLEX(2*PI()*'Stability Calculations'!EA_Pole1,0)))</f>
        <v>1+157590.644140523i</v>
      </c>
      <c r="X335" s="734">
        <f t="shared" si="283"/>
        <v>157590.6441436958</v>
      </c>
      <c r="Y335" s="735">
        <f t="shared" si="284"/>
        <v>1.5707899812405306</v>
      </c>
      <c r="Z335" s="340" t="str">
        <f>IMSUM(COMPLEX(1,0),IMDIV(COMPLEX(0,2*PI()*D335),COMPLEX(2*PI()*'Stability Calculations'!EA_Zero1,0)))</f>
        <v>1+1560.30340733191i</v>
      </c>
      <c r="AA335" s="734">
        <f t="shared" si="285"/>
        <v>1560.3037277823728</v>
      </c>
      <c r="AB335" s="735">
        <f t="shared" si="286"/>
        <v>1.5701554258916601</v>
      </c>
      <c r="AC335" s="733" t="str">
        <f>IMSUM(COMPLEX(1,0),IMDIV(COMPLEX(0,2*PI()*D335),COMPLEX(2*PI()*'Stability Calculations'!EA_Pole2,0)))</f>
        <v>1+15.717647919473i</v>
      </c>
      <c r="AD335" s="734">
        <f t="shared" si="287"/>
        <v>15.749427168011984</v>
      </c>
      <c r="AE335" s="735">
        <f t="shared" si="288"/>
        <v>1.5072592131070777</v>
      </c>
      <c r="AF335" s="732" t="str">
        <f t="shared" si="289"/>
        <v>0.237108474821014-3.76448388852997i</v>
      </c>
      <c r="AG335" s="337">
        <f t="shared" si="290"/>
        <v>3.7719437132377345</v>
      </c>
      <c r="AH335" s="730">
        <f t="shared" si="291"/>
        <v>-1.5078937684559481</v>
      </c>
      <c r="AI335" s="731" t="str">
        <f t="shared" si="269"/>
        <v>10000</v>
      </c>
      <c r="AJ335" s="733" t="str">
        <f t="shared" si="292"/>
        <v>1+146917.856773692i</v>
      </c>
      <c r="AK335" s="734">
        <f t="shared" si="293"/>
        <v>146917.85677709526</v>
      </c>
      <c r="AL335" s="735">
        <f t="shared" si="294"/>
        <v>1.5707895202703397</v>
      </c>
      <c r="AM335" s="340" t="str">
        <f t="shared" si="295"/>
        <v>1+249.336484491639i</v>
      </c>
      <c r="AN335" s="734">
        <f t="shared" si="296"/>
        <v>249.33848980582468</v>
      </c>
      <c r="AO335" s="735">
        <f t="shared" si="297"/>
        <v>1.5667857037994928</v>
      </c>
      <c r="AP335" s="733" t="str">
        <f t="shared" si="298"/>
        <v>1+12.0932304868427i</v>
      </c>
      <c r="AQ335" s="734">
        <f t="shared" si="299"/>
        <v>12.134505494988321</v>
      </c>
      <c r="AR335" s="735">
        <f t="shared" si="300"/>
        <v>1.4882931407704068</v>
      </c>
      <c r="AS335" s="732" t="str">
        <f t="shared" si="301"/>
        <v>0.00444154399902123-9.4250124802629i</v>
      </c>
      <c r="AT335" s="337">
        <f t="shared" si="302"/>
        <v>9.4250135268032658</v>
      </c>
      <c r="AU335" s="730">
        <f t="shared" si="303"/>
        <v>-1.570325076101114</v>
      </c>
      <c r="AV335" s="732" t="str">
        <f t="shared" si="304"/>
        <v>-0.551265988180296+0.0743154821041246i</v>
      </c>
      <c r="AW335" s="337">
        <f t="shared" si="305"/>
        <v>-5.0945585618096381</v>
      </c>
      <c r="AX335" s="730">
        <f t="shared" si="306"/>
        <v>172.32231385005289</v>
      </c>
      <c r="AY335" s="360">
        <f t="shared" si="307"/>
        <v>-7.6776861499471067</v>
      </c>
      <c r="BB335" s="337">
        <f t="shared" si="308"/>
        <v>-20.514360356423648</v>
      </c>
      <c r="BC335" s="730">
        <f t="shared" si="309"/>
        <v>-89.972999324153648</v>
      </c>
      <c r="BD335" s="351"/>
      <c r="BE335" s="337">
        <f t="shared" si="270"/>
        <v>36.624586020735194</v>
      </c>
      <c r="BF335" s="730">
        <f t="shared" si="271"/>
        <v>-88.768667079532122</v>
      </c>
      <c r="BI335" s="351"/>
      <c r="BJ335" s="351"/>
      <c r="BL335" s="405">
        <f t="shared" si="272"/>
        <v>0</v>
      </c>
      <c r="BM335" s="405">
        <f t="shared" si="260"/>
        <v>0</v>
      </c>
      <c r="BN335" s="405">
        <f t="shared" si="273"/>
        <v>0</v>
      </c>
      <c r="BO335" s="405">
        <f t="shared" si="274"/>
        <v>0</v>
      </c>
    </row>
    <row r="336" spans="4:67" ht="13.5" thickBot="1" x14ac:dyDescent="0.25">
      <c r="D336" s="345">
        <v>24976</v>
      </c>
      <c r="E336" s="340" t="str">
        <f t="shared" si="261"/>
        <v>0.41429212765279i</v>
      </c>
      <c r="F336" s="728" t="str">
        <f t="shared" si="275"/>
        <v>0.005-0.104464182724855i</v>
      </c>
      <c r="G336" s="337" t="str">
        <f t="shared" si="276"/>
        <v>0.005-0.163392696056825i</v>
      </c>
      <c r="H336" s="338" t="str">
        <f t="shared" si="277"/>
        <v>0.0262731985609945-0.15921003939063i</v>
      </c>
      <c r="I336" s="338" t="str">
        <f t="shared" si="278"/>
        <v>0.0362731985609945-0.15921003939063i</v>
      </c>
      <c r="J336" s="337" t="str">
        <f t="shared" si="279"/>
        <v>0.00744186035482977-0.0635539185414861i</v>
      </c>
      <c r="K336" s="338" t="str">
        <f t="shared" si="262"/>
        <v>0.993068882488889-0.130774030193431i</v>
      </c>
      <c r="L336" s="732"/>
      <c r="M336" s="732" t="str">
        <f t="shared" si="263"/>
        <v>1.42702600537288-67.256374295563i</v>
      </c>
      <c r="N336" s="337">
        <f t="shared" si="264"/>
        <v>0</v>
      </c>
      <c r="O336" s="730" t="str">
        <f t="shared" si="265"/>
        <v>-2.27033631964383-26.2636330033131i</v>
      </c>
      <c r="P336" s="731" t="str">
        <f t="shared" si="266"/>
        <v>-4.26378640512121-0.591205639981794i</v>
      </c>
      <c r="Q336" s="729" t="str">
        <f t="shared" si="267"/>
        <v>-4.24108304192477-0.328569309948666i</v>
      </c>
      <c r="R336" s="730"/>
      <c r="S336" s="405" t="str">
        <f t="shared" si="280"/>
        <v>39.7613076422753-3.61249302974992i</v>
      </c>
      <c r="T336" s="405" t="str">
        <f t="shared" si="281"/>
        <v>15.3395413132739-3.07834994898557i</v>
      </c>
      <c r="U336" s="405" t="str">
        <f t="shared" si="282"/>
        <v>-0.087085401877911-2.52308707617048i</v>
      </c>
      <c r="V336" s="731" t="str">
        <f t="shared" si="268"/>
        <v>6000</v>
      </c>
      <c r="W336" s="733" t="str">
        <f>IMSUM(COMPLEX(1,0),IMDIV(COMPLEX(0,2*PI()*D336),COMPLEX(2*PI()*'Stability Calculations'!EA_Pole1,0)))</f>
        <v>1+158498.124594438i</v>
      </c>
      <c r="X336" s="734">
        <f t="shared" si="283"/>
        <v>158498.12459759263</v>
      </c>
      <c r="Y336" s="735">
        <f t="shared" si="284"/>
        <v>1.5707900175719796</v>
      </c>
      <c r="Z336" s="340" t="str">
        <f>IMSUM(COMPLEX(1,0),IMDIV(COMPLEX(0,2*PI()*D336),COMPLEX(2*PI()*'Stability Calculations'!EA_Zero1,0)))</f>
        <v>1+1569.28836232117i</v>
      </c>
      <c r="AA336" s="734">
        <f t="shared" si="285"/>
        <v>1569.2886809368952</v>
      </c>
      <c r="AB336" s="735">
        <f t="shared" si="286"/>
        <v>1.5701590953665272</v>
      </c>
      <c r="AC336" s="733" t="str">
        <f>IMSUM(COMPLEX(1,0),IMDIV(COMPLEX(0,2*PI()*D336),COMPLEX(2*PI()*'Stability Calculations'!EA_Pole2,0)))</f>
        <v>1+15.8081574693656i</v>
      </c>
      <c r="AD336" s="734">
        <f t="shared" si="287"/>
        <v>15.839755129933652</v>
      </c>
      <c r="AE336" s="735">
        <f t="shared" si="288"/>
        <v>1.5076220247277006</v>
      </c>
      <c r="AF336" s="732" t="str">
        <f t="shared" si="289"/>
        <v>0.234411910727911-3.74310092966068i</v>
      </c>
      <c r="AG336" s="337">
        <f t="shared" si="290"/>
        <v>3.7504337767140692</v>
      </c>
      <c r="AH336" s="730">
        <f t="shared" si="291"/>
        <v>-1.5082529469331534</v>
      </c>
      <c r="AI336" s="731" t="str">
        <f t="shared" si="269"/>
        <v>10000</v>
      </c>
      <c r="AJ336" s="733" t="str">
        <f t="shared" si="292"/>
        <v>1+147763.878338489i</v>
      </c>
      <c r="AK336" s="734">
        <f t="shared" si="293"/>
        <v>147763.8783418728</v>
      </c>
      <c r="AL336" s="735">
        <f t="shared" si="294"/>
        <v>1.5707895592410721</v>
      </c>
      <c r="AM336" s="340" t="str">
        <f t="shared" si="295"/>
        <v>1+250.772280298923i</v>
      </c>
      <c r="AN336" s="734">
        <f t="shared" si="296"/>
        <v>250.77427413178091</v>
      </c>
      <c r="AO336" s="735">
        <f t="shared" si="297"/>
        <v>1.5668086663631942</v>
      </c>
      <c r="AP336" s="733" t="str">
        <f t="shared" si="298"/>
        <v>1+12.1628689501623i</v>
      </c>
      <c r="AQ336" s="734">
        <f t="shared" si="299"/>
        <v>12.203908435367014</v>
      </c>
      <c r="AR336" s="735">
        <f t="shared" si="300"/>
        <v>1.4887633900858299</v>
      </c>
      <c r="AS336" s="732" t="str">
        <f t="shared" si="301"/>
        <v>0.00439082952075118-9.37104962827749i</v>
      </c>
      <c r="AT336" s="337">
        <f t="shared" si="302"/>
        <v>9.3710506569446927</v>
      </c>
      <c r="AU336" s="730">
        <f t="shared" si="303"/>
        <v>-1.5703277742449049</v>
      </c>
      <c r="AV336" s="732" t="str">
        <f t="shared" si="304"/>
        <v>-0.544858758530148+0.0740271890738496i</v>
      </c>
      <c r="AW336" s="337">
        <f t="shared" si="305"/>
        <v>-5.1948845927834508</v>
      </c>
      <c r="AX336" s="730">
        <f t="shared" si="306"/>
        <v>172.26288881892242</v>
      </c>
      <c r="AY336" s="360">
        <f t="shared" si="307"/>
        <v>-7.7371111810775801</v>
      </c>
      <c r="BB336" s="337">
        <f t="shared" si="308"/>
        <v>-20.564234289110516</v>
      </c>
      <c r="BC336" s="730">
        <f t="shared" si="309"/>
        <v>-89.97315391640538</v>
      </c>
      <c r="BD336" s="351"/>
      <c r="BE336" s="337">
        <f t="shared" si="270"/>
        <v>36.556623742073626</v>
      </c>
      <c r="BF336" s="730">
        <f t="shared" si="271"/>
        <v>-88.784497351512073</v>
      </c>
      <c r="BI336" s="351"/>
      <c r="BJ336" s="351"/>
      <c r="BL336" s="405">
        <f t="shared" si="272"/>
        <v>0</v>
      </c>
      <c r="BM336" s="405">
        <f t="shared" si="260"/>
        <v>0</v>
      </c>
      <c r="BN336" s="405">
        <f t="shared" si="273"/>
        <v>0</v>
      </c>
      <c r="BO336" s="405">
        <f t="shared" si="274"/>
        <v>0</v>
      </c>
    </row>
    <row r="337" spans="4:67" ht="13.5" thickBot="1" x14ac:dyDescent="0.25">
      <c r="D337" s="345">
        <v>25119</v>
      </c>
      <c r="E337" s="340" t="str">
        <f t="shared" si="261"/>
        <v>0.416664155769956i</v>
      </c>
      <c r="F337" s="728" t="str">
        <f t="shared" si="275"/>
        <v>0.005-0.103869478392292i</v>
      </c>
      <c r="G337" s="337" t="str">
        <f t="shared" si="276"/>
        <v>0.005-0.16246251748538i</v>
      </c>
      <c r="H337" s="338" t="str">
        <f t="shared" si="277"/>
        <v>0.0260356443190844-0.158335263263394i</v>
      </c>
      <c r="I337" s="338" t="str">
        <f t="shared" si="278"/>
        <v>0.0360356443190844-0.158335263263394i</v>
      </c>
      <c r="J337" s="337" t="str">
        <f t="shared" si="279"/>
        <v>0.00740435835639114-0.0631943781640766i</v>
      </c>
      <c r="K337" s="338" t="str">
        <f t="shared" si="262"/>
        <v>0.9929892871-0.131522776442537i</v>
      </c>
      <c r="L337" s="732"/>
      <c r="M337" s="732" t="str">
        <f t="shared" si="263"/>
        <v>1.39799085682568-66.7373853982496i</v>
      </c>
      <c r="N337" s="337">
        <f t="shared" si="264"/>
        <v>0</v>
      </c>
      <c r="O337" s="730" t="str">
        <f t="shared" si="265"/>
        <v>-2.25175104405727-26.0582068738123i</v>
      </c>
      <c r="P337" s="731" t="str">
        <f t="shared" si="266"/>
        <v>-4.20707634525582-0.582492680133389i</v>
      </c>
      <c r="Q337" s="729" t="str">
        <f t="shared" si="267"/>
        <v>-4.18455883481525-0.321910611395265i</v>
      </c>
      <c r="R337" s="730"/>
      <c r="S337" s="405" t="str">
        <f t="shared" si="280"/>
        <v>39.7583098533148-3.65147874929196i</v>
      </c>
      <c r="T337" s="405" t="str">
        <f t="shared" si="281"/>
        <v>15.3360875761175-3.08847152682775i</v>
      </c>
      <c r="U337" s="405" t="str">
        <f t="shared" si="282"/>
        <v>-0.0897290309036421-2.50865380995714i</v>
      </c>
      <c r="V337" s="731" t="str">
        <f t="shared" si="268"/>
        <v>6000</v>
      </c>
      <c r="W337" s="733" t="str">
        <f>IMSUM(COMPLEX(1,0),IMDIV(COMPLEX(0,2*PI()*D337),COMPLEX(2*PI()*'Stability Calculations'!EA_Pole1,0)))</f>
        <v>1+159405.605048354i</v>
      </c>
      <c r="X337" s="734">
        <f t="shared" si="283"/>
        <v>159405.60505149062</v>
      </c>
      <c r="Y337" s="735">
        <f t="shared" si="284"/>
        <v>1.5707900534897661</v>
      </c>
      <c r="Z337" s="340" t="str">
        <f>IMSUM(COMPLEX(1,0),IMDIV(COMPLEX(0,2*PI()*D337),COMPLEX(2*PI()*'Stability Calculations'!EA_Zero1,0)))</f>
        <v>1+1578.27331731044i</v>
      </c>
      <c r="AA337" s="734">
        <f t="shared" si="285"/>
        <v>1578.2736341123175</v>
      </c>
      <c r="AB337" s="735">
        <f t="shared" si="286"/>
        <v>1.5701627230614912</v>
      </c>
      <c r="AC337" s="733" t="str">
        <f>IMSUM(COMPLEX(1,0),IMDIV(COMPLEX(0,2*PI()*D337),COMPLEX(2*PI()*'Stability Calculations'!EA_Pole2,0)))</f>
        <v>1+15.8986670192582i</v>
      </c>
      <c r="AD337" s="734">
        <f t="shared" si="287"/>
        <v>15.93008515323281</v>
      </c>
      <c r="AE337" s="735">
        <f t="shared" si="288"/>
        <v>1.5079807218179497</v>
      </c>
      <c r="AF337" s="732" t="str">
        <f t="shared" si="289"/>
        <v>0.231761027265597-3.72195855972731i</v>
      </c>
      <c r="AG337" s="337">
        <f t="shared" si="290"/>
        <v>3.7291672923169585</v>
      </c>
      <c r="AH337" s="730">
        <f t="shared" si="291"/>
        <v>-1.5086080522462249</v>
      </c>
      <c r="AI337" s="731" t="str">
        <f t="shared" si="269"/>
        <v>10000</v>
      </c>
      <c r="AJ337" s="733" t="str">
        <f t="shared" si="292"/>
        <v>1+148609.899903288i</v>
      </c>
      <c r="AK337" s="734">
        <f t="shared" si="293"/>
        <v>148609.89990665251</v>
      </c>
      <c r="AL337" s="735">
        <f t="shared" si="294"/>
        <v>1.5707895977680912</v>
      </c>
      <c r="AM337" s="340" t="str">
        <f t="shared" si="295"/>
        <v>1+252.208076106208i</v>
      </c>
      <c r="AN337" s="734">
        <f t="shared" si="296"/>
        <v>252.21005858846075</v>
      </c>
      <c r="AO337" s="735">
        <f t="shared" si="297"/>
        <v>1.5668313674837895</v>
      </c>
      <c r="AP337" s="733" t="str">
        <f t="shared" si="298"/>
        <v>1+12.2325074134821i</v>
      </c>
      <c r="AQ337" s="734">
        <f t="shared" si="299"/>
        <v>12.273314043928579</v>
      </c>
      <c r="AR337" s="735">
        <f t="shared" si="300"/>
        <v>1.4892283209819905</v>
      </c>
      <c r="AS337" s="732" t="str">
        <f t="shared" si="301"/>
        <v>0.00434097871208484-9.31770118632277i</v>
      </c>
      <c r="AT337" s="337">
        <f t="shared" si="302"/>
        <v>9.3177021975214966</v>
      </c>
      <c r="AU337" s="730">
        <f t="shared" si="303"/>
        <v>-1.5703304416681672</v>
      </c>
      <c r="AV337" s="732" t="str">
        <f t="shared" si="304"/>
        <v>-0.538560978856462+0.0737396283678386i</v>
      </c>
      <c r="AW337" s="337">
        <f t="shared" si="305"/>
        <v>-5.2946388356890663</v>
      </c>
      <c r="AX337" s="730">
        <f t="shared" si="306"/>
        <v>172.20355567514753</v>
      </c>
      <c r="AY337" s="360">
        <f t="shared" si="307"/>
        <v>-7.7964443248524731</v>
      </c>
      <c r="BB337" s="337">
        <f t="shared" si="308"/>
        <v>-20.613823482477795</v>
      </c>
      <c r="BC337" s="730">
        <f t="shared" si="309"/>
        <v>-89.973306748500491</v>
      </c>
      <c r="BD337" s="351"/>
      <c r="BE337" s="337">
        <f t="shared" si="270"/>
        <v>36.489289044167265</v>
      </c>
      <c r="BF337" s="730">
        <f t="shared" si="271"/>
        <v>-88.799964029298295</v>
      </c>
      <c r="BI337" s="351"/>
      <c r="BJ337" s="351"/>
      <c r="BL337" s="405">
        <f t="shared" si="272"/>
        <v>0</v>
      </c>
      <c r="BM337" s="405">
        <f t="shared" si="260"/>
        <v>0</v>
      </c>
      <c r="BN337" s="405">
        <f t="shared" si="273"/>
        <v>0</v>
      </c>
      <c r="BO337" s="405">
        <f t="shared" si="274"/>
        <v>0</v>
      </c>
    </row>
    <row r="338" spans="4:67" ht="13.5" thickBot="1" x14ac:dyDescent="0.25">
      <c r="D338" s="345">
        <v>25265.25</v>
      </c>
      <c r="E338" s="340" t="str">
        <f t="shared" si="261"/>
        <v>0.419090093617058i</v>
      </c>
      <c r="F338" s="728" t="str">
        <f t="shared" si="275"/>
        <v>0.005-0.103268221281641i</v>
      </c>
      <c r="G338" s="337" t="str">
        <f t="shared" si="276"/>
        <v>0.005-0.161522089696926i</v>
      </c>
      <c r="H338" s="338" t="str">
        <f t="shared" si="277"/>
        <v>0.0257967557312838-0.157450310972558i</v>
      </c>
      <c r="I338" s="338" t="str">
        <f t="shared" si="278"/>
        <v>0.0357967557312838-0.157450310972558i</v>
      </c>
      <c r="J338" s="337" t="str">
        <f t="shared" si="279"/>
        <v>0.00736665790874504-0.0628308443490635i</v>
      </c>
      <c r="K338" s="338" t="str">
        <f t="shared" si="262"/>
        <v>0.99290741269375-0.132288539651849i</v>
      </c>
      <c r="L338" s="732"/>
      <c r="M338" s="732" t="str">
        <f t="shared" si="263"/>
        <v>1.36919264201113-66.215582261135i</v>
      </c>
      <c r="N338" s="337">
        <f t="shared" si="264"/>
        <v>0</v>
      </c>
      <c r="O338" s="730" t="str">
        <f t="shared" si="265"/>
        <v>-2.23303548211503-25.8517059629306i</v>
      </c>
      <c r="P338" s="731" t="str">
        <f t="shared" si="266"/>
        <v>-4.15029456872712-0.573815072520233i</v>
      </c>
      <c r="Q338" s="729" t="str">
        <f t="shared" si="267"/>
        <v>-4.12796421390597-0.315298012890927i</v>
      </c>
      <c r="R338" s="730"/>
      <c r="S338" s="405" t="str">
        <f t="shared" si="280"/>
        <v>39.7551864704997-3.69124255319524i</v>
      </c>
      <c r="T338" s="405" t="str">
        <f t="shared" si="281"/>
        <v>15.332550789609-3.09886083950691i</v>
      </c>
      <c r="U338" s="405" t="str">
        <f t="shared" si="282"/>
        <v>-0.092386535383998-2.49405544594847i</v>
      </c>
      <c r="V338" s="731" t="str">
        <f t="shared" si="268"/>
        <v>6000</v>
      </c>
      <c r="W338" s="733" t="str">
        <f>IMSUM(COMPLEX(1,0),IMDIV(COMPLEX(0,2*PI()*D338),COMPLEX(2*PI()*'Stability Calculations'!EA_Pole1,0)))</f>
        <v>1+160333.710058041i</v>
      </c>
      <c r="X338" s="734">
        <f t="shared" si="283"/>
        <v>160333.71006115951</v>
      </c>
      <c r="Y338" s="735">
        <f t="shared" si="284"/>
        <v>1.5707900898033142</v>
      </c>
      <c r="Z338" s="340" t="str">
        <f>IMSUM(COMPLEX(1,0),IMDIV(COMPLEX(0,2*PI()*D338),COMPLEX(2*PI()*'Stability Calculations'!EA_Zero1,0)))</f>
        <v>1+1587.46247582219i</v>
      </c>
      <c r="AA338" s="734">
        <f t="shared" si="285"/>
        <v>1587.4627907902336</v>
      </c>
      <c r="AB338" s="735">
        <f t="shared" si="286"/>
        <v>1.5701663907284023</v>
      </c>
      <c r="AC338" s="733" t="str">
        <f>IMSUM(COMPLEX(1,0),IMDIV(COMPLEX(0,2*PI()*D338),COMPLEX(2*PI()*'Stability Calculations'!EA_Pole2,0)))</f>
        <v>1+15.9912336043758i</v>
      </c>
      <c r="AD338" s="734">
        <f t="shared" si="287"/>
        <v>16.022470227456122</v>
      </c>
      <c r="AE338" s="735">
        <f t="shared" si="288"/>
        <v>1.5083433876835695</v>
      </c>
      <c r="AF338" s="732" t="str">
        <f t="shared" si="289"/>
        <v>0.229096078459049-3.70058034362633i</v>
      </c>
      <c r="AG338" s="337">
        <f t="shared" si="290"/>
        <v>3.7076650189571985</v>
      </c>
      <c r="AH338" s="730">
        <f t="shared" si="291"/>
        <v>-1.5089670867584815</v>
      </c>
      <c r="AI338" s="731" t="str">
        <f t="shared" si="269"/>
        <v>10000</v>
      </c>
      <c r="AJ338" s="733" t="str">
        <f t="shared" si="292"/>
        <v>1+149475.149230923i</v>
      </c>
      <c r="AK338" s="734">
        <f t="shared" si="293"/>
        <v>149475.14923426806</v>
      </c>
      <c r="AL338" s="735">
        <f t="shared" si="294"/>
        <v>1.5707896367196224</v>
      </c>
      <c r="AM338" s="340" t="str">
        <f t="shared" si="295"/>
        <v>1+253.676503636386i</v>
      </c>
      <c r="AN338" s="734">
        <f t="shared" si="296"/>
        <v>253.67847464296489</v>
      </c>
      <c r="AO338" s="735">
        <f t="shared" si="297"/>
        <v>1.5668543187419204</v>
      </c>
      <c r="AP338" s="733" t="str">
        <f t="shared" si="298"/>
        <v>1+12.30372856915i</v>
      </c>
      <c r="AQ338" s="734">
        <f t="shared" si="299"/>
        <v>12.344299765613192</v>
      </c>
      <c r="AR338" s="735">
        <f t="shared" si="300"/>
        <v>1.4896984106717135</v>
      </c>
      <c r="AS338" s="732" t="str">
        <f t="shared" si="301"/>
        <v>0.00429086794671849-9.26376492160839i</v>
      </c>
      <c r="AT338" s="337">
        <f t="shared" si="302"/>
        <v>9.2637659153483494</v>
      </c>
      <c r="AU338" s="730">
        <f t="shared" si="303"/>
        <v>-1.5703331384825669</v>
      </c>
      <c r="AV338" s="732" t="str">
        <f t="shared" si="304"/>
        <v>-0.532230693060449+0.073446337433061i</v>
      </c>
      <c r="AW338" s="337">
        <f t="shared" si="305"/>
        <v>-5.3960756256399476</v>
      </c>
      <c r="AX338" s="730">
        <f t="shared" si="306"/>
        <v>172.14296734492882</v>
      </c>
      <c r="AY338" s="360">
        <f t="shared" si="307"/>
        <v>-7.8570326550711798</v>
      </c>
      <c r="BB338" s="337">
        <f t="shared" si="308"/>
        <v>-20.664248551946201</v>
      </c>
      <c r="BC338" s="730">
        <f t="shared" si="309"/>
        <v>-89.973461264583719</v>
      </c>
      <c r="BD338" s="351"/>
      <c r="BE338" s="337">
        <f t="shared" si="270"/>
        <v>36.421060569096767</v>
      </c>
      <c r="BF338" s="730">
        <f t="shared" si="271"/>
        <v>-88.815418077268433</v>
      </c>
      <c r="BI338" s="351"/>
      <c r="BJ338" s="351"/>
      <c r="BL338" s="405">
        <f t="shared" si="272"/>
        <v>0</v>
      </c>
      <c r="BM338" s="405">
        <f t="shared" si="260"/>
        <v>0</v>
      </c>
      <c r="BN338" s="405">
        <f t="shared" si="273"/>
        <v>0</v>
      </c>
      <c r="BO338" s="405">
        <f t="shared" si="274"/>
        <v>0</v>
      </c>
    </row>
    <row r="339" spans="4:67" ht="13.5" thickBot="1" x14ac:dyDescent="0.25">
      <c r="D339" s="345">
        <v>25411.5</v>
      </c>
      <c r="E339" s="340" t="str">
        <f t="shared" si="261"/>
        <v>0.42151603146416i</v>
      </c>
      <c r="F339" s="728" t="str">
        <f t="shared" si="275"/>
        <v>0.005-0.102673884962949i</v>
      </c>
      <c r="G339" s="337" t="str">
        <f t="shared" si="276"/>
        <v>0.005-0.160592486736921i</v>
      </c>
      <c r="H339" s="338" t="str">
        <f t="shared" si="277"/>
        <v>0.0255618864481793-0.156575016605338i</v>
      </c>
      <c r="I339" s="338" t="str">
        <f t="shared" si="278"/>
        <v>0.0355618864481793-0.156575016605338i</v>
      </c>
      <c r="J339" s="337" t="str">
        <f t="shared" si="279"/>
        <v>0.00732960367405866-0.0624714637737385i</v>
      </c>
      <c r="K339" s="338" t="str">
        <f t="shared" si="262"/>
        <v>0.992825062975-0.133054302861162i</v>
      </c>
      <c r="L339" s="732"/>
      <c r="M339" s="732" t="str">
        <f t="shared" si="263"/>
        <v>1.34126571904222-65.7026207236701i</v>
      </c>
      <c r="N339" s="337">
        <f t="shared" si="264"/>
        <v>0</v>
      </c>
      <c r="O339" s="730" t="str">
        <f t="shared" si="265"/>
        <v>-2.21461034544438-25.6487421152711i</v>
      </c>
      <c r="P339" s="731" t="str">
        <f t="shared" si="266"/>
        <v>-4.09470794423626-0.565365003029597i</v>
      </c>
      <c r="Q339" s="729" t="str">
        <f t="shared" si="267"/>
        <v>-4.07256184078182-0.308877581876885i</v>
      </c>
      <c r="R339" s="730"/>
      <c r="S339" s="405" t="str">
        <f t="shared" si="280"/>
        <v>39.7520056482497-3.73089891464249i</v>
      </c>
      <c r="T339" s="405" t="str">
        <f t="shared" si="281"/>
        <v>15.3290091352392-3.10928756403428i</v>
      </c>
      <c r="U339" s="405" t="str">
        <f t="shared" si="282"/>
        <v>-0.0949983610913513-2.47961911554004i</v>
      </c>
      <c r="V339" s="731" t="str">
        <f t="shared" si="268"/>
        <v>6000</v>
      </c>
      <c r="W339" s="733" t="str">
        <f>IMSUM(COMPLEX(1,0),IMDIV(COMPLEX(0,2*PI()*D339),COMPLEX(2*PI()*'Stability Calculations'!EA_Pole1,0)))</f>
        <v>1+161261.815067728i</v>
      </c>
      <c r="X339" s="734">
        <f t="shared" si="283"/>
        <v>161261.81507082854</v>
      </c>
      <c r="Y339" s="735">
        <f t="shared" si="284"/>
        <v>1.5707901256988741</v>
      </c>
      <c r="Z339" s="340" t="str">
        <f>IMSUM(COMPLEX(1,0),IMDIV(COMPLEX(0,2*PI()*D339),COMPLEX(2*PI()*'Stability Calculations'!EA_Zero1,0)))</f>
        <v>1+1596.65163433394i</v>
      </c>
      <c r="AA339" s="734">
        <f t="shared" si="285"/>
        <v>1596.6519474892584</v>
      </c>
      <c r="AB339" s="735">
        <f t="shared" si="286"/>
        <v>1.5701700161785159</v>
      </c>
      <c r="AC339" s="733" t="str">
        <f>IMSUM(COMPLEX(1,0),IMDIV(COMPLEX(0,2*PI()*D339),COMPLEX(2*PI()*'Stability Calculations'!EA_Pole2,0)))</f>
        <v>1+16.0838001894932i</v>
      </c>
      <c r="AD339" s="734">
        <f t="shared" si="287"/>
        <v>16.114857384896137</v>
      </c>
      <c r="AE339" s="735">
        <f t="shared" si="288"/>
        <v>1.5087018952384676</v>
      </c>
      <c r="AF339" s="732" t="str">
        <f t="shared" si="289"/>
        <v>0.226476773355232-3.67944536439843i</v>
      </c>
      <c r="AG339" s="337">
        <f t="shared" si="290"/>
        <v>3.6864088105448225</v>
      </c>
      <c r="AH339" s="730">
        <f t="shared" si="291"/>
        <v>-1.5093220047588261</v>
      </c>
      <c r="AI339" s="731" t="str">
        <f t="shared" si="269"/>
        <v>10000</v>
      </c>
      <c r="AJ339" s="733" t="str">
        <f t="shared" si="292"/>
        <v>1+150340.398558557i</v>
      </c>
      <c r="AK339" s="734">
        <f t="shared" si="293"/>
        <v>150340.39856188282</v>
      </c>
      <c r="AL339" s="735">
        <f t="shared" si="294"/>
        <v>1.5707896752228003</v>
      </c>
      <c r="AM339" s="340" t="str">
        <f t="shared" si="295"/>
        <v>1+255.144931166564i</v>
      </c>
      <c r="AN339" s="734">
        <f t="shared" si="296"/>
        <v>255.14689082955854</v>
      </c>
      <c r="AO339" s="735">
        <f t="shared" si="297"/>
        <v>1.5668770058228372</v>
      </c>
      <c r="AP339" s="733" t="str">
        <f t="shared" si="298"/>
        <v>1+12.3749497248178i</v>
      </c>
      <c r="AQ339" s="734">
        <f t="shared" si="299"/>
        <v>12.415288183999925</v>
      </c>
      <c r="AR339" s="735">
        <f t="shared" si="300"/>
        <v>1.490163124684021</v>
      </c>
      <c r="AS339" s="732" t="str">
        <f t="shared" si="301"/>
        <v>0.00424161989165748-9.21044949184405i</v>
      </c>
      <c r="AT339" s="337">
        <f t="shared" si="302"/>
        <v>9.2104504685248507</v>
      </c>
      <c r="AU339" s="730">
        <f t="shared" si="303"/>
        <v>-1.5703358042551923</v>
      </c>
      <c r="AV339" s="732" t="str">
        <f t="shared" si="304"/>
        <v>-0.526009717550195+0.0731539065301267i</v>
      </c>
      <c r="AW339" s="337">
        <f t="shared" si="305"/>
        <v>-5.4969280945112509</v>
      </c>
      <c r="AX339" s="730">
        <f t="shared" si="306"/>
        <v>172.08247161811721</v>
      </c>
      <c r="AY339" s="360">
        <f t="shared" si="307"/>
        <v>-7.9175283818827893</v>
      </c>
      <c r="BB339" s="337">
        <f t="shared" si="308"/>
        <v>-20.714382572587642</v>
      </c>
      <c r="BC339" s="730">
        <f t="shared" si="309"/>
        <v>-89.973614002104298</v>
      </c>
      <c r="BD339" s="351"/>
      <c r="BE339" s="337">
        <f t="shared" si="270"/>
        <v>36.353463355857876</v>
      </c>
      <c r="BF339" s="730">
        <f t="shared" si="271"/>
        <v>-88.83051556513891</v>
      </c>
      <c r="BI339" s="351"/>
      <c r="BJ339" s="351"/>
      <c r="BL339" s="405">
        <f t="shared" si="272"/>
        <v>0</v>
      </c>
      <c r="BM339" s="405">
        <f t="shared" si="260"/>
        <v>0</v>
      </c>
      <c r="BN339" s="405">
        <f t="shared" si="273"/>
        <v>0</v>
      </c>
      <c r="BO339" s="405">
        <f t="shared" si="274"/>
        <v>0</v>
      </c>
    </row>
    <row r="340" spans="4:67" ht="13.5" thickBot="1" x14ac:dyDescent="0.25">
      <c r="D340" s="345">
        <v>25557.75</v>
      </c>
      <c r="E340" s="340" t="str">
        <f t="shared" si="261"/>
        <v>0.423941969311262i</v>
      </c>
      <c r="F340" s="728" t="str">
        <f t="shared" si="275"/>
        <v>0.005-0.102086350626952i</v>
      </c>
      <c r="G340" s="337" t="str">
        <f t="shared" si="276"/>
        <v>0.005-0.15967352277549i</v>
      </c>
      <c r="H340" s="338" t="str">
        <f t="shared" si="277"/>
        <v>0.0253309473232497-0.155709226015691i</v>
      </c>
      <c r="I340" s="338" t="str">
        <f t="shared" si="278"/>
        <v>0.0353309473232497-0.155709226015691i</v>
      </c>
      <c r="J340" s="337" t="str">
        <f t="shared" si="279"/>
        <v>0.00729318096413721-0.0621161658865625i</v>
      </c>
      <c r="K340" s="338" t="str">
        <f t="shared" si="262"/>
        <v>0.99274223794375-0.133820066070474i</v>
      </c>
      <c r="L340" s="732"/>
      <c r="M340" s="732" t="str">
        <f t="shared" si="263"/>
        <v>1.31417593233748-65.1982673812158i</v>
      </c>
      <c r="N340" s="337">
        <f t="shared" si="264"/>
        <v>0</v>
      </c>
      <c r="O340" s="730" t="str">
        <f t="shared" si="265"/>
        <v>-2.19647067095125-25.4492208400229i</v>
      </c>
      <c r="P340" s="731" t="str">
        <f t="shared" si="266"/>
        <v>-4.04028186927479-0.557134332776613i</v>
      </c>
      <c r="Q340" s="729" t="str">
        <f t="shared" si="267"/>
        <v>-4.01831716256528-0.302642124376382i</v>
      </c>
      <c r="R340" s="730"/>
      <c r="S340" s="405" t="str">
        <f t="shared" si="280"/>
        <v>39.7487680411766-3.77044953334944i</v>
      </c>
      <c r="T340" s="405" t="str">
        <f t="shared" si="281"/>
        <v>15.3254623571766-3.11975099954278i</v>
      </c>
      <c r="U340" s="405" t="str">
        <f t="shared" si="282"/>
        <v>-0.0975655338263988-2.46534213019965i</v>
      </c>
      <c r="V340" s="731" t="str">
        <f t="shared" si="268"/>
        <v>6000</v>
      </c>
      <c r="W340" s="733" t="str">
        <f>IMSUM(COMPLEX(1,0),IMDIV(COMPLEX(0,2*PI()*D340),COMPLEX(2*PI()*'Stability Calculations'!EA_Pole1,0)))</f>
        <v>1+162189.920077415i</v>
      </c>
      <c r="X340" s="734">
        <f t="shared" si="283"/>
        <v>162189.92008049783</v>
      </c>
      <c r="Y340" s="735">
        <f t="shared" si="284"/>
        <v>1.5707901611836212</v>
      </c>
      <c r="Z340" s="340" t="str">
        <f>IMSUM(COMPLEX(1,0),IMDIV(COMPLEX(0,2*PI()*D340),COMPLEX(2*PI()*'Stability Calculations'!EA_Zero1,0)))</f>
        <v>1+1605.84079284569i</v>
      </c>
      <c r="AA340" s="734">
        <f t="shared" si="285"/>
        <v>1605.8411042090293</v>
      </c>
      <c r="AB340" s="735">
        <f t="shared" si="286"/>
        <v>1.5701736001365676</v>
      </c>
      <c r="AC340" s="733" t="str">
        <f>IMSUM(COMPLEX(1,0),IMDIV(COMPLEX(0,2*PI()*D340),COMPLEX(2*PI()*'Stability Calculations'!EA_Pole2,0)))</f>
        <v>1+16.1763667746107i</v>
      </c>
      <c r="AD340" s="734">
        <f t="shared" si="287"/>
        <v>16.207246589927884</v>
      </c>
      <c r="AE340" s="735">
        <f t="shared" si="288"/>
        <v>1.5090563155028858</v>
      </c>
      <c r="AF340" s="732" t="str">
        <f t="shared" si="289"/>
        <v>0.223902076846717-3.65854951038393i</v>
      </c>
      <c r="AG340" s="337">
        <f t="shared" si="290"/>
        <v>3.6653944753527918</v>
      </c>
      <c r="AH340" s="730">
        <f t="shared" si="291"/>
        <v>-1.509672876549939</v>
      </c>
      <c r="AI340" s="731" t="str">
        <f t="shared" si="269"/>
        <v>10000</v>
      </c>
      <c r="AJ340" s="733" t="str">
        <f t="shared" si="292"/>
        <v>1+151205.647886192i</v>
      </c>
      <c r="AK340" s="734">
        <f t="shared" si="293"/>
        <v>151205.64788949874</v>
      </c>
      <c r="AL340" s="735">
        <f t="shared" si="294"/>
        <v>1.5707897132853224</v>
      </c>
      <c r="AM340" s="340" t="str">
        <f t="shared" si="295"/>
        <v>1+256.613358696741i</v>
      </c>
      <c r="AN340" s="734">
        <f t="shared" si="296"/>
        <v>256.61530714597336</v>
      </c>
      <c r="AO340" s="735">
        <f t="shared" si="297"/>
        <v>1.5668994332615782</v>
      </c>
      <c r="AP340" s="733" t="str">
        <f t="shared" si="298"/>
        <v>1+12.4461708804857i</v>
      </c>
      <c r="AQ340" s="734">
        <f t="shared" si="299"/>
        <v>12.486279253094184</v>
      </c>
      <c r="AR340" s="735">
        <f t="shared" si="300"/>
        <v>1.4906225545071305</v>
      </c>
      <c r="AS340" s="732" t="str">
        <f t="shared" si="301"/>
        <v>0.00419321485664835-9.15774423916262i</v>
      </c>
      <c r="AT340" s="337">
        <f t="shared" si="302"/>
        <v>9.157745199172501</v>
      </c>
      <c r="AU340" s="730">
        <f t="shared" si="303"/>
        <v>-1.5703384395189379</v>
      </c>
      <c r="AV340" s="732" t="str">
        <f t="shared" si="304"/>
        <v>-0.519895548718248+0.0728623789325827i</v>
      </c>
      <c r="AW340" s="337">
        <f t="shared" si="305"/>
        <v>-5.5972030166473763</v>
      </c>
      <c r="AX340" s="730">
        <f t="shared" si="306"/>
        <v>172.02206678555424</v>
      </c>
      <c r="AY340" s="360">
        <f t="shared" si="307"/>
        <v>-7.9779332144457555</v>
      </c>
      <c r="BB340" s="337">
        <f t="shared" si="308"/>
        <v>-20.764228884943037</v>
      </c>
      <c r="BC340" s="730">
        <f t="shared" si="309"/>
        <v>-89.973764991594834</v>
      </c>
      <c r="BD340" s="351"/>
      <c r="BE340" s="337">
        <f t="shared" si="270"/>
        <v>36.286485225270262</v>
      </c>
      <c r="BF340" s="730">
        <f t="shared" si="271"/>
        <v>-88.845267787600392</v>
      </c>
      <c r="BI340" s="351"/>
      <c r="BJ340" s="351"/>
      <c r="BL340" s="405">
        <f t="shared" si="272"/>
        <v>0</v>
      </c>
      <c r="BM340" s="405">
        <f t="shared" si="260"/>
        <v>0</v>
      </c>
      <c r="BN340" s="405">
        <f t="shared" si="273"/>
        <v>0</v>
      </c>
      <c r="BO340" s="405">
        <f t="shared" si="274"/>
        <v>0</v>
      </c>
    </row>
    <row r="341" spans="4:67" ht="13.5" thickBot="1" x14ac:dyDescent="0.25">
      <c r="D341" s="345">
        <v>25704</v>
      </c>
      <c r="E341" s="340" t="str">
        <f t="shared" si="261"/>
        <v>0.426367907158364i</v>
      </c>
      <c r="F341" s="728" t="str">
        <f t="shared" si="275"/>
        <v>0.005-0.101505502168378i</v>
      </c>
      <c r="G341" s="337" t="str">
        <f t="shared" si="276"/>
        <v>0.005-0.158765016212078i</v>
      </c>
      <c r="H341" s="338" t="str">
        <f t="shared" si="277"/>
        <v>0.0251038516535207-0.154852788248244i</v>
      </c>
      <c r="I341" s="338" t="str">
        <f t="shared" si="278"/>
        <v>0.0351038516535207-0.154852788248244i</v>
      </c>
      <c r="J341" s="337" t="str">
        <f t="shared" si="279"/>
        <v>0.00725737550530721-0.0617648817206967i</v>
      </c>
      <c r="K341" s="338" t="str">
        <f t="shared" si="262"/>
        <v>0.9926589376-0.134585829279787i</v>
      </c>
      <c r="L341" s="732"/>
      <c r="M341" s="732" t="str">
        <f t="shared" si="263"/>
        <v>1.28789075707773-64.7022971486537i</v>
      </c>
      <c r="N341" s="337">
        <f t="shared" si="264"/>
        <v>0</v>
      </c>
      <c r="O341" s="730" t="str">
        <f t="shared" si="265"/>
        <v>-2.17861153836108-25.2530510531579i</v>
      </c>
      <c r="P341" s="731" t="str">
        <f t="shared" si="266"/>
        <v>-3.98698302361003-0.549115286743832i</v>
      </c>
      <c r="Q341" s="729" t="str">
        <f t="shared" si="267"/>
        <v>-3.96519690822642-0.296584776212253i</v>
      </c>
      <c r="R341" s="730"/>
      <c r="S341" s="405" t="str">
        <f t="shared" si="280"/>
        <v>39.745474285545-3.80989607145575i</v>
      </c>
      <c r="T341" s="405" t="str">
        <f t="shared" si="281"/>
        <v>15.3219102068539-3.13025045999028i</v>
      </c>
      <c r="U341" s="405" t="str">
        <f t="shared" si="282"/>
        <v>-0.100089050763417-2.4512218600065i</v>
      </c>
      <c r="V341" s="731" t="str">
        <f t="shared" si="268"/>
        <v>6000</v>
      </c>
      <c r="W341" s="733" t="str">
        <f>IMSUM(COMPLEX(1,0),IMDIV(COMPLEX(0,2*PI()*D341),COMPLEX(2*PI()*'Stability Calculations'!EA_Pole1,0)))</f>
        <v>1+163118.025087101i</v>
      </c>
      <c r="X341" s="734">
        <f t="shared" si="283"/>
        <v>163118.02509016625</v>
      </c>
      <c r="Y341" s="735">
        <f t="shared" si="284"/>
        <v>1.5707901962645676</v>
      </c>
      <c r="Z341" s="340" t="str">
        <f>IMSUM(COMPLEX(1,0),IMDIV(COMPLEX(0,2*PI()*D341),COMPLEX(2*PI()*'Stability Calculations'!EA_Zero1,0)))</f>
        <v>1+1615.02995135744i</v>
      </c>
      <c r="AA341" s="734">
        <f t="shared" si="285"/>
        <v>1615.0302609491921</v>
      </c>
      <c r="AB341" s="735">
        <f t="shared" si="286"/>
        <v>1.5701771433107987</v>
      </c>
      <c r="AC341" s="733" t="str">
        <f>IMSUM(COMPLEX(1,0),IMDIV(COMPLEX(0,2*PI()*D341),COMPLEX(2*PI()*'Stability Calculations'!EA_Pole2,0)))</f>
        <v>1+16.2689333597283i</v>
      </c>
      <c r="AD341" s="734">
        <f t="shared" si="287"/>
        <v>16.299637807733038</v>
      </c>
      <c r="AE341" s="735">
        <f t="shared" si="288"/>
        <v>1.5094067178909694</v>
      </c>
      <c r="AF341" s="732" t="str">
        <f t="shared" si="289"/>
        <v>0.221370982966393-3.63788876170977i</v>
      </c>
      <c r="AG341" s="337">
        <f t="shared" si="290"/>
        <v>3.64461791614344</v>
      </c>
      <c r="AH341" s="730">
        <f t="shared" si="291"/>
        <v>-1.510019770844738</v>
      </c>
      <c r="AI341" s="731" t="str">
        <f t="shared" si="269"/>
        <v>10000</v>
      </c>
      <c r="AJ341" s="733" t="str">
        <f t="shared" si="292"/>
        <v>1+152070.897213827i</v>
      </c>
      <c r="AK341" s="734">
        <f t="shared" si="293"/>
        <v>152070.89721711495</v>
      </c>
      <c r="AL341" s="735">
        <f t="shared" si="294"/>
        <v>1.5707897509147097</v>
      </c>
      <c r="AM341" s="340" t="str">
        <f t="shared" si="295"/>
        <v>1+258.081786226919i</v>
      </c>
      <c r="AN341" s="734">
        <f t="shared" si="296"/>
        <v>258.08372358999532</v>
      </c>
      <c r="AO341" s="735">
        <f t="shared" si="297"/>
        <v>1.5669216054899715</v>
      </c>
      <c r="AP341" s="733" t="str">
        <f t="shared" si="298"/>
        <v>1+12.5173920361536i</v>
      </c>
      <c r="AQ341" s="734">
        <f t="shared" si="299"/>
        <v>12.557272927939474</v>
      </c>
      <c r="AR341" s="735">
        <f t="shared" si="300"/>
        <v>1.4910767895693491</v>
      </c>
      <c r="AS341" s="732" t="str">
        <f t="shared" si="301"/>
        <v>0.00414563371000482-9.10563874826019i</v>
      </c>
      <c r="AT341" s="337">
        <f t="shared" si="302"/>
        <v>9.1056396919764104</v>
      </c>
      <c r="AU341" s="730">
        <f t="shared" si="303"/>
        <v>-1.5703410447945692</v>
      </c>
      <c r="AV341" s="732" t="str">
        <f t="shared" si="304"/>
        <v>-0.513885754264239+0.0725717952302971i</v>
      </c>
      <c r="AW341" s="337">
        <f t="shared" si="305"/>
        <v>-5.696907049512153</v>
      </c>
      <c r="AX341" s="730">
        <f t="shared" si="306"/>
        <v>171.96175117976387</v>
      </c>
      <c r="AY341" s="360">
        <f t="shared" si="307"/>
        <v>-8.0382488202361344</v>
      </c>
      <c r="BB341" s="337">
        <f t="shared" si="308"/>
        <v>-20.813790772369284</v>
      </c>
      <c r="BC341" s="730">
        <f t="shared" si="309"/>
        <v>-89.973914262892961</v>
      </c>
      <c r="BD341" s="351"/>
      <c r="BE341" s="337">
        <f t="shared" si="270"/>
        <v>36.220114347599107</v>
      </c>
      <c r="BF341" s="730">
        <f t="shared" si="271"/>
        <v>-88.85968559022362</v>
      </c>
      <c r="BI341" s="351"/>
      <c r="BJ341" s="351"/>
      <c r="BL341" s="405">
        <f t="shared" si="272"/>
        <v>0</v>
      </c>
      <c r="BM341" s="405">
        <f t="shared" si="260"/>
        <v>0</v>
      </c>
      <c r="BN341" s="405">
        <f t="shared" si="273"/>
        <v>0</v>
      </c>
      <c r="BO341" s="405">
        <f t="shared" si="274"/>
        <v>0</v>
      </c>
    </row>
    <row r="342" spans="4:67" ht="13.5" thickBot="1" x14ac:dyDescent="0.25">
      <c r="D342" s="345">
        <v>25853.75</v>
      </c>
      <c r="E342" s="340" t="str">
        <f t="shared" si="261"/>
        <v>0.428851901637705i</v>
      </c>
      <c r="F342" s="728" t="str">
        <f t="shared" si="275"/>
        <v>0.005-0.100917562355016i</v>
      </c>
      <c r="G342" s="337" t="str">
        <f t="shared" si="276"/>
        <v>0.005-0.157845418042461i</v>
      </c>
      <c r="H342" s="338" t="str">
        <f t="shared" si="277"/>
        <v>0.0248752156682969-0.153985391379756i</v>
      </c>
      <c r="I342" s="338" t="str">
        <f t="shared" si="278"/>
        <v>0.0348752156682969-0.153985391379756i</v>
      </c>
      <c r="J342" s="337" t="str">
        <f t="shared" si="279"/>
        <v>0.00722133826196236-0.0614092792933405i</v>
      </c>
      <c r="K342" s="338" t="str">
        <f t="shared" si="262"/>
        <v>0.992573151232639-0.135369918446245i</v>
      </c>
      <c r="L342" s="732"/>
      <c r="M342" s="732" t="str">
        <f t="shared" si="263"/>
        <v>1.26177790665121-64.2029172457174i</v>
      </c>
      <c r="N342" s="337">
        <f t="shared" si="264"/>
        <v>0</v>
      </c>
      <c r="O342" s="730" t="str">
        <f t="shared" si="265"/>
        <v>-2.16061061187019-25.0555676475497i</v>
      </c>
      <c r="P342" s="731" t="str">
        <f t="shared" si="266"/>
        <v>-3.9335431515141-0.541115854711814i</v>
      </c>
      <c r="Q342" s="729" t="str">
        <f t="shared" si="267"/>
        <v>-3.9119370453954-0.290560178236314i</v>
      </c>
      <c r="R342" s="730"/>
      <c r="S342" s="405" t="str">
        <f t="shared" si="280"/>
        <v>39.7420441706764-3.85018048024938i</v>
      </c>
      <c r="T342" s="405" t="str">
        <f t="shared" si="281"/>
        <v>15.3182672289185-3.141037816655i</v>
      </c>
      <c r="U342" s="405" t="str">
        <f t="shared" si="282"/>
        <v>-0.102628736552287-2.4369233676163i</v>
      </c>
      <c r="V342" s="731" t="str">
        <f t="shared" si="268"/>
        <v>6000</v>
      </c>
      <c r="W342" s="733" t="str">
        <f>IMSUM(COMPLEX(1,0),IMDIV(COMPLEX(0,2*PI()*D342),COMPLEX(2*PI()*'Stability Calculations'!EA_Pole1,0)))</f>
        <v>1+164068.341156849i</v>
      </c>
      <c r="X342" s="734">
        <f t="shared" si="283"/>
        <v>164068.34115989649</v>
      </c>
      <c r="Y342" s="735">
        <f t="shared" si="284"/>
        <v>1.5707902317738041</v>
      </c>
      <c r="Z342" s="340" t="str">
        <f>IMSUM(COMPLEX(1,0),IMDIV(COMPLEX(0,2*PI()*D342),COMPLEX(2*PI()*'Stability Calculations'!EA_Zero1,0)))</f>
        <v>1+1624.43902135494i</v>
      </c>
      <c r="AA342" s="734">
        <f t="shared" si="285"/>
        <v>1624.4393291534761</v>
      </c>
      <c r="AB342" s="735">
        <f t="shared" si="286"/>
        <v>1.5701807297422932</v>
      </c>
      <c r="AC342" s="733" t="str">
        <f>IMSUM(COMPLEX(1,0),IMDIV(COMPLEX(0,2*PI()*D342),COMPLEX(2*PI()*'Stability Calculations'!EA_Pole2,0)))</f>
        <v>1+16.3637152135494i</v>
      </c>
      <c r="AD342" s="734">
        <f t="shared" si="287"/>
        <v>16.394242147478124</v>
      </c>
      <c r="AE342" s="735">
        <f t="shared" si="288"/>
        <v>1.5097614135785256</v>
      </c>
      <c r="AF342" s="732" t="str">
        <f t="shared" si="289"/>
        <v>0.218823475139727-3.61697307531976i</v>
      </c>
      <c r="AG342" s="337">
        <f t="shared" si="290"/>
        <v>3.6235863368850905</v>
      </c>
      <c r="AH342" s="730">
        <f t="shared" si="291"/>
        <v>-1.5103709156100362</v>
      </c>
      <c r="AI342" s="731" t="str">
        <f t="shared" si="269"/>
        <v>10000</v>
      </c>
      <c r="AJ342" s="733" t="str">
        <f t="shared" si="292"/>
        <v>1+152956.853362977i</v>
      </c>
      <c r="AK342" s="734">
        <f t="shared" si="293"/>
        <v>152956.85336624589</v>
      </c>
      <c r="AL342" s="735">
        <f t="shared" si="294"/>
        <v>1.5707897890034999</v>
      </c>
      <c r="AM342" s="340" t="str">
        <f t="shared" si="295"/>
        <v>1+259.585355612519i</v>
      </c>
      <c r="AN342" s="734">
        <f t="shared" si="296"/>
        <v>259.58728175409124</v>
      </c>
      <c r="AO342" s="735">
        <f t="shared" si="297"/>
        <v>1.5669440484144286</v>
      </c>
      <c r="AP342" s="733" t="str">
        <f t="shared" si="298"/>
        <v>1+12.5903176297349i</v>
      </c>
      <c r="AQ342" s="734">
        <f t="shared" si="299"/>
        <v>12.629968250855322</v>
      </c>
      <c r="AR342" s="735">
        <f t="shared" si="300"/>
        <v>1.4915366037869344</v>
      </c>
      <c r="AS342" s="732" t="str">
        <f t="shared" si="301"/>
        <v>0.00409774815387393-9.05289712113965i</v>
      </c>
      <c r="AT342" s="337">
        <f t="shared" si="302"/>
        <v>9.0528980485521018</v>
      </c>
      <c r="AU342" s="730">
        <f t="shared" si="303"/>
        <v>-1.5703436818770122</v>
      </c>
      <c r="AV342" s="732" t="str">
        <f t="shared" si="304"/>
        <v>-0.507837818656572+0.0722752751544035i</v>
      </c>
      <c r="AW342" s="337">
        <f t="shared" si="305"/>
        <v>-5.7984124489883886</v>
      </c>
      <c r="AX342" s="730">
        <f t="shared" si="306"/>
        <v>171.90008287977221</v>
      </c>
      <c r="AY342" s="360">
        <f t="shared" si="307"/>
        <v>-8.0999171202277864</v>
      </c>
      <c r="BB342" s="337">
        <f t="shared" si="308"/>
        <v>-20.864247410331323</v>
      </c>
      <c r="BC342" s="730">
        <f t="shared" si="309"/>
        <v>-89.974065356587175</v>
      </c>
      <c r="BD342" s="351"/>
      <c r="BE342" s="337">
        <f t="shared" si="270"/>
        <v>36.152772330464487</v>
      </c>
      <c r="BF342" s="730">
        <f t="shared" si="271"/>
        <v>-88.87411279223376</v>
      </c>
      <c r="BI342" s="351"/>
      <c r="BJ342" s="351"/>
      <c r="BL342" s="405">
        <f t="shared" si="272"/>
        <v>0</v>
      </c>
      <c r="BM342" s="405">
        <f t="shared" si="260"/>
        <v>0</v>
      </c>
      <c r="BN342" s="405">
        <f t="shared" si="273"/>
        <v>0</v>
      </c>
      <c r="BO342" s="405">
        <f t="shared" si="274"/>
        <v>0</v>
      </c>
    </row>
    <row r="343" spans="4:67" ht="13.5" thickBot="1" x14ac:dyDescent="0.25">
      <c r="D343" s="345">
        <v>26003.5</v>
      </c>
      <c r="E343" s="340" t="str">
        <f t="shared" si="261"/>
        <v>0.431335896117045i</v>
      </c>
      <c r="F343" s="728" t="str">
        <f t="shared" si="275"/>
        <v>0.005-0.100336394244467i</v>
      </c>
      <c r="G343" s="337" t="str">
        <f t="shared" si="276"/>
        <v>0.005-0.156936411510576i</v>
      </c>
      <c r="H343" s="338" t="str">
        <f t="shared" si="277"/>
        <v>0.0246504328296943-0.153127489932382i</v>
      </c>
      <c r="I343" s="338" t="str">
        <f t="shared" si="278"/>
        <v>0.0346504328296943-0.153127489932382i</v>
      </c>
      <c r="J343" s="337" t="str">
        <f t="shared" si="279"/>
        <v>0.00718591915074498-0.0610577435528484i</v>
      </c>
      <c r="K343" s="338" t="str">
        <f t="shared" si="262"/>
        <v>0.992486866530556-0.136154007612704i</v>
      </c>
      <c r="L343" s="732"/>
      <c r="M343" s="732" t="str">
        <f t="shared" si="263"/>
        <v>1.23644447426273-63.7118740239028i</v>
      </c>
      <c r="N343" s="337">
        <f t="shared" si="264"/>
        <v>0</v>
      </c>
      <c r="O343" s="730" t="str">
        <f t="shared" si="265"/>
        <v>-2.14289353290705-24.8614150774253i</v>
      </c>
      <c r="P343" s="731" t="str">
        <f t="shared" si="266"/>
        <v>-3.88121827539639-0.533322885305086i</v>
      </c>
      <c r="Q343" s="729" t="str">
        <f t="shared" si="267"/>
        <v>-3.85978934006732-0.284708734530832i</v>
      </c>
      <c r="R343" s="730"/>
      <c r="S343" s="405" t="str">
        <f t="shared" si="280"/>
        <v>39.7385564814288-3.8903591777942i</v>
      </c>
      <c r="T343" s="405" t="str">
        <f t="shared" si="281"/>
        <v>15.3146181133699-3.15186153332908i</v>
      </c>
      <c r="U343" s="405" t="str">
        <f t="shared" si="282"/>
        <v>-0.105124680097065-2.42278378198914i</v>
      </c>
      <c r="V343" s="731" t="str">
        <f t="shared" si="268"/>
        <v>6000</v>
      </c>
      <c r="W343" s="733" t="str">
        <f>IMSUM(COMPLEX(1,0),IMDIV(COMPLEX(0,2*PI()*D343),COMPLEX(2*PI()*'Stability Calculations'!EA_Pole1,0)))</f>
        <v>1+165018.657226596i</v>
      </c>
      <c r="X343" s="734">
        <f t="shared" si="283"/>
        <v>165018.65722962597</v>
      </c>
      <c r="Y343" s="735">
        <f t="shared" si="284"/>
        <v>1.5707902668740561</v>
      </c>
      <c r="Z343" s="340" t="str">
        <f>IMSUM(COMPLEX(1,0),IMDIV(COMPLEX(0,2*PI()*D343),COMPLEX(2*PI()*'Stability Calculations'!EA_Zero1,0)))</f>
        <v>1+1633.84809135244i</v>
      </c>
      <c r="AA343" s="734">
        <f t="shared" si="285"/>
        <v>1633.8483973784139</v>
      </c>
      <c r="AB343" s="735">
        <f t="shared" si="286"/>
        <v>1.5701842748664319</v>
      </c>
      <c r="AC343" s="733" t="str">
        <f>IMSUM(COMPLEX(1,0),IMDIV(COMPLEX(0,2*PI()*D343),COMPLEX(2*PI()*'Stability Calculations'!EA_Pole2,0)))</f>
        <v>1+16.4584970673706i</v>
      </c>
      <c r="AD343" s="734">
        <f t="shared" si="287"/>
        <v>16.488848526099289</v>
      </c>
      <c r="AE343" s="735">
        <f t="shared" si="288"/>
        <v>1.5101120391074838</v>
      </c>
      <c r="AF343" s="732" t="str">
        <f t="shared" si="289"/>
        <v>0.216319636689857-3.59629563581896i</v>
      </c>
      <c r="AG343" s="337">
        <f t="shared" si="290"/>
        <v>3.6027956485801593</v>
      </c>
      <c r="AH343" s="730">
        <f t="shared" si="291"/>
        <v>-1.5107180311151083</v>
      </c>
      <c r="AI343" s="731" t="str">
        <f t="shared" si="269"/>
        <v>10000</v>
      </c>
      <c r="AJ343" s="733" t="str">
        <f t="shared" si="292"/>
        <v>1+153842.809512128i</v>
      </c>
      <c r="AK343" s="734">
        <f t="shared" si="293"/>
        <v>153842.80951537806</v>
      </c>
      <c r="AL343" s="735">
        <f t="shared" si="294"/>
        <v>1.5707898266535956</v>
      </c>
      <c r="AM343" s="340" t="str">
        <f t="shared" si="295"/>
        <v>1+261.08892499812i</v>
      </c>
      <c r="AN343" s="734">
        <f t="shared" si="296"/>
        <v>261.09084004743232</v>
      </c>
      <c r="AO343" s="735">
        <f t="shared" si="297"/>
        <v>1.5669662328522707</v>
      </c>
      <c r="AP343" s="733" t="str">
        <f t="shared" si="298"/>
        <v>1+12.6632432233162i</v>
      </c>
      <c r="AQ343" s="734">
        <f t="shared" si="299"/>
        <v>12.702666213549959</v>
      </c>
      <c r="AR343" s="735">
        <f t="shared" si="300"/>
        <v>1.4919911550224521</v>
      </c>
      <c r="AS343" s="732" t="str">
        <f t="shared" si="301"/>
        <v>0.00405068750887184-9.00076295484819i</v>
      </c>
      <c r="AT343" s="337">
        <f t="shared" si="302"/>
        <v>9.0007638663302796</v>
      </c>
      <c r="AU343" s="730">
        <f t="shared" si="303"/>
        <v>-1.5703462885863888</v>
      </c>
      <c r="AV343" s="732" t="str">
        <f t="shared" si="304"/>
        <v>-0.501894370371633+0.0719798227777592i</v>
      </c>
      <c r="AW343" s="337">
        <f t="shared" si="305"/>
        <v>-5.8993330704892841</v>
      </c>
      <c r="AX343" s="730">
        <f t="shared" si="306"/>
        <v>171.83850471848532</v>
      </c>
      <c r="AY343" s="360">
        <f t="shared" si="307"/>
        <v>-8.1614952815146751</v>
      </c>
      <c r="BB343" s="337">
        <f t="shared" si="308"/>
        <v>-20.914412635980682</v>
      </c>
      <c r="BC343" s="730">
        <f t="shared" si="309"/>
        <v>-89.974214710032882</v>
      </c>
      <c r="BD343" s="351"/>
      <c r="BE343" s="337">
        <f t="shared" si="270"/>
        <v>36.086042943683118</v>
      </c>
      <c r="BF343" s="730">
        <f t="shared" si="271"/>
        <v>-88.888211038663172</v>
      </c>
      <c r="BI343" s="351"/>
      <c r="BJ343" s="351"/>
      <c r="BL343" s="405">
        <f t="shared" si="272"/>
        <v>0</v>
      </c>
      <c r="BM343" s="405">
        <f t="shared" si="260"/>
        <v>0</v>
      </c>
      <c r="BN343" s="405">
        <f t="shared" si="273"/>
        <v>0</v>
      </c>
      <c r="BO343" s="405">
        <f t="shared" si="274"/>
        <v>0</v>
      </c>
    </row>
    <row r="344" spans="4:67" ht="13.5" thickBot="1" x14ac:dyDescent="0.25">
      <c r="D344" s="345">
        <v>26153.25</v>
      </c>
      <c r="E344" s="340" t="str">
        <f t="shared" si="261"/>
        <v>0.433819890596386i</v>
      </c>
      <c r="F344" s="728" t="str">
        <f t="shared" si="275"/>
        <v>0.005-0.0997618815151455i</v>
      </c>
      <c r="G344" s="337" t="str">
        <f t="shared" si="276"/>
        <v>0.005-0.156037814677536i</v>
      </c>
      <c r="H344" s="338" t="str">
        <f t="shared" si="277"/>
        <v>0.0244294175136675-0.152278931733963i</v>
      </c>
      <c r="I344" s="338" t="str">
        <f t="shared" si="278"/>
        <v>0.0344294175136675-0.152278931733963i</v>
      </c>
      <c r="J344" s="337" t="str">
        <f t="shared" si="279"/>
        <v>0.00715110411004954-0.0607102053421946i</v>
      </c>
      <c r="K344" s="338" t="str">
        <f t="shared" si="262"/>
        <v>0.99240008349375-0.136938096779162i</v>
      </c>
      <c r="L344" s="732"/>
      <c r="M344" s="732" t="str">
        <f t="shared" si="263"/>
        <v>1.21186028251019-63.2289506097401i</v>
      </c>
      <c r="N344" s="337">
        <f t="shared" si="264"/>
        <v>0</v>
      </c>
      <c r="O344" s="730" t="str">
        <f t="shared" si="265"/>
        <v>-2.12545518835133-24.6705056909557i</v>
      </c>
      <c r="P344" s="731" t="str">
        <f t="shared" si="266"/>
        <v>-3.82997643604173-0.525729095176675i</v>
      </c>
      <c r="Q344" s="729" t="str">
        <f t="shared" si="267"/>
        <v>-3.80872188415822-0.279024038267119i</v>
      </c>
      <c r="R344" s="730"/>
      <c r="S344" s="405" t="str">
        <f t="shared" si="280"/>
        <v>39.7350118449576-3.93043383246848i</v>
      </c>
      <c r="T344" s="405" t="str">
        <f t="shared" si="281"/>
        <v>15.3109626154962-3.16272091928121i</v>
      </c>
      <c r="U344" s="405" t="str">
        <f t="shared" si="282"/>
        <v>-0.107577864690688-2.40880046072274i</v>
      </c>
      <c r="V344" s="731" t="str">
        <f t="shared" si="268"/>
        <v>6000</v>
      </c>
      <c r="W344" s="733" t="str">
        <f>IMSUM(COMPLEX(1,0),IMDIV(COMPLEX(0,2*PI()*D344),COMPLEX(2*PI()*'Stability Calculations'!EA_Pole1,0)))</f>
        <v>1+165968.973296345i</v>
      </c>
      <c r="X344" s="734">
        <f t="shared" si="283"/>
        <v>165968.97329935763</v>
      </c>
      <c r="Y344" s="735">
        <f t="shared" si="284"/>
        <v>1.5707903015723497</v>
      </c>
      <c r="Z344" s="340" t="str">
        <f>IMSUM(COMPLEX(1,0),IMDIV(COMPLEX(0,2*PI()*D344),COMPLEX(2*PI()*'Stability Calculations'!EA_Zero1,0)))</f>
        <v>1+1643.25716134995i</v>
      </c>
      <c r="AA344" s="734">
        <f t="shared" si="285"/>
        <v>1643.2574656236604</v>
      </c>
      <c r="AB344" s="735">
        <f t="shared" si="286"/>
        <v>1.5701877793927754</v>
      </c>
      <c r="AC344" s="733" t="str">
        <f>IMSUM(COMPLEX(1,0),IMDIV(COMPLEX(0,2*PI()*D344),COMPLEX(2*PI()*'Stability Calculations'!EA_Pole2,0)))</f>
        <v>1+16.5532789211918i</v>
      </c>
      <c r="AD344" s="734">
        <f t="shared" si="287"/>
        <v>16.583456908701901</v>
      </c>
      <c r="AE344" s="735">
        <f t="shared" si="288"/>
        <v>1.5104586640514746</v>
      </c>
      <c r="AF344" s="732" t="str">
        <f t="shared" si="289"/>
        <v>0.213858476387991-3.57585241057927i</v>
      </c>
      <c r="AG344" s="337">
        <f t="shared" si="290"/>
        <v>3.5822417436807035</v>
      </c>
      <c r="AH344" s="730">
        <f t="shared" si="291"/>
        <v>-1.511061186231049</v>
      </c>
      <c r="AI344" s="731" t="str">
        <f t="shared" si="269"/>
        <v>10000</v>
      </c>
      <c r="AJ344" s="733" t="str">
        <f t="shared" si="292"/>
        <v>1+154728.76566128i</v>
      </c>
      <c r="AK344" s="734">
        <f t="shared" si="293"/>
        <v>154728.76566451145</v>
      </c>
      <c r="AL344" s="735">
        <f t="shared" si="294"/>
        <v>1.5707898638725324</v>
      </c>
      <c r="AM344" s="340" t="str">
        <f t="shared" si="295"/>
        <v>1+262.592494383722i</v>
      </c>
      <c r="AN344" s="734">
        <f t="shared" si="296"/>
        <v>262.59439846779873</v>
      </c>
      <c r="AO344" s="735">
        <f t="shared" si="297"/>
        <v>1.56698816324359</v>
      </c>
      <c r="AP344" s="733" t="str">
        <f t="shared" si="298"/>
        <v>1+12.7361688168976i</v>
      </c>
      <c r="AQ344" s="734">
        <f t="shared" si="299"/>
        <v>12.775366770958666</v>
      </c>
      <c r="AR344" s="735">
        <f t="shared" si="300"/>
        <v>1.4924405329363262</v>
      </c>
      <c r="AS344" s="732" t="str">
        <f t="shared" si="301"/>
        <v>0.00400443293587792-8.94922581467667i</v>
      </c>
      <c r="AT344" s="337">
        <f t="shared" si="302"/>
        <v>8.9492267105911676</v>
      </c>
      <c r="AU344" s="730">
        <f t="shared" si="303"/>
        <v>-1.5703488654444351</v>
      </c>
      <c r="AV344" s="732" t="str">
        <f t="shared" si="304"/>
        <v>-0.496053015131517+0.0716854737890049i</v>
      </c>
      <c r="AW344" s="337">
        <f t="shared" si="305"/>
        <v>-5.9996756973352721</v>
      </c>
      <c r="AX344" s="730">
        <f t="shared" si="306"/>
        <v>171.77701503350445</v>
      </c>
      <c r="AY344" s="360">
        <f t="shared" si="307"/>
        <v>-8.2229849664955452</v>
      </c>
      <c r="BB344" s="337">
        <f t="shared" si="308"/>
        <v>-20.964289796100239</v>
      </c>
      <c r="BC344" s="730">
        <f t="shared" si="309"/>
        <v>-89.97436235312334</v>
      </c>
      <c r="BD344" s="351"/>
      <c r="BE344" s="337">
        <f t="shared" si="270"/>
        <v>36.019914543110815</v>
      </c>
      <c r="BF344" s="730">
        <f t="shared" si="271"/>
        <v>-88.901990644568343</v>
      </c>
      <c r="BI344" s="351"/>
      <c r="BJ344" s="351"/>
      <c r="BL344" s="405">
        <f t="shared" si="272"/>
        <v>0</v>
      </c>
      <c r="BM344" s="405">
        <f t="shared" si="260"/>
        <v>0</v>
      </c>
      <c r="BN344" s="405">
        <f t="shared" si="273"/>
        <v>0</v>
      </c>
      <c r="BO344" s="405">
        <f t="shared" si="274"/>
        <v>0</v>
      </c>
    </row>
    <row r="345" spans="4:67" ht="13.5" thickBot="1" x14ac:dyDescent="0.25">
      <c r="D345" s="345">
        <v>26303</v>
      </c>
      <c r="E345" s="340" t="str">
        <f t="shared" si="261"/>
        <v>0.436303885075726i</v>
      </c>
      <c r="F345" s="728" t="str">
        <f t="shared" si="275"/>
        <v>0.005-0.0991939104944681i</v>
      </c>
      <c r="G345" s="337" t="str">
        <f t="shared" si="276"/>
        <v>0.005-0.155149449747758i</v>
      </c>
      <c r="H345" s="338" t="str">
        <f t="shared" si="277"/>
        <v>0.0242120864482608-0.151439567779055i</v>
      </c>
      <c r="I345" s="338" t="str">
        <f t="shared" si="278"/>
        <v>0.0342120864482608-0.151439567779055i</v>
      </c>
      <c r="J345" s="337" t="str">
        <f t="shared" si="279"/>
        <v>0.00711687947544416-0.0603665970596175i</v>
      </c>
      <c r="K345" s="338" t="str">
        <f t="shared" si="262"/>
        <v>0.992312802122222-0.137722185945621i</v>
      </c>
      <c r="L345" s="732"/>
      <c r="M345" s="732" t="str">
        <f t="shared" si="263"/>
        <v>1.18799657772978-62.7539377539166i</v>
      </c>
      <c r="N345" s="337">
        <f t="shared" si="264"/>
        <v>0</v>
      </c>
      <c r="O345" s="730" t="str">
        <f t="shared" si="265"/>
        <v>-2.10829052982168-24.4827549519892i</v>
      </c>
      <c r="P345" s="731" t="str">
        <f t="shared" si="266"/>
        <v>-3.77978684583405-0.518327522320167i</v>
      </c>
      <c r="Q345" s="729" t="str">
        <f t="shared" si="267"/>
        <v>-3.75870394053583-0.273499972800279i</v>
      </c>
      <c r="R345" s="730"/>
      <c r="S345" s="405" t="str">
        <f t="shared" si="280"/>
        <v>39.7314108708074-3.97040607561781i</v>
      </c>
      <c r="T345" s="405" t="str">
        <f t="shared" si="281"/>
        <v>15.3073004975618-3.17361529838935i</v>
      </c>
      <c r="U345" s="405" t="str">
        <f t="shared" si="282"/>
        <v>-0.109989246148603-2.39497081917298i</v>
      </c>
      <c r="V345" s="731" t="str">
        <f t="shared" si="268"/>
        <v>6000</v>
      </c>
      <c r="W345" s="733" t="str">
        <f>IMSUM(COMPLEX(1,0),IMDIV(COMPLEX(0,2*PI()*D345),COMPLEX(2*PI()*'Stability Calculations'!EA_Pole1,0)))</f>
        <v>1+166919.289366092i</v>
      </c>
      <c r="X345" s="734">
        <f t="shared" si="283"/>
        <v>166919.28936908749</v>
      </c>
      <c r="Y345" s="735">
        <f t="shared" si="284"/>
        <v>1.5707903358755499</v>
      </c>
      <c r="Z345" s="340" t="str">
        <f>IMSUM(COMPLEX(1,0),IMDIV(COMPLEX(0,2*PI()*D345),COMPLEX(2*PI()*'Stability Calculations'!EA_Zero1,0)))</f>
        <v>1+1652.66623134745i</v>
      </c>
      <c r="AA345" s="734">
        <f t="shared" si="285"/>
        <v>1652.6665338888497</v>
      </c>
      <c r="AB345" s="735">
        <f t="shared" si="286"/>
        <v>1.5701912440147257</v>
      </c>
      <c r="AC345" s="733" t="str">
        <f>IMSUM(COMPLEX(1,0),IMDIV(COMPLEX(0,2*PI()*D345),COMPLEX(2*PI()*'Stability Calculations'!EA_Pole2,0)))</f>
        <v>1+16.648060775013i</v>
      </c>
      <c r="AD345" s="734">
        <f t="shared" si="287"/>
        <v>16.67806726118247</v>
      </c>
      <c r="AE345" s="735">
        <f t="shared" si="288"/>
        <v>1.5108013564093328</v>
      </c>
      <c r="AF345" s="732" t="str">
        <f t="shared" si="289"/>
        <v>0.211439030937063-3.55563945713015i</v>
      </c>
      <c r="AG345" s="337">
        <f t="shared" si="290"/>
        <v>3.5619206073275116</v>
      </c>
      <c r="AH345" s="730">
        <f t="shared" si="291"/>
        <v>-1.5114004482701568</v>
      </c>
      <c r="AI345" s="731" t="str">
        <f t="shared" si="269"/>
        <v>10000</v>
      </c>
      <c r="AJ345" s="733" t="str">
        <f t="shared" si="292"/>
        <v>1+155614.72181043i</v>
      </c>
      <c r="AK345" s="734">
        <f t="shared" si="293"/>
        <v>155614.72181364306</v>
      </c>
      <c r="AL345" s="735">
        <f t="shared" si="294"/>
        <v>1.5707899006676744</v>
      </c>
      <c r="AM345" s="340" t="str">
        <f t="shared" si="295"/>
        <v>1+264.096063769322i</v>
      </c>
      <c r="AN345" s="734">
        <f t="shared" si="296"/>
        <v>264.09795701301778</v>
      </c>
      <c r="AO345" s="735">
        <f t="shared" si="297"/>
        <v>1.5670098439273668</v>
      </c>
      <c r="AP345" s="733" t="str">
        <f t="shared" si="298"/>
        <v>1+12.8090944104789i</v>
      </c>
      <c r="AQ345" s="734">
        <f t="shared" si="299"/>
        <v>12.848069879034819</v>
      </c>
      <c r="AR345" s="735">
        <f t="shared" si="300"/>
        <v>1.4928848251680071</v>
      </c>
      <c r="AS345" s="732" t="str">
        <f t="shared" si="301"/>
        <v>0.00395896613052101-8.89827550354603i</v>
      </c>
      <c r="AT345" s="337">
        <f t="shared" si="302"/>
        <v>8.8982763842454435</v>
      </c>
      <c r="AU345" s="730">
        <f t="shared" si="303"/>
        <v>-1.5703514129610061</v>
      </c>
      <c r="AV345" s="732" t="str">
        <f t="shared" si="304"/>
        <v>-0.490311426882876+0.0713922614837593i</v>
      </c>
      <c r="AW345" s="337">
        <f t="shared" si="305"/>
        <v>-6.0994469957728095</v>
      </c>
      <c r="AX345" s="730">
        <f t="shared" si="306"/>
        <v>171.71561220289689</v>
      </c>
      <c r="AY345" s="360">
        <f t="shared" si="307"/>
        <v>-8.2843877971031077</v>
      </c>
      <c r="BB345" s="337">
        <f t="shared" si="308"/>
        <v>-21.013882180146688</v>
      </c>
      <c r="BC345" s="730">
        <f t="shared" si="309"/>
        <v>-89.974508315071091</v>
      </c>
      <c r="BD345" s="351"/>
      <c r="BE345" s="337">
        <f t="shared" si="270"/>
        <v>35.954375814420402</v>
      </c>
      <c r="BF345" s="730">
        <f t="shared" si="271"/>
        <v>-88.915461518904493</v>
      </c>
      <c r="BI345" s="351"/>
      <c r="BJ345" s="351"/>
      <c r="BL345" s="405">
        <f t="shared" si="272"/>
        <v>0</v>
      </c>
      <c r="BM345" s="405">
        <f t="shared" si="260"/>
        <v>0</v>
      </c>
      <c r="BN345" s="405">
        <f t="shared" si="273"/>
        <v>0</v>
      </c>
      <c r="BO345" s="405">
        <f t="shared" si="274"/>
        <v>0</v>
      </c>
    </row>
    <row r="346" spans="4:67" ht="13.5" thickBot="1" x14ac:dyDescent="0.25">
      <c r="D346" s="345">
        <v>26456</v>
      </c>
      <c r="E346" s="340" t="str">
        <f t="shared" si="261"/>
        <v>0.438841789285002i</v>
      </c>
      <c r="F346" s="728" t="str">
        <f t="shared" si="275"/>
        <v>0.005-0.0986202535430903i</v>
      </c>
      <c r="G346" s="337" t="str">
        <f t="shared" si="276"/>
        <v>0.005-0.154252191439192i</v>
      </c>
      <c r="H346" s="338" t="str">
        <f t="shared" si="277"/>
        <v>0.0239937594932067-0.15059133118826i</v>
      </c>
      <c r="I346" s="338" t="str">
        <f t="shared" si="278"/>
        <v>0.0339937594932067-0.15059133118826i</v>
      </c>
      <c r="J346" s="337" t="str">
        <f t="shared" si="279"/>
        <v>0.00708250802128119-0.0600195215492347i</v>
      </c>
      <c r="K346" s="338" t="str">
        <f t="shared" si="262"/>
        <v>0.992223111822222-0.138523292072286i</v>
      </c>
      <c r="L346" s="732"/>
      <c r="M346" s="732" t="str">
        <f t="shared" si="263"/>
        <v>1.16433056933554-62.2765756628087i</v>
      </c>
      <c r="N346" s="337">
        <f t="shared" si="264"/>
        <v>0</v>
      </c>
      <c r="O346" s="730" t="str">
        <f t="shared" si="265"/>
        <v>-2.09103082881635-24.2941068815474i</v>
      </c>
      <c r="P346" s="731" t="str">
        <f t="shared" si="266"/>
        <v>-3.72956389440975-0.510956910366435i</v>
      </c>
      <c r="Q346" s="729" t="str">
        <f t="shared" si="267"/>
        <v>-3.70865358612159-0.268015841550963i</v>
      </c>
      <c r="R346" s="730"/>
      <c r="S346" s="405" t="str">
        <f t="shared" si="280"/>
        <v>39.7276741765999-4.01114171965178i</v>
      </c>
      <c r="T346" s="405" t="str">
        <f t="shared" si="281"/>
        <v>15.3035518238894-3.18478156853938i</v>
      </c>
      <c r="U346" s="405" t="str">
        <f t="shared" si="282"/>
        <v>-0.112410754095952-2.38099712406195i</v>
      </c>
      <c r="V346" s="731" t="str">
        <f t="shared" si="268"/>
        <v>6000</v>
      </c>
      <c r="W346" s="733" t="str">
        <f>IMSUM(COMPLEX(1,0),IMDIV(COMPLEX(0,2*PI()*D346),COMPLEX(2*PI()*'Stability Calculations'!EA_Pole1,0)))</f>
        <v>1+167890.22999161i</v>
      </c>
      <c r="X346" s="734">
        <f t="shared" si="283"/>
        <v>167890.22999458815</v>
      </c>
      <c r="Y346" s="735">
        <f t="shared" si="284"/>
        <v>1.570790370522158</v>
      </c>
      <c r="Z346" s="340" t="str">
        <f>IMSUM(COMPLEX(1,0),IMDIV(COMPLEX(0,2*PI()*D346),COMPLEX(2*PI()*'Stability Calculations'!EA_Zero1,0)))</f>
        <v>1+1662.27950486743i</v>
      </c>
      <c r="AA346" s="734">
        <f t="shared" si="285"/>
        <v>1662.2798056591762</v>
      </c>
      <c r="AB346" s="735">
        <f t="shared" si="286"/>
        <v>1.5701947433208554</v>
      </c>
      <c r="AC346" s="733" t="str">
        <f>IMSUM(COMPLEX(1,0),IMDIV(COMPLEX(0,2*PI()*D346),COMPLEX(2*PI()*'Stability Calculations'!EA_Pole2,0)))</f>
        <v>1+16.7448996640589i</v>
      </c>
      <c r="AD346" s="734">
        <f t="shared" si="287"/>
        <v>16.774732926619123</v>
      </c>
      <c r="AE346" s="735">
        <f t="shared" si="288"/>
        <v>1.5111474937651794</v>
      </c>
      <c r="AF346" s="732" t="str">
        <f t="shared" si="289"/>
        <v>0.209009185472425-3.53522163804914i</v>
      </c>
      <c r="AG346" s="337">
        <f t="shared" si="290"/>
        <v>3.5413947633302181</v>
      </c>
      <c r="AH346" s="730">
        <f t="shared" si="291"/>
        <v>-1.511743120966482</v>
      </c>
      <c r="AI346" s="731" t="str">
        <f t="shared" si="269"/>
        <v>10000</v>
      </c>
      <c r="AJ346" s="733" t="str">
        <f t="shared" si="292"/>
        <v>1+156519.905722417i</v>
      </c>
      <c r="AK346" s="734">
        <f t="shared" si="293"/>
        <v>156519.90572561149</v>
      </c>
      <c r="AL346" s="735">
        <f t="shared" si="294"/>
        <v>1.5707899378311712</v>
      </c>
      <c r="AM346" s="340" t="str">
        <f t="shared" si="295"/>
        <v>1+265.632264877815i</v>
      </c>
      <c r="AN346" s="734">
        <f t="shared" si="296"/>
        <v>265.63414717260594</v>
      </c>
      <c r="AO346" s="735">
        <f t="shared" si="297"/>
        <v>1.5670317416590445</v>
      </c>
      <c r="AP346" s="733" t="str">
        <f t="shared" si="298"/>
        <v>1+12.8836026964083i</v>
      </c>
      <c r="AQ346" s="734">
        <f t="shared" si="299"/>
        <v>12.922353440410891</v>
      </c>
      <c r="AR346" s="735">
        <f t="shared" si="300"/>
        <v>1.4933335964750665</v>
      </c>
      <c r="AS346" s="732" t="str">
        <f t="shared" si="301"/>
        <v>0.00391330766374841-8.84681513093788i</v>
      </c>
      <c r="AT346" s="337">
        <f t="shared" si="302"/>
        <v>8.8468159964457431</v>
      </c>
      <c r="AU346" s="730">
        <f t="shared" si="303"/>
        <v>-1.5703539859806492</v>
      </c>
      <c r="AV346" s="732" t="str">
        <f t="shared" si="304"/>
        <v>-0.484545917417686+0.0710938918569389i</v>
      </c>
      <c r="AW346" s="337">
        <f t="shared" si="305"/>
        <v>-6.200800367418867</v>
      </c>
      <c r="AX346" s="730">
        <f t="shared" si="306"/>
        <v>171.65296481270371</v>
      </c>
      <c r="AY346" s="360">
        <f t="shared" si="307"/>
        <v>-8.3470351872962851</v>
      </c>
      <c r="BB346" s="337">
        <f t="shared" si="308"/>
        <v>-21.064260109163975</v>
      </c>
      <c r="BC346" s="730">
        <f t="shared" si="309"/>
        <v>-89.974655738237246</v>
      </c>
      <c r="BD346" s="351"/>
      <c r="BE346" s="337">
        <f t="shared" si="270"/>
        <v>35.888012278679319</v>
      </c>
      <c r="BF346" s="730">
        <f t="shared" si="271"/>
        <v>-88.928915797936213</v>
      </c>
      <c r="BI346" s="351"/>
      <c r="BJ346" s="351"/>
      <c r="BL346" s="405">
        <f t="shared" si="272"/>
        <v>0</v>
      </c>
      <c r="BM346" s="405">
        <f t="shared" ref="BM346:BM409" si="310">IF(BL346&gt;0,AY346,0)</f>
        <v>0</v>
      </c>
      <c r="BN346" s="405">
        <f t="shared" si="273"/>
        <v>0</v>
      </c>
      <c r="BO346" s="405">
        <f t="shared" si="274"/>
        <v>0</v>
      </c>
    </row>
    <row r="347" spans="4:67" ht="13.5" thickBot="1" x14ac:dyDescent="0.25">
      <c r="D347" s="345">
        <v>26609</v>
      </c>
      <c r="E347" s="340" t="str">
        <f t="shared" si="261"/>
        <v>0.441379693494278i</v>
      </c>
      <c r="F347" s="728" t="str">
        <f t="shared" si="275"/>
        <v>0.005-0.0980531935711977i</v>
      </c>
      <c r="G347" s="337" t="str">
        <f t="shared" si="276"/>
        <v>0.005-0.153365251483155i</v>
      </c>
      <c r="H347" s="338" t="str">
        <f t="shared" si="277"/>
        <v>0.0237791098868624-0.149752387560705i</v>
      </c>
      <c r="I347" s="338" t="str">
        <f t="shared" si="278"/>
        <v>0.0337791098868624-0.149752387560705i</v>
      </c>
      <c r="J347" s="337" t="str">
        <f t="shared" si="279"/>
        <v>0.00704872525189907-0.0596764105124764i</v>
      </c>
      <c r="K347" s="338" t="str">
        <f t="shared" si="262"/>
        <v>0.992132901322222-0.139324398198951i</v>
      </c>
      <c r="L347" s="732"/>
      <c r="M347" s="732" t="str">
        <f t="shared" si="263"/>
        <v>1.14136019102178-61.8070525390917i</v>
      </c>
      <c r="N347" s="337">
        <f t="shared" si="264"/>
        <v>0</v>
      </c>
      <c r="O347" s="730" t="str">
        <f t="shared" si="265"/>
        <v>-2.07404638703069-24.1085870047153i</v>
      </c>
      <c r="P347" s="731" t="str">
        <f t="shared" si="266"/>
        <v>-3.68037790548906-0.503773211279762i</v>
      </c>
      <c r="Q347" s="729" t="str">
        <f t="shared" si="267"/>
        <v>-3.65963744161875-0.262687341232612i</v>
      </c>
      <c r="R347" s="730"/>
      <c r="S347" s="405" t="str">
        <f t="shared" si="280"/>
        <v>39.7238799054517-4.05177378750111i</v>
      </c>
      <c r="T347" s="405" t="str">
        <f t="shared" si="281"/>
        <v>15.2997957592576-3.19598298530062i</v>
      </c>
      <c r="U347" s="405" t="str">
        <f t="shared" si="282"/>
        <v>-0.114790558046217-2.36717857474397i</v>
      </c>
      <c r="V347" s="731" t="str">
        <f t="shared" si="268"/>
        <v>6000</v>
      </c>
      <c r="W347" s="733" t="str">
        <f>IMSUM(COMPLEX(1,0),IMDIV(COMPLEX(0,2*PI()*D347),COMPLEX(2*PI()*'Stability Calculations'!EA_Pole1,0)))</f>
        <v>1+168861.170617129i</v>
      </c>
      <c r="X347" s="734">
        <f t="shared" si="283"/>
        <v>168861.17062009004</v>
      </c>
      <c r="Y347" s="735">
        <f t="shared" si="284"/>
        <v>1.5707904047703345</v>
      </c>
      <c r="Z347" s="340" t="str">
        <f>IMSUM(COMPLEX(1,0),IMDIV(COMPLEX(0,2*PI()*D347),COMPLEX(2*PI()*'Stability Calculations'!EA_Zero1,0)))</f>
        <v>1+1671.89277838742i</v>
      </c>
      <c r="AA347" s="734">
        <f t="shared" si="285"/>
        <v>1671.8930774496337</v>
      </c>
      <c r="AB347" s="735">
        <f t="shared" si="286"/>
        <v>1.5701982023854393</v>
      </c>
      <c r="AC347" s="733" t="str">
        <f>IMSUM(COMPLEX(1,0),IMDIV(COMPLEX(0,2*PI()*D347),COMPLEX(2*PI()*'Stability Calculations'!EA_Pole2,0)))</f>
        <v>1+16.841738553105i</v>
      </c>
      <c r="AD347" s="734">
        <f t="shared" si="287"/>
        <v>16.871400578824012</v>
      </c>
      <c r="AE347" s="735">
        <f t="shared" si="288"/>
        <v>1.5114896646521094</v>
      </c>
      <c r="AF347" s="732" t="str">
        <f t="shared" si="289"/>
        <v>0.206620937404994-3.51503615130514i</v>
      </c>
      <c r="AG347" s="337">
        <f t="shared" si="290"/>
        <v>3.5211037128656364</v>
      </c>
      <c r="AH347" s="730">
        <f t="shared" si="291"/>
        <v>-1.5120818670370049</v>
      </c>
      <c r="AI347" s="731" t="str">
        <f t="shared" si="269"/>
        <v>10000</v>
      </c>
      <c r="AJ347" s="733" t="str">
        <f t="shared" si="292"/>
        <v>1+157425.089634404i</v>
      </c>
      <c r="AK347" s="734">
        <f t="shared" si="293"/>
        <v>157425.08963758012</v>
      </c>
      <c r="AL347" s="735">
        <f t="shared" si="294"/>
        <v>1.5707899745672924</v>
      </c>
      <c r="AM347" s="340" t="str">
        <f t="shared" si="295"/>
        <v>1+267.16846598631i</v>
      </c>
      <c r="AN347" s="734">
        <f t="shared" si="296"/>
        <v>267.17033745810573</v>
      </c>
      <c r="AO347" s="735">
        <f t="shared" si="297"/>
        <v>1.5670533875732364</v>
      </c>
      <c r="AP347" s="733" t="str">
        <f t="shared" si="298"/>
        <v>1+12.9581109823379i</v>
      </c>
      <c r="AQ347" s="734">
        <f t="shared" si="299"/>
        <v>12.996639574543339</v>
      </c>
      <c r="AR347" s="735">
        <f t="shared" si="300"/>
        <v>1.4937772377005811</v>
      </c>
      <c r="AS347" s="732" t="str">
        <f t="shared" si="301"/>
        <v>0.00386843452980441-8.79594654550052i</v>
      </c>
      <c r="AT347" s="337">
        <f t="shared" si="302"/>
        <v>8.7959473961642267</v>
      </c>
      <c r="AU347" s="730">
        <f t="shared" si="303"/>
        <v>-1.5703565294109108</v>
      </c>
      <c r="AV347" s="732" t="str">
        <f t="shared" si="304"/>
        <v>-0.478879851416752+0.0707967719359504i</v>
      </c>
      <c r="AW347" s="337">
        <f t="shared" si="305"/>
        <v>-6.3015710488334342</v>
      </c>
      <c r="AX347" s="730">
        <f t="shared" si="306"/>
        <v>171.59040478877537</v>
      </c>
      <c r="AY347" s="360">
        <f t="shared" si="307"/>
        <v>-8.4095952112246266</v>
      </c>
      <c r="BB347" s="337">
        <f t="shared" si="308"/>
        <v>-21.114347531709061</v>
      </c>
      <c r="BC347" s="730">
        <f t="shared" si="309"/>
        <v>-89.974801466056718</v>
      </c>
      <c r="BD347" s="351"/>
      <c r="BE347" s="337">
        <f t="shared" si="270"/>
        <v>35.822241410997833</v>
      </c>
      <c r="BF347" s="730">
        <f t="shared" si="271"/>
        <v>-88.942067495827843</v>
      </c>
      <c r="BI347" s="351"/>
      <c r="BJ347" s="351"/>
      <c r="BL347" s="405">
        <f t="shared" si="272"/>
        <v>0</v>
      </c>
      <c r="BM347" s="405">
        <f t="shared" si="310"/>
        <v>0</v>
      </c>
      <c r="BN347" s="405">
        <f t="shared" si="273"/>
        <v>0</v>
      </c>
      <c r="BO347" s="405">
        <f t="shared" si="274"/>
        <v>0</v>
      </c>
    </row>
    <row r="348" spans="4:67" ht="13.5" thickBot="1" x14ac:dyDescent="0.25">
      <c r="D348" s="345">
        <v>26762</v>
      </c>
      <c r="E348" s="340" t="str">
        <f t="shared" si="261"/>
        <v>0.443917597703554i</v>
      </c>
      <c r="F348" s="728" t="str">
        <f t="shared" si="275"/>
        <v>0.005-0.0974926174327779i</v>
      </c>
      <c r="G348" s="337" t="str">
        <f t="shared" si="276"/>
        <v>0.005-0.152488452907678i</v>
      </c>
      <c r="H348" s="338" t="str">
        <f t="shared" si="277"/>
        <v>0.0235680559366361-0.148922587707931i</v>
      </c>
      <c r="I348" s="338" t="str">
        <f t="shared" si="278"/>
        <v>0.0335680559366361-0.148922587707931i</v>
      </c>
      <c r="J348" s="337" t="str">
        <f t="shared" si="279"/>
        <v>0.00701551779331868-0.0593371966034051i</v>
      </c>
      <c r="K348" s="338" t="str">
        <f t="shared" si="262"/>
        <v>0.992042170622222-0.140125504325617i</v>
      </c>
      <c r="L348" s="732"/>
      <c r="M348" s="732" t="str">
        <f t="shared" si="263"/>
        <v>1.11905888786573-61.3451677593855i</v>
      </c>
      <c r="N348" s="337">
        <f t="shared" si="264"/>
        <v>0</v>
      </c>
      <c r="O348" s="730" t="str">
        <f t="shared" si="265"/>
        <v>-2.05733204695151-23.9261143663694i</v>
      </c>
      <c r="P348" s="731" t="str">
        <f t="shared" si="266"/>
        <v>-3.63219950246793-0.496769933190165i</v>
      </c>
      <c r="Q348" s="729" t="str">
        <f t="shared" si="267"/>
        <v>-3.61162618199842-0.257508789526469i</v>
      </c>
      <c r="R348" s="730"/>
      <c r="S348" s="405" t="str">
        <f t="shared" si="280"/>
        <v>39.720028654221-4.09230390563385i</v>
      </c>
      <c r="T348" s="405" t="str">
        <f t="shared" si="281"/>
        <v>15.2960320712057-3.20721887230568i</v>
      </c>
      <c r="U348" s="405" t="str">
        <f t="shared" si="282"/>
        <v>-0.117129594346721-2.35351259149099i</v>
      </c>
      <c r="V348" s="731" t="str">
        <f t="shared" si="268"/>
        <v>6000</v>
      </c>
      <c r="W348" s="733" t="str">
        <f>IMSUM(COMPLEX(1,0),IMDIV(COMPLEX(0,2*PI()*D348),COMPLEX(2*PI()*'Stability Calculations'!EA_Pole1,0)))</f>
        <v>1+169832.111242647i</v>
      </c>
      <c r="X348" s="734">
        <f t="shared" si="283"/>
        <v>169832.11124559108</v>
      </c>
      <c r="Y348" s="735">
        <f t="shared" si="284"/>
        <v>1.5707904386269131</v>
      </c>
      <c r="Z348" s="340" t="str">
        <f>IMSUM(COMPLEX(1,0),IMDIV(COMPLEX(0,2*PI()*D348),COMPLEX(2*PI()*'Stability Calculations'!EA_Zero1,0)))</f>
        <v>1+1681.5060519074i</v>
      </c>
      <c r="AA348" s="734">
        <f t="shared" si="285"/>
        <v>1681.5063492598567</v>
      </c>
      <c r="AB348" s="735">
        <f t="shared" si="286"/>
        <v>1.5702016218986672</v>
      </c>
      <c r="AC348" s="733" t="str">
        <f>IMSUM(COMPLEX(1,0),IMDIV(COMPLEX(0,2*PI()*D348),COMPLEX(2*PI()*'Stability Calculations'!EA_Pole2,0)))</f>
        <v>1+16.9385774421509i</v>
      </c>
      <c r="AD348" s="734">
        <f t="shared" si="287"/>
        <v>16.968070183840688</v>
      </c>
      <c r="AE348" s="735">
        <f t="shared" si="288"/>
        <v>1.5118279367819849</v>
      </c>
      <c r="AF348" s="732" t="str">
        <f t="shared" si="289"/>
        <v>0.204273343724997-3.49507906779571i</v>
      </c>
      <c r="AG348" s="337">
        <f t="shared" si="290"/>
        <v>3.5010434571853462</v>
      </c>
      <c r="AH348" s="730">
        <f t="shared" si="291"/>
        <v>-1.5124167535102309</v>
      </c>
      <c r="AI348" s="731" t="str">
        <f t="shared" si="269"/>
        <v>10000</v>
      </c>
      <c r="AJ348" s="733" t="str">
        <f t="shared" si="292"/>
        <v>1+158330.273546391i</v>
      </c>
      <c r="AK348" s="734">
        <f t="shared" si="293"/>
        <v>158330.27354954896</v>
      </c>
      <c r="AL348" s="735">
        <f t="shared" si="294"/>
        <v>1.5707900108833681</v>
      </c>
      <c r="AM348" s="340" t="str">
        <f t="shared" si="295"/>
        <v>1+268.704667094802i</v>
      </c>
      <c r="AN348" s="734">
        <f t="shared" si="296"/>
        <v>268.70652786735263</v>
      </c>
      <c r="AO348" s="735">
        <f t="shared" si="297"/>
        <v>1.5670747859888303</v>
      </c>
      <c r="AP348" s="733" t="str">
        <f t="shared" si="298"/>
        <v>1+13.0326192682673i</v>
      </c>
      <c r="AQ348" s="734">
        <f t="shared" si="299"/>
        <v>13.070928237566454</v>
      </c>
      <c r="AR348" s="735">
        <f t="shared" si="300"/>
        <v>1.4942158361389151</v>
      </c>
      <c r="AS348" s="732" t="str">
        <f t="shared" si="301"/>
        <v>0.00382432882094626-8.74565959739083i</v>
      </c>
      <c r="AT348" s="337">
        <f t="shared" si="302"/>
        <v>8.7456604335479007</v>
      </c>
      <c r="AU348" s="730">
        <f t="shared" si="303"/>
        <v>-1.5703590437592834</v>
      </c>
      <c r="AV348" s="732" t="str">
        <f t="shared" si="304"/>
        <v>-0.47331095398457+0.0705009302670833i</v>
      </c>
      <c r="AW348" s="337">
        <f t="shared" si="305"/>
        <v>-6.4017657882957373</v>
      </c>
      <c r="AX348" s="730">
        <f t="shared" si="306"/>
        <v>171.52793052430374</v>
      </c>
      <c r="AY348" s="360">
        <f t="shared" si="307"/>
        <v>-8.4720694756962587</v>
      </c>
      <c r="BB348" s="337">
        <f t="shared" si="308"/>
        <v>-21.164147779016655</v>
      </c>
      <c r="BC348" s="730">
        <f t="shared" si="309"/>
        <v>-89.974945527606693</v>
      </c>
      <c r="BD348" s="351"/>
      <c r="BE348" s="337">
        <f t="shared" si="270"/>
        <v>35.757052133766024</v>
      </c>
      <c r="BF348" s="730">
        <f t="shared" si="271"/>
        <v>-88.954925987882518</v>
      </c>
      <c r="BI348" s="351"/>
      <c r="BJ348" s="351"/>
      <c r="BL348" s="405">
        <f t="shared" si="272"/>
        <v>0</v>
      </c>
      <c r="BM348" s="405">
        <f t="shared" si="310"/>
        <v>0</v>
      </c>
      <c r="BN348" s="405">
        <f t="shared" si="273"/>
        <v>0</v>
      </c>
      <c r="BO348" s="405">
        <f t="shared" si="274"/>
        <v>0</v>
      </c>
    </row>
    <row r="349" spans="4:67" ht="13.5" thickBot="1" x14ac:dyDescent="0.25">
      <c r="D349" s="345">
        <v>26915</v>
      </c>
      <c r="E349" s="340" t="str">
        <f t="shared" si="261"/>
        <v>0.44645550191283i</v>
      </c>
      <c r="F349" s="728" t="str">
        <f t="shared" si="275"/>
        <v>0.005-0.0969384145545598i</v>
      </c>
      <c r="G349" s="337" t="str">
        <f t="shared" si="276"/>
        <v>0.005-0.151621622764825i</v>
      </c>
      <c r="H349" s="338" t="str">
        <f t="shared" si="277"/>
        <v>0.0233605181939348-0.148101785555262i</v>
      </c>
      <c r="I349" s="338" t="str">
        <f t="shared" si="278"/>
        <v>0.0333605181939348-0.148101785555262i</v>
      </c>
      <c r="J349" s="337" t="str">
        <f t="shared" si="279"/>
        <v>0.00698287264882026-0.0590018139891663i</v>
      </c>
      <c r="K349" s="338" t="str">
        <f t="shared" si="262"/>
        <v>0.991950919722222-0.140926610452282i</v>
      </c>
      <c r="L349" s="732"/>
      <c r="M349" s="732" t="str">
        <f t="shared" si="263"/>
        <v>1.09740134082521-60.8907276444366i</v>
      </c>
      <c r="N349" s="337">
        <f t="shared" si="264"/>
        <v>0</v>
      </c>
      <c r="O349" s="730" t="str">
        <f t="shared" si="265"/>
        <v>-2.04088273171655-23.7466108436553i</v>
      </c>
      <c r="P349" s="731" t="str">
        <f t="shared" si="266"/>
        <v>-3.5850003723344-0.48994086641793i</v>
      </c>
      <c r="Q349" s="729" t="str">
        <f t="shared" si="267"/>
        <v>-3.56459154501723-0.252474757981377i</v>
      </c>
      <c r="R349" s="730"/>
      <c r="S349" s="405" t="str">
        <f t="shared" si="280"/>
        <v>39.7161210030098-4.1327336643456i</v>
      </c>
      <c r="T349" s="405" t="str">
        <f t="shared" si="281"/>
        <v>15.2922605339135-3.21848856745543i</v>
      </c>
      <c r="U349" s="405" t="str">
        <f t="shared" si="282"/>
        <v>-0.119428773200467-2.33999665098586i</v>
      </c>
      <c r="V349" s="731" t="str">
        <f t="shared" si="268"/>
        <v>6000</v>
      </c>
      <c r="W349" s="733" t="str">
        <f>IMSUM(COMPLEX(1,0),IMDIV(COMPLEX(0,2*PI()*D349),COMPLEX(2*PI()*'Stability Calculations'!EA_Pole1,0)))</f>
        <v>1+170803.051868166i</v>
      </c>
      <c r="X349" s="734">
        <f t="shared" si="283"/>
        <v>170803.05187109334</v>
      </c>
      <c r="Y349" s="735">
        <f t="shared" si="284"/>
        <v>1.5707904720985721</v>
      </c>
      <c r="Z349" s="340" t="str">
        <f>IMSUM(COMPLEX(1,0),IMDIV(COMPLEX(0,2*PI()*D349),COMPLEX(2*PI()*'Stability Calculations'!EA_Zero1,0)))</f>
        <v>1+1691.11932542739i</v>
      </c>
      <c r="AA349" s="734">
        <f t="shared" si="285"/>
        <v>1691.1196210895287</v>
      </c>
      <c r="AB349" s="735">
        <f t="shared" si="286"/>
        <v>1.5702050025350356</v>
      </c>
      <c r="AC349" s="733" t="str">
        <f>IMSUM(COMPLEX(1,0),IMDIV(COMPLEX(0,2*PI()*D349),COMPLEX(2*PI()*'Stability Calculations'!EA_Pole2,0)))</f>
        <v>1+17.035416331197i</v>
      </c>
      <c r="AD349" s="734">
        <f t="shared" si="287"/>
        <v>17.064741708482238</v>
      </c>
      <c r="AE349" s="735">
        <f t="shared" si="288"/>
        <v>1.5121623763359398</v>
      </c>
      <c r="AF349" s="732" t="str">
        <f t="shared" si="289"/>
        <v>0.201965487963813-3.47534654620116i</v>
      </c>
      <c r="AG349" s="337">
        <f t="shared" si="290"/>
        <v>3.4812100876736518</v>
      </c>
      <c r="AH349" s="730">
        <f t="shared" si="291"/>
        <v>-1.5127478458994763</v>
      </c>
      <c r="AI349" s="731" t="str">
        <f t="shared" si="269"/>
        <v>10000</v>
      </c>
      <c r="AJ349" s="733" t="str">
        <f t="shared" si="292"/>
        <v>1+159235.457458379i</v>
      </c>
      <c r="AK349" s="734">
        <f t="shared" si="293"/>
        <v>159235.45746151902</v>
      </c>
      <c r="AL349" s="735">
        <f t="shared" si="294"/>
        <v>1.5707900467865621</v>
      </c>
      <c r="AM349" s="340" t="str">
        <f t="shared" si="295"/>
        <v>1+270.240868203297i</v>
      </c>
      <c r="AN349" s="734">
        <f t="shared" si="296"/>
        <v>270.2427183982424</v>
      </c>
      <c r="AO349" s="735">
        <f t="shared" si="297"/>
        <v>1.5670959411265126</v>
      </c>
      <c r="AP349" s="733" t="str">
        <f t="shared" si="298"/>
        <v>1+13.1071275541969i</v>
      </c>
      <c r="AQ349" s="734">
        <f t="shared" si="299"/>
        <v>13.145219386605445</v>
      </c>
      <c r="AR349" s="735">
        <f t="shared" si="300"/>
        <v>1.4946494771188972</v>
      </c>
      <c r="AS349" s="732" t="str">
        <f t="shared" si="301"/>
        <v>0.00378097313696858-8.69594436755512i</v>
      </c>
      <c r="AT349" s="337">
        <f t="shared" si="302"/>
        <v>8.6959451895335356</v>
      </c>
      <c r="AU349" s="730">
        <f t="shared" si="303"/>
        <v>-1.5703615295217204</v>
      </c>
      <c r="AV349" s="732" t="str">
        <f t="shared" si="304"/>
        <v>-0.467837014940011+0.0702063932898164i</v>
      </c>
      <c r="AW349" s="337">
        <f t="shared" si="305"/>
        <v>-6.5013912178281483</v>
      </c>
      <c r="AX349" s="730">
        <f t="shared" si="306"/>
        <v>171.46554045143833</v>
      </c>
      <c r="AY349" s="360">
        <f t="shared" si="307"/>
        <v>-8.5344595485616708</v>
      </c>
      <c r="BB349" s="337">
        <f t="shared" si="308"/>
        <v>-21.213664125349112</v>
      </c>
      <c r="BC349" s="730">
        <f t="shared" si="309"/>
        <v>-89.975087951303209</v>
      </c>
      <c r="BD349" s="351"/>
      <c r="BE349" s="337">
        <f t="shared" si="270"/>
        <v>35.692433678565443</v>
      </c>
      <c r="BF349" s="730">
        <f t="shared" si="271"/>
        <v>-88.967500284581803</v>
      </c>
      <c r="BI349" s="351"/>
      <c r="BJ349" s="351"/>
      <c r="BL349" s="405">
        <f t="shared" si="272"/>
        <v>0</v>
      </c>
      <c r="BM349" s="405">
        <f t="shared" si="310"/>
        <v>0</v>
      </c>
      <c r="BN349" s="405">
        <f t="shared" si="273"/>
        <v>0</v>
      </c>
      <c r="BO349" s="405">
        <f t="shared" si="274"/>
        <v>0</v>
      </c>
    </row>
    <row r="350" spans="4:67" ht="13.5" thickBot="1" x14ac:dyDescent="0.25">
      <c r="D350" s="345">
        <v>27071.75</v>
      </c>
      <c r="E350" s="340" t="str">
        <f t="shared" si="261"/>
        <v>0.449055609656647i</v>
      </c>
      <c r="F350" s="728" t="str">
        <f t="shared" si="275"/>
        <v>0.005-0.0963771247790033i</v>
      </c>
      <c r="G350" s="337" t="str">
        <f t="shared" si="276"/>
        <v>0.005-0.150743707987672i</v>
      </c>
      <c r="H350" s="338" t="str">
        <f t="shared" si="277"/>
        <v>0.0231514594945827-0.147270047368727i</v>
      </c>
      <c r="I350" s="338" t="str">
        <f t="shared" si="278"/>
        <v>0.0331514594945827-0.147270047368727i</v>
      </c>
      <c r="J350" s="337" t="str">
        <f t="shared" si="279"/>
        <v>0.0069499973294081-0.0586621172312511i</v>
      </c>
      <c r="K350" s="338" t="str">
        <f t="shared" si="262"/>
        <v>0.991856892799306-0.141747351533032i</v>
      </c>
      <c r="L350" s="732"/>
      <c r="M350" s="732" t="str">
        <f t="shared" si="263"/>
        <v>1.07585534520029-60.4326743810479i</v>
      </c>
      <c r="N350" s="337">
        <f t="shared" si="264"/>
        <v>0</v>
      </c>
      <c r="O350" s="730" t="str">
        <f t="shared" si="265"/>
        <v>-2.02429987332818-23.5657080588712i</v>
      </c>
      <c r="P350" s="731" t="str">
        <f t="shared" si="266"/>
        <v>-3.53763143736309-0.483118877941279i</v>
      </c>
      <c r="Q350" s="729" t="str">
        <f t="shared" si="267"/>
        <v>-3.51738843862981-0.247461797352565i</v>
      </c>
      <c r="R350" s="730"/>
      <c r="S350" s="405" t="str">
        <f t="shared" si="280"/>
        <v>39.7120596750604-4.17405189495677i</v>
      </c>
      <c r="T350" s="405" t="str">
        <f t="shared" si="281"/>
        <v>15.2883881874592-3.23006886422268i</v>
      </c>
      <c r="U350" s="405" t="str">
        <f t="shared" si="282"/>
        <v>-0.121743894778909-2.32630246103337i</v>
      </c>
      <c r="V350" s="731" t="str">
        <f t="shared" si="268"/>
        <v>6000</v>
      </c>
      <c r="W350" s="733" t="str">
        <f>IMSUM(COMPLEX(1,0),IMDIV(COMPLEX(0,2*PI()*D350),COMPLEX(2*PI()*'Stability Calculations'!EA_Pole1,0)))</f>
        <v>1+171797.790058035i</v>
      </c>
      <c r="X350" s="734">
        <f t="shared" si="283"/>
        <v>171797.79006094538</v>
      </c>
      <c r="Y350" s="735">
        <f t="shared" si="284"/>
        <v>1.5707905059982517</v>
      </c>
      <c r="Z350" s="340" t="str">
        <f>IMSUM(COMPLEX(1,0),IMDIV(COMPLEX(0,2*PI()*D350),COMPLEX(2*PI()*'Stability Calculations'!EA_Zero1,0)))</f>
        <v>1+1700.96821839639i</v>
      </c>
      <c r="AA350" s="734">
        <f t="shared" si="285"/>
        <v>1700.9685123465952</v>
      </c>
      <c r="AB350" s="735">
        <f t="shared" si="286"/>
        <v>1.5702084264014762</v>
      </c>
      <c r="AC350" s="733" t="str">
        <f>IMSUM(COMPLEX(1,0),IMDIV(COMPLEX(0,2*PI()*D350),COMPLEX(2*PI()*'Stability Calculations'!EA_Pole2,0)))</f>
        <v>1+17.1346287224254i</v>
      </c>
      <c r="AD350" s="734">
        <f t="shared" si="287"/>
        <v>17.163784590100327</v>
      </c>
      <c r="AE350" s="735">
        <f t="shared" si="288"/>
        <v>1.5125011059372082</v>
      </c>
      <c r="AF350" s="732" t="str">
        <f t="shared" si="289"/>
        <v>0.199641346694233-3.45535934322024i</v>
      </c>
      <c r="AG350" s="337">
        <f t="shared" si="290"/>
        <v>3.461121907429626</v>
      </c>
      <c r="AH350" s="730">
        <f t="shared" si="291"/>
        <v>-1.5130831855339839</v>
      </c>
      <c r="AI350" s="731" t="str">
        <f t="shared" si="269"/>
        <v>10000</v>
      </c>
      <c r="AJ350" s="733" t="str">
        <f t="shared" si="292"/>
        <v>1+160162.827250561i</v>
      </c>
      <c r="AK350" s="734">
        <f t="shared" si="293"/>
        <v>160162.82725368283</v>
      </c>
      <c r="AL350" s="735">
        <f t="shared" si="294"/>
        <v>1.5707900831488699</v>
      </c>
      <c r="AM350" s="340" t="str">
        <f t="shared" si="295"/>
        <v>1+271.814721299743i</v>
      </c>
      <c r="AN350" s="734">
        <f t="shared" si="296"/>
        <v>271.81656078182021</v>
      </c>
      <c r="AO350" s="735">
        <f t="shared" si="297"/>
        <v>1.5671173667899638</v>
      </c>
      <c r="AP350" s="733" t="str">
        <f t="shared" si="298"/>
        <v>1+13.183462023605i</v>
      </c>
      <c r="AQ350" s="734">
        <f t="shared" si="299"/>
        <v>13.221333931484947</v>
      </c>
      <c r="AR350" s="735">
        <f t="shared" si="300"/>
        <v>1.4950886925522799</v>
      </c>
      <c r="AS350" s="732" t="str">
        <f t="shared" si="301"/>
        <v>0.00373731496147059-8.64559340137441i</v>
      </c>
      <c r="AT350" s="337">
        <f t="shared" si="302"/>
        <v>8.6455942091571618</v>
      </c>
      <c r="AU350" s="730">
        <f t="shared" si="303"/>
        <v>-1.5703640470709757</v>
      </c>
      <c r="AV350" s="732" t="str">
        <f t="shared" si="304"/>
        <v>-0.46232514367517+0.0699060158630194i</v>
      </c>
      <c r="AW350" s="337">
        <f t="shared" si="305"/>
        <v>-6.6028748502041559</v>
      </c>
      <c r="AX350" s="730">
        <f t="shared" si="306"/>
        <v>171.40170692278136</v>
      </c>
      <c r="AY350" s="360">
        <f t="shared" si="307"/>
        <v>-8.5982930772186421</v>
      </c>
      <c r="BB350" s="337">
        <f t="shared" si="308"/>
        <v>-21.264103048634965</v>
      </c>
      <c r="BC350" s="730">
        <f t="shared" si="309"/>
        <v>-89.975232196250246</v>
      </c>
      <c r="BD350" s="351"/>
      <c r="BE350" s="337">
        <f t="shared" si="270"/>
        <v>35.62681247182023</v>
      </c>
      <c r="BF350" s="730">
        <f t="shared" si="271"/>
        <v>-88.980097100767864</v>
      </c>
      <c r="BI350" s="351"/>
      <c r="BJ350" s="351"/>
      <c r="BL350" s="405">
        <f t="shared" si="272"/>
        <v>0</v>
      </c>
      <c r="BM350" s="405">
        <f t="shared" si="310"/>
        <v>0</v>
      </c>
      <c r="BN350" s="405">
        <f t="shared" si="273"/>
        <v>0</v>
      </c>
      <c r="BO350" s="405">
        <f t="shared" si="274"/>
        <v>0</v>
      </c>
    </row>
    <row r="351" spans="4:67" ht="13.5" thickBot="1" x14ac:dyDescent="0.25">
      <c r="D351" s="345">
        <v>27228.5</v>
      </c>
      <c r="E351" s="340" t="str">
        <f t="shared" si="261"/>
        <v>0.451655717400464i</v>
      </c>
      <c r="F351" s="728" t="str">
        <f t="shared" si="275"/>
        <v>0.005-0.0958222975094474i</v>
      </c>
      <c r="G351" s="337" t="str">
        <f t="shared" si="276"/>
        <v>0.005-0.149875901232726i</v>
      </c>
      <c r="H351" s="338" t="str">
        <f t="shared" si="277"/>
        <v>0.0229459295600652-0.146447452628141i</v>
      </c>
      <c r="I351" s="338" t="str">
        <f t="shared" si="278"/>
        <v>0.0329459295600652-0.146447452628141i</v>
      </c>
      <c r="J351" s="337" t="str">
        <f t="shared" si="279"/>
        <v>0.00691768576834164-0.0583263066738346i</v>
      </c>
      <c r="K351" s="338" t="str">
        <f t="shared" si="262"/>
        <v>0.991762319863889-0.142568092613783i</v>
      </c>
      <c r="L351" s="732"/>
      <c r="M351" s="732" t="str">
        <f t="shared" si="263"/>
        <v>1.05493493642604-59.9820446887485i</v>
      </c>
      <c r="N351" s="337">
        <f t="shared" si="264"/>
        <v>0</v>
      </c>
      <c r="O351" s="730" t="str">
        <f t="shared" si="265"/>
        <v>-2.00798466767834-23.3877642946872i</v>
      </c>
      <c r="P351" s="731" t="str">
        <f t="shared" si="266"/>
        <v>-3.49123342504336-0.476467395522316i</v>
      </c>
      <c r="Q351" s="729" t="str">
        <f t="shared" si="267"/>
        <v>-3.47115357836658-0.242589752575442i</v>
      </c>
      <c r="R351" s="730"/>
      <c r="S351" s="405" t="str">
        <f t="shared" si="280"/>
        <v>39.707940329698-4.21526805337974i</v>
      </c>
      <c r="T351" s="405" t="str">
        <f t="shared" si="281"/>
        <v>15.284507142851-3.24168328403135i</v>
      </c>
      <c r="U351" s="405" t="str">
        <f t="shared" si="282"/>
        <v>-0.124019034913446-2.31276057203859i</v>
      </c>
      <c r="V351" s="731" t="str">
        <f t="shared" si="268"/>
        <v>6000</v>
      </c>
      <c r="W351" s="733" t="str">
        <f>IMSUM(COMPLEX(1,0),IMDIV(COMPLEX(0,2*PI()*D351),COMPLEX(2*PI()*'Stability Calculations'!EA_Pole1,0)))</f>
        <v>1+172792.528247904i</v>
      </c>
      <c r="X351" s="734">
        <f t="shared" si="283"/>
        <v>172792.52825079765</v>
      </c>
      <c r="Y351" s="735">
        <f t="shared" si="284"/>
        <v>1.5707905395076214</v>
      </c>
      <c r="Z351" s="340" t="str">
        <f>IMSUM(COMPLEX(1,0),IMDIV(COMPLEX(0,2*PI()*D351),COMPLEX(2*PI()*'Stability Calculations'!EA_Zero1,0)))</f>
        <v>1+1710.81711136539i</v>
      </c>
      <c r="AA351" s="734">
        <f t="shared" si="285"/>
        <v>1710.8174036233725</v>
      </c>
      <c r="AB351" s="735">
        <f t="shared" si="286"/>
        <v>1.5702118108466574</v>
      </c>
      <c r="AC351" s="733" t="str">
        <f>IMSUM(COMPLEX(1,0),IMDIV(COMPLEX(0,2*PI()*D351),COMPLEX(2*PI()*'Stability Calculations'!EA_Pole2,0)))</f>
        <v>1+17.2338411136539i</v>
      </c>
      <c r="AD351" s="734">
        <f t="shared" si="287"/>
        <v>17.262829418454771</v>
      </c>
      <c r="AE351" s="735">
        <f t="shared" si="288"/>
        <v>1.5128359486800766</v>
      </c>
      <c r="AF351" s="732" t="str">
        <f t="shared" si="289"/>
        <v>0.197357049280897-3.43559995437325i</v>
      </c>
      <c r="AG351" s="337">
        <f t="shared" si="290"/>
        <v>3.4412638450706359</v>
      </c>
      <c r="AH351" s="730">
        <f t="shared" si="291"/>
        <v>-1.5134146773410406</v>
      </c>
      <c r="AI351" s="731" t="str">
        <f t="shared" si="269"/>
        <v>10000</v>
      </c>
      <c r="AJ351" s="733" t="str">
        <f t="shared" si="292"/>
        <v>1+161090.197042743i</v>
      </c>
      <c r="AK351" s="734">
        <f t="shared" si="293"/>
        <v>161090.19704584684</v>
      </c>
      <c r="AL351" s="735">
        <f t="shared" si="294"/>
        <v>1.570790119092514</v>
      </c>
      <c r="AM351" s="340" t="str">
        <f t="shared" si="295"/>
        <v>1+273.388574396189i</v>
      </c>
      <c r="AN351" s="734">
        <f t="shared" si="296"/>
        <v>273.3904032887412</v>
      </c>
      <c r="AO351" s="735">
        <f t="shared" si="297"/>
        <v>1.5671385457686877</v>
      </c>
      <c r="AP351" s="733" t="str">
        <f t="shared" si="298"/>
        <v>1+13.2597964930131i</v>
      </c>
      <c r="AQ351" s="734">
        <f t="shared" si="299"/>
        <v>13.297450997695856</v>
      </c>
      <c r="AR351" s="735">
        <f t="shared" si="300"/>
        <v>1.4955228797680533</v>
      </c>
      <c r="AS351" s="732" t="str">
        <f t="shared" si="301"/>
        <v>0.00369440861218857-8.59582215934674i</v>
      </c>
      <c r="AT351" s="337">
        <f t="shared" si="302"/>
        <v>8.5958229532588355</v>
      </c>
      <c r="AU351" s="730">
        <f t="shared" si="303"/>
        <v>-1.5703665356340017</v>
      </c>
      <c r="AV351" s="732" t="str">
        <f t="shared" si="304"/>
        <v>-0.456908444938584+0.0696070577417814i</v>
      </c>
      <c r="AW351" s="337">
        <f t="shared" si="305"/>
        <v>-6.703774653437959</v>
      </c>
      <c r="AX351" s="730">
        <f t="shared" si="306"/>
        <v>171.33795855201652</v>
      </c>
      <c r="AY351" s="360">
        <f t="shared" si="307"/>
        <v>-8.6620414479834835</v>
      </c>
      <c r="BB351" s="337">
        <f t="shared" si="308"/>
        <v>-21.314250763599251</v>
      </c>
      <c r="BC351" s="730">
        <f t="shared" si="309"/>
        <v>-89.9753747804087</v>
      </c>
      <c r="BD351" s="351"/>
      <c r="BE351" s="337">
        <f t="shared" si="270"/>
        <v>35.561768475631837</v>
      </c>
      <c r="BF351" s="730">
        <f t="shared" si="271"/>
        <v>-88.99241366533623</v>
      </c>
      <c r="BI351" s="351"/>
      <c r="BJ351" s="351"/>
      <c r="BL351" s="405">
        <f t="shared" si="272"/>
        <v>0</v>
      </c>
      <c r="BM351" s="405">
        <f t="shared" si="310"/>
        <v>0</v>
      </c>
      <c r="BN351" s="405">
        <f t="shared" si="273"/>
        <v>0</v>
      </c>
      <c r="BO351" s="405">
        <f t="shared" si="274"/>
        <v>0</v>
      </c>
    </row>
    <row r="352" spans="4:67" ht="13.5" thickBot="1" x14ac:dyDescent="0.25">
      <c r="D352" s="345">
        <v>27385.25</v>
      </c>
      <c r="E352" s="340" t="str">
        <f t="shared" si="261"/>
        <v>0.454255825144281i</v>
      </c>
      <c r="F352" s="728" t="str">
        <f t="shared" si="275"/>
        <v>0.005-0.095273821773984i</v>
      </c>
      <c r="G352" s="337" t="str">
        <f t="shared" si="276"/>
        <v>0.005-0.149018028928539i</v>
      </c>
      <c r="H352" s="338" t="str">
        <f t="shared" si="277"/>
        <v>0.0227438498130717-0.145633853910231i</v>
      </c>
      <c r="I352" s="338" t="str">
        <f t="shared" si="278"/>
        <v>0.0327438498130717-0.145633853910231i</v>
      </c>
      <c r="J352" s="337" t="str">
        <f t="shared" si="279"/>
        <v>0.00688592514009544-0.057994316192988i</v>
      </c>
      <c r="K352" s="338" t="str">
        <f t="shared" si="262"/>
        <v>0.991667200915972-0.143388833694533i</v>
      </c>
      <c r="L352" s="732"/>
      <c r="M352" s="732" t="str">
        <f t="shared" si="263"/>
        <v>1.03461649655759-59.5386510556996i</v>
      </c>
      <c r="N352" s="337">
        <f t="shared" si="264"/>
        <v>0</v>
      </c>
      <c r="O352" s="730" t="str">
        <f t="shared" si="265"/>
        <v>-1.9919319268417-23.2127040016233i</v>
      </c>
      <c r="P352" s="731" t="str">
        <f t="shared" si="266"/>
        <v>-3.44577906328422-0.469980570351653i</v>
      </c>
      <c r="Q352" s="729" t="str">
        <f t="shared" si="267"/>
        <v>-3.4258597440158-0.23785353033542i</v>
      </c>
      <c r="R352" s="730"/>
      <c r="S352" s="405" t="str">
        <f t="shared" si="280"/>
        <v>39.7037635395858-4.25638373789306i</v>
      </c>
      <c r="T352" s="405" t="str">
        <f t="shared" si="281"/>
        <v>15.2806171775281-3.25333115900713i</v>
      </c>
      <c r="U352" s="405" t="str">
        <f t="shared" si="282"/>
        <v>-0.126255092595705-2.29936844496294i</v>
      </c>
      <c r="V352" s="731" t="str">
        <f t="shared" si="268"/>
        <v>6000</v>
      </c>
      <c r="W352" s="733" t="str">
        <f>IMSUM(COMPLEX(1,0),IMDIV(COMPLEX(0,2*PI()*D352),COMPLEX(2*PI()*'Stability Calculations'!EA_Pole1,0)))</f>
        <v>1+173787.266437774i</v>
      </c>
      <c r="X352" s="734">
        <f t="shared" si="283"/>
        <v>173787.26644065109</v>
      </c>
      <c r="Y352" s="735">
        <f t="shared" si="284"/>
        <v>1.5707905726333835</v>
      </c>
      <c r="Z352" s="340" t="str">
        <f>IMSUM(COMPLEX(1,0),IMDIV(COMPLEX(0,2*PI()*D352),COMPLEX(2*PI()*'Stability Calculations'!EA_Zero1,0)))</f>
        <v>1+1720.6660043344i</v>
      </c>
      <c r="AA352" s="734">
        <f t="shared" si="285"/>
        <v>1720.6662949195318</v>
      </c>
      <c r="AB352" s="735">
        <f t="shared" si="286"/>
        <v>1.5702151565475071</v>
      </c>
      <c r="AC352" s="733" t="str">
        <f>IMSUM(COMPLEX(1,0),IMDIV(COMPLEX(0,2*PI()*D352),COMPLEX(2*PI()*'Stability Calculations'!EA_Pole2,0)))</f>
        <v>1+17.3330535048825i</v>
      </c>
      <c r="AD352" s="734">
        <f t="shared" si="287"/>
        <v>17.361876160228753</v>
      </c>
      <c r="AE352" s="735">
        <f t="shared" si="288"/>
        <v>1.5131669710105369</v>
      </c>
      <c r="AF352" s="732" t="str">
        <f t="shared" si="289"/>
        <v>0.195111691154101-3.4160645199025i</v>
      </c>
      <c r="AG352" s="337">
        <f t="shared" si="290"/>
        <v>3.4216319755581122</v>
      </c>
      <c r="AH352" s="730">
        <f t="shared" si="291"/>
        <v>-1.5137423870964135</v>
      </c>
      <c r="AI352" s="731" t="str">
        <f t="shared" si="269"/>
        <v>10000</v>
      </c>
      <c r="AJ352" s="733" t="str">
        <f t="shared" si="292"/>
        <v>1+162017.566834927i</v>
      </c>
      <c r="AK352" s="734">
        <f t="shared" si="293"/>
        <v>162017.5668380131</v>
      </c>
      <c r="AL352" s="735">
        <f t="shared" si="294"/>
        <v>1.5707901546246836</v>
      </c>
      <c r="AM352" s="340" t="str">
        <f t="shared" si="295"/>
        <v>1+274.962427492637i</v>
      </c>
      <c r="AN352" s="734">
        <f t="shared" si="296"/>
        <v>274.96424591688947</v>
      </c>
      <c r="AO352" s="735">
        <f t="shared" si="297"/>
        <v>1.5671594822985933</v>
      </c>
      <c r="AP352" s="733" t="str">
        <f t="shared" si="298"/>
        <v>1+13.3361309624213i</v>
      </c>
      <c r="AQ352" s="734">
        <f t="shared" si="299"/>
        <v>13.373570542187007</v>
      </c>
      <c r="AR352" s="735">
        <f t="shared" si="300"/>
        <v>1.4959521244597636</v>
      </c>
      <c r="AS352" s="732" t="str">
        <f t="shared" si="301"/>
        <v>0.00365223692502192-8.54662068665761i</v>
      </c>
      <c r="AT352" s="337">
        <f t="shared" si="302"/>
        <v>8.5466214670148091</v>
      </c>
      <c r="AU352" s="730">
        <f t="shared" si="303"/>
        <v>-1.5703689957085398</v>
      </c>
      <c r="AV352" s="732" t="str">
        <f t="shared" si="304"/>
        <v>-0.45158473923541+0.069309541180751i</v>
      </c>
      <c r="AW352" s="337">
        <f t="shared" si="305"/>
        <v>-6.804097396805485</v>
      </c>
      <c r="AX352" s="730">
        <f t="shared" si="306"/>
        <v>171.2742937727763</v>
      </c>
      <c r="AY352" s="360">
        <f t="shared" si="307"/>
        <v>-8.7257062272236965</v>
      </c>
      <c r="BB352" s="337">
        <f t="shared" si="308"/>
        <v>-21.364110613521522</v>
      </c>
      <c r="BC352" s="730">
        <f t="shared" si="309"/>
        <v>-89.975515732297012</v>
      </c>
      <c r="BD352" s="351"/>
      <c r="BE352" s="337">
        <f t="shared" si="270"/>
        <v>35.497291047659424</v>
      </c>
      <c r="BF352" s="730">
        <f t="shared" si="271"/>
        <v>-89.004458584538369</v>
      </c>
      <c r="BI352" s="351"/>
      <c r="BJ352" s="351"/>
      <c r="BL352" s="405">
        <f t="shared" si="272"/>
        <v>0</v>
      </c>
      <c r="BM352" s="405">
        <f t="shared" si="310"/>
        <v>0</v>
      </c>
      <c r="BN352" s="405">
        <f t="shared" si="273"/>
        <v>0</v>
      </c>
      <c r="BO352" s="405">
        <f t="shared" si="274"/>
        <v>0</v>
      </c>
    </row>
    <row r="353" spans="4:67" ht="13.5" thickBot="1" x14ac:dyDescent="0.25">
      <c r="D353" s="345">
        <v>27542</v>
      </c>
      <c r="E353" s="340" t="str">
        <f t="shared" si="261"/>
        <v>0.456855932888098i</v>
      </c>
      <c r="F353" s="728" t="str">
        <f t="shared" si="275"/>
        <v>0.005-0.0947315891270052i</v>
      </c>
      <c r="G353" s="337" t="str">
        <f t="shared" si="276"/>
        <v>0.005-0.14816992145506i</v>
      </c>
      <c r="H353" s="338" t="str">
        <f t="shared" si="277"/>
        <v>0.0225451438403383-0.144829106885381i</v>
      </c>
      <c r="I353" s="338" t="str">
        <f t="shared" si="278"/>
        <v>0.0325451438403383-0.144829106885381i</v>
      </c>
      <c r="J353" s="337" t="str">
        <f t="shared" si="279"/>
        <v>0.00685470298143863-0.0576660811529869i</v>
      </c>
      <c r="K353" s="338" t="str">
        <f t="shared" si="262"/>
        <v>0.991571535955556-0.144209574775283i</v>
      </c>
      <c r="L353" s="732"/>
      <c r="M353" s="732" t="str">
        <f t="shared" si="263"/>
        <v>1.01487749530891-59.1023123800819i</v>
      </c>
      <c r="N353" s="337">
        <f t="shared" si="264"/>
        <v>0</v>
      </c>
      <c r="O353" s="730" t="str">
        <f t="shared" si="265"/>
        <v>-1.97613655603498-23.0404542397866i</v>
      </c>
      <c r="P353" s="731" t="str">
        <f t="shared" si="266"/>
        <v>-3.40124205824609-0.463652804886489i</v>
      </c>
      <c r="Q353" s="729" t="str">
        <f t="shared" si="267"/>
        <v>-3.38148069268574-0.233248262488621i</v>
      </c>
      <c r="R353" s="730"/>
      <c r="S353" s="405" t="str">
        <f t="shared" si="280"/>
        <v>39.6995298612664-4.29740051106017i</v>
      </c>
      <c r="T353" s="405" t="str">
        <f t="shared" si="281"/>
        <v>15.2767180753215-3.26501183536134i</v>
      </c>
      <c r="U353" s="405" t="str">
        <f t="shared" si="282"/>
        <v>-0.128452941669164-2.28612359645719i</v>
      </c>
      <c r="V353" s="731" t="str">
        <f t="shared" si="268"/>
        <v>6000</v>
      </c>
      <c r="W353" s="733" t="str">
        <f>IMSUM(COMPLEX(1,0),IMDIV(COMPLEX(0,2*PI()*D353),COMPLEX(2*PI()*'Stability Calculations'!EA_Pole1,0)))</f>
        <v>1+174782.004627643i</v>
      </c>
      <c r="X353" s="734">
        <f t="shared" si="283"/>
        <v>174782.00463050374</v>
      </c>
      <c r="Y353" s="735">
        <f t="shared" si="284"/>
        <v>1.5707906053820879</v>
      </c>
      <c r="Z353" s="340" t="str">
        <f>IMSUM(COMPLEX(1,0),IMDIV(COMPLEX(0,2*PI()*D353),COMPLEX(2*PI()*'Stability Calculations'!EA_Zero1,0)))</f>
        <v>1+1730.5148973034i</v>
      </c>
      <c r="AA353" s="734">
        <f t="shared" si="285"/>
        <v>1730.5151862347225</v>
      </c>
      <c r="AB353" s="735">
        <f t="shared" si="286"/>
        <v>1.5702184641655428</v>
      </c>
      <c r="AC353" s="733" t="str">
        <f>IMSUM(COMPLEX(1,0),IMDIV(COMPLEX(0,2*PI()*D353),COMPLEX(2*PI()*'Stability Calculations'!EA_Pole2,0)))</f>
        <v>1+17.4322658961109i</v>
      </c>
      <c r="AD353" s="734">
        <f t="shared" si="287"/>
        <v>17.460924782860474</v>
      </c>
      <c r="AE353" s="735">
        <f t="shared" si="288"/>
        <v>1.5134942378702898</v>
      </c>
      <c r="AF353" s="732" t="str">
        <f t="shared" si="289"/>
        <v>0.192904393241546-3.396749266456i</v>
      </c>
      <c r="AG353" s="337">
        <f t="shared" si="290"/>
        <v>3.4022224624649788</v>
      </c>
      <c r="AH353" s="730">
        <f t="shared" si="291"/>
        <v>-1.5140663790868352</v>
      </c>
      <c r="AI353" s="731" t="str">
        <f t="shared" si="269"/>
        <v>10000</v>
      </c>
      <c r="AJ353" s="733" t="str">
        <f t="shared" si="292"/>
        <v>1+162944.936627109i</v>
      </c>
      <c r="AK353" s="734">
        <f t="shared" si="293"/>
        <v>162944.93663017752</v>
      </c>
      <c r="AL353" s="735">
        <f t="shared" si="294"/>
        <v>1.5707901897524044</v>
      </c>
      <c r="AM353" s="340" t="str">
        <f t="shared" si="295"/>
        <v>1+276.536280589083i</v>
      </c>
      <c r="AN353" s="734">
        <f t="shared" si="296"/>
        <v>276.53808866419115</v>
      </c>
      <c r="AO353" s="735">
        <f t="shared" si="297"/>
        <v>1.5671801805191601</v>
      </c>
      <c r="AP353" s="733" t="str">
        <f t="shared" si="298"/>
        <v>1+13.4124654318294i</v>
      </c>
      <c r="AQ353" s="734">
        <f t="shared" si="299"/>
        <v>13.449692522880163</v>
      </c>
      <c r="AR353" s="735">
        <f t="shared" si="300"/>
        <v>1.4963765103883173</v>
      </c>
      <c r="AS353" s="732" t="str">
        <f t="shared" si="301"/>
        <v>0.00361078322290689-8.49797925511603i</v>
      </c>
      <c r="AT353" s="337">
        <f t="shared" si="302"/>
        <v>8.4979800222251587</v>
      </c>
      <c r="AU353" s="730">
        <f t="shared" si="303"/>
        <v>-1.5703714277810001</v>
      </c>
      <c r="AV353" s="732" t="str">
        <f t="shared" si="304"/>
        <v>-0.446351909135845+0.0690134865681909i</v>
      </c>
      <c r="AW353" s="337">
        <f t="shared" si="305"/>
        <v>-6.903849732856723</v>
      </c>
      <c r="AX353" s="730">
        <f t="shared" si="306"/>
        <v>171.21071105662509</v>
      </c>
      <c r="AY353" s="360">
        <f t="shared" si="307"/>
        <v>-8.7892889433749133</v>
      </c>
      <c r="BB353" s="337">
        <f t="shared" si="308"/>
        <v>-21.413685884434845</v>
      </c>
      <c r="BC353" s="730">
        <f t="shared" si="309"/>
        <v>-89.97565507978446</v>
      </c>
      <c r="BD353" s="351"/>
      <c r="BE353" s="337">
        <f t="shared" si="270"/>
        <v>35.433369839153272</v>
      </c>
      <c r="BF353" s="730">
        <f t="shared" si="271"/>
        <v>-89.016240132594859</v>
      </c>
      <c r="BI353" s="351"/>
      <c r="BJ353" s="351"/>
      <c r="BL353" s="405">
        <f t="shared" si="272"/>
        <v>0</v>
      </c>
      <c r="BM353" s="405">
        <f t="shared" si="310"/>
        <v>0</v>
      </c>
      <c r="BN353" s="405">
        <f t="shared" si="273"/>
        <v>0</v>
      </c>
      <c r="BO353" s="405">
        <f t="shared" si="274"/>
        <v>0</v>
      </c>
    </row>
    <row r="354" spans="4:67" ht="13.5" thickBot="1" x14ac:dyDescent="0.25">
      <c r="D354" s="345">
        <v>27702.5</v>
      </c>
      <c r="E354" s="340" t="str">
        <f t="shared" si="261"/>
        <v>0.459518244166456i</v>
      </c>
      <c r="F354" s="728" t="str">
        <f t="shared" si="275"/>
        <v>0.005-0.0941827426310256i</v>
      </c>
      <c r="G354" s="337" t="str">
        <f t="shared" si="276"/>
        <v>0.005-0.147311469243399i</v>
      </c>
      <c r="H354" s="338" t="str">
        <f t="shared" si="277"/>
        <v>0.0223451023347707-0.144014131834221i</v>
      </c>
      <c r="I354" s="338" t="str">
        <f t="shared" si="278"/>
        <v>0.0323451023347707-0.144014131834221i</v>
      </c>
      <c r="J354" s="337" t="str">
        <f t="shared" si="279"/>
        <v>0.00682327917868865-0.0573338188922316i</v>
      </c>
      <c r="K354" s="338" t="str">
        <f t="shared" si="262"/>
        <v>0.991473016597222-0.145049950810119i</v>
      </c>
      <c r="L354" s="732"/>
      <c r="M354" s="732" t="str">
        <f t="shared" si="263"/>
        <v>0.995244216110595-58.6626624210418i</v>
      </c>
      <c r="N354" s="337">
        <f t="shared" si="264"/>
        <v>0</v>
      </c>
      <c r="O354" s="730" t="str">
        <f t="shared" si="265"/>
        <v>-1.9602247619896-22.8669223039291i</v>
      </c>
      <c r="P354" s="731" t="str">
        <f t="shared" si="266"/>
        <v>-3.35656363384664-0.457332874703961i</v>
      </c>
      <c r="Q354" s="729" t="str">
        <f t="shared" si="267"/>
        <v>-3.33696138622674-0.228663651664667i</v>
      </c>
      <c r="R354" s="730"/>
      <c r="S354" s="405" t="str">
        <f t="shared" si="280"/>
        <v>39.6951365177492-4.33929765312991i</v>
      </c>
      <c r="T354" s="405" t="str">
        <f t="shared" si="281"/>
        <v>15.2727160064985-3.27700527313957i</v>
      </c>
      <c r="U354" s="405" t="str">
        <f t="shared" si="282"/>
        <v>-0.130664667332262-2.27271195460638i</v>
      </c>
      <c r="V354" s="731" t="str">
        <f t="shared" si="268"/>
        <v>6000</v>
      </c>
      <c r="W354" s="733" t="str">
        <f>IMSUM(COMPLEX(1,0),IMDIV(COMPLEX(0,2*PI()*D354),COMPLEX(2*PI()*'Stability Calculations'!EA_Pole1,0)))</f>
        <v>1+175800.540381863i</v>
      </c>
      <c r="X354" s="734">
        <f t="shared" si="283"/>
        <v>175800.54038470713</v>
      </c>
      <c r="Y354" s="735">
        <f t="shared" si="284"/>
        <v>1.5707906385302428</v>
      </c>
      <c r="Z354" s="340" t="str">
        <f>IMSUM(COMPLEX(1,0),IMDIV(COMPLEX(0,2*PI()*D354),COMPLEX(2*PI()*'Stability Calculations'!EA_Zero1,0)))</f>
        <v>1+1740.59940972142i</v>
      </c>
      <c r="AA354" s="734">
        <f t="shared" si="285"/>
        <v>1740.5996969787614</v>
      </c>
      <c r="AB354" s="735">
        <f t="shared" si="286"/>
        <v>1.5702218121280569</v>
      </c>
      <c r="AC354" s="733" t="str">
        <f>IMSUM(COMPLEX(1,0),IMDIV(COMPLEX(0,2*PI()*D354),COMPLEX(2*PI()*'Stability Calculations'!EA_Pole2,0)))</f>
        <v>1+17.5338517895219i</v>
      </c>
      <c r="AD354" s="734">
        <f t="shared" si="287"/>
        <v>17.562344905419675</v>
      </c>
      <c r="AE354" s="735">
        <f t="shared" si="288"/>
        <v>1.5138255090611101</v>
      </c>
      <c r="AF354" s="732" t="str">
        <f t="shared" si="289"/>
        <v>0.190682833813887-3.37719621810925i</v>
      </c>
      <c r="AG354" s="337">
        <f t="shared" si="290"/>
        <v>3.382575089886803</v>
      </c>
      <c r="AH354" s="730">
        <f t="shared" si="291"/>
        <v>-1.514394335463296</v>
      </c>
      <c r="AI354" s="731" t="str">
        <f t="shared" si="269"/>
        <v>10000</v>
      </c>
      <c r="AJ354" s="733" t="str">
        <f t="shared" si="292"/>
        <v>1+163894.492299488i</v>
      </c>
      <c r="AK354" s="734">
        <f t="shared" si="293"/>
        <v>163894.49230253871</v>
      </c>
      <c r="AL354" s="735">
        <f t="shared" si="294"/>
        <v>1.570790225308593</v>
      </c>
      <c r="AM354" s="340" t="str">
        <f t="shared" si="295"/>
        <v>1+278.147785673483i</v>
      </c>
      <c r="AN354" s="734">
        <f t="shared" si="296"/>
        <v>278.14958327321256</v>
      </c>
      <c r="AO354" s="735">
        <f t="shared" si="297"/>
        <v>1.5672011312081409</v>
      </c>
      <c r="AP354" s="733" t="str">
        <f t="shared" si="298"/>
        <v>1+13.4906260847162i</v>
      </c>
      <c r="AQ354" s="734">
        <f t="shared" si="299"/>
        <v>13.527638084958703</v>
      </c>
      <c r="AR354" s="735">
        <f t="shared" si="300"/>
        <v>1.4968061000884434</v>
      </c>
      <c r="AS354" s="732" t="str">
        <f t="shared" si="301"/>
        <v>0.00356906483717574-8.44874452243i</v>
      </c>
      <c r="AT354" s="337">
        <f t="shared" si="302"/>
        <v>8.4487452762830255</v>
      </c>
      <c r="AU354" s="730">
        <f t="shared" si="303"/>
        <v>-1.5703738895185182</v>
      </c>
      <c r="AV354" s="732" t="str">
        <f t="shared" si="304"/>
        <v>-0.441085905876013+0.0687118835775506i</v>
      </c>
      <c r="AW354" s="337">
        <f t="shared" si="305"/>
        <v>-7.0054042770516567</v>
      </c>
      <c r="AX354" s="730">
        <f t="shared" si="306"/>
        <v>171.14569069657341</v>
      </c>
      <c r="AY354" s="360">
        <f t="shared" si="307"/>
        <v>-8.8543093034265894</v>
      </c>
      <c r="BB354" s="337">
        <f t="shared" si="308"/>
        <v>-21.464155667272689</v>
      </c>
      <c r="BC354" s="730">
        <f t="shared" si="309"/>
        <v>-89.975796126954521</v>
      </c>
      <c r="BD354" s="351"/>
      <c r="BE354" s="337">
        <f t="shared" si="270"/>
        <v>35.368485242483004</v>
      </c>
      <c r="BF354" s="730">
        <f t="shared" si="271"/>
        <v>-89.028038947466285</v>
      </c>
      <c r="BI354" s="351"/>
      <c r="BJ354" s="351"/>
      <c r="BL354" s="405">
        <f t="shared" si="272"/>
        <v>0</v>
      </c>
      <c r="BM354" s="405">
        <f t="shared" si="310"/>
        <v>0</v>
      </c>
      <c r="BN354" s="405">
        <f t="shared" si="273"/>
        <v>0</v>
      </c>
      <c r="BO354" s="405">
        <f t="shared" si="274"/>
        <v>0</v>
      </c>
    </row>
    <row r="355" spans="4:67" ht="13.5" thickBot="1" x14ac:dyDescent="0.25">
      <c r="D355" s="345">
        <v>27863</v>
      </c>
      <c r="E355" s="340" t="str">
        <f t="shared" si="261"/>
        <v>0.462180555444814i</v>
      </c>
      <c r="F355" s="728" t="str">
        <f t="shared" si="275"/>
        <v>0.005-0.093640219205972i</v>
      </c>
      <c r="G355" s="337" t="str">
        <f t="shared" si="276"/>
        <v>0.005-0.146462906963186i</v>
      </c>
      <c r="H355" s="338" t="str">
        <f t="shared" si="277"/>
        <v>0.0221484424656795-0.143208140412261i</v>
      </c>
      <c r="I355" s="338" t="str">
        <f t="shared" si="278"/>
        <v>0.0321484424656795-0.143208140412261i</v>
      </c>
      <c r="J355" s="337" t="str">
        <f t="shared" si="279"/>
        <v>0.00679239458355361-0.0570053613590968i</v>
      </c>
      <c r="K355" s="338" t="str">
        <f t="shared" si="262"/>
        <v>0.991373924788889-0.145890326844954i</v>
      </c>
      <c r="L355" s="732"/>
      <c r="M355" s="732" t="str">
        <f t="shared" si="263"/>
        <v>0.97617386821365-58.2300441544643i</v>
      </c>
      <c r="N355" s="337">
        <f t="shared" si="264"/>
        <v>0</v>
      </c>
      <c r="O355" s="730" t="str">
        <f t="shared" si="265"/>
        <v>-1.94457228908589-22.696190113031i</v>
      </c>
      <c r="P355" s="731" t="str">
        <f t="shared" si="266"/>
        <v>-3.31279415088633-0.451168580621697i</v>
      </c>
      <c r="Q355" s="729" t="str">
        <f t="shared" si="267"/>
        <v>-3.29334842799547-0.224206679491389i</v>
      </c>
      <c r="R355" s="730"/>
      <c r="S355" s="405" t="str">
        <f t="shared" si="280"/>
        <v>39.6906846629896-4.38109429967329i</v>
      </c>
      <c r="T355" s="405" t="str">
        <f t="shared" si="281"/>
        <v>15.2687039193261-3.28903175684525i</v>
      </c>
      <c r="U355" s="405" t="str">
        <f t="shared" si="282"/>
        <v>-0.132838111371989-2.25944962542636i</v>
      </c>
      <c r="V355" s="731" t="str">
        <f t="shared" si="268"/>
        <v>6000</v>
      </c>
      <c r="W355" s="733" t="str">
        <f>IMSUM(COMPLEX(1,0),IMDIV(COMPLEX(0,2*PI()*D355),COMPLEX(2*PI()*'Stability Calculations'!EA_Pole1,0)))</f>
        <v>1+176819.076136084i</v>
      </c>
      <c r="X355" s="734">
        <f t="shared" si="283"/>
        <v>176819.07613891177</v>
      </c>
      <c r="Y355" s="735">
        <f t="shared" si="284"/>
        <v>1.570790671296509</v>
      </c>
      <c r="Z355" s="340" t="str">
        <f>IMSUM(COMPLEX(1,0),IMDIV(COMPLEX(0,2*PI()*D355),COMPLEX(2*PI()*'Stability Calculations'!EA_Zero1,0)))</f>
        <v>1+1750.68392213945i</v>
      </c>
      <c r="AA355" s="734">
        <f t="shared" si="285"/>
        <v>1750.6842077420954</v>
      </c>
      <c r="AB355" s="735">
        <f t="shared" si="286"/>
        <v>1.5702251215198637</v>
      </c>
      <c r="AC355" s="733" t="str">
        <f>IMSUM(COMPLEX(1,0),IMDIV(COMPLEX(0,2*PI()*D355),COMPLEX(2*PI()*'Stability Calculations'!EA_Pole2,0)))</f>
        <v>1+17.635437682933i</v>
      </c>
      <c r="AD355" s="734">
        <f t="shared" si="287"/>
        <v>17.663766933149148</v>
      </c>
      <c r="AE355" s="735">
        <f t="shared" si="288"/>
        <v>1.514152976093772</v>
      </c>
      <c r="AF355" s="732" t="str">
        <f t="shared" si="289"/>
        <v>0.188499390374966-3.35786627235236i</v>
      </c>
      <c r="AG355" s="337">
        <f t="shared" si="290"/>
        <v>3.3631529735016912</v>
      </c>
      <c r="AH355" s="730">
        <f t="shared" si="291"/>
        <v>-1.514718525870417</v>
      </c>
      <c r="AI355" s="731" t="str">
        <f t="shared" si="269"/>
        <v>10000</v>
      </c>
      <c r="AJ355" s="733" t="str">
        <f t="shared" si="292"/>
        <v>1+164844.047971867i</v>
      </c>
      <c r="AK355" s="734">
        <f t="shared" si="293"/>
        <v>164844.0479749002</v>
      </c>
      <c r="AL355" s="735">
        <f t="shared" si="294"/>
        <v>1.5707902604551514</v>
      </c>
      <c r="AM355" s="340" t="str">
        <f t="shared" si="295"/>
        <v>1+279.759290757884i</v>
      </c>
      <c r="AN355" s="734">
        <f t="shared" si="296"/>
        <v>279.76107800291715</v>
      </c>
      <c r="AO355" s="735">
        <f t="shared" si="297"/>
        <v>1.5672218405345715</v>
      </c>
      <c r="AP355" s="733" t="str">
        <f t="shared" si="298"/>
        <v>1+13.5687867376031i</v>
      </c>
      <c r="AQ355" s="734">
        <f t="shared" si="299"/>
        <v>13.605586114921833</v>
      </c>
      <c r="AR355" s="735">
        <f t="shared" si="300"/>
        <v>1.4972307675246603</v>
      </c>
      <c r="AS355" s="732" t="str">
        <f t="shared" si="301"/>
        <v>0.00352806530752509-8.40007700579328i</v>
      </c>
      <c r="AT355" s="337">
        <f t="shared" si="302"/>
        <v>8.4000777466938832</v>
      </c>
      <c r="AU355" s="730">
        <f t="shared" si="303"/>
        <v>-1.5703763228952137</v>
      </c>
      <c r="AV355" s="732" t="str">
        <f t="shared" si="304"/>
        <v>-0.435910875698881+0.0684118510151772i</v>
      </c>
      <c r="AW355" s="337">
        <f t="shared" si="305"/>
        <v>-7.1063745478988762</v>
      </c>
      <c r="AX355" s="730">
        <f t="shared" si="306"/>
        <v>171.08075324676386</v>
      </c>
      <c r="AY355" s="360">
        <f t="shared" si="307"/>
        <v>-8.9192467532361377</v>
      </c>
      <c r="BB355" s="337">
        <f t="shared" si="308"/>
        <v>-21.514333886372171</v>
      </c>
      <c r="BC355" s="730">
        <f t="shared" si="309"/>
        <v>-89.975935549169137</v>
      </c>
      <c r="BD355" s="351"/>
      <c r="BE355" s="337">
        <f t="shared" si="270"/>
        <v>35.304162735666999</v>
      </c>
      <c r="BF355" s="730">
        <f t="shared" si="271"/>
        <v>-89.039578194914071</v>
      </c>
      <c r="BI355" s="351"/>
      <c r="BJ355" s="351"/>
      <c r="BL355" s="405">
        <f t="shared" si="272"/>
        <v>0</v>
      </c>
      <c r="BM355" s="405">
        <f t="shared" si="310"/>
        <v>0</v>
      </c>
      <c r="BN355" s="405">
        <f t="shared" si="273"/>
        <v>0</v>
      </c>
      <c r="BO355" s="405">
        <f t="shared" si="274"/>
        <v>0</v>
      </c>
    </row>
    <row r="356" spans="4:67" ht="13.5" thickBot="1" x14ac:dyDescent="0.25">
      <c r="D356" s="345">
        <v>28023.5</v>
      </c>
      <c r="E356" s="340" t="str">
        <f t="shared" si="261"/>
        <v>0.464842866723172i</v>
      </c>
      <c r="F356" s="728" t="str">
        <f t="shared" si="275"/>
        <v>0.005-0.0931039102087885i</v>
      </c>
      <c r="G356" s="337" t="str">
        <f t="shared" si="276"/>
        <v>0.005-0.145624064685541i</v>
      </c>
      <c r="H356" s="338" t="str">
        <f t="shared" si="277"/>
        <v>0.0219550888020472-0.142410987254179i</v>
      </c>
      <c r="I356" s="338" t="str">
        <f t="shared" si="278"/>
        <v>0.0319550888020472-0.142410987254179i</v>
      </c>
      <c r="J356" s="337" t="str">
        <f t="shared" si="279"/>
        <v>0.0067620369192485-0.056680643749852i</v>
      </c>
      <c r="K356" s="338" t="str">
        <f t="shared" si="262"/>
        <v>0.991274260530556-0.146730702879789i</v>
      </c>
      <c r="L356" s="732"/>
      <c r="M356" s="732" t="str">
        <f t="shared" si="263"/>
        <v>0.957645438724653-57.8042823128441i</v>
      </c>
      <c r="N356" s="337">
        <f t="shared" si="264"/>
        <v>0</v>
      </c>
      <c r="O356" s="730" t="str">
        <f t="shared" si="265"/>
        <v>-1.92917397242144-22.5281871534846i</v>
      </c>
      <c r="P356" s="731" t="str">
        <f t="shared" si="266"/>
        <v>-3.26990829917799-0.445154651041138i</v>
      </c>
      <c r="Q356" s="729" t="str">
        <f t="shared" si="267"/>
        <v>-3.25061655945377-0.219872779506292i</v>
      </c>
      <c r="R356" s="730"/>
      <c r="S356" s="405" t="str">
        <f t="shared" si="280"/>
        <v>39.6861748453416-4.42279201792031i</v>
      </c>
      <c r="T356" s="405" t="str">
        <f t="shared" si="281"/>
        <v>15.2646816012193-3.30109062808723i</v>
      </c>
      <c r="U356" s="405" t="str">
        <f t="shared" si="282"/>
        <v>-0.134974135271673-2.24633411483361i</v>
      </c>
      <c r="V356" s="731" t="str">
        <f t="shared" si="268"/>
        <v>6000</v>
      </c>
      <c r="W356" s="733" t="str">
        <f>IMSUM(COMPLEX(1,0),IMDIV(COMPLEX(0,2*PI()*D356),COMPLEX(2*PI()*'Stability Calculations'!EA_Pole1,0)))</f>
        <v>1+177837.611890304i</v>
      </c>
      <c r="X356" s="734">
        <f t="shared" si="283"/>
        <v>177837.61189311554</v>
      </c>
      <c r="Y356" s="735">
        <f t="shared" si="284"/>
        <v>1.5707907036874484</v>
      </c>
      <c r="Z356" s="340" t="str">
        <f>IMSUM(COMPLEX(1,0),IMDIV(COMPLEX(0,2*PI()*D356),COMPLEX(2*PI()*'Stability Calculations'!EA_Zero1,0)))</f>
        <v>1+1760.76843455747i</v>
      </c>
      <c r="AA356" s="734">
        <f t="shared" si="285"/>
        <v>1760.7687185243731</v>
      </c>
      <c r="AB356" s="735">
        <f t="shared" si="286"/>
        <v>1.5702283930036851</v>
      </c>
      <c r="AC356" s="733" t="str">
        <f>IMSUM(COMPLEX(1,0),IMDIV(COMPLEX(0,2*PI()*D356),COMPLEX(2*PI()*'Stability Calculations'!EA_Pole2,0)))</f>
        <v>1+17.7370235763439i</v>
      </c>
      <c r="AD356" s="734">
        <f t="shared" si="287"/>
        <v>17.765190833418576</v>
      </c>
      <c r="AE356" s="735">
        <f t="shared" si="288"/>
        <v>1.5144767040528095</v>
      </c>
      <c r="AF356" s="732" t="str">
        <f t="shared" si="289"/>
        <v>0.186353196844746-3.33875564466376i</v>
      </c>
      <c r="AG356" s="337">
        <f t="shared" si="290"/>
        <v>3.3439522677138172</v>
      </c>
      <c r="AH356" s="730">
        <f t="shared" si="291"/>
        <v>-1.5150390147365731</v>
      </c>
      <c r="AI356" s="731" t="str">
        <f t="shared" si="269"/>
        <v>10000</v>
      </c>
      <c r="AJ356" s="733" t="str">
        <f t="shared" si="292"/>
        <v>1+165793.603644245i</v>
      </c>
      <c r="AK356" s="734">
        <f t="shared" si="293"/>
        <v>165793.60364726081</v>
      </c>
      <c r="AL356" s="735">
        <f t="shared" si="294"/>
        <v>1.5707902951991173</v>
      </c>
      <c r="AM356" s="340" t="str">
        <f t="shared" si="295"/>
        <v>1+281.370795842284i</v>
      </c>
      <c r="AN356" s="734">
        <f t="shared" si="296"/>
        <v>281.37257285122917</v>
      </c>
      <c r="AO356" s="735">
        <f t="shared" si="297"/>
        <v>1.5672423126454746</v>
      </c>
      <c r="AP356" s="733" t="str">
        <f t="shared" si="298"/>
        <v>1+13.6469473904898i</v>
      </c>
      <c r="AQ356" s="734">
        <f t="shared" si="299"/>
        <v>13.683536570594473</v>
      </c>
      <c r="AR356" s="735">
        <f t="shared" si="300"/>
        <v>1.4976505966638634</v>
      </c>
      <c r="AS356" s="732" t="str">
        <f t="shared" si="301"/>
        <v>0.00348776821268989-8.3519669593019i</v>
      </c>
      <c r="AT356" s="337">
        <f t="shared" si="302"/>
        <v>8.3519676875451161</v>
      </c>
      <c r="AU356" s="730">
        <f t="shared" si="303"/>
        <v>-1.5703787283983819</v>
      </c>
      <c r="AV356" s="732" t="str">
        <f t="shared" si="304"/>
        <v>-0.430824734293076+0.0681134053219371i</v>
      </c>
      <c r="AW356" s="337">
        <f t="shared" si="305"/>
        <v>-7.2067673237552112</v>
      </c>
      <c r="AX356" s="730">
        <f t="shared" si="306"/>
        <v>171.01589718265785</v>
      </c>
      <c r="AY356" s="360">
        <f t="shared" si="307"/>
        <v>-8.9841028173421478</v>
      </c>
      <c r="BB356" s="337">
        <f t="shared" si="308"/>
        <v>-21.564223891117862</v>
      </c>
      <c r="BC356" s="730">
        <f t="shared" si="309"/>
        <v>-89.976073374348275</v>
      </c>
      <c r="BD356" s="351"/>
      <c r="BE356" s="337">
        <f t="shared" si="270"/>
        <v>35.24039209837462</v>
      </c>
      <c r="BF356" s="730">
        <f t="shared" si="271"/>
        <v>-89.050865772669425</v>
      </c>
      <c r="BI356" s="351"/>
      <c r="BJ356" s="351"/>
      <c r="BL356" s="405">
        <f t="shared" si="272"/>
        <v>0</v>
      </c>
      <c r="BM356" s="405">
        <f t="shared" si="310"/>
        <v>0</v>
      </c>
      <c r="BN356" s="405">
        <f t="shared" si="273"/>
        <v>0</v>
      </c>
      <c r="BO356" s="405">
        <f t="shared" si="274"/>
        <v>0</v>
      </c>
    </row>
    <row r="357" spans="4:67" ht="13.5" thickBot="1" x14ac:dyDescent="0.25">
      <c r="D357" s="345">
        <v>28184</v>
      </c>
      <c r="E357" s="340" t="str">
        <f t="shared" si="261"/>
        <v>0.467505178001531i</v>
      </c>
      <c r="F357" s="728" t="str">
        <f t="shared" si="275"/>
        <v>0.005-0.0925737094711891i</v>
      </c>
      <c r="G357" s="337" t="str">
        <f t="shared" si="276"/>
        <v>0.005-0.144794776352372i</v>
      </c>
      <c r="H357" s="338" t="str">
        <f t="shared" si="277"/>
        <v>0.0217649679943085-0.141622530059209i</v>
      </c>
      <c r="I357" s="338" t="str">
        <f t="shared" si="278"/>
        <v>0.0317649679943085-0.141622530059209i</v>
      </c>
      <c r="J357" s="337" t="str">
        <f t="shared" si="279"/>
        <v>0.00673219425605945-0.0563596027208912i</v>
      </c>
      <c r="K357" s="338" t="str">
        <f t="shared" si="262"/>
        <v>0.991174023822222-0.147571078914625i</v>
      </c>
      <c r="L357" s="732"/>
      <c r="M357" s="732" t="str">
        <f t="shared" si="263"/>
        <v>0.93963887207543-57.3852075447439i</v>
      </c>
      <c r="N357" s="337">
        <f t="shared" si="264"/>
        <v>0</v>
      </c>
      <c r="O357" s="730" t="str">
        <f t="shared" si="265"/>
        <v>-1.91402474918027-22.3628453159126i</v>
      </c>
      <c r="P357" s="731" t="str">
        <f t="shared" si="266"/>
        <v>-3.22788166786029-0.439286038146781i</v>
      </c>
      <c r="Q357" s="729" t="str">
        <f t="shared" si="267"/>
        <v>-3.20874142036849-0.215657584987658i</v>
      </c>
      <c r="R357" s="730"/>
      <c r="S357" s="405" t="str">
        <f t="shared" si="280"/>
        <v>39.681607597693-4.46439233993116i</v>
      </c>
      <c r="T357" s="405" t="str">
        <f t="shared" si="281"/>
        <v>15.2606488457311-3.3131812423431i</v>
      </c>
      <c r="U357" s="405" t="str">
        <f t="shared" si="282"/>
        <v>-0.137073576385625-2.23336298357652i</v>
      </c>
      <c r="V357" s="731" t="str">
        <f t="shared" si="268"/>
        <v>6000</v>
      </c>
      <c r="W357" s="733" t="str">
        <f>IMSUM(COMPLEX(1,0),IMDIV(COMPLEX(0,2*PI()*D357),COMPLEX(2*PI()*'Stability Calculations'!EA_Pole1,0)))</f>
        <v>1+178856.147644524i</v>
      </c>
      <c r="X357" s="734">
        <f t="shared" si="283"/>
        <v>178856.14764731954</v>
      </c>
      <c r="Y357" s="735">
        <f t="shared" si="284"/>
        <v>1.5707907357094733</v>
      </c>
      <c r="Z357" s="340" t="str">
        <f>IMSUM(COMPLEX(1,0),IMDIV(COMPLEX(0,2*PI()*D357),COMPLEX(2*PI()*'Stability Calculations'!EA_Zero1,0)))</f>
        <v>1+1770.85294697549i</v>
      </c>
      <c r="AA357" s="734">
        <f t="shared" si="285"/>
        <v>1770.8532293252815</v>
      </c>
      <c r="AB357" s="735">
        <f t="shared" si="286"/>
        <v>1.5702316272271473</v>
      </c>
      <c r="AC357" s="733" t="str">
        <f>IMSUM(COMPLEX(1,0),IMDIV(COMPLEX(0,2*PI()*D357),COMPLEX(2*PI()*'Stability Calculations'!EA_Pole2,0)))</f>
        <v>1+17.8386094697549i</v>
      </c>
      <c r="AD357" s="734">
        <f t="shared" si="287"/>
        <v>17.866616574338554</v>
      </c>
      <c r="AE357" s="735">
        <f t="shared" si="288"/>
        <v>1.5147967565480398</v>
      </c>
      <c r="AF357" s="732" t="str">
        <f t="shared" si="289"/>
        <v>0.184243411577581-3.31986063535927i</v>
      </c>
      <c r="AG357" s="337">
        <f t="shared" si="290"/>
        <v>3.3249692138300775</v>
      </c>
      <c r="AH357" s="730">
        <f t="shared" si="291"/>
        <v>-1.5153558650303658</v>
      </c>
      <c r="AI357" s="731" t="str">
        <f t="shared" si="269"/>
        <v>10000</v>
      </c>
      <c r="AJ357" s="733" t="str">
        <f t="shared" si="292"/>
        <v>1+166743.159316623i</v>
      </c>
      <c r="AK357" s="734">
        <f t="shared" si="293"/>
        <v>166743.1593196216</v>
      </c>
      <c r="AL357" s="735">
        <f t="shared" si="294"/>
        <v>1.5707903295473689</v>
      </c>
      <c r="AM357" s="340" t="str">
        <f t="shared" si="295"/>
        <v>1+282.982300926683i</v>
      </c>
      <c r="AN357" s="734">
        <f t="shared" si="296"/>
        <v>282.98406781612243</v>
      </c>
      <c r="AO357" s="735">
        <f t="shared" si="297"/>
        <v>1.5672625515934107</v>
      </c>
      <c r="AP357" s="733" t="str">
        <f t="shared" si="298"/>
        <v>1+13.7251080433766i</v>
      </c>
      <c r="AQ357" s="734">
        <f t="shared" si="299"/>
        <v>13.761489410756418</v>
      </c>
      <c r="AR357" s="735">
        <f t="shared" si="300"/>
        <v>1.4980656695773185</v>
      </c>
      <c r="AS357" s="732" t="str">
        <f t="shared" si="301"/>
        <v>0.00344815759764247-8.30440485905272i</v>
      </c>
      <c r="AT357" s="337">
        <f t="shared" si="302"/>
        <v>8.3044055749252301</v>
      </c>
      <c r="AU357" s="730">
        <f t="shared" si="303"/>
        <v>-1.5703811065042192</v>
      </c>
      <c r="AV357" s="732" t="str">
        <f t="shared" si="304"/>
        <v>-0.42582545672902+0.0678165612986578i</v>
      </c>
      <c r="AW357" s="337">
        <f t="shared" si="305"/>
        <v>-7.3065892660563589</v>
      </c>
      <c r="AX357" s="730">
        <f t="shared" si="306"/>
        <v>170.95112101657071</v>
      </c>
      <c r="AY357" s="360">
        <f t="shared" si="307"/>
        <v>-9.0488789834292902</v>
      </c>
      <c r="BB357" s="337">
        <f t="shared" si="308"/>
        <v>-21.613828973508753</v>
      </c>
      <c r="BC357" s="730">
        <f t="shared" si="309"/>
        <v>-89.976209629775994</v>
      </c>
      <c r="BD357" s="351"/>
      <c r="BE357" s="337">
        <f t="shared" si="270"/>
        <v>35.1771633888617</v>
      </c>
      <c r="BF357" s="730">
        <f t="shared" si="271"/>
        <v>-89.061909276444325</v>
      </c>
      <c r="BI357" s="351"/>
      <c r="BJ357" s="351"/>
      <c r="BL357" s="405">
        <f t="shared" si="272"/>
        <v>0</v>
      </c>
      <c r="BM357" s="405">
        <f t="shared" si="310"/>
        <v>0</v>
      </c>
      <c r="BN357" s="405">
        <f t="shared" si="273"/>
        <v>0</v>
      </c>
      <c r="BO357" s="405">
        <f t="shared" si="274"/>
        <v>0</v>
      </c>
    </row>
    <row r="358" spans="4:67" ht="13.5" thickBot="1" x14ac:dyDescent="0.25">
      <c r="D358" s="345">
        <v>28348</v>
      </c>
      <c r="E358" s="340" t="str">
        <f t="shared" si="261"/>
        <v>0.470225545912127i</v>
      </c>
      <c r="F358" s="728" t="str">
        <f t="shared" si="275"/>
        <v>0.005-0.0920381482903908i</v>
      </c>
      <c r="G358" s="337" t="str">
        <f t="shared" si="276"/>
        <v>0.005-0.143957103736252i</v>
      </c>
      <c r="H358" s="338" t="str">
        <f t="shared" si="277"/>
        <v>0.0215739664109234-0.140825716637233i</v>
      </c>
      <c r="I358" s="338" t="str">
        <f t="shared" si="278"/>
        <v>0.0315739664109234-0.140825716637233i</v>
      </c>
      <c r="J358" s="337" t="str">
        <f t="shared" si="279"/>
        <v>0.00670222072612499-0.0560352940920014i</v>
      </c>
      <c r="K358" s="338" t="str">
        <f t="shared" si="262"/>
        <v>0.991071009955556-0.148429780906606i</v>
      </c>
      <c r="L358" s="732"/>
      <c r="M358" s="732" t="str">
        <f t="shared" si="263"/>
        <v>0.921758776770362-56.9637311972956i</v>
      </c>
      <c r="N358" s="337">
        <f t="shared" si="264"/>
        <v>0</v>
      </c>
      <c r="O358" s="730" t="str">
        <f t="shared" si="265"/>
        <v>-1.89879730810207-22.1965782362396i</v>
      </c>
      <c r="P358" s="731" t="str">
        <f t="shared" si="266"/>
        <v>-3.18580159944001-0.433434524006139i</v>
      </c>
      <c r="Q358" s="729" t="str">
        <f t="shared" si="267"/>
        <v>-3.16681362635899-0.211468741643741i</v>
      </c>
      <c r="R358" s="730"/>
      <c r="S358" s="405" t="str">
        <f t="shared" si="280"/>
        <v>39.6768819693426-4.50680078707042i</v>
      </c>
      <c r="T358" s="405" t="str">
        <f t="shared" si="281"/>
        <v>15.2565171586684-3.32556764725358i</v>
      </c>
      <c r="U358" s="405" t="str">
        <f t="shared" si="282"/>
        <v>-0.139181858421296-2.22025564697682i</v>
      </c>
      <c r="V358" s="731" t="str">
        <f t="shared" si="268"/>
        <v>6000</v>
      </c>
      <c r="W358" s="733" t="str">
        <f>IMSUM(COMPLEX(1,0),IMDIV(COMPLEX(0,2*PI()*D358),COMPLEX(2*PI()*'Stability Calculations'!EA_Pole1,0)))</f>
        <v>1+179896.894458806i</v>
      </c>
      <c r="X358" s="734">
        <f t="shared" si="283"/>
        <v>179896.89446158538</v>
      </c>
      <c r="Y358" s="735">
        <f t="shared" si="284"/>
        <v>1.5707907680552475</v>
      </c>
      <c r="Z358" s="340" t="str">
        <f>IMSUM(COMPLEX(1,0),IMDIV(COMPLEX(0,2*PI()*D358),COMPLEX(2*PI()*'Stability Calculations'!EA_Zero1,0)))</f>
        <v>1+1781.15737087927i</v>
      </c>
      <c r="AA358" s="734">
        <f t="shared" si="285"/>
        <v>1781.1576515956006</v>
      </c>
      <c r="AB358" s="735">
        <f t="shared" si="286"/>
        <v>1.5702348941493143</v>
      </c>
      <c r="AC358" s="733" t="str">
        <f>IMSUM(COMPLEX(1,0),IMDIV(COMPLEX(0,2*PI()*D358),COMPLEX(2*PI()*'Stability Calculations'!EA_Pole2,0)))</f>
        <v>1+17.9424106318696i</v>
      </c>
      <c r="AD358" s="734">
        <f t="shared" si="287"/>
        <v>17.970255960409336</v>
      </c>
      <c r="AE358" s="735">
        <f t="shared" si="288"/>
        <v>1.5151200565020873</v>
      </c>
      <c r="AF358" s="732" t="str">
        <f t="shared" si="289"/>
        <v>0.182124375378902-3.30077254485795i</v>
      </c>
      <c r="AG358" s="337">
        <f t="shared" si="290"/>
        <v>3.3057931999741275</v>
      </c>
      <c r="AH358" s="730">
        <f t="shared" si="291"/>
        <v>-1.5156759304080203</v>
      </c>
      <c r="AI358" s="731" t="str">
        <f t="shared" si="269"/>
        <v>10000</v>
      </c>
      <c r="AJ358" s="733" t="str">
        <f t="shared" si="292"/>
        <v>1+167713.421810519i</v>
      </c>
      <c r="AK358" s="734">
        <f t="shared" si="293"/>
        <v>167713.42181350029</v>
      </c>
      <c r="AL358" s="735">
        <f t="shared" si="294"/>
        <v>1.5707903642428886</v>
      </c>
      <c r="AM358" s="340" t="str">
        <f t="shared" si="295"/>
        <v>1+284.628947866507i</v>
      </c>
      <c r="AN358" s="734">
        <f t="shared" si="296"/>
        <v>284.63070453412922</v>
      </c>
      <c r="AO358" s="735">
        <f t="shared" si="297"/>
        <v>1.5672829951643912</v>
      </c>
      <c r="AP358" s="733" t="str">
        <f t="shared" si="298"/>
        <v>1+13.8049731341769i</v>
      </c>
      <c r="AQ358" s="734">
        <f t="shared" si="299"/>
        <v>13.841144578225675</v>
      </c>
      <c r="AR358" s="735">
        <f t="shared" si="300"/>
        <v>1.4984849644552032</v>
      </c>
      <c r="AS358" s="732" t="str">
        <f t="shared" si="301"/>
        <v>0.00340837616830873-8.25636189548075i</v>
      </c>
      <c r="AT358" s="337">
        <f t="shared" si="302"/>
        <v>8.2563625990005178</v>
      </c>
      <c r="AU358" s="730">
        <f t="shared" si="303"/>
        <v>-1.5703835086532212</v>
      </c>
      <c r="AV358" s="732" t="str">
        <f t="shared" si="304"/>
        <v>-0.420804839635356+0.0675149122621585i</v>
      </c>
      <c r="AW358" s="337">
        <f t="shared" si="305"/>
        <v>-7.4080051808627543</v>
      </c>
      <c r="AX358" s="730">
        <f t="shared" si="306"/>
        <v>170.88501330612851</v>
      </c>
      <c r="AY358" s="360">
        <f t="shared" si="307"/>
        <v>-9.1149866938714865</v>
      </c>
      <c r="BB358" s="337">
        <f t="shared" si="308"/>
        <v>-21.664224843196124</v>
      </c>
      <c r="BC358" s="730">
        <f t="shared" si="309"/>
        <v>-89.976347262775562</v>
      </c>
      <c r="BD358" s="351"/>
      <c r="BE358" s="337">
        <f t="shared" si="270"/>
        <v>35.113105580404934</v>
      </c>
      <c r="BF358" s="730">
        <f t="shared" si="271"/>
        <v>-89.072949090146537</v>
      </c>
      <c r="BI358" s="351"/>
      <c r="BJ358" s="351"/>
      <c r="BL358" s="405">
        <f t="shared" si="272"/>
        <v>0</v>
      </c>
      <c r="BM358" s="405">
        <f t="shared" si="310"/>
        <v>0</v>
      </c>
      <c r="BN358" s="405">
        <f t="shared" si="273"/>
        <v>0</v>
      </c>
      <c r="BO358" s="405">
        <f t="shared" si="274"/>
        <v>0</v>
      </c>
    </row>
    <row r="359" spans="4:67" ht="13.5" thickBot="1" x14ac:dyDescent="0.25">
      <c r="D359" s="345">
        <v>28512</v>
      </c>
      <c r="E359" s="340" t="str">
        <f t="shared" si="261"/>
        <v>0.472945913822724i</v>
      </c>
      <c r="F359" s="728" t="str">
        <f t="shared" si="275"/>
        <v>0.005-0.0915087481669466i</v>
      </c>
      <c r="G359" s="337" t="str">
        <f t="shared" si="276"/>
        <v>0.005-0.143129067645737i</v>
      </c>
      <c r="H359" s="338" t="str">
        <f t="shared" si="277"/>
        <v>0.0213861917376411-0.140037691638536i</v>
      </c>
      <c r="I359" s="338" t="str">
        <f t="shared" si="278"/>
        <v>0.0313861917376411-0.140037691638536i</v>
      </c>
      <c r="J359" s="337" t="str">
        <f t="shared" si="279"/>
        <v>0.00667276077896454-0.0557146949152117i</v>
      </c>
      <c r="K359" s="338" t="str">
        <f t="shared" si="262"/>
        <v>0.9909673984-0.149288482898587i</v>
      </c>
      <c r="L359" s="732"/>
      <c r="M359" s="732" t="str">
        <f t="shared" si="263"/>
        <v>0.904384057349847-56.5488970919098i</v>
      </c>
      <c r="N359" s="337">
        <f t="shared" si="264"/>
        <v>0</v>
      </c>
      <c r="O359" s="730" t="str">
        <f t="shared" si="265"/>
        <v>-1.8838195785419-22.0329530729008i</v>
      </c>
      <c r="P359" s="731" t="str">
        <f t="shared" si="266"/>
        <v>-3.14456981080046-0.427724744450026i</v>
      </c>
      <c r="Q359" s="729" t="str">
        <f t="shared" si="267"/>
        <v>-3.12573161501504-0.20739521372102i</v>
      </c>
      <c r="R359" s="730"/>
      <c r="S359" s="405" t="str">
        <f t="shared" si="280"/>
        <v>39.6720974566388-4.54911066968486i</v>
      </c>
      <c r="T359" s="405" t="str">
        <f t="shared" si="281"/>
        <v>15.2523741569822-3.33798587683776i</v>
      </c>
      <c r="U359" s="405" t="str">
        <f t="shared" si="282"/>
        <v>-0.141253638738929-2.20729407493065i</v>
      </c>
      <c r="V359" s="731" t="str">
        <f t="shared" si="268"/>
        <v>6000</v>
      </c>
      <c r="W359" s="733" t="str">
        <f>IMSUM(COMPLEX(1,0),IMDIV(COMPLEX(0,2*PI()*D359),COMPLEX(2*PI()*'Stability Calculations'!EA_Pole1,0)))</f>
        <v>1+180937.641273087i</v>
      </c>
      <c r="X359" s="734">
        <f t="shared" si="283"/>
        <v>180937.64127585042</v>
      </c>
      <c r="Y359" s="735">
        <f t="shared" si="284"/>
        <v>1.5707908000289184</v>
      </c>
      <c r="Z359" s="340" t="str">
        <f>IMSUM(COMPLEX(1,0),IMDIV(COMPLEX(0,2*PI()*D359),COMPLEX(2*PI()*'Stability Calculations'!EA_Zero1,0)))</f>
        <v>1+1791.46179478304i</v>
      </c>
      <c r="AA359" s="734">
        <f t="shared" si="285"/>
        <v>1791.4620738847002</v>
      </c>
      <c r="AB359" s="735">
        <f t="shared" si="286"/>
        <v>1.5702381234890552</v>
      </c>
      <c r="AC359" s="733" t="str">
        <f>IMSUM(COMPLEX(1,0),IMDIV(COMPLEX(0,2*PI()*D359),COMPLEX(2*PI()*'Stability Calculations'!EA_Pole2,0)))</f>
        <v>1+18.0462117939843i</v>
      </c>
      <c r="AD359" s="734">
        <f t="shared" si="287"/>
        <v>18.073897203241419</v>
      </c>
      <c r="AE359" s="735">
        <f t="shared" si="288"/>
        <v>1.5154396486880015</v>
      </c>
      <c r="AF359" s="732" t="str">
        <f t="shared" si="289"/>
        <v>0.18004165052494-3.28190203024957i</v>
      </c>
      <c r="AG359" s="337">
        <f t="shared" si="290"/>
        <v>3.2868367668748006</v>
      </c>
      <c r="AH359" s="730">
        <f t="shared" si="291"/>
        <v>-1.5159923252278644</v>
      </c>
      <c r="AI359" s="731" t="str">
        <f t="shared" si="269"/>
        <v>10000</v>
      </c>
      <c r="AJ359" s="733" t="str">
        <f t="shared" si="292"/>
        <v>1+168683.684304413i</v>
      </c>
      <c r="AK359" s="734">
        <f t="shared" si="293"/>
        <v>168683.68430737715</v>
      </c>
      <c r="AL359" s="735">
        <f t="shared" si="294"/>
        <v>1.5707903985392737</v>
      </c>
      <c r="AM359" s="340" t="str">
        <f t="shared" si="295"/>
        <v>1+286.27559480633i</v>
      </c>
      <c r="AN359" s="734">
        <f t="shared" si="296"/>
        <v>286.27734136972498</v>
      </c>
      <c r="AO359" s="735">
        <f t="shared" si="297"/>
        <v>1.5673032035568857</v>
      </c>
      <c r="AP359" s="733" t="str">
        <f t="shared" si="298"/>
        <v>1+13.8848382249771i</v>
      </c>
      <c r="AQ359" s="734">
        <f t="shared" si="299"/>
        <v>13.920802151233429</v>
      </c>
      <c r="AR359" s="735">
        <f t="shared" si="300"/>
        <v>1.4988994608294393</v>
      </c>
      <c r="AS359" s="732" t="str">
        <f t="shared" si="301"/>
        <v>0.00336927922671168-8.20887161442979i</v>
      </c>
      <c r="AT359" s="337">
        <f t="shared" si="302"/>
        <v>8.2088723058793942</v>
      </c>
      <c r="AU359" s="730">
        <f t="shared" si="303"/>
        <v>-1.5703858831680786</v>
      </c>
      <c r="AV359" s="732" t="str">
        <f t="shared" si="304"/>
        <v>-0.415870822678139+0.0672149619016849i</v>
      </c>
      <c r="AW359" s="337">
        <f t="shared" si="305"/>
        <v>-7.5088387944635642</v>
      </c>
      <c r="AX359" s="730">
        <f t="shared" si="306"/>
        <v>170.81898598887446</v>
      </c>
      <c r="AY359" s="360">
        <f t="shared" si="307"/>
        <v>-9.1810140111255407</v>
      </c>
      <c r="BB359" s="337">
        <f t="shared" si="308"/>
        <v>-21.714330000052399</v>
      </c>
      <c r="BC359" s="730">
        <f t="shared" si="309"/>
        <v>-89.976483312455287</v>
      </c>
      <c r="BD359" s="351"/>
      <c r="BE359" s="337">
        <f t="shared" si="270"/>
        <v>35.049593453811489</v>
      </c>
      <c r="BF359" s="730">
        <f t="shared" si="271"/>
        <v>-89.083749197083407</v>
      </c>
      <c r="BI359" s="351"/>
      <c r="BJ359" s="351"/>
      <c r="BL359" s="405">
        <f t="shared" si="272"/>
        <v>0</v>
      </c>
      <c r="BM359" s="405">
        <f t="shared" si="310"/>
        <v>0</v>
      </c>
      <c r="BN359" s="405">
        <f t="shared" si="273"/>
        <v>0</v>
      </c>
      <c r="BO359" s="405">
        <f t="shared" si="274"/>
        <v>0</v>
      </c>
    </row>
    <row r="360" spans="4:67" ht="13.5" thickBot="1" x14ac:dyDescent="0.25">
      <c r="D360" s="345">
        <v>28676</v>
      </c>
      <c r="E360" s="340" t="str">
        <f t="shared" si="261"/>
        <v>0.47566628173332i</v>
      </c>
      <c r="F360" s="728" t="str">
        <f t="shared" si="275"/>
        <v>0.005-0.0909854033943363i</v>
      </c>
      <c r="G360" s="337" t="str">
        <f t="shared" si="276"/>
        <v>0.005-0.142310502744988i</v>
      </c>
      <c r="H360" s="338" t="str">
        <f t="shared" si="277"/>
        <v>0.0212015720213431-0.139258312660077i</v>
      </c>
      <c r="I360" s="338" t="str">
        <f t="shared" si="278"/>
        <v>0.0312015720213431-0.139258312660077i</v>
      </c>
      <c r="J360" s="337" t="str">
        <f t="shared" si="279"/>
        <v>0.00664380273582276-0.0553977420756496i</v>
      </c>
      <c r="K360" s="338" t="str">
        <f t="shared" si="262"/>
        <v>0.990863189155556-0.150147184890568i</v>
      </c>
      <c r="L360" s="732"/>
      <c r="M360" s="732" t="str">
        <f t="shared" si="263"/>
        <v>0.887496093831066-56.140542116815i</v>
      </c>
      <c r="N360" s="337">
        <f t="shared" si="264"/>
        <v>0</v>
      </c>
      <c r="O360" s="730" t="str">
        <f t="shared" si="265"/>
        <v>-1.86908648462903-21.8719042939198i</v>
      </c>
      <c r="P360" s="731" t="str">
        <f t="shared" si="266"/>
        <v>-3.10416292319823-0.422151967005468i</v>
      </c>
      <c r="Q360" s="729" t="str">
        <f t="shared" si="267"/>
        <v>-3.08547205835194-0.203432924066269i</v>
      </c>
      <c r="R360" s="730"/>
      <c r="S360" s="405" t="str">
        <f t="shared" si="280"/>
        <v>39.6672545813315-4.59132351455562i</v>
      </c>
      <c r="T360" s="405" t="str">
        <f t="shared" si="281"/>
        <v>15.2482196389854-3.35043528595049i</v>
      </c>
      <c r="U360" s="405" t="str">
        <f t="shared" si="282"/>
        <v>-0.143289737725043-2.19447583301327i</v>
      </c>
      <c r="V360" s="731" t="str">
        <f t="shared" si="268"/>
        <v>6000</v>
      </c>
      <c r="W360" s="733" t="str">
        <f>IMSUM(COMPLEX(1,0),IMDIV(COMPLEX(0,2*PI()*D360),COMPLEX(2*PI()*'Stability Calculations'!EA_Pole1,0)))</f>
        <v>1+181978.388087369i</v>
      </c>
      <c r="X360" s="734">
        <f t="shared" si="283"/>
        <v>181978.38809011658</v>
      </c>
      <c r="Y360" s="735">
        <f t="shared" si="284"/>
        <v>1.5707908316368699</v>
      </c>
      <c r="Z360" s="340" t="str">
        <f>IMSUM(COMPLEX(1,0),IMDIV(COMPLEX(0,2*PI()*D360),COMPLEX(2*PI()*'Stability Calculations'!EA_Zero1,0)))</f>
        <v>1+1801.76621868682i</v>
      </c>
      <c r="AA360" s="734">
        <f t="shared" si="285"/>
        <v>1801.766496192279</v>
      </c>
      <c r="AB360" s="735">
        <f t="shared" si="286"/>
        <v>1.5702413158911792</v>
      </c>
      <c r="AC360" s="733" t="str">
        <f>IMSUM(COMPLEX(1,0),IMDIV(COMPLEX(0,2*PI()*D360),COMPLEX(2*PI()*'Stability Calculations'!EA_Pole2,0)))</f>
        <v>1+18.150012956099i</v>
      </c>
      <c r="AD360" s="734">
        <f t="shared" si="287"/>
        <v>18.177540271075223</v>
      </c>
      <c r="AE360" s="735">
        <f t="shared" si="288"/>
        <v>1.5157555964617908</v>
      </c>
      <c r="AF360" s="732" t="str">
        <f t="shared" si="289"/>
        <v>0.177994412931259-3.26324540394404i</v>
      </c>
      <c r="AG360" s="337">
        <f t="shared" si="290"/>
        <v>3.2680961701572744</v>
      </c>
      <c r="AH360" s="730">
        <f t="shared" si="291"/>
        <v>-1.5163051122074818</v>
      </c>
      <c r="AI360" s="731" t="str">
        <f t="shared" si="269"/>
        <v>10000</v>
      </c>
      <c r="AJ360" s="733" t="str">
        <f t="shared" si="292"/>
        <v>1+169653.946798308i</v>
      </c>
      <c r="AK360" s="734">
        <f t="shared" si="293"/>
        <v>169653.94680125517</v>
      </c>
      <c r="AL360" s="735">
        <f t="shared" si="294"/>
        <v>1.5707904324433719</v>
      </c>
      <c r="AM360" s="340" t="str">
        <f t="shared" si="295"/>
        <v>1+287.922241746154i</v>
      </c>
      <c r="AN360" s="734">
        <f t="shared" si="296"/>
        <v>287.92397832089415</v>
      </c>
      <c r="AO360" s="735">
        <f t="shared" si="297"/>
        <v>1.5673231808058345</v>
      </c>
      <c r="AP360" s="733" t="str">
        <f t="shared" si="298"/>
        <v>1+13.9647033157774i</v>
      </c>
      <c r="AQ360" s="734">
        <f t="shared" si="299"/>
        <v>14.00046208871994</v>
      </c>
      <c r="AR360" s="735">
        <f t="shared" si="300"/>
        <v>1.49930924046406</v>
      </c>
      <c r="AS360" s="732" t="str">
        <f t="shared" si="301"/>
        <v>0.00333085115918998-8.16192453341919i</v>
      </c>
      <c r="AT360" s="337">
        <f t="shared" si="302"/>
        <v>8.1619252130731699</v>
      </c>
      <c r="AU360" s="730">
        <f t="shared" si="303"/>
        <v>-1.5703882305229153</v>
      </c>
      <c r="AV360" s="732" t="str">
        <f t="shared" si="304"/>
        <v>-0.411021424837051+0.066916721271545i</v>
      </c>
      <c r="AW360" s="337">
        <f t="shared" si="305"/>
        <v>-7.6090968525130709</v>
      </c>
      <c r="AX360" s="730">
        <f t="shared" si="306"/>
        <v>170.75303758979788</v>
      </c>
      <c r="AY360" s="360">
        <f t="shared" si="307"/>
        <v>-9.2469624102021157</v>
      </c>
      <c r="BB360" s="337">
        <f t="shared" si="308"/>
        <v>-21.764147778852223</v>
      </c>
      <c r="BC360" s="730">
        <f t="shared" si="309"/>
        <v>-89.976617805980453</v>
      </c>
      <c r="BD360" s="351"/>
      <c r="BE360" s="337">
        <f t="shared" si="270"/>
        <v>34.986617240900536</v>
      </c>
      <c r="BF360" s="730">
        <f t="shared" si="271"/>
        <v>-89.094316810794169</v>
      </c>
      <c r="BI360" s="351"/>
      <c r="BJ360" s="351"/>
      <c r="BL360" s="405">
        <f t="shared" si="272"/>
        <v>0</v>
      </c>
      <c r="BM360" s="405">
        <f t="shared" si="310"/>
        <v>0</v>
      </c>
      <c r="BN360" s="405">
        <f t="shared" si="273"/>
        <v>0</v>
      </c>
      <c r="BO360" s="405">
        <f t="shared" si="274"/>
        <v>0</v>
      </c>
    </row>
    <row r="361" spans="4:67" ht="13.5" thickBot="1" x14ac:dyDescent="0.25">
      <c r="D361" s="345">
        <v>28840</v>
      </c>
      <c r="E361" s="340" t="str">
        <f t="shared" si="261"/>
        <v>0.478386649643916i</v>
      </c>
      <c r="F361" s="728" t="str">
        <f t="shared" si="275"/>
        <v>0.005-0.0904680106704574i</v>
      </c>
      <c r="G361" s="337" t="str">
        <f t="shared" si="276"/>
        <v>0.005-0.14150124745892i</v>
      </c>
      <c r="H361" s="338" t="str">
        <f t="shared" si="277"/>
        <v>0.0210200372941126-0.138487440307997i</v>
      </c>
      <c r="I361" s="338" t="str">
        <f t="shared" si="278"/>
        <v>0.0310200372941126-0.138487440307997i</v>
      </c>
      <c r="J361" s="337" t="str">
        <f t="shared" si="279"/>
        <v>0.00661533524770054-0.0550843738791775i</v>
      </c>
      <c r="K361" s="338" t="str">
        <f t="shared" si="262"/>
        <v>0.990758382222222-0.151005886882549i</v>
      </c>
      <c r="L361" s="732"/>
      <c r="M361" s="732" t="str">
        <f t="shared" si="263"/>
        <v>0.871077104059278-55.7385085877573i</v>
      </c>
      <c r="N361" s="337">
        <f t="shared" si="264"/>
        <v>0</v>
      </c>
      <c r="O361" s="730" t="str">
        <f t="shared" si="265"/>
        <v>-1.85459305794147-21.7133685692755i</v>
      </c>
      <c r="P361" s="731" t="str">
        <f t="shared" si="266"/>
        <v>-3.06455837944582-0.416711657392443i</v>
      </c>
      <c r="Q361" s="729" t="str">
        <f t="shared" si="267"/>
        <v>-3.0460124488664-0.19957797169969i</v>
      </c>
      <c r="R361" s="730"/>
      <c r="S361" s="405" t="str">
        <f t="shared" si="280"/>
        <v>39.6623538504522-4.63344081412149i</v>
      </c>
      <c r="T361" s="405" t="str">
        <f t="shared" si="281"/>
        <v>15.244053408835-3.36291524298651i</v>
      </c>
      <c r="U361" s="405" t="str">
        <f t="shared" si="282"/>
        <v>-0.145290952806789-2.18179854033247i</v>
      </c>
      <c r="V361" s="731" t="str">
        <f t="shared" si="268"/>
        <v>6000</v>
      </c>
      <c r="W361" s="733" t="str">
        <f>IMSUM(COMPLEX(1,0),IMDIV(COMPLEX(0,2*PI()*D361),COMPLEX(2*PI()*'Stability Calculations'!EA_Pole1,0)))</f>
        <v>1+183019.13490165i</v>
      </c>
      <c r="X361" s="734">
        <f t="shared" si="283"/>
        <v>183019.13490438194</v>
      </c>
      <c r="Y361" s="735">
        <f t="shared" si="284"/>
        <v>1.5707908628853413</v>
      </c>
      <c r="Z361" s="340" t="str">
        <f>IMSUM(COMPLEX(1,0),IMDIV(COMPLEX(0,2*PI()*D361),COMPLEX(2*PI()*'Stability Calculations'!EA_Zero1,0)))</f>
        <v>1+1812.07064259059i</v>
      </c>
      <c r="AA361" s="734">
        <f t="shared" si="285"/>
        <v>1812.0709185180015</v>
      </c>
      <c r="AB361" s="735">
        <f t="shared" si="286"/>
        <v>1.5702444719858282</v>
      </c>
      <c r="AC361" s="733" t="str">
        <f>IMSUM(COMPLEX(1,0),IMDIV(COMPLEX(0,2*PI()*D361),COMPLEX(2*PI()*'Stability Calculations'!EA_Pole2,0)))</f>
        <v>1+18.2538141182136i</v>
      </c>
      <c r="AD361" s="734">
        <f t="shared" si="287"/>
        <v>18.281185132870743</v>
      </c>
      <c r="AE361" s="735">
        <f t="shared" si="288"/>
        <v>1.5160679617456281</v>
      </c>
      <c r="AF361" s="732" t="str">
        <f t="shared" si="289"/>
        <v>0.175981861736378-3.24479906095766i</v>
      </c>
      <c r="AG361" s="337">
        <f t="shared" si="290"/>
        <v>3.2495677499710505</v>
      </c>
      <c r="AH361" s="730">
        <f t="shared" si="291"/>
        <v>-1.5166143526451414</v>
      </c>
      <c r="AI361" s="731" t="str">
        <f t="shared" si="269"/>
        <v>10000</v>
      </c>
      <c r="AJ361" s="733" t="str">
        <f t="shared" si="292"/>
        <v>1+170624.209292202i</v>
      </c>
      <c r="AK361" s="734">
        <f t="shared" si="293"/>
        <v>170624.2092951324</v>
      </c>
      <c r="AL361" s="735">
        <f t="shared" si="294"/>
        <v>1.5707904659618757</v>
      </c>
      <c r="AM361" s="340" t="str">
        <f t="shared" si="295"/>
        <v>1+289.568888685976i</v>
      </c>
      <c r="AN361" s="734">
        <f t="shared" si="296"/>
        <v>289.57061538566228</v>
      </c>
      <c r="AO361" s="735">
        <f t="shared" si="297"/>
        <v>1.5673429308543998</v>
      </c>
      <c r="AP361" s="733" t="str">
        <f t="shared" si="298"/>
        <v>1+14.0445684065776i</v>
      </c>
      <c r="AQ361" s="734">
        <f t="shared" si="299"/>
        <v>14.080124350553078</v>
      </c>
      <c r="AR361" s="735">
        <f t="shared" si="300"/>
        <v>1.4997143832791047</v>
      </c>
      <c r="AS361" s="732" t="str">
        <f t="shared" si="301"/>
        <v>0.00329307679475526-8.11551138565836i</v>
      </c>
      <c r="AT361" s="337">
        <f t="shared" si="302"/>
        <v>8.1155120537834975</v>
      </c>
      <c r="AU361" s="730">
        <f t="shared" si="303"/>
        <v>-1.5703905511810721</v>
      </c>
      <c r="AV361" s="732" t="str">
        <f t="shared" si="304"/>
        <v>-0.406254721442455+0.0666202000061371i</v>
      </c>
      <c r="AW361" s="337">
        <f t="shared" si="305"/>
        <v>-7.7087859845078874</v>
      </c>
      <c r="AX361" s="730">
        <f t="shared" si="306"/>
        <v>170.68716666941066</v>
      </c>
      <c r="AY361" s="360">
        <f t="shared" si="307"/>
        <v>-9.312833330589342</v>
      </c>
      <c r="BB361" s="337">
        <f t="shared" si="308"/>
        <v>-21.813681457317429</v>
      </c>
      <c r="BC361" s="730">
        <f t="shared" si="309"/>
        <v>-89.97675076989853</v>
      </c>
      <c r="BD361" s="351"/>
      <c r="BE361" s="337">
        <f t="shared" si="270"/>
        <v>34.924167436116861</v>
      </c>
      <c r="BF361" s="730">
        <f t="shared" si="271"/>
        <v>-89.104658871846596</v>
      </c>
      <c r="BI361" s="351"/>
      <c r="BJ361" s="351"/>
      <c r="BL361" s="405">
        <f t="shared" si="272"/>
        <v>0</v>
      </c>
      <c r="BM361" s="405">
        <f t="shared" si="310"/>
        <v>0</v>
      </c>
      <c r="BN361" s="405">
        <f t="shared" si="273"/>
        <v>0</v>
      </c>
      <c r="BO361" s="405">
        <f t="shared" si="274"/>
        <v>0</v>
      </c>
    </row>
    <row r="362" spans="4:67" ht="13.5" thickBot="1" x14ac:dyDescent="0.25">
      <c r="D362" s="345">
        <v>29008</v>
      </c>
      <c r="E362" s="340" t="str">
        <f t="shared" si="261"/>
        <v>0.481173367991357i</v>
      </c>
      <c r="F362" s="728" t="str">
        <f t="shared" si="275"/>
        <v>0.005-0.0899440646627133i</v>
      </c>
      <c r="G362" s="337" t="str">
        <f t="shared" si="276"/>
        <v>0.005-0.140681742164757i</v>
      </c>
      <c r="H362" s="338" t="str">
        <f t="shared" si="277"/>
        <v>0.0208372025434441-0.137706443938447i</v>
      </c>
      <c r="I362" s="338" t="str">
        <f t="shared" si="278"/>
        <v>0.0308372025434441-0.137706443938447i</v>
      </c>
      <c r="J362" s="337" t="str">
        <f t="shared" si="279"/>
        <v>0.00658667055048146-0.0547670163733416i</v>
      </c>
      <c r="K362" s="338" t="str">
        <f t="shared" si="262"/>
        <v>0.990650399288889-0.151885532825555i</v>
      </c>
      <c r="L362" s="732"/>
      <c r="M362" s="732" t="str">
        <f t="shared" si="263"/>
        <v>0.854726168340943-55.3330646009107i</v>
      </c>
      <c r="N362" s="337">
        <f t="shared" si="264"/>
        <v>0</v>
      </c>
      <c r="O362" s="730" t="str">
        <f t="shared" si="265"/>
        <v>-1.83998955790517-21.5535078805408i</v>
      </c>
      <c r="P362" s="731" t="str">
        <f t="shared" si="266"/>
        <v>-3.0247970553035-0.411271469130957i</v>
      </c>
      <c r="Q362" s="729" t="str">
        <f t="shared" si="267"/>
        <v>-3.00639715972444-0.195736390325549i</v>
      </c>
      <c r="R362" s="730"/>
      <c r="S362" s="405" t="str">
        <f t="shared" si="280"/>
        <v>39.6572741151492-4.6764878205429i</v>
      </c>
      <c r="T362" s="405" t="str">
        <f t="shared" si="281"/>
        <v>15.2397732204096-3.3757306174611i</v>
      </c>
      <c r="U362" s="405" t="str">
        <f t="shared" si="282"/>
        <v>-0.147305617714876-2.1689557592191i</v>
      </c>
      <c r="V362" s="731" t="str">
        <f t="shared" si="268"/>
        <v>6000</v>
      </c>
      <c r="W362" s="733" t="str">
        <f>IMSUM(COMPLEX(1,0),IMDIV(COMPLEX(0,2*PI()*D362),COMPLEX(2*PI()*'Stability Calculations'!EA_Pole1,0)))</f>
        <v>1+184085.265784572i</v>
      </c>
      <c r="X362" s="734">
        <f t="shared" si="283"/>
        <v>184085.26578728814</v>
      </c>
      <c r="Y362" s="735">
        <f t="shared" si="284"/>
        <v>1.5707908945296052</v>
      </c>
      <c r="Z362" s="340" t="str">
        <f>IMSUM(COMPLEX(1,0),IMDIV(COMPLEX(0,2*PI()*D362),COMPLEX(2*PI()*'Stability Calculations'!EA_Zero1,0)))</f>
        <v>1+1822.62639390665i</v>
      </c>
      <c r="AA362" s="734">
        <f t="shared" si="285"/>
        <v>1822.6266682360265</v>
      </c>
      <c r="AB362" s="735">
        <f t="shared" si="286"/>
        <v>1.5702476680555078</v>
      </c>
      <c r="AC362" s="733" t="str">
        <f>IMSUM(COMPLEX(1,0),IMDIV(COMPLEX(0,2*PI()*D362),COMPLEX(2*PI()*'Stability Calculations'!EA_Pole2,0)))</f>
        <v>1+18.3601470159896i</v>
      </c>
      <c r="AD362" s="734">
        <f t="shared" si="287"/>
        <v>18.387359746541968</v>
      </c>
      <c r="AE362" s="735">
        <f t="shared" si="288"/>
        <v>1.5163842943353547</v>
      </c>
      <c r="AF362" s="732" t="str">
        <f t="shared" si="289"/>
        <v>0.173955376105782-3.22611716244283i</v>
      </c>
      <c r="AG362" s="337">
        <f t="shared" si="290"/>
        <v>3.2308036799973285</v>
      </c>
      <c r="AH362" s="730">
        <f t="shared" si="291"/>
        <v>-1.5169275208094521</v>
      </c>
      <c r="AI362" s="731" t="str">
        <f t="shared" si="269"/>
        <v>10000</v>
      </c>
      <c r="AJ362" s="733" t="str">
        <f t="shared" si="292"/>
        <v>1+171618.136724972i</v>
      </c>
      <c r="AK362" s="734">
        <f t="shared" si="293"/>
        <v>171618.1367278854</v>
      </c>
      <c r="AL362" s="735">
        <f t="shared" si="294"/>
        <v>1.570790499904924</v>
      </c>
      <c r="AM362" s="340" t="str">
        <f t="shared" si="295"/>
        <v>1+291.255697746283i</v>
      </c>
      <c r="AN362" s="734">
        <f t="shared" si="296"/>
        <v>291.25741444583713</v>
      </c>
      <c r="AO362" s="735">
        <f t="shared" si="297"/>
        <v>1.5673629310593531</v>
      </c>
      <c r="AP362" s="733" t="str">
        <f t="shared" si="298"/>
        <v>1+14.1263814264217i</v>
      </c>
      <c r="AQ362" s="734">
        <f t="shared" si="299"/>
        <v>14.161731963455317</v>
      </c>
      <c r="AR362" s="735">
        <f t="shared" si="300"/>
        <v>1.5001246814443856</v>
      </c>
      <c r="AS362" s="732" t="str">
        <f t="shared" si="301"/>
        <v>0.00325504350915266-8.06851036981084i</v>
      </c>
      <c r="AT362" s="337">
        <f t="shared" si="302"/>
        <v>8.0685110263947273</v>
      </c>
      <c r="AU362" s="730">
        <f t="shared" si="303"/>
        <v>-1.5703929012326339</v>
      </c>
      <c r="AV362" s="732" t="str">
        <f t="shared" si="304"/>
        <v>-0.40145554679913+0.0663182379574899i</v>
      </c>
      <c r="AW362" s="337">
        <f t="shared" si="305"/>
        <v>-7.8103234596428361</v>
      </c>
      <c r="AX362" s="730">
        <f t="shared" si="306"/>
        <v>170.61976800904333</v>
      </c>
      <c r="AY362" s="360">
        <f t="shared" si="307"/>
        <v>-9.3802319909566734</v>
      </c>
      <c r="BB362" s="337">
        <f t="shared" si="308"/>
        <v>-21.8641320631395</v>
      </c>
      <c r="BC362" s="730">
        <f t="shared" si="309"/>
        <v>-89.976885417934653</v>
      </c>
      <c r="BD362" s="351"/>
      <c r="BE362" s="337">
        <f t="shared" si="270"/>
        <v>34.860730619025553</v>
      </c>
      <c r="BF362" s="730">
        <f t="shared" si="271"/>
        <v>-89.115026287681772</v>
      </c>
      <c r="BI362" s="351"/>
      <c r="BJ362" s="351"/>
      <c r="BL362" s="405">
        <f t="shared" si="272"/>
        <v>0</v>
      </c>
      <c r="BM362" s="405">
        <f t="shared" si="310"/>
        <v>0</v>
      </c>
      <c r="BN362" s="405">
        <f t="shared" si="273"/>
        <v>0</v>
      </c>
      <c r="BO362" s="405">
        <f t="shared" si="274"/>
        <v>0</v>
      </c>
    </row>
    <row r="363" spans="4:67" ht="13.5" thickBot="1" x14ac:dyDescent="0.25">
      <c r="D363" s="345">
        <v>29176</v>
      </c>
      <c r="E363" s="340" t="str">
        <f t="shared" si="261"/>
        <v>0.483960086338797i</v>
      </c>
      <c r="F363" s="728" t="str">
        <f t="shared" si="275"/>
        <v>0.005-0.0894261525821217i</v>
      </c>
      <c r="G363" s="337" t="str">
        <f t="shared" si="276"/>
        <v>0.005-0.139871674551524i</v>
      </c>
      <c r="H363" s="338" t="str">
        <f t="shared" si="277"/>
        <v>0.020657462575726-0.136934087439483i</v>
      </c>
      <c r="I363" s="338" t="str">
        <f t="shared" si="278"/>
        <v>0.030657462575726-0.136934087439483i</v>
      </c>
      <c r="J363" s="337" t="str">
        <f t="shared" si="279"/>
        <v>0.00655849753366173-0.0544532938441895i</v>
      </c>
      <c r="K363" s="338" t="str">
        <f t="shared" si="262"/>
        <v>0.990541789155556-0.15276517876856i</v>
      </c>
      <c r="L363" s="732"/>
      <c r="M363" s="732" t="str">
        <f t="shared" si="263"/>
        <v>0.838832093231573-54.9339357004037i</v>
      </c>
      <c r="N363" s="337">
        <f t="shared" si="264"/>
        <v>0</v>
      </c>
      <c r="O363" s="730" t="str">
        <f t="shared" si="265"/>
        <v>-1.82562734386066-21.3961564816392i</v>
      </c>
      <c r="P363" s="731" t="str">
        <f t="shared" si="266"/>
        <v>-2.98583226449728-0.405961252264106i</v>
      </c>
      <c r="Q363" s="729" t="str">
        <f t="shared" si="267"/>
        <v>-2.96757599105867-0.191999687447715i</v>
      </c>
      <c r="R363" s="730"/>
      <c r="S363" s="405" t="str">
        <f t="shared" si="280"/>
        <v>39.6521346994975-4.71943762804611i</v>
      </c>
      <c r="T363" s="405" t="str">
        <f t="shared" si="281"/>
        <v>15.2354803434735-3.388576748405i</v>
      </c>
      <c r="U363" s="405" t="str">
        <f t="shared" si="282"/>
        <v>-0.149285299742975-2.15625599490087i</v>
      </c>
      <c r="V363" s="731" t="str">
        <f t="shared" si="268"/>
        <v>6000</v>
      </c>
      <c r="W363" s="733" t="str">
        <f>IMSUM(COMPLEX(1,0),IMDIV(COMPLEX(0,2*PI()*D363),COMPLEX(2*PI()*'Stability Calculations'!EA_Pole1,0)))</f>
        <v>1+185151.396667495i</v>
      </c>
      <c r="X363" s="734">
        <f t="shared" si="283"/>
        <v>185151.39667019548</v>
      </c>
      <c r="Y363" s="735">
        <f t="shared" si="284"/>
        <v>1.5707909258094437</v>
      </c>
      <c r="Z363" s="340" t="str">
        <f>IMSUM(COMPLEX(1,0),IMDIV(COMPLEX(0,2*PI()*D363),COMPLEX(2*PI()*'Stability Calculations'!EA_Zero1,0)))</f>
        <v>1+1833.18214522272i</v>
      </c>
      <c r="AA363" s="734">
        <f t="shared" si="285"/>
        <v>1833.1824179724651</v>
      </c>
      <c r="AB363" s="735">
        <f t="shared" si="286"/>
        <v>1.5702508273182538</v>
      </c>
      <c r="AC363" s="733" t="str">
        <f>IMSUM(COMPLEX(1,0),IMDIV(COMPLEX(0,2*PI()*D363),COMPLEX(2*PI()*'Stability Calculations'!EA_Pole2,0)))</f>
        <v>1+18.4664799137657i</v>
      </c>
      <c r="AD363" s="734">
        <f t="shared" si="287"/>
        <v>18.493536179041371</v>
      </c>
      <c r="AE363" s="735">
        <f t="shared" si="288"/>
        <v>1.5166969946528155</v>
      </c>
      <c r="AF363" s="732" t="str">
        <f t="shared" si="289"/>
        <v>0.171963659585595-3.207648527731i</v>
      </c>
      <c r="AG363" s="337">
        <f t="shared" si="290"/>
        <v>3.2122547498093801</v>
      </c>
      <c r="AH363" s="730">
        <f t="shared" si="291"/>
        <v>-1.5172370931440053</v>
      </c>
      <c r="AI363" s="731" t="str">
        <f t="shared" si="269"/>
        <v>10000</v>
      </c>
      <c r="AJ363" s="733" t="str">
        <f t="shared" si="292"/>
        <v>1+172612.064157743i</v>
      </c>
      <c r="AK363" s="734">
        <f t="shared" si="293"/>
        <v>172612.06416063965</v>
      </c>
      <c r="AL363" s="735">
        <f t="shared" si="294"/>
        <v>1.5707905334570735</v>
      </c>
      <c r="AM363" s="340" t="str">
        <f t="shared" si="295"/>
        <v>1+292.942506806591i</v>
      </c>
      <c r="AN363" s="734">
        <f t="shared" si="296"/>
        <v>292.94421362117669</v>
      </c>
      <c r="AO363" s="735">
        <f t="shared" si="297"/>
        <v>1.5673827009383503</v>
      </c>
      <c r="AP363" s="733" t="str">
        <f t="shared" si="298"/>
        <v>1+14.2081944462659i</v>
      </c>
      <c r="AQ363" s="734">
        <f t="shared" si="299"/>
        <v>14.243341933089338</v>
      </c>
      <c r="AR363" s="735">
        <f t="shared" si="300"/>
        <v>1.500530277912645</v>
      </c>
      <c r="AS363" s="732" t="str">
        <f t="shared" si="301"/>
        <v>0.00321766533494276-8.02205063219406i</v>
      </c>
      <c r="AT363" s="337">
        <f t="shared" si="302"/>
        <v>8.022051277500994</v>
      </c>
      <c r="AU363" s="730">
        <f t="shared" si="303"/>
        <v>-1.5703952242202666</v>
      </c>
      <c r="AV363" s="732" t="str">
        <f t="shared" si="304"/>
        <v>-0.396739234087977+0.0660180964114826i</v>
      </c>
      <c r="AW363" s="337">
        <f t="shared" si="305"/>
        <v>-7.9112776388692581</v>
      </c>
      <c r="AX363" s="730">
        <f t="shared" si="306"/>
        <v>170.55244770461948</v>
      </c>
      <c r="AY363" s="360">
        <f t="shared" si="307"/>
        <v>-9.4475522953805182</v>
      </c>
      <c r="BB363" s="337">
        <f t="shared" si="308"/>
        <v>-21.914291326108753</v>
      </c>
      <c r="BC363" s="730">
        <f t="shared" si="309"/>
        <v>-89.977018515321873</v>
      </c>
      <c r="BD363" s="351"/>
      <c r="BE363" s="337">
        <f t="shared" si="270"/>
        <v>34.797826813750618</v>
      </c>
      <c r="BF363" s="730">
        <f t="shared" si="271"/>
        <v>-89.125170932981405</v>
      </c>
      <c r="BI363" s="351"/>
      <c r="BJ363" s="351"/>
      <c r="BL363" s="405">
        <f t="shared" si="272"/>
        <v>0</v>
      </c>
      <c r="BM363" s="405">
        <f t="shared" si="310"/>
        <v>0</v>
      </c>
      <c r="BN363" s="405">
        <f t="shared" si="273"/>
        <v>0</v>
      </c>
      <c r="BO363" s="405">
        <f t="shared" si="274"/>
        <v>0</v>
      </c>
    </row>
    <row r="364" spans="4:67" ht="13.5" thickBot="1" x14ac:dyDescent="0.25">
      <c r="D364" s="345">
        <v>29344</v>
      </c>
      <c r="E364" s="340" t="str">
        <f t="shared" si="261"/>
        <v>0.486746804686237i</v>
      </c>
      <c r="F364" s="728" t="str">
        <f t="shared" si="275"/>
        <v>0.005-0.08891417079253i</v>
      </c>
      <c r="G364" s="337" t="str">
        <f t="shared" si="276"/>
        <v>0.005-0.139070882521649i</v>
      </c>
      <c r="H364" s="338" t="str">
        <f t="shared" si="277"/>
        <v>0.020480748239601-0.136170230288367i</v>
      </c>
      <c r="I364" s="338" t="str">
        <f t="shared" si="278"/>
        <v>0.030480748239601-0.136170230288367i</v>
      </c>
      <c r="J364" s="337" t="str">
        <f t="shared" si="279"/>
        <v>0.00653080500251746-0.0541431443542647i</v>
      </c>
      <c r="K364" s="338" t="str">
        <f t="shared" si="262"/>
        <v>0.990432551822222-0.153644824711565i</v>
      </c>
      <c r="L364" s="732"/>
      <c r="M364" s="732" t="str">
        <f t="shared" si="263"/>
        <v>0.823378217948898-54.5409686531759i</v>
      </c>
      <c r="N364" s="337">
        <f t="shared" si="264"/>
        <v>0</v>
      </c>
      <c r="O364" s="730" t="str">
        <f t="shared" si="265"/>
        <v>-1.81150141638948-21.2412528912646i</v>
      </c>
      <c r="P364" s="731" t="str">
        <f t="shared" si="266"/>
        <v>-2.94764221642559-0.400776716634874i</v>
      </c>
      <c r="Q364" s="729" t="str">
        <f t="shared" si="267"/>
        <v>-2.92952720226169-0.188364187722226i</v>
      </c>
      <c r="R364" s="730"/>
      <c r="S364" s="405" t="str">
        <f t="shared" si="280"/>
        <v>39.6469361036465-4.76229173485746i</v>
      </c>
      <c r="T364" s="405" t="str">
        <f t="shared" si="281"/>
        <v>15.231174585337-3.40145299868792i</v>
      </c>
      <c r="U364" s="405" t="str">
        <f t="shared" si="282"/>
        <v>-0.151230786070696-2.14369685336262i</v>
      </c>
      <c r="V364" s="731" t="str">
        <f t="shared" si="268"/>
        <v>6000</v>
      </c>
      <c r="W364" s="733" t="str">
        <f>IMSUM(COMPLEX(1,0),IMDIV(COMPLEX(0,2*PI()*D364),COMPLEX(2*PI()*'Stability Calculations'!EA_Pole1,0)))</f>
        <v>1+186217.527550417i</v>
      </c>
      <c r="X364" s="734">
        <f t="shared" si="283"/>
        <v>186217.527553102</v>
      </c>
      <c r="Y364" s="735">
        <f t="shared" si="284"/>
        <v>1.5707909567311162</v>
      </c>
      <c r="Z364" s="340" t="str">
        <f>IMSUM(COMPLEX(1,0),IMDIV(COMPLEX(0,2*PI()*D364),COMPLEX(2*PI()*'Stability Calculations'!EA_Zero1,0)))</f>
        <v>1+1843.73789653878i</v>
      </c>
      <c r="AA364" s="734">
        <f t="shared" si="285"/>
        <v>1843.7381677269809</v>
      </c>
      <c r="AB364" s="735">
        <f t="shared" si="286"/>
        <v>1.5702539504062463</v>
      </c>
      <c r="AC364" s="733" t="str">
        <f>IMSUM(COMPLEX(1,0),IMDIV(COMPLEX(0,2*PI()*D364),COMPLEX(2*PI()*'Stability Calculations'!EA_Pole2,0)))</f>
        <v>1+18.5728128115417i</v>
      </c>
      <c r="AD364" s="734">
        <f t="shared" si="287"/>
        <v>18.599714399220417</v>
      </c>
      <c r="AE364" s="735">
        <f t="shared" si="288"/>
        <v>1.5170061248418316</v>
      </c>
      <c r="AF364" s="732" t="str">
        <f t="shared" si="289"/>
        <v>0.1700059220691-3.18938953643531i</v>
      </c>
      <c r="AG364" s="337">
        <f t="shared" si="290"/>
        <v>3.1939172858202838</v>
      </c>
      <c r="AH364" s="730">
        <f t="shared" si="291"/>
        <v>-1.5175431311667014</v>
      </c>
      <c r="AI364" s="731" t="str">
        <f t="shared" si="269"/>
        <v>10000</v>
      </c>
      <c r="AJ364" s="733" t="str">
        <f t="shared" si="292"/>
        <v>1+173605.991590513i</v>
      </c>
      <c r="AK364" s="734">
        <f t="shared" si="293"/>
        <v>173605.99159339309</v>
      </c>
      <c r="AL364" s="735">
        <f t="shared" si="294"/>
        <v>1.5707905666250384</v>
      </c>
      <c r="AM364" s="340" t="str">
        <f t="shared" si="295"/>
        <v>1+294.629315866897i</v>
      </c>
      <c r="AN364" s="734">
        <f t="shared" si="296"/>
        <v>294.6310129096999</v>
      </c>
      <c r="AO364" s="735">
        <f t="shared" si="297"/>
        <v>1.5674022444473099</v>
      </c>
      <c r="AP364" s="733" t="str">
        <f t="shared" si="298"/>
        <v>1+14.29000746611i</v>
      </c>
      <c r="AQ364" s="734">
        <f t="shared" si="299"/>
        <v>14.324954219175693</v>
      </c>
      <c r="AR364" s="735">
        <f t="shared" si="300"/>
        <v>1.5009312529089593</v>
      </c>
      <c r="AS364" s="732" t="str">
        <f t="shared" si="301"/>
        <v>0.00318092731260767-7.97612287605042i</v>
      </c>
      <c r="AT364" s="337">
        <f t="shared" si="302"/>
        <v>7.9761235103371728</v>
      </c>
      <c r="AU364" s="730">
        <f t="shared" si="303"/>
        <v>-1.5703975206088083</v>
      </c>
      <c r="AV364" s="732" t="str">
        <f t="shared" si="304"/>
        <v>-0.392103886005617+0.065719781603351i</v>
      </c>
      <c r="AW364" s="337">
        <f t="shared" si="305"/>
        <v>-8.0116552867025419</v>
      </c>
      <c r="AX364" s="730">
        <f t="shared" si="306"/>
        <v>170.48520431779878</v>
      </c>
      <c r="AY364" s="360">
        <f t="shared" si="307"/>
        <v>-9.5147956822012247</v>
      </c>
      <c r="BB364" s="337">
        <f t="shared" si="308"/>
        <v>-21.964162591815221</v>
      </c>
      <c r="BC364" s="730">
        <f t="shared" si="309"/>
        <v>-89.977150088693435</v>
      </c>
      <c r="BD364" s="351"/>
      <c r="BE364" s="337">
        <f t="shared" si="270"/>
        <v>34.735446600016679</v>
      </c>
      <c r="BF364" s="730">
        <f t="shared" si="271"/>
        <v>-89.135099456363179</v>
      </c>
      <c r="BI364" s="351"/>
      <c r="BJ364" s="351"/>
      <c r="BL364" s="405">
        <f t="shared" si="272"/>
        <v>0</v>
      </c>
      <c r="BM364" s="405">
        <f t="shared" si="310"/>
        <v>0</v>
      </c>
      <c r="BN364" s="405">
        <f t="shared" si="273"/>
        <v>0</v>
      </c>
      <c r="BO364" s="405">
        <f t="shared" si="274"/>
        <v>0</v>
      </c>
    </row>
    <row r="365" spans="4:67" ht="13.5" thickBot="1" x14ac:dyDescent="0.25">
      <c r="D365" s="345">
        <v>29512</v>
      </c>
      <c r="E365" s="340" t="str">
        <f t="shared" si="261"/>
        <v>0.489533523033678i</v>
      </c>
      <c r="F365" s="728" t="str">
        <f t="shared" si="275"/>
        <v>0.005-0.0884080180176197i</v>
      </c>
      <c r="G365" s="337" t="str">
        <f t="shared" si="276"/>
        <v>0.005-0.138279207668585i</v>
      </c>
      <c r="H365" s="338" t="str">
        <f t="shared" si="277"/>
        <v>0.020306992295993-0.135414734945667i</v>
      </c>
      <c r="I365" s="338" t="str">
        <f t="shared" si="278"/>
        <v>0.030306992295993-0.135414734945667i</v>
      </c>
      <c r="J365" s="337" t="str">
        <f t="shared" si="279"/>
        <v>0.00650358207880917-0.0538365073624895i</v>
      </c>
      <c r="K365" s="338" t="str">
        <f t="shared" si="262"/>
        <v>0.990322687288889-0.15452447065457i</v>
      </c>
      <c r="L365" s="732"/>
      <c r="M365" s="732" t="str">
        <f t="shared" si="263"/>
        <v>0.808348624198002-54.1540152668402i</v>
      </c>
      <c r="N365" s="337">
        <f t="shared" si="264"/>
        <v>0</v>
      </c>
      <c r="O365" s="730" t="str">
        <f t="shared" si="265"/>
        <v>-1.79760688780101-21.0887376698101i</v>
      </c>
      <c r="P365" s="731" t="str">
        <f t="shared" si="266"/>
        <v>-2.91020587999584-0.395713749843073i</v>
      </c>
      <c r="Q365" s="729" t="str">
        <f t="shared" si="267"/>
        <v>-2.89222981111783-0.184826373144973i</v>
      </c>
      <c r="R365" s="730"/>
      <c r="S365" s="405" t="str">
        <f t="shared" si="280"/>
        <v>39.6416788136002-4.80505160533491i</v>
      </c>
      <c r="T365" s="405" t="str">
        <f t="shared" si="281"/>
        <v>15.226855758933-3.4143587445296i</v>
      </c>
      <c r="U365" s="405" t="str">
        <f t="shared" si="282"/>
        <v>-0.153142841811046-2.13127599337273i</v>
      </c>
      <c r="V365" s="731" t="str">
        <f t="shared" si="268"/>
        <v>6000</v>
      </c>
      <c r="W365" s="733" t="str">
        <f>IMSUM(COMPLEX(1,0),IMDIV(COMPLEX(0,2*PI()*D365),COMPLEX(2*PI()*'Stability Calculations'!EA_Pole1,0)))</f>
        <v>1+187283.658433339i</v>
      </c>
      <c r="X365" s="734">
        <f t="shared" si="283"/>
        <v>187283.65843600879</v>
      </c>
      <c r="Y365" s="735">
        <f t="shared" si="284"/>
        <v>1.5707909873007391</v>
      </c>
      <c r="Z365" s="340" t="str">
        <f>IMSUM(COMPLEX(1,0),IMDIV(COMPLEX(0,2*PI()*D365),COMPLEX(2*PI()*'Stability Calculations'!EA_Zero1,0)))</f>
        <v>1+1854.29364785484i</v>
      </c>
      <c r="AA365" s="734">
        <f t="shared" si="285"/>
        <v>1854.293917499275</v>
      </c>
      <c r="AB365" s="735">
        <f t="shared" si="286"/>
        <v>1.57025703793727</v>
      </c>
      <c r="AC365" s="733" t="str">
        <f>IMSUM(COMPLEX(1,0),IMDIV(COMPLEX(0,2*PI()*D365),COMPLEX(2*PI()*'Stability Calculations'!EA_Pole2,0)))</f>
        <v>1+18.6791457093176i</v>
      </c>
      <c r="AD365" s="734">
        <f t="shared" si="287"/>
        <v>18.705894376637492</v>
      </c>
      <c r="AE365" s="735">
        <f t="shared" si="288"/>
        <v>1.5173117456380059</v>
      </c>
      <c r="AF365" s="732" t="str">
        <f t="shared" si="289"/>
        <v>0.168081395744741-3.17133664941287i</v>
      </c>
      <c r="AG365" s="337">
        <f t="shared" si="290"/>
        <v>3.1757876974862072</v>
      </c>
      <c r="AH365" s="730">
        <f t="shared" si="291"/>
        <v>-1.5178456950014751</v>
      </c>
      <c r="AI365" s="731" t="str">
        <f t="shared" si="269"/>
        <v>10000</v>
      </c>
      <c r="AJ365" s="733" t="str">
        <f t="shared" si="292"/>
        <v>1+174599.919023283i</v>
      </c>
      <c r="AK365" s="734">
        <f t="shared" si="293"/>
        <v>174599.9190261467</v>
      </c>
      <c r="AL365" s="735">
        <f t="shared" si="294"/>
        <v>1.570790599415379</v>
      </c>
      <c r="AM365" s="340" t="str">
        <f t="shared" si="295"/>
        <v>1+296.316124927203i</v>
      </c>
      <c r="AN365" s="734">
        <f t="shared" si="296"/>
        <v>296.31781230947587</v>
      </c>
      <c r="AO365" s="735">
        <f t="shared" si="297"/>
        <v>1.5674215654520749</v>
      </c>
      <c r="AP365" s="733" t="str">
        <f t="shared" si="298"/>
        <v>1+14.3718204859542i</v>
      </c>
      <c r="AQ365" s="734">
        <f t="shared" si="299"/>
        <v>14.406568782346918</v>
      </c>
      <c r="AR365" s="735">
        <f t="shared" si="300"/>
        <v>1.5013276848464989</v>
      </c>
      <c r="AS365" s="732" t="str">
        <f t="shared" si="301"/>
        <v>0.00314481490720669-7.93071801631308i</v>
      </c>
      <c r="AT365" s="337">
        <f t="shared" si="302"/>
        <v>7.93071863982916</v>
      </c>
      <c r="AU365" s="730">
        <f t="shared" si="303"/>
        <v>-1.5703997908525131</v>
      </c>
      <c r="AV365" s="732" t="str">
        <f t="shared" si="304"/>
        <v>-0.387547659268278+0.065423298536351i</v>
      </c>
      <c r="AW365" s="337">
        <f t="shared" si="305"/>
        <v>-8.1114630510820049</v>
      </c>
      <c r="AX365" s="730">
        <f t="shared" si="306"/>
        <v>170.41803644483954</v>
      </c>
      <c r="AY365" s="360">
        <f t="shared" si="307"/>
        <v>-9.5819635551604563</v>
      </c>
      <c r="BB365" s="337">
        <f t="shared" si="308"/>
        <v>-22.013749148549898</v>
      </c>
      <c r="BC365" s="730">
        <f t="shared" si="309"/>
        <v>-89.977280164076191</v>
      </c>
      <c r="BD365" s="351"/>
      <c r="BE365" s="337">
        <f t="shared" si="270"/>
        <v>34.673580808051497</v>
      </c>
      <c r="BF365" s="730">
        <f t="shared" si="271"/>
        <v>-89.144818256784532</v>
      </c>
      <c r="BI365" s="351"/>
      <c r="BJ365" s="351"/>
      <c r="BL365" s="405">
        <f t="shared" si="272"/>
        <v>0</v>
      </c>
      <c r="BM365" s="405">
        <f t="shared" si="310"/>
        <v>0</v>
      </c>
      <c r="BN365" s="405">
        <f t="shared" si="273"/>
        <v>0</v>
      </c>
      <c r="BO365" s="405">
        <f t="shared" si="274"/>
        <v>0</v>
      </c>
    </row>
    <row r="366" spans="4:67" ht="13.5" thickBot="1" x14ac:dyDescent="0.25">
      <c r="D366" s="345">
        <v>29684</v>
      </c>
      <c r="E366" s="340" t="str">
        <f t="shared" si="261"/>
        <v>0.492386591817962i</v>
      </c>
      <c r="F366" s="728" t="str">
        <f t="shared" si="275"/>
        <v>0.005-0.0878957494857828i</v>
      </c>
      <c r="G366" s="337" t="str">
        <f t="shared" si="276"/>
        <v>0.005-0.13747796714443i</v>
      </c>
      <c r="H366" s="338" t="str">
        <f t="shared" si="277"/>
        <v>0.0201320959240916-0.134649773863893i</v>
      </c>
      <c r="I366" s="338" t="str">
        <f t="shared" si="278"/>
        <v>0.0301320959240916-0.134649773863893i</v>
      </c>
      <c r="J366" s="337" t="str">
        <f t="shared" si="279"/>
        <v>0.00647618646440198-0.0535261466374703i</v>
      </c>
      <c r="K366" s="338" t="str">
        <f t="shared" si="262"/>
        <v>0.990209557155556-0.155425060548599i</v>
      </c>
      <c r="L366" s="732"/>
      <c r="M366" s="732" t="str">
        <f t="shared" si="263"/>
        <v>0.793384854366271-53.7639291735238i</v>
      </c>
      <c r="N366" s="337">
        <f t="shared" si="264"/>
        <v>0</v>
      </c>
      <c r="O366" s="730" t="str">
        <f t="shared" si="265"/>
        <v>-1.78361627737269-20.9350054652266i</v>
      </c>
      <c r="P366" s="731" t="str">
        <f t="shared" si="266"/>
        <v>-2.8726378484937-0.390652064441399i</v>
      </c>
      <c r="Q366" s="729" t="str">
        <f t="shared" si="267"/>
        <v>-2.85480168571997-0.181302009789135i</v>
      </c>
      <c r="R366" s="730"/>
      <c r="S366" s="405" t="str">
        <f t="shared" si="280"/>
        <v>39.6362360360604-4.84873343384414i</v>
      </c>
      <c r="T366" s="405" t="str">
        <f t="shared" si="281"/>
        <v>15.2224203750041-3.42760168964234i</v>
      </c>
      <c r="U366" s="405" t="str">
        <f t="shared" si="282"/>
        <v>-0.155066565219409-2.11870026716088i</v>
      </c>
      <c r="V366" s="731" t="str">
        <f t="shared" si="268"/>
        <v>6000</v>
      </c>
      <c r="W366" s="733" t="str">
        <f>IMSUM(COMPLEX(1,0),IMDIV(COMPLEX(0,2*PI()*D366),COMPLEX(2*PI()*'Stability Calculations'!EA_Pole1,0)))</f>
        <v>1+188375.173384902i</v>
      </c>
      <c r="X366" s="734">
        <f t="shared" si="283"/>
        <v>188375.17338755631</v>
      </c>
      <c r="Y366" s="735">
        <f t="shared" si="284"/>
        <v>1.5707910182397298</v>
      </c>
      <c r="Z366" s="340" t="str">
        <f>IMSUM(COMPLEX(1,0),IMDIV(COMPLEX(0,2*PI()*D366),COMPLEX(2*PI()*'Stability Calculations'!EA_Zero1,0)))</f>
        <v>1+1865.10072658319i</v>
      </c>
      <c r="AA366" s="734">
        <f t="shared" si="285"/>
        <v>1865.1009946652066</v>
      </c>
      <c r="AB366" s="735">
        <f t="shared" si="286"/>
        <v>1.5702601627744106</v>
      </c>
      <c r="AC366" s="733" t="str">
        <f>IMSUM(COMPLEX(1,0),IMDIV(COMPLEX(0,2*PI()*D366),COMPLEX(2*PI()*'Stability Calculations'!EA_Pole2,0)))</f>
        <v>1+18.788010342755i</v>
      </c>
      <c r="AD366" s="734">
        <f t="shared" si="287"/>
        <v>18.814604238183403</v>
      </c>
      <c r="AE366" s="735">
        <f t="shared" si="288"/>
        <v>1.51762106938068</v>
      </c>
      <c r="AF366" s="732" t="str">
        <f t="shared" si="289"/>
        <v>0.166144674948842-3.15306384262051i</v>
      </c>
      <c r="AG366" s="337">
        <f t="shared" si="290"/>
        <v>3.1574381464495347</v>
      </c>
      <c r="AH366" s="730">
        <f t="shared" si="291"/>
        <v>-1.5181519248459989</v>
      </c>
      <c r="AI366" s="731" t="str">
        <f t="shared" si="269"/>
        <v>10000</v>
      </c>
      <c r="AJ366" s="733" t="str">
        <f t="shared" si="292"/>
        <v>1+175617.511394929i</v>
      </c>
      <c r="AK366" s="734">
        <f t="shared" si="293"/>
        <v>175617.51139777611</v>
      </c>
      <c r="AL366" s="735">
        <f t="shared" si="294"/>
        <v>1.5707906326019199</v>
      </c>
      <c r="AM366" s="340" t="str">
        <f t="shared" si="295"/>
        <v>1+298.043096107994i</v>
      </c>
      <c r="AN366" s="734">
        <f t="shared" si="296"/>
        <v>298.04477371300936</v>
      </c>
      <c r="AO366" s="735">
        <f t="shared" si="297"/>
        <v>1.5674411199117828</v>
      </c>
      <c r="AP366" s="733" t="str">
        <f t="shared" si="298"/>
        <v>1+14.4555814348422i</v>
      </c>
      <c r="AQ366" s="734">
        <f t="shared" si="299"/>
        <v>14.49012886827976</v>
      </c>
      <c r="AR366" s="735">
        <f t="shared" si="300"/>
        <v>1.5017289290719982</v>
      </c>
      <c r="AS366" s="732" t="str">
        <f t="shared" si="301"/>
        <v>0.00310847607349731-7.88476453721496i</v>
      </c>
      <c r="AT366" s="337">
        <f t="shared" si="302"/>
        <v>7.8847651499550793</v>
      </c>
      <c r="AU366" s="730">
        <f t="shared" si="303"/>
        <v>-1.5704020885271865</v>
      </c>
      <c r="AV366" s="732" t="str">
        <f t="shared" si="304"/>
        <v>-0.382963050489089+0.0651216580355536i</v>
      </c>
      <c r="AW366" s="337">
        <f t="shared" si="305"/>
        <v>-8.213063615106881</v>
      </c>
      <c r="AX366" s="730">
        <f t="shared" si="306"/>
        <v>170.34934613842802</v>
      </c>
      <c r="AY366" s="360">
        <f t="shared" si="307"/>
        <v>-9.6506538615719819</v>
      </c>
      <c r="BB366" s="337">
        <f t="shared" si="308"/>
        <v>-22.064224754621744</v>
      </c>
      <c r="BC366" s="730">
        <f t="shared" si="309"/>
        <v>-89.977411811137671</v>
      </c>
      <c r="BD366" s="351"/>
      <c r="BE366" s="337">
        <f t="shared" si="270"/>
        <v>34.610765639462556</v>
      </c>
      <c r="BF366" s="730">
        <f t="shared" si="271"/>
        <v>-89.154557616228203</v>
      </c>
      <c r="BI366" s="351"/>
      <c r="BJ366" s="351"/>
      <c r="BL366" s="405">
        <f t="shared" si="272"/>
        <v>0</v>
      </c>
      <c r="BM366" s="405">
        <f t="shared" si="310"/>
        <v>0</v>
      </c>
      <c r="BN366" s="405">
        <f t="shared" si="273"/>
        <v>0</v>
      </c>
      <c r="BO366" s="405">
        <f t="shared" si="274"/>
        <v>0</v>
      </c>
    </row>
    <row r="367" spans="4:67" ht="13.5" thickBot="1" x14ac:dyDescent="0.25">
      <c r="D367" s="345">
        <v>29856</v>
      </c>
      <c r="E367" s="340" t="str">
        <f t="shared" si="261"/>
        <v>0.495239660602246i</v>
      </c>
      <c r="F367" s="728" t="str">
        <f t="shared" si="275"/>
        <v>0.005-0.0873893832976951i</v>
      </c>
      <c r="G367" s="337" t="str">
        <f t="shared" si="276"/>
        <v>0.005-0.136685958491267i</v>
      </c>
      <c r="H367" s="338" t="str">
        <f t="shared" si="277"/>
        <v>0.0199601637342433-0.133893294995403i</v>
      </c>
      <c r="I367" s="338" t="str">
        <f t="shared" si="278"/>
        <v>0.0299601637342433-0.133893294995403i</v>
      </c>
      <c r="J367" s="337" t="str">
        <f t="shared" si="279"/>
        <v>0.00644926098039143-0.0532193435534718i</v>
      </c>
      <c r="K367" s="338" t="str">
        <f t="shared" si="262"/>
        <v>0.9900957696-0.156325650442628i</v>
      </c>
      <c r="L367" s="732"/>
      <c r="M367" s="732" t="str">
        <f t="shared" si="263"/>
        <v>0.778834261754237-53.3798474516318i</v>
      </c>
      <c r="N367" s="337">
        <f t="shared" si="264"/>
        <v>0</v>
      </c>
      <c r="O367" s="730" t="str">
        <f t="shared" si="265"/>
        <v>-1.76985819822503-20.7836568189327i</v>
      </c>
      <c r="P367" s="731" t="str">
        <f t="shared" si="266"/>
        <v>-2.83581753494577-0.38570961545657i</v>
      </c>
      <c r="Q367" s="729" t="str">
        <f t="shared" si="267"/>
        <v>-2.81811895296352-0.177873047267247i</v>
      </c>
      <c r="R367" s="730"/>
      <c r="S367" s="405" t="str">
        <f t="shared" si="280"/>
        <v>39.6307327236494-4.89231948670639i</v>
      </c>
      <c r="T367" s="405" t="str">
        <f t="shared" si="281"/>
        <v>15.2179709135317-3.44087426966076i</v>
      </c>
      <c r="U367" s="405" t="str">
        <f t="shared" si="282"/>
        <v>-0.15695680249273-2.10626468256832i</v>
      </c>
      <c r="V367" s="731" t="str">
        <f t="shared" si="268"/>
        <v>6000</v>
      </c>
      <c r="W367" s="733" t="str">
        <f>IMSUM(COMPLEX(1,0),IMDIV(COMPLEX(0,2*PI()*D367),COMPLEX(2*PI()*'Stability Calculations'!EA_Pole1,0)))</f>
        <v>1+189466.688336466i</v>
      </c>
      <c r="X367" s="734">
        <f t="shared" si="283"/>
        <v>189466.68833910496</v>
      </c>
      <c r="Y367" s="735">
        <f t="shared" si="284"/>
        <v>1.5707910488222421</v>
      </c>
      <c r="Z367" s="340" t="str">
        <f>IMSUM(COMPLEX(1,0),IMDIV(COMPLEX(0,2*PI()*D367),COMPLEX(2*PI()*'Stability Calculations'!EA_Zero1,0)))</f>
        <v>1+1875.90780531154i</v>
      </c>
      <c r="AA367" s="734">
        <f t="shared" si="285"/>
        <v>1875.9080718491402</v>
      </c>
      <c r="AB367" s="735">
        <f t="shared" si="286"/>
        <v>1.5702632516072752</v>
      </c>
      <c r="AC367" s="733" t="str">
        <f>IMSUM(COMPLEX(1,0),IMDIV(COMPLEX(0,2*PI()*D367),COMPLEX(2*PI()*'Stability Calculations'!EA_Pole2,0)))</f>
        <v>1+18.8968749761923i</v>
      </c>
      <c r="AD367" s="734">
        <f t="shared" si="287"/>
        <v>18.923315879249142</v>
      </c>
      <c r="AE367" s="735">
        <f t="shared" si="288"/>
        <v>1.5179268391143492</v>
      </c>
      <c r="AF367" s="732" t="str">
        <f t="shared" si="289"/>
        <v>0.164241205273595-3.1349998149911i</v>
      </c>
      <c r="AG367" s="337">
        <f t="shared" si="290"/>
        <v>3.1392991277519182</v>
      </c>
      <c r="AH367" s="730">
        <f t="shared" si="291"/>
        <v>-1.5184546363293163</v>
      </c>
      <c r="AI367" s="731" t="str">
        <f t="shared" si="269"/>
        <v>10000</v>
      </c>
      <c r="AJ367" s="733" t="str">
        <f t="shared" si="292"/>
        <v>1+176635.103766574i</v>
      </c>
      <c r="AK367" s="734">
        <f t="shared" si="293"/>
        <v>176635.1037694047</v>
      </c>
      <c r="AL367" s="735">
        <f t="shared" si="294"/>
        <v>1.5707906654060861</v>
      </c>
      <c r="AM367" s="340" t="str">
        <f t="shared" si="295"/>
        <v>1+299.770067288784i</v>
      </c>
      <c r="AN367" s="734">
        <f t="shared" si="296"/>
        <v>299.77173522919418</v>
      </c>
      <c r="AO367" s="735">
        <f t="shared" si="297"/>
        <v>1.5674604490680726</v>
      </c>
      <c r="AP367" s="733" t="str">
        <f t="shared" si="298"/>
        <v>1+14.5393423837303i</v>
      </c>
      <c r="AQ367" s="734">
        <f t="shared" si="299"/>
        <v>14.573691260327159</v>
      </c>
      <c r="AR367" s="735">
        <f t="shared" si="300"/>
        <v>1.5021255720656219</v>
      </c>
      <c r="AS367" s="732" t="str">
        <f t="shared" si="301"/>
        <v>0.00307276347137897-7.83934053257696i</v>
      </c>
      <c r="AT367" s="337">
        <f t="shared" si="302"/>
        <v>7.8393411347880111</v>
      </c>
      <c r="AU367" s="730">
        <f t="shared" si="303"/>
        <v>-1.5704043597281203</v>
      </c>
      <c r="AV367" s="732" t="str">
        <f t="shared" si="304"/>
        <v>-0.378457631021897+0.0648219445067465i</v>
      </c>
      <c r="AW367" s="337">
        <f t="shared" si="305"/>
        <v>-8.3140805748129978</v>
      </c>
      <c r="AX367" s="730">
        <f t="shared" si="306"/>
        <v>170.28073211344437</v>
      </c>
      <c r="AY367" s="360">
        <f t="shared" si="307"/>
        <v>-9.7192678865556275</v>
      </c>
      <c r="BB367" s="337">
        <f t="shared" si="308"/>
        <v>-22.114408729857335</v>
      </c>
      <c r="BC367" s="730">
        <f t="shared" si="309"/>
        <v>-89.977541941365601</v>
      </c>
      <c r="BD367" s="351"/>
      <c r="BE367" s="337">
        <f t="shared" si="270"/>
        <v>34.548470995552648</v>
      </c>
      <c r="BF367" s="730">
        <f t="shared" si="271"/>
        <v>-89.164089967356659</v>
      </c>
      <c r="BI367" s="351"/>
      <c r="BJ367" s="351"/>
      <c r="BL367" s="405">
        <f t="shared" si="272"/>
        <v>0</v>
      </c>
      <c r="BM367" s="405">
        <f t="shared" si="310"/>
        <v>0</v>
      </c>
      <c r="BN367" s="405">
        <f t="shared" si="273"/>
        <v>0</v>
      </c>
      <c r="BO367" s="405">
        <f t="shared" si="274"/>
        <v>0</v>
      </c>
    </row>
    <row r="368" spans="4:67" ht="13.5" thickBot="1" x14ac:dyDescent="0.25">
      <c r="D368" s="345">
        <v>30028</v>
      </c>
      <c r="E368" s="340" t="str">
        <f t="shared" si="261"/>
        <v>0.49809272938653i</v>
      </c>
      <c r="F368" s="728" t="str">
        <f t="shared" si="275"/>
        <v>0.005-0.0868888180277071i</v>
      </c>
      <c r="G368" s="337" t="str">
        <f t="shared" si="276"/>
        <v>0.005-0.135903023068978i</v>
      </c>
      <c r="H368" s="338" t="str">
        <f t="shared" si="277"/>
        <v>0.0197911293962101-0.133145159961006i</v>
      </c>
      <c r="I368" s="338" t="str">
        <f t="shared" si="278"/>
        <v>0.0297911293962101-0.133145159961006i</v>
      </c>
      <c r="J368" s="337" t="str">
        <f t="shared" si="279"/>
        <v>0.00642279491554261-0.0529160374391356i</v>
      </c>
      <c r="K368" s="338" t="str">
        <f t="shared" si="262"/>
        <v>0.989981324622222-0.157226240336657i</v>
      </c>
      <c r="L368" s="732"/>
      <c r="M368" s="732" t="str">
        <f t="shared" si="263"/>
        <v>0.76468193689593-53.0016261667444i</v>
      </c>
      <c r="N368" s="337">
        <f t="shared" si="264"/>
        <v>0</v>
      </c>
      <c r="O368" s="730" t="str">
        <f t="shared" si="265"/>
        <v>-1.75632775652269-20.6346340540363i</v>
      </c>
      <c r="P368" s="731" t="str">
        <f t="shared" si="266"/>
        <v>-2.79972463931821-0.380882513061073i</v>
      </c>
      <c r="Q368" s="729" t="str">
        <f t="shared" si="267"/>
        <v>-2.78216136175299-0.17453617252071i</v>
      </c>
      <c r="R368" s="730"/>
      <c r="S368" s="405" t="str">
        <f t="shared" si="280"/>
        <v>39.6251693548592-4.9358112309734i</v>
      </c>
      <c r="T368" s="405" t="str">
        <f t="shared" si="281"/>
        <v>15.2135071908898-3.45417585633194i</v>
      </c>
      <c r="U368" s="405" t="str">
        <f t="shared" si="282"/>
        <v>-0.158814307539688-2.09396688982888i</v>
      </c>
      <c r="V368" s="731" t="str">
        <f t="shared" si="268"/>
        <v>6000</v>
      </c>
      <c r="W368" s="733" t="str">
        <f>IMSUM(COMPLEX(1,0),IMDIV(COMPLEX(0,2*PI()*D368),COMPLEX(2*PI()*'Stability Calculations'!EA_Pole1,0)))</f>
        <v>1+190558.203288029i</v>
      </c>
      <c r="X368" s="734">
        <f t="shared" si="283"/>
        <v>190558.20329065289</v>
      </c>
      <c r="Y368" s="735">
        <f t="shared" si="284"/>
        <v>1.570791079054402</v>
      </c>
      <c r="Z368" s="340" t="str">
        <f>IMSUM(COMPLEX(1,0),IMDIV(COMPLEX(0,2*PI()*D368),COMPLEX(2*PI()*'Stability Calculations'!EA_Zero1,0)))</f>
        <v>1+1886.71488403989i</v>
      </c>
      <c r="AA368" s="734">
        <f t="shared" si="285"/>
        <v>1886.7151490507663</v>
      </c>
      <c r="AB368" s="735">
        <f t="shared" si="286"/>
        <v>1.5702663050545593</v>
      </c>
      <c r="AC368" s="733" t="str">
        <f>IMSUM(COMPLEX(1,0),IMDIV(COMPLEX(0,2*PI()*D368),COMPLEX(2*PI()*'Stability Calculations'!EA_Pole2,0)))</f>
        <v>1+19.0057396096297i</v>
      </c>
      <c r="AD368" s="734">
        <f t="shared" si="287"/>
        <v>19.032029269340864</v>
      </c>
      <c r="AE368" s="735">
        <f t="shared" si="288"/>
        <v>1.5182291156842069</v>
      </c>
      <c r="AF368" s="732" t="str">
        <f t="shared" si="289"/>
        <v>0.162370230574213-3.11714101865653i</v>
      </c>
      <c r="AG368" s="337">
        <f t="shared" si="290"/>
        <v>3.1213670437754977</v>
      </c>
      <c r="AH368" s="730">
        <f t="shared" si="291"/>
        <v>-1.5187538896840493</v>
      </c>
      <c r="AI368" s="731" t="str">
        <f t="shared" si="269"/>
        <v>10000</v>
      </c>
      <c r="AJ368" s="733" t="str">
        <f t="shared" si="292"/>
        <v>1+177652.69613822i</v>
      </c>
      <c r="AK368" s="734">
        <f t="shared" si="293"/>
        <v>177652.69614103445</v>
      </c>
      <c r="AL368" s="735">
        <f t="shared" si="294"/>
        <v>1.570790697834449</v>
      </c>
      <c r="AM368" s="340" t="str">
        <f t="shared" si="295"/>
        <v>1+301.497038469574i</v>
      </c>
      <c r="AN368" s="734">
        <f t="shared" si="296"/>
        <v>301.49869685609553</v>
      </c>
      <c r="AO368" s="735">
        <f t="shared" si="297"/>
        <v>1.5674795567924924</v>
      </c>
      <c r="AP368" s="733" t="str">
        <f t="shared" si="298"/>
        <v>1+14.6231033326183i</v>
      </c>
      <c r="AQ368" s="734">
        <f t="shared" si="299"/>
        <v>14.657255919046801</v>
      </c>
      <c r="AR368" s="735">
        <f t="shared" si="300"/>
        <v>1.5025176923997845</v>
      </c>
      <c r="AS368" s="732" t="str">
        <f t="shared" si="301"/>
        <v>0.00303766279384165-7.7944369039359i</v>
      </c>
      <c r="AT368" s="337">
        <f t="shared" si="302"/>
        <v>7.7944374958577418</v>
      </c>
      <c r="AU368" s="730">
        <f t="shared" si="303"/>
        <v>-1.5704066049102383</v>
      </c>
      <c r="AV368" s="732" t="str">
        <f t="shared" si="304"/>
        <v>-0.374029586982919+0.0645241597669569i</v>
      </c>
      <c r="AW368" s="337">
        <f t="shared" si="305"/>
        <v>-8.4145207018216688</v>
      </c>
      <c r="AX368" s="730">
        <f t="shared" si="306"/>
        <v>170.21219296949693</v>
      </c>
      <c r="AY368" s="360">
        <f t="shared" si="307"/>
        <v>-9.7878070305030747</v>
      </c>
      <c r="BB368" s="337">
        <f t="shared" si="308"/>
        <v>-22.164304424794111</v>
      </c>
      <c r="BC368" s="730">
        <f t="shared" si="309"/>
        <v>-89.977670580825205</v>
      </c>
      <c r="BD368" s="351"/>
      <c r="BE368" s="337">
        <f t="shared" si="270"/>
        <v>34.486687795961373</v>
      </c>
      <c r="BF368" s="730">
        <f t="shared" si="271"/>
        <v>-89.173421435174291</v>
      </c>
      <c r="BI368" s="351"/>
      <c r="BJ368" s="351"/>
      <c r="BL368" s="405">
        <f t="shared" si="272"/>
        <v>0</v>
      </c>
      <c r="BM368" s="405">
        <f t="shared" si="310"/>
        <v>0</v>
      </c>
      <c r="BN368" s="405">
        <f t="shared" si="273"/>
        <v>0</v>
      </c>
      <c r="BO368" s="405">
        <f t="shared" si="274"/>
        <v>0</v>
      </c>
    </row>
    <row r="369" spans="4:67" ht="13.5" thickBot="1" x14ac:dyDescent="0.25">
      <c r="D369" s="345">
        <v>30200</v>
      </c>
      <c r="E369" s="340" t="str">
        <f t="shared" si="261"/>
        <v>0.500945798170814i</v>
      </c>
      <c r="F369" s="728" t="str">
        <f t="shared" si="275"/>
        <v>0.005-0.0863939545607946i</v>
      </c>
      <c r="G369" s="337" t="str">
        <f t="shared" si="276"/>
        <v>0.005-0.135129005851499i</v>
      </c>
      <c r="H369" s="338" t="str">
        <f t="shared" si="277"/>
        <v>0.0196249284170711-0.132405233330765i</v>
      </c>
      <c r="I369" s="338" t="str">
        <f t="shared" si="278"/>
        <v>0.0296249284170711-0.132405233330765i</v>
      </c>
      <c r="J369" s="337" t="str">
        <f t="shared" si="279"/>
        <v>0.00639677786163685-0.052616168992222i</v>
      </c>
      <c r="K369" s="338" t="str">
        <f t="shared" si="262"/>
        <v>0.989866222222222-0.158126830230686i</v>
      </c>
      <c r="L369" s="732"/>
      <c r="M369" s="732" t="str">
        <f t="shared" si="263"/>
        <v>0.750913628218505-52.629126064135i</v>
      </c>
      <c r="N369" s="337">
        <f t="shared" si="264"/>
        <v>0</v>
      </c>
      <c r="O369" s="730" t="str">
        <f t="shared" si="265"/>
        <v>-1.74302017248401-20.4878813861871i</v>
      </c>
      <c r="P369" s="731" t="str">
        <f t="shared" si="266"/>
        <v>-2.76433956323049-0.376167026845262i</v>
      </c>
      <c r="Q369" s="729" t="str">
        <f t="shared" si="267"/>
        <v>-2.74690936150565-0.171288212983391i</v>
      </c>
      <c r="R369" s="730"/>
      <c r="S369" s="405" t="str">
        <f t="shared" si="280"/>
        <v>39.6195463946191-4.97921010038082i</v>
      </c>
      <c r="T369" s="405" t="str">
        <f t="shared" si="281"/>
        <v>15.2090290288496-3.46750583453237i</v>
      </c>
      <c r="U369" s="405" t="str">
        <f t="shared" si="282"/>
        <v>-0.160639813112717-2.08180459108768i</v>
      </c>
      <c r="V369" s="731" t="str">
        <f t="shared" si="268"/>
        <v>6000</v>
      </c>
      <c r="W369" s="733" t="str">
        <f>IMSUM(COMPLEX(1,0),IMDIV(COMPLEX(0,2*PI()*D369),COMPLEX(2*PI()*'Stability Calculations'!EA_Pole1,0)))</f>
        <v>1+191649.718239591i</v>
      </c>
      <c r="X369" s="734">
        <f t="shared" si="283"/>
        <v>191649.71824219995</v>
      </c>
      <c r="Y369" s="735">
        <f t="shared" si="284"/>
        <v>1.5707911089421955</v>
      </c>
      <c r="Z369" s="340" t="str">
        <f>IMSUM(COMPLEX(1,0),IMDIV(COMPLEX(0,2*PI()*D369),COMPLEX(2*PI()*'Stability Calculations'!EA_Zero1,0)))</f>
        <v>1+1897.52196276823i</v>
      </c>
      <c r="AA369" s="734">
        <f t="shared" si="285"/>
        <v>1897.5222262697732</v>
      </c>
      <c r="AB369" s="735">
        <f t="shared" si="286"/>
        <v>1.5702693237208643</v>
      </c>
      <c r="AC369" s="733" t="str">
        <f>IMSUM(COMPLEX(1,0),IMDIV(COMPLEX(0,2*PI()*D369),COMPLEX(2*PI()*'Stability Calculations'!EA_Pole2,0)))</f>
        <v>1+19.1146042430669i</v>
      </c>
      <c r="AD369" s="734">
        <f t="shared" si="287"/>
        <v>19.140744378656521</v>
      </c>
      <c r="AE369" s="735">
        <f t="shared" si="288"/>
        <v>1.5185279585556846</v>
      </c>
      <c r="AF369" s="732" t="str">
        <f t="shared" si="289"/>
        <v>0.160531016058651-3.09948398545727i</v>
      </c>
      <c r="AG369" s="337">
        <f t="shared" si="290"/>
        <v>3.1036383782945633</v>
      </c>
      <c r="AH369" s="730">
        <f t="shared" si="291"/>
        <v>-1.5190497437770156</v>
      </c>
      <c r="AI369" s="731" t="str">
        <f t="shared" si="269"/>
        <v>10000</v>
      </c>
      <c r="AJ369" s="733" t="str">
        <f t="shared" si="292"/>
        <v>1+178670.288509865i</v>
      </c>
      <c r="AK369" s="734">
        <f t="shared" si="293"/>
        <v>178670.28851266345</v>
      </c>
      <c r="AL369" s="735">
        <f t="shared" si="294"/>
        <v>1.5707907298934289</v>
      </c>
      <c r="AM369" s="340" t="str">
        <f t="shared" si="295"/>
        <v>1+303.224009650363i</v>
      </c>
      <c r="AN369" s="734">
        <f t="shared" si="296"/>
        <v>303.22565859182072</v>
      </c>
      <c r="AO369" s="735">
        <f t="shared" si="297"/>
        <v>1.5674984468683926</v>
      </c>
      <c r="AP369" s="733" t="str">
        <f t="shared" si="298"/>
        <v>1+14.7068642815063i</v>
      </c>
      <c r="AQ369" s="734">
        <f t="shared" si="299"/>
        <v>14.740822805889968</v>
      </c>
      <c r="AR369" s="735">
        <f t="shared" si="300"/>
        <v>1.502905366870805</v>
      </c>
      <c r="AS369" s="732" t="str">
        <f t="shared" si="301"/>
        <v>0.00300316014012971-7.75004476010451i</v>
      </c>
      <c r="AT369" s="337">
        <f t="shared" si="302"/>
        <v>7.7500453419702131</v>
      </c>
      <c r="AU369" s="730">
        <f t="shared" si="303"/>
        <v>-1.5704088245181003</v>
      </c>
      <c r="AV369" s="732" t="str">
        <f t="shared" si="304"/>
        <v>-0.369677156151422+0.064228304577272i</v>
      </c>
      <c r="AW369" s="337">
        <f t="shared" si="305"/>
        <v>-8.514390651028565</v>
      </c>
      <c r="AX369" s="730">
        <f t="shared" si="306"/>
        <v>170.14372733982103</v>
      </c>
      <c r="AY369" s="360">
        <f t="shared" si="307"/>
        <v>-9.8562726601789734</v>
      </c>
      <c r="BB369" s="337">
        <f t="shared" si="308"/>
        <v>-22.213915132558032</v>
      </c>
      <c r="BC369" s="730">
        <f t="shared" si="309"/>
        <v>-89.977797754987861</v>
      </c>
      <c r="BD369" s="351"/>
      <c r="BE369" s="337">
        <f t="shared" si="270"/>
        <v>34.425407199072453</v>
      </c>
      <c r="BF369" s="730">
        <f t="shared" si="271"/>
        <v>-89.182557916522228</v>
      </c>
      <c r="BI369" s="351"/>
      <c r="BJ369" s="351"/>
      <c r="BL369" s="405">
        <f t="shared" si="272"/>
        <v>0</v>
      </c>
      <c r="BM369" s="405">
        <f t="shared" si="310"/>
        <v>0</v>
      </c>
      <c r="BN369" s="405">
        <f t="shared" si="273"/>
        <v>0</v>
      </c>
      <c r="BO369" s="405">
        <f t="shared" si="274"/>
        <v>0</v>
      </c>
    </row>
    <row r="370" spans="4:67" ht="13.5" thickBot="1" x14ac:dyDescent="0.25">
      <c r="D370" s="345">
        <v>30375.75</v>
      </c>
      <c r="E370" s="340" t="str">
        <f t="shared" si="261"/>
        <v>0.503861070489639i</v>
      </c>
      <c r="F370" s="728" t="str">
        <f t="shared" si="275"/>
        <v>0.005-0.0858940907709599i</v>
      </c>
      <c r="G370" s="337" t="str">
        <f t="shared" si="276"/>
        <v>0.005-0.134347167616117i</v>
      </c>
      <c r="H370" s="338" t="str">
        <f t="shared" si="277"/>
        <v>0.0194579653200821-0.131657515474447i</v>
      </c>
      <c r="I370" s="338" t="str">
        <f t="shared" si="278"/>
        <v>0.0294579653200821-0.131657515474447i</v>
      </c>
      <c r="J370" s="337" t="str">
        <f t="shared" si="279"/>
        <v>0.00637064685437692-0.0523132533150656i</v>
      </c>
      <c r="K370" s="338" t="str">
        <f t="shared" si="262"/>
        <v>0.98974793124375-0.1590470550788i</v>
      </c>
      <c r="L370" s="732"/>
      <c r="M370" s="732" t="str">
        <f t="shared" si="263"/>
        <v>0.737227628862006-52.2542740451407i</v>
      </c>
      <c r="N370" s="337">
        <f t="shared" si="264"/>
        <v>0</v>
      </c>
      <c r="O370" s="730" t="str">
        <f t="shared" si="265"/>
        <v>-1.72964779480518-20.3402179027749i</v>
      </c>
      <c r="P370" s="731" t="str">
        <f t="shared" si="266"/>
        <v>-2.72889445804354-0.371460302272948i</v>
      </c>
      <c r="Q370" s="729" t="str">
        <f t="shared" si="267"/>
        <v>-2.71159798009549-0.1680581232452i</v>
      </c>
      <c r="R370" s="730"/>
      <c r="S370" s="405" t="str">
        <f t="shared" si="280"/>
        <v>39.6137397563295-5.02346068963105i</v>
      </c>
      <c r="T370" s="405" t="str">
        <f t="shared" si="281"/>
        <v>15.2044381374329-3.48115513739101i</v>
      </c>
      <c r="U370" s="405" t="str">
        <f t="shared" si="282"/>
        <v>-0.162472806380506-2.06951474529653i</v>
      </c>
      <c r="V370" s="731" t="str">
        <f t="shared" si="268"/>
        <v>6000</v>
      </c>
      <c r="W370" s="733" t="str">
        <f>IMSUM(COMPLEX(1,0),IMDIV(COMPLEX(0,2*PI()*D370),COMPLEX(2*PI()*'Stability Calculations'!EA_Pole1,0)))</f>
        <v>1+192765.030755506i</v>
      </c>
      <c r="X370" s="734">
        <f t="shared" si="283"/>
        <v>192765.03075809983</v>
      </c>
      <c r="Y370" s="735">
        <f t="shared" si="284"/>
        <v>1.5707911391319886</v>
      </c>
      <c r="Z370" s="340" t="str">
        <f>IMSUM(COMPLEX(1,0),IMDIV(COMPLEX(0,2*PI()*D370),COMPLEX(2*PI()*'Stability Calculations'!EA_Zero1,0)))</f>
        <v>1+1908.5646609456i</v>
      </c>
      <c r="AA370" s="734">
        <f t="shared" si="285"/>
        <v>1908.5649229225589</v>
      </c>
      <c r="AB370" s="735">
        <f t="shared" si="286"/>
        <v>1.5702723728891403</v>
      </c>
      <c r="AC370" s="733" t="str">
        <f>IMSUM(COMPLEX(1,0),IMDIV(COMPLEX(0,2*PI()*D370),COMPLEX(2*PI()*'Stability Calculations'!EA_Pole2,0)))</f>
        <v>1+19.2258423786868i</v>
      </c>
      <c r="AD370" s="734">
        <f t="shared" si="287"/>
        <v>19.251831475735219</v>
      </c>
      <c r="AE370" s="735">
        <f t="shared" si="288"/>
        <v>1.5188298305564742</v>
      </c>
      <c r="AF370" s="732" t="str">
        <f t="shared" si="289"/>
        <v>0.158683765859902-3.08164686993125i</v>
      </c>
      <c r="AG370" s="337">
        <f t="shared" si="290"/>
        <v>3.0857297303076541</v>
      </c>
      <c r="AH370" s="730">
        <f t="shared" si="291"/>
        <v>-1.5193485967993225</v>
      </c>
      <c r="AI370" s="731" t="str">
        <f t="shared" si="269"/>
        <v>10000</v>
      </c>
      <c r="AJ370" s="733" t="str">
        <f t="shared" si="292"/>
        <v>1+179710.066761706i</v>
      </c>
      <c r="AK370" s="734">
        <f t="shared" si="293"/>
        <v>179710.06676448823</v>
      </c>
      <c r="AL370" s="735">
        <f t="shared" si="294"/>
        <v>1.5707907622763473</v>
      </c>
      <c r="AM370" s="340" t="str">
        <f t="shared" si="295"/>
        <v>1+304.988632819107i</v>
      </c>
      <c r="AN370" s="734">
        <f t="shared" si="296"/>
        <v>304.99027222006293</v>
      </c>
      <c r="AO370" s="735">
        <f t="shared" si="297"/>
        <v>1.5675175278205002</v>
      </c>
      <c r="AP370" s="733" t="str">
        <f t="shared" si="298"/>
        <v>1+14.7924514138731i</v>
      </c>
      <c r="AQ370" s="734">
        <f t="shared" si="299"/>
        <v>14.826213907528659</v>
      </c>
      <c r="AR370" s="735">
        <f t="shared" si="300"/>
        <v>1.5032969793287476</v>
      </c>
      <c r="AS370" s="732" t="str">
        <f t="shared" si="301"/>
        <v>0.00296850891926851-7.70520405786407i</v>
      </c>
      <c r="AT370" s="337">
        <f t="shared" si="302"/>
        <v>7.7052046296883088</v>
      </c>
      <c r="AU370" s="730">
        <f t="shared" si="303"/>
        <v>-1.5704110665538817</v>
      </c>
      <c r="AV370" s="732" t="str">
        <f t="shared" si="304"/>
        <v>-0.365306154901504+0.0639279919238198i</v>
      </c>
      <c r="AW370" s="337">
        <f t="shared" si="305"/>
        <v>-8.6158558420352378</v>
      </c>
      <c r="AX370" s="730">
        <f t="shared" si="306"/>
        <v>170.07384354818038</v>
      </c>
      <c r="AY370" s="360">
        <f t="shared" si="307"/>
        <v>-9.9261564518196224</v>
      </c>
      <c r="BB370" s="337">
        <f t="shared" si="308"/>
        <v>-22.264316461781096</v>
      </c>
      <c r="BC370" s="730">
        <f t="shared" si="309"/>
        <v>-89.977926214175653</v>
      </c>
      <c r="BD370" s="351"/>
      <c r="BE370" s="337">
        <f t="shared" si="270"/>
        <v>34.363300743509178</v>
      </c>
      <c r="BF370" s="730">
        <f t="shared" si="271"/>
        <v>-89.191698092233125</v>
      </c>
      <c r="BI370" s="351"/>
      <c r="BJ370" s="351"/>
      <c r="BL370" s="405">
        <f t="shared" si="272"/>
        <v>0</v>
      </c>
      <c r="BM370" s="405">
        <f t="shared" si="310"/>
        <v>0</v>
      </c>
      <c r="BN370" s="405">
        <f t="shared" si="273"/>
        <v>0</v>
      </c>
      <c r="BO370" s="405">
        <f t="shared" si="274"/>
        <v>0</v>
      </c>
    </row>
    <row r="371" spans="4:67" ht="13.5" thickBot="1" x14ac:dyDescent="0.25">
      <c r="D371" s="345">
        <v>30551.5</v>
      </c>
      <c r="E371" s="340" t="str">
        <f t="shared" si="261"/>
        <v>0.506776342808464i</v>
      </c>
      <c r="F371" s="728" t="str">
        <f t="shared" si="275"/>
        <v>0.005-0.085399977995712i</v>
      </c>
      <c r="G371" s="337" t="str">
        <f t="shared" si="276"/>
        <v>0.005-0.133574324557395i</v>
      </c>
      <c r="H371" s="338" t="str">
        <f t="shared" si="277"/>
        <v>0.0192938299470453-0.130918091057186i</v>
      </c>
      <c r="I371" s="338" t="str">
        <f t="shared" si="278"/>
        <v>0.0292938299470453-0.130918091057186i</v>
      </c>
      <c r="J371" s="337" t="str">
        <f t="shared" si="279"/>
        <v>0.00634496360372325-0.0520138058641967i</v>
      </c>
      <c r="K371" s="338" t="str">
        <f t="shared" si="262"/>
        <v>0.989628953863889-0.159967279926914i</v>
      </c>
      <c r="L371" s="732"/>
      <c r="M371" s="732" t="str">
        <f t="shared" si="263"/>
        <v>0.723914445810743-51.8851155764417i</v>
      </c>
      <c r="N371" s="337">
        <f t="shared" si="264"/>
        <v>0</v>
      </c>
      <c r="O371" s="730" t="str">
        <f t="shared" si="265"/>
        <v>-1.71649836293601-20.1948125390897i</v>
      </c>
      <c r="P371" s="731" t="str">
        <f t="shared" si="266"/>
        <v>-2.69414911802356-0.366862715354185i</v>
      </c>
      <c r="Q371" s="729" t="str">
        <f t="shared" si="267"/>
        <v>-2.6769841343942-0.164914589963286i</v>
      </c>
      <c r="R371" s="730"/>
      <c r="S371" s="405" t="str">
        <f t="shared" si="280"/>
        <v>39.607871839843-5.0676172340739i</v>
      </c>
      <c r="T371" s="405" t="str">
        <f t="shared" si="281"/>
        <v>15.1998318103751-3.49483282520063i</v>
      </c>
      <c r="U371" s="405" t="str">
        <f t="shared" si="282"/>
        <v>-0.16427387186619-2.05736167522736i</v>
      </c>
      <c r="V371" s="731" t="str">
        <f t="shared" si="268"/>
        <v>6000</v>
      </c>
      <c r="W371" s="733" t="str">
        <f>IMSUM(COMPLEX(1,0),IMDIV(COMPLEX(0,2*PI()*D371),COMPLEX(2*PI()*'Stability Calculations'!EA_Pole1,0)))</f>
        <v>1+193880.34327142i</v>
      </c>
      <c r="X371" s="734">
        <f t="shared" si="283"/>
        <v>193880.34327399891</v>
      </c>
      <c r="Y371" s="735">
        <f t="shared" si="284"/>
        <v>1.5707911689744434</v>
      </c>
      <c r="Z371" s="340" t="str">
        <f>IMSUM(COMPLEX(1,0),IMDIV(COMPLEX(0,2*PI()*D371),COMPLEX(2*PI()*'Stability Calculations'!EA_Zero1,0)))</f>
        <v>1+1919.60735912297i</v>
      </c>
      <c r="AA371" s="734">
        <f t="shared" si="285"/>
        <v>1919.6076195928854</v>
      </c>
      <c r="AB371" s="735">
        <f t="shared" si="286"/>
        <v>1.5702753869762467</v>
      </c>
      <c r="AC371" s="733" t="str">
        <f>IMSUM(COMPLEX(1,0),IMDIV(COMPLEX(0,2*PI()*D371),COMPLEX(2*PI()*'Stability Calculations'!EA_Pole2,0)))</f>
        <v>1+19.3370805143066i</v>
      </c>
      <c r="AD371" s="734">
        <f t="shared" si="287"/>
        <v>19.362920307039843</v>
      </c>
      <c r="AE371" s="735">
        <f t="shared" si="288"/>
        <v>1.5191282387876999</v>
      </c>
      <c r="AF371" s="732" t="str">
        <f t="shared" si="289"/>
        <v>0.156868189877194-3.06401333533182i</v>
      </c>
      <c r="AG371" s="337">
        <f t="shared" si="290"/>
        <v>3.0680262952078121</v>
      </c>
      <c r="AH371" s="730">
        <f t="shared" si="291"/>
        <v>-1.5196440207858966</v>
      </c>
      <c r="AI371" s="731" t="str">
        <f t="shared" si="269"/>
        <v>10000</v>
      </c>
      <c r="AJ371" s="733" t="str">
        <f t="shared" si="292"/>
        <v>1+180749.845013548i</v>
      </c>
      <c r="AK371" s="734">
        <f t="shared" si="293"/>
        <v>180749.84501631424</v>
      </c>
      <c r="AL371" s="735">
        <f t="shared" si="294"/>
        <v>1.570790794286695</v>
      </c>
      <c r="AM371" s="340" t="str">
        <f t="shared" si="295"/>
        <v>1+306.753255987851i</v>
      </c>
      <c r="AN371" s="734">
        <f t="shared" si="296"/>
        <v>306.75488595806917</v>
      </c>
      <c r="AO371" s="735">
        <f t="shared" si="297"/>
        <v>1.5675363892454823</v>
      </c>
      <c r="AP371" s="733" t="str">
        <f t="shared" si="298"/>
        <v>1+14.8780385462398i</v>
      </c>
      <c r="AQ371" s="734">
        <f t="shared" si="299"/>
        <v>14.911607256878694</v>
      </c>
      <c r="AR371" s="735">
        <f t="shared" si="300"/>
        <v>1.5036841066013682</v>
      </c>
      <c r="AS371" s="732" t="str">
        <f t="shared" si="301"/>
        <v>0.00293445397853704-7.66087925500205i</v>
      </c>
      <c r="AT371" s="337">
        <f t="shared" si="302"/>
        <v>7.6608798170145516</v>
      </c>
      <c r="AU371" s="730">
        <f t="shared" si="303"/>
        <v>-1.5704132827946791</v>
      </c>
      <c r="AV371" s="732" t="str">
        <f t="shared" si="304"/>
        <v>-0.36101053749401+0.0636296923851352i</v>
      </c>
      <c r="AW371" s="337">
        <f t="shared" si="305"/>
        <v>-8.7167394084175491</v>
      </c>
      <c r="AX371" s="730">
        <f t="shared" si="306"/>
        <v>170.00403372926812</v>
      </c>
      <c r="AY371" s="360">
        <f t="shared" si="307"/>
        <v>-9.9959662707318842</v>
      </c>
      <c r="BB371" s="337">
        <f t="shared" si="308"/>
        <v>-22.314427015357158</v>
      </c>
      <c r="BC371" s="730">
        <f t="shared" si="309"/>
        <v>-89.978053195419733</v>
      </c>
      <c r="BD371" s="351"/>
      <c r="BE371" s="337">
        <f t="shared" si="270"/>
        <v>34.301701108726263</v>
      </c>
      <c r="BF371" s="730">
        <f t="shared" si="271"/>
        <v>-89.200646448765013</v>
      </c>
      <c r="BI371" s="351"/>
      <c r="BJ371" s="351"/>
      <c r="BL371" s="405">
        <f t="shared" si="272"/>
        <v>0</v>
      </c>
      <c r="BM371" s="405">
        <f t="shared" si="310"/>
        <v>0</v>
      </c>
      <c r="BN371" s="405">
        <f t="shared" si="273"/>
        <v>0</v>
      </c>
      <c r="BO371" s="405">
        <f t="shared" si="274"/>
        <v>0</v>
      </c>
    </row>
    <row r="372" spans="4:67" ht="13.5" thickBot="1" x14ac:dyDescent="0.25">
      <c r="D372" s="345">
        <v>30727.25</v>
      </c>
      <c r="E372" s="340" t="str">
        <f t="shared" si="261"/>
        <v>0.50969161512729i</v>
      </c>
      <c r="F372" s="728" t="str">
        <f t="shared" si="275"/>
        <v>0.005-0.0849115175531811i</v>
      </c>
      <c r="G372" s="337" t="str">
        <f t="shared" si="276"/>
        <v>0.005-0.132810322326771i</v>
      </c>
      <c r="H372" s="338" t="str">
        <f t="shared" si="277"/>
        <v>0.0191324590538047-0.130186824646984i</v>
      </c>
      <c r="I372" s="338" t="str">
        <f t="shared" si="278"/>
        <v>0.0291324590538047-0.130186824646984i</v>
      </c>
      <c r="J372" s="337" t="str">
        <f t="shared" si="279"/>
        <v>0.00631971792112771-0.0517177675584252i</v>
      </c>
      <c r="K372" s="338" t="str">
        <f t="shared" si="262"/>
        <v>0.989509290082639-0.160887504775028i</v>
      </c>
      <c r="L372" s="732"/>
      <c r="M372" s="732" t="str">
        <f t="shared" si="263"/>
        <v>0.710960789355666-51.5215160289481i</v>
      </c>
      <c r="N372" s="337">
        <f t="shared" si="264"/>
        <v>0</v>
      </c>
      <c r="O372" s="730" t="str">
        <f t="shared" si="265"/>
        <v>-1.70356713154779-20.0516114128632i</v>
      </c>
      <c r="P372" s="731" t="str">
        <f t="shared" si="266"/>
        <v>-2.66008471860109-0.362370753018862i</v>
      </c>
      <c r="Q372" s="729" t="str">
        <f t="shared" si="267"/>
        <v>-2.64304904728561-0.161854638890232i</v>
      </c>
      <c r="R372" s="730"/>
      <c r="S372" s="405" t="str">
        <f t="shared" si="280"/>
        <v>39.601943100167-5.11168116128156i</v>
      </c>
      <c r="T372" s="405" t="str">
        <f t="shared" si="281"/>
        <v>15.1952098738571-3.50853828191154i</v>
      </c>
      <c r="U372" s="405" t="str">
        <f t="shared" si="282"/>
        <v>-0.166043727348904-2.04534308833933i</v>
      </c>
      <c r="V372" s="731" t="str">
        <f t="shared" si="268"/>
        <v>6000</v>
      </c>
      <c r="W372" s="733" t="str">
        <f>IMSUM(COMPLEX(1,0),IMDIV(COMPLEX(0,2*PI()*D372),COMPLEX(2*PI()*'Stability Calculations'!EA_Pole1,0)))</f>
        <v>1+194995.655787334i</v>
      </c>
      <c r="X372" s="734">
        <f t="shared" si="283"/>
        <v>194995.65578989816</v>
      </c>
      <c r="Y372" s="735">
        <f t="shared" si="284"/>
        <v>1.5707911984755196</v>
      </c>
      <c r="Z372" s="340" t="str">
        <f>IMSUM(COMPLEX(1,0),IMDIV(COMPLEX(0,2*PI()*D372),COMPLEX(2*PI()*'Stability Calculations'!EA_Zero1,0)))</f>
        <v>1+1930.65005730034i</v>
      </c>
      <c r="AA372" s="734">
        <f t="shared" si="285"/>
        <v>1930.6503162804511</v>
      </c>
      <c r="AB372" s="735">
        <f t="shared" si="286"/>
        <v>1.5702783665841422</v>
      </c>
      <c r="AC372" s="733" t="str">
        <f>IMSUM(COMPLEX(1,0),IMDIV(COMPLEX(0,2*PI()*D372),COMPLEX(2*PI()*'Stability Calculations'!EA_Pole2,0)))</f>
        <v>1+19.4483186499265i</v>
      </c>
      <c r="AD372" s="734">
        <f t="shared" si="287"/>
        <v>19.474010842892092</v>
      </c>
      <c r="AE372" s="735">
        <f t="shared" si="288"/>
        <v>1.5194232424735323</v>
      </c>
      <c r="AF372" s="732" t="str">
        <f t="shared" si="289"/>
        <v>0.155083568716774-3.04657992539639i</v>
      </c>
      <c r="AG372" s="337">
        <f t="shared" si="290"/>
        <v>3.050524570481969</v>
      </c>
      <c r="AH372" s="730">
        <f t="shared" si="291"/>
        <v>-1.51993607436491</v>
      </c>
      <c r="AI372" s="731" t="str">
        <f t="shared" si="269"/>
        <v>10000</v>
      </c>
      <c r="AJ372" s="733" t="str">
        <f t="shared" si="292"/>
        <v>1+181789.623265389i</v>
      </c>
      <c r="AK372" s="734">
        <f t="shared" si="293"/>
        <v>181789.62326813943</v>
      </c>
      <c r="AL372" s="735">
        <f t="shared" si="294"/>
        <v>1.5707908259308647</v>
      </c>
      <c r="AM372" s="340" t="str">
        <f t="shared" si="295"/>
        <v>1+308.517879156594i</v>
      </c>
      <c r="AN372" s="734">
        <f t="shared" si="296"/>
        <v>308.51949980395523</v>
      </c>
      <c r="AO372" s="735">
        <f t="shared" si="297"/>
        <v>1.5675550349101597</v>
      </c>
      <c r="AP372" s="733" t="str">
        <f t="shared" si="298"/>
        <v>1+14.9636256786065i</v>
      </c>
      <c r="AQ372" s="734">
        <f t="shared" si="299"/>
        <v>14.997002815544574</v>
      </c>
      <c r="AR372" s="735">
        <f t="shared" si="300"/>
        <v>1.5040668251899194</v>
      </c>
      <c r="AS372" s="732" t="str">
        <f t="shared" si="301"/>
        <v>0.00290098171490491-7.61706149918742i</v>
      </c>
      <c r="AT372" s="337">
        <f t="shared" si="302"/>
        <v>7.6170620516113834</v>
      </c>
      <c r="AU372" s="730">
        <f t="shared" si="303"/>
        <v>-1.5704154736831091</v>
      </c>
      <c r="AV372" s="732" t="str">
        <f t="shared" si="304"/>
        <v>-0.356788579902269+0.0633334037664051i</v>
      </c>
      <c r="AW372" s="337">
        <f t="shared" si="305"/>
        <v>-8.8170480893566747</v>
      </c>
      <c r="AX372" s="730">
        <f t="shared" si="306"/>
        <v>169.93429652731558</v>
      </c>
      <c r="AY372" s="360">
        <f t="shared" si="307"/>
        <v>-10.065703472684419</v>
      </c>
      <c r="BB372" s="337">
        <f t="shared" si="308"/>
        <v>-22.364250129138878</v>
      </c>
      <c r="BC372" s="730">
        <f t="shared" si="309"/>
        <v>-89.978178724080152</v>
      </c>
      <c r="BD372" s="351"/>
      <c r="BE372" s="337">
        <f t="shared" si="270"/>
        <v>34.240599582128695</v>
      </c>
      <c r="BF372" s="730">
        <f t="shared" si="271"/>
        <v>-89.209408603125624</v>
      </c>
      <c r="BI372" s="351"/>
      <c r="BJ372" s="351"/>
      <c r="BL372" s="405">
        <f t="shared" si="272"/>
        <v>0</v>
      </c>
      <c r="BM372" s="405">
        <f t="shared" si="310"/>
        <v>0</v>
      </c>
      <c r="BN372" s="405">
        <f t="shared" si="273"/>
        <v>0</v>
      </c>
      <c r="BO372" s="405">
        <f t="shared" si="274"/>
        <v>0</v>
      </c>
    </row>
    <row r="373" spans="4:67" ht="13.5" thickBot="1" x14ac:dyDescent="0.25">
      <c r="D373" s="345">
        <v>30903</v>
      </c>
      <c r="E373" s="340" t="str">
        <f t="shared" si="261"/>
        <v>0.512606887446115i</v>
      </c>
      <c r="F373" s="728" t="str">
        <f t="shared" si="275"/>
        <v>0.005-0.0844286130063746i</v>
      </c>
      <c r="G373" s="337" t="str">
        <f t="shared" si="276"/>
        <v>0.005-0.132055010086893i</v>
      </c>
      <c r="H373" s="338" t="str">
        <f t="shared" si="277"/>
        <v>0.0189737911474825-0.129463583703426i</v>
      </c>
      <c r="I373" s="338" t="str">
        <f t="shared" si="278"/>
        <v>0.0289737911474825-0.129463583703426i</v>
      </c>
      <c r="J373" s="337" t="str">
        <f t="shared" si="279"/>
        <v>0.00629489990590646-0.0514250806484474i</v>
      </c>
      <c r="K373" s="338" t="str">
        <f t="shared" si="262"/>
        <v>0.9893889399-0.161807729623142i</v>
      </c>
      <c r="L373" s="732"/>
      <c r="M373" s="732" t="str">
        <f t="shared" si="263"/>
        <v>0.698353949493292-51.1633450929712i</v>
      </c>
      <c r="N373" s="337">
        <f t="shared" si="264"/>
        <v>0</v>
      </c>
      <c r="O373" s="730" t="str">
        <f t="shared" si="265"/>
        <v>-1.69084946944328-19.9105623860599i</v>
      </c>
      <c r="P373" s="731" t="str">
        <f t="shared" si="266"/>
        <v>-2.62668307943944-0.357981044385457i</v>
      </c>
      <c r="Q373" s="729" t="str">
        <f t="shared" si="267"/>
        <v>-2.609774584745-0.158875420524858i</v>
      </c>
      <c r="R373" s="730"/>
      <c r="S373" s="405" t="str">
        <f t="shared" si="280"/>
        <v>39.5959539794069-5.15565386631346i</v>
      </c>
      <c r="T373" s="405" t="str">
        <f t="shared" si="281"/>
        <v>15.1905721592006-3.52227090428346i</v>
      </c>
      <c r="U373" s="405" t="str">
        <f t="shared" si="282"/>
        <v>-0.167783070483411-2.03345674273832i</v>
      </c>
      <c r="V373" s="731" t="str">
        <f t="shared" si="268"/>
        <v>6000</v>
      </c>
      <c r="W373" s="733" t="str">
        <f>IMSUM(COMPLEX(1,0),IMDIV(COMPLEX(0,2*PI()*D373),COMPLEX(2*PI()*'Stability Calculations'!EA_Pole1,0)))</f>
        <v>1+196110.968303249i</v>
      </c>
      <c r="X373" s="734">
        <f t="shared" si="283"/>
        <v>196110.9683057986</v>
      </c>
      <c r="Y373" s="735">
        <f t="shared" si="284"/>
        <v>1.5707912276410418</v>
      </c>
      <c r="Z373" s="340" t="str">
        <f>IMSUM(COMPLEX(1,0),IMDIV(COMPLEX(0,2*PI()*D373),COMPLEX(2*PI()*'Stability Calculations'!EA_Zero1,0)))</f>
        <v>1+1941.69275547771i</v>
      </c>
      <c r="AA373" s="734">
        <f t="shared" si="285"/>
        <v>1941.6930129849625</v>
      </c>
      <c r="AB373" s="735">
        <f t="shared" si="286"/>
        <v>1.5702813123010919</v>
      </c>
      <c r="AC373" s="733" t="str">
        <f>IMSUM(COMPLEX(1,0),IMDIV(COMPLEX(0,2*PI()*D373),COMPLEX(2*PI()*'Stability Calculations'!EA_Pole2,0)))</f>
        <v>1+19.5595567855463i</v>
      </c>
      <c r="AD373" s="734">
        <f t="shared" si="287"/>
        <v>19.58510305428619</v>
      </c>
      <c r="AE373" s="735">
        <f t="shared" si="288"/>
        <v>1.5197148994967991</v>
      </c>
      <c r="AF373" s="732" t="str">
        <f t="shared" si="289"/>
        <v>0.153329203275665-3.0293432614502i</v>
      </c>
      <c r="AG373" s="337">
        <f t="shared" si="290"/>
        <v>3.033221132768082</v>
      </c>
      <c r="AH373" s="730">
        <f t="shared" si="291"/>
        <v>-1.5202248148367488</v>
      </c>
      <c r="AI373" s="731" t="str">
        <f t="shared" si="269"/>
        <v>10000</v>
      </c>
      <c r="AJ373" s="733" t="str">
        <f t="shared" si="292"/>
        <v>1+182829.401517231i</v>
      </c>
      <c r="AK373" s="734">
        <f t="shared" si="293"/>
        <v>182829.40151996579</v>
      </c>
      <c r="AL373" s="735">
        <f t="shared" si="294"/>
        <v>1.5707908572151041</v>
      </c>
      <c r="AM373" s="340" t="str">
        <f t="shared" si="295"/>
        <v>1+310.282502325338i</v>
      </c>
      <c r="AN373" s="734">
        <f t="shared" si="296"/>
        <v>310.28411375588246</v>
      </c>
      <c r="AO373" s="735">
        <f t="shared" si="297"/>
        <v>1.5675734684956646</v>
      </c>
      <c r="AP373" s="733" t="str">
        <f t="shared" si="298"/>
        <v>1+15.0492128109732i</v>
      </c>
      <c r="AQ373" s="734">
        <f t="shared" si="299"/>
        <v>15.082400545999297</v>
      </c>
      <c r="AR373" s="735">
        <f t="shared" si="300"/>
        <v>1.504445209868263</v>
      </c>
      <c r="AS373" s="732" t="str">
        <f t="shared" si="301"/>
        <v>0.00286807891105087-7.57374213946717i</v>
      </c>
      <c r="AT373" s="337">
        <f t="shared" si="302"/>
        <v>7.5737426825194794</v>
      </c>
      <c r="AU373" s="730">
        <f t="shared" si="303"/>
        <v>-1.5704176396517198</v>
      </c>
      <c r="AV373" s="732" t="str">
        <f t="shared" si="304"/>
        <v>-0.352638607126809+0.0630391229855562i</v>
      </c>
      <c r="AW373" s="337">
        <f t="shared" si="305"/>
        <v>-8.916788508064494</v>
      </c>
      <c r="AX373" s="730">
        <f t="shared" si="306"/>
        <v>169.86463061899218</v>
      </c>
      <c r="AY373" s="360">
        <f t="shared" si="307"/>
        <v>-10.13536938100782</v>
      </c>
      <c r="BB373" s="337">
        <f t="shared" si="308"/>
        <v>-22.413789081901534</v>
      </c>
      <c r="BC373" s="730">
        <f t="shared" si="309"/>
        <v>-89.978302824940101</v>
      </c>
      <c r="BD373" s="351"/>
      <c r="BE373" s="337">
        <f t="shared" si="270"/>
        <v>34.179987677235772</v>
      </c>
      <c r="BF373" s="730">
        <f t="shared" si="271"/>
        <v>-89.217989965093253</v>
      </c>
      <c r="BI373" s="351"/>
      <c r="BJ373" s="351"/>
      <c r="BL373" s="405">
        <f t="shared" si="272"/>
        <v>0</v>
      </c>
      <c r="BM373" s="405">
        <f t="shared" si="310"/>
        <v>0</v>
      </c>
      <c r="BN373" s="405">
        <f t="shared" si="273"/>
        <v>0</v>
      </c>
      <c r="BO373" s="405">
        <f t="shared" si="274"/>
        <v>0</v>
      </c>
    </row>
    <row r="374" spans="4:67" ht="13.5" thickBot="1" x14ac:dyDescent="0.25">
      <c r="D374" s="345">
        <v>31083</v>
      </c>
      <c r="E374" s="340" t="str">
        <f t="shared" si="261"/>
        <v>0.515592657104087i</v>
      </c>
      <c r="F374" s="728" t="str">
        <f t="shared" si="275"/>
        <v>0.005-0.083939691398385i</v>
      </c>
      <c r="G374" s="337" t="str">
        <f t="shared" si="276"/>
        <v>0.005-0.131290286546191i</v>
      </c>
      <c r="H374" s="338" t="str">
        <f t="shared" si="277"/>
        <v>0.0188140256695945-0.128731036679359i</v>
      </c>
      <c r="I374" s="338" t="str">
        <f t="shared" si="278"/>
        <v>0.0288140256695945-0.128731036679359i</v>
      </c>
      <c r="J374" s="337" t="str">
        <f t="shared" si="279"/>
        <v>0.00626991499171938-0.0511287309197194i</v>
      </c>
      <c r="K374" s="338" t="str">
        <f t="shared" si="262"/>
        <v>0.9892649679-0.162750207419219i</v>
      </c>
      <c r="L374" s="732"/>
      <c r="M374" s="732" t="str">
        <f t="shared" si="263"/>
        <v>0.685789045218759-50.8020081448004i</v>
      </c>
      <c r="N374" s="337">
        <f t="shared" si="264"/>
        <v>0</v>
      </c>
      <c r="O374" s="730" t="str">
        <f t="shared" si="265"/>
        <v>-1.67804092442818-19.7682805714409i</v>
      </c>
      <c r="P374" s="731" t="str">
        <f t="shared" si="266"/>
        <v>-2.59314236560112-0.353587796037214i</v>
      </c>
      <c r="Q374" s="729" t="str">
        <f t="shared" si="267"/>
        <v>-2.57636195635684-0.155904990322805i</v>
      </c>
      <c r="R374" s="730"/>
      <c r="S374" s="405" t="str">
        <f t="shared" si="280"/>
        <v>39.5897578891785-5.20059678939898i</v>
      </c>
      <c r="T374" s="405" t="str">
        <f t="shared" si="281"/>
        <v>15.1858057688655-3.53636315172936i</v>
      </c>
      <c r="U374" s="405" t="str">
        <f t="shared" si="282"/>
        <v>-0.169533555047893-2.0214177465511i</v>
      </c>
      <c r="V374" s="731" t="str">
        <f t="shared" si="268"/>
        <v>6000</v>
      </c>
      <c r="W374" s="733" t="str">
        <f>IMSUM(COMPLEX(1,0),IMDIV(COMPLEX(0,2*PI()*D374),COMPLEX(2*PI()*'Stability Calculations'!EA_Pole1,0)))</f>
        <v>1+197253.251392094i</v>
      </c>
      <c r="X374" s="734">
        <f t="shared" si="283"/>
        <v>197253.25139462884</v>
      </c>
      <c r="Y374" s="735">
        <f t="shared" si="284"/>
        <v>1.5707912571699707</v>
      </c>
      <c r="Z374" s="340" t="str">
        <f>IMSUM(COMPLEX(1,0),IMDIV(COMPLEX(0,2*PI()*D374),COMPLEX(2*PI()*'Stability Calculations'!EA_Zero1,0)))</f>
        <v>1+1953.00248903063i</v>
      </c>
      <c r="AA374" s="734">
        <f t="shared" si="285"/>
        <v>1953.0027450466719</v>
      </c>
      <c r="AB374" s="735">
        <f t="shared" si="286"/>
        <v>1.5702842947221141</v>
      </c>
      <c r="AC374" s="733" t="str">
        <f>IMSUM(COMPLEX(1,0),IMDIV(COMPLEX(0,2*PI()*D374),COMPLEX(2*PI()*'Stability Calculations'!EA_Pole2,0)))</f>
        <v>1+19.6734848903063i</v>
      </c>
      <c r="AD374" s="734">
        <f t="shared" si="287"/>
        <v>19.698883413257473</v>
      </c>
      <c r="AE374" s="735">
        <f t="shared" si="288"/>
        <v>1.5200101994703994</v>
      </c>
      <c r="AF374" s="732" t="str">
        <f t="shared" si="289"/>
        <v>0.151563065772002-3.01189026811226i</v>
      </c>
      <c r="AG374" s="337">
        <f t="shared" si="290"/>
        <v>3.015701303188953</v>
      </c>
      <c r="AH374" s="730">
        <f t="shared" si="291"/>
        <v>-1.5205171619182558</v>
      </c>
      <c r="AI374" s="731" t="str">
        <f t="shared" si="269"/>
        <v>10000</v>
      </c>
      <c r="AJ374" s="733" t="str">
        <f t="shared" si="292"/>
        <v>1+183894.323766627i</v>
      </c>
      <c r="AK374" s="734">
        <f t="shared" si="293"/>
        <v>183894.32376934597</v>
      </c>
      <c r="AL374" s="735">
        <f t="shared" si="294"/>
        <v>1.57079088888915</v>
      </c>
      <c r="AM374" s="340" t="str">
        <f t="shared" si="295"/>
        <v>1+312.089797747095i</v>
      </c>
      <c r="AN374" s="734">
        <f t="shared" si="296"/>
        <v>312.09139984597891</v>
      </c>
      <c r="AO374" s="735">
        <f t="shared" si="297"/>
        <v>1.5675921317685682</v>
      </c>
      <c r="AP374" s="733" t="str">
        <f t="shared" si="298"/>
        <v>1+15.1368696179491i</v>
      </c>
      <c r="AQ374" s="734">
        <f t="shared" si="299"/>
        <v>15.169865583807608</v>
      </c>
      <c r="AR374" s="735">
        <f t="shared" si="300"/>
        <v>1.5048283286601598</v>
      </c>
      <c r="AS374" s="732" t="str">
        <f t="shared" si="301"/>
        <v>0.00283495731206088-7.52988301398068i</v>
      </c>
      <c r="AT374" s="337">
        <f t="shared" si="302"/>
        <v>7.5298835476531583</v>
      </c>
      <c r="AU374" s="730">
        <f t="shared" si="303"/>
        <v>-1.5704198326086194</v>
      </c>
      <c r="AV374" s="732" t="str">
        <f t="shared" si="304"/>
        <v>-0.348461195907657+0.0627398030473016i</v>
      </c>
      <c r="AW374" s="337">
        <f t="shared" si="305"/>
        <v>-9.0183586178345685</v>
      </c>
      <c r="AX374" s="730">
        <f t="shared" si="306"/>
        <v>169.79335259513556</v>
      </c>
      <c r="AY374" s="360">
        <f t="shared" si="307"/>
        <v>-10.206647404864441</v>
      </c>
      <c r="BB374" s="337">
        <f t="shared" si="308"/>
        <v>-22.464234805342464</v>
      </c>
      <c r="BC374" s="730">
        <f t="shared" si="309"/>
        <v>-89.978428472115112</v>
      </c>
      <c r="BD374" s="351"/>
      <c r="BE374" s="337">
        <f t="shared" si="270"/>
        <v>34.118408937401064</v>
      </c>
      <c r="BF374" s="730">
        <f t="shared" si="271"/>
        <v>-89.22659688367915</v>
      </c>
      <c r="BI374" s="351"/>
      <c r="BJ374" s="351"/>
      <c r="BL374" s="405">
        <f t="shared" si="272"/>
        <v>0</v>
      </c>
      <c r="BM374" s="405">
        <f t="shared" si="310"/>
        <v>0</v>
      </c>
      <c r="BN374" s="405">
        <f t="shared" si="273"/>
        <v>0</v>
      </c>
      <c r="BO374" s="405">
        <f t="shared" si="274"/>
        <v>0</v>
      </c>
    </row>
    <row r="375" spans="4:67" ht="13.5" thickBot="1" x14ac:dyDescent="0.25">
      <c r="D375" s="345">
        <v>31263</v>
      </c>
      <c r="E375" s="340" t="str">
        <f t="shared" si="261"/>
        <v>0.518578426762058i</v>
      </c>
      <c r="F375" s="728" t="str">
        <f t="shared" si="275"/>
        <v>0.005-0.0834563998252242i</v>
      </c>
      <c r="G375" s="337" t="str">
        <f t="shared" si="276"/>
        <v>0.005-0.130534368957402i</v>
      </c>
      <c r="H375" s="338" t="str">
        <f t="shared" si="277"/>
        <v>0.0186569703049074-0.128006635513859i</v>
      </c>
      <c r="I375" s="338" t="str">
        <f t="shared" si="278"/>
        <v>0.0286569703049074-0.128006635513859i</v>
      </c>
      <c r="J375" s="337" t="str">
        <f t="shared" si="279"/>
        <v>0.00624535854096932-0.0508357781392912i</v>
      </c>
      <c r="K375" s="338" t="str">
        <f t="shared" si="262"/>
        <v>0.9891402759-0.163692685215296i</v>
      </c>
      <c r="L375" s="732"/>
      <c r="M375" s="732" t="str">
        <f t="shared" si="263"/>
        <v>0.673562684259708-50.4461019943617i</v>
      </c>
      <c r="N375" s="337">
        <f t="shared" si="264"/>
        <v>0</v>
      </c>
      <c r="O375" s="730" t="str">
        <f t="shared" si="265"/>
        <v>-1.6654469252197-19.6281508013072i</v>
      </c>
      <c r="P375" s="731" t="str">
        <f t="shared" si="266"/>
        <v>-2.5602602085144-0.349295077129028i</v>
      </c>
      <c r="Q375" s="729" t="str">
        <f t="shared" si="267"/>
        <v>-2.5436057392622-0.153013569115956i</v>
      </c>
      <c r="R375" s="730"/>
      <c r="S375" s="405" t="str">
        <f t="shared" si="280"/>
        <v>39.5834993613506-5.24544688642826i</v>
      </c>
      <c r="T375" s="405" t="str">
        <f t="shared" si="281"/>
        <v>15.1810224857171-3.55048265341024i</v>
      </c>
      <c r="U375" s="405" t="str">
        <f t="shared" si="282"/>
        <v>-0.171253453199208-2.00951286148964i</v>
      </c>
      <c r="V375" s="731" t="str">
        <f t="shared" si="268"/>
        <v>6000</v>
      </c>
      <c r="W375" s="733" t="str">
        <f>IMSUM(COMPLEX(1,0),IMDIV(COMPLEX(0,2*PI()*D375),COMPLEX(2*PI()*'Stability Calculations'!EA_Pole1,0)))</f>
        <v>1+198395.534480939i</v>
      </c>
      <c r="X375" s="734">
        <f t="shared" si="283"/>
        <v>198395.53448345923</v>
      </c>
      <c r="Y375" s="735">
        <f t="shared" si="284"/>
        <v>1.5707912863588676</v>
      </c>
      <c r="Z375" s="340" t="str">
        <f>IMSUM(COMPLEX(1,0),IMDIV(COMPLEX(0,2*PI()*D375),COMPLEX(2*PI()*'Stability Calculations'!EA_Zero1,0)))</f>
        <v>1+1964.31222258355i</v>
      </c>
      <c r="AA375" s="734">
        <f t="shared" si="285"/>
        <v>1964.3124771255532</v>
      </c>
      <c r="AB375" s="735">
        <f t="shared" si="286"/>
        <v>1.5702872427999419</v>
      </c>
      <c r="AC375" s="733" t="str">
        <f>IMSUM(COMPLEX(1,0),IMDIV(COMPLEX(0,2*PI()*D375),COMPLEX(2*PI()*'Stability Calculations'!EA_Pole2,0)))</f>
        <v>1+19.7874129950663i</v>
      </c>
      <c r="AD375" s="734">
        <f t="shared" si="287"/>
        <v>19.812665470282358</v>
      </c>
      <c r="AE375" s="735">
        <f t="shared" si="288"/>
        <v>1.520302107715741</v>
      </c>
      <c r="AF375" s="732" t="str">
        <f t="shared" si="289"/>
        <v>0.149827242906705-2.99463671763731i</v>
      </c>
      <c r="AG375" s="337">
        <f t="shared" si="290"/>
        <v>2.9983824428078858</v>
      </c>
      <c r="AH375" s="730">
        <f t="shared" si="291"/>
        <v>-1.5208061512746669</v>
      </c>
      <c r="AI375" s="731" t="str">
        <f t="shared" si="269"/>
        <v>10000</v>
      </c>
      <c r="AJ375" s="733" t="str">
        <f t="shared" si="292"/>
        <v>1+184959.246016023i</v>
      </c>
      <c r="AK375" s="734">
        <f t="shared" si="293"/>
        <v>184959.24601872632</v>
      </c>
      <c r="AL375" s="735">
        <f t="shared" si="294"/>
        <v>1.5707909201984624</v>
      </c>
      <c r="AM375" s="340" t="str">
        <f t="shared" si="295"/>
        <v>1+313.897093168851i</v>
      </c>
      <c r="AN375" s="734">
        <f t="shared" si="296"/>
        <v>313.89868604352949</v>
      </c>
      <c r="AO375" s="735">
        <f t="shared" si="297"/>
        <v>1.5676105801321651</v>
      </c>
      <c r="AP375" s="733" t="str">
        <f t="shared" si="298"/>
        <v>1+15.2245264249249i</v>
      </c>
      <c r="AQ375" s="734">
        <f t="shared" si="299"/>
        <v>15.257332822719592</v>
      </c>
      <c r="AR375" s="735">
        <f t="shared" si="300"/>
        <v>1.5052070548202297</v>
      </c>
      <c r="AS375" s="732" t="str">
        <f t="shared" si="301"/>
        <v>0.00280240616763323-7.48652893530669i</v>
      </c>
      <c r="AT375" s="337">
        <f t="shared" si="302"/>
        <v>7.4865294598141157</v>
      </c>
      <c r="AU375" s="730">
        <f t="shared" si="303"/>
        <v>-1.5704220003131641</v>
      </c>
      <c r="AV375" s="732" t="str">
        <f t="shared" si="304"/>
        <v>-0.344355887118097+0.062442580077057i</v>
      </c>
      <c r="AW375" s="337">
        <f t="shared" si="305"/>
        <v>-9.1193463509100461</v>
      </c>
      <c r="AX375" s="730">
        <f t="shared" si="306"/>
        <v>169.72214664499759</v>
      </c>
      <c r="AY375" s="360">
        <f t="shared" si="307"/>
        <v>-10.277853355002406</v>
      </c>
      <c r="BB375" s="337">
        <f t="shared" si="308"/>
        <v>-22.51438924214888</v>
      </c>
      <c r="BC375" s="730">
        <f t="shared" si="309"/>
        <v>-89.978552672436749</v>
      </c>
      <c r="BD375" s="351"/>
      <c r="BE375" s="337">
        <f t="shared" si="270"/>
        <v>34.057326460569577</v>
      </c>
      <c r="BF375" s="730">
        <f t="shared" si="271"/>
        <v>-89.235025019513358</v>
      </c>
      <c r="BI375" s="351"/>
      <c r="BJ375" s="351"/>
      <c r="BL375" s="405">
        <f t="shared" si="272"/>
        <v>0</v>
      </c>
      <c r="BM375" s="405">
        <f t="shared" si="310"/>
        <v>0</v>
      </c>
      <c r="BN375" s="405">
        <f t="shared" si="273"/>
        <v>0</v>
      </c>
      <c r="BO375" s="405">
        <f t="shared" si="274"/>
        <v>0</v>
      </c>
    </row>
    <row r="376" spans="4:67" ht="13.5" thickBot="1" x14ac:dyDescent="0.25">
      <c r="D376" s="345">
        <v>31443</v>
      </c>
      <c r="E376" s="340" t="str">
        <f t="shared" si="261"/>
        <v>0.52156419642003i</v>
      </c>
      <c r="F376" s="728" t="str">
        <f t="shared" si="275"/>
        <v>0.005-0.0829786415970484i</v>
      </c>
      <c r="G376" s="337" t="str">
        <f t="shared" si="276"/>
        <v>0.005-0.129787106087691i</v>
      </c>
      <c r="H376" s="338" t="str">
        <f t="shared" si="277"/>
        <v>0.0185025643331517-0.127290246761274i</v>
      </c>
      <c r="I376" s="338" t="str">
        <f t="shared" si="278"/>
        <v>0.0285025643331517-0.127290246761274i</v>
      </c>
      <c r="J376" s="337" t="str">
        <f t="shared" si="279"/>
        <v>0.00622122079396209-0.0505461643707675i</v>
      </c>
      <c r="K376" s="338" t="str">
        <f t="shared" si="262"/>
        <v>0.9890148639-0.164635163011373i</v>
      </c>
      <c r="L376" s="732"/>
      <c r="M376" s="732" t="str">
        <f t="shared" si="263"/>
        <v>0.661662914705364-50.0954996271748i</v>
      </c>
      <c r="N376" s="337">
        <f t="shared" si="264"/>
        <v>0</v>
      </c>
      <c r="O376" s="730" t="str">
        <f t="shared" si="265"/>
        <v>-1.65306285181347-19.4901223004114i</v>
      </c>
      <c r="P376" s="731" t="str">
        <f t="shared" si="266"/>
        <v>-2.52801900730733-0.345099686409237i</v>
      </c>
      <c r="Q376" s="729" t="str">
        <f t="shared" si="267"/>
        <v>-2.5114883787892-0.150198463405122i</v>
      </c>
      <c r="R376" s="730"/>
      <c r="S376" s="405" t="str">
        <f t="shared" si="280"/>
        <v>39.5771788315655-5.29020555578556i</v>
      </c>
      <c r="T376" s="405" t="str">
        <f t="shared" si="281"/>
        <v>15.1762221442175-3.56462880078567i</v>
      </c>
      <c r="U376" s="405" t="str">
        <f t="shared" si="282"/>
        <v>-0.172943453106768-1.9977398353517i</v>
      </c>
      <c r="V376" s="731" t="str">
        <f t="shared" si="268"/>
        <v>6000</v>
      </c>
      <c r="W376" s="733" t="str">
        <f>IMSUM(COMPLEX(1,0),IMDIV(COMPLEX(0,2*PI()*D376),COMPLEX(2*PI()*'Stability Calculations'!EA_Pole1,0)))</f>
        <v>1+199537.817569784i</v>
      </c>
      <c r="X376" s="734">
        <f t="shared" si="283"/>
        <v>199537.81757228979</v>
      </c>
      <c r="Y376" s="735">
        <f t="shared" si="284"/>
        <v>1.5707913152135724</v>
      </c>
      <c r="Z376" s="340" t="str">
        <f>IMSUM(COMPLEX(1,0),IMDIV(COMPLEX(0,2*PI()*D376),COMPLEX(2*PI()*'Stability Calculations'!EA_Zero1,0)))</f>
        <v>1+1975.62195613648i</v>
      </c>
      <c r="AA376" s="734">
        <f t="shared" si="285"/>
        <v>1975.6222092213211</v>
      </c>
      <c r="AB376" s="735">
        <f t="shared" si="286"/>
        <v>1.5702901571243828</v>
      </c>
      <c r="AC376" s="733" t="str">
        <f>IMSUM(COMPLEX(1,0),IMDIV(COMPLEX(0,2*PI()*D376),COMPLEX(2*PI()*'Stability Calculations'!EA_Pole2,0)))</f>
        <v>1+19.9013410998263i</v>
      </c>
      <c r="AD376" s="734">
        <f t="shared" si="287"/>
        <v>19.926449196272664</v>
      </c>
      <c r="AE376" s="735">
        <f t="shared" si="288"/>
        <v>1.5205906822848407</v>
      </c>
      <c r="AF376" s="732" t="str">
        <f t="shared" si="289"/>
        <v>0.148121045431652-2.97757921944007i</v>
      </c>
      <c r="AG376" s="337">
        <f t="shared" si="290"/>
        <v>2.981261117738784</v>
      </c>
      <c r="AH376" s="730">
        <f t="shared" si="291"/>
        <v>-1.5210918403740303</v>
      </c>
      <c r="AI376" s="731" t="str">
        <f t="shared" si="269"/>
        <v>10000</v>
      </c>
      <c r="AJ376" s="733" t="str">
        <f t="shared" si="292"/>
        <v>1+186024.16826542i</v>
      </c>
      <c r="AK376" s="734">
        <f t="shared" si="293"/>
        <v>186024.16826810787</v>
      </c>
      <c r="AL376" s="735">
        <f t="shared" si="294"/>
        <v>1.5707909511493054</v>
      </c>
      <c r="AM376" s="340" t="str">
        <f t="shared" si="295"/>
        <v>1+315.704388590609i</v>
      </c>
      <c r="AN376" s="734">
        <f t="shared" si="296"/>
        <v>315.70597234669202</v>
      </c>
      <c r="AO376" s="735">
        <f t="shared" si="297"/>
        <v>1.5676288172772437</v>
      </c>
      <c r="AP376" s="733" t="str">
        <f t="shared" si="298"/>
        <v>1+15.3121832319008i</v>
      </c>
      <c r="AQ376" s="734">
        <f t="shared" si="299"/>
        <v>15.344802225095766</v>
      </c>
      <c r="AR376" s="735">
        <f t="shared" si="300"/>
        <v>1.5055814633563545</v>
      </c>
      <c r="AS376" s="732" t="str">
        <f t="shared" si="301"/>
        <v>0.00277041245263401-7.44367122980959i</v>
      </c>
      <c r="AT376" s="337">
        <f t="shared" si="302"/>
        <v>7.4436717453606311</v>
      </c>
      <c r="AU376" s="730">
        <f t="shared" si="303"/>
        <v>-1.570424143199036</v>
      </c>
      <c r="AV376" s="732" t="str">
        <f t="shared" si="304"/>
        <v>-0.340321030528393+0.0621474482345792i</v>
      </c>
      <c r="AW376" s="337">
        <f t="shared" si="305"/>
        <v>-9.2197584615462134</v>
      </c>
      <c r="AX376" s="730">
        <f t="shared" si="306"/>
        <v>169.65101144646394</v>
      </c>
      <c r="AY376" s="360">
        <f t="shared" si="307"/>
        <v>-10.34898855353606</v>
      </c>
      <c r="BB376" s="337">
        <f t="shared" si="308"/>
        <v>-22.564255736945277</v>
      </c>
      <c r="BC376" s="730">
        <f t="shared" si="309"/>
        <v>-89.978675450753187</v>
      </c>
      <c r="BD376" s="351"/>
      <c r="BE376" s="337">
        <f t="shared" si="270"/>
        <v>33.996731817632195</v>
      </c>
      <c r="BF376" s="730">
        <f t="shared" si="271"/>
        <v>-89.243279566741307</v>
      </c>
      <c r="BI376" s="351"/>
      <c r="BJ376" s="351"/>
      <c r="BL376" s="405">
        <f t="shared" si="272"/>
        <v>0</v>
      </c>
      <c r="BM376" s="405">
        <f t="shared" si="310"/>
        <v>0</v>
      </c>
      <c r="BN376" s="405">
        <f t="shared" si="273"/>
        <v>0</v>
      </c>
      <c r="BO376" s="405">
        <f t="shared" si="274"/>
        <v>0</v>
      </c>
    </row>
    <row r="377" spans="4:67" ht="13.5" thickBot="1" x14ac:dyDescent="0.25">
      <c r="D377" s="345">
        <v>31623</v>
      </c>
      <c r="E377" s="340" t="str">
        <f t="shared" si="261"/>
        <v>0.524549966078002i</v>
      </c>
      <c r="F377" s="728" t="str">
        <f t="shared" si="275"/>
        <v>0.005-0.0825063222254688i</v>
      </c>
      <c r="G377" s="337" t="str">
        <f t="shared" si="276"/>
        <v>0.005-0.129048350147528i</v>
      </c>
      <c r="H377" s="338" t="str">
        <f t="shared" si="277"/>
        <v>0.0183507487187019-0.126581739836321i</v>
      </c>
      <c r="I377" s="338" t="str">
        <f t="shared" si="278"/>
        <v>0.0283507487187019-0.126581739836321i</v>
      </c>
      <c r="J377" s="337" t="str">
        <f t="shared" si="279"/>
        <v>0.00619749226703343-0.0502598329854951i</v>
      </c>
      <c r="K377" s="338" t="str">
        <f t="shared" si="262"/>
        <v>0.9888887319-0.16557764080745i</v>
      </c>
      <c r="L377" s="732"/>
      <c r="M377" s="732" t="str">
        <f t="shared" si="263"/>
        <v>0.650078301344573-49.750078060663i</v>
      </c>
      <c r="N377" s="337">
        <f t="shared" si="264"/>
        <v>0</v>
      </c>
      <c r="O377" s="730" t="str">
        <f t="shared" si="265"/>
        <v>-1.64088419841469-19.3541459193154i</v>
      </c>
      <c r="P377" s="731" t="str">
        <f t="shared" si="266"/>
        <v>-2.49640175909871-0.340998550918341i</v>
      </c>
      <c r="Q377" s="729" t="str">
        <f t="shared" si="267"/>
        <v>-2.47999291711456-0.147457091725188i</v>
      </c>
      <c r="R377" s="730"/>
      <c r="S377" s="405" t="str">
        <f t="shared" si="280"/>
        <v>39.5707967230798-5.3348741638342i</v>
      </c>
      <c r="T377" s="405" t="str">
        <f t="shared" si="281"/>
        <v>15.171404583771-3.57880099792694i</v>
      </c>
      <c r="U377" s="405" t="str">
        <f t="shared" si="282"/>
        <v>-0.174604223619009-1.98609646580165i</v>
      </c>
      <c r="V377" s="731" t="str">
        <f t="shared" si="268"/>
        <v>6000</v>
      </c>
      <c r="W377" s="733" t="str">
        <f>IMSUM(COMPLEX(1,0),IMDIV(COMPLEX(0,2*PI()*D377),COMPLEX(2*PI()*'Stability Calculations'!EA_Pole1,0)))</f>
        <v>1+200680.100658629i</v>
      </c>
      <c r="X377" s="734">
        <f t="shared" si="283"/>
        <v>200680.10066112052</v>
      </c>
      <c r="Y377" s="735">
        <f t="shared" si="284"/>
        <v>1.570791343739792</v>
      </c>
      <c r="Z377" s="340" t="str">
        <f>IMSUM(COMPLEX(1,0),IMDIV(COMPLEX(0,2*PI()*D377),COMPLEX(2*PI()*'Stability Calculations'!EA_Zero1,0)))</f>
        <v>1+1986.9316896894i</v>
      </c>
      <c r="AA377" s="734">
        <f t="shared" si="285"/>
        <v>1986.9319413336668</v>
      </c>
      <c r="AB377" s="735">
        <f t="shared" si="286"/>
        <v>1.5702930382718154</v>
      </c>
      <c r="AC377" s="733" t="str">
        <f>IMSUM(COMPLEX(1,0),IMDIV(COMPLEX(0,2*PI()*D377),COMPLEX(2*PI()*'Stability Calculations'!EA_Pole2,0)))</f>
        <v>1+20.0152692045863i</v>
      </c>
      <c r="AD377" s="734">
        <f t="shared" si="287"/>
        <v>20.040234562800425</v>
      </c>
      <c r="AE377" s="735">
        <f t="shared" si="288"/>
        <v>1.5208759799135232</v>
      </c>
      <c r="AF377" s="732" t="str">
        <f t="shared" si="289"/>
        <v>0.146443803560579-2.96071445916052i</v>
      </c>
      <c r="AG377" s="337">
        <f t="shared" si="290"/>
        <v>2.9643339717858139</v>
      </c>
      <c r="AH377" s="730">
        <f t="shared" si="291"/>
        <v>-1.5213742853814998</v>
      </c>
      <c r="AI377" s="731" t="str">
        <f t="shared" si="269"/>
        <v>10000</v>
      </c>
      <c r="AJ377" s="733" t="str">
        <f t="shared" si="292"/>
        <v>1+187089.090514817i</v>
      </c>
      <c r="AK377" s="734">
        <f t="shared" si="293"/>
        <v>187089.09051748953</v>
      </c>
      <c r="AL377" s="735">
        <f t="shared" si="294"/>
        <v>1.5707909817478003</v>
      </c>
      <c r="AM377" s="340" t="str">
        <f t="shared" si="295"/>
        <v>1+317.511684012366i</v>
      </c>
      <c r="AN377" s="734">
        <f t="shared" si="296"/>
        <v>317.51325875365984</v>
      </c>
      <c r="AO377" s="735">
        <f t="shared" si="297"/>
        <v>1.5676468468105607</v>
      </c>
      <c r="AP377" s="733" t="str">
        <f t="shared" si="298"/>
        <v>1+15.3998400388767i</v>
      </c>
      <c r="AQ377" s="734">
        <f t="shared" si="299"/>
        <v>15.432273754148801</v>
      </c>
      <c r="AR377" s="735">
        <f t="shared" si="300"/>
        <v>1.5059516275807145</v>
      </c>
      <c r="AS377" s="732" t="str">
        <f t="shared" si="301"/>
        <v>0.00273896351157022-7.40130142133688i</v>
      </c>
      <c r="AT377" s="337">
        <f t="shared" si="302"/>
        <v>7.4013019281342958</v>
      </c>
      <c r="AU377" s="730">
        <f t="shared" si="303"/>
        <v>-1.5704262616900433</v>
      </c>
      <c r="AV377" s="732" t="str">
        <f t="shared" si="304"/>
        <v>-0.336355022872262+0.0618544009386016i</v>
      </c>
      <c r="AW377" s="337">
        <f t="shared" si="305"/>
        <v>-9.3196015876990277</v>
      </c>
      <c r="AX377" s="730">
        <f t="shared" si="306"/>
        <v>169.57994570901275</v>
      </c>
      <c r="AY377" s="360">
        <f t="shared" si="307"/>
        <v>-10.420054290987252</v>
      </c>
      <c r="BB377" s="337">
        <f t="shared" si="308"/>
        <v>-22.613837577079281</v>
      </c>
      <c r="BC377" s="730">
        <f t="shared" si="309"/>
        <v>-89.978796831346841</v>
      </c>
      <c r="BD377" s="351"/>
      <c r="BE377" s="337">
        <f t="shared" si="270"/>
        <v>33.936616795958308</v>
      </c>
      <c r="BF377" s="730">
        <f t="shared" si="271"/>
        <v>-89.251365529238541</v>
      </c>
      <c r="BI377" s="351"/>
      <c r="BJ377" s="351"/>
      <c r="BL377" s="405">
        <f t="shared" si="272"/>
        <v>0</v>
      </c>
      <c r="BM377" s="405">
        <f t="shared" si="310"/>
        <v>0</v>
      </c>
      <c r="BN377" s="405">
        <f t="shared" si="273"/>
        <v>0</v>
      </c>
      <c r="BO377" s="405">
        <f t="shared" si="274"/>
        <v>0</v>
      </c>
    </row>
    <row r="378" spans="4:67" ht="13.5" thickBot="1" x14ac:dyDescent="0.25">
      <c r="D378" s="345">
        <v>31807</v>
      </c>
      <c r="E378" s="340" t="str">
        <f t="shared" si="261"/>
        <v>0.527602086172817i</v>
      </c>
      <c r="F378" s="728" t="str">
        <f t="shared" si="275"/>
        <v>0.005-0.0820290322173105i</v>
      </c>
      <c r="G378" s="337" t="str">
        <f t="shared" si="276"/>
        <v>0.005-0.128301819621947i</v>
      </c>
      <c r="H378" s="338" t="str">
        <f t="shared" si="277"/>
        <v>0.0181981770014619-0.125865501760119i</v>
      </c>
      <c r="I378" s="338" t="str">
        <f t="shared" si="278"/>
        <v>0.0281981770014619-0.125865501760119i</v>
      </c>
      <c r="J378" s="337" t="str">
        <f t="shared" si="279"/>
        <v>0.00617364980577916-0.049970473653947i</v>
      </c>
      <c r="K378" s="338" t="str">
        <f t="shared" si="262"/>
        <v>0.988759052788889-0.166541062554551i</v>
      </c>
      <c r="L378" s="732"/>
      <c r="M378" s="732" t="str">
        <f t="shared" si="263"/>
        <v>0.638550597943971-49.402211230926i</v>
      </c>
      <c r="N378" s="337">
        <f t="shared" si="264"/>
        <v>0</v>
      </c>
      <c r="O378" s="730" t="str">
        <f t="shared" si="265"/>
        <v>-1.62864265136731-19.2172193286226i</v>
      </c>
      <c r="P378" s="731" t="str">
        <f t="shared" si="266"/>
        <v>-2.46470970698674-0.336900627602138i</v>
      </c>
      <c r="Q378" s="729" t="str">
        <f t="shared" si="267"/>
        <v>-2.44842328047307-0.14472843431591i</v>
      </c>
      <c r="R378" s="730"/>
      <c r="S378" s="405" t="str">
        <f t="shared" si="280"/>
        <v>39.5642095716094-5.38044371212681i</v>
      </c>
      <c r="T378" s="405" t="str">
        <f t="shared" si="281"/>
        <v>15.1664620070467-3.593314449645i</v>
      </c>
      <c r="U378" s="405" t="str">
        <f t="shared" si="282"/>
        <v>-0.176272366096275-1.97432612281927i</v>
      </c>
      <c r="V378" s="731" t="str">
        <f t="shared" si="268"/>
        <v>6000</v>
      </c>
      <c r="W378" s="733" t="str">
        <f>IMSUM(COMPLEX(1,0),IMDIV(COMPLEX(0,2*PI()*D378),COMPLEX(2*PI()*'Stability Calculations'!EA_Pole1,0)))</f>
        <v>1+201847.767816116i</v>
      </c>
      <c r="X378" s="734">
        <f t="shared" si="283"/>
        <v>201847.7678185931</v>
      </c>
      <c r="Y378" s="735">
        <f t="shared" si="284"/>
        <v>1.5707913725662181</v>
      </c>
      <c r="Z378" s="340" t="str">
        <f>IMSUM(COMPLEX(1,0),IMDIV(COMPLEX(0,2*PI()*D378),COMPLEX(2*PI()*'Stability Calculations'!EA_Zero1,0)))</f>
        <v>1+1998.49275065461i</v>
      </c>
      <c r="AA378" s="734">
        <f t="shared" si="285"/>
        <v>1998.4930008431425</v>
      </c>
      <c r="AB378" s="735">
        <f t="shared" si="286"/>
        <v>1.5702959497401321</v>
      </c>
      <c r="AC378" s="733" t="str">
        <f>IMSUM(COMPLEX(1,0),IMDIV(COMPLEX(0,2*PI()*D378),COMPLEX(2*PI()*'Stability Calculations'!EA_Pole2,0)))</f>
        <v>1+20.1317290450076i</v>
      </c>
      <c r="AD378" s="734">
        <f t="shared" si="287"/>
        <v>20.156550159727299</v>
      </c>
      <c r="AE378" s="735">
        <f t="shared" si="288"/>
        <v>1.5211642882449212</v>
      </c>
      <c r="AF378" s="732" t="str">
        <f t="shared" si="289"/>
        <v>0.144758539870432-2.943670763078i</v>
      </c>
      <c r="AG378" s="337">
        <f t="shared" si="290"/>
        <v>2.9472279511883079</v>
      </c>
      <c r="AH378" s="730">
        <f t="shared" si="291"/>
        <v>-1.5216597110710073</v>
      </c>
      <c r="AI378" s="731" t="str">
        <f t="shared" si="269"/>
        <v>10000</v>
      </c>
      <c r="AJ378" s="733" t="str">
        <f t="shared" si="292"/>
        <v>1+188177.677703089i</v>
      </c>
      <c r="AK378" s="734">
        <f t="shared" si="293"/>
        <v>188177.67770574603</v>
      </c>
      <c r="AL378" s="735">
        <f t="shared" si="294"/>
        <v>1.5707910126683104</v>
      </c>
      <c r="AM378" s="340" t="str">
        <f t="shared" si="295"/>
        <v>1+319.359141554607i</v>
      </c>
      <c r="AN378" s="734">
        <f t="shared" si="296"/>
        <v>319.36070718624029</v>
      </c>
      <c r="AO378" s="735">
        <f t="shared" si="297"/>
        <v>1.5676650660867626</v>
      </c>
      <c r="AP378" s="733" t="str">
        <f t="shared" si="298"/>
        <v>1+15.4894447748964i</v>
      </c>
      <c r="AQ378" s="734">
        <f t="shared" si="299"/>
        <v>15.521691255612753</v>
      </c>
      <c r="AR378" s="735">
        <f t="shared" si="300"/>
        <v>1.506325705449836</v>
      </c>
      <c r="AS378" s="732" t="str">
        <f t="shared" si="301"/>
        <v>0.00270736596922837-7.35848571750581i</v>
      </c>
      <c r="AT378" s="337">
        <f t="shared" si="302"/>
        <v>7.3584862155587061</v>
      </c>
      <c r="AU378" s="730">
        <f t="shared" si="303"/>
        <v>-1.5704284024758177</v>
      </c>
      <c r="AV378" s="732" t="str">
        <f t="shared" si="304"/>
        <v>-0.332370420725452+0.0615569884519575i</v>
      </c>
      <c r="AW378" s="337">
        <f t="shared" si="305"/>
        <v>-9.4210821515743106</v>
      </c>
      <c r="AX378" s="730">
        <f t="shared" si="306"/>
        <v>169.50737121490025</v>
      </c>
      <c r="AY378" s="360">
        <f t="shared" si="307"/>
        <v>-10.492628785099754</v>
      </c>
      <c r="BB378" s="337">
        <f t="shared" si="308"/>
        <v>-22.664230386749821</v>
      </c>
      <c r="BC378" s="730">
        <f t="shared" si="309"/>
        <v>-89.978919489336562</v>
      </c>
      <c r="BD378" s="351"/>
      <c r="BE378" s="337">
        <f t="shared" si="270"/>
        <v>33.875653279631294</v>
      </c>
      <c r="BF378" s="730">
        <f t="shared" si="271"/>
        <v>-89.259461953730209</v>
      </c>
      <c r="BI378" s="351"/>
      <c r="BJ378" s="351"/>
      <c r="BL378" s="405">
        <f t="shared" si="272"/>
        <v>0</v>
      </c>
      <c r="BM378" s="405">
        <f t="shared" si="310"/>
        <v>0</v>
      </c>
      <c r="BN378" s="405">
        <f t="shared" si="273"/>
        <v>0</v>
      </c>
      <c r="BO378" s="405">
        <f t="shared" si="274"/>
        <v>0</v>
      </c>
    </row>
    <row r="379" spans="4:67" ht="13.5" thickBot="1" x14ac:dyDescent="0.25">
      <c r="D379" s="345">
        <v>31991</v>
      </c>
      <c r="E379" s="340" t="str">
        <f t="shared" si="261"/>
        <v>0.530654206267633i</v>
      </c>
      <c r="F379" s="728" t="str">
        <f t="shared" si="275"/>
        <v>0.005-0.0815572325884152i</v>
      </c>
      <c r="G379" s="337" t="str">
        <f t="shared" si="276"/>
        <v>0.005-0.127563876612649i</v>
      </c>
      <c r="H379" s="338" t="str">
        <f t="shared" si="277"/>
        <v>0.0180481924493565-0.125157232592659i</v>
      </c>
      <c r="I379" s="338" t="str">
        <f t="shared" si="278"/>
        <v>0.0280481924493565-0.125157232592659i</v>
      </c>
      <c r="J379" s="337" t="str">
        <f t="shared" si="279"/>
        <v>0.00615021575725292-0.0496844285734395i</v>
      </c>
      <c r="K379" s="338" t="str">
        <f t="shared" si="262"/>
        <v>0.988628621322222-0.167504484301652i</v>
      </c>
      <c r="L379" s="732"/>
      <c r="M379" s="732" t="str">
        <f t="shared" si="263"/>
        <v>0.627329590343415-49.0595103517526i</v>
      </c>
      <c r="N379" s="337">
        <f t="shared" si="264"/>
        <v>0</v>
      </c>
      <c r="O379" s="730" t="str">
        <f t="shared" si="265"/>
        <v>-1.6166065874937-19.0823381392599i</v>
      </c>
      <c r="P379" s="731" t="str">
        <f t="shared" si="266"/>
        <v>-2.43363552558804-0.332895085831884i</v>
      </c>
      <c r="Q379" s="729" t="str">
        <f t="shared" si="267"/>
        <v>-2.4174694597131-0.142071704439286i</v>
      </c>
      <c r="R379" s="730"/>
      <c r="S379" s="405" t="str">
        <f t="shared" si="280"/>
        <v>39.557558930741-5.42592194051659i</v>
      </c>
      <c r="T379" s="405" t="str">
        <f t="shared" si="281"/>
        <v>15.1615011133373-3.60785390135618i</v>
      </c>
      <c r="U379" s="405" t="str">
        <f t="shared" si="282"/>
        <v>-0.177911319977721-1.96268676283665i</v>
      </c>
      <c r="V379" s="731" t="str">
        <f t="shared" si="268"/>
        <v>6000</v>
      </c>
      <c r="W379" s="733" t="str">
        <f>IMSUM(COMPLEX(1,0),IMDIV(COMPLEX(0,2*PI()*D379),COMPLEX(2*PI()*'Stability Calculations'!EA_Pole1,0)))</f>
        <v>1+203015.434973602i</v>
      </c>
      <c r="X379" s="734">
        <f t="shared" si="283"/>
        <v>203015.43497606486</v>
      </c>
      <c r="Y379" s="735">
        <f t="shared" si="284"/>
        <v>1.5707914010610473</v>
      </c>
      <c r="Z379" s="340" t="str">
        <f>IMSUM(COMPLEX(1,0),IMDIV(COMPLEX(0,2*PI()*D379),COMPLEX(2*PI()*'Stability Calculations'!EA_Zero1,0)))</f>
        <v>1+2010.05381161982i</v>
      </c>
      <c r="AA379" s="734">
        <f t="shared" si="285"/>
        <v>2010.0540603693642</v>
      </c>
      <c r="AB379" s="735">
        <f t="shared" si="286"/>
        <v>1.5702988277171519</v>
      </c>
      <c r="AC379" s="733" t="str">
        <f>IMSUM(COMPLEX(1,0),IMDIV(COMPLEX(0,2*PI()*D379),COMPLEX(2*PI()*'Stability Calculations'!EA_Pole2,0)))</f>
        <v>1+20.248188885429i</v>
      </c>
      <c r="AD379" s="734">
        <f t="shared" si="287"/>
        <v>20.27286741287503</v>
      </c>
      <c r="AE379" s="735">
        <f t="shared" si="288"/>
        <v>1.5214492882139998</v>
      </c>
      <c r="AF379" s="732" t="str">
        <f t="shared" si="289"/>
        <v>0.1431021771113-2.92682169730897i</v>
      </c>
      <c r="AG379" s="337">
        <f t="shared" si="290"/>
        <v>2.9303179829043389</v>
      </c>
      <c r="AH379" s="730">
        <f t="shared" si="291"/>
        <v>-1.5219418615578955</v>
      </c>
      <c r="AI379" s="731" t="str">
        <f t="shared" si="269"/>
        <v>10000</v>
      </c>
      <c r="AJ379" s="733" t="str">
        <f t="shared" si="292"/>
        <v>1+189266.264891361i</v>
      </c>
      <c r="AK379" s="734">
        <f t="shared" si="293"/>
        <v>189266.26489400282</v>
      </c>
      <c r="AL379" s="735">
        <f t="shared" si="294"/>
        <v>1.5707910432331347</v>
      </c>
      <c r="AM379" s="340" t="str">
        <f t="shared" si="295"/>
        <v>1+321.206599096847i</v>
      </c>
      <c r="AN379" s="734">
        <f t="shared" si="296"/>
        <v>321.20815572360959</v>
      </c>
      <c r="AO379" s="735">
        <f t="shared" si="297"/>
        <v>1.5676830757843869</v>
      </c>
      <c r="AP379" s="733" t="str">
        <f t="shared" si="298"/>
        <v>1+15.5790495109162i</v>
      </c>
      <c r="AQ379" s="734">
        <f t="shared" si="299"/>
        <v>15.611110904211085</v>
      </c>
      <c r="AR379" s="735">
        <f t="shared" si="300"/>
        <v>1.5066954979722265</v>
      </c>
      <c r="AS379" s="732" t="str">
        <f t="shared" si="301"/>
        <v>0.00267631206829672-7.31616253259099i</v>
      </c>
      <c r="AT379" s="337">
        <f t="shared" si="302"/>
        <v>7.3161630220993912</v>
      </c>
      <c r="AU379" s="730">
        <f t="shared" si="303"/>
        <v>-1.5704305186356331</v>
      </c>
      <c r="AV379" s="732" t="str">
        <f t="shared" si="304"/>
        <v>-0.328454516971372+0.0612617381286139i</v>
      </c>
      <c r="AW379" s="337">
        <f t="shared" si="305"/>
        <v>-9.5219818279478758</v>
      </c>
      <c r="AX379" s="730">
        <f t="shared" si="306"/>
        <v>169.4348666733143</v>
      </c>
      <c r="AY379" s="360">
        <f t="shared" si="307"/>
        <v>-10.565133326685697</v>
      </c>
      <c r="BB379" s="337">
        <f t="shared" si="308"/>
        <v>-22.714332518780122</v>
      </c>
      <c r="BC379" s="730">
        <f t="shared" si="309"/>
        <v>-89.979040736362748</v>
      </c>
      <c r="BD379" s="351"/>
      <c r="BE379" s="337">
        <f t="shared" si="270"/>
        <v>33.815174244763554</v>
      </c>
      <c r="BF379" s="730">
        <f t="shared" si="271"/>
        <v>-89.267392218359959</v>
      </c>
      <c r="BI379" s="351"/>
      <c r="BJ379" s="351"/>
      <c r="BL379" s="405">
        <f t="shared" si="272"/>
        <v>0</v>
      </c>
      <c r="BM379" s="405">
        <f t="shared" si="310"/>
        <v>0</v>
      </c>
      <c r="BN379" s="405">
        <f t="shared" si="273"/>
        <v>0</v>
      </c>
      <c r="BO379" s="405">
        <f t="shared" si="274"/>
        <v>0</v>
      </c>
    </row>
    <row r="380" spans="4:67" ht="13.5" thickBot="1" x14ac:dyDescent="0.25">
      <c r="D380" s="345">
        <v>32175</v>
      </c>
      <c r="E380" s="340" t="str">
        <f t="shared" si="261"/>
        <v>0.533706326362448i</v>
      </c>
      <c r="F380" s="728" t="str">
        <f t="shared" si="275"/>
        <v>0.005-0.0810908291448637i</v>
      </c>
      <c r="G380" s="337" t="str">
        <f t="shared" si="276"/>
        <v>0.005-0.126834373790684i</v>
      </c>
      <c r="H380" s="338" t="str">
        <f t="shared" si="277"/>
        <v>0.0179007371072451-0.124456801634878i</v>
      </c>
      <c r="I380" s="338" t="str">
        <f t="shared" si="278"/>
        <v>0.0279007371072451-0.124456801634878i</v>
      </c>
      <c r="J380" s="337" t="str">
        <f t="shared" si="279"/>
        <v>0.00612718082646271-0.0494016412585898i</v>
      </c>
      <c r="K380" s="338" t="str">
        <f t="shared" si="262"/>
        <v>0.9884974375-0.168467906048753i</v>
      </c>
      <c r="L380" s="732"/>
      <c r="M380" s="732" t="str">
        <f t="shared" si="263"/>
        <v>0.616404572838241-48.7218561031674i</v>
      </c>
      <c r="N380" s="337">
        <f t="shared" si="264"/>
        <v>0</v>
      </c>
      <c r="O380" s="730" t="str">
        <f t="shared" si="265"/>
        <v>-1.60477154576054-18.9494547054542i</v>
      </c>
      <c r="P380" s="731" t="str">
        <f t="shared" si="266"/>
        <v>-2.40316283438127-0.328979020122512i</v>
      </c>
      <c r="Q380" s="729" t="str">
        <f t="shared" si="267"/>
        <v>-2.38711511892367-0.139484473067969i</v>
      </c>
      <c r="R380" s="730"/>
      <c r="S380" s="405" t="str">
        <f t="shared" si="280"/>
        <v>39.5508452150875-5.47131021033492i</v>
      </c>
      <c r="T380" s="405" t="str">
        <f t="shared" si="281"/>
        <v>15.1565217460737-3.62241875516952i</v>
      </c>
      <c r="U380" s="405" t="str">
        <f t="shared" si="282"/>
        <v>-0.179521741213885-1.95117618625446i</v>
      </c>
      <c r="V380" s="731" t="str">
        <f t="shared" si="268"/>
        <v>6000</v>
      </c>
      <c r="W380" s="733" t="str">
        <f>IMSUM(COMPLEX(1,0),IMDIV(COMPLEX(0,2*PI()*D380),COMPLEX(2*PI()*'Stability Calculations'!EA_Pole1,0)))</f>
        <v>1+204183.102131088i</v>
      </c>
      <c r="X380" s="734">
        <f t="shared" si="283"/>
        <v>204183.1021335368</v>
      </c>
      <c r="Y380" s="735">
        <f t="shared" si="284"/>
        <v>1.5707914292299681</v>
      </c>
      <c r="Z380" s="340" t="str">
        <f>IMSUM(COMPLEX(1,0),IMDIV(COMPLEX(0,2*PI()*D380),COMPLEX(2*PI()*'Stability Calculations'!EA_Zero1,0)))</f>
        <v>1+2021.61487258503i</v>
      </c>
      <c r="AA380" s="734">
        <f t="shared" si="285"/>
        <v>2021.6151199120436</v>
      </c>
      <c r="AB380" s="735">
        <f t="shared" si="286"/>
        <v>1.5703016727774575</v>
      </c>
      <c r="AC380" s="733" t="str">
        <f>IMSUM(COMPLEX(1,0),IMDIV(COMPLEX(0,2*PI()*D380),COMPLEX(2*PI()*'Stability Calculations'!EA_Pole2,0)))</f>
        <v>1+20.3646487258503i</v>
      </c>
      <c r="AD380" s="734">
        <f t="shared" si="287"/>
        <v>20.389186293897957</v>
      </c>
      <c r="AE380" s="735">
        <f t="shared" si="288"/>
        <v>1.5217310363959862</v>
      </c>
      <c r="AF380" s="732" t="str">
        <f t="shared" si="289"/>
        <v>0.141474058730242-2.91016395498109i</v>
      </c>
      <c r="AG380" s="337">
        <f t="shared" si="290"/>
        <v>2.9136007197563618</v>
      </c>
      <c r="AH380" s="730">
        <f t="shared" si="291"/>
        <v>-1.5222207928484968</v>
      </c>
      <c r="AI380" s="731" t="str">
        <f t="shared" si="269"/>
        <v>10000</v>
      </c>
      <c r="AJ380" s="733" t="str">
        <f t="shared" si="292"/>
        <v>1+190354.852079633i</v>
      </c>
      <c r="AK380" s="734">
        <f t="shared" si="293"/>
        <v>190354.85208225966</v>
      </c>
      <c r="AL380" s="735">
        <f t="shared" si="294"/>
        <v>1.5707910734483752</v>
      </c>
      <c r="AM380" s="340" t="str">
        <f t="shared" si="295"/>
        <v>1+323.054056639088i</v>
      </c>
      <c r="AN380" s="734">
        <f t="shared" si="296"/>
        <v>323.05560436397178</v>
      </c>
      <c r="AO380" s="735">
        <f t="shared" si="297"/>
        <v>1.5677008794989544</v>
      </c>
      <c r="AP380" s="733" t="str">
        <f t="shared" si="298"/>
        <v>1+15.668654246936i</v>
      </c>
      <c r="AQ380" s="734">
        <f t="shared" si="299"/>
        <v>15.700532663257817</v>
      </c>
      <c r="AR380" s="735">
        <f t="shared" si="300"/>
        <v>1.5070610782669416</v>
      </c>
      <c r="AS380" s="732" t="str">
        <f t="shared" si="301"/>
        <v>0.00264578940866039-7.27432341685509i</v>
      </c>
      <c r="AT380" s="337">
        <f t="shared" si="302"/>
        <v>7.2743238980133347</v>
      </c>
      <c r="AU380" s="730">
        <f t="shared" si="303"/>
        <v>-1.5704326105919766</v>
      </c>
      <c r="AV380" s="732" t="str">
        <f t="shared" si="304"/>
        <v>-0.324605741074827+0.0609686408601062i</v>
      </c>
      <c r="AW380" s="337">
        <f t="shared" si="305"/>
        <v>-9.6223073474445933</v>
      </c>
      <c r="AX380" s="730">
        <f t="shared" si="306"/>
        <v>169.3624308021007</v>
      </c>
      <c r="AY380" s="360">
        <f t="shared" si="307"/>
        <v>-10.637569197899296</v>
      </c>
      <c r="BB380" s="337">
        <f t="shared" si="308"/>
        <v>-22.764147307341396</v>
      </c>
      <c r="BC380" s="730">
        <f t="shared" si="309"/>
        <v>-89.979160596632155</v>
      </c>
      <c r="BD380" s="351"/>
      <c r="BE380" s="337">
        <f t="shared" si="270"/>
        <v>33.75517157372925</v>
      </c>
      <c r="BF380" s="730">
        <f t="shared" si="271"/>
        <v>-89.275161104351298</v>
      </c>
      <c r="BI380" s="351"/>
      <c r="BJ380" s="351"/>
      <c r="BL380" s="405">
        <f t="shared" si="272"/>
        <v>0</v>
      </c>
      <c r="BM380" s="405">
        <f t="shared" si="310"/>
        <v>0</v>
      </c>
      <c r="BN380" s="405">
        <f t="shared" si="273"/>
        <v>0</v>
      </c>
      <c r="BO380" s="405">
        <f t="shared" si="274"/>
        <v>0</v>
      </c>
    </row>
    <row r="381" spans="4:67" ht="13.5" thickBot="1" x14ac:dyDescent="0.25">
      <c r="D381" s="345">
        <v>32359</v>
      </c>
      <c r="E381" s="340" t="str">
        <f t="shared" si="261"/>
        <v>0.536758446457264i</v>
      </c>
      <c r="F381" s="728" t="str">
        <f t="shared" si="275"/>
        <v>0.005-0.0806297298351613i</v>
      </c>
      <c r="G381" s="337" t="str">
        <f t="shared" si="276"/>
        <v>0.005-0.126113167178073i</v>
      </c>
      <c r="H381" s="338" t="str">
        <f t="shared" si="277"/>
        <v>0.017755754627908-0.123764080994456i</v>
      </c>
      <c r="I381" s="338" t="str">
        <f t="shared" si="278"/>
        <v>0.027755754627908-0.123764080994456i</v>
      </c>
      <c r="J381" s="337" t="str">
        <f t="shared" si="279"/>
        <v>0.00610453598107495-0.0491220564981947i</v>
      </c>
      <c r="K381" s="338" t="str">
        <f t="shared" si="262"/>
        <v>0.988365501322222-0.169431327795854i</v>
      </c>
      <c r="L381" s="732"/>
      <c r="M381" s="732" t="str">
        <f t="shared" si="263"/>
        <v>0.605765297679398-48.3891329068465i</v>
      </c>
      <c r="N381" s="337">
        <f t="shared" si="264"/>
        <v>0</v>
      </c>
      <c r="O381" s="730" t="str">
        <f t="shared" si="265"/>
        <v>-1.59313317772166-18.8185228881302i</v>
      </c>
      <c r="P381" s="731" t="str">
        <f t="shared" si="266"/>
        <v>-2.37327580449301-0.325149640100116i</v>
      </c>
      <c r="Q381" s="729" t="str">
        <f t="shared" si="267"/>
        <v>-2.35734447271579-0.136964411218813i</v>
      </c>
      <c r="R381" s="730"/>
      <c r="S381" s="405" t="str">
        <f t="shared" si="280"/>
        <v>39.5440688274598-5.51660985162138i</v>
      </c>
      <c r="T381" s="405" t="str">
        <f t="shared" si="281"/>
        <v>15.1515237534026-3.63700842551433i</v>
      </c>
      <c r="U381" s="405" t="str">
        <f t="shared" si="282"/>
        <v>-0.181104267348538-1.93979224218862i</v>
      </c>
      <c r="V381" s="731" t="str">
        <f t="shared" si="268"/>
        <v>6000</v>
      </c>
      <c r="W381" s="733" t="str">
        <f>IMSUM(COMPLEX(1,0),IMDIV(COMPLEX(0,2*PI()*D381),COMPLEX(2*PI()*'Stability Calculations'!EA_Pole1,0)))</f>
        <v>1+205350.769288574i</v>
      </c>
      <c r="X381" s="734">
        <f t="shared" si="283"/>
        <v>205350.76929100888</v>
      </c>
      <c r="Y381" s="735">
        <f t="shared" si="284"/>
        <v>1.5707914570785402</v>
      </c>
      <c r="Z381" s="340" t="str">
        <f>IMSUM(COMPLEX(1,0),IMDIV(COMPLEX(0,2*PI()*D381),COMPLEX(2*PI()*'Stability Calculations'!EA_Zero1,0)))</f>
        <v>1+2033.17593355024i</v>
      </c>
      <c r="AA381" s="734">
        <f t="shared" si="285"/>
        <v>2033.1761794709009</v>
      </c>
      <c r="AB381" s="735">
        <f t="shared" si="286"/>
        <v>1.5703044854825623</v>
      </c>
      <c r="AC381" s="733" t="str">
        <f>IMSUM(COMPLEX(1,0),IMDIV(COMPLEX(0,2*PI()*D381),COMPLEX(2*PI()*'Stability Calculations'!EA_Pole2,0)))</f>
        <v>1+20.4811085662716i</v>
      </c>
      <c r="AD381" s="734">
        <f t="shared" si="287"/>
        <v>20.505506775093465</v>
      </c>
      <c r="AE381" s="735">
        <f t="shared" si="288"/>
        <v>1.5220095880844751</v>
      </c>
      <c r="AF381" s="732" t="str">
        <f t="shared" si="289"/>
        <v>0.139873546698176-2.89369430353184i</v>
      </c>
      <c r="AG381" s="337">
        <f t="shared" si="290"/>
        <v>2.8970728902391372</v>
      </c>
      <c r="AH381" s="730">
        <f t="shared" si="291"/>
        <v>-1.5224965596804534</v>
      </c>
      <c r="AI381" s="731" t="str">
        <f t="shared" si="269"/>
        <v>10000</v>
      </c>
      <c r="AJ381" s="733" t="str">
        <f t="shared" si="292"/>
        <v>1+191443.439267905i</v>
      </c>
      <c r="AK381" s="734">
        <f t="shared" si="293"/>
        <v>191443.43927051674</v>
      </c>
      <c r="AL381" s="735">
        <f t="shared" si="294"/>
        <v>1.5707911033199955</v>
      </c>
      <c r="AM381" s="340" t="str">
        <f t="shared" si="295"/>
        <v>1+324.901514181328i</v>
      </c>
      <c r="AN381" s="734">
        <f t="shared" si="296"/>
        <v>324.90305310556823</v>
      </c>
      <c r="AO381" s="735">
        <f t="shared" si="297"/>
        <v>1.5677184807442075</v>
      </c>
      <c r="AP381" s="733" t="str">
        <f t="shared" si="298"/>
        <v>1+15.7582589829558i</v>
      </c>
      <c r="AQ381" s="734">
        <f t="shared" si="299"/>
        <v>15.789956496897231</v>
      </c>
      <c r="AR381" s="735">
        <f t="shared" si="300"/>
        <v>1.5074225178012082</v>
      </c>
      <c r="AS381" s="732" t="str">
        <f t="shared" si="301"/>
        <v>0.00261578594174738-7.23296011274855i</v>
      </c>
      <c r="AT381" s="337">
        <f t="shared" si="302"/>
        <v>7.2329605857454817</v>
      </c>
      <c r="AU381" s="730">
        <f t="shared" si="303"/>
        <v>-1.5704346787577261</v>
      </c>
      <c r="AV381" s="732" t="str">
        <f t="shared" si="304"/>
        <v>-0.320822567145216+0.0606776869361473i</v>
      </c>
      <c r="AW381" s="337">
        <f t="shared" si="305"/>
        <v>-9.722065324944726</v>
      </c>
      <c r="AX381" s="730">
        <f t="shared" si="306"/>
        <v>169.29006234964731</v>
      </c>
      <c r="AY381" s="360">
        <f t="shared" si="307"/>
        <v>-10.709937650352686</v>
      </c>
      <c r="BB381" s="337">
        <f t="shared" si="308"/>
        <v>-22.813678029565722</v>
      </c>
      <c r="BC381" s="730">
        <f t="shared" si="309"/>
        <v>-89.97927909380094</v>
      </c>
      <c r="BD381" s="351"/>
      <c r="BE381" s="337">
        <f t="shared" si="270"/>
        <v>33.695637354866761</v>
      </c>
      <c r="BF381" s="730">
        <f t="shared" si="271"/>
        <v>-89.282773219312418</v>
      </c>
      <c r="BI381" s="351"/>
      <c r="BJ381" s="351"/>
      <c r="BL381" s="405">
        <f t="shared" si="272"/>
        <v>0</v>
      </c>
      <c r="BM381" s="405">
        <f t="shared" si="310"/>
        <v>0</v>
      </c>
      <c r="BN381" s="405">
        <f t="shared" si="273"/>
        <v>0</v>
      </c>
      <c r="BO381" s="405">
        <f t="shared" si="274"/>
        <v>0</v>
      </c>
    </row>
    <row r="382" spans="4:67" ht="13.5" thickBot="1" x14ac:dyDescent="0.25">
      <c r="D382" s="345">
        <v>32547.5</v>
      </c>
      <c r="E382" s="340" t="str">
        <f t="shared" si="261"/>
        <v>0.539885210793529i</v>
      </c>
      <c r="F382" s="728" t="str">
        <f t="shared" si="275"/>
        <v>0.005-0.0801627598966429i</v>
      </c>
      <c r="G382" s="337" t="str">
        <f t="shared" si="276"/>
        <v>0.005-0.125382778299878i</v>
      </c>
      <c r="H382" s="338" t="str">
        <f t="shared" si="277"/>
        <v>0.0176097334278627-0.123062283461838i</v>
      </c>
      <c r="I382" s="338" t="str">
        <f t="shared" si="278"/>
        <v>0.0276097334278627-0.123062283461838i</v>
      </c>
      <c r="J382" s="337" t="str">
        <f t="shared" si="279"/>
        <v>0.00608173265797089-0.0488388986469189i</v>
      </c>
      <c r="K382" s="338" t="str">
        <f t="shared" si="262"/>
        <v>0.988229558263889-0.170418311487856i</v>
      </c>
      <c r="L382" s="732"/>
      <c r="M382" s="732" t="str">
        <f t="shared" si="263"/>
        <v>0.595151876991046-48.0532688296581i</v>
      </c>
      <c r="N382" s="337">
        <f t="shared" si="264"/>
        <v>0</v>
      </c>
      <c r="O382" s="730" t="str">
        <f t="shared" si="265"/>
        <v>-1.58140969241539-18.6863660146803i</v>
      </c>
      <c r="P382" s="731" t="str">
        <f t="shared" si="266"/>
        <v>-2.34324917141808-0.321313696563476i</v>
      </c>
      <c r="Q382" s="729" t="str">
        <f t="shared" si="267"/>
        <v>-2.32743507449393-0.134450036416672i</v>
      </c>
      <c r="R382" s="730"/>
      <c r="S382" s="405" t="str">
        <f t="shared" si="280"/>
        <v>39.5370621322577-5.56292681667636i</v>
      </c>
      <c r="T382" s="405" t="str">
        <f t="shared" si="281"/>
        <v>15.1463840590126-3.65198004321644i</v>
      </c>
      <c r="U382" s="405" t="str">
        <f t="shared" si="282"/>
        <v>-0.182697217600037-1.92825900353701i</v>
      </c>
      <c r="V382" s="731" t="str">
        <f t="shared" si="268"/>
        <v>6000</v>
      </c>
      <c r="W382" s="733" t="str">
        <f>IMSUM(COMPLEX(1,0),IMDIV(COMPLEX(0,2*PI()*D382),COMPLEX(2*PI()*'Stability Calculations'!EA_Pole1,0)))</f>
        <v>1+206546.993523282i</v>
      </c>
      <c r="X382" s="734">
        <f t="shared" si="283"/>
        <v>206546.99352570277</v>
      </c>
      <c r="Y382" s="735">
        <f t="shared" si="284"/>
        <v>1.5707914852816751</v>
      </c>
      <c r="Z382" s="340" t="str">
        <f>IMSUM(COMPLEX(1,0),IMDIV(COMPLEX(0,2*PI()*D382),COMPLEX(2*PI()*'Stability Calculations'!EA_Zero1,0)))</f>
        <v>1+2045.01973785428i</v>
      </c>
      <c r="AA382" s="734">
        <f t="shared" si="285"/>
        <v>2045.0199823506832</v>
      </c>
      <c r="AB382" s="735">
        <f t="shared" si="286"/>
        <v>1.5703073339985021</v>
      </c>
      <c r="AC382" s="733" t="str">
        <f>IMSUM(COMPLEX(1,0),IMDIV(COMPLEX(0,2*PI()*D382),COMPLEX(2*PI()*'Stability Calculations'!EA_Pole2,0)))</f>
        <v>1+20.600416609312i</v>
      </c>
      <c r="AD382" s="734">
        <f t="shared" si="287"/>
        <v>20.624673681714764</v>
      </c>
      <c r="AE382" s="735">
        <f t="shared" si="288"/>
        <v>1.5222916939623243</v>
      </c>
      <c r="AF382" s="732" t="str">
        <f t="shared" si="289"/>
        <v>0.138261870852561-2.87701360542704i</v>
      </c>
      <c r="AG382" s="337">
        <f t="shared" si="290"/>
        <v>2.8803339443099207</v>
      </c>
      <c r="AH382" s="730">
        <f t="shared" si="291"/>
        <v>-1.5227758452454974</v>
      </c>
      <c r="AI382" s="731" t="str">
        <f t="shared" si="269"/>
        <v>10000</v>
      </c>
      <c r="AJ382" s="733" t="str">
        <f t="shared" si="292"/>
        <v>1+192558.649512412i</v>
      </c>
      <c r="AK382" s="734">
        <f t="shared" si="293"/>
        <v>192558.64951500861</v>
      </c>
      <c r="AL382" s="735">
        <f t="shared" si="294"/>
        <v>1.5707911335719356</v>
      </c>
      <c r="AM382" s="340" t="str">
        <f t="shared" si="295"/>
        <v>1+326.794154109114i</v>
      </c>
      <c r="AN382" s="734">
        <f t="shared" si="296"/>
        <v>326.79568412066175</v>
      </c>
      <c r="AO382" s="735">
        <f t="shared" si="297"/>
        <v>1.5677363060871152</v>
      </c>
      <c r="AP382" s="733" t="str">
        <f t="shared" si="298"/>
        <v>1+15.85005513915i</v>
      </c>
      <c r="AQ382" s="734">
        <f t="shared" si="299"/>
        <v>15.881569441150813</v>
      </c>
      <c r="AR382" s="735">
        <f t="shared" si="300"/>
        <v>1.5077885760136498</v>
      </c>
      <c r="AS382" s="732" t="str">
        <f t="shared" si="301"/>
        <v>0.0025855748500256-7.19107017872269i</v>
      </c>
      <c r="AT382" s="337">
        <f t="shared" si="302"/>
        <v>7.1910706435489908</v>
      </c>
      <c r="AU382" s="730">
        <f t="shared" si="303"/>
        <v>-1.570436773254972</v>
      </c>
      <c r="AV382" s="732" t="str">
        <f t="shared" si="304"/>
        <v>-0.317013348254348+0.0603818291679264i</v>
      </c>
      <c r="AW382" s="337">
        <f t="shared" si="305"/>
        <v>-9.8236813002014962</v>
      </c>
      <c r="AX382" s="730">
        <f t="shared" si="306"/>
        <v>169.21599265140873</v>
      </c>
      <c r="AY382" s="360">
        <f t="shared" si="307"/>
        <v>-10.784007348591274</v>
      </c>
      <c r="BB382" s="337">
        <f t="shared" si="308"/>
        <v>-22.864128896181594</v>
      </c>
      <c r="BC382" s="730">
        <f t="shared" si="309"/>
        <v>-89.979399099653335</v>
      </c>
      <c r="BD382" s="351"/>
      <c r="BE382" s="337">
        <f t="shared" si="270"/>
        <v>33.635124851615352</v>
      </c>
      <c r="BF382" s="730">
        <f t="shared" si="271"/>
        <v>-89.290413573443942</v>
      </c>
      <c r="BI382" s="351"/>
      <c r="BJ382" s="351"/>
      <c r="BL382" s="405">
        <f t="shared" si="272"/>
        <v>0</v>
      </c>
      <c r="BM382" s="405">
        <f t="shared" si="310"/>
        <v>0</v>
      </c>
      <c r="BN382" s="405">
        <f t="shared" si="273"/>
        <v>0</v>
      </c>
      <c r="BO382" s="405">
        <f t="shared" si="274"/>
        <v>0</v>
      </c>
    </row>
    <row r="383" spans="4:67" ht="13.5" thickBot="1" x14ac:dyDescent="0.25">
      <c r="D383" s="345">
        <v>32736</v>
      </c>
      <c r="E383" s="340" t="str">
        <f t="shared" si="261"/>
        <v>0.543011975129794i</v>
      </c>
      <c r="F383" s="728" t="str">
        <f t="shared" si="275"/>
        <v>0.005-0.0797011677583085i</v>
      </c>
      <c r="G383" s="337" t="str">
        <f t="shared" si="276"/>
        <v>0.005-0.124660800852739i</v>
      </c>
      <c r="H383" s="338" t="str">
        <f t="shared" si="277"/>
        <v>0.017466192750728-0.12236831497518i</v>
      </c>
      <c r="I383" s="338" t="str">
        <f t="shared" si="278"/>
        <v>0.027466192750728-0.12236831497518i</v>
      </c>
      <c r="J383" s="337" t="str">
        <f t="shared" si="279"/>
        <v>0.00605932035012688-0.0485589885522291i</v>
      </c>
      <c r="K383" s="338" t="str">
        <f t="shared" si="262"/>
        <v>0.9880928256-0.171405295179859i</v>
      </c>
      <c r="L383" s="732"/>
      <c r="M383" s="732" t="str">
        <f t="shared" si="263"/>
        <v>0.584817947976143-47.7223457866709i</v>
      </c>
      <c r="N383" s="337">
        <f t="shared" si="264"/>
        <v>0</v>
      </c>
      <c r="O383" s="730" t="str">
        <f t="shared" si="265"/>
        <v>-1.56988372884699-18.556163945013i</v>
      </c>
      <c r="P383" s="731" t="str">
        <f t="shared" si="266"/>
        <v>-2.31380524344719-0.317563149021878i</v>
      </c>
      <c r="Q383" s="729" t="str">
        <f t="shared" si="267"/>
        <v>-2.29810640615872-0.132001509571747i</v>
      </c>
      <c r="R383" s="730"/>
      <c r="S383" s="405" t="str">
        <f t="shared" si="280"/>
        <v>39.5299904816962-5.60915349400331i</v>
      </c>
      <c r="T383" s="405" t="str">
        <f t="shared" si="281"/>
        <v>15.141224508918-3.6669765001826i</v>
      </c>
      <c r="U383" s="405" t="str">
        <f t="shared" si="282"/>
        <v>-0.184262189626121-1.91685424818179i</v>
      </c>
      <c r="V383" s="731" t="str">
        <f t="shared" si="268"/>
        <v>6000</v>
      </c>
      <c r="W383" s="733" t="str">
        <f>IMSUM(COMPLEX(1,0),IMDIV(COMPLEX(0,2*PI()*D383),COMPLEX(2*PI()*'Stability Calculations'!EA_Pole1,0)))</f>
        <v>1+207743.217757989i</v>
      </c>
      <c r="X383" s="734">
        <f t="shared" si="283"/>
        <v>207743.21776039581</v>
      </c>
      <c r="Y383" s="735">
        <f t="shared" si="284"/>
        <v>1.5707915131600123</v>
      </c>
      <c r="Z383" s="340" t="str">
        <f>IMSUM(COMPLEX(1,0),IMDIV(COMPLEX(0,2*PI()*D383),COMPLEX(2*PI()*'Stability Calculations'!EA_Zero1,0)))</f>
        <v>1+2056.86354215831i</v>
      </c>
      <c r="AA383" s="734">
        <f t="shared" si="285"/>
        <v>2056.8637852468573</v>
      </c>
      <c r="AB383" s="735">
        <f t="shared" si="286"/>
        <v>1.5703101497098766</v>
      </c>
      <c r="AC383" s="733" t="str">
        <f>IMSUM(COMPLEX(1,0),IMDIV(COMPLEX(0,2*PI()*D383),COMPLEX(2*PI()*'Stability Calculations'!EA_Pole2,0)))</f>
        <v>1+20.7197246523523i</v>
      </c>
      <c r="AD383" s="734">
        <f t="shared" si="287"/>
        <v>20.743842210865751</v>
      </c>
      <c r="AE383" s="735">
        <f t="shared" si="288"/>
        <v>1.5225705585973794</v>
      </c>
      <c r="AF383" s="732" t="str">
        <f t="shared" si="289"/>
        <v>0.1366778694954-2.86052367281267i</v>
      </c>
      <c r="AG383" s="337">
        <f t="shared" si="290"/>
        <v>2.8637870945186359</v>
      </c>
      <c r="AH383" s="730">
        <f t="shared" si="291"/>
        <v>-1.5230519220475154</v>
      </c>
      <c r="AI383" s="731" t="str">
        <f t="shared" si="269"/>
        <v>10000</v>
      </c>
      <c r="AJ383" s="733" t="str">
        <f t="shared" si="292"/>
        <v>1+193673.859756919i</v>
      </c>
      <c r="AK383" s="734">
        <f t="shared" si="293"/>
        <v>193673.85975950063</v>
      </c>
      <c r="AL383" s="735">
        <f t="shared" si="294"/>
        <v>1.570791163475483</v>
      </c>
      <c r="AM383" s="340" t="str">
        <f t="shared" si="295"/>
        <v>1+328.686794036898i</v>
      </c>
      <c r="AN383" s="734">
        <f t="shared" si="296"/>
        <v>328.68831523839452</v>
      </c>
      <c r="AO383" s="735">
        <f t="shared" si="297"/>
        <v>1.5677539261486289</v>
      </c>
      <c r="AP383" s="733" t="str">
        <f t="shared" si="298"/>
        <v>1+15.9418512953441i</v>
      </c>
      <c r="AQ383" s="734">
        <f t="shared" si="299"/>
        <v>15.973184489101236</v>
      </c>
      <c r="AR383" s="735">
        <f t="shared" si="300"/>
        <v>1.5081504351814805</v>
      </c>
      <c r="AS383" s="732" t="str">
        <f t="shared" si="301"/>
        <v>0.00255588413752973-7.14966266463327i</v>
      </c>
      <c r="AT383" s="337">
        <f t="shared" si="302"/>
        <v>7.1496631214760491</v>
      </c>
      <c r="AU383" s="730">
        <f t="shared" si="303"/>
        <v>-1.5704388436312087</v>
      </c>
      <c r="AV383" s="732" t="str">
        <f t="shared" si="304"/>
        <v>-0.313269874470918+0.0600881984877013i</v>
      </c>
      <c r="AW383" s="337">
        <f t="shared" si="305"/>
        <v>-9.9247153273116346</v>
      </c>
      <c r="AX383" s="730">
        <f t="shared" si="306"/>
        <v>169.1419911449876</v>
      </c>
      <c r="AY383" s="360">
        <f t="shared" si="307"/>
        <v>-10.8580088550124</v>
      </c>
      <c r="BB383" s="337">
        <f t="shared" si="308"/>
        <v>-22.914288416931573</v>
      </c>
      <c r="BC383" s="730">
        <f t="shared" si="309"/>
        <v>-89.979517723473705</v>
      </c>
      <c r="BD383" s="351"/>
      <c r="BE383" s="337">
        <f t="shared" si="270"/>
        <v>33.575087817450331</v>
      </c>
      <c r="BF383" s="730">
        <f t="shared" si="271"/>
        <v>-89.297898658039045</v>
      </c>
      <c r="BI383" s="351"/>
      <c r="BJ383" s="351"/>
      <c r="BL383" s="405">
        <f t="shared" si="272"/>
        <v>0</v>
      </c>
      <c r="BM383" s="405">
        <f t="shared" si="310"/>
        <v>0</v>
      </c>
      <c r="BN383" s="405">
        <f t="shared" si="273"/>
        <v>0</v>
      </c>
      <c r="BO383" s="405">
        <f t="shared" si="274"/>
        <v>0</v>
      </c>
    </row>
    <row r="384" spans="4:67" ht="13.5" thickBot="1" x14ac:dyDescent="0.25">
      <c r="D384" s="345">
        <v>32924.5</v>
      </c>
      <c r="E384" s="340" t="str">
        <f t="shared" si="261"/>
        <v>0.546138739466059i</v>
      </c>
      <c r="F384" s="728" t="str">
        <f t="shared" si="275"/>
        <v>0.005-0.0792448610528934i</v>
      </c>
      <c r="G384" s="337" t="str">
        <f t="shared" si="276"/>
        <v>0.005-0.123947090364782i</v>
      </c>
      <c r="H384" s="338" t="str">
        <f t="shared" si="277"/>
        <v>0.0173250769221031-0.121682046714033i</v>
      </c>
      <c r="I384" s="338" t="str">
        <f t="shared" si="278"/>
        <v>0.0273250769221031-0.121682046714033i</v>
      </c>
      <c r="J384" s="337" t="str">
        <f t="shared" si="279"/>
        <v>0.00603729014689229-0.0482822707824051i</v>
      </c>
      <c r="K384" s="338" t="str">
        <f t="shared" si="262"/>
        <v>0.987955303330556-0.172392278871862i</v>
      </c>
      <c r="L384" s="732"/>
      <c r="M384" s="732" t="str">
        <f t="shared" si="263"/>
        <v>0.574753841435504-47.3962507842593i</v>
      </c>
      <c r="N384" s="337">
        <f t="shared" si="264"/>
        <v>0</v>
      </c>
      <c r="O384" s="730" t="str">
        <f t="shared" si="265"/>
        <v>-1.55855096013819-18.4278716081229i</v>
      </c>
      <c r="P384" s="731" t="str">
        <f t="shared" si="266"/>
        <v>-2.2849286587326-0.313895338464861i</v>
      </c>
      <c r="Q384" s="729" t="str">
        <f t="shared" si="267"/>
        <v>-2.26934314913122-0.129616622383632i</v>
      </c>
      <c r="R384" s="730"/>
      <c r="S384" s="405" t="str">
        <f t="shared" si="280"/>
        <v>39.5228542728794-5.6552912169745i</v>
      </c>
      <c r="T384" s="405" t="str">
        <f t="shared" si="281"/>
        <v>15.1360449542497-3.68199720486966i</v>
      </c>
      <c r="U384" s="405" t="str">
        <f t="shared" si="282"/>
        <v>-0.185799812755103-1.90557581399005i</v>
      </c>
      <c r="V384" s="731" t="str">
        <f t="shared" si="268"/>
        <v>6000</v>
      </c>
      <c r="W384" s="733" t="str">
        <f>IMSUM(COMPLEX(1,0),IMDIV(COMPLEX(0,2*PI()*D384),COMPLEX(2*PI()*'Stability Calculations'!EA_Pole1,0)))</f>
        <v>1+208939.441992696i</v>
      </c>
      <c r="X384" s="734">
        <f t="shared" si="283"/>
        <v>208939.44199508903</v>
      </c>
      <c r="Y384" s="735">
        <f t="shared" si="284"/>
        <v>1.5707915407191302</v>
      </c>
      <c r="Z384" s="340" t="str">
        <f>IMSUM(COMPLEX(1,0),IMDIV(COMPLEX(0,2*PI()*D384),COMPLEX(2*PI()*'Stability Calculations'!EA_Zero1,0)))</f>
        <v>1+2068.70734646234i</v>
      </c>
      <c r="AA384" s="734">
        <f t="shared" si="285"/>
        <v>2068.7075881591522</v>
      </c>
      <c r="AB384" s="735">
        <f t="shared" si="286"/>
        <v>1.5703129331801253</v>
      </c>
      <c r="AC384" s="733" t="str">
        <f>IMSUM(COMPLEX(1,0),IMDIV(COMPLEX(0,2*PI()*D384),COMPLEX(2*PI()*'Stability Calculations'!EA_Pole2,0)))</f>
        <v>1+20.8390326953926i</v>
      </c>
      <c r="AD384" s="734">
        <f t="shared" si="287"/>
        <v>20.863012334743075</v>
      </c>
      <c r="AE384" s="735">
        <f t="shared" si="288"/>
        <v>1.5228462374881075</v>
      </c>
      <c r="AF384" s="732" t="str">
        <f t="shared" si="289"/>
        <v>0.135120913108921-2.84422125937416i</v>
      </c>
      <c r="AG384" s="337">
        <f t="shared" si="290"/>
        <v>2.8474290567870728</v>
      </c>
      <c r="AH384" s="730">
        <f t="shared" si="291"/>
        <v>-1.5233248450271124</v>
      </c>
      <c r="AI384" s="731" t="str">
        <f t="shared" si="269"/>
        <v>10000</v>
      </c>
      <c r="AJ384" s="733" t="str">
        <f t="shared" si="292"/>
        <v>1+194789.070001425i</v>
      </c>
      <c r="AK384" s="734">
        <f t="shared" si="293"/>
        <v>194789.07000399189</v>
      </c>
      <c r="AL384" s="735">
        <f t="shared" si="294"/>
        <v>1.5707911930366216</v>
      </c>
      <c r="AM384" s="340" t="str">
        <f t="shared" si="295"/>
        <v>1+330.579433964682i</v>
      </c>
      <c r="AN384" s="734">
        <f t="shared" si="296"/>
        <v>330.5809464570055</v>
      </c>
      <c r="AO384" s="735">
        <f t="shared" si="297"/>
        <v>1.5677713444545485</v>
      </c>
      <c r="AP384" s="733" t="str">
        <f t="shared" si="298"/>
        <v>1+16.0336474515383i</v>
      </c>
      <c r="AQ384" s="734">
        <f t="shared" si="299"/>
        <v>16.064801604757548</v>
      </c>
      <c r="AR384" s="735">
        <f t="shared" si="300"/>
        <v>1.508508167050219</v>
      </c>
      <c r="AS384" s="732" t="str">
        <f t="shared" si="301"/>
        <v>0.00252670192130041-7.10872928460393i</v>
      </c>
      <c r="AT384" s="337">
        <f t="shared" si="302"/>
        <v>7.1087297336449717</v>
      </c>
      <c r="AU384" s="730">
        <f t="shared" si="303"/>
        <v>-1.5704408903007303</v>
      </c>
      <c r="AV384" s="732" t="str">
        <f t="shared" si="304"/>
        <v>-0.309590641226219+0.059796782775358i</v>
      </c>
      <c r="AW384" s="337">
        <f t="shared" si="305"/>
        <v>-10.025174157643246</v>
      </c>
      <c r="AX384" s="730">
        <f t="shared" si="306"/>
        <v>169.06805657853209</v>
      </c>
      <c r="AY384" s="360">
        <f t="shared" si="307"/>
        <v>-10.931943421467906</v>
      </c>
      <c r="BB384" s="337">
        <f t="shared" si="308"/>
        <v>-22.964159937457605</v>
      </c>
      <c r="BC384" s="730">
        <f t="shared" si="309"/>
        <v>-89.979634988999351</v>
      </c>
      <c r="BD384" s="351"/>
      <c r="BE384" s="337">
        <f t="shared" si="270"/>
        <v>33.515518374112553</v>
      </c>
      <c r="BF384" s="730">
        <f t="shared" si="271"/>
        <v>-89.305232908418262</v>
      </c>
      <c r="BI384" s="351"/>
      <c r="BJ384" s="351"/>
      <c r="BL384" s="405">
        <f t="shared" si="272"/>
        <v>0</v>
      </c>
      <c r="BM384" s="405">
        <f t="shared" si="310"/>
        <v>0</v>
      </c>
      <c r="BN384" s="405">
        <f t="shared" si="273"/>
        <v>0</v>
      </c>
      <c r="BO384" s="405">
        <f t="shared" si="274"/>
        <v>0</v>
      </c>
    </row>
    <row r="385" spans="4:67" ht="13.5" thickBot="1" x14ac:dyDescent="0.25">
      <c r="D385" s="345">
        <v>33113</v>
      </c>
      <c r="E385" s="340" t="str">
        <f t="shared" si="261"/>
        <v>0.549265503802323i</v>
      </c>
      <c r="F385" s="728" t="str">
        <f t="shared" si="275"/>
        <v>0.005-0.0787937495163829i</v>
      </c>
      <c r="G385" s="337" t="str">
        <f t="shared" si="276"/>
        <v>0.005-0.12324150565383i</v>
      </c>
      <c r="H385" s="338" t="str">
        <f t="shared" si="277"/>
        <v>0.0171863318154803-0.121003352635105i</v>
      </c>
      <c r="I385" s="338" t="str">
        <f t="shared" si="278"/>
        <v>0.0271863318154803-0.121003352635105i</v>
      </c>
      <c r="J385" s="337" t="str">
        <f t="shared" si="279"/>
        <v>0.00601563338973524-0.0480086911580187i</v>
      </c>
      <c r="K385" s="338" t="str">
        <f t="shared" si="262"/>
        <v>0.987816991455555-0.173379262563865i</v>
      </c>
      <c r="L385" s="732"/>
      <c r="M385" s="732" t="str">
        <f t="shared" si="263"/>
        <v>0.564950298409422-47.0748743376495i</v>
      </c>
      <c r="N385" s="337">
        <f t="shared" si="264"/>
        <v>0</v>
      </c>
      <c r="O385" s="730" t="str">
        <f t="shared" si="265"/>
        <v>-1.54740717071618-18.3014453440928i</v>
      </c>
      <c r="P385" s="731" t="str">
        <f t="shared" si="266"/>
        <v>-2.2566045695001-0.310307710279124i</v>
      </c>
      <c r="Q385" s="729" t="str">
        <f t="shared" si="267"/>
        <v>-2.24113049779294-0.127293256838196i</v>
      </c>
      <c r="R385" s="730"/>
      <c r="S385" s="405" t="str">
        <f t="shared" si="280"/>
        <v>39.5156538915741-5.70134128811912i</v>
      </c>
      <c r="T385" s="405" t="str">
        <f t="shared" si="281"/>
        <v>15.1308452506791-3.69704157787327i</v>
      </c>
      <c r="U385" s="405" t="str">
        <f t="shared" si="282"/>
        <v>-0.187310698627188-1.89442158682809i</v>
      </c>
      <c r="V385" s="731" t="str">
        <f t="shared" si="268"/>
        <v>6000</v>
      </c>
      <c r="W385" s="733" t="str">
        <f>IMSUM(COMPLEX(1,0),IMDIV(COMPLEX(0,2*PI()*D385),COMPLEX(2*PI()*'Stability Calculations'!EA_Pole1,0)))</f>
        <v>1+210135.666227404i</v>
      </c>
      <c r="X385" s="734">
        <f t="shared" si="283"/>
        <v>210135.66622978344</v>
      </c>
      <c r="Y385" s="735">
        <f t="shared" si="284"/>
        <v>1.5707915679644804</v>
      </c>
      <c r="Z385" s="340" t="str">
        <f>IMSUM(COMPLEX(1,0),IMDIV(COMPLEX(0,2*PI()*D385),COMPLEX(2*PI()*'Stability Calculations'!EA_Zero1,0)))</f>
        <v>1+2080.55115076638i</v>
      </c>
      <c r="AA385" s="734">
        <f t="shared" si="285"/>
        <v>2080.5513910873019</v>
      </c>
      <c r="AB385" s="735">
        <f t="shared" si="286"/>
        <v>1.5703156849598587</v>
      </c>
      <c r="AC385" s="733" t="str">
        <f>IMSUM(COMPLEX(1,0),IMDIV(COMPLEX(0,2*PI()*D385),COMPLEX(2*PI()*'Stability Calculations'!EA_Pole2,0)))</f>
        <v>1+20.958340738433i</v>
      </c>
      <c r="AD385" s="734">
        <f t="shared" si="287"/>
        <v>20.982184026174689</v>
      </c>
      <c r="AE385" s="735">
        <f t="shared" si="288"/>
        <v>1.5231187848740884</v>
      </c>
      <c r="AF385" s="732" t="str">
        <f t="shared" si="289"/>
        <v>0.133590389960307-2.82810319186863i</v>
      </c>
      <c r="AG385" s="337">
        <f t="shared" si="290"/>
        <v>2.8312566213869204</v>
      </c>
      <c r="AH385" s="730">
        <f t="shared" si="291"/>
        <v>-1.52359466787871</v>
      </c>
      <c r="AI385" s="731" t="str">
        <f t="shared" si="269"/>
        <v>10000</v>
      </c>
      <c r="AJ385" s="733" t="str">
        <f t="shared" si="292"/>
        <v>1+195904.280245933i</v>
      </c>
      <c r="AK385" s="734">
        <f t="shared" si="293"/>
        <v>195904.2802484853</v>
      </c>
      <c r="AL385" s="735">
        <f t="shared" si="294"/>
        <v>1.5707912222611993</v>
      </c>
      <c r="AM385" s="340" t="str">
        <f t="shared" si="295"/>
        <v>1+332.472073892467i</v>
      </c>
      <c r="AN385" s="734">
        <f t="shared" si="296"/>
        <v>332.47357777477305</v>
      </c>
      <c r="AO385" s="735">
        <f t="shared" si="297"/>
        <v>1.5677885644503911</v>
      </c>
      <c r="AP385" s="733" t="str">
        <f t="shared" si="298"/>
        <v>1+16.1254436077325i</v>
      </c>
      <c r="AQ385" s="734">
        <f t="shared" si="299"/>
        <v>16.15642075294404</v>
      </c>
      <c r="AR385" s="735">
        <f t="shared" si="300"/>
        <v>1.5088618417422575</v>
      </c>
      <c r="AS385" s="732" t="str">
        <f t="shared" si="301"/>
        <v>0.00249801665563905-7.06826194143183i</v>
      </c>
      <c r="AT385" s="337">
        <f t="shared" si="302"/>
        <v>7.068262382847772</v>
      </c>
      <c r="AU385" s="730">
        <f t="shared" si="303"/>
        <v>-1.5704429136683973</v>
      </c>
      <c r="AV385" s="732" t="str">
        <f t="shared" si="304"/>
        <v>-0.305974186764445+0.0595075694312718i</v>
      </c>
      <c r="AW385" s="337">
        <f t="shared" si="305"/>
        <v>-10.125064426359645</v>
      </c>
      <c r="AX385" s="730">
        <f t="shared" si="306"/>
        <v>168.99418772998453</v>
      </c>
      <c r="AY385" s="360">
        <f t="shared" si="307"/>
        <v>-11.005812270015468</v>
      </c>
      <c r="BB385" s="337">
        <f t="shared" si="308"/>
        <v>-23.013746746101464</v>
      </c>
      <c r="BC385" s="730">
        <f t="shared" si="309"/>
        <v>-89.979750919427062</v>
      </c>
      <c r="BD385" s="351"/>
      <c r="BE385" s="337">
        <f t="shared" si="270"/>
        <v>33.456408841291776</v>
      </c>
      <c r="BF385" s="730">
        <f t="shared" si="271"/>
        <v>-89.312420599876987</v>
      </c>
      <c r="BI385" s="351"/>
      <c r="BJ385" s="351"/>
      <c r="BL385" s="405">
        <f t="shared" si="272"/>
        <v>0</v>
      </c>
      <c r="BM385" s="405">
        <f t="shared" si="310"/>
        <v>0</v>
      </c>
      <c r="BN385" s="405">
        <f t="shared" si="273"/>
        <v>0</v>
      </c>
      <c r="BO385" s="405">
        <f t="shared" si="274"/>
        <v>0</v>
      </c>
    </row>
    <row r="386" spans="4:67" ht="13.5" thickBot="1" x14ac:dyDescent="0.25">
      <c r="D386" s="345">
        <v>33305.75</v>
      </c>
      <c r="E386" s="340" t="str">
        <f t="shared" si="261"/>
        <v>0.552462765477735i</v>
      </c>
      <c r="F386" s="728" t="str">
        <f t="shared" si="275"/>
        <v>0.005-0.0783377473179852i</v>
      </c>
      <c r="G386" s="337" t="str">
        <f t="shared" si="276"/>
        <v>0.005-0.12252827144608i</v>
      </c>
      <c r="H386" s="338" t="str">
        <f t="shared" si="277"/>
        <v>0.017046855181495-0.120317060213165i</v>
      </c>
      <c r="I386" s="338" t="str">
        <f t="shared" si="278"/>
        <v>0.027046855181495-0.120317060213165i</v>
      </c>
      <c r="J386" s="337" t="str">
        <f t="shared" si="279"/>
        <v>0.00599386575540573-0.0477321331952573i</v>
      </c>
      <c r="K386" s="338" t="str">
        <f t="shared" si="262"/>
        <v>0.987674744632639-0.17438849920383i</v>
      </c>
      <c r="L386" s="732"/>
      <c r="M386" s="732" t="str">
        <f t="shared" si="263"/>
        <v>0.555185924338153-46.7510208036949i</v>
      </c>
      <c r="N386" s="337">
        <f t="shared" si="264"/>
        <v>0</v>
      </c>
      <c r="O386" s="730" t="str">
        <f t="shared" si="265"/>
        <v>-1.53620326871374-18.1740542106341i</v>
      </c>
      <c r="P386" s="731" t="str">
        <f t="shared" si="266"/>
        <v>-2.22819824211643-0.306719551114168i</v>
      </c>
      <c r="Q386" s="729" t="str">
        <f t="shared" si="267"/>
        <v>-2.2128362094293-0.124979009007826i</v>
      </c>
      <c r="R386" s="730"/>
      <c r="S386" s="405" t="str">
        <f t="shared" si="280"/>
        <v>39.5082251987943-5.7483403106168i</v>
      </c>
      <c r="T386" s="405" t="str">
        <f t="shared" si="281"/>
        <v>15.1255073311937-3.71244903111986i</v>
      </c>
      <c r="U386" s="405" t="str">
        <f t="shared" si="282"/>
        <v>-0.188828620594056-1.8831421573241i</v>
      </c>
      <c r="V386" s="731" t="str">
        <f t="shared" si="268"/>
        <v>6000</v>
      </c>
      <c r="W386" s="733" t="str">
        <f>IMSUM(COMPLEX(1,0),IMDIV(COMPLEX(0,2*PI()*D386),COMPLEX(2*PI()*'Stability Calculations'!EA_Pole1,0)))</f>
        <v>1+211358.861035042i</v>
      </c>
      <c r="X386" s="734">
        <f t="shared" si="283"/>
        <v>211358.86103740765</v>
      </c>
      <c r="Y386" s="735">
        <f t="shared" si="284"/>
        <v>1.5707915955052072</v>
      </c>
      <c r="Z386" s="340" t="str">
        <f>IMSUM(COMPLEX(1,0),IMDIV(COMPLEX(0,2*PI()*D386),COMPLEX(2*PI()*'Stability Calculations'!EA_Zero1,0)))</f>
        <v>1+2092.66199044596i</v>
      </c>
      <c r="AA386" s="734">
        <f t="shared" si="285"/>
        <v>2092.6622293760756</v>
      </c>
      <c r="AB386" s="735">
        <f t="shared" si="286"/>
        <v>1.5703184665726302</v>
      </c>
      <c r="AC386" s="733" t="str">
        <f>IMSUM(COMPLEX(1,0),IMDIV(COMPLEX(0,2*PI()*D386),COMPLEX(2*PI()*'Stability Calculations'!EA_Pole2,0)))</f>
        <v>1+21.0803387506135i</v>
      </c>
      <c r="AD386" s="734">
        <f t="shared" si="287"/>
        <v>21.10404420580608</v>
      </c>
      <c r="AE386" s="735">
        <f t="shared" si="288"/>
        <v>1.5233942942482623</v>
      </c>
      <c r="AF386" s="732" t="str">
        <f t="shared" si="289"/>
        <v>0.132052073586245-2.81180911534114i</v>
      </c>
      <c r="AG386" s="337">
        <f t="shared" si="290"/>
        <v>2.8149082136463974</v>
      </c>
      <c r="AH386" s="730">
        <f t="shared" si="291"/>
        <v>-1.5238674231808393</v>
      </c>
      <c r="AI386" s="731" t="str">
        <f t="shared" si="269"/>
        <v>10000</v>
      </c>
      <c r="AJ386" s="733" t="str">
        <f t="shared" si="292"/>
        <v>1+197044.634487994i</v>
      </c>
      <c r="AK386" s="734">
        <f t="shared" si="293"/>
        <v>197044.63449053146</v>
      </c>
      <c r="AL386" s="735">
        <f t="shared" si="294"/>
        <v>1.5707912518026108</v>
      </c>
      <c r="AM386" s="340" t="str">
        <f t="shared" si="295"/>
        <v>1+334.407386073264i</v>
      </c>
      <c r="AN386" s="734">
        <f t="shared" si="296"/>
        <v>334.40888125220755</v>
      </c>
      <c r="AO386" s="735">
        <f t="shared" si="297"/>
        <v>1.5678059711361947</v>
      </c>
      <c r="AP386" s="733" t="str">
        <f t="shared" si="298"/>
        <v>1+16.2193094385357i</v>
      </c>
      <c r="AQ386" s="734">
        <f t="shared" si="299"/>
        <v>16.250107650811835</v>
      </c>
      <c r="AR386" s="735">
        <f t="shared" si="300"/>
        <v>1.5092193665160829</v>
      </c>
      <c r="AS386" s="732" t="str">
        <f t="shared" si="301"/>
        <v>0.00246918683602094-7.02735587710877i</v>
      </c>
      <c r="AT386" s="337">
        <f t="shared" si="302"/>
        <v>7.0273563109051747</v>
      </c>
      <c r="AU386" s="730">
        <f t="shared" si="303"/>
        <v>-1.5704449589721214</v>
      </c>
      <c r="AV386" s="732" t="str">
        <f t="shared" si="304"/>
        <v>-0.302339632501526+0.0592140991857635i</v>
      </c>
      <c r="AW386" s="337">
        <f t="shared" si="305"/>
        <v>-10.226625722126343</v>
      </c>
      <c r="AX386" s="730">
        <f t="shared" si="306"/>
        <v>168.91872011767194</v>
      </c>
      <c r="AY386" s="360">
        <f t="shared" si="307"/>
        <v>-11.081279882328062</v>
      </c>
      <c r="BB386" s="337">
        <f t="shared" si="308"/>
        <v>-23.064160513895228</v>
      </c>
      <c r="BC386" s="730">
        <f t="shared" si="309"/>
        <v>-89.979868106698291</v>
      </c>
      <c r="BD386" s="351"/>
      <c r="BE386" s="337">
        <f t="shared" si="270"/>
        <v>33.396434380363061</v>
      </c>
      <c r="BF386" s="730">
        <f t="shared" si="271"/>
        <v>-89.319623089121166</v>
      </c>
      <c r="BI386" s="351"/>
      <c r="BJ386" s="351"/>
      <c r="BL386" s="405">
        <f t="shared" si="272"/>
        <v>0</v>
      </c>
      <c r="BM386" s="405">
        <f t="shared" si="310"/>
        <v>0</v>
      </c>
      <c r="BN386" s="405">
        <f t="shared" si="273"/>
        <v>0</v>
      </c>
      <c r="BO386" s="405">
        <f t="shared" si="274"/>
        <v>0</v>
      </c>
    </row>
    <row r="387" spans="4:67" ht="13.5" thickBot="1" x14ac:dyDescent="0.25">
      <c r="D387" s="345">
        <v>33498.5</v>
      </c>
      <c r="E387" s="340" t="str">
        <f t="shared" si="261"/>
        <v>0.555660027153146i</v>
      </c>
      <c r="F387" s="728" t="str">
        <f t="shared" si="275"/>
        <v>0.005-0.0778869927828406i</v>
      </c>
      <c r="G387" s="337" t="str">
        <f t="shared" si="276"/>
        <v>0.005-0.121823245121879i</v>
      </c>
      <c r="H387" s="338" t="str">
        <f t="shared" si="277"/>
        <v>0.0169097476472051-0.119638429385303i</v>
      </c>
      <c r="I387" s="338" t="str">
        <f t="shared" si="278"/>
        <v>0.0269097476472051-0.119638429385303i</v>
      </c>
      <c r="J387" s="337" t="str">
        <f t="shared" si="279"/>
        <v>0.00597247105645659-0.0474587457613903i</v>
      </c>
      <c r="K387" s="338" t="str">
        <f t="shared" si="262"/>
        <v>0.987531672197222-0.175397735843796i</v>
      </c>
      <c r="L387" s="732"/>
      <c r="M387" s="732" t="str">
        <f t="shared" si="263"/>
        <v>0.545675641114236-46.4318801074357i</v>
      </c>
      <c r="N387" s="337">
        <f t="shared" si="264"/>
        <v>0</v>
      </c>
      <c r="O387" s="730" t="str">
        <f t="shared" si="265"/>
        <v>-1.52518839184738-18.0485261936712i</v>
      </c>
      <c r="P387" s="731" t="str">
        <f t="shared" si="266"/>
        <v>-2.20033976126938-0.303210141558348i</v>
      </c>
      <c r="Q387" s="729" t="str">
        <f t="shared" si="267"/>
        <v>-2.18508787735091-0.122724879621637i</v>
      </c>
      <c r="R387" s="730"/>
      <c r="S387" s="405" t="str">
        <f t="shared" si="280"/>
        <v>39.500730188329-5.79525034371701i</v>
      </c>
      <c r="T387" s="405" t="str">
        <f t="shared" si="281"/>
        <v>15.1201480526656-3.72788004410044i</v>
      </c>
      <c r="U387" s="405" t="str">
        <f t="shared" si="282"/>
        <v>-0.190319825454034-1.87198827589895i</v>
      </c>
      <c r="V387" s="731" t="str">
        <f t="shared" si="268"/>
        <v>6000</v>
      </c>
      <c r="W387" s="733" t="str">
        <f>IMSUM(COMPLEX(1,0),IMDIV(COMPLEX(0,2*PI()*D387),COMPLEX(2*PI()*'Stability Calculations'!EA_Pole1,0)))</f>
        <v>1+212582.055842681i</v>
      </c>
      <c r="X387" s="734">
        <f t="shared" si="283"/>
        <v>212582.05584503303</v>
      </c>
      <c r="Y387" s="735">
        <f t="shared" si="284"/>
        <v>1.570791622728996</v>
      </c>
      <c r="Z387" s="340" t="str">
        <f>IMSUM(COMPLEX(1,0),IMDIV(COMPLEX(0,2*PI()*D387),COMPLEX(2*PI()*'Stability Calculations'!EA_Zero1,0)))</f>
        <v>1+2104.77283012555i</v>
      </c>
      <c r="AA387" s="734">
        <f t="shared" si="285"/>
        <v>2104.7730676808646</v>
      </c>
      <c r="AB387" s="735">
        <f t="shared" si="286"/>
        <v>1.5703212161746702</v>
      </c>
      <c r="AC387" s="733" t="str">
        <f>IMSUM(COMPLEX(1,0),IMDIV(COMPLEX(0,2*PI()*D387),COMPLEX(2*PI()*'Stability Calculations'!EA_Pole2,0)))</f>
        <v>1+21.202336762794i</v>
      </c>
      <c r="AD387" s="734">
        <f t="shared" si="287"/>
        <v>21.225905968955153</v>
      </c>
      <c r="AE387" s="735">
        <f t="shared" si="288"/>
        <v>1.5236666401446701</v>
      </c>
      <c r="AF387" s="732" t="str">
        <f t="shared" si="289"/>
        <v>0.130540156521233-2.79570130557542i</v>
      </c>
      <c r="AG387" s="337">
        <f t="shared" si="290"/>
        <v>2.7987473130778877</v>
      </c>
      <c r="AH387" s="730">
        <f t="shared" si="291"/>
        <v>-1.5241370466989956</v>
      </c>
      <c r="AI387" s="731" t="str">
        <f t="shared" si="269"/>
        <v>10000</v>
      </c>
      <c r="AJ387" s="733" t="str">
        <f t="shared" si="292"/>
        <v>1+198184.988730057i</v>
      </c>
      <c r="AK387" s="734">
        <f t="shared" si="293"/>
        <v>198184.98873257989</v>
      </c>
      <c r="AL387" s="735">
        <f t="shared" si="294"/>
        <v>1.5707912810040605</v>
      </c>
      <c r="AM387" s="340" t="str">
        <f t="shared" si="295"/>
        <v>1+336.342698254063i</v>
      </c>
      <c r="AN387" s="734">
        <f t="shared" si="296"/>
        <v>336.34418482980146</v>
      </c>
      <c r="AO387" s="735">
        <f t="shared" si="297"/>
        <v>1.5678231775080225</v>
      </c>
      <c r="AP387" s="733" t="str">
        <f t="shared" si="298"/>
        <v>1+16.3131752693391i</v>
      </c>
      <c r="AQ387" s="734">
        <f t="shared" si="299"/>
        <v>16.343796602019278</v>
      </c>
      <c r="AR387" s="735">
        <f t="shared" si="300"/>
        <v>1.5095727923946221</v>
      </c>
      <c r="AS387" s="732" t="str">
        <f t="shared" si="301"/>
        <v>0.00244085324256703-6.98692055869938i</v>
      </c>
      <c r="AT387" s="337">
        <f t="shared" si="302"/>
        <v>6.9869209850506113</v>
      </c>
      <c r="AU387" s="730">
        <f t="shared" si="303"/>
        <v>-1.5704469807385382</v>
      </c>
      <c r="AV387" s="732" t="str">
        <f t="shared" si="304"/>
        <v>-0.298767759335643+0.0589229037272726i</v>
      </c>
      <c r="AW387" s="337">
        <f t="shared" si="305"/>
        <v>-10.327606200560105</v>
      </c>
      <c r="AX387" s="730">
        <f t="shared" si="306"/>
        <v>168.84331872726054</v>
      </c>
      <c r="AY387" s="360">
        <f t="shared" si="307"/>
        <v>-11.156681272739462</v>
      </c>
      <c r="BB387" s="337">
        <f t="shared" si="308"/>
        <v>-23.114283362909546</v>
      </c>
      <c r="BC387" s="730">
        <f t="shared" si="309"/>
        <v>-89.979983945381122</v>
      </c>
      <c r="BD387" s="351"/>
      <c r="BE387" s="337">
        <f t="shared" si="270"/>
        <v>33.336925165728829</v>
      </c>
      <c r="BF387" s="730">
        <f t="shared" si="271"/>
        <v>-89.3266808947741</v>
      </c>
      <c r="BI387" s="351"/>
      <c r="BJ387" s="351"/>
      <c r="BL387" s="405">
        <f t="shared" si="272"/>
        <v>0</v>
      </c>
      <c r="BM387" s="405">
        <f t="shared" si="310"/>
        <v>0</v>
      </c>
      <c r="BN387" s="405">
        <f t="shared" si="273"/>
        <v>0</v>
      </c>
      <c r="BO387" s="405">
        <f t="shared" si="274"/>
        <v>0</v>
      </c>
    </row>
    <row r="388" spans="4:67" ht="13.5" thickBot="1" x14ac:dyDescent="0.25">
      <c r="D388" s="345">
        <v>33691.25</v>
      </c>
      <c r="E388" s="340" t="str">
        <f t="shared" si="261"/>
        <v>0.558857288828558i</v>
      </c>
      <c r="F388" s="728" t="str">
        <f t="shared" si="275"/>
        <v>0.005-0.0774413958442024i</v>
      </c>
      <c r="G388" s="337" t="str">
        <f t="shared" si="276"/>
        <v>0.005-0.121126285807599i</v>
      </c>
      <c r="H388" s="338" t="str">
        <f t="shared" si="277"/>
        <v>0.0167749560362301-0.118967333926323i</v>
      </c>
      <c r="I388" s="338" t="str">
        <f t="shared" si="278"/>
        <v>0.0267749560362301-0.118967333926323i</v>
      </c>
      <c r="J388" s="337" t="str">
        <f t="shared" si="279"/>
        <v>0.00595144079894665-0.0471884747663913i</v>
      </c>
      <c r="K388" s="338" t="str">
        <f t="shared" si="262"/>
        <v>0.987387774149305-0.176406972483762i</v>
      </c>
      <c r="L388" s="732"/>
      <c r="M388" s="732" t="str">
        <f t="shared" si="263"/>
        <v>0.536410750877289-46.1173457022637i</v>
      </c>
      <c r="N388" s="337">
        <f t="shared" si="264"/>
        <v>0</v>
      </c>
      <c r="O388" s="730" t="str">
        <f t="shared" si="265"/>
        <v>-1.51435837434284-17.9248188377573i</v>
      </c>
      <c r="P388" s="731" t="str">
        <f t="shared" si="266"/>
        <v>-2.17301478713644-0.299777057933773i</v>
      </c>
      <c r="Q388" s="729" t="str">
        <f t="shared" si="267"/>
        <v>-2.15787120339301-0.1205288695562i</v>
      </c>
      <c r="R388" s="730"/>
      <c r="S388" s="405" t="str">
        <f t="shared" si="280"/>
        <v>39.493169238276-5.84207268540948i</v>
      </c>
      <c r="T388" s="405" t="str">
        <f t="shared" si="281"/>
        <v>15.1147672745579-3.74333403457141i</v>
      </c>
      <c r="U388" s="405" t="str">
        <f t="shared" si="282"/>
        <v>-0.191784913560067-1.86095782942985i</v>
      </c>
      <c r="V388" s="731" t="str">
        <f t="shared" si="268"/>
        <v>6000</v>
      </c>
      <c r="W388" s="733" t="str">
        <f>IMSUM(COMPLEX(1,0),IMDIV(COMPLEX(0,2*PI()*D388),COMPLEX(2*PI()*'Stability Calculations'!EA_Pole1,0)))</f>
        <v>1+213805.250650319i</v>
      </c>
      <c r="X388" s="734">
        <f t="shared" si="283"/>
        <v>213805.25065265759</v>
      </c>
      <c r="Y388" s="735">
        <f t="shared" si="284"/>
        <v>1.5707916496412864</v>
      </c>
      <c r="Z388" s="340" t="str">
        <f>IMSUM(COMPLEX(1,0),IMDIV(COMPLEX(0,2*PI()*D388),COMPLEX(2*PI()*'Stability Calculations'!EA_Zero1,0)))</f>
        <v>1+2116.88366980514i</v>
      </c>
      <c r="AA388" s="734">
        <f t="shared" si="285"/>
        <v>2116.8839060013838</v>
      </c>
      <c r="AB388" s="735">
        <f t="shared" si="286"/>
        <v>1.5703239343153859</v>
      </c>
      <c r="AC388" s="733" t="str">
        <f>IMSUM(COMPLEX(1,0),IMDIV(COMPLEX(0,2*PI()*D388),COMPLEX(2*PI()*'Stability Calculations'!EA_Pole2,0)))</f>
        <v>1+21.3243347749745i</v>
      </c>
      <c r="AD388" s="734">
        <f t="shared" si="287"/>
        <v>21.347769288503816</v>
      </c>
      <c r="AE388" s="735">
        <f t="shared" si="288"/>
        <v>1.523935876698512</v>
      </c>
      <c r="AF388" s="732" t="str">
        <f t="shared" si="289"/>
        <v>0.129054038584064-2.77977659378128i</v>
      </c>
      <c r="AG388" s="337">
        <f t="shared" si="290"/>
        <v>2.7827707157092751</v>
      </c>
      <c r="AH388" s="730">
        <f t="shared" si="291"/>
        <v>-1.5244035920244126</v>
      </c>
      <c r="AI388" s="731" t="str">
        <f t="shared" si="269"/>
        <v>10000</v>
      </c>
      <c r="AJ388" s="733" t="str">
        <f t="shared" si="292"/>
        <v>1+199325.342972119i</v>
      </c>
      <c r="AK388" s="734">
        <f t="shared" si="293"/>
        <v>199325.34297462742</v>
      </c>
      <c r="AL388" s="735">
        <f t="shared" si="294"/>
        <v>1.570791309871383</v>
      </c>
      <c r="AM388" s="340" t="str">
        <f t="shared" si="295"/>
        <v>1+338.278010434861i</v>
      </c>
      <c r="AN388" s="734">
        <f t="shared" si="296"/>
        <v>338.27948850583289</v>
      </c>
      <c r="AO388" s="735">
        <f t="shared" si="297"/>
        <v>1.567840187003865</v>
      </c>
      <c r="AP388" s="733" t="str">
        <f t="shared" si="298"/>
        <v>1+16.4070411001424i</v>
      </c>
      <c r="AQ388" s="734">
        <f t="shared" si="299"/>
        <v>16.43748757145574</v>
      </c>
      <c r="AR388" s="735">
        <f t="shared" si="300"/>
        <v>1.5099221893778996</v>
      </c>
      <c r="AS388" s="732" t="str">
        <f t="shared" si="301"/>
        <v>0.00241300455204737-6.94694790669662i</v>
      </c>
      <c r="AT388" s="337">
        <f t="shared" si="302"/>
        <v>6.9469483257720812</v>
      </c>
      <c r="AU388" s="730">
        <f t="shared" si="303"/>
        <v>-1.5704489793716234</v>
      </c>
      <c r="AV388" s="732" t="str">
        <f t="shared" si="304"/>
        <v>-0.295257133994881+0.0586339682787219i</v>
      </c>
      <c r="AW388" s="337">
        <f t="shared" si="305"/>
        <v>-10.428012595937393</v>
      </c>
      <c r="AX388" s="730">
        <f t="shared" si="306"/>
        <v>168.76798234312216</v>
      </c>
      <c r="AY388" s="360">
        <f t="shared" si="307"/>
        <v>-11.232017656877844</v>
      </c>
      <c r="BB388" s="337">
        <f t="shared" si="308"/>
        <v>-23.164118631453469</v>
      </c>
      <c r="BC388" s="730">
        <f t="shared" si="309"/>
        <v>-89.980098458621711</v>
      </c>
      <c r="BD388" s="351"/>
      <c r="BE388" s="337">
        <f t="shared" si="270"/>
        <v>33.277873585975506</v>
      </c>
      <c r="BF388" s="730">
        <f t="shared" si="271"/>
        <v>-89.333598112619867</v>
      </c>
      <c r="BI388" s="351"/>
      <c r="BJ388" s="351"/>
      <c r="BL388" s="405">
        <f t="shared" si="272"/>
        <v>0</v>
      </c>
      <c r="BM388" s="405">
        <f t="shared" si="310"/>
        <v>0</v>
      </c>
      <c r="BN388" s="405">
        <f t="shared" si="273"/>
        <v>0</v>
      </c>
      <c r="BO388" s="405">
        <f t="shared" si="274"/>
        <v>0</v>
      </c>
    </row>
    <row r="389" spans="4:67" ht="13.5" thickBot="1" x14ac:dyDescent="0.25">
      <c r="D389" s="345">
        <v>33884</v>
      </c>
      <c r="E389" s="340" t="str">
        <f t="shared" si="261"/>
        <v>0.562054550503969i</v>
      </c>
      <c r="F389" s="728" t="str">
        <f t="shared" si="275"/>
        <v>0.005-0.077000868484712i</v>
      </c>
      <c r="G389" s="337" t="str">
        <f t="shared" si="276"/>
        <v>0.005-0.120437255835063i</v>
      </c>
      <c r="H389" s="338" t="str">
        <f t="shared" si="277"/>
        <v>0.0166424286509462-0.118303650337388i</v>
      </c>
      <c r="I389" s="338" t="str">
        <f t="shared" si="278"/>
        <v>0.0266424286509462-0.118303650337388i</v>
      </c>
      <c r="J389" s="337" t="str">
        <f t="shared" si="279"/>
        <v>0.00593076672912474-0.0469212673417703i</v>
      </c>
      <c r="K389" s="338" t="str">
        <f t="shared" si="262"/>
        <v>0.987243050488889-0.177416209123728i</v>
      </c>
      <c r="L389" s="732"/>
      <c r="M389" s="732" t="str">
        <f t="shared" si="263"/>
        <v>0.527382921193965-45.8073143130369i</v>
      </c>
      <c r="N389" s="337">
        <f t="shared" si="264"/>
        <v>0</v>
      </c>
      <c r="O389" s="730" t="str">
        <f t="shared" si="265"/>
        <v>-1.50370915912473-17.8028910013998i</v>
      </c>
      <c r="P389" s="731" t="str">
        <f t="shared" si="266"/>
        <v>-2.14620945600798-0.296417970715145i</v>
      </c>
      <c r="Q389" s="729" t="str">
        <f t="shared" si="267"/>
        <v>-2.13117236441673-0.118389060701147i</v>
      </c>
      <c r="R389" s="730"/>
      <c r="S389" s="405" t="str">
        <f t="shared" si="280"/>
        <v>39.485542715921-5.88880860351328i</v>
      </c>
      <c r="T389" s="405" t="str">
        <f t="shared" si="281"/>
        <v>15.109364860675-3.7588104321584i</v>
      </c>
      <c r="U389" s="405" t="str">
        <f t="shared" si="282"/>
        <v>-0.193224468395695-1.85004875172694i</v>
      </c>
      <c r="V389" s="731" t="str">
        <f t="shared" si="268"/>
        <v>6000</v>
      </c>
      <c r="W389" s="733" t="str">
        <f>IMSUM(COMPLEX(1,0),IMDIV(COMPLEX(0,2*PI()*D389),COMPLEX(2*PI()*'Stability Calculations'!EA_Pole1,0)))</f>
        <v>1+215028.445457958i</v>
      </c>
      <c r="X389" s="734">
        <f t="shared" si="283"/>
        <v>215028.44546028328</v>
      </c>
      <c r="Y389" s="735">
        <f t="shared" si="284"/>
        <v>1.5707916762473941</v>
      </c>
      <c r="Z389" s="340" t="str">
        <f>IMSUM(COMPLEX(1,0),IMDIV(COMPLEX(0,2*PI()*D389),COMPLEX(2*PI()*'Stability Calculations'!EA_Zero1,0)))</f>
        <v>1+2128.99450948473i</v>
      </c>
      <c r="AA389" s="734">
        <f t="shared" si="285"/>
        <v>2128.9947443373658</v>
      </c>
      <c r="AB389" s="735">
        <f t="shared" si="286"/>
        <v>1.5703266215316825</v>
      </c>
      <c r="AC389" s="733" t="str">
        <f>IMSUM(COMPLEX(1,0),IMDIV(COMPLEX(0,2*PI()*D389),COMPLEX(2*PI()*'Stability Calculations'!EA_Pole2,0)))</f>
        <v>1+21.446332787155i</v>
      </c>
      <c r="AD389" s="734">
        <f t="shared" si="287"/>
        <v>21.469634137949338</v>
      </c>
      <c r="AE389" s="735">
        <f t="shared" si="288"/>
        <v>1.5242020568176968</v>
      </c>
      <c r="AF389" s="732" t="str">
        <f t="shared" si="289"/>
        <v>0.127593136541002-2.76403188248123i</v>
      </c>
      <c r="AG389" s="337">
        <f t="shared" si="290"/>
        <v>2.7669752900712909</v>
      </c>
      <c r="AH389" s="730">
        <f t="shared" si="291"/>
        <v>-1.5246671115334085</v>
      </c>
      <c r="AI389" s="731" t="str">
        <f t="shared" si="269"/>
        <v>10000</v>
      </c>
      <c r="AJ389" s="733" t="str">
        <f t="shared" si="292"/>
        <v>1+200465.697214181i</v>
      </c>
      <c r="AK389" s="734">
        <f t="shared" si="293"/>
        <v>200465.69721667521</v>
      </c>
      <c r="AL389" s="735">
        <f t="shared" si="294"/>
        <v>1.5707913384102807</v>
      </c>
      <c r="AM389" s="340" t="str">
        <f t="shared" si="295"/>
        <v>1+340.21332261566i</v>
      </c>
      <c r="AN389" s="734">
        <f t="shared" si="296"/>
        <v>340.2147922786238</v>
      </c>
      <c r="AO389" s="735">
        <f t="shared" si="297"/>
        <v>1.5678570029834855</v>
      </c>
      <c r="AP389" s="733" t="str">
        <f t="shared" si="298"/>
        <v>1+16.5009069309457i</v>
      </c>
      <c r="AQ389" s="734">
        <f t="shared" si="299"/>
        <v>16.531180524806203</v>
      </c>
      <c r="AR389" s="735">
        <f t="shared" si="300"/>
        <v>1.510267625882985</v>
      </c>
      <c r="AS389" s="732" t="str">
        <f t="shared" si="301"/>
        <v>0.00238562976237569-6.90743002543525i</v>
      </c>
      <c r="AT389" s="337">
        <f t="shared" si="302"/>
        <v>6.9074304373995536</v>
      </c>
      <c r="AU389" s="730">
        <f t="shared" si="303"/>
        <v>-1.5704509552661605</v>
      </c>
      <c r="AV389" s="732" t="str">
        <f t="shared" si="304"/>
        <v>-0.291806363957882+0.0583472776988999i</v>
      </c>
      <c r="AW389" s="337">
        <f t="shared" si="305"/>
        <v>-10.527851526735041</v>
      </c>
      <c r="AX389" s="730">
        <f t="shared" si="306"/>
        <v>168.69270977848285</v>
      </c>
      <c r="AY389" s="360">
        <f t="shared" si="307"/>
        <v>-11.30729022151715</v>
      </c>
      <c r="BB389" s="337">
        <f t="shared" si="308"/>
        <v>-23.213669600702829</v>
      </c>
      <c r="BC389" s="730">
        <f t="shared" si="309"/>
        <v>-89.980211669039448</v>
      </c>
      <c r="BD389" s="351"/>
      <c r="BE389" s="337">
        <f t="shared" si="270"/>
        <v>33.219272218765525</v>
      </c>
      <c r="BF389" s="730">
        <f t="shared" si="271"/>
        <v>-89.340378691853701</v>
      </c>
      <c r="BI389" s="351"/>
      <c r="BJ389" s="351"/>
      <c r="BL389" s="405">
        <f t="shared" si="272"/>
        <v>0</v>
      </c>
      <c r="BM389" s="405">
        <f t="shared" si="310"/>
        <v>0</v>
      </c>
      <c r="BN389" s="405">
        <f t="shared" si="273"/>
        <v>0</v>
      </c>
      <c r="BO389" s="405">
        <f t="shared" si="274"/>
        <v>0</v>
      </c>
    </row>
    <row r="390" spans="4:67" ht="13.5" thickBot="1" x14ac:dyDescent="0.25">
      <c r="D390" s="345">
        <v>34081.5</v>
      </c>
      <c r="E390" s="340" t="str">
        <f t="shared" si="261"/>
        <v>0.565330603323132i</v>
      </c>
      <c r="F390" s="728" t="str">
        <f t="shared" si="275"/>
        <v>0.005-0.0765546536313246i</v>
      </c>
      <c r="G390" s="337" t="str">
        <f t="shared" si="276"/>
        <v>0.005-0.119739330038738i</v>
      </c>
      <c r="H390" s="338" t="str">
        <f t="shared" si="277"/>
        <v>0.0165089314005919-0.117631173119975i</v>
      </c>
      <c r="I390" s="338" t="str">
        <f t="shared" si="278"/>
        <v>0.0265089314005919-0.117631173119975i</v>
      </c>
      <c r="J390" s="337" t="str">
        <f t="shared" si="279"/>
        <v>0.00590994425637914-0.0466505987442673i</v>
      </c>
      <c r="K390" s="338" t="str">
        <f t="shared" si="262"/>
        <v>0.987093903975-0.178450316705534i</v>
      </c>
      <c r="L390" s="732"/>
      <c r="M390" s="732" t="str">
        <f t="shared" si="263"/>
        <v>0.518370162707788-45.4942088627331i</v>
      </c>
      <c r="N390" s="337">
        <f t="shared" si="264"/>
        <v>0</v>
      </c>
      <c r="O390" s="730" t="str">
        <f t="shared" si="265"/>
        <v>-1.49298092069535-17.6797626012557i</v>
      </c>
      <c r="P390" s="731" t="str">
        <f t="shared" si="266"/>
        <v>-2.11926854407748-0.293050516828304i</v>
      </c>
      <c r="Q390" s="729" t="str">
        <f t="shared" si="267"/>
        <v>-2.10433873487053-0.116252890815747i</v>
      </c>
      <c r="R390" s="730"/>
      <c r="S390" s="405" t="str">
        <f t="shared" si="280"/>
        <v>39.4776606077499-5.93660790033989i</v>
      </c>
      <c r="T390" s="405" t="str">
        <f t="shared" si="281"/>
        <v>15.1038067332494-3.77469087742061i</v>
      </c>
      <c r="U390" s="405" t="str">
        <f t="shared" si="282"/>
        <v>-0.194673606829242-1.8389946173633i</v>
      </c>
      <c r="V390" s="731" t="str">
        <f t="shared" si="268"/>
        <v>6000</v>
      </c>
      <c r="W390" s="733" t="str">
        <f>IMSUM(COMPLEX(1,0),IMDIV(COMPLEX(0,2*PI()*D390),COMPLEX(2*PI()*'Stability Calculations'!EA_Pole1,0)))</f>
        <v>1+216281.783847107i</v>
      </c>
      <c r="X390" s="734">
        <f t="shared" si="283"/>
        <v>216281.78384941877</v>
      </c>
      <c r="Y390" s="735">
        <f t="shared" si="284"/>
        <v>1.570791703197004</v>
      </c>
      <c r="Z390" s="340" t="str">
        <f>IMSUM(COMPLEX(1,0),IMDIV(COMPLEX(0,2*PI()*D390),COMPLEX(2*PI()*'Stability Calculations'!EA_Zero1,0)))</f>
        <v>1+2141.40380046641i</v>
      </c>
      <c r="AA390" s="734">
        <f t="shared" si="285"/>
        <v>2141.4040339580911</v>
      </c>
      <c r="AB390" s="735">
        <f t="shared" si="286"/>
        <v>1.5703293434416912</v>
      </c>
      <c r="AC390" s="733" t="str">
        <f>IMSUM(COMPLEX(1,0),IMDIV(COMPLEX(0,2*PI()*D390),COMPLEX(2*PI()*'Stability Calculations'!EA_Pole2,0)))</f>
        <v>1+21.5713372354333i</v>
      </c>
      <c r="AD390" s="734">
        <f t="shared" si="287"/>
        <v>21.594503701747612</v>
      </c>
      <c r="AE390" s="735">
        <f t="shared" si="288"/>
        <v>1.5244716802307152</v>
      </c>
      <c r="AF390" s="732" t="str">
        <f t="shared" si="289"/>
        <v>0.126121795966574-2.74808271170668i</v>
      </c>
      <c r="AG390" s="337">
        <f t="shared" si="290"/>
        <v>2.7509753357307605</v>
      </c>
      <c r="AH390" s="730">
        <f t="shared" si="291"/>
        <v>-1.5249340399860285</v>
      </c>
      <c r="AI390" s="731" t="str">
        <f t="shared" si="269"/>
        <v>10000</v>
      </c>
      <c r="AJ390" s="733" t="str">
        <f t="shared" si="292"/>
        <v>1+201634.153571158i</v>
      </c>
      <c r="AK390" s="734">
        <f t="shared" si="293"/>
        <v>201634.15357363774</v>
      </c>
      <c r="AL390" s="735">
        <f t="shared" si="294"/>
        <v>1.5707913673176341</v>
      </c>
      <c r="AM390" s="340" t="str">
        <f t="shared" si="295"/>
        <v>1+342.196327314532i</v>
      </c>
      <c r="AN390" s="734">
        <f t="shared" si="296"/>
        <v>342.19778846093431</v>
      </c>
      <c r="AO390" s="735">
        <f t="shared" si="297"/>
        <v>1.5678740360700028</v>
      </c>
      <c r="AP390" s="733" t="str">
        <f t="shared" si="298"/>
        <v>1+16.5970859274887i</v>
      </c>
      <c r="AQ390" s="734">
        <f t="shared" si="299"/>
        <v>16.62718440640036</v>
      </c>
      <c r="AR390" s="735">
        <f t="shared" si="300"/>
        <v>1.5106175369419335</v>
      </c>
      <c r="AS390" s="732" t="str">
        <f t="shared" si="301"/>
        <v>0.00235806075003859-6.86740194253412i</v>
      </c>
      <c r="AT390" s="337">
        <f t="shared" si="302"/>
        <v>6.8674023473779302</v>
      </c>
      <c r="AU390" s="730">
        <f t="shared" si="303"/>
        <v>-1.5704529566707803</v>
      </c>
      <c r="AV390" s="732" t="str">
        <f t="shared" si="304"/>
        <v>-0.28833122665127+0.0580558344619625i</v>
      </c>
      <c r="AW390" s="337">
        <f t="shared" si="305"/>
        <v>-10.629569009562207</v>
      </c>
      <c r="AX390" s="730">
        <f t="shared" si="306"/>
        <v>168.61564723422177</v>
      </c>
      <c r="AY390" s="360">
        <f t="shared" si="307"/>
        <v>-11.384352765778232</v>
      </c>
      <c r="BB390" s="337">
        <f t="shared" si="308"/>
        <v>-23.264150148294167</v>
      </c>
      <c r="BC390" s="730">
        <f t="shared" si="309"/>
        <v>-89.980326341077259</v>
      </c>
      <c r="BD390" s="351"/>
      <c r="BE390" s="337">
        <f t="shared" si="270"/>
        <v>33.159686140811473</v>
      </c>
      <c r="BF390" s="730">
        <f t="shared" si="271"/>
        <v>-89.347188618562285</v>
      </c>
      <c r="BI390" s="351"/>
      <c r="BJ390" s="351"/>
      <c r="BL390" s="405">
        <f t="shared" si="272"/>
        <v>0</v>
      </c>
      <c r="BM390" s="405">
        <f t="shared" si="310"/>
        <v>0</v>
      </c>
      <c r="BN390" s="405">
        <f t="shared" si="273"/>
        <v>0</v>
      </c>
      <c r="BO390" s="405">
        <f t="shared" si="274"/>
        <v>0</v>
      </c>
    </row>
    <row r="391" spans="4:67" ht="13.5" thickBot="1" x14ac:dyDescent="0.25">
      <c r="D391" s="345">
        <v>34279</v>
      </c>
      <c r="E391" s="340" t="str">
        <f t="shared" si="261"/>
        <v>0.568606656142296i</v>
      </c>
      <c r="F391" s="728" t="str">
        <f t="shared" si="275"/>
        <v>0.005-0.0761135805518241i</v>
      </c>
      <c r="G391" s="337" t="str">
        <f t="shared" si="276"/>
        <v>0.005-0.119049446504136i</v>
      </c>
      <c r="H391" s="338" t="str">
        <f t="shared" si="277"/>
        <v>0.0163777060061489-0.116966223529325i</v>
      </c>
      <c r="I391" s="338" t="str">
        <f t="shared" si="278"/>
        <v>0.0263777060061489-0.116966223529325i</v>
      </c>
      <c r="J391" s="337" t="str">
        <f t="shared" si="279"/>
        <v>0.00588947893674861-0.046383037975603i</v>
      </c>
      <c r="K391" s="338" t="str">
        <f t="shared" si="262"/>
        <v>0.986943890655556-0.179484424287341i</v>
      </c>
      <c r="L391" s="732"/>
      <c r="M391" s="732" t="str">
        <f t="shared" si="263"/>
        <v>0.509589679953342-45.1856215640967i</v>
      </c>
      <c r="N391" s="337">
        <f t="shared" si="264"/>
        <v>0</v>
      </c>
      <c r="O391" s="730" t="str">
        <f t="shared" si="265"/>
        <v>-1.48243421818672-17.5584190659671i</v>
      </c>
      <c r="P391" s="731" t="str">
        <f t="shared" si="266"/>
        <v>-2.09284518327225-0.289756083922892i</v>
      </c>
      <c r="Q391" s="729" t="str">
        <f t="shared" si="267"/>
        <v>-2.07802084109038-0.114171893263222i</v>
      </c>
      <c r="R391" s="730"/>
      <c r="S391" s="405" t="str">
        <f t="shared" si="280"/>
        <v>39.4697104030882-5.98431906293799i</v>
      </c>
      <c r="T391" s="405" t="str">
        <f t="shared" si="281"/>
        <v>15.0982256144106-3.79059367216462i</v>
      </c>
      <c r="U391" s="405" t="str">
        <f t="shared" si="282"/>
        <v>-0.196097126439927-1.8280636608628i</v>
      </c>
      <c r="V391" s="731" t="str">
        <f t="shared" si="268"/>
        <v>6000</v>
      </c>
      <c r="W391" s="733" t="str">
        <f>IMSUM(COMPLEX(1,0),IMDIV(COMPLEX(0,2*PI()*D391),COMPLEX(2*PI()*'Stability Calculations'!EA_Pole1,0)))</f>
        <v>1+217535.122236257i</v>
      </c>
      <c r="X391" s="734">
        <f t="shared" si="283"/>
        <v>217535.12223855549</v>
      </c>
      <c r="Y391" s="735">
        <f t="shared" si="284"/>
        <v>1.5707917298360712</v>
      </c>
      <c r="Z391" s="340" t="str">
        <f>IMSUM(COMPLEX(1,0),IMDIV(COMPLEX(0,2*PI()*D391),COMPLEX(2*PI()*'Stability Calculations'!EA_Zero1,0)))</f>
        <v>1+2153.81309144809i</v>
      </c>
      <c r="AA391" s="734">
        <f t="shared" si="285"/>
        <v>2153.8133235944979</v>
      </c>
      <c r="AB391" s="735">
        <f t="shared" si="286"/>
        <v>1.5703320339868927</v>
      </c>
      <c r="AC391" s="733" t="str">
        <f>IMSUM(COMPLEX(1,0),IMDIV(COMPLEX(0,2*PI()*D391),COMPLEX(2*PI()*'Stability Calculations'!EA_Pole2,0)))</f>
        <v>1+21.6963416837117i</v>
      </c>
      <c r="AD391" s="734">
        <f t="shared" si="287"/>
        <v>21.719374817346051</v>
      </c>
      <c r="AE391" s="735">
        <f t="shared" si="288"/>
        <v>1.5247382033732833</v>
      </c>
      <c r="AF391" s="732" t="str">
        <f t="shared" si="289"/>
        <v>0.124675741760531-2.73231615919565i</v>
      </c>
      <c r="AG391" s="337">
        <f t="shared" si="290"/>
        <v>2.7351591607044012</v>
      </c>
      <c r="AH391" s="730">
        <f t="shared" si="291"/>
        <v>-1.5251978992224617</v>
      </c>
      <c r="AI391" s="731" t="str">
        <f t="shared" si="269"/>
        <v>10000</v>
      </c>
      <c r="AJ391" s="733" t="str">
        <f t="shared" si="292"/>
        <v>1+202802.609928135i</v>
      </c>
      <c r="AK391" s="734">
        <f t="shared" si="293"/>
        <v>202802.60993060048</v>
      </c>
      <c r="AL391" s="735">
        <f t="shared" si="294"/>
        <v>1.5707913958918853</v>
      </c>
      <c r="AM391" s="340" t="str">
        <f t="shared" si="295"/>
        <v>1+344.179332013405i</v>
      </c>
      <c r="AN391" s="734">
        <f t="shared" si="296"/>
        <v>344.18078474138213</v>
      </c>
      <c r="AO391" s="735">
        <f t="shared" si="297"/>
        <v>1.5678908728843985</v>
      </c>
      <c r="AP391" s="733" t="str">
        <f t="shared" si="298"/>
        <v>1+16.6932649240317i</v>
      </c>
      <c r="AQ391" s="734">
        <f t="shared" si="299"/>
        <v>16.723190300415382</v>
      </c>
      <c r="AR391" s="735">
        <f t="shared" si="300"/>
        <v>1.5109634304452961</v>
      </c>
      <c r="AS391" s="732" t="str">
        <f t="shared" si="301"/>
        <v>0.00233096688386417-6.82783510667011i</v>
      </c>
      <c r="AT391" s="337">
        <f t="shared" si="302"/>
        <v>6.8278355045565835</v>
      </c>
      <c r="AU391" s="730">
        <f t="shared" si="303"/>
        <v>-1.5704549350130375</v>
      </c>
      <c r="AV391" s="732" t="str">
        <f t="shared" si="304"/>
        <v>-0.284916096293547+0.0577667148886268i</v>
      </c>
      <c r="AW391" s="337">
        <f t="shared" si="305"/>
        <v>-10.730704421992833</v>
      </c>
      <c r="AX391" s="730">
        <f t="shared" si="306"/>
        <v>168.53864926019301</v>
      </c>
      <c r="AY391" s="360">
        <f t="shared" si="307"/>
        <v>-11.461350739806988</v>
      </c>
      <c r="BB391" s="337">
        <f t="shared" si="308"/>
        <v>-23.31433900809958</v>
      </c>
      <c r="BC391" s="730">
        <f t="shared" si="309"/>
        <v>-89.980439691739022</v>
      </c>
      <c r="BD391" s="351"/>
      <c r="BE391" s="337">
        <f t="shared" si="270"/>
        <v>33.100557542922949</v>
      </c>
      <c r="BF391" s="730">
        <f t="shared" si="271"/>
        <v>-89.353863038868013</v>
      </c>
      <c r="BI391" s="351"/>
      <c r="BJ391" s="351"/>
      <c r="BL391" s="405">
        <f t="shared" si="272"/>
        <v>0</v>
      </c>
      <c r="BM391" s="405">
        <f t="shared" si="310"/>
        <v>0</v>
      </c>
      <c r="BN391" s="405">
        <f t="shared" si="273"/>
        <v>0</v>
      </c>
      <c r="BO391" s="405">
        <f t="shared" si="274"/>
        <v>0</v>
      </c>
    </row>
    <row r="392" spans="4:67" ht="13.5" thickBot="1" x14ac:dyDescent="0.25">
      <c r="D392" s="345">
        <v>34476.5</v>
      </c>
      <c r="E392" s="340" t="str">
        <f t="shared" si="261"/>
        <v>0.571882708961459i</v>
      </c>
      <c r="F392" s="728" t="str">
        <f t="shared" si="275"/>
        <v>0.005-0.0756775608816437i</v>
      </c>
      <c r="G392" s="337" t="str">
        <f t="shared" si="276"/>
        <v>0.005-0.118367467020007i</v>
      </c>
      <c r="H392" s="338" t="str">
        <f t="shared" si="277"/>
        <v>0.016248701369677-0.116308677149399i</v>
      </c>
      <c r="I392" s="338" t="str">
        <f t="shared" si="278"/>
        <v>0.026248701369677-0.116308677149399i</v>
      </c>
      <c r="J392" s="337" t="str">
        <f t="shared" si="279"/>
        <v>0.00586936262377439-0.0461185319315322i</v>
      </c>
      <c r="K392" s="338" t="str">
        <f t="shared" si="262"/>
        <v>0.986793010530555-0.180518531869148i</v>
      </c>
      <c r="L392" s="732"/>
      <c r="M392" s="732" t="str">
        <f t="shared" si="263"/>
        <v>0.501033588178284-44.8814511964004i</v>
      </c>
      <c r="N392" s="337">
        <f t="shared" si="264"/>
        <v>0</v>
      </c>
      <c r="O392" s="730" t="str">
        <f t="shared" si="265"/>
        <v>-1.4720650222729-17.4388201023665i</v>
      </c>
      <c r="P392" s="731" t="str">
        <f t="shared" si="266"/>
        <v>-2.06692589231899-0.286532445688078i</v>
      </c>
      <c r="Q392" s="729" t="str">
        <f t="shared" si="267"/>
        <v>-2.05220524209626-0.112144244664413i</v>
      </c>
      <c r="R392" s="730"/>
      <c r="S392" s="405" t="str">
        <f t="shared" si="280"/>
        <v>39.4616924640555-6.03194336194437i</v>
      </c>
      <c r="T392" s="405" t="str">
        <f t="shared" si="281"/>
        <v>15.0926213709076-3.80651823947311i</v>
      </c>
      <c r="U392" s="405" t="str">
        <f t="shared" si="282"/>
        <v>-0.197495603436694-1.81725380449844i</v>
      </c>
      <c r="V392" s="731" t="str">
        <f t="shared" si="268"/>
        <v>6000</v>
      </c>
      <c r="W392" s="733" t="str">
        <f>IMSUM(COMPLEX(1,0),IMDIV(COMPLEX(0,2*PI()*D392),COMPLEX(2*PI()*'Stability Calculations'!EA_Pole1,0)))</f>
        <v>1+218788.460625407i</v>
      </c>
      <c r="X392" s="734">
        <f t="shared" si="283"/>
        <v>218788.46062769234</v>
      </c>
      <c r="Y392" s="735">
        <f t="shared" si="284"/>
        <v>1.5707917561699325</v>
      </c>
      <c r="Z392" s="340" t="str">
        <f>IMSUM(COMPLEX(1,0),IMDIV(COMPLEX(0,2*PI()*D392),COMPLEX(2*PI()*'Stability Calculations'!EA_Zero1,0)))</f>
        <v>1+2166.22238242977i</v>
      </c>
      <c r="AA392" s="734">
        <f t="shared" si="285"/>
        <v>2166.2226132463179</v>
      </c>
      <c r="AB392" s="735">
        <f t="shared" si="286"/>
        <v>1.5703346937063107</v>
      </c>
      <c r="AC392" s="733" t="str">
        <f>IMSUM(COMPLEX(1,0),IMDIV(COMPLEX(0,2*PI()*D392),COMPLEX(2*PI()*'Stability Calculations'!EA_Pole2,0)))</f>
        <v>1+21.82134613199i</v>
      </c>
      <c r="AD392" s="734">
        <f t="shared" si="287"/>
        <v>21.844247458132198</v>
      </c>
      <c r="AE392" s="735">
        <f t="shared" si="288"/>
        <v>1.5250016793752956</v>
      </c>
      <c r="AF392" s="732" t="str">
        <f t="shared" si="289"/>
        <v>0.123254398200101-2.71672911292369i</v>
      </c>
      <c r="AG392" s="337">
        <f t="shared" si="290"/>
        <v>2.7195236199898702</v>
      </c>
      <c r="AH392" s="730">
        <f t="shared" si="291"/>
        <v>-1.5254587418389172</v>
      </c>
      <c r="AI392" s="731" t="str">
        <f t="shared" si="269"/>
        <v>10000</v>
      </c>
      <c r="AJ392" s="733" t="str">
        <f t="shared" si="292"/>
        <v>1+203971.066285111i</v>
      </c>
      <c r="AK392" s="734">
        <f t="shared" si="293"/>
        <v>203971.06628756231</v>
      </c>
      <c r="AL392" s="735">
        <f t="shared" si="294"/>
        <v>1.5707914241387591</v>
      </c>
      <c r="AM392" s="340" t="str">
        <f t="shared" si="295"/>
        <v>1+346.162336712277i</v>
      </c>
      <c r="AN392" s="734">
        <f t="shared" si="296"/>
        <v>346.16378111827908</v>
      </c>
      <c r="AO392" s="735">
        <f t="shared" si="297"/>
        <v>1.5679075167996932</v>
      </c>
      <c r="AP392" s="733" t="str">
        <f t="shared" si="298"/>
        <v>1+16.7894439205746i</v>
      </c>
      <c r="AQ392" s="734">
        <f t="shared" si="299"/>
        <v>16.819198172389768</v>
      </c>
      <c r="AR392" s="735">
        <f t="shared" si="300"/>
        <v>1.5113053751089969</v>
      </c>
      <c r="AS392" s="732" t="str">
        <f t="shared" si="301"/>
        <v>0.00230433730752503-6.78872159103098i</v>
      </c>
      <c r="AT392" s="337">
        <f t="shared" si="302"/>
        <v>6.7887219821186262</v>
      </c>
      <c r="AU392" s="730">
        <f t="shared" si="303"/>
        <v>-1.5704568906892726</v>
      </c>
      <c r="AV392" s="732" t="str">
        <f t="shared" si="304"/>
        <v>-0.281559599104342+0.0574799017190073i</v>
      </c>
      <c r="AW392" s="337">
        <f t="shared" si="305"/>
        <v>-10.831264522755205</v>
      </c>
      <c r="AX392" s="730">
        <f t="shared" si="306"/>
        <v>168.46171466844689</v>
      </c>
      <c r="AY392" s="360">
        <f t="shared" si="307"/>
        <v>-11.538285331553112</v>
      </c>
      <c r="BB392" s="337">
        <f t="shared" si="308"/>
        <v>-23.364239531635395</v>
      </c>
      <c r="BC392" s="730">
        <f t="shared" si="309"/>
        <v>-89.980551743733386</v>
      </c>
      <c r="BD392" s="351"/>
      <c r="BE392" s="337">
        <f t="shared" si="270"/>
        <v>33.041879018179038</v>
      </c>
      <c r="BF392" s="730">
        <f t="shared" si="271"/>
        <v>-89.360405762422062</v>
      </c>
      <c r="BI392" s="351"/>
      <c r="BJ392" s="351"/>
      <c r="BL392" s="405">
        <f t="shared" si="272"/>
        <v>0</v>
      </c>
      <c r="BM392" s="405">
        <f t="shared" si="310"/>
        <v>0</v>
      </c>
      <c r="BN392" s="405">
        <f t="shared" si="273"/>
        <v>0</v>
      </c>
      <c r="BO392" s="405">
        <f t="shared" si="274"/>
        <v>0</v>
      </c>
    </row>
    <row r="393" spans="4:67" ht="13.5" thickBot="1" x14ac:dyDescent="0.25">
      <c r="D393" s="345">
        <v>34674</v>
      </c>
      <c r="E393" s="340" t="str">
        <f t="shared" si="261"/>
        <v>0.575158761780623i</v>
      </c>
      <c r="F393" s="728" t="str">
        <f t="shared" si="275"/>
        <v>0.005-0.0752465082694814i</v>
      </c>
      <c r="G393" s="337" t="str">
        <f t="shared" si="276"/>
        <v>0.005-0.11769325652406i</v>
      </c>
      <c r="H393" s="338" t="str">
        <f t="shared" si="277"/>
        <v>0.0161218678173028-0.115658412261613i</v>
      </c>
      <c r="I393" s="338" t="str">
        <f t="shared" si="278"/>
        <v>0.0261218678173028-0.115658412261613i</v>
      </c>
      <c r="J393" s="337" t="str">
        <f t="shared" si="279"/>
        <v>0.00584958740169218-0.0458570287090498i</v>
      </c>
      <c r="K393" s="338" t="str">
        <f t="shared" si="262"/>
        <v>0.9866412636-0.181552639450954i</v>
      </c>
      <c r="L393" s="732"/>
      <c r="M393" s="732" t="str">
        <f t="shared" si="263"/>
        <v>0.492694331388853-44.5815996190124i</v>
      </c>
      <c r="N393" s="337">
        <f t="shared" si="264"/>
        <v>0</v>
      </c>
      <c r="O393" s="730" t="str">
        <f t="shared" si="265"/>
        <v>-1.46186941023347-17.3209266528662i</v>
      </c>
      <c r="P393" s="731" t="str">
        <f t="shared" si="266"/>
        <v>-2.04149763507065-0.283377461577944i</v>
      </c>
      <c r="Q393" s="729" t="str">
        <f t="shared" si="267"/>
        <v>-2.02687894096832-0.11016819504928i</v>
      </c>
      <c r="R393" s="730"/>
      <c r="S393" s="405" t="str">
        <f t="shared" si="280"/>
        <v>39.4536071423772-6.07948203824436i</v>
      </c>
      <c r="T393" s="405" t="str">
        <f t="shared" si="281"/>
        <v>15.0869938736743-3.82246401412752i</v>
      </c>
      <c r="U393" s="405" t="str">
        <f t="shared" si="282"/>
        <v>-0.198869597809311-1.80656301680203i</v>
      </c>
      <c r="V393" s="731" t="str">
        <f t="shared" si="268"/>
        <v>6000</v>
      </c>
      <c r="W393" s="733" t="str">
        <f>IMSUM(COMPLEX(1,0),IMDIV(COMPLEX(0,2*PI()*D393),COMPLEX(2*PI()*'Stability Calculations'!EA_Pole1,0)))</f>
        <v>1+220041.799014556i</v>
      </c>
      <c r="X393" s="734">
        <f t="shared" si="283"/>
        <v>220041.79901682827</v>
      </c>
      <c r="Y393" s="735">
        <f t="shared" si="284"/>
        <v>1.5707917822038031</v>
      </c>
      <c r="Z393" s="340" t="str">
        <f>IMSUM(COMPLEX(1,0),IMDIV(COMPLEX(0,2*PI()*D393),COMPLEX(2*PI()*'Stability Calculations'!EA_Zero1,0)))</f>
        <v>1+2178.63167341145i</v>
      </c>
      <c r="AA393" s="734">
        <f t="shared" si="285"/>
        <v>2178.6319029132878</v>
      </c>
      <c r="AB393" s="735">
        <f t="shared" si="286"/>
        <v>1.5703373231266877</v>
      </c>
      <c r="AC393" s="733" t="str">
        <f>IMSUM(COMPLEX(1,0),IMDIV(COMPLEX(0,2*PI()*D393),COMPLEX(2*PI()*'Stability Calculations'!EA_Pole2,0)))</f>
        <v>1+21.9463505802684i</v>
      </c>
      <c r="AD393" s="734">
        <f t="shared" si="287"/>
        <v>21.96912159809871</v>
      </c>
      <c r="AE393" s="735">
        <f t="shared" si="288"/>
        <v>1.5252621601603844</v>
      </c>
      <c r="AF393" s="732" t="str">
        <f t="shared" si="289"/>
        <v>0.121857205843607-2.70131853102767i</v>
      </c>
      <c r="AG393" s="337">
        <f t="shared" si="290"/>
        <v>2.7040656398633334</v>
      </c>
      <c r="AH393" s="730">
        <f t="shared" si="291"/>
        <v>-1.5257166192374998</v>
      </c>
      <c r="AI393" s="731" t="str">
        <f t="shared" si="269"/>
        <v>10000</v>
      </c>
      <c r="AJ393" s="733" t="str">
        <f t="shared" si="292"/>
        <v>1+205139.522642088i</v>
      </c>
      <c r="AK393" s="734">
        <f t="shared" si="293"/>
        <v>205139.52264452539</v>
      </c>
      <c r="AL393" s="735">
        <f t="shared" si="294"/>
        <v>1.5707914520638495</v>
      </c>
      <c r="AM393" s="340" t="str">
        <f t="shared" si="295"/>
        <v>1+348.14534141115i</v>
      </c>
      <c r="AN393" s="734">
        <f t="shared" si="296"/>
        <v>348.14677758997885</v>
      </c>
      <c r="AO393" s="735">
        <f t="shared" si="297"/>
        <v>1.5679239711120581</v>
      </c>
      <c r="AP393" s="733" t="str">
        <f t="shared" si="298"/>
        <v>1+16.8856229171176i</v>
      </c>
      <c r="AQ393" s="734">
        <f t="shared" si="299"/>
        <v>16.915207988644038</v>
      </c>
      <c r="AR393" s="735">
        <f t="shared" si="300"/>
        <v>1.5116434380925918</v>
      </c>
      <c r="AS393" s="732" t="str">
        <f t="shared" si="301"/>
        <v>0.00227816147299393-6.75005364940598i</v>
      </c>
      <c r="AT393" s="337">
        <f t="shared" si="302"/>
        <v>6.7500540338488166</v>
      </c>
      <c r="AU393" s="730">
        <f t="shared" si="303"/>
        <v>-1.5704588240867967</v>
      </c>
      <c r="AV393" s="732" t="str">
        <f t="shared" si="304"/>
        <v>-0.27826040040899+0.057195377431796i</v>
      </c>
      <c r="AW393" s="337">
        <f t="shared" si="305"/>
        <v>-10.931255954233487</v>
      </c>
      <c r="AX393" s="730">
        <f t="shared" si="306"/>
        <v>168.38484229921312</v>
      </c>
      <c r="AY393" s="360">
        <f t="shared" si="307"/>
        <v>-11.615157700786881</v>
      </c>
      <c r="BB393" s="337">
        <f t="shared" si="308"/>
        <v>-23.413855012984083</v>
      </c>
      <c r="BC393" s="730">
        <f t="shared" si="309"/>
        <v>-89.980662519251638</v>
      </c>
      <c r="BD393" s="351"/>
      <c r="BE393" s="337">
        <f t="shared" si="270"/>
        <v>32.983643341973043</v>
      </c>
      <c r="BF393" s="730">
        <f t="shared" si="271"/>
        <v>-89.366820463326363</v>
      </c>
      <c r="BI393" s="351"/>
      <c r="BJ393" s="351"/>
      <c r="BL393" s="405">
        <f t="shared" si="272"/>
        <v>0</v>
      </c>
      <c r="BM393" s="405">
        <f t="shared" si="310"/>
        <v>0</v>
      </c>
      <c r="BN393" s="405">
        <f t="shared" si="273"/>
        <v>0</v>
      </c>
      <c r="BO393" s="405">
        <f t="shared" si="274"/>
        <v>0</v>
      </c>
    </row>
    <row r="394" spans="4:67" ht="13.5" thickBot="1" x14ac:dyDescent="0.25">
      <c r="D394" s="345">
        <v>34875.75</v>
      </c>
      <c r="E394" s="340" t="str">
        <f t="shared" si="261"/>
        <v>0.578505311938933i</v>
      </c>
      <c r="F394" s="728" t="str">
        <f t="shared" si="275"/>
        <v>0.005-0.0748112206256779i</v>
      </c>
      <c r="G394" s="337" t="str">
        <f t="shared" si="276"/>
        <v>0.005-0.117012422004266i</v>
      </c>
      <c r="H394" s="338" t="str">
        <f t="shared" si="277"/>
        <v>0.0159944963840379-0.115001548713142i</v>
      </c>
      <c r="I394" s="338" t="str">
        <f t="shared" si="278"/>
        <v>0.0259944963840379-0.115001548713142i</v>
      </c>
      <c r="J394" s="337" t="str">
        <f t="shared" si="279"/>
        <v>0.00582973081789952-0.0455929458911208i</v>
      </c>
      <c r="K394" s="338" t="str">
        <f t="shared" si="262"/>
        <v>0.98648535624375-0.182608999980724i</v>
      </c>
      <c r="L394" s="732"/>
      <c r="M394" s="732" t="str">
        <f t="shared" si="263"/>
        <v>0.484391975689506-44.2796557718728i</v>
      </c>
      <c r="N394" s="337">
        <f t="shared" si="264"/>
        <v>0</v>
      </c>
      <c r="O394" s="730" t="str">
        <f t="shared" si="265"/>
        <v>-1.45162965492067-17.2022178412103i</v>
      </c>
      <c r="P394" s="731" t="str">
        <f t="shared" si="266"/>
        <v>-2.01601607485583-0.280223330996974i</v>
      </c>
      <c r="Q394" s="729" t="str">
        <f t="shared" si="267"/>
        <v>-2.00149977830662-0.108201152584871i</v>
      </c>
      <c r="R394" s="730"/>
      <c r="S394" s="405" t="str">
        <f t="shared" si="280"/>
        <v>39.4452786147736-6.12795655258389i</v>
      </c>
      <c r="T394" s="405" t="str">
        <f t="shared" si="281"/>
        <v>15.0812211387023-3.8387742466145i</v>
      </c>
      <c r="U394" s="405" t="str">
        <f t="shared" si="282"/>
        <v>-0.20024844655094-1.79576304824276i</v>
      </c>
      <c r="V394" s="731" t="str">
        <f t="shared" si="268"/>
        <v>6000</v>
      </c>
      <c r="W394" s="733" t="str">
        <f>IMSUM(COMPLEX(1,0),IMDIV(COMPLEX(0,2*PI()*D394),COMPLEX(2*PI()*'Stability Calculations'!EA_Pole1,0)))</f>
        <v>1+221322.107976637i</v>
      </c>
      <c r="X394" s="734">
        <f t="shared" si="283"/>
        <v>221322.10797889612</v>
      </c>
      <c r="Y394" s="735">
        <f t="shared" si="284"/>
        <v>1.5707918084934529</v>
      </c>
      <c r="Z394" s="340" t="str">
        <f>IMSUM(COMPLEX(1,0),IMDIV(COMPLEX(0,2*PI()*D394),COMPLEX(2*PI()*'Stability Calculations'!EA_Zero1,0)))</f>
        <v>1+2191.30799976868i</v>
      </c>
      <c r="AA394" s="734">
        <f t="shared" si="285"/>
        <v>2191.3082279428913</v>
      </c>
      <c r="AB394" s="735">
        <f t="shared" si="286"/>
        <v>1.5703399783807588</v>
      </c>
      <c r="AC394" s="733" t="str">
        <f>IMSUM(COMPLEX(1,0),IMDIV(COMPLEX(0,2*PI()*D394),COMPLEX(2*PI()*'Stability Calculations'!EA_Pole2,0)))</f>
        <v>1+22.0740449976868i</v>
      </c>
      <c r="AD394" s="734">
        <f t="shared" si="287"/>
        <v>22.096684424589622</v>
      </c>
      <c r="AE394" s="735">
        <f t="shared" si="288"/>
        <v>1.5255252064075011</v>
      </c>
      <c r="AF394" s="732" t="str">
        <f t="shared" si="289"/>
        <v>0.120454318355614-2.68575543826217i</v>
      </c>
      <c r="AG394" s="337">
        <f t="shared" si="290"/>
        <v>2.6884552287448149</v>
      </c>
      <c r="AH394" s="730">
        <f t="shared" si="291"/>
        <v>-1.525977036520195</v>
      </c>
      <c r="AI394" s="731" t="str">
        <f t="shared" si="269"/>
        <v>10000</v>
      </c>
      <c r="AJ394" s="733" t="str">
        <f t="shared" si="292"/>
        <v>1+206333.12299662i</v>
      </c>
      <c r="AK394" s="734">
        <f t="shared" si="293"/>
        <v>206333.12299904323</v>
      </c>
      <c r="AL394" s="735">
        <f t="shared" si="294"/>
        <v>1.5707914802633003</v>
      </c>
      <c r="AM394" s="340" t="str">
        <f t="shared" si="295"/>
        <v>1+350.171018363035i</v>
      </c>
      <c r="AN394" s="734">
        <f t="shared" si="296"/>
        <v>350.17244623385915</v>
      </c>
      <c r="AO394" s="735">
        <f t="shared" si="297"/>
        <v>1.5679405870873193</v>
      </c>
      <c r="AP394" s="733" t="str">
        <f t="shared" si="298"/>
        <v>1+16.9838715882697i</v>
      </c>
      <c r="AQ394" s="734">
        <f t="shared" si="299"/>
        <v>17.01328581217734</v>
      </c>
      <c r="AR394" s="735">
        <f t="shared" si="300"/>
        <v>1.511984836234725</v>
      </c>
      <c r="AS394" s="732" t="str">
        <f t="shared" si="301"/>
        <v>0.00225188019627071-6.71100580050784i</v>
      </c>
      <c r="AT394" s="337">
        <f t="shared" si="302"/>
        <v>6.7110061783173984</v>
      </c>
      <c r="AU394" s="730">
        <f t="shared" si="303"/>
        <v>-1.5704607764796839</v>
      </c>
      <c r="AV394" s="732" t="str">
        <f t="shared" si="304"/>
        <v>-0.274948019108107+0.0569070753015516i</v>
      </c>
      <c r="AW394" s="337">
        <f t="shared" si="305"/>
        <v>-11.032818732004587</v>
      </c>
      <c r="AX394" s="730">
        <f t="shared" si="306"/>
        <v>168.30637878232608</v>
      </c>
      <c r="AY394" s="360">
        <f t="shared" si="307"/>
        <v>-11.693621217673922</v>
      </c>
      <c r="BB394" s="337">
        <f t="shared" si="308"/>
        <v>-23.464247227226775</v>
      </c>
      <c r="BC394" s="730">
        <f t="shared" si="309"/>
        <v>-89.980774383124029</v>
      </c>
      <c r="BD394" s="351"/>
      <c r="BE394" s="337">
        <f t="shared" si="270"/>
        <v>32.924604409917805</v>
      </c>
      <c r="BF394" s="730">
        <f t="shared" si="271"/>
        <v>-89.373244702545961</v>
      </c>
      <c r="BI394" s="351"/>
      <c r="BJ394" s="351"/>
      <c r="BL394" s="405">
        <f t="shared" si="272"/>
        <v>0</v>
      </c>
      <c r="BM394" s="405">
        <f t="shared" si="310"/>
        <v>0</v>
      </c>
      <c r="BN394" s="405">
        <f t="shared" si="273"/>
        <v>0</v>
      </c>
      <c r="BO394" s="405">
        <f t="shared" si="274"/>
        <v>0</v>
      </c>
    </row>
    <row r="395" spans="4:67" ht="13.5" thickBot="1" x14ac:dyDescent="0.25">
      <c r="D395" s="345">
        <v>35077.5</v>
      </c>
      <c r="E395" s="340" t="str">
        <f t="shared" si="261"/>
        <v>0.581851862097243i</v>
      </c>
      <c r="F395" s="728" t="str">
        <f t="shared" si="275"/>
        <v>0.005-0.0743809401392913i</v>
      </c>
      <c r="G395" s="337" t="str">
        <f t="shared" si="276"/>
        <v>0.005-0.116339419192225i</v>
      </c>
      <c r="H395" s="338" t="str">
        <f t="shared" si="277"/>
        <v>0.0158692900378649-0.114352034950512i</v>
      </c>
      <c r="I395" s="338" t="str">
        <f t="shared" si="278"/>
        <v>0.0258692900378649-0.114352034950512i</v>
      </c>
      <c r="J395" s="337" t="str">
        <f t="shared" si="279"/>
        <v>0.0058102141678715-0.0453318907230176i</v>
      </c>
      <c r="K395" s="338" t="str">
        <f t="shared" si="262"/>
        <v>0.986328544375-0.183665360510493i</v>
      </c>
      <c r="L395" s="732"/>
      <c r="M395" s="732" t="str">
        <f t="shared" si="263"/>
        <v>0.47630092922699-43.9820208913224i</v>
      </c>
      <c r="N395" s="337">
        <f t="shared" si="264"/>
        <v>0</v>
      </c>
      <c r="O395" s="730" t="str">
        <f t="shared" si="265"/>
        <v>-1.44156308664172-17.085210085374i</v>
      </c>
      <c r="P395" s="731" t="str">
        <f t="shared" si="266"/>
        <v>-1.99102075441575-0.27713658258937i</v>
      </c>
      <c r="Q395" s="729" t="str">
        <f t="shared" si="267"/>
        <v>-1.97660512354933-0.10628448173563i</v>
      </c>
      <c r="R395" s="730"/>
      <c r="S395" s="405" t="str">
        <f t="shared" si="280"/>
        <v>39.4368804835784-6.17634424567221i</v>
      </c>
      <c r="T395" s="405" t="str">
        <f t="shared" si="281"/>
        <v>15.0754238789475-3.85510545264225i</v>
      </c>
      <c r="U395" s="405" t="str">
        <f t="shared" si="282"/>
        <v>-0.201602879479687-1.78508318485373i</v>
      </c>
      <c r="V395" s="731" t="str">
        <f t="shared" si="268"/>
        <v>6000</v>
      </c>
      <c r="W395" s="733" t="str">
        <f>IMSUM(COMPLEX(1,0),IMDIV(COMPLEX(0,2*PI()*D395),COMPLEX(2*PI()*'Stability Calculations'!EA_Pole1,0)))</f>
        <v>1+222602.416938718i</v>
      </c>
      <c r="X395" s="734">
        <f t="shared" si="283"/>
        <v>222602.41694096421</v>
      </c>
      <c r="Y395" s="735">
        <f t="shared" si="284"/>
        <v>1.5707918344806902</v>
      </c>
      <c r="Z395" s="340" t="str">
        <f>IMSUM(COMPLEX(1,0),IMDIV(COMPLEX(0,2*PI()*D395),COMPLEX(2*PI()*'Stability Calculations'!EA_Zero1,0)))</f>
        <v>1+2203.98432612592i</v>
      </c>
      <c r="AA395" s="734">
        <f t="shared" si="285"/>
        <v>2203.9845529877753</v>
      </c>
      <c r="AB395" s="735">
        <f t="shared" si="286"/>
        <v>1.5703426030911822</v>
      </c>
      <c r="AC395" s="733" t="str">
        <f>IMSUM(COMPLEX(1,0),IMDIV(COMPLEX(0,2*PI()*D395),COMPLEX(2*PI()*'Stability Calculations'!EA_Pole2,0)))</f>
        <v>1+22.2017394151054i</v>
      </c>
      <c r="AD395" s="734">
        <f t="shared" si="287"/>
        <v>22.224248762472147</v>
      </c>
      <c r="AE395" s="735">
        <f t="shared" si="288"/>
        <v>1.5257852329689872</v>
      </c>
      <c r="AF395" s="732" t="str">
        <f t="shared" si="289"/>
        <v>0.119075502175313-2.67037028510629i</v>
      </c>
      <c r="AG395" s="337">
        <f t="shared" si="290"/>
        <v>2.6730238373042901</v>
      </c>
      <c r="AH395" s="730">
        <f t="shared" si="291"/>
        <v>-1.5262344643584951</v>
      </c>
      <c r="AI395" s="731" t="str">
        <f t="shared" si="269"/>
        <v>10000</v>
      </c>
      <c r="AJ395" s="733" t="str">
        <f t="shared" si="292"/>
        <v>1+207526.723351152i</v>
      </c>
      <c r="AK395" s="734">
        <f t="shared" si="293"/>
        <v>207526.72335356136</v>
      </c>
      <c r="AL395" s="735">
        <f t="shared" si="294"/>
        <v>1.5707915081383697</v>
      </c>
      <c r="AM395" s="340" t="str">
        <f t="shared" si="295"/>
        <v>1+352.196695314922i</v>
      </c>
      <c r="AN395" s="734">
        <f t="shared" si="296"/>
        <v>352.19811497330875</v>
      </c>
      <c r="AO395" s="735">
        <f t="shared" si="297"/>
        <v>1.5679570119289008</v>
      </c>
      <c r="AP395" s="733" t="str">
        <f t="shared" si="298"/>
        <v>1+17.0821202594218i</v>
      </c>
      <c r="AQ395" s="734">
        <f t="shared" si="299"/>
        <v>17.111365595923335</v>
      </c>
      <c r="AR395" s="735">
        <f t="shared" si="300"/>
        <v>1.512322320729822</v>
      </c>
      <c r="AS395" s="732" t="str">
        <f t="shared" si="301"/>
        <v>0.00222605108837168-6.67240712278036i</v>
      </c>
      <c r="AT395" s="337">
        <f t="shared" si="302"/>
        <v>6.6724074941083691</v>
      </c>
      <c r="AU395" s="730">
        <f t="shared" si="303"/>
        <v>-1.5704627064140024</v>
      </c>
      <c r="AV395" s="732" t="str">
        <f t="shared" si="304"/>
        <v>-0.271692732545873+0.0566211239543701i</v>
      </c>
      <c r="AW395" s="337">
        <f t="shared" si="305"/>
        <v>-11.133801754700388</v>
      </c>
      <c r="AX395" s="730">
        <f t="shared" si="306"/>
        <v>168.22797783456991</v>
      </c>
      <c r="AY395" s="360">
        <f t="shared" si="307"/>
        <v>-11.772022165430087</v>
      </c>
      <c r="BB395" s="337">
        <f t="shared" si="308"/>
        <v>-23.514348770672019</v>
      </c>
      <c r="BC395" s="730">
        <f t="shared" si="309"/>
        <v>-89.980884960215221</v>
      </c>
      <c r="BD395" s="351"/>
      <c r="BE395" s="337">
        <f t="shared" si="270"/>
        <v>32.866012907257023</v>
      </c>
      <c r="BF395" s="730">
        <f t="shared" si="271"/>
        <v>-89.379542692338916</v>
      </c>
      <c r="BI395" s="351"/>
      <c r="BJ395" s="351"/>
      <c r="BL395" s="405">
        <f t="shared" si="272"/>
        <v>0</v>
      </c>
      <c r="BM395" s="405">
        <f t="shared" si="310"/>
        <v>0</v>
      </c>
      <c r="BN395" s="405">
        <f t="shared" si="273"/>
        <v>0</v>
      </c>
      <c r="BO395" s="405">
        <f t="shared" si="274"/>
        <v>0</v>
      </c>
    </row>
    <row r="396" spans="4:67" ht="13.5" thickBot="1" x14ac:dyDescent="0.25">
      <c r="D396" s="345">
        <v>35279.25</v>
      </c>
      <c r="E396" s="340" t="str">
        <f t="shared" si="261"/>
        <v>0.585198412255553i</v>
      </c>
      <c r="F396" s="728" t="str">
        <f t="shared" si="275"/>
        <v>0.005-0.0739555809076439i</v>
      </c>
      <c r="G396" s="337" t="str">
        <f t="shared" si="276"/>
        <v>0.005-0.11567411372734i</v>
      </c>
      <c r="H396" s="338" t="str">
        <f t="shared" si="277"/>
        <v>0.0157462001315832-0.113709749487151i</v>
      </c>
      <c r="I396" s="338" t="str">
        <f t="shared" si="278"/>
        <v>0.0257462001315832-0.113709749487151i</v>
      </c>
      <c r="J396" s="337" t="str">
        <f t="shared" si="279"/>
        <v>0.00579102970993471-0.0450738115461268i</v>
      </c>
      <c r="K396" s="338" t="str">
        <f t="shared" si="262"/>
        <v>0.98617082799375-0.184721721040263i</v>
      </c>
      <c r="L396" s="732"/>
      <c r="M396" s="732" t="str">
        <f t="shared" si="263"/>
        <v>0.46841409886094-43.6885995732154i</v>
      </c>
      <c r="N396" s="337">
        <f t="shared" si="264"/>
        <v>0</v>
      </c>
      <c r="O396" s="730" t="str">
        <f t="shared" si="265"/>
        <v>-1.43166584859252-16.9698654438851i</v>
      </c>
      <c r="P396" s="731" t="str">
        <f t="shared" si="266"/>
        <v>-1.96649910391424-0.274115186931537i</v>
      </c>
      <c r="Q396" s="729" t="str">
        <f t="shared" si="267"/>
        <v>-1.95218244542832-0.104416532492687i</v>
      </c>
      <c r="R396" s="730"/>
      <c r="S396" s="405" t="str">
        <f t="shared" si="280"/>
        <v>39.4284130923392-6.22464634927647i</v>
      </c>
      <c r="T396" s="405" t="str">
        <f t="shared" si="281"/>
        <v>15.0696019694832-3.87145706547016i</v>
      </c>
      <c r="U396" s="405" t="str">
        <f t="shared" si="282"/>
        <v>-0.20293344455009-1.77452140257473i</v>
      </c>
      <c r="V396" s="731" t="str">
        <f t="shared" si="268"/>
        <v>6000</v>
      </c>
      <c r="W396" s="733" t="str">
        <f>IMSUM(COMPLEX(1,0),IMDIV(COMPLEX(0,2*PI()*D396),COMPLEX(2*PI()*'Stability Calculations'!EA_Pole1,0)))</f>
        <v>1+223882.725900798i</v>
      </c>
      <c r="X396" s="734">
        <f t="shared" si="283"/>
        <v>223882.7259030313</v>
      </c>
      <c r="Y396" s="735">
        <f t="shared" si="284"/>
        <v>1.5707918601707032</v>
      </c>
      <c r="Z396" s="340" t="str">
        <f>IMSUM(COMPLEX(1,0),IMDIV(COMPLEX(0,2*PI()*D396),COMPLEX(2*PI()*'Stability Calculations'!EA_Zero1,0)))</f>
        <v>1+2216.66065248315i</v>
      </c>
      <c r="AA396" s="734">
        <f t="shared" si="285"/>
        <v>2216.6608780476604</v>
      </c>
      <c r="AB396" s="735">
        <f t="shared" si="286"/>
        <v>1.5703451977819642</v>
      </c>
      <c r="AC396" s="733" t="str">
        <f>IMSUM(COMPLEX(1,0),IMDIV(COMPLEX(0,2*PI()*D396),COMPLEX(2*PI()*'Stability Calculations'!EA_Pole2,0)))</f>
        <v>1+22.3294338325238i</v>
      </c>
      <c r="AD396" s="734">
        <f t="shared" si="287"/>
        <v>22.35181458586883</v>
      </c>
      <c r="AE396" s="735">
        <f t="shared" si="288"/>
        <v>1.5260422915110405</v>
      </c>
      <c r="AF396" s="732" t="str">
        <f t="shared" si="289"/>
        <v>0.117720210100481-2.65516004333806i</v>
      </c>
      <c r="AG396" s="337">
        <f t="shared" si="290"/>
        <v>2.6577684066910483</v>
      </c>
      <c r="AH396" s="730">
        <f t="shared" si="291"/>
        <v>-1.5264889538997795</v>
      </c>
      <c r="AI396" s="731" t="str">
        <f t="shared" si="269"/>
        <v>10000</v>
      </c>
      <c r="AJ396" s="733" t="str">
        <f t="shared" si="292"/>
        <v>1+208720.323705684i</v>
      </c>
      <c r="AK396" s="734">
        <f t="shared" si="293"/>
        <v>208720.32370807958</v>
      </c>
      <c r="AL396" s="735">
        <f t="shared" si="294"/>
        <v>1.5707915356946232</v>
      </c>
      <c r="AM396" s="340" t="str">
        <f t="shared" si="295"/>
        <v>1+354.222372266807i</v>
      </c>
      <c r="AN396" s="734">
        <f t="shared" si="296"/>
        <v>354.22378380668397</v>
      </c>
      <c r="AO396" s="735">
        <f t="shared" si="297"/>
        <v>1.5679732489158522</v>
      </c>
      <c r="AP396" s="733" t="str">
        <f t="shared" si="298"/>
        <v>1+17.1803689305739i</v>
      </c>
      <c r="AQ396" s="734">
        <f t="shared" si="299"/>
        <v>17.209447306367192</v>
      </c>
      <c r="AR396" s="735">
        <f t="shared" si="300"/>
        <v>1.5126559584154247</v>
      </c>
      <c r="AS396" s="732" t="str">
        <f t="shared" si="301"/>
        <v>0.00220066383573313-6.63424991025671i</v>
      </c>
      <c r="AT396" s="337">
        <f t="shared" si="302"/>
        <v>6.6342502752505856</v>
      </c>
      <c r="AU396" s="730">
        <f t="shared" si="303"/>
        <v>-1.5704646142750509</v>
      </c>
      <c r="AV396" s="732" t="str">
        <f t="shared" si="304"/>
        <v>-0.268493235981345+0.0563375040557003i</v>
      </c>
      <c r="AW396" s="337">
        <f t="shared" si="305"/>
        <v>-11.23421174376448</v>
      </c>
      <c r="AX396" s="730">
        <f t="shared" si="306"/>
        <v>168.14963830543684</v>
      </c>
      <c r="AY396" s="360">
        <f t="shared" si="307"/>
        <v>-11.850361694563162</v>
      </c>
      <c r="BB396" s="337">
        <f t="shared" si="308"/>
        <v>-23.56416297737368</v>
      </c>
      <c r="BC396" s="730">
        <f t="shared" si="309"/>
        <v>-89.980994272601194</v>
      </c>
      <c r="BD396" s="351"/>
      <c r="BE396" s="337">
        <f t="shared" si="270"/>
        <v>32.807861684408266</v>
      </c>
      <c r="BF396" s="730">
        <f t="shared" si="271"/>
        <v>-89.385717947497312</v>
      </c>
      <c r="BI396" s="351"/>
      <c r="BJ396" s="351"/>
      <c r="BL396" s="405">
        <f t="shared" si="272"/>
        <v>0</v>
      </c>
      <c r="BM396" s="405">
        <f t="shared" si="310"/>
        <v>0</v>
      </c>
      <c r="BN396" s="405">
        <f t="shared" si="273"/>
        <v>0</v>
      </c>
      <c r="BO396" s="405">
        <f t="shared" si="274"/>
        <v>0</v>
      </c>
    </row>
    <row r="397" spans="4:67" ht="13.5" thickBot="1" x14ac:dyDescent="0.25">
      <c r="D397" s="345">
        <v>35481</v>
      </c>
      <c r="E397" s="340" t="str">
        <f t="shared" ref="E397:E460" si="311">COMPLEX(0,2*PI()*D397*L)</f>
        <v>0.588544962413863i</v>
      </c>
      <c r="F397" s="728" t="str">
        <f t="shared" si="275"/>
        <v>0.005-0.0735350589818772i</v>
      </c>
      <c r="G397" s="337" t="str">
        <f t="shared" si="276"/>
        <v>0.005-0.115016374304988i</v>
      </c>
      <c r="H397" s="338" t="str">
        <f t="shared" si="277"/>
        <v>0.0156251793725887-0.113074573472116i</v>
      </c>
      <c r="I397" s="338" t="str">
        <f t="shared" si="278"/>
        <v>0.0256251793725887-0.113074573472116i</v>
      </c>
      <c r="J397" s="337" t="str">
        <f t="shared" si="279"/>
        <v>0.00577216992130078-0.0448186578687495i</v>
      </c>
      <c r="K397" s="338" t="str">
        <f t="shared" ref="K397:K460" si="312">IMSUM(COMPLEX(1,0),COMPLEX(0,2*PI()*D397/(Fsw*PI()*(-2)/PI())),IMPRODUCT(COMPLEX(0,2*PI()*D397/(Fsw*PI())),COMPLEX(0,2*PI()*D397/(Fsw*PI()))))</f>
        <v>0.9860122071-0.185778081570032i</v>
      </c>
      <c r="L397" s="732"/>
      <c r="M397" s="732" t="str">
        <f t="shared" ref="M397:M460" si="313">IF(Vin&gt;=Vout,IMDIV(COMPLEX(Vin,0),IMSUM(E397,J397)),IMDIV(IMSUM(COMPLEX(Vout,0),IMPRODUCT(J397,COMPLEX($B$4,0))),IMSUM(E397,IMPRODUCT(J397,COMPLEX((1-$B$11)^2,0)))))</f>
        <v>0.460724684149271-43.3992992827115i</v>
      </c>
      <c r="N397" s="337">
        <f t="shared" ref="N397:N460" si="314">IF(Vin&gt;=Vout,0,IMSUB(IMPRODUCT(M397,COMPLEX(1-$B$11,0)),COMPLEX($B$4/(1-$B$11),0)))</f>
        <v>0</v>
      </c>
      <c r="O397" s="730" t="str">
        <f t="shared" ref="O397:O460" si="315">IMDIV(IF(Vin&gt;=Vout,M397,N397),IMPRODUCT(I397,IMSUM(IMDIV(COMPLEX(1,0),F397),IMDIV(COMPLEX(1,0),I397))))</f>
        <v>-1.42193418692098-16.856147124938i</v>
      </c>
      <c r="P397" s="731" t="str">
        <f t="shared" ref="P397:P460" si="316">IF(Vin&gt;=Vout,IMDIV(IMPRODUCT(COMPLEX(Vin,0),J397),IMSUM(J397,E397)),IMPRODUCT(N397,J397))</f>
        <v>-1.94243896513147-0.271157191915771i</v>
      </c>
      <c r="Q397" s="729" t="str">
        <f t="shared" ref="Q397:Q460" si="317">IF(Vin&gt;=Vout,IMDIV(IMPRODUCT(P397,H397),IMSUM(COMPLEX($B$15,0),H397)),IMPRODUCT(O397,H397))</f>
        <v>-1.92821962326226-0.102595720666391i</v>
      </c>
      <c r="R397" s="730"/>
      <c r="S397" s="405" t="str">
        <f t="shared" si="280"/>
        <v>39.4198767747345-6.27286406618399i</v>
      </c>
      <c r="T397" s="405" t="str">
        <f t="shared" si="281"/>
        <v>15.0637552893687-3.88782852974661i</v>
      </c>
      <c r="U397" s="405" t="str">
        <f t="shared" si="282"/>
        <v>-0.204240674312655-1.76407572238086i</v>
      </c>
      <c r="V397" s="731" t="str">
        <f t="shared" ref="V397:V460" si="318">COMPLEX(AEA,0)</f>
        <v>6000</v>
      </c>
      <c r="W397" s="733" t="str">
        <f>IMSUM(COMPLEX(1,0),IMDIV(COMPLEX(0,2*PI()*D397),COMPLEX(2*PI()*'Stability Calculations'!EA_Pole1,0)))</f>
        <v>1+225163.034862879i</v>
      </c>
      <c r="X397" s="734">
        <f t="shared" si="283"/>
        <v>225163.03486509962</v>
      </c>
      <c r="Y397" s="735">
        <f t="shared" si="284"/>
        <v>1.5707918855685621</v>
      </c>
      <c r="Z397" s="340" t="str">
        <f>IMSUM(COMPLEX(1,0),IMDIV(COMPLEX(0,2*PI()*D397),COMPLEX(2*PI()*'Stability Calculations'!EA_Zero1,0)))</f>
        <v>1+2229.33697884039i</v>
      </c>
      <c r="AA397" s="734">
        <f t="shared" si="285"/>
        <v>2229.3372031223089</v>
      </c>
      <c r="AB397" s="735">
        <f t="shared" si="286"/>
        <v>1.5703477629651923</v>
      </c>
      <c r="AC397" s="733" t="str">
        <f>IMSUM(COMPLEX(1,0),IMDIV(COMPLEX(0,2*PI()*D397),COMPLEX(2*PI()*'Stability Calculations'!EA_Pole2,0)))</f>
        <v>1+22.4571282499424i</v>
      </c>
      <c r="AD397" s="734">
        <f t="shared" si="287"/>
        <v>22.479381869490119</v>
      </c>
      <c r="AE397" s="735">
        <f t="shared" si="288"/>
        <v>1.526296432528657</v>
      </c>
      <c r="AF397" s="732" t="str">
        <f t="shared" si="289"/>
        <v>0.116387910379892-2.64012175292301i</v>
      </c>
      <c r="AG397" s="337">
        <f t="shared" si="290"/>
        <v>2.6426859472778572</v>
      </c>
      <c r="AH397" s="730">
        <f t="shared" si="291"/>
        <v>-1.5267405551320268</v>
      </c>
      <c r="AI397" s="731" t="str">
        <f t="shared" ref="AI397:AI460" si="319">COMPLEX(AIL,0)</f>
        <v>10000</v>
      </c>
      <c r="AJ397" s="733" t="str">
        <f t="shared" si="292"/>
        <v>1+209913.924060216i</v>
      </c>
      <c r="AK397" s="734">
        <f t="shared" si="293"/>
        <v>209913.92406259791</v>
      </c>
      <c r="AL397" s="735">
        <f t="shared" si="294"/>
        <v>1.5707915629374991</v>
      </c>
      <c r="AM397" s="340" t="str">
        <f t="shared" si="295"/>
        <v>1+356.248049218694i</v>
      </c>
      <c r="AN397" s="734">
        <f t="shared" si="296"/>
        <v>356.24945273238671</v>
      </c>
      <c r="AO397" s="735">
        <f t="shared" si="297"/>
        <v>1.5679893012526442</v>
      </c>
      <c r="AP397" s="733" t="str">
        <f t="shared" si="298"/>
        <v>1+17.2786176017261i</v>
      </c>
      <c r="AQ397" s="734">
        <f t="shared" si="299"/>
        <v>17.307530910753243</v>
      </c>
      <c r="AR397" s="735">
        <f t="shared" si="300"/>
        <v>1.5129858146174431</v>
      </c>
      <c r="AS397" s="732" t="str">
        <f t="shared" si="301"/>
        <v>0.0021757084171772-6.59652663223889i</v>
      </c>
      <c r="AT397" s="337">
        <f t="shared" si="302"/>
        <v>6.5965269910418813</v>
      </c>
      <c r="AU397" s="730">
        <f t="shared" si="303"/>
        <v>-1.5704665004393645</v>
      </c>
      <c r="AV397" s="732" t="str">
        <f t="shared" si="304"/>
        <v>-0.265348261746895+0.0560561961061041i</v>
      </c>
      <c r="AW397" s="337">
        <f t="shared" si="305"/>
        <v>-11.334055305164142</v>
      </c>
      <c r="AX397" s="730">
        <f t="shared" si="306"/>
        <v>168.07135907161322</v>
      </c>
      <c r="AY397" s="360">
        <f t="shared" si="307"/>
        <v>-11.928640928386784</v>
      </c>
      <c r="BB397" s="337">
        <f t="shared" si="308"/>
        <v>-23.613693124349137</v>
      </c>
      <c r="BC397" s="730">
        <f t="shared" si="309"/>
        <v>-89.981102341855831</v>
      </c>
      <c r="BD397" s="351"/>
      <c r="BE397" s="337">
        <f t="shared" ref="BE397:BE460" si="320">20*LOG10(IMABS(M397))</f>
        <v>32.750143765671858</v>
      </c>
      <c r="BF397" s="730">
        <f t="shared" ref="BF397:BF460" si="321">180/PI()*IMARGUMENT(IMPRODUCT(COMPLEX(1,0),M397))</f>
        <v>-89.391773858839258</v>
      </c>
      <c r="BI397" s="351"/>
      <c r="BJ397" s="351"/>
      <c r="BL397" s="405">
        <f t="shared" ref="BL397:BL460" si="322">SUM((AW398&lt;0)*(AW397&gt;0))*D397</f>
        <v>0</v>
      </c>
      <c r="BM397" s="405">
        <f t="shared" si="310"/>
        <v>0</v>
      </c>
      <c r="BN397" s="405">
        <f t="shared" ref="BN397:BN460" si="323">SUM((BB398&lt;0)*(BB397&gt;0))*D397</f>
        <v>0</v>
      </c>
      <c r="BO397" s="405">
        <f t="shared" ref="BO397:BO460" si="324">IF(BN397&gt;0,BC397,0)</f>
        <v>0</v>
      </c>
    </row>
    <row r="398" spans="4:67" ht="13.5" thickBot="1" x14ac:dyDescent="0.25">
      <c r="D398" s="345">
        <v>35687.75</v>
      </c>
      <c r="E398" s="340" t="str">
        <f t="shared" si="311"/>
        <v>0.591974450618228i</v>
      </c>
      <c r="F398" s="728" t="str">
        <f t="shared" ref="F398:F461" si="325">IMSUM(COMPLEX($B$8,0),IMDIV(COMPLEX(1,0),COMPLEX(0,2*PI()*D398*$B$6)))</f>
        <v>0.005-0.0731090479992711i</v>
      </c>
      <c r="G398" s="337" t="str">
        <f t="shared" ref="G398:G461" si="326">IMSUM(COMPLEX($B$9,0),IMDIV(COMPLEX(1,0),COMPLEX(0,2*PI()*D398*$B$7)))</f>
        <v>0.005-0.114350049434757i</v>
      </c>
      <c r="H398" s="338" t="str">
        <f t="shared" ref="H398:H461" si="327">IMDIV(COMPLEX(1,0),IMSUM(IMDIV(COMPLEX(1,0),COMPLEX($B$5,0)), IMDIV(COMPLEX(1,0),G398)))</f>
        <v>0.0155032579487287-0.112430910095048i</v>
      </c>
      <c r="I398" s="338" t="str">
        <f t="shared" ref="I398:I461" si="328">IMSUM(H398,COMPLEX($B$15,0))</f>
        <v>0.0255032579487287-0.112430910095048i</v>
      </c>
      <c r="J398" s="337" t="str">
        <f t="shared" ref="J398:J461" si="329">IMDIV(COMPLEX(1,0),IMSUM(IMDIV(COMPLEX(1,0),F398),IMDIV(COMPLEX(1,0),IMSUM(COMPLEX($B$15,0),H398))))</f>
        <v>0.00575317191959099-0.0445601642093761i</v>
      </c>
      <c r="K398" s="338" t="str">
        <f t="shared" si="312"/>
        <v>0.985848716665972-0.186860622038582i</v>
      </c>
      <c r="L398" s="732"/>
      <c r="M398" s="732" t="str">
        <f t="shared" si="313"/>
        <v>0.453042696084033-43.1070108204266i</v>
      </c>
      <c r="N398" s="337">
        <f t="shared" si="314"/>
        <v>0</v>
      </c>
      <c r="O398" s="730" t="str">
        <f t="shared" si="315"/>
        <v>-1.41212930490603-16.7412604656929i</v>
      </c>
      <c r="P398" s="731" t="str">
        <f t="shared" si="316"/>
        <v>-1.91824904821608-0.268189701120946i</v>
      </c>
      <c r="Q398" s="729" t="str">
        <f t="shared" si="317"/>
        <v>-1.90412775516702-0.100777096464017i</v>
      </c>
      <c r="R398" s="730"/>
      <c r="S398" s="405" t="str">
        <f t="shared" ref="S398:S461" si="330">IMDIV(IMPRODUCT(COMPLEX($B$34,0),M398),IMSUM(COMPLEX(1,0),IMPRODUCT(M398,COMPLEX($B$29,0),K398,COMPLEX($B$34,0))))</f>
        <v>39.4110577294692-6.3221904487311i</v>
      </c>
      <c r="T398" s="405" t="str">
        <f t="shared" ref="T398:T461" si="331">IMDIV(IMPRODUCT(COMPLEX($B$34,0),O398),IMSUM(COMPLEX(1,0),IMPRODUCT(M398,COMPLEX($B$29,0),K398,COMPLEX($B$34,0))))</f>
        <v>15.0577378885679-3.90462575668213i</v>
      </c>
      <c r="U398" s="405" t="str">
        <f t="shared" ref="U398:U461" si="332">IMDIV(IMPRODUCT(COMPLEX($B$34,0),Q398),IMSUM(COMPLEX(1,0),IMPRODUCT(M398,COMPLEX($B$29,0),K398,COMPLEX($B$34,0))))</f>
        <v>-0.205556632793525-1.75348959508347i</v>
      </c>
      <c r="V398" s="731" t="str">
        <f t="shared" si="318"/>
        <v>6000</v>
      </c>
      <c r="W398" s="733" t="str">
        <f>IMSUM(COMPLEX(1,0),IMDIV(COMPLEX(0,2*PI()*D398),COMPLEX(2*PI()*'Stability Calculations'!EA_Pole1,0)))</f>
        <v>1+226475.073910761i</v>
      </c>
      <c r="X398" s="734">
        <f t="shared" ref="X398:X461" si="333">IMABS(W398)</f>
        <v>226475.07391296874</v>
      </c>
      <c r="Y398" s="735">
        <f t="shared" ref="Y398:Y461" si="334">IMARGUMENT(W398)</f>
        <v>1.5707919112979383</v>
      </c>
      <c r="Z398" s="340" t="str">
        <f>IMSUM(COMPLEX(1,0),IMDIV(COMPLEX(0,2*PI()*D398),COMPLEX(2*PI()*'Stability Calculations'!EA_Zero1,0)))</f>
        <v>1+2242.32746446298i</v>
      </c>
      <c r="AA398" s="734">
        <f t="shared" ref="AA398:AA461" si="335">IMABS(Z398)</f>
        <v>2242.3276874455651</v>
      </c>
      <c r="AB398" s="735">
        <f t="shared" ref="AB398:AB461" si="336">IMARGUMENT(Z398)</f>
        <v>1.5703503616316663</v>
      </c>
      <c r="AC398" s="733" t="str">
        <f>IMSUM(COMPLEX(1,0),IMDIV(COMPLEX(0,2*PI()*D398),COMPLEX(2*PI()*'Stability Calculations'!EA_Pole2,0)))</f>
        <v>1+22.5879873369375i</v>
      </c>
      <c r="AD398" s="734">
        <f t="shared" ref="AD398:AD461" si="337">IMABS(AC398)</f>
        <v>22.610112161014342</v>
      </c>
      <c r="AE398" s="735">
        <f t="shared" ref="AE398:AE461" si="338">IMARGUMENT(AC398)</f>
        <v>1.5265538967045784</v>
      </c>
      <c r="AF398" s="732" t="str">
        <f t="shared" ref="AF398:AF461" si="339">IMPRODUCT(V398,IMDIV(Z398,IMPRODUCT(W398,AC398)))</f>
        <v>0.115045905701269-2.62488613614649i</v>
      </c>
      <c r="AG398" s="337">
        <f t="shared" ref="AG398:AG461" si="340">IMABS(AF398)</f>
        <v>2.6274060950208433</v>
      </c>
      <c r="AH398" s="730">
        <f t="shared" ref="AH398:AH461" si="341">IMARGUMENT(AF398)</f>
        <v>-1.5269954463708504</v>
      </c>
      <c r="AI398" s="731" t="str">
        <f t="shared" si="319"/>
        <v>10000</v>
      </c>
      <c r="AJ398" s="733" t="str">
        <f t="shared" ref="AJ398:AJ461" si="342">IMSUM(COMPLEX(1,0),IMDIV(COMPLEX(0,2*PI()*D398),COMPLEX(2*PI()*IL_Pole1,0)))</f>
        <v>1+211137.105588342i</v>
      </c>
      <c r="AK398" s="734">
        <f t="shared" ref="AK398:AK461" si="343">IMABS(AJ398)</f>
        <v>211137.1055907101</v>
      </c>
      <c r="AL398" s="735">
        <f t="shared" ref="AL398:AL461" si="344">IMARGUMENT(AJ398)</f>
        <v>1.5707915905359751</v>
      </c>
      <c r="AM398" s="340" t="str">
        <f t="shared" ref="AM398:AM461" si="345">IMSUM(COMPLEX(1,0),IMDIV(COMPLEX(0,2*PI()*D398),COMPLEX(2*PI()*IL_Zero1,0)))</f>
        <v>1+358.323928821184i</v>
      </c>
      <c r="AN398" s="734">
        <f t="shared" ref="AN398:AN461" si="346">IMABS(AM398)</f>
        <v>358.32532420392636</v>
      </c>
      <c r="AO398" s="735">
        <f t="shared" ref="AO398:AO461" si="347">IMARGUMENT(AM398)</f>
        <v>1.5680055631214578</v>
      </c>
      <c r="AP398" s="733" t="str">
        <f t="shared" ref="AP398:AP461" si="348">IMSUM(COMPLEX(1,0),IMDIV(COMPLEX(0,2*PI()*D398),COMPLEX(2*PI()*IL_Pole2,0)))</f>
        <v>1+17.3793011841831i</v>
      </c>
      <c r="AQ398" s="734">
        <f t="shared" ref="AQ398:AQ461" si="349">IMABS(AP398)</f>
        <v>17.408047267012694</v>
      </c>
      <c r="AR398" s="735">
        <f t="shared" ref="AR398:AR461" si="350">IMARGUMENT(AP398)</f>
        <v>1.5133199892620548</v>
      </c>
      <c r="AS398" s="732" t="str">
        <f t="shared" ref="AS398:AS461" si="351">_xlfn.SWITCH(IMONLIM_select,0,COMPLEX(1,0),1,IMPRODUCT(gm_IL,IMDIV(COMPLEX(1,0),IMSUM(COMPLEX(1/20000000,0),COMPLEX(0,2*PI()*D398*CISET),COMPLEX(1/RISET,0)))),2,IMPRODUCT(gm_IL,IMDIV(COMPLEX(1,0),IMSUM(COMPLEX(1/20000000,0),COMPLEX(0,2*PI()*D398*CcIL)))),3,IMPRODUCT(AI398,IMDIV(AM398,IMPRODUCT(AJ398,AP398))))</f>
        <v>0.00215057235942205-6.55831095355195i</v>
      </c>
      <c r="AT398" s="337">
        <f t="shared" ref="AT398:AT461" si="352">IMABS(AS398)</f>
        <v>6.5583113061550344</v>
      </c>
      <c r="AU398" s="730">
        <f t="shared" ref="AU398:AU461" si="353">IMARGUMENT(AS398)</f>
        <v>-1.5704684112237122</v>
      </c>
      <c r="AV398" s="732" t="str">
        <f t="shared" ref="AV398:AV461" si="354">IMPRODUCT(T398,AS398,COMPLEX($B$15,0),IMPRODUCT(COMPLEX(0.1,0),AF398))</f>
        <v>-0.262180622722973+0.0557702945212228i</v>
      </c>
      <c r="AW398" s="337">
        <f t="shared" ref="AW398:AW461" si="355">20*LOG10(IMABS(AV398))</f>
        <v>-11.43579243729336</v>
      </c>
      <c r="AX398" s="730">
        <f t="shared" ref="AX398:AX461" si="356">(180/PI())*IMARGUMENT(AV398)</f>
        <v>167.99120124001007</v>
      </c>
      <c r="AY398" s="360">
        <f t="shared" ref="AY398:AY461" si="357">IF(AX398&gt;0,AX398-180,AX398+180)</f>
        <v>-12.008798759989929</v>
      </c>
      <c r="BB398" s="337">
        <f t="shared" ref="BB398:BB461" si="358">20*LOG10(IMPRODUCT(COMPLEX($B$15,0),IMABS(AS398)))</f>
        <v>-23.664159446725883</v>
      </c>
      <c r="BC398" s="730">
        <f t="shared" ref="BC398:BC461" si="359">(180/PI())*IMARGUMENT(AS398)</f>
        <v>-89.981211821734519</v>
      </c>
      <c r="BD398" s="351"/>
      <c r="BE398" s="337">
        <f t="shared" si="320"/>
        <v>32.691437840517573</v>
      </c>
      <c r="BF398" s="730">
        <f t="shared" si="321"/>
        <v>-89.397859459722696</v>
      </c>
      <c r="BI398" s="351"/>
      <c r="BJ398" s="351"/>
      <c r="BL398" s="405">
        <f t="shared" si="322"/>
        <v>0</v>
      </c>
      <c r="BM398" s="405">
        <f t="shared" si="310"/>
        <v>0</v>
      </c>
      <c r="BN398" s="405">
        <f t="shared" si="323"/>
        <v>0</v>
      </c>
      <c r="BO398" s="405">
        <f t="shared" si="324"/>
        <v>0</v>
      </c>
    </row>
    <row r="399" spans="4:67" ht="13.5" thickBot="1" x14ac:dyDescent="0.25">
      <c r="D399" s="345">
        <v>35894.5</v>
      </c>
      <c r="E399" s="340" t="str">
        <f t="shared" si="311"/>
        <v>0.595403938822592i</v>
      </c>
      <c r="F399" s="728" t="str">
        <f t="shared" si="325"/>
        <v>0.005-0.0726879446081152i</v>
      </c>
      <c r="G399" s="337" t="str">
        <f t="shared" si="326"/>
        <v>0.005-0.113691400540898i</v>
      </c>
      <c r="H399" s="338" t="str">
        <f t="shared" si="327"/>
        <v>0.0153834131105303-0.111794468384549i</v>
      </c>
      <c r="I399" s="338" t="str">
        <f t="shared" si="328"/>
        <v>0.0253834131105303-0.111794468384549i</v>
      </c>
      <c r="J399" s="337" t="str">
        <f t="shared" si="329"/>
        <v>0.00573449955614704-0.0443046391050766i</v>
      </c>
      <c r="K399" s="338" t="str">
        <f t="shared" si="312"/>
        <v>0.985684276330556-0.187943162507131i</v>
      </c>
      <c r="L399" s="732"/>
      <c r="M399" s="732" t="str">
        <f t="shared" si="313"/>
        <v>0.445554451539373-42.8188621910627i</v>
      </c>
      <c r="N399" s="337">
        <f t="shared" si="314"/>
        <v>0</v>
      </c>
      <c r="O399" s="730" t="str">
        <f t="shared" si="315"/>
        <v>-1.40249064415887-16.6280070196482i</v>
      </c>
      <c r="P399" s="731" t="str">
        <f t="shared" si="316"/>
        <v>-1.89451920446045-0.265284875406482i</v>
      </c>
      <c r="Q399" s="729" t="str">
        <f t="shared" si="317"/>
        <v>-1.88049429801886-0.0990048052100011i</v>
      </c>
      <c r="R399" s="730"/>
      <c r="S399" s="405" t="str">
        <f t="shared" si="330"/>
        <v>39.402166978248-6.37143067768726i</v>
      </c>
      <c r="T399" s="405" t="str">
        <f t="shared" si="331"/>
        <v>15.051694229226-3.92144268565949i</v>
      </c>
      <c r="U399" s="405" t="str">
        <f t="shared" si="332"/>
        <v>-0.206849170002212-1.74302132746586i</v>
      </c>
      <c r="V399" s="731" t="str">
        <f t="shared" si="318"/>
        <v>6000</v>
      </c>
      <c r="W399" s="733" t="str">
        <f>IMSUM(COMPLEX(1,0),IMDIV(COMPLEX(0,2*PI()*D399),COMPLEX(2*PI()*'Stability Calculations'!EA_Pole1,0)))</f>
        <v>1+227787.112958644i</v>
      </c>
      <c r="X399" s="734">
        <f t="shared" si="333"/>
        <v>227787.112960839</v>
      </c>
      <c r="Y399" s="735">
        <f t="shared" si="334"/>
        <v>1.5707919367309153</v>
      </c>
      <c r="Z399" s="340" t="str">
        <f>IMSUM(COMPLEX(1,0),IMDIV(COMPLEX(0,2*PI()*D399),COMPLEX(2*PI()*'Stability Calculations'!EA_Zero1,0)))</f>
        <v>1+2255.31795008558i</v>
      </c>
      <c r="AA399" s="734">
        <f t="shared" si="335"/>
        <v>2255.3181717838002</v>
      </c>
      <c r="AB399" s="735">
        <f t="shared" si="336"/>
        <v>1.5703529303618444</v>
      </c>
      <c r="AC399" s="733" t="str">
        <f>IMSUM(COMPLEX(1,0),IMDIV(COMPLEX(0,2*PI()*D399),COMPLEX(2*PI()*'Stability Calculations'!EA_Pole2,0)))</f>
        <v>1+22.7188464239327i</v>
      </c>
      <c r="AD399" s="734">
        <f t="shared" si="337"/>
        <v>22.740843934081244</v>
      </c>
      <c r="AE399" s="735">
        <f t="shared" si="338"/>
        <v>1.5268084006950007</v>
      </c>
      <c r="AF399" s="732" t="str">
        <f t="shared" si="339"/>
        <v>0.113726963963807-2.60982501656098i</v>
      </c>
      <c r="AG399" s="337">
        <f t="shared" si="340"/>
        <v>2.6123017512148068</v>
      </c>
      <c r="AH399" s="730">
        <f t="shared" si="341"/>
        <v>-1.5272474070640716</v>
      </c>
      <c r="AI399" s="731" t="str">
        <f t="shared" si="319"/>
        <v>10000</v>
      </c>
      <c r="AJ399" s="733" t="str">
        <f t="shared" si="342"/>
        <v>1+212360.287116469i</v>
      </c>
      <c r="AK399" s="734">
        <f t="shared" si="343"/>
        <v>212360.28711882347</v>
      </c>
      <c r="AL399" s="735">
        <f t="shared" si="344"/>
        <v>1.5707916178165204</v>
      </c>
      <c r="AM399" s="340" t="str">
        <f t="shared" si="345"/>
        <v>1+360.399808423676i</v>
      </c>
      <c r="AN399" s="734">
        <f t="shared" si="346"/>
        <v>360.40119576913497</v>
      </c>
      <c r="AO399" s="735">
        <f t="shared" si="347"/>
        <v>1.5680216376570957</v>
      </c>
      <c r="AP399" s="733" t="str">
        <f t="shared" si="348"/>
        <v>1+17.4799847666401i</v>
      </c>
      <c r="AQ399" s="734">
        <f t="shared" si="349"/>
        <v>17.508565544954561</v>
      </c>
      <c r="AR399" s="735">
        <f t="shared" si="350"/>
        <v>1.513650326888738</v>
      </c>
      <c r="AS399" s="732" t="str">
        <f t="shared" si="351"/>
        <v>0.0021258693956951-6.52053551440227i</v>
      </c>
      <c r="AT399" s="337">
        <f t="shared" si="352"/>
        <v>6.5205358609474704</v>
      </c>
      <c r="AU399" s="730">
        <f t="shared" si="353"/>
        <v>-1.5704702999960736</v>
      </c>
      <c r="AV399" s="732" t="str">
        <f t="shared" si="354"/>
        <v>-0.259067660435911+0.0554867790142412i</v>
      </c>
      <c r="AW399" s="337">
        <f t="shared" si="355"/>
        <v>-11.536948404425722</v>
      </c>
      <c r="AX399" s="730">
        <f t="shared" si="356"/>
        <v>167.91110442489034</v>
      </c>
      <c r="AY399" s="360">
        <f t="shared" si="357"/>
        <v>-12.08889557510966</v>
      </c>
      <c r="BB399" s="337">
        <f t="shared" si="358"/>
        <v>-23.71433424520912</v>
      </c>
      <c r="BC399" s="730">
        <f t="shared" si="359"/>
        <v>-89.981320040419277</v>
      </c>
      <c r="BD399" s="351"/>
      <c r="BE399" s="337">
        <f t="shared" si="320"/>
        <v>32.633172665764945</v>
      </c>
      <c r="BF399" s="730">
        <f t="shared" si="321"/>
        <v>-89.40382656144304</v>
      </c>
      <c r="BI399" s="351"/>
      <c r="BJ399" s="351"/>
      <c r="BL399" s="405">
        <f t="shared" si="322"/>
        <v>0</v>
      </c>
      <c r="BM399" s="405">
        <f t="shared" si="310"/>
        <v>0</v>
      </c>
      <c r="BN399" s="405">
        <f t="shared" si="323"/>
        <v>0</v>
      </c>
      <c r="BO399" s="405">
        <f t="shared" si="324"/>
        <v>0</v>
      </c>
    </row>
    <row r="400" spans="4:67" ht="13.5" thickBot="1" x14ac:dyDescent="0.25">
      <c r="D400" s="345">
        <v>36101.25</v>
      </c>
      <c r="E400" s="340" t="str">
        <f t="shared" si="311"/>
        <v>0.598833427026957i</v>
      </c>
      <c r="F400" s="728" t="str">
        <f t="shared" si="325"/>
        <v>0.005-0.0722716644918388i</v>
      </c>
      <c r="G400" s="337" t="str">
        <f t="shared" si="326"/>
        <v>0.005-0.113040295743645i</v>
      </c>
      <c r="H400" s="338" t="str">
        <f t="shared" si="327"/>
        <v>0.0152655981002767-0.11116512859275i</v>
      </c>
      <c r="I400" s="338" t="str">
        <f t="shared" si="328"/>
        <v>0.0252655981002767-0.11116512859275i</v>
      </c>
      <c r="J400" s="337" t="str">
        <f t="shared" si="329"/>
        <v>0.00571614540287787-0.0440520318192977i</v>
      </c>
      <c r="K400" s="338" t="str">
        <f t="shared" si="312"/>
        <v>0.98551888609375-0.189025702975681i</v>
      </c>
      <c r="L400" s="732"/>
      <c r="M400" s="732" t="str">
        <f t="shared" si="313"/>
        <v>0.438253497995045-42.534762490457i</v>
      </c>
      <c r="N400" s="337">
        <f t="shared" si="314"/>
        <v>0</v>
      </c>
      <c r="O400" s="730" t="str">
        <f t="shared" si="315"/>
        <v>-1.39301448136851-16.5163506681145i</v>
      </c>
      <c r="P400" s="731" t="str">
        <f t="shared" si="316"/>
        <v>-1.87123758993803-0.262440844110925i</v>
      </c>
      <c r="Q400" s="729" t="str">
        <f t="shared" si="317"/>
        <v>-1.85730744512435-0.0972773374297795i</v>
      </c>
      <c r="R400" s="730"/>
      <c r="S400" s="405" t="str">
        <f t="shared" si="330"/>
        <v>39.393204850052-6.42058595790184i</v>
      </c>
      <c r="T400" s="405" t="str">
        <f t="shared" si="331"/>
        <v>15.0456241933775-3.93827875420643i</v>
      </c>
      <c r="U400" s="405" t="str">
        <f t="shared" si="332"/>
        <v>-0.208118812041554-1.73266892888359i</v>
      </c>
      <c r="V400" s="731" t="str">
        <f t="shared" si="318"/>
        <v>6000</v>
      </c>
      <c r="W400" s="733" t="str">
        <f>IMSUM(COMPLEX(1,0),IMDIV(COMPLEX(0,2*PI()*D400),COMPLEX(2*PI()*'Stability Calculations'!EA_Pole1,0)))</f>
        <v>1+229099.152006525i</v>
      </c>
      <c r="X400" s="734">
        <f t="shared" si="333"/>
        <v>229099.15200870743</v>
      </c>
      <c r="Y400" s="735">
        <f t="shared" si="334"/>
        <v>1.5707919618725859</v>
      </c>
      <c r="Z400" s="340" t="str">
        <f>IMSUM(COMPLEX(1,0),IMDIV(COMPLEX(0,2*PI()*D400),COMPLEX(2*PI()*'Stability Calculations'!EA_Zero1,0)))</f>
        <v>1+2268.30843570817i</v>
      </c>
      <c r="AA400" s="734">
        <f t="shared" si="335"/>
        <v>2268.3086561367354</v>
      </c>
      <c r="AB400" s="735">
        <f t="shared" si="336"/>
        <v>1.5703554696700572</v>
      </c>
      <c r="AC400" s="733" t="str">
        <f>IMSUM(COMPLEX(1,0),IMDIV(COMPLEX(0,2*PI()*D400),COMPLEX(2*PI()*'Stability Calculations'!EA_Pole2,0)))</f>
        <v>1+22.8497055109279i</v>
      </c>
      <c r="AD400" s="734">
        <f t="shared" si="337"/>
        <v>22.871577163285632</v>
      </c>
      <c r="AE400" s="735">
        <f t="shared" si="338"/>
        <v>1.5270599952276549</v>
      </c>
      <c r="AF400" s="732" t="str">
        <f t="shared" si="339"/>
        <v>0.112430560050787-2.59493541913855i</v>
      </c>
      <c r="AG400" s="337">
        <f t="shared" si="340"/>
        <v>2.5973699121097669</v>
      </c>
      <c r="AH400" s="730">
        <f t="shared" si="341"/>
        <v>-1.5274964874301833</v>
      </c>
      <c r="AI400" s="731" t="str">
        <f t="shared" si="319"/>
        <v>10000</v>
      </c>
      <c r="AJ400" s="733" t="str">
        <f t="shared" si="342"/>
        <v>1+213583.468644595i</v>
      </c>
      <c r="AK400" s="734">
        <f t="shared" si="343"/>
        <v>213583.468646936</v>
      </c>
      <c r="AL400" s="735">
        <f t="shared" si="344"/>
        <v>1.5707916447845971</v>
      </c>
      <c r="AM400" s="340" t="str">
        <f t="shared" si="345"/>
        <v>1+362.475688026165i</v>
      </c>
      <c r="AN400" s="734">
        <f t="shared" si="346"/>
        <v>362.47706742639832</v>
      </c>
      <c r="AO400" s="735">
        <f t="shared" si="347"/>
        <v>1.5680375280780667</v>
      </c>
      <c r="AP400" s="733" t="str">
        <f t="shared" si="348"/>
        <v>1+17.5806683490971i</v>
      </c>
      <c r="AQ400" s="734">
        <f t="shared" si="349"/>
        <v>17.609085711670112</v>
      </c>
      <c r="AR400" s="735">
        <f t="shared" si="350"/>
        <v>1.5139768931347748</v>
      </c>
      <c r="AS400" s="732" t="str">
        <f t="shared" si="351"/>
        <v>0.00210158963323329-6.48319275110549i</v>
      </c>
      <c r="AT400" s="337">
        <f t="shared" si="352"/>
        <v>6.4831930917307838</v>
      </c>
      <c r="AU400" s="730">
        <f t="shared" si="353"/>
        <v>-1.5704721671346329</v>
      </c>
      <c r="AV400" s="732" t="str">
        <f t="shared" si="354"/>
        <v>-0.256008123707297+0.055205628221627i</v>
      </c>
      <c r="AW400" s="337">
        <f t="shared" si="355"/>
        <v>-11.637529955563277</v>
      </c>
      <c r="AX400" s="730">
        <f t="shared" si="356"/>
        <v>167.83106750103721</v>
      </c>
      <c r="AY400" s="360">
        <f t="shared" si="357"/>
        <v>-12.168932498962789</v>
      </c>
      <c r="BB400" s="337">
        <f t="shared" si="358"/>
        <v>-23.764220868499176</v>
      </c>
      <c r="BC400" s="730">
        <f t="shared" si="359"/>
        <v>-89.98142701957849</v>
      </c>
      <c r="BD400" s="351"/>
      <c r="BE400" s="337">
        <f t="shared" si="320"/>
        <v>32.575341266392769</v>
      </c>
      <c r="BF400" s="730">
        <f t="shared" si="321"/>
        <v>-89.409678441521208</v>
      </c>
      <c r="BI400" s="351"/>
      <c r="BJ400" s="351"/>
      <c r="BL400" s="405">
        <f t="shared" si="322"/>
        <v>0</v>
      </c>
      <c r="BM400" s="405">
        <f t="shared" si="310"/>
        <v>0</v>
      </c>
      <c r="BN400" s="405">
        <f t="shared" si="323"/>
        <v>0</v>
      </c>
      <c r="BO400" s="405">
        <f t="shared" si="324"/>
        <v>0</v>
      </c>
    </row>
    <row r="401" spans="4:67" ht="13.5" thickBot="1" x14ac:dyDescent="0.25">
      <c r="D401" s="345">
        <v>36308</v>
      </c>
      <c r="E401" s="340" t="str">
        <f t="shared" si="311"/>
        <v>0.602262915231322i</v>
      </c>
      <c r="F401" s="728" t="str">
        <f t="shared" si="325"/>
        <v>0.005-0.0718601252543787i</v>
      </c>
      <c r="G401" s="337" t="str">
        <f t="shared" si="326"/>
        <v>0.005-0.112396606167105i</v>
      </c>
      <c r="H401" s="338" t="str">
        <f t="shared" si="327"/>
        <v>0.0151497674651637-0.110542773579268i</v>
      </c>
      <c r="I401" s="338" t="str">
        <f t="shared" si="328"/>
        <v>0.0251497674651637-0.110542773579268i</v>
      </c>
      <c r="J401" s="337" t="str">
        <f t="shared" si="329"/>
        <v>0.0056981022420397-0.0438022927635798i</v>
      </c>
      <c r="K401" s="338" t="str">
        <f t="shared" si="312"/>
        <v>0.985352545955556-0.19010824344423i</v>
      </c>
      <c r="L401" s="732"/>
      <c r="M401" s="732" t="str">
        <f t="shared" si="313"/>
        <v>0.431133647320339-42.2546235258702i</v>
      </c>
      <c r="N401" s="337">
        <f t="shared" si="314"/>
        <v>0</v>
      </c>
      <c r="O401" s="730" t="str">
        <f t="shared" si="315"/>
        <v>-1.38369719365501-16.4062563775775i</v>
      </c>
      <c r="P401" s="731" t="str">
        <f t="shared" si="316"/>
        <v>-1.84839274669259-0.25965580728946i</v>
      </c>
      <c r="Q401" s="729" t="str">
        <f t="shared" si="317"/>
        <v>-1.83455577475604-0.0955932435136846i</v>
      </c>
      <c r="R401" s="730"/>
      <c r="S401" s="405" t="str">
        <f t="shared" si="330"/>
        <v>39.384171664373-6.46965746563468i</v>
      </c>
      <c r="T401" s="405" t="str">
        <f t="shared" si="331"/>
        <v>15.0395276669046-3.95513341107911i</v>
      </c>
      <c r="U401" s="405" t="str">
        <f t="shared" si="332"/>
        <v>-0.209366070197214-1.72243045309331i</v>
      </c>
      <c r="V401" s="731" t="str">
        <f t="shared" si="318"/>
        <v>6000</v>
      </c>
      <c r="W401" s="733" t="str">
        <f>IMSUM(COMPLEX(1,0),IMDIV(COMPLEX(0,2*PI()*D401),COMPLEX(2*PI()*'Stability Calculations'!EA_Pole1,0)))</f>
        <v>1+230411.191054407i</v>
      </c>
      <c r="X401" s="734">
        <f t="shared" si="333"/>
        <v>230411.19105657708</v>
      </c>
      <c r="Y401" s="735">
        <f t="shared" si="334"/>
        <v>1.5707919867279259</v>
      </c>
      <c r="Z401" s="340" t="str">
        <f>IMSUM(COMPLEX(1,0),IMDIV(COMPLEX(0,2*PI()*D401),COMPLEX(2*PI()*'Stability Calculations'!EA_Zero1,0)))</f>
        <v>1+2281.29892133076i</v>
      </c>
      <c r="AA401" s="734">
        <f t="shared" si="335"/>
        <v>2281.2991405041316</v>
      </c>
      <c r="AB401" s="735">
        <f t="shared" si="336"/>
        <v>1.5703579800589207</v>
      </c>
      <c r="AC401" s="733" t="str">
        <f>IMSUM(COMPLEX(1,0),IMDIV(COMPLEX(0,2*PI()*D401),COMPLEX(2*PI()*'Stability Calculations'!EA_Pole2,0)))</f>
        <v>1+22.980564597923i</v>
      </c>
      <c r="AD401" s="734">
        <f t="shared" si="337"/>
        <v>23.002311823799623</v>
      </c>
      <c r="AE401" s="735">
        <f t="shared" si="338"/>
        <v>1.5273087298785115</v>
      </c>
      <c r="AF401" s="732" t="str">
        <f t="shared" si="339"/>
        <v>0.111156183696868-2.58021443596819i</v>
      </c>
      <c r="AG401" s="337">
        <f t="shared" si="340"/>
        <v>2.5826076420456703</v>
      </c>
      <c r="AH401" s="730">
        <f t="shared" si="341"/>
        <v>-1.5277427365475165</v>
      </c>
      <c r="AI401" s="731" t="str">
        <f t="shared" si="319"/>
        <v>10000</v>
      </c>
      <c r="AJ401" s="733" t="str">
        <f t="shared" si="342"/>
        <v>1+214806.650172721i</v>
      </c>
      <c r="AK401" s="734">
        <f t="shared" si="343"/>
        <v>214806.65017504871</v>
      </c>
      <c r="AL401" s="735">
        <f t="shared" si="344"/>
        <v>1.5707916714455432</v>
      </c>
      <c r="AM401" s="340" t="str">
        <f t="shared" si="345"/>
        <v>1+364.551567628655i</v>
      </c>
      <c r="AN401" s="734">
        <f t="shared" si="346"/>
        <v>364.5529391741477</v>
      </c>
      <c r="AO401" s="735">
        <f t="shared" si="347"/>
        <v>1.5680532375295726</v>
      </c>
      <c r="AP401" s="733" t="str">
        <f t="shared" si="348"/>
        <v>1+17.681351931554i</v>
      </c>
      <c r="AQ401" s="734">
        <f t="shared" si="349"/>
        <v>17.709607734997082</v>
      </c>
      <c r="AR401" s="735">
        <f t="shared" si="350"/>
        <v>1.5142997521504438</v>
      </c>
      <c r="AS401" s="732" t="str">
        <f t="shared" si="351"/>
        <v>0.00207772346013298-6.44627527225799i</v>
      </c>
      <c r="AT401" s="337">
        <f t="shared" si="352"/>
        <v>6.4462756070974505</v>
      </c>
      <c r="AU401" s="730">
        <f t="shared" si="353"/>
        <v>-1.5704740130089612</v>
      </c>
      <c r="AV401" s="732" t="str">
        <f t="shared" si="354"/>
        <v>-0.253000796957854+0.0549268207007694i</v>
      </c>
      <c r="AW401" s="337">
        <f t="shared" si="355"/>
        <v>-11.737543723617021</v>
      </c>
      <c r="AX401" s="730">
        <f t="shared" si="356"/>
        <v>167.75108936982207</v>
      </c>
      <c r="AY401" s="360">
        <f t="shared" si="357"/>
        <v>-12.248910630177932</v>
      </c>
      <c r="BB401" s="337">
        <f t="shared" si="358"/>
        <v>-23.813822607926308</v>
      </c>
      <c r="BC401" s="730">
        <f t="shared" si="359"/>
        <v>-89.981532780387013</v>
      </c>
      <c r="BD401" s="351"/>
      <c r="BE401" s="337">
        <f t="shared" si="320"/>
        <v>32.51793683555838</v>
      </c>
      <c r="BF401" s="730">
        <f t="shared" si="321"/>
        <v>-89.415418262497795</v>
      </c>
      <c r="BI401" s="351"/>
      <c r="BJ401" s="351"/>
      <c r="BL401" s="405">
        <f t="shared" si="322"/>
        <v>0</v>
      </c>
      <c r="BM401" s="405">
        <f t="shared" si="310"/>
        <v>0</v>
      </c>
      <c r="BN401" s="405">
        <f t="shared" si="323"/>
        <v>0</v>
      </c>
      <c r="BO401" s="405">
        <f t="shared" si="324"/>
        <v>0</v>
      </c>
    </row>
    <row r="402" spans="4:67" ht="13.5" thickBot="1" x14ac:dyDescent="0.25">
      <c r="D402" s="345">
        <v>36519.5</v>
      </c>
      <c r="E402" s="340" t="str">
        <f t="shared" si="311"/>
        <v>0.605771194579439i</v>
      </c>
      <c r="F402" s="728" t="str">
        <f t="shared" si="325"/>
        <v>0.005-0.0714439526208189i</v>
      </c>
      <c r="G402" s="337" t="str">
        <f t="shared" si="326"/>
        <v>0.005-0.111745669483845i</v>
      </c>
      <c r="H402" s="338" t="str">
        <f t="shared" si="327"/>
        <v>0.0150332828823113-0.109913228058762i</v>
      </c>
      <c r="I402" s="338" t="str">
        <f t="shared" si="328"/>
        <v>0.0250332828823113-0.109913228058762i</v>
      </c>
      <c r="J402" s="337" t="str">
        <f t="shared" si="329"/>
        <v>0.00567995902608804-0.0435497333494861i</v>
      </c>
      <c r="K402" s="338" t="str">
        <f t="shared" si="312"/>
        <v>0.985181401330556-0.191215654854621i</v>
      </c>
      <c r="L402" s="732"/>
      <c r="M402" s="732" t="str">
        <f t="shared" si="313"/>
        <v>0.424031424423442-41.9720575362951i</v>
      </c>
      <c r="N402" s="337">
        <f t="shared" si="314"/>
        <v>0</v>
      </c>
      <c r="O402" s="730" t="str">
        <f t="shared" si="315"/>
        <v>-1.37432656175599-16.2952135858278i</v>
      </c>
      <c r="P402" s="731" t="str">
        <f t="shared" si="316"/>
        <v>-1.82546343271844-0.25686602251221i</v>
      </c>
      <c r="Q402" s="729" t="str">
        <f t="shared" si="317"/>
        <v>-1.81172016710088-0.0939138866539326i</v>
      </c>
      <c r="R402" s="730"/>
      <c r="S402" s="405" t="str">
        <f t="shared" si="330"/>
        <v>39.3748577432936-6.519770887696i</v>
      </c>
      <c r="T402" s="405" t="str">
        <f t="shared" si="331"/>
        <v>15.0332635495162-3.97239396758417i</v>
      </c>
      <c r="U402" s="405" t="str">
        <f t="shared" si="332"/>
        <v>-0.210619340514111-1.71207264722013i</v>
      </c>
      <c r="V402" s="731" t="str">
        <f t="shared" si="318"/>
        <v>6000</v>
      </c>
      <c r="W402" s="733" t="str">
        <f>IMSUM(COMPLEX(1,0),IMDIV(COMPLEX(0,2*PI()*D402),COMPLEX(2*PI()*'Stability Calculations'!EA_Pole1,0)))</f>
        <v>1+231753.3736838i</v>
      </c>
      <c r="X402" s="734">
        <f t="shared" si="333"/>
        <v>231753.37368595749</v>
      </c>
      <c r="Y402" s="735">
        <f t="shared" si="334"/>
        <v>1.5707920118631047</v>
      </c>
      <c r="Z402" s="340" t="str">
        <f>IMSUM(COMPLEX(1,0),IMDIV(COMPLEX(0,2*PI()*D402),COMPLEX(2*PI()*'Stability Calculations'!EA_Zero1,0)))</f>
        <v>1+2294.58785825545i</v>
      </c>
      <c r="AA402" s="734">
        <f t="shared" si="335"/>
        <v>2294.5880761594954</v>
      </c>
      <c r="AB402" s="735">
        <f t="shared" si="336"/>
        <v>1.5703605187115004</v>
      </c>
      <c r="AC402" s="733" t="str">
        <f>IMSUM(COMPLEX(1,0),IMDIV(COMPLEX(0,2*PI()*D402),COMPLEX(2*PI()*'Stability Calculations'!EA_Pole2,0)))</f>
        <v>1+23.114430121016i</v>
      </c>
      <c r="AD402" s="734">
        <f t="shared" si="337"/>
        <v>23.136051517476609</v>
      </c>
      <c r="AE402" s="735">
        <f t="shared" si="338"/>
        <v>1.5275602704334836</v>
      </c>
      <c r="AF402" s="732" t="str">
        <f t="shared" si="339"/>
        <v>0.109874804549344-2.56532674998563i</v>
      </c>
      <c r="AG402" s="337">
        <f t="shared" si="340"/>
        <v>2.5676786806114564</v>
      </c>
      <c r="AH402" s="730">
        <f t="shared" si="341"/>
        <v>-1.5279917635850879</v>
      </c>
      <c r="AI402" s="731" t="str">
        <f t="shared" si="319"/>
        <v>10000</v>
      </c>
      <c r="AJ402" s="733" t="str">
        <f t="shared" si="342"/>
        <v>1+216057.933815762i</v>
      </c>
      <c r="AK402" s="734">
        <f t="shared" si="343"/>
        <v>216057.93381807618</v>
      </c>
      <c r="AL402" s="735">
        <f t="shared" si="344"/>
        <v>1.5707916984066568</v>
      </c>
      <c r="AM402" s="340" t="str">
        <f t="shared" si="345"/>
        <v>1+366.675139749221i</v>
      </c>
      <c r="AN402" s="734">
        <f t="shared" si="346"/>
        <v>366.67650335153837</v>
      </c>
      <c r="AO402" s="735">
        <f t="shared" si="347"/>
        <v>1.5680691238504298</v>
      </c>
      <c r="AP402" s="733" t="str">
        <f t="shared" si="348"/>
        <v>1+17.7843486797507i</v>
      </c>
      <c r="AQ402" s="734">
        <f t="shared" si="349"/>
        <v>17.812441100617018</v>
      </c>
      <c r="AR402" s="735">
        <f t="shared" si="350"/>
        <v>1.5146262581291279</v>
      </c>
      <c r="AS402" s="732" t="str">
        <f t="shared" si="351"/>
        <v>0.00205372718532616-6.40894215052124i</v>
      </c>
      <c r="AT402" s="337">
        <f t="shared" si="352"/>
        <v>6.4089424795767336</v>
      </c>
      <c r="AU402" s="730">
        <f t="shared" si="353"/>
        <v>-1.5704758796654334</v>
      </c>
      <c r="AV402" s="732" t="str">
        <f t="shared" si="354"/>
        <v>-0.249977169705616+0.0546440099133227i</v>
      </c>
      <c r="AW402" s="337">
        <f t="shared" si="355"/>
        <v>-11.839274565726289</v>
      </c>
      <c r="AX402" s="730">
        <f t="shared" si="356"/>
        <v>167.66933348830139</v>
      </c>
      <c r="AY402" s="360">
        <f t="shared" si="357"/>
        <v>-12.33066651169861</v>
      </c>
      <c r="BB402" s="337">
        <f t="shared" si="358"/>
        <v>-23.864272524051305</v>
      </c>
      <c r="BC402" s="730">
        <f t="shared" si="359"/>
        <v>-89.981639731924687</v>
      </c>
      <c r="BD402" s="351"/>
      <c r="BE402" s="337">
        <f t="shared" si="320"/>
        <v>32.459648429386455</v>
      </c>
      <c r="BF402" s="730">
        <f t="shared" si="321"/>
        <v>-89.421177185110764</v>
      </c>
      <c r="BI402" s="351"/>
      <c r="BJ402" s="351"/>
      <c r="BL402" s="405">
        <f t="shared" si="322"/>
        <v>0</v>
      </c>
      <c r="BM402" s="405">
        <f t="shared" si="310"/>
        <v>0</v>
      </c>
      <c r="BN402" s="405">
        <f t="shared" si="323"/>
        <v>0</v>
      </c>
      <c r="BO402" s="405">
        <f t="shared" si="324"/>
        <v>0</v>
      </c>
    </row>
    <row r="403" spans="4:67" ht="13.5" thickBot="1" x14ac:dyDescent="0.25">
      <c r="D403" s="345">
        <v>36731</v>
      </c>
      <c r="E403" s="340" t="str">
        <f t="shared" si="311"/>
        <v>0.609279473927555i</v>
      </c>
      <c r="F403" s="728" t="str">
        <f t="shared" si="325"/>
        <v>0.005-0.0710325726970677i</v>
      </c>
      <c r="G403" s="337" t="str">
        <f t="shared" si="326"/>
        <v>0.005-0.111102229090285i</v>
      </c>
      <c r="H403" s="338" t="str">
        <f t="shared" si="327"/>
        <v>0.0149187826752088-0.109290752018541i</v>
      </c>
      <c r="I403" s="338" t="str">
        <f t="shared" si="328"/>
        <v>0.0249187826752088-0.109290752018541i</v>
      </c>
      <c r="J403" s="337" t="str">
        <f t="shared" si="329"/>
        <v>0.0056621266203023-0.0433000740344858i</v>
      </c>
      <c r="K403" s="338" t="str">
        <f t="shared" si="312"/>
        <v>0.985009262655556-0.192323066265011i</v>
      </c>
      <c r="L403" s="732"/>
      <c r="M403" s="732" t="str">
        <f t="shared" si="313"/>
        <v>0.417106414124407-41.6934579158312i</v>
      </c>
      <c r="N403" s="337">
        <f t="shared" si="314"/>
        <v>0</v>
      </c>
      <c r="O403" s="730" t="str">
        <f t="shared" si="315"/>
        <v>-1.36511482804537-16.185734591262i</v>
      </c>
      <c r="P403" s="731" t="str">
        <f t="shared" si="316"/>
        <v>-1.80296810517829-0.254134376569527i</v>
      </c>
      <c r="Q403" s="729" t="str">
        <f t="shared" si="317"/>
        <v>-1.78931695689784-0.0922770306569078i</v>
      </c>
      <c r="R403" s="730"/>
      <c r="S403" s="405" t="str">
        <f t="shared" si="330"/>
        <v>39.3654701095093-6.56979904566566i</v>
      </c>
      <c r="T403" s="405" t="str">
        <f t="shared" si="331"/>
        <v>15.0269714805033-3.98967284401614i</v>
      </c>
      <c r="U403" s="405" t="str">
        <f t="shared" si="332"/>
        <v>-0.211850223646283-1.70183007577043i</v>
      </c>
      <c r="V403" s="731" t="str">
        <f t="shared" si="318"/>
        <v>6000</v>
      </c>
      <c r="W403" s="733" t="str">
        <f>IMSUM(COMPLEX(1,0),IMDIV(COMPLEX(0,2*PI()*D403),COMPLEX(2*PI()*'Stability Calculations'!EA_Pole1,0)))</f>
        <v>1+233095.556313193i</v>
      </c>
      <c r="X403" s="734">
        <f t="shared" si="333"/>
        <v>233095.55631533804</v>
      </c>
      <c r="Y403" s="735">
        <f t="shared" si="334"/>
        <v>1.5707920367088228</v>
      </c>
      <c r="Z403" s="340" t="str">
        <f>IMSUM(COMPLEX(1,0),IMDIV(COMPLEX(0,2*PI()*D403),COMPLEX(2*PI()*'Stability Calculations'!EA_Zero1,0)))</f>
        <v>1+2307.87679518013i</v>
      </c>
      <c r="AA403" s="734">
        <f t="shared" si="335"/>
        <v>2307.8770118294665</v>
      </c>
      <c r="AB403" s="735">
        <f t="shared" si="336"/>
        <v>1.5703630281285614</v>
      </c>
      <c r="AC403" s="733" t="str">
        <f>IMSUM(COMPLEX(1,0),IMDIV(COMPLEX(0,2*PI()*D403),COMPLEX(2*PI()*'Stability Calculations'!EA_Pole2,0)))</f>
        <v>1+23.248295644109i</v>
      </c>
      <c r="AD403" s="734">
        <f t="shared" si="337"/>
        <v>23.269792658205994</v>
      </c>
      <c r="AE403" s="735">
        <f t="shared" si="338"/>
        <v>1.5278089195884375</v>
      </c>
      <c r="AF403" s="732" t="str">
        <f t="shared" si="339"/>
        <v>0.108615441955048-2.5506095659303i</v>
      </c>
      <c r="AG403" s="337">
        <f t="shared" si="340"/>
        <v>2.55292116447928</v>
      </c>
      <c r="AH403" s="730">
        <f t="shared" si="341"/>
        <v>-1.5282379281686986</v>
      </c>
      <c r="AI403" s="731" t="str">
        <f t="shared" si="319"/>
        <v>10000</v>
      </c>
      <c r="AJ403" s="733" t="str">
        <f t="shared" si="342"/>
        <v>1+217309.217458803i</v>
      </c>
      <c r="AK403" s="734">
        <f t="shared" si="343"/>
        <v>217309.21746110386</v>
      </c>
      <c r="AL403" s="735">
        <f t="shared" si="344"/>
        <v>1.570791725057282</v>
      </c>
      <c r="AM403" s="340" t="str">
        <f t="shared" si="345"/>
        <v>1+368.798711869785i</v>
      </c>
      <c r="AN403" s="734">
        <f t="shared" si="346"/>
        <v>368.80006762040142</v>
      </c>
      <c r="AO403" s="735">
        <f t="shared" si="347"/>
        <v>1.5680848272232588</v>
      </c>
      <c r="AP403" s="733" t="str">
        <f t="shared" si="348"/>
        <v>1+17.8873454279473i</v>
      </c>
      <c r="AQ403" s="734">
        <f t="shared" si="349"/>
        <v>17.915276343353099</v>
      </c>
      <c r="AR403" s="735">
        <f t="shared" si="350"/>
        <v>1.5149490157965204</v>
      </c>
      <c r="AS403" s="732" t="str">
        <f t="shared" si="351"/>
        <v>0.00203014423323482-6.37203896278192i</v>
      </c>
      <c r="AT403" s="337">
        <f t="shared" si="352"/>
        <v>6.372039286185899</v>
      </c>
      <c r="AU403" s="730">
        <f t="shared" si="353"/>
        <v>-1.5704777248251973</v>
      </c>
      <c r="AV403" s="732" t="str">
        <f t="shared" si="354"/>
        <v>-0.247005714526585+0.0543636057505485i</v>
      </c>
      <c r="AW403" s="337">
        <f t="shared" si="355"/>
        <v>-11.940424917104417</v>
      </c>
      <c r="AX403" s="730">
        <f t="shared" si="356"/>
        <v>167.5876368879658</v>
      </c>
      <c r="AY403" s="360">
        <f t="shared" si="357"/>
        <v>-12.4123631120342</v>
      </c>
      <c r="BB403" s="337">
        <f t="shared" si="358"/>
        <v>-23.91443110524877</v>
      </c>
      <c r="BC403" s="730">
        <f t="shared" si="359"/>
        <v>-89.981745451791681</v>
      </c>
      <c r="BD403" s="351"/>
      <c r="BE403" s="337">
        <f t="shared" si="320"/>
        <v>32.401792941797062</v>
      </c>
      <c r="BF403" s="730">
        <f t="shared" si="321"/>
        <v>-89.426825187732291</v>
      </c>
      <c r="BI403" s="351"/>
      <c r="BJ403" s="351"/>
      <c r="BL403" s="405">
        <f t="shared" si="322"/>
        <v>0</v>
      </c>
      <c r="BM403" s="405">
        <f t="shared" si="310"/>
        <v>0</v>
      </c>
      <c r="BN403" s="405">
        <f t="shared" si="323"/>
        <v>0</v>
      </c>
      <c r="BO403" s="405">
        <f t="shared" si="324"/>
        <v>0</v>
      </c>
    </row>
    <row r="404" spans="4:67" ht="13.5" thickBot="1" x14ac:dyDescent="0.25">
      <c r="D404" s="345">
        <v>36942.5</v>
      </c>
      <c r="E404" s="340" t="str">
        <f t="shared" si="311"/>
        <v>0.612787753275672i</v>
      </c>
      <c r="F404" s="728" t="str">
        <f t="shared" si="325"/>
        <v>0.005-0.0706259031667047i</v>
      </c>
      <c r="G404" s="337" t="str">
        <f t="shared" si="326"/>
        <v>0.005-0.110466156235102i</v>
      </c>
      <c r="H404" s="338" t="str">
        <f t="shared" si="327"/>
        <v>0.0148062221478078-0.108675228079407i</v>
      </c>
      <c r="I404" s="338" t="str">
        <f t="shared" si="328"/>
        <v>0.0248062221478078-0.108675228079407i</v>
      </c>
      <c r="J404" s="337" t="str">
        <f t="shared" si="329"/>
        <v>0.00564459793588073-0.0430532652559381i</v>
      </c>
      <c r="K404" s="338" t="str">
        <f t="shared" si="312"/>
        <v>0.984836129930555-0.193430477675402i</v>
      </c>
      <c r="L404" s="732"/>
      <c r="M404" s="732" t="str">
        <f t="shared" si="313"/>
        <v>0.410352770041948-41.4187384120301i</v>
      </c>
      <c r="N404" s="337">
        <f t="shared" si="314"/>
        <v>0</v>
      </c>
      <c r="O404" s="730" t="str">
        <f t="shared" si="315"/>
        <v>-1.356058420741-16.077785153703i</v>
      </c>
      <c r="P404" s="731" t="str">
        <f t="shared" si="316"/>
        <v>-1.78089565502068-0.251459152004453i</v>
      </c>
      <c r="Q404" s="729" t="str">
        <f t="shared" si="317"/>
        <v>-1.76733507081327-0.0906813004674236i</v>
      </c>
      <c r="R404" s="730"/>
      <c r="S404" s="405" t="str">
        <f t="shared" si="330"/>
        <v>39.3560090762566-6.61974311091246i</v>
      </c>
      <c r="T404" s="405" t="str">
        <f t="shared" si="331"/>
        <v>15.0206513493975-4.00696948474481i</v>
      </c>
      <c r="U404" s="405" t="str">
        <f t="shared" si="332"/>
        <v>-0.213059221977917-1.69170079162764i</v>
      </c>
      <c r="V404" s="731" t="str">
        <f t="shared" si="318"/>
        <v>6000</v>
      </c>
      <c r="W404" s="733" t="str">
        <f>IMSUM(COMPLEX(1,0),IMDIV(COMPLEX(0,2*PI()*D404),COMPLEX(2*PI()*'Stability Calculations'!EA_Pole1,0)))</f>
        <v>1+234437.738942587i</v>
      </c>
      <c r="X404" s="734">
        <f t="shared" si="333"/>
        <v>234437.73894471975</v>
      </c>
      <c r="Y404" s="735">
        <f t="shared" si="334"/>
        <v>1.5707920612700519</v>
      </c>
      <c r="Z404" s="340" t="str">
        <f>IMSUM(COMPLEX(1,0),IMDIV(COMPLEX(0,2*PI()*D404),COMPLEX(2*PI()*'Stability Calculations'!EA_Zero1,0)))</f>
        <v>1+2321.16573210482i</v>
      </c>
      <c r="AA404" s="734">
        <f t="shared" si="335"/>
        <v>2321.1659475138149</v>
      </c>
      <c r="AB404" s="735">
        <f t="shared" si="336"/>
        <v>1.5703655088122337</v>
      </c>
      <c r="AC404" s="733" t="str">
        <f>IMSUM(COMPLEX(1,0),IMDIV(COMPLEX(0,2*PI()*D404),COMPLEX(2*PI()*'Stability Calculations'!EA_Pole2,0)))</f>
        <v>1+23.3821611672021i</v>
      </c>
      <c r="AD404" s="734">
        <f t="shared" si="337"/>
        <v>23.403535221180018</v>
      </c>
      <c r="AE404" s="735">
        <f t="shared" si="338"/>
        <v>1.5280547268822104</v>
      </c>
      <c r="AF404" s="732" t="str">
        <f t="shared" si="339"/>
        <v>0.107377594710036-2.5360599768089i</v>
      </c>
      <c r="AG404" s="337">
        <f t="shared" si="340"/>
        <v>2.5383321598675126</v>
      </c>
      <c r="AH404" s="730">
        <f t="shared" si="341"/>
        <v>-1.5284812793400286</v>
      </c>
      <c r="AI404" s="731" t="str">
        <f t="shared" si="319"/>
        <v>10000</v>
      </c>
      <c r="AJ404" s="733" t="str">
        <f t="shared" si="342"/>
        <v>1+218560.501101844i</v>
      </c>
      <c r="AK404" s="734">
        <f t="shared" si="343"/>
        <v>218560.50110413172</v>
      </c>
      <c r="AL404" s="735">
        <f t="shared" si="344"/>
        <v>1.5707917514027514</v>
      </c>
      <c r="AM404" s="340" t="str">
        <f t="shared" si="345"/>
        <v>1+370.92228399035i</v>
      </c>
      <c r="AN404" s="734">
        <f t="shared" si="346"/>
        <v>370.92363197916887</v>
      </c>
      <c r="AO404" s="735">
        <f t="shared" si="347"/>
        <v>1.5681003507902234</v>
      </c>
      <c r="AP404" s="733" t="str">
        <f t="shared" si="348"/>
        <v>1+17.990342176144i</v>
      </c>
      <c r="AQ404" s="734">
        <f t="shared" si="349"/>
        <v>18.018113431065572</v>
      </c>
      <c r="AR404" s="735">
        <f t="shared" si="350"/>
        <v>1.5152680892644468</v>
      </c>
      <c r="AS404" s="732" t="str">
        <f t="shared" si="351"/>
        <v>0.00200696516573011-6.33555832478031i</v>
      </c>
      <c r="AT404" s="337">
        <f t="shared" si="352"/>
        <v>6.3355586426614554</v>
      </c>
      <c r="AU404" s="730">
        <f t="shared" si="353"/>
        <v>-1.5704795488574654</v>
      </c>
      <c r="AV404" s="732" t="str">
        <f t="shared" si="354"/>
        <v>-0.244085238042143+0.0540855851367475i</v>
      </c>
      <c r="AW404" s="337">
        <f t="shared" si="355"/>
        <v>-12.041001518351703</v>
      </c>
      <c r="AX404" s="730">
        <f t="shared" si="356"/>
        <v>167.50599847404757</v>
      </c>
      <c r="AY404" s="360">
        <f t="shared" si="357"/>
        <v>-12.494001525952427</v>
      </c>
      <c r="BB404" s="337">
        <f t="shared" si="358"/>
        <v>-23.964301696973024</v>
      </c>
      <c r="BC404" s="730">
        <f t="shared" si="359"/>
        <v>-89.981849961142331</v>
      </c>
      <c r="BD404" s="351"/>
      <c r="BE404" s="337">
        <f t="shared" si="320"/>
        <v>32.344363597848954</v>
      </c>
      <c r="BF404" s="730">
        <f t="shared" si="321"/>
        <v>-89.432365313143279</v>
      </c>
      <c r="BI404" s="351"/>
      <c r="BJ404" s="351"/>
      <c r="BL404" s="405">
        <f t="shared" si="322"/>
        <v>0</v>
      </c>
      <c r="BM404" s="405">
        <f t="shared" si="310"/>
        <v>0</v>
      </c>
      <c r="BN404" s="405">
        <f t="shared" si="323"/>
        <v>0</v>
      </c>
      <c r="BO404" s="405">
        <f t="shared" si="324"/>
        <v>0</v>
      </c>
    </row>
    <row r="405" spans="4:67" ht="13.5" thickBot="1" x14ac:dyDescent="0.25">
      <c r="D405" s="345">
        <v>37154</v>
      </c>
      <c r="E405" s="340" t="str">
        <f t="shared" si="311"/>
        <v>0.616296032623789i</v>
      </c>
      <c r="F405" s="728" t="str">
        <f t="shared" si="325"/>
        <v>0.005-0.0702238635876617i</v>
      </c>
      <c r="G405" s="337" t="str">
        <f t="shared" si="326"/>
        <v>0.005-0.109837325098651i</v>
      </c>
      <c r="H405" s="338" t="str">
        <f t="shared" si="327"/>
        <v>0.0146955578520041-0.108066541422697i</v>
      </c>
      <c r="I405" s="338" t="str">
        <f t="shared" si="328"/>
        <v>0.0246955578520041-0.108066541422697i</v>
      </c>
      <c r="J405" s="337" t="str">
        <f t="shared" si="329"/>
        <v>0.00562736608472177-0.042809258572707i</v>
      </c>
      <c r="K405" s="338" t="str">
        <f t="shared" si="312"/>
        <v>0.984662003155556-0.194537889085792i</v>
      </c>
      <c r="L405" s="732"/>
      <c r="M405" s="732" t="str">
        <f t="shared" si="313"/>
        <v>0.403764883289627-41.1478153201274i</v>
      </c>
      <c r="N405" s="337">
        <f t="shared" si="314"/>
        <v>0</v>
      </c>
      <c r="O405" s="730" t="str">
        <f t="shared" si="315"/>
        <v>-1.34715386511553-15.9713320515029i</v>
      </c>
      <c r="P405" s="731" t="str">
        <f t="shared" si="316"/>
        <v>-1.75923533293091-0.248838695684205i</v>
      </c>
      <c r="Q405" s="729" t="str">
        <f t="shared" si="317"/>
        <v>-1.74576379427976-0.0891253751691746i</v>
      </c>
      <c r="R405" s="730"/>
      <c r="S405" s="405" t="str">
        <f t="shared" si="330"/>
        <v>39.3464749477129-6.66960422680272i</v>
      </c>
      <c r="T405" s="405" t="str">
        <f t="shared" si="331"/>
        <v>15.0143030494201-4.02428334513017i</v>
      </c>
      <c r="U405" s="405" t="str">
        <f t="shared" si="332"/>
        <v>-0.214246823742907-1.68168289113432i</v>
      </c>
      <c r="V405" s="731" t="str">
        <f t="shared" si="318"/>
        <v>6000</v>
      </c>
      <c r="W405" s="733" t="str">
        <f>IMSUM(COMPLEX(1,0),IMDIV(COMPLEX(0,2*PI()*D405),COMPLEX(2*PI()*'Stability Calculations'!EA_Pole1,0)))</f>
        <v>1+235779.92157198i</v>
      </c>
      <c r="X405" s="734">
        <f t="shared" si="333"/>
        <v>235779.92157410065</v>
      </c>
      <c r="Y405" s="735">
        <f t="shared" si="334"/>
        <v>1.5707920855516502</v>
      </c>
      <c r="Z405" s="340" t="str">
        <f>IMSUM(COMPLEX(1,0),IMDIV(COMPLEX(0,2*PI()*D405),COMPLEX(2*PI()*'Stability Calculations'!EA_Zero1,0)))</f>
        <v>1+2334.4546690295i</v>
      </c>
      <c r="AA405" s="734">
        <f t="shared" si="335"/>
        <v>2334.4548832122741</v>
      </c>
      <c r="AB405" s="735">
        <f t="shared" si="336"/>
        <v>1.5703679612532131</v>
      </c>
      <c r="AC405" s="733" t="str">
        <f>IMSUM(COMPLEX(1,0),IMDIV(COMPLEX(0,2*PI()*D405),COMPLEX(2*PI()*'Stability Calculations'!EA_Pole2,0)))</f>
        <v>1+23.516026690295i</v>
      </c>
      <c r="AD405" s="734">
        <f t="shared" si="337"/>
        <v>23.537279182154144</v>
      </c>
      <c r="AE405" s="735">
        <f t="shared" si="338"/>
        <v>1.5282977407290701</v>
      </c>
      <c r="AF405" s="732" t="str">
        <f t="shared" si="339"/>
        <v>0.106160775783385-2.52167514121801i</v>
      </c>
      <c r="AG405" s="337">
        <f t="shared" si="340"/>
        <v>2.5239087994917329</v>
      </c>
      <c r="AH405" s="730">
        <f t="shared" si="341"/>
        <v>-1.5287218650275072</v>
      </c>
      <c r="AI405" s="731" t="str">
        <f t="shared" si="319"/>
        <v>10000</v>
      </c>
      <c r="AJ405" s="733" t="str">
        <f t="shared" si="342"/>
        <v>1+219811.784744885i</v>
      </c>
      <c r="AK405" s="734">
        <f t="shared" si="343"/>
        <v>219811.78474715963</v>
      </c>
      <c r="AL405" s="735">
        <f t="shared" si="344"/>
        <v>1.5707917774482765</v>
      </c>
      <c r="AM405" s="340" t="str">
        <f t="shared" si="345"/>
        <v>1+373.045856110914i</v>
      </c>
      <c r="AN405" s="734">
        <f t="shared" si="346"/>
        <v>373.04719642630306</v>
      </c>
      <c r="AO405" s="735">
        <f t="shared" si="347"/>
        <v>1.5681156976219406</v>
      </c>
      <c r="AP405" s="733" t="str">
        <f t="shared" si="348"/>
        <v>1+18.0933389243406i</v>
      </c>
      <c r="AQ405" s="734">
        <f t="shared" si="349"/>
        <v>18.120952332343315</v>
      </c>
      <c r="AR405" s="735">
        <f t="shared" si="350"/>
        <v>1.5155835411923975</v>
      </c>
      <c r="AS405" s="732" t="str">
        <f t="shared" si="351"/>
        <v>0.00198418081255025-6.29949302039707i</v>
      </c>
      <c r="AT405" s="337">
        <f t="shared" si="352"/>
        <v>6.2994933328804228</v>
      </c>
      <c r="AU405" s="730">
        <f t="shared" si="353"/>
        <v>-1.5704813521230445</v>
      </c>
      <c r="AV405" s="732" t="str">
        <f t="shared" si="354"/>
        <v>-0.241214580814437+0.0538099249961242i</v>
      </c>
      <c r="AW405" s="337">
        <f t="shared" si="355"/>
        <v>-12.141010994184253</v>
      </c>
      <c r="AX405" s="730">
        <f t="shared" si="356"/>
        <v>167.42441717759561</v>
      </c>
      <c r="AY405" s="360">
        <f t="shared" si="357"/>
        <v>-12.575582822404385</v>
      </c>
      <c r="BB405" s="337">
        <f t="shared" si="358"/>
        <v>-24.013887587382197</v>
      </c>
      <c r="BC405" s="730">
        <f t="shared" si="359"/>
        <v>-89.981953280649364</v>
      </c>
      <c r="BD405" s="351"/>
      <c r="BE405" s="337">
        <f t="shared" si="320"/>
        <v>32.287353784296386</v>
      </c>
      <c r="BF405" s="730">
        <f t="shared" si="321"/>
        <v>-89.437800498127231</v>
      </c>
      <c r="BI405" s="351"/>
      <c r="BJ405" s="351"/>
      <c r="BL405" s="405">
        <f t="shared" si="322"/>
        <v>0</v>
      </c>
      <c r="BM405" s="405">
        <f t="shared" si="310"/>
        <v>0</v>
      </c>
      <c r="BN405" s="405">
        <f t="shared" si="323"/>
        <v>0</v>
      </c>
      <c r="BO405" s="405">
        <f t="shared" si="324"/>
        <v>0</v>
      </c>
    </row>
    <row r="406" spans="4:67" ht="13.5" thickBot="1" x14ac:dyDescent="0.25">
      <c r="D406" s="345">
        <v>37370.25</v>
      </c>
      <c r="E406" s="340" t="str">
        <f t="shared" si="311"/>
        <v>0.619883103115658i</v>
      </c>
      <c r="F406" s="728" t="str">
        <f t="shared" si="325"/>
        <v>0.005-0.0698174999561413i</v>
      </c>
      <c r="G406" s="337" t="str">
        <f t="shared" si="326"/>
        <v>0.005-0.109201730700631i</v>
      </c>
      <c r="H406" s="338" t="str">
        <f t="shared" si="327"/>
        <v>0.0145843247824083-0.107451136844553i</v>
      </c>
      <c r="I406" s="338" t="str">
        <f t="shared" si="328"/>
        <v>0.0245843247824083-0.107451136844553i</v>
      </c>
      <c r="J406" s="337" t="str">
        <f t="shared" si="329"/>
        <v>0.00561004716554663-0.0425626197142419i</v>
      </c>
      <c r="K406" s="338" t="str">
        <f t="shared" si="312"/>
        <v>0.98448293794375-0.195670171438023i</v>
      </c>
      <c r="L406" s="732"/>
      <c r="M406" s="732" t="str">
        <f t="shared" si="313"/>
        <v>0.397194818925206-40.8746483050458i</v>
      </c>
      <c r="N406" s="337">
        <f t="shared" si="314"/>
        <v>0</v>
      </c>
      <c r="O406" s="730" t="str">
        <f t="shared" si="315"/>
        <v>-1.3382028098741-15.8640017001989i</v>
      </c>
      <c r="P406" s="731" t="str">
        <f t="shared" si="316"/>
        <v>-1.73750383009297-0.246214356896818i</v>
      </c>
      <c r="Q406" s="729" t="str">
        <f t="shared" si="317"/>
        <v>-1.72412180199423-0.087574339894828i</v>
      </c>
      <c r="R406" s="730"/>
      <c r="S406" s="405" t="str">
        <f t="shared" si="330"/>
        <v>39.3366514272489-6.72050055281651i</v>
      </c>
      <c r="T406" s="405" t="str">
        <f t="shared" si="331"/>
        <v>15.0077829429126-4.04200329902619i</v>
      </c>
      <c r="U406" s="405" t="str">
        <f t="shared" si="332"/>
        <v>-0.215439468906476-1.67155322761681i</v>
      </c>
      <c r="V406" s="731" t="str">
        <f t="shared" si="318"/>
        <v>6000</v>
      </c>
      <c r="W406" s="733" t="str">
        <f>IMSUM(COMPLEX(1,0),IMDIV(COMPLEX(0,2*PI()*D406),COMPLEX(2*PI()*'Stability Calculations'!EA_Pole1,0)))</f>
        <v>1+237152.247782884i</v>
      </c>
      <c r="X406" s="734">
        <f t="shared" si="333"/>
        <v>237152.24778499233</v>
      </c>
      <c r="Y406" s="735">
        <f t="shared" si="334"/>
        <v>1.5707921100944042</v>
      </c>
      <c r="Z406" s="340" t="str">
        <f>IMSUM(COMPLEX(1,0),IMDIV(COMPLEX(0,2*PI()*D406),COMPLEX(2*PI()*'Stability Calculations'!EA_Zero1,0)))</f>
        <v>1+2348.04205725628i</v>
      </c>
      <c r="AA406" s="734">
        <f t="shared" si="335"/>
        <v>2348.0422701996449</v>
      </c>
      <c r="AB406" s="735">
        <f t="shared" si="336"/>
        <v>1.5703704400709133</v>
      </c>
      <c r="AC406" s="733" t="str">
        <f>IMSUM(COMPLEX(1,0),IMDIV(COMPLEX(0,2*PI()*D406),COMPLEX(2*PI()*'Stability Calculations'!EA_Pole2,0)))</f>
        <v>1+23.6528986494859i</v>
      </c>
      <c r="AD406" s="734">
        <f t="shared" si="337"/>
        <v>23.674028269875237</v>
      </c>
      <c r="AE406" s="735">
        <f t="shared" si="338"/>
        <v>1.5285433733643714</v>
      </c>
      <c r="AF406" s="732" t="str">
        <f t="shared" si="339"/>
        <v>0.104937877807705-2.50713469417279i</v>
      </c>
      <c r="AG406" s="337">
        <f t="shared" si="340"/>
        <v>2.509329857337149</v>
      </c>
      <c r="AH406" s="730">
        <f t="shared" si="341"/>
        <v>-1.5289650433878625</v>
      </c>
      <c r="AI406" s="731" t="str">
        <f t="shared" si="319"/>
        <v>10000</v>
      </c>
      <c r="AJ406" s="733" t="str">
        <f t="shared" si="342"/>
        <v>1+221091.170502841i</v>
      </c>
      <c r="AK406" s="734">
        <f t="shared" si="343"/>
        <v>221091.17050510249</v>
      </c>
      <c r="AL406" s="735">
        <f t="shared" si="344"/>
        <v>1.5707918037739288</v>
      </c>
      <c r="AM406" s="340" t="str">
        <f t="shared" si="345"/>
        <v>1+375.217120749553i</v>
      </c>
      <c r="AN406" s="734">
        <f t="shared" si="346"/>
        <v>375.21845330898185</v>
      </c>
      <c r="AO406" s="735">
        <f t="shared" si="347"/>
        <v>1.568131209514575</v>
      </c>
      <c r="AP406" s="733" t="str">
        <f t="shared" si="348"/>
        <v>1+18.1986488382769i</v>
      </c>
      <c r="AQ406" s="734">
        <f t="shared" si="349"/>
        <v>18.226102697475319</v>
      </c>
      <c r="AR406" s="735">
        <f t="shared" si="350"/>
        <v>1.5159023970753565</v>
      </c>
      <c r="AS406" s="732" t="str">
        <f t="shared" si="351"/>
        <v>0.00196128358359479-6.26303982306217i</v>
      </c>
      <c r="AT406" s="337">
        <f t="shared" si="352"/>
        <v>6.263040130152123</v>
      </c>
      <c r="AU406" s="730">
        <f t="shared" si="353"/>
        <v>-1.5704831747832708</v>
      </c>
      <c r="AV406" s="732" t="str">
        <f t="shared" si="354"/>
        <v>-0.238329789268767+0.053530490476001i</v>
      </c>
      <c r="AW406" s="337">
        <f t="shared" si="355"/>
        <v>-12.242686954214676</v>
      </c>
      <c r="AX406" s="730">
        <f t="shared" si="356"/>
        <v>167.34106164586424</v>
      </c>
      <c r="AY406" s="360">
        <f t="shared" si="357"/>
        <v>-12.658938354135756</v>
      </c>
      <c r="BB406" s="337">
        <f t="shared" si="358"/>
        <v>-24.064296111342554</v>
      </c>
      <c r="BC406" s="730">
        <f t="shared" si="359"/>
        <v>-89.98205771138781</v>
      </c>
      <c r="BD406" s="351"/>
      <c r="BE406" s="337">
        <f t="shared" si="320"/>
        <v>32.229490652907081</v>
      </c>
      <c r="BF406" s="730">
        <f t="shared" si="321"/>
        <v>-89.443252200615234</v>
      </c>
      <c r="BI406" s="351"/>
      <c r="BJ406" s="351"/>
      <c r="BL406" s="405">
        <f t="shared" si="322"/>
        <v>0</v>
      </c>
      <c r="BM406" s="405">
        <f t="shared" si="310"/>
        <v>0</v>
      </c>
      <c r="BN406" s="405">
        <f t="shared" si="323"/>
        <v>0</v>
      </c>
      <c r="BO406" s="405">
        <f t="shared" si="324"/>
        <v>0</v>
      </c>
    </row>
    <row r="407" spans="4:67" ht="13.5" thickBot="1" x14ac:dyDescent="0.25">
      <c r="D407" s="345">
        <v>37586.5</v>
      </c>
      <c r="E407" s="340" t="str">
        <f t="shared" si="311"/>
        <v>0.623470173607527i</v>
      </c>
      <c r="F407" s="728" t="str">
        <f t="shared" si="325"/>
        <v>0.005-0.0694158122659996i</v>
      </c>
      <c r="G407" s="337" t="str">
        <f t="shared" si="326"/>
        <v>0.005-0.108573449954512i</v>
      </c>
      <c r="H407" s="338" t="str">
        <f t="shared" si="327"/>
        <v>0.0144749860271136-0.10684264524446i</v>
      </c>
      <c r="I407" s="338" t="str">
        <f t="shared" si="328"/>
        <v>0.0244749860271136-0.10684264524446i</v>
      </c>
      <c r="J407" s="337" t="str">
        <f t="shared" si="329"/>
        <v>0.00559302461187944-0.0423188112604383i</v>
      </c>
      <c r="K407" s="338" t="str">
        <f t="shared" si="312"/>
        <v>0.984302833530556-0.196802453790255i</v>
      </c>
      <c r="L407" s="732"/>
      <c r="M407" s="732" t="str">
        <f t="shared" si="313"/>
        <v>0.390786893425247-40.6052809099214i</v>
      </c>
      <c r="N407" s="337">
        <f t="shared" si="314"/>
        <v>0</v>
      </c>
      <c r="O407" s="730" t="str">
        <f t="shared" si="315"/>
        <v>-1.32940345465709-15.7581685052981i</v>
      </c>
      <c r="P407" s="731" t="str">
        <f t="shared" si="316"/>
        <v>-1.71618153829112-0.243643972287385i</v>
      </c>
      <c r="Q407" s="729" t="str">
        <f t="shared" si="317"/>
        <v>-1.70288750374455-0.0860622872344044i</v>
      </c>
      <c r="R407" s="730"/>
      <c r="S407" s="405" t="str">
        <f t="shared" si="330"/>
        <v>39.326752106835-6.77131249290998i</v>
      </c>
      <c r="T407" s="405" t="str">
        <f t="shared" si="331"/>
        <v>15.0012331735859-4.05974013704583i</v>
      </c>
      <c r="U407" s="405" t="str">
        <f t="shared" si="332"/>
        <v>-0.216610734669956-1.66153611595232i</v>
      </c>
      <c r="V407" s="731" t="str">
        <f t="shared" si="318"/>
        <v>6000</v>
      </c>
      <c r="W407" s="733" t="str">
        <f>IMSUM(COMPLEX(1,0),IMDIV(COMPLEX(0,2*PI()*D407),COMPLEX(2*PI()*'Stability Calculations'!EA_Pole1,0)))</f>
        <v>1+238524.573993789i</v>
      </c>
      <c r="X407" s="734">
        <f t="shared" si="333"/>
        <v>238524.57399588524</v>
      </c>
      <c r="Y407" s="735">
        <f t="shared" si="334"/>
        <v>1.57079213435475</v>
      </c>
      <c r="Z407" s="340" t="str">
        <f>IMSUM(COMPLEX(1,0),IMDIV(COMPLEX(0,2*PI()*D407),COMPLEX(2*PI()*'Stability Calculations'!EA_Zero1,0)))</f>
        <v>1+2361.62944548306i</v>
      </c>
      <c r="AA407" s="734">
        <f t="shared" si="335"/>
        <v>2361.629657201278</v>
      </c>
      <c r="AB407" s="735">
        <f t="shared" si="336"/>
        <v>1.5703728903653811</v>
      </c>
      <c r="AC407" s="733" t="str">
        <f>IMSUM(COMPLEX(1,0),IMDIV(COMPLEX(0,2*PI()*D407),COMPLEX(2*PI()*'Stability Calculations'!EA_Pole2,0)))</f>
        <v>1+23.7897706086768i</v>
      </c>
      <c r="AD407" s="734">
        <f t="shared" si="337"/>
        <v>23.810778769571197</v>
      </c>
      <c r="AE407" s="735">
        <f t="shared" si="338"/>
        <v>1.5287861845705044</v>
      </c>
      <c r="AF407" s="732" t="str">
        <f t="shared" si="339"/>
        <v>0.103735976860421-2.49276067840625i</v>
      </c>
      <c r="AG407" s="337">
        <f t="shared" si="340"/>
        <v>2.4949182256546152</v>
      </c>
      <c r="AH407" s="730">
        <f t="shared" si="341"/>
        <v>-1.5292054285598735</v>
      </c>
      <c r="AI407" s="731" t="str">
        <f t="shared" si="319"/>
        <v>10000</v>
      </c>
      <c r="AJ407" s="733" t="str">
        <f t="shared" si="342"/>
        <v>1+222370.556260797i</v>
      </c>
      <c r="AK407" s="734">
        <f t="shared" si="343"/>
        <v>222370.5562630455</v>
      </c>
      <c r="AL407" s="735">
        <f t="shared" si="344"/>
        <v>1.5707918297966572</v>
      </c>
      <c r="AM407" s="340" t="str">
        <f t="shared" si="345"/>
        <v>1+377.388385388193i</v>
      </c>
      <c r="AN407" s="734">
        <f t="shared" si="346"/>
        <v>377.38971028090748</v>
      </c>
      <c r="AO407" s="735">
        <f t="shared" si="347"/>
        <v>1.5681465429163632</v>
      </c>
      <c r="AP407" s="733" t="str">
        <f t="shared" si="348"/>
        <v>1+18.3039587522133i</v>
      </c>
      <c r="AQ407" s="734">
        <f t="shared" si="349"/>
        <v>18.331254894379867</v>
      </c>
      <c r="AR407" s="735">
        <f t="shared" si="350"/>
        <v>1.5162175949320797</v>
      </c>
      <c r="AS407" s="732" t="str">
        <f t="shared" si="351"/>
        <v>0.00193878042702978-6.22700608492766i</v>
      </c>
      <c r="AT407" s="337">
        <f t="shared" si="352"/>
        <v>6.22700638674762</v>
      </c>
      <c r="AU407" s="730">
        <f t="shared" si="353"/>
        <v>-1.5704849764705289</v>
      </c>
      <c r="AV407" s="732" t="str">
        <f t="shared" si="354"/>
        <v>-0.235494732110602+0.0532534749319071i</v>
      </c>
      <c r="AW407" s="337">
        <f t="shared" si="355"/>
        <v>-12.343783676392084</v>
      </c>
      <c r="AX407" s="730">
        <f t="shared" si="356"/>
        <v>167.25776364521116</v>
      </c>
      <c r="AY407" s="360">
        <f t="shared" si="357"/>
        <v>-12.742236354788844</v>
      </c>
      <c r="BB407" s="337">
        <f t="shared" si="358"/>
        <v>-24.114413776858893</v>
      </c>
      <c r="BC407" s="730">
        <f t="shared" si="359"/>
        <v>-89.9821609404637</v>
      </c>
      <c r="BD407" s="351"/>
      <c r="BE407" s="337">
        <f t="shared" si="320"/>
        <v>32.172052620605029</v>
      </c>
      <c r="BF407" s="730">
        <f t="shared" si="321"/>
        <v>-89.448600085129485</v>
      </c>
      <c r="BI407" s="351"/>
      <c r="BJ407" s="351"/>
      <c r="BL407" s="405">
        <f t="shared" si="322"/>
        <v>0</v>
      </c>
      <c r="BM407" s="405">
        <f t="shared" si="310"/>
        <v>0</v>
      </c>
      <c r="BN407" s="405">
        <f t="shared" si="323"/>
        <v>0</v>
      </c>
      <c r="BO407" s="405">
        <f t="shared" si="324"/>
        <v>0</v>
      </c>
    </row>
    <row r="408" spans="4:67" ht="13.5" thickBot="1" x14ac:dyDescent="0.25">
      <c r="D408" s="345">
        <v>37802.75</v>
      </c>
      <c r="E408" s="340" t="str">
        <f t="shared" si="311"/>
        <v>0.627057244099395i</v>
      </c>
      <c r="F408" s="728" t="str">
        <f t="shared" si="325"/>
        <v>0.005-0.0690187202713026i</v>
      </c>
      <c r="G408" s="337" t="str">
        <f t="shared" si="326"/>
        <v>0.005-0.107952357347422i</v>
      </c>
      <c r="H408" s="338" t="str">
        <f t="shared" si="327"/>
        <v>0.0143674989267256-0.106240951755283i</v>
      </c>
      <c r="I408" s="338" t="str">
        <f t="shared" si="328"/>
        <v>0.0243674989267256-0.106240951755283i</v>
      </c>
      <c r="J408" s="337" t="str">
        <f t="shared" si="329"/>
        <v>0.00557629166864166-0.0420777848676819i</v>
      </c>
      <c r="K408" s="338" t="str">
        <f t="shared" si="312"/>
        <v>0.984121689915972-0.197934736142486i</v>
      </c>
      <c r="L408" s="732"/>
      <c r="M408" s="732" t="str">
        <f t="shared" si="313"/>
        <v>0.384535809771233-40.3396313216879i</v>
      </c>
      <c r="N408" s="337">
        <f t="shared" si="314"/>
        <v>0</v>
      </c>
      <c r="O408" s="730" t="str">
        <f t="shared" si="315"/>
        <v>-1.32075238079761-15.6538000165177i</v>
      </c>
      <c r="P408" s="731" t="str">
        <f t="shared" si="316"/>
        <v>-1.69525804456327-0.241125965132678i</v>
      </c>
      <c r="Q408" s="729" t="str">
        <f t="shared" si="317"/>
        <v>-1.68205052075529-0.0845879649675008i</v>
      </c>
      <c r="R408" s="730"/>
      <c r="S408" s="405" t="str">
        <f t="shared" si="330"/>
        <v>39.3167772841797-6.82204118334268i</v>
      </c>
      <c r="T408" s="405" t="str">
        <f t="shared" si="331"/>
        <v>14.9946536385036-4.07749331071732i</v>
      </c>
      <c r="U408" s="405" t="str">
        <f t="shared" si="332"/>
        <v>-0.217761100048586-1.65162965456091i</v>
      </c>
      <c r="V408" s="731" t="str">
        <f t="shared" si="318"/>
        <v>6000</v>
      </c>
      <c r="W408" s="733" t="str">
        <f>IMSUM(COMPLEX(1,0),IMDIV(COMPLEX(0,2*PI()*D408),COMPLEX(2*PI()*'Stability Calculations'!EA_Pole1,0)))</f>
        <v>1+239896.900204693i</v>
      </c>
      <c r="X408" s="734">
        <f t="shared" si="333"/>
        <v>239896.90020677727</v>
      </c>
      <c r="Y408" s="735">
        <f t="shared" si="334"/>
        <v>1.5707921583375337</v>
      </c>
      <c r="Z408" s="340" t="str">
        <f>IMSUM(COMPLEX(1,0),IMDIV(COMPLEX(0,2*PI()*D408),COMPLEX(2*PI()*'Stability Calculations'!EA_Zero1,0)))</f>
        <v>1+2375.21683370983i</v>
      </c>
      <c r="AA408" s="734">
        <f t="shared" si="335"/>
        <v>2375.2170442169177</v>
      </c>
      <c r="AB408" s="735">
        <f t="shared" si="336"/>
        <v>1.5703753126261171</v>
      </c>
      <c r="AC408" s="733" t="str">
        <f>IMSUM(COMPLEX(1,0),IMDIV(COMPLEX(0,2*PI()*D408),COMPLEX(2*PI()*'Stability Calculations'!EA_Pole2,0)))</f>
        <v>1+23.9266425678675i</v>
      </c>
      <c r="AD408" s="734">
        <f t="shared" si="337"/>
        <v>23.947530657052909</v>
      </c>
      <c r="AE408" s="735">
        <f t="shared" si="338"/>
        <v>1.5290262226537319</v>
      </c>
      <c r="AF408" s="732" t="str">
        <f t="shared" si="339"/>
        <v>0.1025545952665-2.47855025768048i</v>
      </c>
      <c r="AG408" s="337">
        <f t="shared" si="340"/>
        <v>2.4806710432579022</v>
      </c>
      <c r="AH408" s="730">
        <f t="shared" si="341"/>
        <v>-1.5294430683651485</v>
      </c>
      <c r="AI408" s="731" t="str">
        <f t="shared" si="319"/>
        <v>10000</v>
      </c>
      <c r="AJ408" s="733" t="str">
        <f t="shared" si="342"/>
        <v>1+223649.942018752i</v>
      </c>
      <c r="AK408" s="734">
        <f t="shared" si="343"/>
        <v>223649.9420209876</v>
      </c>
      <c r="AL408" s="735">
        <f t="shared" si="344"/>
        <v>1.5707918555216607</v>
      </c>
      <c r="AM408" s="340" t="str">
        <f t="shared" si="345"/>
        <v>1+379.559650026831i</v>
      </c>
      <c r="AN408" s="734">
        <f t="shared" si="346"/>
        <v>379.56096734054518</v>
      </c>
      <c r="AO408" s="735">
        <f t="shared" si="347"/>
        <v>1.5681617008904385</v>
      </c>
      <c r="AP408" s="733" t="str">
        <f t="shared" si="348"/>
        <v>1+18.4092686661495i</v>
      </c>
      <c r="AQ408" s="734">
        <f t="shared" si="349"/>
        <v>18.436408891714077</v>
      </c>
      <c r="AR408" s="735">
        <f t="shared" si="350"/>
        <v>1.5165291972912072</v>
      </c>
      <c r="AS408" s="732" t="str">
        <f t="shared" si="351"/>
        <v>0.00191666235155948-6.19138460746827i</v>
      </c>
      <c r="AT408" s="337">
        <f t="shared" si="352"/>
        <v>6.1913849041381361</v>
      </c>
      <c r="AU408" s="730">
        <f t="shared" si="353"/>
        <v>-1.5704867575447452</v>
      </c>
      <c r="AV408" s="732" t="str">
        <f t="shared" si="354"/>
        <v>-0.232708272734029+0.0529788538103892i</v>
      </c>
      <c r="AW408" s="337">
        <f t="shared" si="355"/>
        <v>-12.444307883085767</v>
      </c>
      <c r="AX408" s="730">
        <f t="shared" si="356"/>
        <v>167.17452211188308</v>
      </c>
      <c r="AY408" s="360">
        <f t="shared" si="357"/>
        <v>-12.825477888116922</v>
      </c>
      <c r="BB408" s="337">
        <f t="shared" si="358"/>
        <v>-24.164243921204935</v>
      </c>
      <c r="BC408" s="730">
        <f t="shared" si="359"/>
        <v>-89.982262988499301</v>
      </c>
      <c r="BD408" s="351"/>
      <c r="BE408" s="337">
        <f t="shared" si="320"/>
        <v>32.115033110101756</v>
      </c>
      <c r="BF408" s="730">
        <f t="shared" si="321"/>
        <v>-89.453846975172112</v>
      </c>
      <c r="BI408" s="351"/>
      <c r="BJ408" s="351"/>
      <c r="BL408" s="405">
        <f t="shared" si="322"/>
        <v>0</v>
      </c>
      <c r="BM408" s="405">
        <f t="shared" si="310"/>
        <v>0</v>
      </c>
      <c r="BN408" s="405">
        <f t="shared" si="323"/>
        <v>0</v>
      </c>
      <c r="BO408" s="405">
        <f t="shared" si="324"/>
        <v>0</v>
      </c>
    </row>
    <row r="409" spans="4:67" ht="13.5" thickBot="1" x14ac:dyDescent="0.25">
      <c r="D409" s="345">
        <v>38019</v>
      </c>
      <c r="E409" s="340" t="str">
        <f t="shared" si="311"/>
        <v>0.630644314591264i</v>
      </c>
      <c r="F409" s="728" t="str">
        <f t="shared" si="325"/>
        <v>0.005-0.0686261455518554i</v>
      </c>
      <c r="G409" s="337" t="str">
        <f t="shared" si="326"/>
        <v>0.005-0.107338330222133i</v>
      </c>
      <c r="H409" s="338" t="str">
        <f t="shared" si="327"/>
        <v>0.0142618220128554-0.105645944018671i</v>
      </c>
      <c r="I409" s="338" t="str">
        <f t="shared" si="328"/>
        <v>0.0242618220128554-0.105645944018671i</v>
      </c>
      <c r="J409" s="337" t="str">
        <f t="shared" si="329"/>
        <v>0.00555984177187594-0.0418394932857089i</v>
      </c>
      <c r="K409" s="338" t="str">
        <f t="shared" si="312"/>
        <v>0.9839395071-0.199067018494717i</v>
      </c>
      <c r="L409" s="732"/>
      <c r="M409" s="732" t="str">
        <f t="shared" si="313"/>
        <v>0.378436484208321-40.0776201198617i</v>
      </c>
      <c r="N409" s="337">
        <f t="shared" si="314"/>
        <v>0</v>
      </c>
      <c r="O409" s="730" t="str">
        <f t="shared" si="315"/>
        <v>-1.31224626305967-15.5508647390902i</v>
      </c>
      <c r="P409" s="731" t="str">
        <f t="shared" si="316"/>
        <v>-1.67472327093924-0.238658817199884i</v>
      </c>
      <c r="Q409" s="729" t="str">
        <f t="shared" si="317"/>
        <v>-1.66160080830864-0.0831501698089818i</v>
      </c>
      <c r="R409" s="730"/>
      <c r="S409" s="405" t="str">
        <f t="shared" si="330"/>
        <v>39.3067272483637-6.87268773300125i</v>
      </c>
      <c r="T409" s="405" t="str">
        <f t="shared" si="331"/>
        <v>14.9880442382629-4.0952622823037i</v>
      </c>
      <c r="U409" s="405" t="str">
        <f t="shared" si="332"/>
        <v>-0.218891030571122-1.64183198431106i</v>
      </c>
      <c r="V409" s="731" t="str">
        <f t="shared" si="318"/>
        <v>6000</v>
      </c>
      <c r="W409" s="733" t="str">
        <f>IMSUM(COMPLEX(1,0),IMDIV(COMPLEX(0,2*PI()*D409),COMPLEX(2*PI()*'Stability Calculations'!EA_Pole1,0)))</f>
        <v>1+241269.226415598i</v>
      </c>
      <c r="X409" s="734">
        <f t="shared" si="333"/>
        <v>241269.2264176704</v>
      </c>
      <c r="Y409" s="735">
        <f t="shared" si="334"/>
        <v>1.5707921820474919</v>
      </c>
      <c r="Z409" s="340" t="str">
        <f>IMSUM(COMPLEX(1,0),IMDIV(COMPLEX(0,2*PI()*D409),COMPLEX(2*PI()*'Stability Calculations'!EA_Zero1,0)))</f>
        <v>1+2388.80422193661i</v>
      </c>
      <c r="AA409" s="734">
        <f t="shared" si="335"/>
        <v>2388.8044312463444</v>
      </c>
      <c r="AB409" s="735">
        <f t="shared" si="336"/>
        <v>1.5703777073314835</v>
      </c>
      <c r="AC409" s="733" t="str">
        <f>IMSUM(COMPLEX(1,0),IMDIV(COMPLEX(0,2*PI()*D409),COMPLEX(2*PI()*'Stability Calculations'!EA_Pole2,0)))</f>
        <v>1+24.0635145270584i</v>
      </c>
      <c r="AD409" s="734">
        <f t="shared" si="337"/>
        <v>24.084283908681005</v>
      </c>
      <c r="AE409" s="735">
        <f t="shared" si="338"/>
        <v>1.5292635348244585</v>
      </c>
      <c r="AF409" s="732" t="str">
        <f t="shared" si="339"/>
        <v>0.101393268849956-2.46450065972603i</v>
      </c>
      <c r="AG409" s="337">
        <f t="shared" si="340"/>
        <v>2.4665855137736692</v>
      </c>
      <c r="AH409" s="730">
        <f t="shared" si="341"/>
        <v>-1.5296780095404667</v>
      </c>
      <c r="AI409" s="731" t="str">
        <f t="shared" si="319"/>
        <v>10000</v>
      </c>
      <c r="AJ409" s="733" t="str">
        <f t="shared" si="342"/>
        <v>1+224929.327776708i</v>
      </c>
      <c r="AK409" s="734">
        <f t="shared" si="343"/>
        <v>224929.32777893092</v>
      </c>
      <c r="AL409" s="735">
        <f t="shared" si="344"/>
        <v>1.5707918809540191</v>
      </c>
      <c r="AM409" s="340" t="str">
        <f t="shared" si="345"/>
        <v>1+381.73091466547i</v>
      </c>
      <c r="AN409" s="734">
        <f t="shared" si="346"/>
        <v>381.73222448640138</v>
      </c>
      <c r="AO409" s="735">
        <f t="shared" si="347"/>
        <v>1.5681766864302431</v>
      </c>
      <c r="AP409" s="733" t="str">
        <f t="shared" si="348"/>
        <v>1+18.5145785800858i</v>
      </c>
      <c r="AQ409" s="734">
        <f t="shared" si="349"/>
        <v>18.541564658846134</v>
      </c>
      <c r="AR409" s="735">
        <f t="shared" si="350"/>
        <v>1.5168372652657214</v>
      </c>
      <c r="AS409" s="732" t="str">
        <f t="shared" si="351"/>
        <v>0.00189492062086882-6.15616835593799i</v>
      </c>
      <c r="AT409" s="337">
        <f t="shared" si="352"/>
        <v>6.1561686475742698</v>
      </c>
      <c r="AU409" s="730">
        <f t="shared" si="353"/>
        <v>-1.5704885183576573</v>
      </c>
      <c r="AV409" s="732" t="str">
        <f t="shared" si="354"/>
        <v>-0.229969306830511+0.0527066026292691i</v>
      </c>
      <c r="AW409" s="337">
        <f t="shared" si="355"/>
        <v>-12.544266181213519</v>
      </c>
      <c r="AX409" s="730">
        <f t="shared" si="356"/>
        <v>167.09133600715128</v>
      </c>
      <c r="AY409" s="360">
        <f t="shared" si="357"/>
        <v>-12.908663992848716</v>
      </c>
      <c r="BB409" s="337">
        <f t="shared" si="358"/>
        <v>-24.213789824544627</v>
      </c>
      <c r="BC409" s="730">
        <f t="shared" si="359"/>
        <v>-89.982363875647678</v>
      </c>
      <c r="BD409" s="351"/>
      <c r="BE409" s="337">
        <f t="shared" si="320"/>
        <v>32.058425699448044</v>
      </c>
      <c r="BF409" s="730">
        <f t="shared" si="321"/>
        <v>-89.458995596610251</v>
      </c>
      <c r="BI409" s="351"/>
      <c r="BJ409" s="351"/>
      <c r="BL409" s="405">
        <f t="shared" si="322"/>
        <v>0</v>
      </c>
      <c r="BM409" s="405">
        <f t="shared" si="310"/>
        <v>0</v>
      </c>
      <c r="BN409" s="405">
        <f t="shared" si="323"/>
        <v>0</v>
      </c>
      <c r="BO409" s="405">
        <f t="shared" si="324"/>
        <v>0</v>
      </c>
    </row>
    <row r="410" spans="4:67" ht="13.5" thickBot="1" x14ac:dyDescent="0.25">
      <c r="D410" s="345">
        <v>38240.5</v>
      </c>
      <c r="E410" s="340" t="str">
        <f t="shared" si="311"/>
        <v>0.634318470031491i</v>
      </c>
      <c r="F410" s="728" t="str">
        <f t="shared" si="325"/>
        <v>0.005-0.0682286431332222i</v>
      </c>
      <c r="G410" s="337" t="str">
        <f t="shared" si="326"/>
        <v>0.005-0.106716595669912i</v>
      </c>
      <c r="H410" s="338" t="str">
        <f t="shared" si="327"/>
        <v>0.0141554140441865-0.105043307340763i</v>
      </c>
      <c r="I410" s="338" t="str">
        <f t="shared" si="328"/>
        <v>0.0241554140441865-0.105043307340763i</v>
      </c>
      <c r="J410" s="337" t="str">
        <f t="shared" si="329"/>
        <v>0.00554327928495697-0.041598203534178i</v>
      </c>
      <c r="K410" s="338" t="str">
        <f t="shared" si="312"/>
        <v>0.983751823997222-0.200226789782667i</v>
      </c>
      <c r="L410" s="732"/>
      <c r="M410" s="732" t="str">
        <f t="shared" si="313"/>
        <v>0.372341312286229-39.8129393272967i</v>
      </c>
      <c r="N410" s="337">
        <f t="shared" si="314"/>
        <v>0</v>
      </c>
      <c r="O410" s="730" t="str">
        <f t="shared" si="315"/>
        <v>-1.30368053593984-15.4468843327327i</v>
      </c>
      <c r="P410" s="731" t="str">
        <f t="shared" si="316"/>
        <v>-1.65408276154744-0.236182971538919i</v>
      </c>
      <c r="Q410" s="729" t="str">
        <f t="shared" si="317"/>
        <v>-1.64104595618804-0.0817141282115915i</v>
      </c>
      <c r="R410" s="730"/>
      <c r="S410" s="405" t="str">
        <f t="shared" si="330"/>
        <v>39.2963555422904-6.92447982674899i</v>
      </c>
      <c r="T410" s="405" t="str">
        <f t="shared" si="331"/>
        <v>14.9812433167667-4.11347846618168i</v>
      </c>
      <c r="U410" s="405" t="str">
        <f t="shared" si="332"/>
        <v>-0.220027680717198-1.63190733692053i</v>
      </c>
      <c r="V410" s="731" t="str">
        <f t="shared" si="318"/>
        <v>6000</v>
      </c>
      <c r="W410" s="733" t="str">
        <f>IMSUM(COMPLEX(1,0),IMDIV(COMPLEX(0,2*PI()*D410),COMPLEX(2*PI()*'Stability Calculations'!EA_Pole1,0)))</f>
        <v>1+242674.869216593i</v>
      </c>
      <c r="X410" s="734">
        <f t="shared" si="333"/>
        <v>242674.86921865336</v>
      </c>
      <c r="Y410" s="735">
        <f t="shared" si="334"/>
        <v>1.5707922060550639</v>
      </c>
      <c r="Z410" s="340" t="str">
        <f>IMSUM(COMPLEX(1,0),IMDIV(COMPLEX(0,2*PI()*D410),COMPLEX(2*PI()*'Stability Calculations'!EA_Zero1,0)))</f>
        <v>1+2402.72147739201i</v>
      </c>
      <c r="AA410" s="734">
        <f t="shared" si="335"/>
        <v>2402.7216854893622</v>
      </c>
      <c r="AB410" s="735">
        <f t="shared" si="336"/>
        <v>1.5703801320958148</v>
      </c>
      <c r="AC410" s="733" t="str">
        <f>IMSUM(COMPLEX(1,0),IMDIV(COMPLEX(0,2*PI()*D410),COMPLEX(2*PI()*'Stability Calculations'!EA_Pole2,0)))</f>
        <v>1+24.2037093893047i</v>
      </c>
      <c r="AD410" s="734">
        <f t="shared" si="337"/>
        <v>24.224358571527056</v>
      </c>
      <c r="AE410" s="735">
        <f t="shared" si="338"/>
        <v>1.5295038305679733</v>
      </c>
      <c r="AF410" s="732" t="str">
        <f t="shared" si="339"/>
        <v>0.100224068404692-2.45027386805162i</v>
      </c>
      <c r="AG410" s="337">
        <f t="shared" si="340"/>
        <v>2.4523227545215653</v>
      </c>
      <c r="AH410" s="730">
        <f t="shared" si="341"/>
        <v>-1.5299159045272224</v>
      </c>
      <c r="AI410" s="731" t="str">
        <f t="shared" si="319"/>
        <v>10000</v>
      </c>
      <c r="AJ410" s="733" t="str">
        <f t="shared" si="342"/>
        <v>1+226239.773766937i</v>
      </c>
      <c r="AK410" s="734">
        <f t="shared" si="343"/>
        <v>226239.77376914705</v>
      </c>
      <c r="AL410" s="735">
        <f t="shared" si="344"/>
        <v>1.5707919067056111</v>
      </c>
      <c r="AM410" s="340" t="str">
        <f t="shared" si="345"/>
        <v>1+383.954892087243i</v>
      </c>
      <c r="AN410" s="734">
        <f t="shared" si="346"/>
        <v>383.95619432133975</v>
      </c>
      <c r="AO410" s="735">
        <f t="shared" si="347"/>
        <v>1.5681918600736093</v>
      </c>
      <c r="AP410" s="733" t="str">
        <f t="shared" si="348"/>
        <v>1+18.6224451508922i</v>
      </c>
      <c r="AQ410" s="734">
        <f t="shared" si="349"/>
        <v>18.649275144036793</v>
      </c>
      <c r="AR410" s="735">
        <f t="shared" si="350"/>
        <v>1.5171492106349036</v>
      </c>
      <c r="AS410" s="732" t="str">
        <f t="shared" si="351"/>
        <v>0.00187303234563873-6.12051006081392i</v>
      </c>
      <c r="AT410" s="337">
        <f t="shared" si="352"/>
        <v>6.1205103474117726</v>
      </c>
      <c r="AU410" s="730">
        <f t="shared" si="353"/>
        <v>-1.5704903012727494</v>
      </c>
      <c r="AV410" s="732" t="str">
        <f t="shared" si="354"/>
        <v>-0.227211961489732+0.0524301733290632i</v>
      </c>
      <c r="AW410" s="337">
        <f t="shared" si="355"/>
        <v>-12.646071315306205</v>
      </c>
      <c r="AX410" s="730">
        <f t="shared" si="356"/>
        <v>167.00618675875589</v>
      </c>
      <c r="AY410" s="360">
        <f t="shared" si="357"/>
        <v>-12.993813241244112</v>
      </c>
      <c r="BB410" s="337">
        <f t="shared" si="358"/>
        <v>-24.264247270082357</v>
      </c>
      <c r="BC410" s="730">
        <f t="shared" si="359"/>
        <v>-89.982466029157678</v>
      </c>
      <c r="BD410" s="351"/>
      <c r="BE410" s="337">
        <f t="shared" si="320"/>
        <v>32.00086467982252</v>
      </c>
      <c r="BF410" s="730">
        <f t="shared" si="321"/>
        <v>-89.464170087784424</v>
      </c>
      <c r="BI410" s="351"/>
      <c r="BJ410" s="351"/>
      <c r="BL410" s="405">
        <f t="shared" si="322"/>
        <v>0</v>
      </c>
      <c r="BM410" s="405">
        <f t="shared" ref="BM410:BM473" si="360">IF(BL410&gt;0,AY410,0)</f>
        <v>0</v>
      </c>
      <c r="BN410" s="405">
        <f t="shared" si="323"/>
        <v>0</v>
      </c>
      <c r="BO410" s="405">
        <f t="shared" si="324"/>
        <v>0</v>
      </c>
    </row>
    <row r="411" spans="4:67" ht="13.5" thickBot="1" x14ac:dyDescent="0.25">
      <c r="D411" s="345">
        <v>38462</v>
      </c>
      <c r="E411" s="340" t="str">
        <f t="shared" si="311"/>
        <v>0.637992625471717i</v>
      </c>
      <c r="F411" s="728" t="str">
        <f t="shared" si="325"/>
        <v>0.005-0.0678357190925067i</v>
      </c>
      <c r="G411" s="337" t="str">
        <f t="shared" si="326"/>
        <v>0.005-0.106102022170331i</v>
      </c>
      <c r="H411" s="338" t="str">
        <f t="shared" si="327"/>
        <v>0.0140508208141528-0.104447454138364i</v>
      </c>
      <c r="I411" s="338" t="str">
        <f t="shared" si="328"/>
        <v>0.0240508208141528-0.104447454138364i</v>
      </c>
      <c r="J411" s="337" t="str">
        <f t="shared" si="329"/>
        <v>0.00552700040137256-0.0413596860300342i</v>
      </c>
      <c r="K411" s="338" t="str">
        <f t="shared" si="312"/>
        <v>0.983563050622222-0.201386561070618i</v>
      </c>
      <c r="L411" s="732"/>
      <c r="M411" s="732" t="str">
        <f t="shared" si="313"/>
        <v>0.366395202425978-39.5519143741069i</v>
      </c>
      <c r="N411" s="337">
        <f t="shared" si="314"/>
        <v>0</v>
      </c>
      <c r="O411" s="730" t="str">
        <f t="shared" si="315"/>
        <v>-1.29526011459812-15.3443436057519i</v>
      </c>
      <c r="P411" s="731" t="str">
        <f t="shared" si="316"/>
        <v>-1.63382969396899-0.23375743715599i</v>
      </c>
      <c r="Q411" s="729" t="str">
        <f t="shared" si="317"/>
        <v>-1.62087709282301-0.0803140010984712i</v>
      </c>
      <c r="R411" s="730"/>
      <c r="S411" s="405" t="str">
        <f t="shared" si="330"/>
        <v>39.2859055141946-6.97618801317178i</v>
      </c>
      <c r="T411" s="405" t="str">
        <f t="shared" si="331"/>
        <v>14.9744108621725-4.1317101155761i</v>
      </c>
      <c r="U411" s="405" t="str">
        <f t="shared" si="332"/>
        <v>-0.221143838987761-1.62209301026576i</v>
      </c>
      <c r="V411" s="731" t="str">
        <f t="shared" si="318"/>
        <v>6000</v>
      </c>
      <c r="W411" s="733" t="str">
        <f>IMSUM(COMPLEX(1,0),IMDIV(COMPLEX(0,2*PI()*D411),COMPLEX(2*PI()*'Stability Calculations'!EA_Pole1,0)))</f>
        <v>1+244080.512017588i</v>
      </c>
      <c r="X411" s="734">
        <f t="shared" si="333"/>
        <v>244080.51201963652</v>
      </c>
      <c r="Y411" s="735">
        <f t="shared" si="334"/>
        <v>1.5707922297861199</v>
      </c>
      <c r="Z411" s="340" t="str">
        <f>IMSUM(COMPLEX(1,0),IMDIV(COMPLEX(0,2*PI()*D411),COMPLEX(2*PI()*'Stability Calculations'!EA_Zero1,0)))</f>
        <v>1+2416.63873284741i</v>
      </c>
      <c r="AA411" s="734">
        <f t="shared" si="335"/>
        <v>2416.638939746344</v>
      </c>
      <c r="AB411" s="735">
        <f t="shared" si="336"/>
        <v>1.5703825289320503</v>
      </c>
      <c r="AC411" s="733" t="str">
        <f>IMSUM(COMPLEX(1,0),IMDIV(COMPLEX(0,2*PI()*D411),COMPLEX(2*PI()*'Stability Calculations'!EA_Pole2,0)))</f>
        <v>1+24.343904251551i</v>
      </c>
      <c r="AD411" s="734">
        <f t="shared" si="337"/>
        <v>24.364434617053661</v>
      </c>
      <c r="AE411" s="735">
        <f t="shared" si="338"/>
        <v>1.5297413633077455</v>
      </c>
      <c r="AF411" s="732" t="str">
        <f t="shared" si="339"/>
        <v>0.0990749643998136-2.43621011307571i</v>
      </c>
      <c r="AG411" s="337">
        <f t="shared" si="340"/>
        <v>2.4382238542888528</v>
      </c>
      <c r="AH411" s="730">
        <f t="shared" si="341"/>
        <v>-1.5301510641618148</v>
      </c>
      <c r="AI411" s="731" t="str">
        <f t="shared" si="319"/>
        <v>10000</v>
      </c>
      <c r="AJ411" s="733" t="str">
        <f t="shared" si="342"/>
        <v>1+227550.219757166i</v>
      </c>
      <c r="AK411" s="734">
        <f t="shared" si="343"/>
        <v>227550.21975936327</v>
      </c>
      <c r="AL411" s="735">
        <f t="shared" si="344"/>
        <v>1.5707919321605999</v>
      </c>
      <c r="AM411" s="340" t="str">
        <f t="shared" si="345"/>
        <v>1+386.178869509016i</v>
      </c>
      <c r="AN411" s="734">
        <f t="shared" si="346"/>
        <v>386.18016424366186</v>
      </c>
      <c r="AO411" s="735">
        <f t="shared" si="347"/>
        <v>1.5682068589502272</v>
      </c>
      <c r="AP411" s="733" t="str">
        <f t="shared" si="348"/>
        <v>1+18.7303117216986i</v>
      </c>
      <c r="AQ411" s="734">
        <f t="shared" si="349"/>
        <v>18.756987423144476</v>
      </c>
      <c r="AR411" s="735">
        <f t="shared" si="350"/>
        <v>1.5174575733319668</v>
      </c>
      <c r="AS411" s="732" t="str">
        <f t="shared" si="351"/>
        <v>0.00185152113960464-6.08526247288991i</v>
      </c>
      <c r="AT411" s="337">
        <f t="shared" si="352"/>
        <v>6.0852627545647318</v>
      </c>
      <c r="AU411" s="730">
        <f t="shared" si="353"/>
        <v>-1.5704920636524737</v>
      </c>
      <c r="AV411" s="732" t="str">
        <f t="shared" si="354"/>
        <v>-0.224502197544719+0.0521561787356282i</v>
      </c>
      <c r="AW411" s="337">
        <f t="shared" si="355"/>
        <v>-12.747296401185572</v>
      </c>
      <c r="AX411" s="730">
        <f t="shared" si="356"/>
        <v>166.92109353426858</v>
      </c>
      <c r="AY411" s="360">
        <f t="shared" si="357"/>
        <v>-13.078906465731421</v>
      </c>
      <c r="BB411" s="337">
        <f t="shared" si="358"/>
        <v>-24.314413293973665</v>
      </c>
      <c r="BC411" s="730">
        <f t="shared" si="359"/>
        <v>-89.982567006077787</v>
      </c>
      <c r="BD411" s="351"/>
      <c r="BE411" s="337">
        <f t="shared" si="320"/>
        <v>31.943722852364623</v>
      </c>
      <c r="BF411" s="730">
        <f t="shared" si="321"/>
        <v>-89.469246973446118</v>
      </c>
      <c r="BI411" s="351"/>
      <c r="BJ411" s="351"/>
      <c r="BL411" s="405">
        <f t="shared" si="322"/>
        <v>0</v>
      </c>
      <c r="BM411" s="405">
        <f t="shared" si="360"/>
        <v>0</v>
      </c>
      <c r="BN411" s="405">
        <f t="shared" si="323"/>
        <v>0</v>
      </c>
      <c r="BO411" s="405">
        <f t="shared" si="324"/>
        <v>0</v>
      </c>
    </row>
    <row r="412" spans="4:67" ht="13.5" thickBot="1" x14ac:dyDescent="0.25">
      <c r="D412" s="345">
        <v>38683.5</v>
      </c>
      <c r="E412" s="340" t="str">
        <f t="shared" si="311"/>
        <v>0.641666780911943i</v>
      </c>
      <c r="F412" s="728" t="str">
        <f t="shared" si="325"/>
        <v>0.005-0.0674472947829432i</v>
      </c>
      <c r="G412" s="337" t="str">
        <f t="shared" si="326"/>
        <v>0.005-0.105494486711783i</v>
      </c>
      <c r="H412" s="338" t="str">
        <f t="shared" si="327"/>
        <v>0.0139480013922982-0.1038582714203i</v>
      </c>
      <c r="I412" s="338" t="str">
        <f t="shared" si="328"/>
        <v>0.0239480013922982-0.1038582714203i</v>
      </c>
      <c r="J412" s="337" t="str">
        <f t="shared" si="329"/>
        <v>0.00551099864962477-0.0411238933672157i</v>
      </c>
      <c r="K412" s="338" t="str">
        <f t="shared" si="312"/>
        <v>0.983373186975-0.202546332358568i</v>
      </c>
      <c r="L412" s="732"/>
      <c r="M412" s="732" t="str">
        <f t="shared" si="313"/>
        <v>0.360593323022174-39.2944671564797i</v>
      </c>
      <c r="N412" s="337">
        <f t="shared" si="314"/>
        <v>0</v>
      </c>
      <c r="O412" s="730" t="str">
        <f t="shared" si="315"/>
        <v>-1.28698171166437-15.243211604388i</v>
      </c>
      <c r="P412" s="731" t="str">
        <f t="shared" si="316"/>
        <v>-1.61395424794839-0.231380756801979i</v>
      </c>
      <c r="Q412" s="729" t="str">
        <f t="shared" si="317"/>
        <v>-1.60108443083175-0.0789486407580996i</v>
      </c>
      <c r="R412" s="730"/>
      <c r="S412" s="405" t="str">
        <f t="shared" si="330"/>
        <v>39.275377448441-7.02781339941752i</v>
      </c>
      <c r="T412" s="405" t="str">
        <f t="shared" si="331"/>
        <v>14.9675467784543-4.14995668574108i</v>
      </c>
      <c r="U412" s="405" t="str">
        <f t="shared" si="332"/>
        <v>-0.222239964545017-1.61238713744344i</v>
      </c>
      <c r="V412" s="731" t="str">
        <f t="shared" si="318"/>
        <v>6000</v>
      </c>
      <c r="W412" s="733" t="str">
        <f>IMSUM(COMPLEX(1,0),IMDIV(COMPLEX(0,2*PI()*D412),COMPLEX(2*PI()*'Stability Calculations'!EA_Pole1,0)))</f>
        <v>1+245486.154818585i</v>
      </c>
      <c r="X412" s="734">
        <f t="shared" si="333"/>
        <v>245486.15482062177</v>
      </c>
      <c r="Y412" s="735">
        <f t="shared" si="334"/>
        <v>1.5707922532454097</v>
      </c>
      <c r="Z412" s="340" t="str">
        <f>IMSUM(COMPLEX(1,0),IMDIV(COMPLEX(0,2*PI()*D412),COMPLEX(2*PI()*'Stability Calculations'!EA_Zero1,0)))</f>
        <v>1+2430.55598830282i</v>
      </c>
      <c r="AA412" s="734">
        <f t="shared" si="335"/>
        <v>2430.5561940170605</v>
      </c>
      <c r="AB412" s="735">
        <f t="shared" si="336"/>
        <v>1.5703848983199353</v>
      </c>
      <c r="AC412" s="733" t="str">
        <f>IMSUM(COMPLEX(1,0),IMDIV(COMPLEX(0,2*PI()*D412),COMPLEX(2*PI()*'Stability Calculations'!EA_Pole2,0)))</f>
        <v>1+24.4840991137974i</v>
      </c>
      <c r="AD412" s="734">
        <f t="shared" si="337"/>
        <v>24.504512021549306</v>
      </c>
      <c r="AE412" s="735">
        <f t="shared" si="338"/>
        <v>1.5299761803999785</v>
      </c>
      <c r="AF412" s="732" t="str">
        <f t="shared" si="339"/>
        <v>0.0979454991519456-2.42230661286871i</v>
      </c>
      <c r="AG412" s="337">
        <f t="shared" si="340"/>
        <v>2.4242860077869537</v>
      </c>
      <c r="AH412" s="730">
        <f t="shared" si="341"/>
        <v>-1.5303835353254529</v>
      </c>
      <c r="AI412" s="731" t="str">
        <f t="shared" si="319"/>
        <v>10000</v>
      </c>
      <c r="AJ412" s="733" t="str">
        <f t="shared" si="342"/>
        <v>1+228860.665747397i</v>
      </c>
      <c r="AK412" s="734">
        <f t="shared" si="343"/>
        <v>228860.66574958173</v>
      </c>
      <c r="AL412" s="735">
        <f t="shared" si="344"/>
        <v>1.5707919573240803</v>
      </c>
      <c r="AM412" s="340" t="str">
        <f t="shared" si="345"/>
        <v>1+388.402846930791i</v>
      </c>
      <c r="AN412" s="734">
        <f t="shared" si="346"/>
        <v>388.40413425186847</v>
      </c>
      <c r="AO412" s="735">
        <f t="shared" si="347"/>
        <v>1.5682216860621896</v>
      </c>
      <c r="AP412" s="733" t="str">
        <f t="shared" si="348"/>
        <v>1+18.8381782925051i</v>
      </c>
      <c r="AQ412" s="734">
        <f t="shared" si="349"/>
        <v>18.864701465440959</v>
      </c>
      <c r="AR412" s="735">
        <f t="shared" si="350"/>
        <v>1.5177624146669944</v>
      </c>
      <c r="AS412" s="732" t="str">
        <f t="shared" si="351"/>
        <v>0.00183037839121543-6.05041853709506i</v>
      </c>
      <c r="AT412" s="337">
        <f t="shared" si="352"/>
        <v>6.0504188139589621</v>
      </c>
      <c r="AU412" s="730">
        <f t="shared" si="353"/>
        <v>-1.5704938058495843</v>
      </c>
      <c r="AV412" s="732" t="str">
        <f t="shared" si="354"/>
        <v>-0.221838926645321+0.0518845928645831i</v>
      </c>
      <c r="AW412" s="337">
        <f t="shared" si="355"/>
        <v>-12.847948179051853</v>
      </c>
      <c r="AX412" s="730">
        <f t="shared" si="356"/>
        <v>166.8360552943746</v>
      </c>
      <c r="AY412" s="360">
        <f t="shared" si="357"/>
        <v>-13.163944705625397</v>
      </c>
      <c r="BB412" s="337">
        <f t="shared" si="358"/>
        <v>-24.364291243162356</v>
      </c>
      <c r="BC412" s="730">
        <f t="shared" si="359"/>
        <v>-89.982666826619294</v>
      </c>
      <c r="BD412" s="351"/>
      <c r="BE412" s="337">
        <f t="shared" si="320"/>
        <v>31.886993791459609</v>
      </c>
      <c r="BF412" s="730">
        <f t="shared" si="321"/>
        <v>-89.474228890154365</v>
      </c>
      <c r="BI412" s="351"/>
      <c r="BJ412" s="351"/>
      <c r="BL412" s="405">
        <f t="shared" si="322"/>
        <v>0</v>
      </c>
      <c r="BM412" s="405">
        <f t="shared" si="360"/>
        <v>0</v>
      </c>
      <c r="BN412" s="405">
        <f t="shared" si="323"/>
        <v>0</v>
      </c>
      <c r="BO412" s="405">
        <f t="shared" si="324"/>
        <v>0</v>
      </c>
    </row>
    <row r="413" spans="4:67" ht="13.5" thickBot="1" x14ac:dyDescent="0.25">
      <c r="D413" s="345">
        <v>38905</v>
      </c>
      <c r="E413" s="340" t="str">
        <f t="shared" si="311"/>
        <v>0.64534093635217i</v>
      </c>
      <c r="F413" s="728" t="str">
        <f t="shared" si="325"/>
        <v>0.005-0.0670632933488239i</v>
      </c>
      <c r="G413" s="337" t="str">
        <f t="shared" si="326"/>
        <v>0.005-0.104893869084058i</v>
      </c>
      <c r="H413" s="338" t="str">
        <f t="shared" si="327"/>
        <v>0.0138469159927929-0.103275648670317i</v>
      </c>
      <c r="I413" s="338" t="str">
        <f t="shared" si="328"/>
        <v>0.0238469159927929-0.103275648670317i</v>
      </c>
      <c r="J413" s="337" t="str">
        <f t="shared" si="329"/>
        <v>0.00549526774150789-0.0408907792131178i</v>
      </c>
      <c r="K413" s="338" t="str">
        <f t="shared" si="312"/>
        <v>0.983182233055556-0.203706103646518i</v>
      </c>
      <c r="L413" s="732"/>
      <c r="M413" s="732" t="str">
        <f t="shared" si="313"/>
        <v>0.354931035630458-39.0405218366099i</v>
      </c>
      <c r="N413" s="337">
        <f t="shared" si="314"/>
        <v>0</v>
      </c>
      <c r="O413" s="730" t="str">
        <f t="shared" si="315"/>
        <v>-1.278842130204-15.1434582789277i</v>
      </c>
      <c r="P413" s="731" t="str">
        <f t="shared" si="316"/>
        <v>-1.59444691771516-0.229051526874205i</v>
      </c>
      <c r="Q413" s="729" t="str">
        <f t="shared" si="317"/>
        <v>-1.58165849641312-0.0776169440849276i</v>
      </c>
      <c r="R413" s="730"/>
      <c r="S413" s="405" t="str">
        <f t="shared" si="330"/>
        <v>39.2647716211206-7.0793570656864i</v>
      </c>
      <c r="T413" s="405" t="str">
        <f t="shared" si="331"/>
        <v>14.9606509729954-4.16821764248896i</v>
      </c>
      <c r="U413" s="405" t="str">
        <f t="shared" si="332"/>
        <v>-0.223316503606544-1.60278789330153i</v>
      </c>
      <c r="V413" s="731" t="str">
        <f t="shared" si="318"/>
        <v>6000</v>
      </c>
      <c r="W413" s="733" t="str">
        <f>IMSUM(COMPLEX(1,0),IMDIV(COMPLEX(0,2*PI()*D413),COMPLEX(2*PI()*'Stability Calculations'!EA_Pole1,0)))</f>
        <v>1+246891.79761958i</v>
      </c>
      <c r="X413" s="734">
        <f t="shared" si="333"/>
        <v>246891.79762160519</v>
      </c>
      <c r="Y413" s="735">
        <f t="shared" si="334"/>
        <v>1.5707922764375755</v>
      </c>
      <c r="Z413" s="340" t="str">
        <f>IMSUM(COMPLEX(1,0),IMDIV(COMPLEX(0,2*PI()*D413),COMPLEX(2*PI()*'Stability Calculations'!EA_Zero1,0)))</f>
        <v>1+2444.47324375822i</v>
      </c>
      <c r="AA413" s="734">
        <f t="shared" si="335"/>
        <v>2444.4734483012562</v>
      </c>
      <c r="AB413" s="735">
        <f t="shared" si="336"/>
        <v>1.5703872407282893</v>
      </c>
      <c r="AC413" s="733" t="str">
        <f>IMSUM(COMPLEX(1,0),IMDIV(COMPLEX(0,2*PI()*D413),COMPLEX(2*PI()*'Stability Calculations'!EA_Pole2,0)))</f>
        <v>1+24.6242939760437i</v>
      </c>
      <c r="AD413" s="734">
        <f t="shared" si="337"/>
        <v>24.644590761841062</v>
      </c>
      <c r="AE413" s="735">
        <f t="shared" si="338"/>
        <v>1.5302083281254073</v>
      </c>
      <c r="AF413" s="732" t="str">
        <f t="shared" si="339"/>
        <v>0.0968352279261084-2.40856064832931i</v>
      </c>
      <c r="AG413" s="337">
        <f t="shared" si="340"/>
        <v>2.4105064733470445</v>
      </c>
      <c r="AH413" s="730">
        <f t="shared" si="341"/>
        <v>-1.5306133638346939</v>
      </c>
      <c r="AI413" s="731" t="str">
        <f t="shared" si="319"/>
        <v>10000</v>
      </c>
      <c r="AJ413" s="733" t="str">
        <f t="shared" si="342"/>
        <v>1+230171.111737626i</v>
      </c>
      <c r="AK413" s="734">
        <f t="shared" si="343"/>
        <v>230171.1117397983</v>
      </c>
      <c r="AL413" s="735">
        <f t="shared" si="344"/>
        <v>1.5707919822010314</v>
      </c>
      <c r="AM413" s="340" t="str">
        <f t="shared" si="345"/>
        <v>1+390.626824352563i</v>
      </c>
      <c r="AN413" s="734">
        <f t="shared" si="346"/>
        <v>390.62810434448789</v>
      </c>
      <c r="AO413" s="735">
        <f t="shared" si="347"/>
        <v>1.5682363443432228</v>
      </c>
      <c r="AP413" s="733" t="str">
        <f t="shared" si="348"/>
        <v>1+18.9460448633114i</v>
      </c>
      <c r="AQ413" s="734">
        <f t="shared" si="349"/>
        <v>18.972417240894956</v>
      </c>
      <c r="AR413" s="735">
        <f t="shared" si="350"/>
        <v>1.518063794560371</v>
      </c>
      <c r="AS413" s="732" t="str">
        <f t="shared" si="351"/>
        <v>0.0018095957333632-6.01597135902651i</v>
      </c>
      <c r="AT413" s="337">
        <f t="shared" si="352"/>
        <v>6.0159716311884308</v>
      </c>
      <c r="AU413" s="730">
        <f t="shared" si="353"/>
        <v>-1.5704955282088011</v>
      </c>
      <c r="AV413" s="732" t="str">
        <f t="shared" si="354"/>
        <v>-0.219221091394291+0.0516153898680715i</v>
      </c>
      <c r="AW413" s="337">
        <f t="shared" si="355"/>
        <v>-12.948033273263267</v>
      </c>
      <c r="AX413" s="730">
        <f t="shared" si="356"/>
        <v>166.75107102419571</v>
      </c>
      <c r="AY413" s="360">
        <f t="shared" si="357"/>
        <v>-13.24892897580429</v>
      </c>
      <c r="BB413" s="337">
        <f t="shared" si="358"/>
        <v>-24.413884407262366</v>
      </c>
      <c r="BC413" s="730">
        <f t="shared" si="359"/>
        <v>-89.982765510533227</v>
      </c>
      <c r="BD413" s="351"/>
      <c r="BE413" s="337">
        <f t="shared" si="320"/>
        <v>31.830671221957662</v>
      </c>
      <c r="BF413" s="730">
        <f t="shared" si="321"/>
        <v>-89.479118383800127</v>
      </c>
      <c r="BI413" s="351"/>
      <c r="BJ413" s="351"/>
      <c r="BL413" s="405">
        <f t="shared" si="322"/>
        <v>0</v>
      </c>
      <c r="BM413" s="405">
        <f t="shared" si="360"/>
        <v>0</v>
      </c>
      <c r="BN413" s="405">
        <f t="shared" si="323"/>
        <v>0</v>
      </c>
      <c r="BO413" s="405">
        <f t="shared" si="324"/>
        <v>0</v>
      </c>
    </row>
    <row r="414" spans="4:67" ht="13.5" thickBot="1" x14ac:dyDescent="0.25">
      <c r="D414" s="345">
        <v>39131.5</v>
      </c>
      <c r="E414" s="340" t="str">
        <f t="shared" si="311"/>
        <v>0.649098029838451i</v>
      </c>
      <c r="F414" s="728" t="str">
        <f t="shared" si="325"/>
        <v>0.005-0.066675119219452i</v>
      </c>
      <c r="G414" s="337" t="str">
        <f t="shared" si="326"/>
        <v>0.005-0.104286724932989i</v>
      </c>
      <c r="H414" s="338" t="str">
        <f t="shared" si="327"/>
        <v>0.013745301640561-0.102686545301904i</v>
      </c>
      <c r="I414" s="338" t="str">
        <f t="shared" si="328"/>
        <v>0.023745301640561-0.102686545301904i</v>
      </c>
      <c r="J414" s="337" t="str">
        <f t="shared" si="329"/>
        <v>0.00547945545117487-0.0406551255932956i</v>
      </c>
      <c r="K414" s="338" t="str">
        <f t="shared" si="312"/>
        <v>0.982985841197222-0.204892054873248i</v>
      </c>
      <c r="L414" s="732"/>
      <c r="M414" s="732" t="str">
        <f t="shared" si="313"/>
        <v>0.349280645547001-38.7843887530235i</v>
      </c>
      <c r="N414" s="337">
        <f t="shared" si="314"/>
        <v>0</v>
      </c>
      <c r="O414" s="730" t="str">
        <f t="shared" si="315"/>
        <v>-1.27065912921637-15.0428484981072i</v>
      </c>
      <c r="P414" s="731" t="str">
        <f t="shared" si="316"/>
        <v>-1.57487032807614-0.226717378885261i</v>
      </c>
      <c r="Q414" s="729" t="str">
        <f t="shared" si="317"/>
        <v>-1.56216373678398-0.0762888939041883i</v>
      </c>
      <c r="R414" s="730"/>
      <c r="S414" s="405" t="str">
        <f t="shared" si="330"/>
        <v>39.2538462494985-7.13198083602672i</v>
      </c>
      <c r="T414" s="405" t="str">
        <f t="shared" si="331"/>
        <v>14.9535666090509-4.18690514201583i</v>
      </c>
      <c r="U414" s="405" t="str">
        <f t="shared" si="332"/>
        <v>-0.22439754089676-1.59308036914277i</v>
      </c>
      <c r="V414" s="731" t="str">
        <f t="shared" si="318"/>
        <v>6000</v>
      </c>
      <c r="W414" s="733" t="str">
        <f>IMSUM(COMPLEX(1,0),IMDIV(COMPLEX(0,2*PI()*D414),COMPLEX(2*PI()*'Stability Calculations'!EA_Pole1,0)))</f>
        <v>1+248329.170506377i</v>
      </c>
      <c r="X414" s="734">
        <f t="shared" si="333"/>
        <v>248329.1705083905</v>
      </c>
      <c r="Y414" s="735">
        <f t="shared" si="334"/>
        <v>1.5707922998817556</v>
      </c>
      <c r="Z414" s="340" t="str">
        <f>IMSUM(COMPLEX(1,0),IMDIV(COMPLEX(0,2*PI()*D414),COMPLEX(2*PI()*'Stability Calculations'!EA_Zero1,0)))</f>
        <v>1+2458.70465847898i</v>
      </c>
      <c r="AA414" s="734">
        <f t="shared" si="335"/>
        <v>2458.704861838085</v>
      </c>
      <c r="AB414" s="735">
        <f t="shared" si="336"/>
        <v>1.5703896085900844</v>
      </c>
      <c r="AC414" s="733" t="str">
        <f>IMSUM(COMPLEX(1,0),IMDIV(COMPLEX(0,2*PI()*D414),COMPLEX(2*PI()*'Stability Calculations'!EA_Pole2,0)))</f>
        <v>1+24.7676535078667i</v>
      </c>
      <c r="AD414" s="734">
        <f t="shared" si="337"/>
        <v>24.787832908218132</v>
      </c>
      <c r="AE414" s="735">
        <f t="shared" si="338"/>
        <v>1.5304430028988227</v>
      </c>
      <c r="AF414" s="732" t="str">
        <f t="shared" si="339"/>
        <v>0.0957192927067638-2.39466453206184i</v>
      </c>
      <c r="AG414" s="337">
        <f t="shared" si="340"/>
        <v>2.3965768095580064</v>
      </c>
      <c r="AH414" s="730">
        <f t="shared" si="341"/>
        <v>-1.530845694190494</v>
      </c>
      <c r="AI414" s="731" t="str">
        <f t="shared" si="319"/>
        <v>10000</v>
      </c>
      <c r="AJ414" s="733" t="str">
        <f t="shared" si="342"/>
        <v>1+231511.13890145i</v>
      </c>
      <c r="AK414" s="734">
        <f t="shared" si="343"/>
        <v>231511.13890360971</v>
      </c>
      <c r="AL414" s="735">
        <f t="shared" si="344"/>
        <v>1.5707920073483044</v>
      </c>
      <c r="AM414" s="340" t="str">
        <f t="shared" si="345"/>
        <v>1+392.901004424941i</v>
      </c>
      <c r="AN414" s="734">
        <f t="shared" si="346"/>
        <v>392.90227700807168</v>
      </c>
      <c r="AO414" s="735">
        <f t="shared" si="347"/>
        <v>1.5682511619074344</v>
      </c>
      <c r="AP414" s="733" t="str">
        <f t="shared" si="348"/>
        <v>1+19.0563463454227i</v>
      </c>
      <c r="AQ414" s="734">
        <f t="shared" si="349"/>
        <v>19.082566285400532</v>
      </c>
      <c r="AR414" s="735">
        <f t="shared" si="350"/>
        <v>1.518368459099372</v>
      </c>
      <c r="AS414" s="732" t="str">
        <f t="shared" si="351"/>
        <v>0.00178870784573722-5.98114986564195i</v>
      </c>
      <c r="AT414" s="337">
        <f t="shared" si="352"/>
        <v>5.9811501331052099</v>
      </c>
      <c r="AU414" s="730">
        <f t="shared" si="353"/>
        <v>-1.5704972692837837</v>
      </c>
      <c r="AV414" s="732" t="str">
        <f t="shared" si="354"/>
        <v>-0.216590078102324+0.0513425474450246i</v>
      </c>
      <c r="AW414" s="337">
        <f t="shared" si="355"/>
        <v>-13.049798392010638</v>
      </c>
      <c r="AX414" s="730">
        <f t="shared" si="356"/>
        <v>166.66422315153358</v>
      </c>
      <c r="AY414" s="360">
        <f t="shared" si="357"/>
        <v>-13.335776848466423</v>
      </c>
      <c r="BB414" s="337">
        <f t="shared" si="358"/>
        <v>-24.464305924134322</v>
      </c>
      <c r="BC414" s="730">
        <f t="shared" si="359"/>
        <v>-89.982865266781545</v>
      </c>
      <c r="BD414" s="351"/>
      <c r="BE414" s="337">
        <f t="shared" si="320"/>
        <v>31.7734912360681</v>
      </c>
      <c r="BF414" s="730">
        <f t="shared" si="321"/>
        <v>-89.484025235203532</v>
      </c>
      <c r="BI414" s="351"/>
      <c r="BJ414" s="351"/>
      <c r="BL414" s="405">
        <f t="shared" si="322"/>
        <v>0</v>
      </c>
      <c r="BM414" s="405">
        <f t="shared" si="360"/>
        <v>0</v>
      </c>
      <c r="BN414" s="405">
        <f t="shared" si="323"/>
        <v>0</v>
      </c>
      <c r="BO414" s="405">
        <f t="shared" si="324"/>
        <v>0</v>
      </c>
    </row>
    <row r="415" spans="4:67" ht="13.5" thickBot="1" x14ac:dyDescent="0.25">
      <c r="D415" s="345">
        <v>39358</v>
      </c>
      <c r="E415" s="340" t="str">
        <f t="shared" si="311"/>
        <v>0.652855123324732i</v>
      </c>
      <c r="F415" s="728" t="str">
        <f t="shared" si="325"/>
        <v>0.005-0.0662914128699627i</v>
      </c>
      <c r="G415" s="337" t="str">
        <f t="shared" si="326"/>
        <v>0.005-0.10368656884789i</v>
      </c>
      <c r="H415" s="338" t="str">
        <f t="shared" si="327"/>
        <v>0.0136454198369143-0.10210407530823i</v>
      </c>
      <c r="I415" s="338" t="str">
        <f t="shared" si="328"/>
        <v>0.0236454198369143-0.10210407530823i</v>
      </c>
      <c r="J415" s="337" t="str">
        <f t="shared" si="329"/>
        <v>0.00546391363138839-0.0404221780900679i</v>
      </c>
      <c r="K415" s="338" t="str">
        <f t="shared" si="312"/>
        <v>0.982788309288889-0.206078006099978i</v>
      </c>
      <c r="L415" s="732"/>
      <c r="M415" s="732" t="str">
        <f t="shared" si="313"/>
        <v>0.343766990294012-38.5317639595853i</v>
      </c>
      <c r="N415" s="337">
        <f t="shared" si="314"/>
        <v>0</v>
      </c>
      <c r="O415" s="730" t="str">
        <f t="shared" si="315"/>
        <v>-1.26261480370319-14.9436195374435i</v>
      </c>
      <c r="P415" s="731" t="str">
        <f t="shared" si="316"/>
        <v>-1.55565951175453-0.224430040843369i</v>
      </c>
      <c r="Q415" s="729" t="str">
        <f t="shared" si="317"/>
        <v>-1.5430333637175-0.0749938454689353i</v>
      </c>
      <c r="R415" s="730"/>
      <c r="S415" s="405" t="str">
        <f t="shared" si="330"/>
        <v>39.2428401246232-7.18452135680683i</v>
      </c>
      <c r="T415" s="405" t="str">
        <f t="shared" si="331"/>
        <v>14.9464488896354-4.20560658774426i</v>
      </c>
      <c r="U415" s="405" t="str">
        <f t="shared" si="332"/>
        <v>-0.225459001581772-1.5834806105766i</v>
      </c>
      <c r="V415" s="731" t="str">
        <f t="shared" si="318"/>
        <v>6000</v>
      </c>
      <c r="W415" s="733" t="str">
        <f>IMSUM(COMPLEX(1,0),IMDIV(COMPLEX(0,2*PI()*D415),COMPLEX(2*PI()*'Stability Calculations'!EA_Pole1,0)))</f>
        <v>1+249766.543393174i</v>
      </c>
      <c r="X415" s="734">
        <f t="shared" si="333"/>
        <v>249766.54339517586</v>
      </c>
      <c r="Y415" s="735">
        <f t="shared" si="334"/>
        <v>1.5707923230560996</v>
      </c>
      <c r="Z415" s="340" t="str">
        <f>IMSUM(COMPLEX(1,0),IMDIV(COMPLEX(0,2*PI()*D415),COMPLEX(2*PI()*'Stability Calculations'!EA_Zero1,0)))</f>
        <v>1+2472.93607319974i</v>
      </c>
      <c r="AA415" s="734">
        <f t="shared" si="335"/>
        <v>2472.9362753885407</v>
      </c>
      <c r="AB415" s="735">
        <f t="shared" si="336"/>
        <v>1.5703919491984313</v>
      </c>
      <c r="AC415" s="733" t="str">
        <f>IMSUM(COMPLEX(1,0),IMDIV(COMPLEX(0,2*PI()*D415),COMPLEX(2*PI()*'Stability Calculations'!EA_Pole2,0)))</f>
        <v>1+24.9110130396897i</v>
      </c>
      <c r="AD415" s="734">
        <f t="shared" si="337"/>
        <v>24.931076404030176</v>
      </c>
      <c r="AE415" s="735">
        <f t="shared" si="338"/>
        <v>1.5306749809994875</v>
      </c>
      <c r="AF415" s="732" t="str">
        <f t="shared" si="339"/>
        <v>0.0946225268388804-2.3809275868448i</v>
      </c>
      <c r="AG415" s="337">
        <f t="shared" si="340"/>
        <v>2.3828070833334318</v>
      </c>
      <c r="AH415" s="730">
        <f t="shared" si="341"/>
        <v>-1.5310753548571558</v>
      </c>
      <c r="AI415" s="731" t="str">
        <f t="shared" si="319"/>
        <v>10000</v>
      </c>
      <c r="AJ415" s="733" t="str">
        <f t="shared" si="342"/>
        <v>1+232851.166065274i</v>
      </c>
      <c r="AK415" s="734">
        <f t="shared" si="343"/>
        <v>232851.16606742129</v>
      </c>
      <c r="AL415" s="735">
        <f t="shared" si="344"/>
        <v>1.5707920322061391</v>
      </c>
      <c r="AM415" s="340" t="str">
        <f t="shared" si="345"/>
        <v>1+395.175184497318i</v>
      </c>
      <c r="AN415" s="734">
        <f t="shared" si="346"/>
        <v>395.17644975692741</v>
      </c>
      <c r="AO415" s="735">
        <f t="shared" si="347"/>
        <v>1.5682658089265638</v>
      </c>
      <c r="AP415" s="733" t="str">
        <f t="shared" si="348"/>
        <v>1+19.166647827534i</v>
      </c>
      <c r="AQ415" s="734">
        <f t="shared" si="349"/>
        <v>19.192717080828178</v>
      </c>
      <c r="AR415" s="735">
        <f t="shared" si="350"/>
        <v>1.5186696266060908</v>
      </c>
      <c r="AS415" s="732" t="str">
        <f t="shared" si="351"/>
        <v>0.00176817954035967-5.94672915817884i</v>
      </c>
      <c r="AT415" s="337">
        <f t="shared" si="352"/>
        <v>5.9467294210509785</v>
      </c>
      <c r="AU415" s="730">
        <f t="shared" si="353"/>
        <v>-1.5704989903194628</v>
      </c>
      <c r="AV415" s="732" t="str">
        <f t="shared" si="354"/>
        <v>-0.214004433161172+0.0510721425100581i</v>
      </c>
      <c r="AW415" s="337">
        <f t="shared" si="355"/>
        <v>-13.150984604956541</v>
      </c>
      <c r="AX415" s="730">
        <f t="shared" si="356"/>
        <v>166.5774296414055</v>
      </c>
      <c r="AY415" s="360">
        <f t="shared" si="357"/>
        <v>-13.422570358594498</v>
      </c>
      <c r="BB415" s="337">
        <f t="shared" si="358"/>
        <v>-24.514436433033922</v>
      </c>
      <c r="BC415" s="730">
        <f t="shared" si="359"/>
        <v>-89.982963874862349</v>
      </c>
      <c r="BD415" s="351"/>
      <c r="BE415" s="337">
        <f t="shared" si="320"/>
        <v>31.716723490587675</v>
      </c>
      <c r="BF415" s="730">
        <f t="shared" si="321"/>
        <v>-89.4888405539551</v>
      </c>
      <c r="BI415" s="351"/>
      <c r="BJ415" s="351"/>
      <c r="BL415" s="405">
        <f t="shared" si="322"/>
        <v>0</v>
      </c>
      <c r="BM415" s="405">
        <f t="shared" si="360"/>
        <v>0</v>
      </c>
      <c r="BN415" s="405">
        <f t="shared" si="323"/>
        <v>0</v>
      </c>
      <c r="BO415" s="405">
        <f t="shared" si="324"/>
        <v>0</v>
      </c>
    </row>
    <row r="416" spans="4:67" ht="13.5" thickBot="1" x14ac:dyDescent="0.25">
      <c r="D416" s="345">
        <v>39584.5</v>
      </c>
      <c r="E416" s="340" t="str">
        <f t="shared" si="311"/>
        <v>0.656612216811013i</v>
      </c>
      <c r="F416" s="728" t="str">
        <f t="shared" si="325"/>
        <v>0.005-0.0659120976072954i</v>
      </c>
      <c r="G416" s="337" t="str">
        <f t="shared" si="326"/>
        <v>0.005-0.103093280872949i</v>
      </c>
      <c r="H416" s="338" t="str">
        <f t="shared" si="327"/>
        <v>0.0135472315105276-0.101528128119172i</v>
      </c>
      <c r="I416" s="338" t="str">
        <f t="shared" si="328"/>
        <v>0.0235472315105276-0.101528128119172i</v>
      </c>
      <c r="J416" s="337" t="str">
        <f t="shared" si="329"/>
        <v>0.00544863611353352-0.0401918904509104i</v>
      </c>
      <c r="K416" s="338" t="str">
        <f t="shared" si="312"/>
        <v>0.982589637330556-0.207263957326709i</v>
      </c>
      <c r="L416" s="732"/>
      <c r="M416" s="732" t="str">
        <f t="shared" si="313"/>
        <v>0.338385679188559-38.2825731898114i</v>
      </c>
      <c r="N416" s="337">
        <f t="shared" si="314"/>
        <v>0</v>
      </c>
      <c r="O416" s="730" t="str">
        <f t="shared" si="315"/>
        <v>-1.25470601030846-14.845741987091i</v>
      </c>
      <c r="P416" s="731" t="str">
        <f t="shared" si="316"/>
        <v>-1.53680524739193-0.2221881709491i</v>
      </c>
      <c r="Q416" s="729" t="str">
        <f t="shared" si="317"/>
        <v>-1.52425818728885-0.0737307510781887i</v>
      </c>
      <c r="R416" s="730"/>
      <c r="S416" s="405" t="str">
        <f t="shared" si="330"/>
        <v>39.2317535166489-7.23697970036149i</v>
      </c>
      <c r="T416" s="405" t="str">
        <f t="shared" si="331"/>
        <v>14.9392977260767-4.2243214408675i</v>
      </c>
      <c r="U416" s="405" t="str">
        <f t="shared" si="332"/>
        <v>-0.226501323565102-1.5739867940779i</v>
      </c>
      <c r="V416" s="731" t="str">
        <f t="shared" si="318"/>
        <v>6000</v>
      </c>
      <c r="W416" s="733" t="str">
        <f>IMSUM(COMPLEX(1,0),IMDIV(COMPLEX(0,2*PI()*D416),COMPLEX(2*PI()*'Stability Calculations'!EA_Pole1,0)))</f>
        <v>1+251203.916279971i</v>
      </c>
      <c r="X416" s="734">
        <f t="shared" si="333"/>
        <v>251203.9162819614</v>
      </c>
      <c r="Y416" s="735">
        <f t="shared" si="334"/>
        <v>1.5707923459652391</v>
      </c>
      <c r="Z416" s="340" t="str">
        <f>IMSUM(COMPLEX(1,0),IMDIV(COMPLEX(0,2*PI()*D416),COMPLEX(2*PI()*'Stability Calculations'!EA_Zero1,0)))</f>
        <v>1+2487.1674879205i</v>
      </c>
      <c r="AA416" s="734">
        <f t="shared" si="335"/>
        <v>2487.1676889523901</v>
      </c>
      <c r="AB416" s="735">
        <f t="shared" si="336"/>
        <v>1.5703942630211574</v>
      </c>
      <c r="AC416" s="733" t="str">
        <f>IMSUM(COMPLEX(1,0),IMDIV(COMPLEX(0,2*PI()*D416),COMPLEX(2*PI()*'Stability Calculations'!EA_Pole2,0)))</f>
        <v>1+25.0543725715127i</v>
      </c>
      <c r="AD416" s="734">
        <f t="shared" si="337"/>
        <v>25.074321226150232</v>
      </c>
      <c r="AE416" s="735">
        <f t="shared" si="338"/>
        <v>1.5309043086189518</v>
      </c>
      <c r="AF416" s="732" t="str">
        <f t="shared" si="339"/>
        <v>0.0935444940035568-2.36734709779305i</v>
      </c>
      <c r="AG416" s="337">
        <f t="shared" si="340"/>
        <v>2.3691945580275924</v>
      </c>
      <c r="AH416" s="730">
        <f t="shared" si="341"/>
        <v>-1.5313023915630337</v>
      </c>
      <c r="AI416" s="731" t="str">
        <f t="shared" si="319"/>
        <v>10000</v>
      </c>
      <c r="AJ416" s="733" t="str">
        <f t="shared" si="342"/>
        <v>1+234191.193229098i</v>
      </c>
      <c r="AK416" s="734">
        <f t="shared" si="343"/>
        <v>234191.19323123299</v>
      </c>
      <c r="AL416" s="735">
        <f t="shared" si="344"/>
        <v>1.5707920567795035</v>
      </c>
      <c r="AM416" s="340" t="str">
        <f t="shared" si="345"/>
        <v>1+397.449364569696i</v>
      </c>
      <c r="AN416" s="734">
        <f t="shared" si="346"/>
        <v>397.45062258959302</v>
      </c>
      <c r="AO416" s="735">
        <f t="shared" si="347"/>
        <v>1.5682802883281302</v>
      </c>
      <c r="AP416" s="733" t="str">
        <f t="shared" si="348"/>
        <v>1+19.2769493096453i</v>
      </c>
      <c r="AQ416" s="734">
        <f t="shared" si="349"/>
        <v>19.302869597203269</v>
      </c>
      <c r="AR416" s="735">
        <f t="shared" si="350"/>
        <v>1.5189673568932409</v>
      </c>
      <c r="AS416" s="732" t="str">
        <f t="shared" si="351"/>
        <v>0.00174800261079563-5.91270235682463i</v>
      </c>
      <c r="AT416" s="337">
        <f t="shared" si="352"/>
        <v>5.9127026152101259</v>
      </c>
      <c r="AU416" s="730">
        <f t="shared" si="353"/>
        <v>-1.5705006916598296</v>
      </c>
      <c r="AV416" s="732" t="str">
        <f t="shared" si="354"/>
        <v>-0.211463119650119+0.0508041479406536i</v>
      </c>
      <c r="AW416" s="337">
        <f t="shared" si="355"/>
        <v>-13.251598636456238</v>
      </c>
      <c r="AX416" s="730">
        <f t="shared" si="356"/>
        <v>166.49068948332345</v>
      </c>
      <c r="AY416" s="360">
        <f t="shared" si="357"/>
        <v>-13.50931051667655</v>
      </c>
      <c r="BB416" s="337">
        <f t="shared" si="358"/>
        <v>-24.564279273801453</v>
      </c>
      <c r="BC416" s="730">
        <f t="shared" si="359"/>
        <v>-89.983061354484889</v>
      </c>
      <c r="BD416" s="351"/>
      <c r="BE416" s="337">
        <f t="shared" si="320"/>
        <v>31.660361733895233</v>
      </c>
      <c r="BF416" s="730">
        <f t="shared" si="321"/>
        <v>-89.493566791913452</v>
      </c>
      <c r="BI416" s="351"/>
      <c r="BJ416" s="351"/>
      <c r="BL416" s="405">
        <f t="shared" si="322"/>
        <v>0</v>
      </c>
      <c r="BM416" s="405">
        <f t="shared" si="360"/>
        <v>0</v>
      </c>
      <c r="BN416" s="405">
        <f t="shared" si="323"/>
        <v>0</v>
      </c>
      <c r="BO416" s="405">
        <f t="shared" si="324"/>
        <v>0</v>
      </c>
    </row>
    <row r="417" spans="4:67" ht="13.5" thickBot="1" x14ac:dyDescent="0.25">
      <c r="D417" s="345">
        <v>39811</v>
      </c>
      <c r="E417" s="340" t="str">
        <f t="shared" si="311"/>
        <v>0.660369310297294i</v>
      </c>
      <c r="F417" s="728" t="str">
        <f t="shared" si="325"/>
        <v>0.005-0.0655370984837355i</v>
      </c>
      <c r="G417" s="337" t="str">
        <f t="shared" si="326"/>
        <v>0.005-0.102506743782253i</v>
      </c>
      <c r="H417" s="338" t="str">
        <f t="shared" si="327"/>
        <v>0.0134506986826863-0.100958595589236i</v>
      </c>
      <c r="I417" s="338" t="str">
        <f t="shared" si="328"/>
        <v>0.0234506986826863-0.100958595589236i</v>
      </c>
      <c r="J417" s="337" t="str">
        <f t="shared" si="329"/>
        <v>0.00543361690360631-0.0399642174701729i</v>
      </c>
      <c r="K417" s="338" t="str">
        <f t="shared" si="312"/>
        <v>0.982389825322222-0.208449908553439i</v>
      </c>
      <c r="L417" s="732"/>
      <c r="M417" s="732" t="str">
        <f t="shared" si="313"/>
        <v>0.333132495591334-38.0367443118597i</v>
      </c>
      <c r="N417" s="337">
        <f t="shared" si="314"/>
        <v>0</v>
      </c>
      <c r="O417" s="730" t="str">
        <f t="shared" si="315"/>
        <v>-1.24692969250967-14.749187288007i</v>
      </c>
      <c r="P417" s="731" t="str">
        <f t="shared" si="316"/>
        <v>-1.51829860717734-0.219990476351266i</v>
      </c>
      <c r="Q417" s="729" t="str">
        <f t="shared" si="317"/>
        <v>-1.50582931025224-0.0724986034711951i</v>
      </c>
      <c r="R417" s="730"/>
      <c r="S417" s="405" t="str">
        <f t="shared" si="330"/>
        <v>39.2205866878492-7.28935691267302i</v>
      </c>
      <c r="T417" s="405" t="str">
        <f t="shared" si="331"/>
        <v>14.9321130329736-4.24304917289349i</v>
      </c>
      <c r="U417" s="405" t="str">
        <f t="shared" si="332"/>
        <v>-0.227524932409055-1.56459713690915i</v>
      </c>
      <c r="V417" s="731" t="str">
        <f t="shared" si="318"/>
        <v>6000</v>
      </c>
      <c r="W417" s="733" t="str">
        <f>IMSUM(COMPLEX(1,0),IMDIV(COMPLEX(0,2*PI()*D417),COMPLEX(2*PI()*'Stability Calculations'!EA_Pole1,0)))</f>
        <v>1+252641.289166768i</v>
      </c>
      <c r="X417" s="734">
        <f t="shared" si="333"/>
        <v>252641.28916874711</v>
      </c>
      <c r="Y417" s="735">
        <f t="shared" si="334"/>
        <v>1.5707923686137011</v>
      </c>
      <c r="Z417" s="340" t="str">
        <f>IMSUM(COMPLEX(1,0),IMDIV(COMPLEX(0,2*PI()*D417),COMPLEX(2*PI()*'Stability Calculations'!EA_Zero1,0)))</f>
        <v>1+2501.39890264127i</v>
      </c>
      <c r="AA417" s="734">
        <f t="shared" si="335"/>
        <v>2501.3991025294126</v>
      </c>
      <c r="AB417" s="735">
        <f t="shared" si="336"/>
        <v>1.5703965505154434</v>
      </c>
      <c r="AC417" s="733" t="str">
        <f>IMSUM(COMPLEX(1,0),IMDIV(COMPLEX(0,2*PI()*D417),COMPLEX(2*PI()*'Stability Calculations'!EA_Pole2,0)))</f>
        <v>1+25.1977321033358i</v>
      </c>
      <c r="AD417" s="734">
        <f t="shared" si="337"/>
        <v>25.217567351976669</v>
      </c>
      <c r="AE417" s="735">
        <f t="shared" si="338"/>
        <v>1.5311310309003474</v>
      </c>
      <c r="AF417" s="732" t="str">
        <f t="shared" si="339"/>
        <v>0.0924847702191198-2.35392041131593i</v>
      </c>
      <c r="AG417" s="337">
        <f t="shared" si="340"/>
        <v>2.3557365590261234</v>
      </c>
      <c r="AH417" s="730">
        <f t="shared" si="341"/>
        <v>-1.5315268489986051</v>
      </c>
      <c r="AI417" s="731" t="str">
        <f t="shared" si="319"/>
        <v>10000</v>
      </c>
      <c r="AJ417" s="733" t="str">
        <f t="shared" si="342"/>
        <v>1+235531.220392922i</v>
      </c>
      <c r="AK417" s="734">
        <f t="shared" si="343"/>
        <v>235531.22039504489</v>
      </c>
      <c r="AL417" s="735">
        <f t="shared" si="344"/>
        <v>1.5707920810732539</v>
      </c>
      <c r="AM417" s="340" t="str">
        <f t="shared" si="345"/>
        <v>1+399.723544642075i</v>
      </c>
      <c r="AN417" s="734">
        <f t="shared" si="346"/>
        <v>399.72479550463828</v>
      </c>
      <c r="AO417" s="735">
        <f t="shared" si="347"/>
        <v>1.5682946029730307</v>
      </c>
      <c r="AP417" s="733" t="str">
        <f t="shared" si="348"/>
        <v>1+19.3872507917567i</v>
      </c>
      <c r="AQ417" s="734">
        <f t="shared" si="349"/>
        <v>19.413023805231138</v>
      </c>
      <c r="AR417" s="735">
        <f t="shared" si="350"/>
        <v>1.5192617084184386</v>
      </c>
      <c r="AS417" s="732" t="str">
        <f t="shared" si="351"/>
        <v>0.00172816908339197-5.87906273833432i</v>
      </c>
      <c r="AT417" s="337">
        <f t="shared" si="352"/>
        <v>5.8790629923346991</v>
      </c>
      <c r="AU417" s="730">
        <f t="shared" si="353"/>
        <v>-1.5705023736410466</v>
      </c>
      <c r="AV417" s="732" t="str">
        <f t="shared" si="354"/>
        <v>-0.208965130115826+0.0505385368090952i</v>
      </c>
      <c r="AW417" s="337">
        <f t="shared" si="355"/>
        <v>-13.351647095401278</v>
      </c>
      <c r="AX417" s="730">
        <f t="shared" si="356"/>
        <v>166.40400169050957</v>
      </c>
      <c r="AY417" s="360">
        <f t="shared" si="357"/>
        <v>-13.595998309490426</v>
      </c>
      <c r="BB417" s="337">
        <f t="shared" si="358"/>
        <v>-24.613837729108994</v>
      </c>
      <c r="BC417" s="730">
        <f t="shared" si="359"/>
        <v>-89.983157724909844</v>
      </c>
      <c r="BD417" s="351"/>
      <c r="BE417" s="337">
        <f t="shared" si="320"/>
        <v>31.604399859301427</v>
      </c>
      <c r="BF417" s="730">
        <f t="shared" si="321"/>
        <v>-89.498206317214283</v>
      </c>
      <c r="BI417" s="351"/>
      <c r="BJ417" s="351"/>
      <c r="BL417" s="405">
        <f t="shared" si="322"/>
        <v>0</v>
      </c>
      <c r="BM417" s="405">
        <f t="shared" si="360"/>
        <v>0</v>
      </c>
      <c r="BN417" s="405">
        <f t="shared" si="323"/>
        <v>0</v>
      </c>
      <c r="BO417" s="405">
        <f t="shared" si="324"/>
        <v>0</v>
      </c>
    </row>
    <row r="418" spans="4:67" ht="13.5" thickBot="1" x14ac:dyDescent="0.25">
      <c r="D418" s="345">
        <v>40042.75</v>
      </c>
      <c r="E418" s="340" t="str">
        <f t="shared" si="311"/>
        <v>0.664213488731933i</v>
      </c>
      <c r="F418" s="728" t="str">
        <f t="shared" si="325"/>
        <v>0.005-0.0651577982964703i</v>
      </c>
      <c r="G418" s="337" t="str">
        <f t="shared" si="326"/>
        <v>0.005-0.101913479386787i</v>
      </c>
      <c r="H418" s="338" t="str">
        <f t="shared" si="327"/>
        <v>0.0133536033357707-0.10038239105781i</v>
      </c>
      <c r="I418" s="338" t="str">
        <f t="shared" si="328"/>
        <v>0.0233536033357707-0.10038239105781i</v>
      </c>
      <c r="J418" s="337" t="str">
        <f t="shared" si="329"/>
        <v>0.00541851084953732-0.0397339274851543i</v>
      </c>
      <c r="K418" s="338" t="str">
        <f t="shared" si="312"/>
        <v>0.982184201915972-0.209663348715888i</v>
      </c>
      <c r="L418" s="732"/>
      <c r="M418" s="732" t="str">
        <f t="shared" si="313"/>
        <v>0.327885942044639-37.7886240173362i</v>
      </c>
      <c r="N418" s="337">
        <f t="shared" si="314"/>
        <v>0</v>
      </c>
      <c r="O418" s="730" t="str">
        <f t="shared" si="315"/>
        <v>-1.23910714616288-14.6517348376887i</v>
      </c>
      <c r="P418" s="731" t="str">
        <f t="shared" si="316"/>
        <v>-1.49971379293422-0.217786265471626i</v>
      </c>
      <c r="Q418" s="729" t="str">
        <f t="shared" si="317"/>
        <v>-1.48732272147259-0.071268917094739i</v>
      </c>
      <c r="R418" s="730"/>
      <c r="S418" s="405" t="str">
        <f t="shared" si="330"/>
        <v>39.2090782593335-7.34286525661475i</v>
      </c>
      <c r="T418" s="405" t="str">
        <f t="shared" si="331"/>
        <v>14.9247270171793-4.26222378084717i</v>
      </c>
      <c r="U418" s="405" t="str">
        <f t="shared" si="332"/>
        <v>-0.228553329862827-1.55509582956728i</v>
      </c>
      <c r="V418" s="731" t="str">
        <f t="shared" si="318"/>
        <v>6000</v>
      </c>
      <c r="W418" s="733" t="str">
        <f>IMSUM(COMPLEX(1,0),IMDIV(COMPLEX(0,2*PI()*D418),COMPLEX(2*PI()*'Stability Calculations'!EA_Pole1,0)))</f>
        <v>1+254111.978643656i</v>
      </c>
      <c r="X418" s="734">
        <f t="shared" si="333"/>
        <v>254111.97864562363</v>
      </c>
      <c r="Y418" s="735">
        <f t="shared" si="334"/>
        <v>1.5707923915219302</v>
      </c>
      <c r="Z418" s="340" t="str">
        <f>IMSUM(COMPLEX(1,0),IMDIV(COMPLEX(0,2*PI()*D418),COMPLEX(2*PI()*'Stability Calculations'!EA_Zero1,0)))</f>
        <v>1+2515.96018459065i</v>
      </c>
      <c r="AA418" s="734">
        <f t="shared" si="335"/>
        <v>2515.9603833219267</v>
      </c>
      <c r="AB418" s="735">
        <f t="shared" si="336"/>
        <v>1.5703988642462181</v>
      </c>
      <c r="AC418" s="733" t="str">
        <f>IMSUM(COMPLEX(1,0),IMDIV(COMPLEX(0,2*PI()*D418),COMPLEX(2*PI()*'Stability Calculations'!EA_Pole2,0)))</f>
        <v>1+25.3444145382142i</v>
      </c>
      <c r="AD418" s="734">
        <f t="shared" si="337"/>
        <v>25.364135078587704</v>
      </c>
      <c r="AE418" s="735">
        <f t="shared" si="338"/>
        <v>1.5313603577301709</v>
      </c>
      <c r="AF418" s="732" t="str">
        <f t="shared" si="339"/>
        <v>0.0914190041198634-2.34033899629063i</v>
      </c>
      <c r="AG418" s="337">
        <f t="shared" si="340"/>
        <v>2.3421238335905512</v>
      </c>
      <c r="AH418" s="730">
        <f t="shared" si="341"/>
        <v>-1.5317538850058832</v>
      </c>
      <c r="AI418" s="731" t="str">
        <f t="shared" si="319"/>
        <v>10000</v>
      </c>
      <c r="AJ418" s="733" t="str">
        <f t="shared" si="342"/>
        <v>1+236902.30778902i</v>
      </c>
      <c r="AK418" s="734">
        <f t="shared" si="343"/>
        <v>236902.30779113059</v>
      </c>
      <c r="AL418" s="735">
        <f t="shared" si="344"/>
        <v>1.5707921056456418</v>
      </c>
      <c r="AM418" s="340" t="str">
        <f t="shared" si="345"/>
        <v>1+402.050437497586i</v>
      </c>
      <c r="AN418" s="734">
        <f t="shared" si="346"/>
        <v>402.05168112072397</v>
      </c>
      <c r="AO418" s="735">
        <f t="shared" si="347"/>
        <v>1.5683090818012235</v>
      </c>
      <c r="AP418" s="733" t="str">
        <f t="shared" si="348"/>
        <v>1+19.500108930738i</v>
      </c>
      <c r="AQ418" s="734">
        <f t="shared" si="349"/>
        <v>19.525732977551648</v>
      </c>
      <c r="AR418" s="735">
        <f t="shared" si="350"/>
        <v>1.5195594451098544</v>
      </c>
      <c r="AS418" s="732" t="str">
        <f t="shared" si="351"/>
        <v>0.0017082231914664-5.8450372891284i</v>
      </c>
      <c r="AT418" s="337">
        <f t="shared" si="352"/>
        <v>5.8450375387441218</v>
      </c>
      <c r="AU418" s="730">
        <f t="shared" si="353"/>
        <v>-1.5705040749137991</v>
      </c>
      <c r="AV418" s="732" t="str">
        <f t="shared" si="354"/>
        <v>-0.206453061126331+0.0502692082014239i</v>
      </c>
      <c r="AW418" s="337">
        <f t="shared" si="355"/>
        <v>-13.453435944873625</v>
      </c>
      <c r="AX418" s="730">
        <f t="shared" si="356"/>
        <v>166.3153577728736</v>
      </c>
      <c r="AY418" s="360">
        <f t="shared" si="357"/>
        <v>-13.684642227126403</v>
      </c>
      <c r="BB418" s="337">
        <f t="shared" si="358"/>
        <v>-24.66425390623759</v>
      </c>
      <c r="BC418" s="730">
        <f t="shared" si="359"/>
        <v>-89.983255200658348</v>
      </c>
      <c r="BD418" s="351"/>
      <c r="BE418" s="337">
        <f t="shared" si="320"/>
        <v>31.547548525704961</v>
      </c>
      <c r="BF418" s="730">
        <f t="shared" si="321"/>
        <v>-89.502866016224615</v>
      </c>
      <c r="BI418" s="351"/>
      <c r="BJ418" s="351"/>
      <c r="BL418" s="405">
        <f t="shared" si="322"/>
        <v>0</v>
      </c>
      <c r="BM418" s="405">
        <f t="shared" si="360"/>
        <v>0</v>
      </c>
      <c r="BN418" s="405">
        <f t="shared" si="323"/>
        <v>0</v>
      </c>
      <c r="BO418" s="405">
        <f t="shared" si="324"/>
        <v>0</v>
      </c>
    </row>
    <row r="419" spans="4:67" ht="13.5" thickBot="1" x14ac:dyDescent="0.25">
      <c r="D419" s="345">
        <v>40274.5</v>
      </c>
      <c r="E419" s="340" t="str">
        <f t="shared" si="311"/>
        <v>0.668057667166571i</v>
      </c>
      <c r="F419" s="728" t="str">
        <f t="shared" si="325"/>
        <v>0.005-0.0647828632940442i</v>
      </c>
      <c r="G419" s="337" t="str">
        <f t="shared" si="326"/>
        <v>0.005-0.101327042588121i</v>
      </c>
      <c r="H419" s="338" t="str">
        <f t="shared" si="327"/>
        <v>0.0132581640283025-0.0998126804347158i</v>
      </c>
      <c r="I419" s="338" t="str">
        <f t="shared" si="328"/>
        <v>0.0232581640283025-0.0998126804347158i</v>
      </c>
      <c r="J419" s="337" t="str">
        <f t="shared" si="329"/>
        <v>0.00540366305570571-0.0395062822549455i</v>
      </c>
      <c r="K419" s="338" t="str">
        <f t="shared" si="312"/>
        <v>0.981977384997222-0.210876788878337i</v>
      </c>
      <c r="L419" s="732"/>
      <c r="M419" s="732" t="str">
        <f t="shared" si="313"/>
        <v>0.322765116753535-37.5438770043929i</v>
      </c>
      <c r="N419" s="337">
        <f t="shared" si="314"/>
        <v>0</v>
      </c>
      <c r="O419" s="730" t="str">
        <f t="shared" si="315"/>
        <v>-1.23141708044538-14.5556093792054i</v>
      </c>
      <c r="P419" s="731" t="str">
        <f t="shared" si="316"/>
        <v>-1.48147488794343-0.215625710941113i</v>
      </c>
      <c r="Q419" s="729" t="str">
        <f t="shared" si="317"/>
        <v>-1.46916071713897-0.0700696171490603i</v>
      </c>
      <c r="R419" s="730"/>
      <c r="S419" s="405" t="str">
        <f t="shared" si="330"/>
        <v>39.1974863794307-7.39629079872969i</v>
      </c>
      <c r="T419" s="405" t="str">
        <f t="shared" si="331"/>
        <v>14.91730572863-4.28141078412915i</v>
      </c>
      <c r="U419" s="405" t="str">
        <f t="shared" si="332"/>
        <v>-0.229563000195511-1.54569991608723i</v>
      </c>
      <c r="V419" s="731" t="str">
        <f t="shared" si="318"/>
        <v>6000</v>
      </c>
      <c r="W419" s="733" t="str">
        <f>IMSUM(COMPLEX(1,0),IMDIV(COMPLEX(0,2*PI()*D419),COMPLEX(2*PI()*'Stability Calculations'!EA_Pole1,0)))</f>
        <v>1+255582.668120544i</v>
      </c>
      <c r="X419" s="734">
        <f t="shared" si="333"/>
        <v>255582.6681225003</v>
      </c>
      <c r="Y419" s="735">
        <f t="shared" si="334"/>
        <v>1.5707924141665195</v>
      </c>
      <c r="Z419" s="340" t="str">
        <f>IMSUM(COMPLEX(1,0),IMDIV(COMPLEX(0,2*PI()*D419),COMPLEX(2*PI()*'Stability Calculations'!EA_Zero1,0)))</f>
        <v>1+2530.52146654004i</v>
      </c>
      <c r="AA419" s="734">
        <f t="shared" si="335"/>
        <v>2530.5216641277652</v>
      </c>
      <c r="AB419" s="735">
        <f t="shared" si="336"/>
        <v>1.5704011513493736</v>
      </c>
      <c r="AC419" s="733" t="str">
        <f>IMSUM(COMPLEX(1,0),IMDIV(COMPLEX(0,2*PI()*D419),COMPLEX(2*PI()*'Stability Calculations'!EA_Pole2,0)))</f>
        <v>1+25.4910969730927i</v>
      </c>
      <c r="AD419" s="734">
        <f t="shared" si="337"/>
        <v>25.510704123791168</v>
      </c>
      <c r="AE419" s="735">
        <f t="shared" si="338"/>
        <v>1.5315870494258399</v>
      </c>
      <c r="AF419" s="732" t="str">
        <f t="shared" si="339"/>
        <v>0.0903715454317062-2.32691316510157i</v>
      </c>
      <c r="AG419" s="337">
        <f t="shared" si="340"/>
        <v>2.3286674073698719</v>
      </c>
      <c r="AH419" s="730">
        <f t="shared" si="341"/>
        <v>-1.5319783122429858</v>
      </c>
      <c r="AI419" s="731" t="str">
        <f t="shared" si="319"/>
        <v>10000</v>
      </c>
      <c r="AJ419" s="733" t="str">
        <f t="shared" si="342"/>
        <v>1+238273.395185118i</v>
      </c>
      <c r="AK419" s="734">
        <f t="shared" si="343"/>
        <v>238273.3951872164</v>
      </c>
      <c r="AL419" s="735">
        <f t="shared" si="344"/>
        <v>1.5707921299352379</v>
      </c>
      <c r="AM419" s="340" t="str">
        <f t="shared" si="345"/>
        <v>1+404.377330353098i</v>
      </c>
      <c r="AN419" s="734">
        <f t="shared" si="346"/>
        <v>404.37856682012534</v>
      </c>
      <c r="AO419" s="735">
        <f t="shared" si="347"/>
        <v>1.5683233940005175</v>
      </c>
      <c r="AP419" s="733" t="str">
        <f t="shared" si="348"/>
        <v>1+19.6129670697195i</v>
      </c>
      <c r="AQ419" s="734">
        <f t="shared" si="349"/>
        <v>19.638443860904598</v>
      </c>
      <c r="AR419" s="735">
        <f t="shared" si="350"/>
        <v>1.5198537642278633</v>
      </c>
      <c r="AS419" s="732" t="str">
        <f t="shared" si="351"/>
        <v>0.00168862062951224-5.81140342247938i</v>
      </c>
      <c r="AT419" s="337">
        <f t="shared" si="352"/>
        <v>5.8114036678107883</v>
      </c>
      <c r="AU419" s="730">
        <f t="shared" si="353"/>
        <v>-1.5705057566074172</v>
      </c>
      <c r="AV419" s="732" t="str">
        <f t="shared" si="354"/>
        <v>-0.203984304148062+0.0500023184304229i</v>
      </c>
      <c r="AW419" s="337">
        <f t="shared" si="355"/>
        <v>-13.554646338448562</v>
      </c>
      <c r="AX419" s="730">
        <f t="shared" si="356"/>
        <v>166.22676665915819</v>
      </c>
      <c r="AY419" s="360">
        <f t="shared" si="357"/>
        <v>-13.773233340841813</v>
      </c>
      <c r="BB419" s="337">
        <f t="shared" si="358"/>
        <v>-24.714379136848525</v>
      </c>
      <c r="BC419" s="730">
        <f t="shared" si="359"/>
        <v>-89.983351554605107</v>
      </c>
      <c r="BD419" s="351"/>
      <c r="BE419" s="337">
        <f t="shared" si="320"/>
        <v>31.491103337817918</v>
      </c>
      <c r="BF419" s="730">
        <f t="shared" si="321"/>
        <v>-89.507439698278844</v>
      </c>
      <c r="BI419" s="351"/>
      <c r="BJ419" s="351"/>
      <c r="BL419" s="405">
        <f t="shared" si="322"/>
        <v>0</v>
      </c>
      <c r="BM419" s="405">
        <f t="shared" si="360"/>
        <v>0</v>
      </c>
      <c r="BN419" s="405">
        <f t="shared" si="323"/>
        <v>0</v>
      </c>
      <c r="BO419" s="405">
        <f t="shared" si="324"/>
        <v>0</v>
      </c>
    </row>
    <row r="420" spans="4:67" ht="13.5" thickBot="1" x14ac:dyDescent="0.25">
      <c r="D420" s="345">
        <v>40506.25</v>
      </c>
      <c r="E420" s="340" t="str">
        <f t="shared" si="311"/>
        <v>0.67190184560121i</v>
      </c>
      <c r="F420" s="728" t="str">
        <f t="shared" si="325"/>
        <v>0.005-0.0644122185523467i</v>
      </c>
      <c r="G420" s="337" t="str">
        <f t="shared" si="326"/>
        <v>0.005-0.10074731619726i</v>
      </c>
      <c r="H420" s="338" t="str">
        <f t="shared" si="327"/>
        <v>0.0131643433981718-0.0992493553395374i</v>
      </c>
      <c r="I420" s="338" t="str">
        <f t="shared" si="328"/>
        <v>0.0231643433981718-0.0992493553395374i</v>
      </c>
      <c r="J420" s="337" t="str">
        <f t="shared" si="329"/>
        <v>0.00538906763150349-0.0392812365713622i</v>
      </c>
      <c r="K420" s="338" t="str">
        <f t="shared" si="312"/>
        <v>0.981769374565972-0.212090229040786i</v>
      </c>
      <c r="L420" s="732"/>
      <c r="M420" s="732" t="str">
        <f t="shared" si="313"/>
        <v>0.317766017176258-37.3024324541552i</v>
      </c>
      <c r="N420" s="337">
        <f t="shared" si="314"/>
        <v>0</v>
      </c>
      <c r="O420" s="730" t="str">
        <f t="shared" si="315"/>
        <v>-1.22385648577223-14.4607828891673i</v>
      </c>
      <c r="P420" s="731" t="str">
        <f t="shared" si="316"/>
        <v>-1.46357321136137-0.213507573410073i</v>
      </c>
      <c r="Q420" s="729" t="str">
        <f t="shared" si="317"/>
        <v>-1.45133464650365-0.0688997445184007i</v>
      </c>
      <c r="R420" s="730"/>
      <c r="S420" s="405" t="str">
        <f t="shared" si="330"/>
        <v>39.1858113051664-7.44963457840787i</v>
      </c>
      <c r="T420" s="405" t="str">
        <f t="shared" si="331"/>
        <v>14.9098490858103-4.30060964833651i</v>
      </c>
      <c r="U420" s="405" t="str">
        <f t="shared" si="332"/>
        <v>-0.230554361783866-1.53640761220865i</v>
      </c>
      <c r="V420" s="731" t="str">
        <f t="shared" si="318"/>
        <v>6000</v>
      </c>
      <c r="W420" s="733" t="str">
        <f>IMSUM(COMPLEX(1,0),IMDIV(COMPLEX(0,2*PI()*D420),COMPLEX(2*PI()*'Stability Calculations'!EA_Pole1,0)))</f>
        <v>1+257053.357597432i</v>
      </c>
      <c r="X420" s="734">
        <f t="shared" si="333"/>
        <v>257053.35759937708</v>
      </c>
      <c r="Y420" s="735">
        <f t="shared" si="334"/>
        <v>1.5707924365519941</v>
      </c>
      <c r="Z420" s="340" t="str">
        <f>IMSUM(COMPLEX(1,0),IMDIV(COMPLEX(0,2*PI()*D420),COMPLEX(2*PI()*'Stability Calculations'!EA_Zero1,0)))</f>
        <v>1+2545.08274848943i</v>
      </c>
      <c r="AA420" s="734">
        <f t="shared" si="335"/>
        <v>2545.0829449466892</v>
      </c>
      <c r="AB420" s="735">
        <f t="shared" si="336"/>
        <v>1.570403412281947</v>
      </c>
      <c r="AC420" s="733" t="str">
        <f>IMSUM(COMPLEX(1,0),IMDIV(COMPLEX(0,2*PI()*D420),COMPLEX(2*PI()*'Stability Calculations'!EA_Pole2,0)))</f>
        <v>1+25.6377794079712i</v>
      </c>
      <c r="AD420" s="734">
        <f t="shared" si="337"/>
        <v>25.6572744649893</v>
      </c>
      <c r="AE420" s="735">
        <f t="shared" si="338"/>
        <v>1.5318111511244388</v>
      </c>
      <c r="AF420" s="732" t="str">
        <f t="shared" si="339"/>
        <v>0.0893419774479216-2.31364026355863i</v>
      </c>
      <c r="AG420" s="337">
        <f t="shared" si="340"/>
        <v>2.3153646058653381</v>
      </c>
      <c r="AH420" s="730">
        <f t="shared" si="341"/>
        <v>-1.5322001753944858</v>
      </c>
      <c r="AI420" s="731" t="str">
        <f t="shared" si="319"/>
        <v>10000</v>
      </c>
      <c r="AJ420" s="733" t="str">
        <f t="shared" si="342"/>
        <v>1+239644.482581216i</v>
      </c>
      <c r="AK420" s="734">
        <f t="shared" si="343"/>
        <v>239644.48258330242</v>
      </c>
      <c r="AL420" s="735">
        <f t="shared" si="344"/>
        <v>1.5707921539468961</v>
      </c>
      <c r="AM420" s="340" t="str">
        <f t="shared" si="345"/>
        <v>1+406.704223208611i</v>
      </c>
      <c r="AN420" s="734">
        <f t="shared" si="346"/>
        <v>406.70545260141228</v>
      </c>
      <c r="AO420" s="735">
        <f t="shared" si="347"/>
        <v>1.5683375424309107</v>
      </c>
      <c r="AP420" s="733" t="str">
        <f t="shared" si="348"/>
        <v>1+19.7258252087009i</v>
      </c>
      <c r="AQ420" s="734">
        <f t="shared" si="349"/>
        <v>19.751156425997436</v>
      </c>
      <c r="AR420" s="735">
        <f t="shared" si="350"/>
        <v>1.5201447242295258</v>
      </c>
      <c r="AS420" s="732" t="str">
        <f t="shared" si="351"/>
        <v>0.00166935356282188-5.77815441725958i</v>
      </c>
      <c r="AT420" s="337">
        <f t="shared" si="352"/>
        <v>5.7781546584041612</v>
      </c>
      <c r="AU420" s="730">
        <f t="shared" si="353"/>
        <v>-1.5705074190579573</v>
      </c>
      <c r="AV420" s="732" t="str">
        <f t="shared" si="354"/>
        <v>-0.201557869439888+0.0497378393405683i</v>
      </c>
      <c r="AW420" s="337">
        <f t="shared" si="355"/>
        <v>-13.655284996922488</v>
      </c>
      <c r="AX420" s="730">
        <f t="shared" si="356"/>
        <v>166.1382273649854</v>
      </c>
      <c r="AY420" s="360">
        <f t="shared" si="357"/>
        <v>-13.861772635014603</v>
      </c>
      <c r="BB420" s="337">
        <f t="shared" si="358"/>
        <v>-24.76421675972707</v>
      </c>
      <c r="BC420" s="730">
        <f t="shared" si="359"/>
        <v>-89.983446806004707</v>
      </c>
      <c r="BD420" s="351"/>
      <c r="BE420" s="337">
        <f t="shared" si="320"/>
        <v>31.435058196858815</v>
      </c>
      <c r="BF420" s="730">
        <f t="shared" si="321"/>
        <v>-89.51192964972762</v>
      </c>
      <c r="BI420" s="351"/>
      <c r="BJ420" s="351"/>
      <c r="BL420" s="405">
        <f t="shared" si="322"/>
        <v>0</v>
      </c>
      <c r="BM420" s="405">
        <f t="shared" si="360"/>
        <v>0</v>
      </c>
      <c r="BN420" s="405">
        <f t="shared" si="323"/>
        <v>0</v>
      </c>
      <c r="BO420" s="405">
        <f t="shared" si="324"/>
        <v>0</v>
      </c>
    </row>
    <row r="421" spans="4:67" ht="13.5" thickBot="1" x14ac:dyDescent="0.25">
      <c r="D421" s="345">
        <v>40738</v>
      </c>
      <c r="E421" s="340" t="str">
        <f t="shared" si="311"/>
        <v>0.675746024035848i</v>
      </c>
      <c r="F421" s="728" t="str">
        <f t="shared" si="325"/>
        <v>0.005-0.0640457908521771i</v>
      </c>
      <c r="G421" s="337" t="str">
        <f t="shared" si="326"/>
        <v>0.005-0.100174185691867i</v>
      </c>
      <c r="H421" s="338" t="str">
        <f t="shared" si="327"/>
        <v>0.0130721051286457-0.0986923097723582i</v>
      </c>
      <c r="I421" s="338" t="str">
        <f t="shared" si="328"/>
        <v>0.0230721051286457-0.0986923097723582i</v>
      </c>
      <c r="J421" s="337" t="str">
        <f t="shared" si="329"/>
        <v>0.00537471885306454-0.0390587462496003i</v>
      </c>
      <c r="K421" s="338" t="str">
        <f t="shared" si="312"/>
        <v>0.981560170622222-0.213303669203235i</v>
      </c>
      <c r="L421" s="732"/>
      <c r="M421" s="732" t="str">
        <f t="shared" si="313"/>
        <v>0.312884798198013-37.0642215660839i</v>
      </c>
      <c r="N421" s="337">
        <f t="shared" si="314"/>
        <v>0</v>
      </c>
      <c r="O421" s="730" t="str">
        <f t="shared" si="315"/>
        <v>-1.21642243603645-14.3672281478712i</v>
      </c>
      <c r="P421" s="731" t="str">
        <f t="shared" si="316"/>
        <v>-1.44600035726492-0.211430658363566i</v>
      </c>
      <c r="Q421" s="729" t="str">
        <f t="shared" si="317"/>
        <v>-1.43383613290456-0.0677583768848543i</v>
      </c>
      <c r="R421" s="730"/>
      <c r="S421" s="405" t="str">
        <f t="shared" si="330"/>
        <v>39.1740532860441-7.50289760920576i</v>
      </c>
      <c r="T421" s="405" t="str">
        <f t="shared" si="331"/>
        <v>14.9023570103522-4.3198198491663i</v>
      </c>
      <c r="U421" s="405" t="str">
        <f t="shared" si="332"/>
        <v>-0.231527821210767-1.52721717360907i</v>
      </c>
      <c r="V421" s="731" t="str">
        <f t="shared" si="318"/>
        <v>6000</v>
      </c>
      <c r="W421" s="733" t="str">
        <f>IMSUM(COMPLEX(1,0),IMDIV(COMPLEX(0,2*PI()*D421),COMPLEX(2*PI()*'Stability Calculations'!EA_Pole1,0)))</f>
        <v>1+258524.047074321i</v>
      </c>
      <c r="X421" s="734">
        <f t="shared" si="333"/>
        <v>258524.04707625502</v>
      </c>
      <c r="Y421" s="735">
        <f t="shared" si="334"/>
        <v>1.5707924586827759</v>
      </c>
      <c r="Z421" s="340" t="str">
        <f>IMSUM(COMPLEX(1,0),IMDIV(COMPLEX(0,2*PI()*D421),COMPLEX(2*PI()*'Stability Calculations'!EA_Zero1,0)))</f>
        <v>1+2559.64403043882i</v>
      </c>
      <c r="AA421" s="734">
        <f t="shared" si="335"/>
        <v>2559.6442257784747</v>
      </c>
      <c r="AB421" s="735">
        <f t="shared" si="336"/>
        <v>1.5704056474905748</v>
      </c>
      <c r="AC421" s="733" t="str">
        <f>IMSUM(COMPLEX(1,0),IMDIV(COMPLEX(0,2*PI()*D421),COMPLEX(2*PI()*'Stability Calculations'!EA_Pole2,0)))</f>
        <v>1+25.7844618428497i</v>
      </c>
      <c r="AD421" s="734">
        <f t="shared" si="337"/>
        <v>25.803846080097678</v>
      </c>
      <c r="AE421" s="735">
        <f t="shared" si="338"/>
        <v>1.5320327069385515</v>
      </c>
      <c r="AF421" s="732" t="str">
        <f t="shared" si="339"/>
        <v>0.0883298952449274-2.30051769741119i</v>
      </c>
      <c r="AG421" s="337">
        <f t="shared" si="340"/>
        <v>2.3022128152054195</v>
      </c>
      <c r="AH421" s="730">
        <f t="shared" si="341"/>
        <v>-1.5324195181307525</v>
      </c>
      <c r="AI421" s="731" t="str">
        <f t="shared" si="319"/>
        <v>10000</v>
      </c>
      <c r="AJ421" s="733" t="str">
        <f t="shared" si="342"/>
        <v>1+241015.569977314i</v>
      </c>
      <c r="AK421" s="734">
        <f t="shared" si="343"/>
        <v>241015.56997938856</v>
      </c>
      <c r="AL421" s="735">
        <f t="shared" si="344"/>
        <v>1.5707921776853595</v>
      </c>
      <c r="AM421" s="340" t="str">
        <f t="shared" si="345"/>
        <v>1+409.031116064123i</v>
      </c>
      <c r="AN421" s="734">
        <f t="shared" si="346"/>
        <v>409.03233846318562</v>
      </c>
      <c r="AO421" s="735">
        <f t="shared" si="347"/>
        <v>1.5683515298873223</v>
      </c>
      <c r="AP421" s="733" t="str">
        <f t="shared" si="348"/>
        <v>1+19.8386833476823i</v>
      </c>
      <c r="AQ421" s="734">
        <f t="shared" si="349"/>
        <v>19.863870644202425</v>
      </c>
      <c r="AR421" s="735">
        <f t="shared" si="350"/>
        <v>1.5204323822473886</v>
      </c>
      <c r="AS421" s="732" t="str">
        <f t="shared" si="351"/>
        <v>0.00165041437890203-5.74528370528148i</v>
      </c>
      <c r="AT421" s="337">
        <f t="shared" si="352"/>
        <v>5.7452839423339652</v>
      </c>
      <c r="AU421" s="730">
        <f t="shared" si="353"/>
        <v>-1.5705090625938289</v>
      </c>
      <c r="AV421" s="732" t="str">
        <f t="shared" si="354"/>
        <v>-0.199172795382208+0.0494757430240087i</v>
      </c>
      <c r="AW421" s="337">
        <f t="shared" si="355"/>
        <v>-13.755358525727726</v>
      </c>
      <c r="AX421" s="730">
        <f t="shared" si="356"/>
        <v>166.04973892904297</v>
      </c>
      <c r="AY421" s="360">
        <f t="shared" si="357"/>
        <v>-13.950261070957026</v>
      </c>
      <c r="BB421" s="337">
        <f t="shared" si="358"/>
        <v>-24.813770056514596</v>
      </c>
      <c r="BC421" s="730">
        <f t="shared" si="359"/>
        <v>-89.983540973673627</v>
      </c>
      <c r="BD421" s="351"/>
      <c r="BE421" s="337">
        <f t="shared" si="320"/>
        <v>31.379407144135399</v>
      </c>
      <c r="BF421" s="730">
        <f t="shared" si="321"/>
        <v>-89.516338079346468</v>
      </c>
      <c r="BI421" s="351"/>
      <c r="BJ421" s="351"/>
      <c r="BL421" s="405">
        <f t="shared" si="322"/>
        <v>0</v>
      </c>
      <c r="BM421" s="405">
        <f t="shared" si="360"/>
        <v>0</v>
      </c>
      <c r="BN421" s="405">
        <f t="shared" si="323"/>
        <v>0</v>
      </c>
      <c r="BO421" s="405">
        <f t="shared" si="324"/>
        <v>0</v>
      </c>
    </row>
    <row r="422" spans="4:67" ht="13.5" thickBot="1" x14ac:dyDescent="0.25">
      <c r="D422" s="345">
        <v>40975.25</v>
      </c>
      <c r="E422" s="340" t="str">
        <f t="shared" si="311"/>
        <v>0.679681434321147i</v>
      </c>
      <c r="F422" s="728" t="str">
        <f t="shared" si="325"/>
        <v>0.005-0.0636749605612167i</v>
      </c>
      <c r="G422" s="337" t="str">
        <f t="shared" si="326"/>
        <v>0.005-0.0995941690829285i</v>
      </c>
      <c r="H422" s="338" t="str">
        <f t="shared" si="327"/>
        <v>0.0129792800971263-0.0981284407375132i</v>
      </c>
      <c r="I422" s="338" t="str">
        <f t="shared" si="328"/>
        <v>0.0229792800971263-0.0981284407375132i</v>
      </c>
      <c r="J422" s="337" t="str">
        <f t="shared" si="329"/>
        <v>0.0053602792311979-0.0388335776441247i</v>
      </c>
      <c r="K422" s="338" t="str">
        <f t="shared" si="312"/>
        <v>0.981344765415972-0.214545907298342i</v>
      </c>
      <c r="L422" s="732"/>
      <c r="M422" s="732" t="str">
        <f t="shared" si="313"/>
        <v>0.308005989052556-36.8236372424774i</v>
      </c>
      <c r="N422" s="337">
        <f t="shared" si="314"/>
        <v>0</v>
      </c>
      <c r="O422" s="730" t="str">
        <f t="shared" si="315"/>
        <v>-1.2089400731003-14.2727428949433i</v>
      </c>
      <c r="P422" s="731" t="str">
        <f t="shared" si="316"/>
        <v>-1.42834257788862-0.209345952418744i</v>
      </c>
      <c r="Q422" s="729" t="str">
        <f t="shared" si="317"/>
        <v>-1.41625317715762-0.0666185234693101i</v>
      </c>
      <c r="R422" s="730"/>
      <c r="S422" s="405" t="str">
        <f t="shared" si="330"/>
        <v>39.1619305520067-7.55734208897043i</v>
      </c>
      <c r="T422" s="405" t="str">
        <f t="shared" si="331"/>
        <v>14.8946503468412-4.33949716180239i</v>
      </c>
      <c r="U422" s="405" t="str">
        <f t="shared" si="332"/>
        <v>-0.232506251272123-1.51791236300971i</v>
      </c>
      <c r="V422" s="731" t="str">
        <f t="shared" si="318"/>
        <v>6000</v>
      </c>
      <c r="W422" s="733" t="str">
        <f>IMSUM(COMPLEX(1,0),IMDIV(COMPLEX(0,2*PI()*D422),COMPLEX(2*PI()*'Stability Calculations'!EA_Pole1,0)))</f>
        <v>1+260029.63964559i</v>
      </c>
      <c r="X422" s="734">
        <f t="shared" si="333"/>
        <v>260029.63964751287</v>
      </c>
      <c r="Y422" s="735">
        <f t="shared" si="334"/>
        <v>1.5707924810794569</v>
      </c>
      <c r="Z422" s="340" t="str">
        <f>IMSUM(COMPLEX(1,0),IMDIV(COMPLEX(0,2*PI()*D422),COMPLEX(2*PI()*'Stability Calculations'!EA_Zero1,0)))</f>
        <v>1+2574.5508875801i</v>
      </c>
      <c r="AA422" s="734">
        <f t="shared" si="335"/>
        <v>2574.5510817887225</v>
      </c>
      <c r="AB422" s="735">
        <f t="shared" si="336"/>
        <v>1.5704079095550065</v>
      </c>
      <c r="AC422" s="733" t="str">
        <f>IMSUM(COMPLEX(1,0),IMDIV(COMPLEX(0,2*PI()*D422),COMPLEX(2*PI()*'Stability Calculations'!EA_Pole2,0)))</f>
        <v>1+25.9346254142625i</v>
      </c>
      <c r="AD422" s="734">
        <f t="shared" si="337"/>
        <v>25.953897498797943</v>
      </c>
      <c r="AE422" s="735">
        <f t="shared" si="338"/>
        <v>1.5322569285991365</v>
      </c>
      <c r="AF422" s="732" t="str">
        <f t="shared" si="339"/>
        <v>0.0873114961929108-2.28723678241766i</v>
      </c>
      <c r="AG422" s="337">
        <f t="shared" si="340"/>
        <v>2.2889026620220738</v>
      </c>
      <c r="AH422" s="730">
        <f t="shared" si="341"/>
        <v>-1.5326415001235869</v>
      </c>
      <c r="AI422" s="731" t="str">
        <f t="shared" si="319"/>
        <v>10000</v>
      </c>
      <c r="AJ422" s="733" t="str">
        <f t="shared" si="342"/>
        <v>1+242419.196664366i</v>
      </c>
      <c r="AK422" s="734">
        <f t="shared" si="343"/>
        <v>242419.19666642859</v>
      </c>
      <c r="AL422" s="735">
        <f t="shared" si="344"/>
        <v>1.5707922017090381</v>
      </c>
      <c r="AM422" s="340" t="str">
        <f t="shared" si="345"/>
        <v>1+411.4132318353i</v>
      </c>
      <c r="AN422" s="734">
        <f t="shared" si="346"/>
        <v>411.41444715659452</v>
      </c>
      <c r="AO422" s="735">
        <f t="shared" si="347"/>
        <v>1.568365685402545</v>
      </c>
      <c r="AP422" s="733" t="str">
        <f t="shared" si="348"/>
        <v>1+19.9542198890991i</v>
      </c>
      <c r="AQ422" s="734">
        <f t="shared" si="349"/>
        <v>19.979261532462054</v>
      </c>
      <c r="AR422" s="735">
        <f t="shared" si="350"/>
        <v>1.5207235049394807</v>
      </c>
      <c r="AS422" s="732" t="str">
        <f t="shared" si="351"/>
        <v>0.00163135764610749-5.71201805501541i</v>
      </c>
      <c r="AT422" s="337">
        <f t="shared" si="352"/>
        <v>5.7120182879740318</v>
      </c>
      <c r="AU422" s="730">
        <f t="shared" si="353"/>
        <v>-1.5705107258766153</v>
      </c>
      <c r="AV422" s="732" t="str">
        <f t="shared" si="354"/>
        <v>-0.196772986835169+0.0492098659114231i</v>
      </c>
      <c r="AW422" s="337">
        <f t="shared" si="355"/>
        <v>-13.857228418061371</v>
      </c>
      <c r="AX422" s="730">
        <f t="shared" si="356"/>
        <v>165.95920214679046</v>
      </c>
      <c r="AY422" s="360">
        <f t="shared" si="357"/>
        <v>-14.04079785320954</v>
      </c>
      <c r="BB422" s="337">
        <f t="shared" si="358"/>
        <v>-24.864208215276676</v>
      </c>
      <c r="BC422" s="730">
        <f t="shared" si="359"/>
        <v>-89.983636272757423</v>
      </c>
      <c r="BD422" s="351"/>
      <c r="BE422" s="337">
        <f t="shared" si="320"/>
        <v>31.322837503977688</v>
      </c>
      <c r="BF422" s="730">
        <f t="shared" si="321"/>
        <v>-89.520768913027268</v>
      </c>
      <c r="BI422" s="351"/>
      <c r="BJ422" s="351"/>
      <c r="BL422" s="405">
        <f t="shared" si="322"/>
        <v>0</v>
      </c>
      <c r="BM422" s="405">
        <f t="shared" si="360"/>
        <v>0</v>
      </c>
      <c r="BN422" s="405">
        <f t="shared" si="323"/>
        <v>0</v>
      </c>
      <c r="BO422" s="405">
        <f t="shared" si="324"/>
        <v>0</v>
      </c>
    </row>
    <row r="423" spans="4:67" ht="13.5" thickBot="1" x14ac:dyDescent="0.25">
      <c r="D423" s="345">
        <v>41212.5</v>
      </c>
      <c r="E423" s="340" t="str">
        <f t="shared" si="311"/>
        <v>0.683616844606446i</v>
      </c>
      <c r="F423" s="728" t="str">
        <f t="shared" si="325"/>
        <v>0.005-0.0633083998237424i</v>
      </c>
      <c r="G423" s="337" t="str">
        <f t="shared" si="326"/>
        <v>0.005-0.0990208304935461i</v>
      </c>
      <c r="H423" s="338" t="str">
        <f t="shared" si="327"/>
        <v>0.0128880396066268-0.0975709353739689i</v>
      </c>
      <c r="I423" s="338" t="str">
        <f t="shared" si="328"/>
        <v>0.0228880396066268-0.0975709353739689i</v>
      </c>
      <c r="J423" s="337" t="str">
        <f t="shared" si="329"/>
        <v>0.00534608647245726-0.0386109965798225i</v>
      </c>
      <c r="K423" s="338" t="str">
        <f t="shared" si="312"/>
        <v>0.981128109375-0.215788145393449i</v>
      </c>
      <c r="L423" s="732"/>
      <c r="M423" s="732" t="str">
        <f t="shared" si="313"/>
        <v>0.303243041181652-36.586302137691i</v>
      </c>
      <c r="N423" s="337">
        <f t="shared" si="314"/>
        <v>0</v>
      </c>
      <c r="O423" s="730" t="str">
        <f t="shared" si="315"/>
        <v>-1.20158438326314-14.1795351958949i</v>
      </c>
      <c r="P423" s="731" t="str">
        <f t="shared" si="316"/>
        <v>-1.41101242318641-0.207302050961463i</v>
      </c>
      <c r="Q423" s="729" t="str">
        <f t="shared" si="317"/>
        <v>-1.39899657935378-0.0655066990025141i</v>
      </c>
      <c r="R423" s="730"/>
      <c r="S423" s="405" t="str">
        <f t="shared" si="330"/>
        <v>39.1497213955433-7.61170401139967i</v>
      </c>
      <c r="T423" s="405" t="str">
        <f t="shared" si="331"/>
        <v>14.8869063923946-4.35918527476101i</v>
      </c>
      <c r="U423" s="405" t="str">
        <f t="shared" si="332"/>
        <v>-0.233466745521536-1.50871073400441i</v>
      </c>
      <c r="V423" s="731" t="str">
        <f t="shared" si="318"/>
        <v>6000</v>
      </c>
      <c r="W423" s="733" t="str">
        <f>IMSUM(COMPLEX(1,0),IMDIV(COMPLEX(0,2*PI()*D423),COMPLEX(2*PI()*'Stability Calculations'!EA_Pole1,0)))</f>
        <v>1+261535.23221686i</v>
      </c>
      <c r="X423" s="734">
        <f t="shared" si="333"/>
        <v>261535.23221877174</v>
      </c>
      <c r="Y423" s="735">
        <f t="shared" si="334"/>
        <v>1.5707925032182737</v>
      </c>
      <c r="Z423" s="340" t="str">
        <f>IMSUM(COMPLEX(1,0),IMDIV(COMPLEX(0,2*PI()*D423),COMPLEX(2*PI()*'Stability Calculations'!EA_Zero1,0)))</f>
        <v>1+2589.45774472139i</v>
      </c>
      <c r="AA423" s="734">
        <f t="shared" si="335"/>
        <v>2589.457937812002</v>
      </c>
      <c r="AB423" s="735">
        <f t="shared" si="336"/>
        <v>1.5704101455751696</v>
      </c>
      <c r="AC423" s="733" t="str">
        <f>IMSUM(COMPLEX(1,0),IMDIV(COMPLEX(0,2*PI()*D423),COMPLEX(2*PI()*'Stability Calculations'!EA_Pole2,0)))</f>
        <v>1+26.0847889856754i</v>
      </c>
      <c r="AD423" s="734">
        <f t="shared" si="337"/>
        <v>26.103950207338588</v>
      </c>
      <c r="AE423" s="735">
        <f t="shared" si="338"/>
        <v>1.5324785724948113</v>
      </c>
      <c r="AF423" s="732" t="str">
        <f t="shared" si="339"/>
        <v>0.0863106000537276-2.27410810620056i</v>
      </c>
      <c r="AG423" s="337">
        <f t="shared" si="340"/>
        <v>2.2757454159832404</v>
      </c>
      <c r="AH423" s="730">
        <f t="shared" si="341"/>
        <v>-1.5328609301379155</v>
      </c>
      <c r="AI423" s="731" t="str">
        <f t="shared" si="319"/>
        <v>10000</v>
      </c>
      <c r="AJ423" s="733" t="str">
        <f t="shared" si="342"/>
        <v>1+243822.823351418i</v>
      </c>
      <c r="AK423" s="734">
        <f t="shared" si="343"/>
        <v>243822.82335346867</v>
      </c>
      <c r="AL423" s="735">
        <f t="shared" si="344"/>
        <v>1.5707922254561202</v>
      </c>
      <c r="AM423" s="340" t="str">
        <f t="shared" si="345"/>
        <v>1+413.795347606478i</v>
      </c>
      <c r="AN423" s="734">
        <f t="shared" si="346"/>
        <v>413.79655593149386</v>
      </c>
      <c r="AO423" s="735">
        <f t="shared" si="347"/>
        <v>1.5683796779392414</v>
      </c>
      <c r="AP423" s="733" t="str">
        <f t="shared" si="348"/>
        <v>1+20.069756430516i</v>
      </c>
      <c r="AQ423" s="734">
        <f t="shared" si="349"/>
        <v>20.094654094565509</v>
      </c>
      <c r="AR423" s="735">
        <f t="shared" si="350"/>
        <v>1.521011284140269</v>
      </c>
      <c r="AS423" s="732" t="str">
        <f t="shared" si="351"/>
        <v>0.00161262907950333-5.67913540862464i</v>
      </c>
      <c r="AT423" s="337">
        <f t="shared" si="352"/>
        <v>5.6791356375831272</v>
      </c>
      <c r="AU423" s="730">
        <f t="shared" si="353"/>
        <v>-1.5705123700092014</v>
      </c>
      <c r="AV423" s="732" t="str">
        <f t="shared" si="354"/>
        <v>-0.19441457210815+0.048946427644124i</v>
      </c>
      <c r="AW423" s="337">
        <f t="shared" si="355"/>
        <v>-13.958519689084765</v>
      </c>
      <c r="AX423" s="730">
        <f t="shared" si="356"/>
        <v>165.86871669769579</v>
      </c>
      <c r="AY423" s="360">
        <f t="shared" si="357"/>
        <v>-14.131283302304212</v>
      </c>
      <c r="BB423" s="337">
        <f t="shared" si="358"/>
        <v>-24.914355174489163</v>
      </c>
      <c r="BC423" s="730">
        <f t="shared" si="359"/>
        <v>-89.98373047461557</v>
      </c>
      <c r="BD423" s="351"/>
      <c r="BE423" s="337">
        <f t="shared" si="320"/>
        <v>31.266668672868839</v>
      </c>
      <c r="BF423" s="730">
        <f t="shared" si="321"/>
        <v>-89.525118758616571</v>
      </c>
      <c r="BI423" s="351"/>
      <c r="BJ423" s="351"/>
      <c r="BL423" s="405">
        <f t="shared" si="322"/>
        <v>0</v>
      </c>
      <c r="BM423" s="405">
        <f t="shared" si="360"/>
        <v>0</v>
      </c>
      <c r="BN423" s="405">
        <f t="shared" si="323"/>
        <v>0</v>
      </c>
      <c r="BO423" s="405">
        <f t="shared" si="324"/>
        <v>0</v>
      </c>
    </row>
    <row r="424" spans="4:67" ht="13.5" thickBot="1" x14ac:dyDescent="0.25">
      <c r="D424" s="345">
        <v>41449.75</v>
      </c>
      <c r="E424" s="340" t="str">
        <f t="shared" si="311"/>
        <v>0.687552254891745i</v>
      </c>
      <c r="F424" s="728" t="str">
        <f t="shared" si="325"/>
        <v>0.005-0.0629460353255686i</v>
      </c>
      <c r="G424" s="337" t="str">
        <f t="shared" si="326"/>
        <v>0.005-0.0984540552528126i</v>
      </c>
      <c r="H424" s="338" t="str">
        <f t="shared" si="327"/>
        <v>0.0127983478744536-0.0970196872923428i</v>
      </c>
      <c r="I424" s="338" t="str">
        <f t="shared" si="328"/>
        <v>0.0227983478744536-0.0970196872923428i</v>
      </c>
      <c r="J424" s="337" t="str">
        <f t="shared" si="329"/>
        <v>0.0053321349427077-0.0383909587988848i</v>
      </c>
      <c r="K424" s="338" t="str">
        <f t="shared" si="312"/>
        <v>0.980910202499306-0.217030383488556i</v>
      </c>
      <c r="L424" s="732"/>
      <c r="M424" s="732" t="str">
        <f t="shared" si="313"/>
        <v>0.298592295426203-36.3521485455477i</v>
      </c>
      <c r="N424" s="337">
        <f t="shared" si="314"/>
        <v>0</v>
      </c>
      <c r="O424" s="730" t="str">
        <f t="shared" si="315"/>
        <v>-1.19435248167418-14.0875782785268i</v>
      </c>
      <c r="P424" s="731" t="str">
        <f t="shared" si="316"/>
        <v>-1.394001702651-0.205297806013588i</v>
      </c>
      <c r="Q424" s="729" t="str">
        <f t="shared" si="317"/>
        <v>-1.38205817783425-0.0644220232283208i</v>
      </c>
      <c r="R424" s="730"/>
      <c r="S424" s="405" t="str">
        <f t="shared" si="330"/>
        <v>39.1374260614871-7.66598438435792i</v>
      </c>
      <c r="T424" s="405" t="str">
        <f t="shared" si="331"/>
        <v>14.8791250725436-4.37888365661192i</v>
      </c>
      <c r="U424" s="405" t="str">
        <f t="shared" si="332"/>
        <v>-0.234409704308119-1.49961053806092i</v>
      </c>
      <c r="V424" s="731" t="str">
        <f t="shared" si="318"/>
        <v>6000</v>
      </c>
      <c r="W424" s="733" t="str">
        <f>IMSUM(COMPLEX(1,0),IMDIV(COMPLEX(0,2*PI()*D424),COMPLEX(2*PI()*'Stability Calculations'!EA_Pole1,0)))</f>
        <v>1+263040.82478813i</v>
      </c>
      <c r="X424" s="734">
        <f t="shared" si="333"/>
        <v>263040.82479003083</v>
      </c>
      <c r="Y424" s="735">
        <f t="shared" si="334"/>
        <v>1.5707925251036543</v>
      </c>
      <c r="Z424" s="340" t="str">
        <f>IMSUM(COMPLEX(1,0),IMDIV(COMPLEX(0,2*PI()*D424),COMPLEX(2*PI()*'Stability Calculations'!EA_Zero1,0)))</f>
        <v>1+2604.36460186267i</v>
      </c>
      <c r="AA424" s="734">
        <f t="shared" si="335"/>
        <v>2604.3647938480708</v>
      </c>
      <c r="AB424" s="735">
        <f t="shared" si="336"/>
        <v>1.5704123559982808</v>
      </c>
      <c r="AC424" s="733" t="str">
        <f>IMSUM(COMPLEX(1,0),IMDIV(COMPLEX(0,2*PI()*D424),COMPLEX(2*PI()*'Stability Calculations'!EA_Pole2,0)))</f>
        <v>1+26.2349525570882i</v>
      </c>
      <c r="AD424" s="734">
        <f t="shared" si="337"/>
        <v>26.254004183603474</v>
      </c>
      <c r="AE424" s="735">
        <f t="shared" si="338"/>
        <v>1.5326976828030248</v>
      </c>
      <c r="AF424" s="732" t="str">
        <f t="shared" si="339"/>
        <v>0.0853268082158874-2.26112906980175i</v>
      </c>
      <c r="AG424" s="337">
        <f t="shared" si="340"/>
        <v>2.2627384591469775</v>
      </c>
      <c r="AH424" s="730">
        <f t="shared" si="341"/>
        <v>-1.5330778519083983</v>
      </c>
      <c r="AI424" s="731" t="str">
        <f t="shared" si="319"/>
        <v>10000</v>
      </c>
      <c r="AJ424" s="733" t="str">
        <f t="shared" si="342"/>
        <v>1+245226.45003847i</v>
      </c>
      <c r="AK424" s="734">
        <f t="shared" si="343"/>
        <v>245226.45004050893</v>
      </c>
      <c r="AL424" s="735">
        <f t="shared" si="344"/>
        <v>1.5707922489313553</v>
      </c>
      <c r="AM424" s="340" t="str">
        <f t="shared" si="345"/>
        <v>1+416.177463377655i</v>
      </c>
      <c r="AN424" s="734">
        <f t="shared" si="346"/>
        <v>416.17866478648256</v>
      </c>
      <c r="AO424" s="735">
        <f t="shared" si="347"/>
        <v>1.5683935102959581</v>
      </c>
      <c r="AP424" s="733" t="str">
        <f t="shared" si="348"/>
        <v>1+20.1852929719327i</v>
      </c>
      <c r="AQ424" s="734">
        <f t="shared" si="349"/>
        <v>20.210048301841233</v>
      </c>
      <c r="AR424" s="735">
        <f t="shared" si="350"/>
        <v>1.5212957770731144</v>
      </c>
      <c r="AS424" s="732" t="str">
        <f t="shared" si="351"/>
        <v>0.00159422118720666-5.6466291894007i</v>
      </c>
      <c r="AT424" s="337">
        <f t="shared" si="352"/>
        <v>5.6466294144501106</v>
      </c>
      <c r="AU424" s="730">
        <f t="shared" si="353"/>
        <v>-1.5705139953204232</v>
      </c>
      <c r="AV424" s="732" t="str">
        <f t="shared" si="354"/>
        <v>-0.192096604960859+0.0486853991256765i</v>
      </c>
      <c r="AW424" s="337">
        <f t="shared" si="355"/>
        <v>-14.059239067006557</v>
      </c>
      <c r="AX424" s="730">
        <f t="shared" si="356"/>
        <v>165.77828162115696</v>
      </c>
      <c r="AY424" s="360">
        <f t="shared" si="357"/>
        <v>-14.221718378843036</v>
      </c>
      <c r="BB424" s="337">
        <f t="shared" si="358"/>
        <v>-24.964214277281499</v>
      </c>
      <c r="BC424" s="730">
        <f t="shared" si="359"/>
        <v>-89.983823598088975</v>
      </c>
      <c r="BD424" s="351"/>
      <c r="BE424" s="337">
        <f t="shared" si="320"/>
        <v>31.210894686435452</v>
      </c>
      <c r="BF424" s="730">
        <f t="shared" si="321"/>
        <v>-89.529389753438494</v>
      </c>
      <c r="BI424" s="351"/>
      <c r="BJ424" s="351"/>
      <c r="BL424" s="405">
        <f t="shared" si="322"/>
        <v>0</v>
      </c>
      <c r="BM424" s="405">
        <f t="shared" si="360"/>
        <v>0</v>
      </c>
      <c r="BN424" s="405">
        <f t="shared" si="323"/>
        <v>0</v>
      </c>
      <c r="BO424" s="405">
        <f t="shared" si="324"/>
        <v>0</v>
      </c>
    </row>
    <row r="425" spans="4:67" ht="13.5" thickBot="1" x14ac:dyDescent="0.25">
      <c r="D425" s="345">
        <v>41687</v>
      </c>
      <c r="E425" s="340" t="str">
        <f t="shared" si="311"/>
        <v>0.691487665177044i</v>
      </c>
      <c r="F425" s="728" t="str">
        <f t="shared" si="325"/>
        <v>0.005-0.0625877954214981i</v>
      </c>
      <c r="G425" s="337" t="str">
        <f t="shared" si="326"/>
        <v>0.005-0.097893731300292i</v>
      </c>
      <c r="H425" s="338" t="str">
        <f t="shared" si="327"/>
        <v>0.0127101701201401-0.0964745924448836i</v>
      </c>
      <c r="I425" s="338" t="str">
        <f t="shared" si="328"/>
        <v>0.0227101701201401-0.0964745924448836i</v>
      </c>
      <c r="J425" s="337" t="str">
        <f t="shared" si="329"/>
        <v>0.00531841916738081-0.0381734210460307i</v>
      </c>
      <c r="K425" s="338" t="str">
        <f t="shared" si="312"/>
        <v>0.980691044788889-0.218272621583663i</v>
      </c>
      <c r="L425" s="732"/>
      <c r="M425" s="732" t="str">
        <f t="shared" si="313"/>
        <v>0.294050235526008-36.1211106746647i</v>
      </c>
      <c r="N425" s="337">
        <f t="shared" si="314"/>
        <v>0</v>
      </c>
      <c r="O425" s="730" t="str">
        <f t="shared" si="315"/>
        <v>-1.18724156382506-13.9968461324026i</v>
      </c>
      <c r="P425" s="731" t="str">
        <f t="shared" si="316"/>
        <v>-1.37730248402545-0.203332110808639i</v>
      </c>
      <c r="Q425" s="729" t="str">
        <f t="shared" si="317"/>
        <v>-1.3654300683872-0.0633636494846139i</v>
      </c>
      <c r="R425" s="730"/>
      <c r="S425" s="405" t="str">
        <f t="shared" si="330"/>
        <v>39.1250447874809-7.72018419032985i</v>
      </c>
      <c r="T425" s="405" t="str">
        <f t="shared" si="331"/>
        <v>14.8713063158589-4.39859178583525i</v>
      </c>
      <c r="U425" s="405" t="str">
        <f t="shared" si="332"/>
        <v>-0.235335516686586-1.49061006583252i</v>
      </c>
      <c r="V425" s="731" t="str">
        <f t="shared" si="318"/>
        <v>6000</v>
      </c>
      <c r="W425" s="733" t="str">
        <f>IMSUM(COMPLEX(1,0),IMDIV(COMPLEX(0,2*PI()*D425),COMPLEX(2*PI()*'Stability Calculations'!EA_Pole1,0)))</f>
        <v>1+264546.417359399i</v>
      </c>
      <c r="X425" s="734">
        <f t="shared" si="333"/>
        <v>264546.41736128909</v>
      </c>
      <c r="Y425" s="735">
        <f t="shared" si="334"/>
        <v>1.5707925467399257</v>
      </c>
      <c r="Z425" s="340" t="str">
        <f>IMSUM(COMPLEX(1,0),IMDIV(COMPLEX(0,2*PI()*D425),COMPLEX(2*PI()*'Stability Calculations'!EA_Zero1,0)))</f>
        <v>1+2619.27145900395i</v>
      </c>
      <c r="AA425" s="734">
        <f t="shared" si="335"/>
        <v>2619.2716498967193</v>
      </c>
      <c r="AB425" s="735">
        <f t="shared" si="336"/>
        <v>1.5704145412613753</v>
      </c>
      <c r="AC425" s="733" t="str">
        <f>IMSUM(COMPLEX(1,0),IMDIV(COMPLEX(0,2*PI()*D425),COMPLEX(2*PI()*'Stability Calculations'!EA_Pole2,0)))</f>
        <v>1+26.385116128501i</v>
      </c>
      <c r="AD425" s="734">
        <f t="shared" si="337"/>
        <v>26.404059405979293</v>
      </c>
      <c r="AE425" s="735">
        <f t="shared" si="338"/>
        <v>1.5329143026979637</v>
      </c>
      <c r="AF425" s="732" t="str">
        <f t="shared" si="339"/>
        <v>0.0843597333457128-2.24829713300064i</v>
      </c>
      <c r="AG425" s="337">
        <f t="shared" si="340"/>
        <v>2.2498792329520838</v>
      </c>
      <c r="AH425" s="730">
        <f t="shared" si="341"/>
        <v>-1.533292308176514</v>
      </c>
      <c r="AI425" s="731" t="str">
        <f t="shared" si="319"/>
        <v>10000</v>
      </c>
      <c r="AJ425" s="733" t="str">
        <f t="shared" si="342"/>
        <v>1+246630.076725521i</v>
      </c>
      <c r="AK425" s="734">
        <f t="shared" si="343"/>
        <v>246630.07672754832</v>
      </c>
      <c r="AL425" s="735">
        <f t="shared" si="344"/>
        <v>1.5707922721393848</v>
      </c>
      <c r="AM425" s="340" t="str">
        <f t="shared" si="345"/>
        <v>1+418.559579148831i</v>
      </c>
      <c r="AN425" s="734">
        <f t="shared" si="346"/>
        <v>418.56077372019286</v>
      </c>
      <c r="AO425" s="735">
        <f t="shared" si="347"/>
        <v>1.5684071852075341</v>
      </c>
      <c r="AP425" s="733" t="str">
        <f t="shared" si="348"/>
        <v>1+20.3008295133495i</v>
      </c>
      <c r="AQ425" s="734">
        <f t="shared" si="349"/>
        <v>20.325444126268977</v>
      </c>
      <c r="AR425" s="735">
        <f t="shared" si="350"/>
        <v>1.5215770396640138</v>
      </c>
      <c r="AS425" s="732" t="str">
        <f t="shared" si="351"/>
        <v>0.00157612668991604-5.61449297035321i</v>
      </c>
      <c r="AT425" s="337">
        <f t="shared" si="352"/>
        <v>5.614493191582028</v>
      </c>
      <c r="AU425" s="730">
        <f t="shared" si="353"/>
        <v>-1.5705156021316304</v>
      </c>
      <c r="AV425" s="732" t="str">
        <f t="shared" si="354"/>
        <v>-0.189818166048041+0.0484267515555804i</v>
      </c>
      <c r="AW425" s="337">
        <f t="shared" si="355"/>
        <v>-14.159393164519321</v>
      </c>
      <c r="AX425" s="730">
        <f t="shared" si="356"/>
        <v>165.68789597906513</v>
      </c>
      <c r="AY425" s="360">
        <f t="shared" si="357"/>
        <v>-14.312104020934868</v>
      </c>
      <c r="BB425" s="337">
        <f t="shared" si="358"/>
        <v>-25.013788809539953</v>
      </c>
      <c r="BC425" s="730">
        <f t="shared" si="359"/>
        <v>-89.98391566158962</v>
      </c>
      <c r="BD425" s="351"/>
      <c r="BE425" s="337">
        <f t="shared" si="320"/>
        <v>31.155509716143793</v>
      </c>
      <c r="BF425" s="730">
        <f t="shared" si="321"/>
        <v>-89.533583962715468</v>
      </c>
      <c r="BI425" s="351"/>
      <c r="BJ425" s="351"/>
      <c r="BL425" s="405">
        <f t="shared" si="322"/>
        <v>0</v>
      </c>
      <c r="BM425" s="405">
        <f t="shared" si="360"/>
        <v>0</v>
      </c>
      <c r="BN425" s="405">
        <f t="shared" si="323"/>
        <v>0</v>
      </c>
      <c r="BO425" s="405">
        <f t="shared" si="324"/>
        <v>0</v>
      </c>
    </row>
    <row r="426" spans="4:67" ht="13.5" thickBot="1" x14ac:dyDescent="0.25">
      <c r="D426" s="345">
        <v>41929.75</v>
      </c>
      <c r="E426" s="340" t="str">
        <f t="shared" si="311"/>
        <v>0.695514307313003i</v>
      </c>
      <c r="F426" s="728" t="str">
        <f t="shared" si="325"/>
        <v>0.005-0.0622254467946027i</v>
      </c>
      <c r="G426" s="337" t="str">
        <f t="shared" si="326"/>
        <v>0.005-0.0973269808838658i</v>
      </c>
      <c r="H426" s="338" t="str">
        <f t="shared" si="327"/>
        <v>0.0126214799725987-0.0959231237669993i</v>
      </c>
      <c r="I426" s="338" t="str">
        <f t="shared" si="328"/>
        <v>0.0226214799725987-0.0959231237669993i</v>
      </c>
      <c r="J426" s="337" t="str">
        <f t="shared" si="329"/>
        <v>0.00530462389616281-0.0379533838078198i</v>
      </c>
      <c r="K426" s="338" t="str">
        <f t="shared" si="312"/>
        <v>0.980465511832639-0.219543657611428i</v>
      </c>
      <c r="L426" s="732"/>
      <c r="M426" s="732" t="str">
        <f t="shared" si="313"/>
        <v>0.289511850036924-35.887875031759i</v>
      </c>
      <c r="N426" s="337">
        <f t="shared" si="314"/>
        <v>0</v>
      </c>
      <c r="O426" s="730" t="str">
        <f t="shared" si="315"/>
        <v>-1.18008817815181-13.9052519369726i</v>
      </c>
      <c r="P426" s="731" t="str">
        <f t="shared" si="316"/>
        <v>-1.3605305436495-0.201359633837337i</v>
      </c>
      <c r="Q426" s="729" t="str">
        <f t="shared" si="317"/>
        <v>-1.34872966186798-0.06230711446761i</v>
      </c>
      <c r="R426" s="730"/>
      <c r="S426" s="405" t="str">
        <f t="shared" si="330"/>
        <v>39.112287776216-7.77555808096101i</v>
      </c>
      <c r="T426" s="405" t="str">
        <f t="shared" si="331"/>
        <v>14.8632674823158-4.41876634984862i</v>
      </c>
      <c r="U426" s="405" t="str">
        <f t="shared" si="332"/>
        <v>-0.236265438618556-1.48150241727641i</v>
      </c>
      <c r="V426" s="731" t="str">
        <f t="shared" si="318"/>
        <v>6000</v>
      </c>
      <c r="W426" s="733" t="str">
        <f>IMSUM(COMPLEX(1,0),IMDIV(COMPLEX(0,2*PI()*D426),COMPLEX(2*PI()*'Stability Calculations'!EA_Pole1,0)))</f>
        <v>1+266086.91302505i</v>
      </c>
      <c r="X426" s="734">
        <f t="shared" si="333"/>
        <v>266086.91302692908</v>
      </c>
      <c r="Y426" s="735">
        <f t="shared" si="334"/>
        <v>1.5707925686243476</v>
      </c>
      <c r="Z426" s="340" t="str">
        <f>IMSUM(COMPLEX(1,0),IMDIV(COMPLEX(0,2*PI()*D426),COMPLEX(2*PI()*'Stability Calculations'!EA_Zero1,0)))</f>
        <v>1+2634.52389133713i</v>
      </c>
      <c r="AA426" s="734">
        <f t="shared" si="335"/>
        <v>2634.5240811247359</v>
      </c>
      <c r="AB426" s="735">
        <f t="shared" si="336"/>
        <v>1.570416751587679</v>
      </c>
      <c r="AC426" s="733" t="str">
        <f>IMSUM(COMPLEX(1,0),IMDIV(COMPLEX(0,2*PI()*D426),COMPLEX(2*PI()*'Stability Calculations'!EA_Pole2,0)))</f>
        <v>1+26.5387608364482i</v>
      </c>
      <c r="AD426" s="734">
        <f t="shared" si="337"/>
        <v>26.557594520855933</v>
      </c>
      <c r="AE426" s="735">
        <f t="shared" si="338"/>
        <v>1.5331334106666947</v>
      </c>
      <c r="AF426" s="732" t="str">
        <f t="shared" si="339"/>
        <v>0.083387149650462-2.23531738704392i</v>
      </c>
      <c r="AG426" s="337">
        <f t="shared" si="340"/>
        <v>2.2368721996456764</v>
      </c>
      <c r="AH426" s="730">
        <f t="shared" si="341"/>
        <v>-1.5335092277033633</v>
      </c>
      <c r="AI426" s="731" t="str">
        <f t="shared" si="319"/>
        <v>10000</v>
      </c>
      <c r="AJ426" s="733" t="str">
        <f t="shared" si="342"/>
        <v>1+248066.242703527i</v>
      </c>
      <c r="AK426" s="734">
        <f t="shared" si="343"/>
        <v>248066.24270554257</v>
      </c>
      <c r="AL426" s="735">
        <f t="shared" si="344"/>
        <v>1.5707922956135916</v>
      </c>
      <c r="AM426" s="340" t="str">
        <f t="shared" si="345"/>
        <v>1+420.996917835673i</v>
      </c>
      <c r="AN426" s="734">
        <f t="shared" si="346"/>
        <v>420.99810549114875</v>
      </c>
      <c r="AO426" s="735">
        <f t="shared" si="347"/>
        <v>1.5684210169602277</v>
      </c>
      <c r="AP426" s="733" t="str">
        <f t="shared" si="348"/>
        <v>1+20.4190444572017i</v>
      </c>
      <c r="AQ426" s="734">
        <f t="shared" si="349"/>
        <v>20.443516736246227</v>
      </c>
      <c r="AR426" s="735">
        <f t="shared" si="350"/>
        <v>1.5218615360383059</v>
      </c>
      <c r="AS426" s="732" t="str">
        <f t="shared" si="351"/>
        <v>0.00155792972048096-5.58198817469853i</v>
      </c>
      <c r="AT426" s="337">
        <f t="shared" si="352"/>
        <v>5.5819883921071751</v>
      </c>
      <c r="AU426" s="730">
        <f t="shared" si="353"/>
        <v>-1.5705172273716679</v>
      </c>
      <c r="AV426" s="732" t="str">
        <f t="shared" si="354"/>
        <v>-0.187526889415822+0.0481645425973542i</v>
      </c>
      <c r="AW426" s="337">
        <f t="shared" si="355"/>
        <v>-14.261290753924756</v>
      </c>
      <c r="AX426" s="730">
        <f t="shared" si="356"/>
        <v>165.59546520131556</v>
      </c>
      <c r="AY426" s="360">
        <f t="shared" si="357"/>
        <v>-14.404534798684438</v>
      </c>
      <c r="BB426" s="337">
        <f t="shared" si="358"/>
        <v>-25.064221419466712</v>
      </c>
      <c r="BC426" s="730">
        <f t="shared" si="359"/>
        <v>-89.984008780984468</v>
      </c>
      <c r="BD426" s="351"/>
      <c r="BE426" s="337">
        <f t="shared" si="320"/>
        <v>31.099237501872288</v>
      </c>
      <c r="BF426" s="730">
        <f t="shared" si="321"/>
        <v>-89.537798008679772</v>
      </c>
      <c r="BI426" s="351"/>
      <c r="BJ426" s="351"/>
      <c r="BL426" s="405">
        <f t="shared" si="322"/>
        <v>0</v>
      </c>
      <c r="BM426" s="405">
        <f t="shared" si="360"/>
        <v>0</v>
      </c>
      <c r="BN426" s="405">
        <f t="shared" si="323"/>
        <v>0</v>
      </c>
      <c r="BO426" s="405">
        <f t="shared" si="324"/>
        <v>0</v>
      </c>
    </row>
    <row r="427" spans="4:67" ht="13.5" thickBot="1" x14ac:dyDescent="0.25">
      <c r="D427" s="345">
        <v>42172.5</v>
      </c>
      <c r="E427" s="340" t="str">
        <f t="shared" si="311"/>
        <v>0.699540949448962i</v>
      </c>
      <c r="F427" s="728" t="str">
        <f t="shared" si="325"/>
        <v>0.005-0.0618672696125672i</v>
      </c>
      <c r="G427" s="337" t="str">
        <f t="shared" si="326"/>
        <v>0.005-0.0967667550350411i</v>
      </c>
      <c r="H427" s="338" t="str">
        <f t="shared" si="327"/>
        <v>0.0125343042143354-0.0953778837766906i</v>
      </c>
      <c r="I427" s="338" t="str">
        <f t="shared" si="328"/>
        <v>0.0225343042143354-0.0953778837766906i</v>
      </c>
      <c r="J427" s="337" t="str">
        <f t="shared" si="329"/>
        <v>0.00529106432973987-0.0377358753296557i</v>
      </c>
      <c r="K427" s="338" t="str">
        <f t="shared" si="312"/>
        <v>0.980238669375-0.220814693639193i</v>
      </c>
      <c r="L427" s="732"/>
      <c r="M427" s="732" t="str">
        <f t="shared" si="313"/>
        <v>0.285080230336449-35.6577677400944i</v>
      </c>
      <c r="N427" s="337">
        <f t="shared" si="314"/>
        <v>0</v>
      </c>
      <c r="O427" s="730" t="str">
        <f t="shared" si="315"/>
        <v>-1.1730557568508-13.8148871905767i</v>
      </c>
      <c r="P427" s="731" t="str">
        <f t="shared" si="316"/>
        <v>-1.34406870013617-0.199425294998688i</v>
      </c>
      <c r="Q427" s="729" t="str">
        <f t="shared" si="317"/>
        <v>-1.33233814256766-0.0612764230929212i</v>
      </c>
      <c r="R427" s="730"/>
      <c r="S427" s="405" t="str">
        <f t="shared" si="330"/>
        <v>39.0994412755825-7.83084962843527i</v>
      </c>
      <c r="T427" s="405" t="str">
        <f t="shared" si="331"/>
        <v>14.8551893141187-4.43895004438424i</v>
      </c>
      <c r="U427" s="405" t="str">
        <f t="shared" si="332"/>
        <v>-0.237178199399106-1.4724956701313i</v>
      </c>
      <c r="V427" s="731" t="str">
        <f t="shared" si="318"/>
        <v>6000</v>
      </c>
      <c r="W427" s="733" t="str">
        <f>IMSUM(COMPLEX(1,0),IMDIV(COMPLEX(0,2*PI()*D427),COMPLEX(2*PI()*'Stability Calculations'!EA_Pole1,0)))</f>
        <v>1+267627.408690701i</v>
      </c>
      <c r="X427" s="734">
        <f t="shared" si="333"/>
        <v>267627.4086925693</v>
      </c>
      <c r="Y427" s="735">
        <f t="shared" si="334"/>
        <v>1.5707925902568309</v>
      </c>
      <c r="Z427" s="340" t="str">
        <f>IMSUM(COMPLEX(1,0),IMDIV(COMPLEX(0,2*PI()*D427),COMPLEX(2*PI()*'Stability Calculations'!EA_Zero1,0)))</f>
        <v>1+2649.77632367031i</v>
      </c>
      <c r="AA427" s="734">
        <f t="shared" si="335"/>
        <v>2649.7765123654758</v>
      </c>
      <c r="AB427" s="735">
        <f t="shared" si="336"/>
        <v>1.5704189364681764</v>
      </c>
      <c r="AC427" s="733" t="str">
        <f>IMSUM(COMPLEX(1,0),IMDIV(COMPLEX(0,2*PI()*D427),COMPLEX(2*PI()*'Stability Calculations'!EA_Pole2,0)))</f>
        <v>1+26.6924055443954i</v>
      </c>
      <c r="AD427" s="734">
        <f t="shared" si="337"/>
        <v>26.711130896060361</v>
      </c>
      <c r="AE427" s="735">
        <f t="shared" si="338"/>
        <v>1.5333499997674764</v>
      </c>
      <c r="AF427" s="732" t="str">
        <f t="shared" si="339"/>
        <v>0.0824312811127992-2.22248644084249i</v>
      </c>
      <c r="AG427" s="337">
        <f t="shared" si="340"/>
        <v>2.2240145898430197</v>
      </c>
      <c r="AH427" s="730">
        <f t="shared" si="341"/>
        <v>-1.5337236535561309</v>
      </c>
      <c r="AI427" s="731" t="str">
        <f t="shared" si="319"/>
        <v>10000</v>
      </c>
      <c r="AJ427" s="733" t="str">
        <f t="shared" si="342"/>
        <v>1+249502.408681533i</v>
      </c>
      <c r="AK427" s="734">
        <f t="shared" si="343"/>
        <v>249502.40868353695</v>
      </c>
      <c r="AL427" s="735">
        <f t="shared" si="344"/>
        <v>1.5707923188175577</v>
      </c>
      <c r="AM427" s="340" t="str">
        <f t="shared" si="345"/>
        <v>1+423.434256522515i</v>
      </c>
      <c r="AN427" s="734">
        <f t="shared" si="346"/>
        <v>423.43543734172158</v>
      </c>
      <c r="AO427" s="735">
        <f t="shared" si="347"/>
        <v>1.5684346894793388</v>
      </c>
      <c r="AP427" s="733" t="str">
        <f t="shared" si="348"/>
        <v>1+20.5372594010539i</v>
      </c>
      <c r="AQ427" s="734">
        <f t="shared" si="349"/>
        <v>20.561590981881164</v>
      </c>
      <c r="AR427" s="735">
        <f t="shared" si="350"/>
        <v>1.5221427650133939</v>
      </c>
      <c r="AS427" s="732" t="str">
        <f t="shared" si="351"/>
        <v>0.00154004607761723-5.54985758201079i</v>
      </c>
      <c r="AT427" s="337">
        <f t="shared" si="352"/>
        <v>5.5498577956867132</v>
      </c>
      <c r="AU427" s="730">
        <f t="shared" si="353"/>
        <v>-1.570518833901551</v>
      </c>
      <c r="AV427" s="732" t="str">
        <f t="shared" si="354"/>
        <v>-0.185275130061019+0.047904766223182i</v>
      </c>
      <c r="AW427" s="337">
        <f t="shared" si="355"/>
        <v>-14.362610197245662</v>
      </c>
      <c r="AX427" s="730">
        <f t="shared" si="356"/>
        <v>165.50308425890989</v>
      </c>
      <c r="AY427" s="360">
        <f t="shared" si="357"/>
        <v>-14.496915741090106</v>
      </c>
      <c r="BB427" s="337">
        <f t="shared" si="358"/>
        <v>-25.114362893725861</v>
      </c>
      <c r="BC427" s="730">
        <f t="shared" si="359"/>
        <v>-89.984100828366422</v>
      </c>
      <c r="BD427" s="351"/>
      <c r="BE427" s="337">
        <f t="shared" si="320"/>
        <v>31.043360621954591</v>
      </c>
      <c r="BF427" s="730">
        <f t="shared" si="321"/>
        <v>-89.541935823319932</v>
      </c>
      <c r="BI427" s="351"/>
      <c r="BJ427" s="351"/>
      <c r="BL427" s="405">
        <f t="shared" si="322"/>
        <v>0</v>
      </c>
      <c r="BM427" s="405">
        <f t="shared" si="360"/>
        <v>0</v>
      </c>
      <c r="BN427" s="405">
        <f t="shared" si="323"/>
        <v>0</v>
      </c>
      <c r="BO427" s="405">
        <f t="shared" si="324"/>
        <v>0</v>
      </c>
    </row>
    <row r="428" spans="4:67" ht="13.5" thickBot="1" x14ac:dyDescent="0.25">
      <c r="D428" s="345">
        <v>42415.25</v>
      </c>
      <c r="E428" s="340" t="str">
        <f t="shared" si="311"/>
        <v>0.703567591584921i</v>
      </c>
      <c r="F428" s="728" t="str">
        <f t="shared" si="325"/>
        <v>0.005-0.0615131922536349i</v>
      </c>
      <c r="G428" s="337" t="str">
        <f t="shared" si="326"/>
        <v>0.005-0.0962129417300445i</v>
      </c>
      <c r="H428" s="338" t="str">
        <f t="shared" si="327"/>
        <v>0.0124486086337907-0.0948387682246527i</v>
      </c>
      <c r="I428" s="338" t="str">
        <f t="shared" si="328"/>
        <v>0.0224486086337907-0.0948387682246527i</v>
      </c>
      <c r="J428" s="337" t="str">
        <f t="shared" si="329"/>
        <v>0.00527773508817129-0.0375208523557639i</v>
      </c>
      <c r="K428" s="338" t="str">
        <f t="shared" si="312"/>
        <v>0.980010517415972-0.222085729666957i</v>
      </c>
      <c r="L428" s="732"/>
      <c r="M428" s="732" t="str">
        <f t="shared" si="313"/>
        <v>0.28075203262171-35.4307241147339i</v>
      </c>
      <c r="N428" s="337">
        <f t="shared" si="314"/>
        <v>0</v>
      </c>
      <c r="O428" s="730" t="str">
        <f t="shared" si="315"/>
        <v>-1.16614154024682-13.7257263335703i</v>
      </c>
      <c r="P428" s="731" t="str">
        <f t="shared" si="316"/>
        <v>-1.32790923351309-0.197528031424227i</v>
      </c>
      <c r="Q428" s="729" t="str">
        <f t="shared" si="317"/>
        <v>-1.31624781811062-0.0602707680885237i</v>
      </c>
      <c r="R428" s="730"/>
      <c r="S428" s="405" t="str">
        <f t="shared" si="330"/>
        <v>39.0865055183286-7.88605980712388i</v>
      </c>
      <c r="T428" s="405" t="str">
        <f t="shared" si="331"/>
        <v>14.8470717440233-4.45914234125615i</v>
      </c>
      <c r="U428" s="405" t="str">
        <f t="shared" si="332"/>
        <v>-0.238074181483968-1.46358811379487i</v>
      </c>
      <c r="V428" s="731" t="str">
        <f t="shared" si="318"/>
        <v>6000</v>
      </c>
      <c r="W428" s="733" t="str">
        <f>IMSUM(COMPLEX(1,0),IMDIV(COMPLEX(0,2*PI()*D428),COMPLEX(2*PI()*'Stability Calculations'!EA_Pole1,0)))</f>
        <v>1+269167.904356353i</v>
      </c>
      <c r="X428" s="734">
        <f t="shared" si="333"/>
        <v>269167.90435821057</v>
      </c>
      <c r="Y428" s="735">
        <f t="shared" si="334"/>
        <v>1.570792611641701</v>
      </c>
      <c r="Z428" s="340" t="str">
        <f>IMSUM(COMPLEX(1,0),IMDIV(COMPLEX(0,2*PI()*D428),COMPLEX(2*PI()*'Stability Calculations'!EA_Zero1,0)))</f>
        <v>1+2665.02875600349i</v>
      </c>
      <c r="AA428" s="734">
        <f t="shared" si="335"/>
        <v>2665.0289436187195</v>
      </c>
      <c r="AB428" s="735">
        <f t="shared" si="336"/>
        <v>1.57042109633976</v>
      </c>
      <c r="AC428" s="733" t="str">
        <f>IMSUM(COMPLEX(1,0),IMDIV(COMPLEX(0,2*PI()*D428),COMPLEX(2*PI()*'Stability Calculations'!EA_Pole2,0)))</f>
        <v>1+26.8460502523426i</v>
      </c>
      <c r="AD428" s="734">
        <f t="shared" si="337"/>
        <v>26.864668509983591</v>
      </c>
      <c r="AE428" s="735">
        <f t="shared" si="338"/>
        <v>1.5335641131674997</v>
      </c>
      <c r="AF428" s="732" t="str">
        <f t="shared" si="339"/>
        <v>0.0814917470610132-2.20980175375392i</v>
      </c>
      <c r="AG428" s="337">
        <f t="shared" si="340"/>
        <v>2.2113038451856757</v>
      </c>
      <c r="AH428" s="730">
        <f t="shared" si="341"/>
        <v>-1.533935628469441</v>
      </c>
      <c r="AI428" s="731" t="str">
        <f t="shared" si="319"/>
        <v>10000</v>
      </c>
      <c r="AJ428" s="733" t="str">
        <f t="shared" si="342"/>
        <v>1+250938.574659538i</v>
      </c>
      <c r="AK428" s="734">
        <f t="shared" si="343"/>
        <v>250938.57466153053</v>
      </c>
      <c r="AL428" s="735">
        <f t="shared" si="344"/>
        <v>1.5707923417559231</v>
      </c>
      <c r="AM428" s="340" t="str">
        <f t="shared" si="345"/>
        <v>1+425.871595209358i</v>
      </c>
      <c r="AN428" s="734">
        <f t="shared" si="346"/>
        <v>425.87276927054552</v>
      </c>
      <c r="AO428" s="735">
        <f t="shared" si="347"/>
        <v>1.5684482054988131</v>
      </c>
      <c r="AP428" s="733" t="str">
        <f t="shared" si="348"/>
        <v>1+20.6554743449061i</v>
      </c>
      <c r="AQ428" s="734">
        <f t="shared" si="349"/>
        <v>20.67966683515656</v>
      </c>
      <c r="AR428" s="735">
        <f t="shared" si="350"/>
        <v>1.5224207825125653</v>
      </c>
      <c r="AS428" s="732" t="str">
        <f t="shared" si="351"/>
        <v>0.00152246860899706-5.5180947674021i</v>
      </c>
      <c r="AT428" s="337">
        <f t="shared" si="352"/>
        <v>5.5180949774302626</v>
      </c>
      <c r="AU428" s="730">
        <f t="shared" si="353"/>
        <v>-1.5705204220425246</v>
      </c>
      <c r="AV428" s="732" t="str">
        <f t="shared" si="354"/>
        <v>-0.183061984806043+0.0476473925694809i</v>
      </c>
      <c r="AW428" s="337">
        <f t="shared" si="355"/>
        <v>-14.463358219255188</v>
      </c>
      <c r="AX428" s="730">
        <f t="shared" si="356"/>
        <v>165.41075221588434</v>
      </c>
      <c r="AY428" s="360">
        <f t="shared" si="357"/>
        <v>-14.589247784115656</v>
      </c>
      <c r="BB428" s="337">
        <f t="shared" si="358"/>
        <v>-25.164216574349851</v>
      </c>
      <c r="BC428" s="730">
        <f t="shared" si="359"/>
        <v>-89.984191822141483</v>
      </c>
      <c r="BD428" s="351"/>
      <c r="BE428" s="337">
        <f t="shared" si="320"/>
        <v>30.9878732481579</v>
      </c>
      <c r="BF428" s="730">
        <f t="shared" si="321"/>
        <v>-89.545999403083812</v>
      </c>
      <c r="BI428" s="351"/>
      <c r="BJ428" s="351"/>
      <c r="BL428" s="405">
        <f t="shared" si="322"/>
        <v>0</v>
      </c>
      <c r="BM428" s="405">
        <f t="shared" si="360"/>
        <v>0</v>
      </c>
      <c r="BN428" s="405">
        <f t="shared" si="323"/>
        <v>0</v>
      </c>
      <c r="BO428" s="405">
        <f t="shared" si="324"/>
        <v>0</v>
      </c>
    </row>
    <row r="429" spans="4:67" ht="13.5" thickBot="1" x14ac:dyDescent="0.25">
      <c r="D429" s="345">
        <v>42658</v>
      </c>
      <c r="E429" s="340" t="str">
        <f t="shared" si="311"/>
        <v>0.70759423372088i</v>
      </c>
      <c r="F429" s="728" t="str">
        <f t="shared" si="325"/>
        <v>0.005-0.0611631447263347i</v>
      </c>
      <c r="G429" s="337" t="str">
        <f t="shared" si="326"/>
        <v>0.005-0.0956654314950365i</v>
      </c>
      <c r="H429" s="338" t="str">
        <f t="shared" si="327"/>
        <v>0.0123643599780865-0.0943056751594792i</v>
      </c>
      <c r="I429" s="338" t="str">
        <f t="shared" si="328"/>
        <v>0.0223643599780865-0.0943056751594792i</v>
      </c>
      <c r="J429" s="337" t="str">
        <f t="shared" si="329"/>
        <v>0.00526463094388246-0.0373082726103135i</v>
      </c>
      <c r="K429" s="338" t="str">
        <f t="shared" si="312"/>
        <v>0.979781055955556-0.223356765694722i</v>
      </c>
      <c r="L429" s="732"/>
      <c r="M429" s="732" t="str">
        <f t="shared" si="313"/>
        <v>0.276524042693627-35.206681285505i</v>
      </c>
      <c r="N429" s="337">
        <f t="shared" si="314"/>
        <v>0</v>
      </c>
      <c r="O429" s="730" t="str">
        <f t="shared" si="315"/>
        <v>-1.15934284575406-13.6377445276411i</v>
      </c>
      <c r="P429" s="731" t="str">
        <f t="shared" si="316"/>
        <v>-1.31204466607215-0.195666818095197i</v>
      </c>
      <c r="Q429" s="729" t="str">
        <f t="shared" si="317"/>
        <v>-1.30045123761461-0.0592893728187852i</v>
      </c>
      <c r="R429" s="730"/>
      <c r="S429" s="405" t="str">
        <f t="shared" si="330"/>
        <v>39.073480730347-7.94118956651571i</v>
      </c>
      <c r="T429" s="405" t="str">
        <f t="shared" si="331"/>
        <v>14.8389147077166-4.47934272198041i</v>
      </c>
      <c r="U429" s="405" t="str">
        <f t="shared" si="332"/>
        <v>-0.238953756536733-1.45477807602493i</v>
      </c>
      <c r="V429" s="731" t="str">
        <f t="shared" si="318"/>
        <v>6000</v>
      </c>
      <c r="W429" s="733" t="str">
        <f>IMSUM(COMPLEX(1,0),IMDIV(COMPLEX(0,2*PI()*D429),COMPLEX(2*PI()*'Stability Calculations'!EA_Pole1,0)))</f>
        <v>1+270708.400022004i</v>
      </c>
      <c r="X429" s="734">
        <f t="shared" si="333"/>
        <v>270708.40002385102</v>
      </c>
      <c r="Y429" s="735">
        <f t="shared" si="334"/>
        <v>1.5707926327831854</v>
      </c>
      <c r="Z429" s="340" t="str">
        <f>IMSUM(COMPLEX(1,0),IMDIV(COMPLEX(0,2*PI()*D429),COMPLEX(2*PI()*'Stability Calculations'!EA_Zero1,0)))</f>
        <v>1+2680.28118833667i</v>
      </c>
      <c r="AA429" s="734">
        <f t="shared" si="335"/>
        <v>2680.281374884255</v>
      </c>
      <c r="AB429" s="735">
        <f t="shared" si="336"/>
        <v>1.5704232316293776</v>
      </c>
      <c r="AC429" s="733" t="str">
        <f>IMSUM(COMPLEX(1,0),IMDIV(COMPLEX(0,2*PI()*D429),COMPLEX(2*PI()*'Stability Calculations'!EA_Pole2,0)))</f>
        <v>1+26.9996949602898i</v>
      </c>
      <c r="AD429" s="734">
        <f t="shared" si="337"/>
        <v>27.018207341507662</v>
      </c>
      <c r="AE429" s="735">
        <f t="shared" si="338"/>
        <v>1.5337757930536353</v>
      </c>
      <c r="AF429" s="732" t="str">
        <f t="shared" si="339"/>
        <v>0.080568177593892-2.19726084256814i</v>
      </c>
      <c r="AG429" s="337">
        <f t="shared" si="340"/>
        <v>2.1987374653477971</v>
      </c>
      <c r="AH429" s="730">
        <f t="shared" si="341"/>
        <v>-1.5341451942074433</v>
      </c>
      <c r="AI429" s="731" t="str">
        <f t="shared" si="319"/>
        <v>10000</v>
      </c>
      <c r="AJ429" s="733" t="str">
        <f t="shared" si="342"/>
        <v>1+252374.740637544i</v>
      </c>
      <c r="AK429" s="734">
        <f t="shared" si="343"/>
        <v>252374.74063952517</v>
      </c>
      <c r="AL429" s="735">
        <f t="shared" si="344"/>
        <v>1.5707923644332218</v>
      </c>
      <c r="AM429" s="340" t="str">
        <f t="shared" si="345"/>
        <v>1+428.3089338962i</v>
      </c>
      <c r="AN429" s="734">
        <f t="shared" si="346"/>
        <v>428.31010127628264</v>
      </c>
      <c r="AO429" s="735">
        <f t="shared" si="347"/>
        <v>1.5684615676903659</v>
      </c>
      <c r="AP429" s="733" t="str">
        <f t="shared" si="348"/>
        <v>1+20.7736892887583i</v>
      </c>
      <c r="AQ429" s="734">
        <f t="shared" si="349"/>
        <v>20.797744268691048</v>
      </c>
      <c r="AR429" s="735">
        <f t="shared" si="350"/>
        <v>1.5226956431911203</v>
      </c>
      <c r="AS429" s="732" t="str">
        <f t="shared" si="351"/>
        <v>0.0015051903652174-5.48669345223058i</v>
      </c>
      <c r="AT429" s="337">
        <f t="shared" si="352"/>
        <v>5.4866936586935449</v>
      </c>
      <c r="AU429" s="730">
        <f t="shared" si="353"/>
        <v>-1.5705219921085209</v>
      </c>
      <c r="AV429" s="732" t="str">
        <f t="shared" si="354"/>
        <v>-0.180886576139795+0.0473923921114655i</v>
      </c>
      <c r="AW429" s="337">
        <f t="shared" si="355"/>
        <v>-14.563541429307762</v>
      </c>
      <c r="AX429" s="730">
        <f t="shared" si="356"/>
        <v>165.31846815816846</v>
      </c>
      <c r="AY429" s="360">
        <f t="shared" si="357"/>
        <v>-14.681531841831543</v>
      </c>
      <c r="BB429" s="337">
        <f t="shared" si="358"/>
        <v>-25.213785746153192</v>
      </c>
      <c r="BC429" s="730">
        <f t="shared" si="359"/>
        <v>-89.984281780296627</v>
      </c>
      <c r="BD429" s="351"/>
      <c r="BE429" s="337">
        <f t="shared" si="320"/>
        <v>30.932769683816073</v>
      </c>
      <c r="BF429" s="730">
        <f t="shared" si="321"/>
        <v>-89.549990677487912</v>
      </c>
      <c r="BI429" s="351"/>
      <c r="BJ429" s="351"/>
      <c r="BL429" s="405">
        <f t="shared" si="322"/>
        <v>0</v>
      </c>
      <c r="BM429" s="405">
        <f t="shared" si="360"/>
        <v>0</v>
      </c>
      <c r="BN429" s="405">
        <f t="shared" si="323"/>
        <v>0</v>
      </c>
      <c r="BO429" s="405">
        <f t="shared" si="324"/>
        <v>0</v>
      </c>
    </row>
    <row r="430" spans="4:67" ht="13.5" thickBot="1" x14ac:dyDescent="0.25">
      <c r="D430" s="345">
        <v>42906.5</v>
      </c>
      <c r="E430" s="340" t="str">
        <f t="shared" si="311"/>
        <v>0.711716254609802i</v>
      </c>
      <c r="F430" s="728" t="str">
        <f t="shared" si="325"/>
        <v>0.005-0.0608089083876798i</v>
      </c>
      <c r="G430" s="337" t="str">
        <f t="shared" si="326"/>
        <v>0.005-0.0951113695294484i</v>
      </c>
      <c r="H430" s="338" t="str">
        <f t="shared" si="327"/>
        <v>0.0122795807290789-0.0937660888298271i</v>
      </c>
      <c r="I430" s="338" t="str">
        <f t="shared" si="328"/>
        <v>0.0222795807290789-0.0937660888298271i</v>
      </c>
      <c r="J430" s="337" t="str">
        <f t="shared" si="329"/>
        <v>0.00525144425803493-0.037093145092488i</v>
      </c>
      <c r="K430" s="338" t="str">
        <f t="shared" si="312"/>
        <v>0.979544802863889-0.224657908652084i</v>
      </c>
      <c r="L430" s="732"/>
      <c r="M430" s="732" t="str">
        <f t="shared" si="313"/>
        <v>0.272296475263452-34.9803760311784i</v>
      </c>
      <c r="N430" s="337">
        <f t="shared" si="314"/>
        <v>0</v>
      </c>
      <c r="O430" s="730" t="str">
        <f t="shared" si="315"/>
        <v>-1.1525000478922-13.5488747771186i</v>
      </c>
      <c r="P430" s="731" t="str">
        <f t="shared" si="316"/>
        <v>-1.29610221375279-0.193797827517954i</v>
      </c>
      <c r="Q430" s="729" t="str">
        <f t="shared" si="317"/>
        <v>-1.28457721327387-0.0583090797467669i</v>
      </c>
      <c r="R430" s="730"/>
      <c r="S430" s="405" t="str">
        <f t="shared" si="330"/>
        <v>39.0600554351219-7.99754284680569i</v>
      </c>
      <c r="T430" s="405" t="str">
        <f t="shared" si="331"/>
        <v>14.8305235126459-4.50002942947676i</v>
      </c>
      <c r="U430" s="405" t="str">
        <f t="shared" si="332"/>
        <v>-0.239837548493119-1.44585865974209i</v>
      </c>
      <c r="V430" s="731" t="str">
        <f t="shared" si="318"/>
        <v>6000</v>
      </c>
      <c r="W430" s="733" t="str">
        <f>IMSUM(COMPLEX(1,0),IMDIV(COMPLEX(0,2*PI()*D430),COMPLEX(2*PI()*'Stability Calculations'!EA_Pole1,0)))</f>
        <v>1+272285.385286326i</v>
      </c>
      <c r="X430" s="734">
        <f t="shared" si="333"/>
        <v>272285.38528816227</v>
      </c>
      <c r="Y430" s="735">
        <f t="shared" si="334"/>
        <v>1.5707926541776573</v>
      </c>
      <c r="Z430" s="340" t="str">
        <f>IMSUM(COMPLEX(1,0),IMDIV(COMPLEX(0,2*PI()*D430),COMPLEX(2*PI()*'Stability Calculations'!EA_Zero1,0)))</f>
        <v>1+2695.89490382501i</v>
      </c>
      <c r="AA430" s="734">
        <f t="shared" si="335"/>
        <v>2695.8950892921739</v>
      </c>
      <c r="AB430" s="735">
        <f t="shared" si="336"/>
        <v>1.5704253924707443</v>
      </c>
      <c r="AC430" s="733" t="str">
        <f>IMSUM(COMPLEX(1,0),IMDIV(COMPLEX(0,2*PI()*D430),COMPLEX(2*PI()*'Stability Calculations'!EA_Pole2,0)))</f>
        <v>1+27.1569790382501i</v>
      </c>
      <c r="AD430" s="734">
        <f t="shared" si="337"/>
        <v>27.175384274816711</v>
      </c>
      <c r="AE430" s="735">
        <f t="shared" si="338"/>
        <v>1.5339900093665153</v>
      </c>
      <c r="AF430" s="732" t="str">
        <f t="shared" si="339"/>
        <v>0.0796388926556274-2.18456926663202i</v>
      </c>
      <c r="AG430" s="337">
        <f t="shared" si="340"/>
        <v>2.1860204102287275</v>
      </c>
      <c r="AH430" s="730">
        <f t="shared" si="341"/>
        <v>-1.5343572710734281</v>
      </c>
      <c r="AI430" s="731" t="str">
        <f t="shared" si="319"/>
        <v>10000</v>
      </c>
      <c r="AJ430" s="733" t="str">
        <f t="shared" si="342"/>
        <v>1+253844.924965183i</v>
      </c>
      <c r="AK430" s="734">
        <f t="shared" si="343"/>
        <v>253844.92496715271</v>
      </c>
      <c r="AL430" s="735">
        <f t="shared" si="344"/>
        <v>1.5707923873818863</v>
      </c>
      <c r="AM430" s="340" t="str">
        <f t="shared" si="345"/>
        <v>1+430.804005631236i</v>
      </c>
      <c r="AN430" s="734">
        <f t="shared" si="346"/>
        <v>430.80516625026445</v>
      </c>
      <c r="AO430" s="735">
        <f t="shared" si="347"/>
        <v>1.5684750897801967</v>
      </c>
      <c r="AP430" s="733" t="str">
        <f t="shared" si="348"/>
        <v>1+20.894704380611i</v>
      </c>
      <c r="AQ430" s="734">
        <f t="shared" si="349"/>
        <v>20.91862020194268</v>
      </c>
      <c r="AR430" s="735">
        <f t="shared" si="350"/>
        <v>1.5229738003691333</v>
      </c>
      <c r="AS430" s="732" t="str">
        <f t="shared" si="351"/>
        <v>0.00148780574415949-5.45491637604316i</v>
      </c>
      <c r="AT430" s="337">
        <f t="shared" si="352"/>
        <v>5.454916578939569</v>
      </c>
      <c r="AU430" s="730">
        <f t="shared" si="353"/>
        <v>-1.5705235809625679</v>
      </c>
      <c r="AV430" s="732" t="str">
        <f t="shared" si="354"/>
        <v>-0.178697836635158+0.047133779194264i</v>
      </c>
      <c r="AW430" s="337">
        <f t="shared" si="355"/>
        <v>-14.66551941438347</v>
      </c>
      <c r="AX430" s="730">
        <f t="shared" si="356"/>
        <v>165.22404694704252</v>
      </c>
      <c r="AY430" s="360">
        <f t="shared" si="357"/>
        <v>-14.775953052957476</v>
      </c>
      <c r="BB430" s="337">
        <f t="shared" si="358"/>
        <v>-25.264237732248777</v>
      </c>
      <c r="BC430" s="730">
        <f t="shared" si="359"/>
        <v>-89.984372814927781</v>
      </c>
      <c r="BD430" s="351"/>
      <c r="BE430" s="337">
        <f t="shared" si="320"/>
        <v>30.876752626455655</v>
      </c>
      <c r="BF430" s="730">
        <f t="shared" si="321"/>
        <v>-89.554003545170417</v>
      </c>
      <c r="BI430" s="351"/>
      <c r="BJ430" s="351"/>
      <c r="BL430" s="405">
        <f t="shared" si="322"/>
        <v>0</v>
      </c>
      <c r="BM430" s="405">
        <f t="shared" si="360"/>
        <v>0</v>
      </c>
      <c r="BN430" s="405">
        <f t="shared" si="323"/>
        <v>0</v>
      </c>
      <c r="BO430" s="405">
        <f t="shared" si="324"/>
        <v>0</v>
      </c>
    </row>
    <row r="431" spans="4:67" ht="13.5" thickBot="1" x14ac:dyDescent="0.25">
      <c r="D431" s="345">
        <v>43155</v>
      </c>
      <c r="E431" s="340" t="str">
        <f t="shared" si="311"/>
        <v>0.715838275498725i</v>
      </c>
      <c r="F431" s="728" t="str">
        <f t="shared" si="325"/>
        <v>0.005-0.0604587516564939i</v>
      </c>
      <c r="G431" s="337" t="str">
        <f t="shared" si="326"/>
        <v>0.005-0.0945636884883618i</v>
      </c>
      <c r="H431" s="338" t="str">
        <f t="shared" si="327"/>
        <v>0.0121962501850992-0.0932326045764884i</v>
      </c>
      <c r="I431" s="338" t="str">
        <f t="shared" si="328"/>
        <v>0.0221962501850992-0.0932326045764884i</v>
      </c>
      <c r="J431" s="337" t="str">
        <f t="shared" si="329"/>
        <v>0.00523848284058182-0.0368804912931006i</v>
      </c>
      <c r="K431" s="338" t="str">
        <f t="shared" si="312"/>
        <v>0.9793071775-0.225959051609446i</v>
      </c>
      <c r="L431" s="732"/>
      <c r="M431" s="732" t="str">
        <f t="shared" si="313"/>
        <v>0.268167493508284-34.757087639546i</v>
      </c>
      <c r="N431" s="337">
        <f t="shared" si="314"/>
        <v>0</v>
      </c>
      <c r="O431" s="730" t="str">
        <f t="shared" si="315"/>
        <v>-1.14577285745016-13.4611901271275i</v>
      </c>
      <c r="P431" s="731" t="str">
        <f t="shared" si="316"/>
        <v>-1.28045367725067-0.191964556097785i</v>
      </c>
      <c r="Q431" s="729" t="str">
        <f t="shared" si="317"/>
        <v>-1.26899594867617-0.0573526548265096i</v>
      </c>
      <c r="R431" s="730"/>
      <c r="S431" s="405" t="str">
        <f t="shared" si="330"/>
        <v>39.0465372995282-8.0538137895145i</v>
      </c>
      <c r="T431" s="405" t="str">
        <f t="shared" si="331"/>
        <v>14.822090832189-4.52072353877528i</v>
      </c>
      <c r="U431" s="405" t="str">
        <f t="shared" si="332"/>
        <v>-0.240704902034618-1.43703800885084i</v>
      </c>
      <c r="V431" s="731" t="str">
        <f t="shared" si="318"/>
        <v>6000</v>
      </c>
      <c r="W431" s="733" t="str">
        <f>IMSUM(COMPLEX(1,0),IMDIV(COMPLEX(0,2*PI()*D431),COMPLEX(2*PI()*'Stability Calculations'!EA_Pole1,0)))</f>
        <v>1+273862.370550648i</v>
      </c>
      <c r="X431" s="734">
        <f t="shared" si="333"/>
        <v>273862.37055247376</v>
      </c>
      <c r="Y431" s="735">
        <f t="shared" si="334"/>
        <v>1.5707926753257371</v>
      </c>
      <c r="Z431" s="340" t="str">
        <f>IMSUM(COMPLEX(1,0),IMDIV(COMPLEX(0,2*PI()*D431),COMPLEX(2*PI()*'Stability Calculations'!EA_Zero1,0)))</f>
        <v>1+2711.50861931335i</v>
      </c>
      <c r="AA431" s="734">
        <f t="shared" si="335"/>
        <v>2711.5088037125365</v>
      </c>
      <c r="AB431" s="735">
        <f t="shared" si="336"/>
        <v>1.5704275284265123</v>
      </c>
      <c r="AC431" s="733" t="str">
        <f>IMSUM(COMPLEX(1,0),IMDIV(COMPLEX(0,2*PI()*D431),COMPLEX(2*PI()*'Stability Calculations'!EA_Pole2,0)))</f>
        <v>1+27.3142631162104i</v>
      </c>
      <c r="AD431" s="734">
        <f t="shared" si="337"/>
        <v>27.332562440824535</v>
      </c>
      <c r="AE431" s="735">
        <f t="shared" si="338"/>
        <v>1.5342017619516906</v>
      </c>
      <c r="AF431" s="732" t="str">
        <f t="shared" si="339"/>
        <v>0.0787255861416264-2.17202326984673i</v>
      </c>
      <c r="AG431" s="337">
        <f t="shared" si="340"/>
        <v>2.1734495169359294</v>
      </c>
      <c r="AH431" s="730">
        <f t="shared" si="341"/>
        <v>-1.5345669088509155</v>
      </c>
      <c r="AI431" s="731" t="str">
        <f t="shared" si="319"/>
        <v>10000</v>
      </c>
      <c r="AJ431" s="733" t="str">
        <f t="shared" si="342"/>
        <v>1+255315.109292822i</v>
      </c>
      <c r="AK431" s="734">
        <f t="shared" si="343"/>
        <v>255315.10929478033</v>
      </c>
      <c r="AL431" s="735">
        <f t="shared" si="344"/>
        <v>1.5707924100662598</v>
      </c>
      <c r="AM431" s="340" t="str">
        <f t="shared" si="345"/>
        <v>1+433.299077366273i</v>
      </c>
      <c r="AN431" s="734">
        <f t="shared" si="346"/>
        <v>433.30023130211163</v>
      </c>
      <c r="AO431" s="735">
        <f t="shared" si="347"/>
        <v>1.5684884561420087</v>
      </c>
      <c r="AP431" s="733" t="str">
        <f t="shared" si="348"/>
        <v>1+21.0157194724638i</v>
      </c>
      <c r="AQ431" s="734">
        <f t="shared" si="349"/>
        <v>21.039497735100383</v>
      </c>
      <c r="AR431" s="735">
        <f t="shared" si="350"/>
        <v>1.5232487613936765</v>
      </c>
      <c r="AS431" s="732" t="str">
        <f t="shared" si="351"/>
        <v>0.00147072057584309-5.42350526448005i</v>
      </c>
      <c r="AT431" s="337">
        <f t="shared" si="352"/>
        <v>5.4235054638915807</v>
      </c>
      <c r="AU431" s="730">
        <f t="shared" si="353"/>
        <v>-1.5705251515183785</v>
      </c>
      <c r="AV431" s="732" t="str">
        <f t="shared" si="354"/>
        <v>-0.176546860370276+0.04687759171479i</v>
      </c>
      <c r="AW431" s="337">
        <f t="shared" si="355"/>
        <v>-14.766919170427691</v>
      </c>
      <c r="AX431" s="730">
        <f t="shared" si="356"/>
        <v>165.12967415049602</v>
      </c>
      <c r="AY431" s="360">
        <f t="shared" si="357"/>
        <v>-14.870325849503985</v>
      </c>
      <c r="BB431" s="337">
        <f t="shared" si="358"/>
        <v>-25.314398359570099</v>
      </c>
      <c r="BC431" s="730">
        <f t="shared" si="359"/>
        <v>-89.984462801147217</v>
      </c>
      <c r="BD431" s="351"/>
      <c r="BE431" s="337">
        <f t="shared" si="320"/>
        <v>30.821126100950622</v>
      </c>
      <c r="BF431" s="730">
        <f t="shared" si="321"/>
        <v>-89.557944530105914</v>
      </c>
      <c r="BI431" s="351"/>
      <c r="BJ431" s="351"/>
      <c r="BL431" s="405">
        <f t="shared" si="322"/>
        <v>0</v>
      </c>
      <c r="BM431" s="405">
        <f t="shared" si="360"/>
        <v>0</v>
      </c>
      <c r="BN431" s="405">
        <f t="shared" si="323"/>
        <v>0</v>
      </c>
      <c r="BO431" s="405">
        <f t="shared" si="324"/>
        <v>0</v>
      </c>
    </row>
    <row r="432" spans="4:67" ht="13.5" thickBot="1" x14ac:dyDescent="0.25">
      <c r="D432" s="345">
        <v>43403.5</v>
      </c>
      <c r="E432" s="340" t="str">
        <f t="shared" si="311"/>
        <v>0.719960296387647i</v>
      </c>
      <c r="F432" s="728" t="str">
        <f t="shared" si="325"/>
        <v>0.005-0.060112604461299i</v>
      </c>
      <c r="G432" s="337" t="str">
        <f t="shared" si="326"/>
        <v>0.005-0.0940222787728009i</v>
      </c>
      <c r="H432" s="338" t="str">
        <f t="shared" si="327"/>
        <v>0.0121143355907792-0.0927051201109232i</v>
      </c>
      <c r="I432" s="338" t="str">
        <f t="shared" si="328"/>
        <v>0.0221143355907792-0.0927051201109232i</v>
      </c>
      <c r="J432" s="337" t="str">
        <f t="shared" si="329"/>
        <v>0.00522574154680773-0.0366702688742996i</v>
      </c>
      <c r="K432" s="338" t="str">
        <f t="shared" si="312"/>
        <v>0.979068179863889-0.227260194566808i</v>
      </c>
      <c r="L432" s="732"/>
      <c r="M432" s="732" t="str">
        <f t="shared" si="313"/>
        <v>0.264134033669605-34.536754165266i</v>
      </c>
      <c r="N432" s="337">
        <f t="shared" si="314"/>
        <v>0</v>
      </c>
      <c r="O432" s="730" t="str">
        <f t="shared" si="315"/>
        <v>-1.13915863151539-13.3746661170407i</v>
      </c>
      <c r="P432" s="731" t="str">
        <f t="shared" si="316"/>
        <v>-1.26509176509222-0.190166017166833i</v>
      </c>
      <c r="Q432" s="729" t="str">
        <f t="shared" si="317"/>
        <v>-1.25370017877706-0.0564193559964262i</v>
      </c>
      <c r="R432" s="730"/>
      <c r="S432" s="405" t="str">
        <f t="shared" si="330"/>
        <v>39.0329265450703-8.11000333656979i</v>
      </c>
      <c r="T432" s="405" t="str">
        <f t="shared" si="331"/>
        <v>14.8136166063153-4.54142452353073i</v>
      </c>
      <c r="U432" s="405" t="str">
        <f t="shared" si="332"/>
        <v>-0.241556183046564-1.42831444750386i</v>
      </c>
      <c r="V432" s="731" t="str">
        <f t="shared" si="318"/>
        <v>6000</v>
      </c>
      <c r="W432" s="733" t="str">
        <f>IMSUM(COMPLEX(1,0),IMDIV(COMPLEX(0,2*PI()*D432),COMPLEX(2*PI()*'Stability Calculations'!EA_Pole1,0)))</f>
        <v>1+275439.355814971i</v>
      </c>
      <c r="X432" s="734">
        <f t="shared" si="333"/>
        <v>275439.35581678624</v>
      </c>
      <c r="Y432" s="735">
        <f t="shared" si="334"/>
        <v>1.570792696231657</v>
      </c>
      <c r="Z432" s="340" t="str">
        <f>IMSUM(COMPLEX(1,0),IMDIV(COMPLEX(0,2*PI()*D432),COMPLEX(2*PI()*'Stability Calculations'!EA_Zero1,0)))</f>
        <v>1+2727.12233480169i</v>
      </c>
      <c r="AA432" s="734">
        <f t="shared" si="335"/>
        <v>2727.1225181451273</v>
      </c>
      <c r="AB432" s="735">
        <f t="shared" si="336"/>
        <v>1.5704296399241175</v>
      </c>
      <c r="AC432" s="733" t="str">
        <f>IMSUM(COMPLEX(1,0),IMDIV(COMPLEX(0,2*PI()*D432),COMPLEX(2*PI()*'Stability Calculations'!EA_Pole2,0)))</f>
        <v>1+27.4715471941707i</v>
      </c>
      <c r="AD432" s="734">
        <f t="shared" si="337"/>
        <v>27.489741818386513</v>
      </c>
      <c r="AE432" s="735">
        <f t="shared" si="338"/>
        <v>1.5344110930509189</v>
      </c>
      <c r="AF432" s="732" t="str">
        <f t="shared" si="339"/>
        <v>0.0778278939830514-2.15962036499234i</v>
      </c>
      <c r="AG432" s="337">
        <f t="shared" si="340"/>
        <v>2.1610222816925058</v>
      </c>
      <c r="AH432" s="730">
        <f t="shared" si="341"/>
        <v>-1.5347741493584584</v>
      </c>
      <c r="AI432" s="731" t="str">
        <f t="shared" si="319"/>
        <v>10000</v>
      </c>
      <c r="AJ432" s="733" t="str">
        <f t="shared" si="342"/>
        <v>1+256785.293620461i</v>
      </c>
      <c r="AK432" s="734">
        <f t="shared" si="343"/>
        <v>256785.29362240815</v>
      </c>
      <c r="AL432" s="735">
        <f t="shared" si="344"/>
        <v>1.5707924324908813</v>
      </c>
      <c r="AM432" s="340" t="str">
        <f t="shared" si="345"/>
        <v>1+435.79414910131i</v>
      </c>
      <c r="AN432" s="734">
        <f t="shared" si="346"/>
        <v>435.79529643048556</v>
      </c>
      <c r="AO432" s="735">
        <f t="shared" si="347"/>
        <v>1.5685016694505729</v>
      </c>
      <c r="AP432" s="733" t="str">
        <f t="shared" si="348"/>
        <v>1+21.1367345643166i</v>
      </c>
      <c r="AQ432" s="734">
        <f t="shared" si="349"/>
        <v>21.160376840745915</v>
      </c>
      <c r="AR432" s="735">
        <f t="shared" si="350"/>
        <v>1.5235205809970982</v>
      </c>
      <c r="AS432" s="732" t="str">
        <f t="shared" si="351"/>
        <v>0.00145392802205808-5.39245383172216i</v>
      </c>
      <c r="AT432" s="337">
        <f t="shared" si="352"/>
        <v>5.3924540277281654</v>
      </c>
      <c r="AU432" s="730">
        <f t="shared" si="353"/>
        <v>-1.5705267040902435</v>
      </c>
      <c r="AV432" s="732" t="str">
        <f t="shared" si="354"/>
        <v>-0.174432783994962+0.0466237991148003i</v>
      </c>
      <c r="AW432" s="337">
        <f t="shared" si="355"/>
        <v>-14.867747428798774</v>
      </c>
      <c r="AX432" s="730">
        <f t="shared" si="356"/>
        <v>165.03534885515262</v>
      </c>
      <c r="AY432" s="360">
        <f t="shared" si="357"/>
        <v>-14.96465114484738</v>
      </c>
      <c r="BB432" s="337">
        <f t="shared" si="358"/>
        <v>-25.364270973981068</v>
      </c>
      <c r="BC432" s="730">
        <f t="shared" si="359"/>
        <v>-89.984551756962475</v>
      </c>
      <c r="BD432" s="351"/>
      <c r="BE432" s="337">
        <f t="shared" si="320"/>
        <v>30.765884399120647</v>
      </c>
      <c r="BF432" s="730">
        <f t="shared" si="321"/>
        <v>-89.561815501473291</v>
      </c>
      <c r="BI432" s="351"/>
      <c r="BJ432" s="351"/>
      <c r="BL432" s="405">
        <f t="shared" si="322"/>
        <v>0</v>
      </c>
      <c r="BM432" s="405">
        <f t="shared" si="360"/>
        <v>0</v>
      </c>
      <c r="BN432" s="405">
        <f t="shared" si="323"/>
        <v>0</v>
      </c>
      <c r="BO432" s="405">
        <f t="shared" si="324"/>
        <v>0</v>
      </c>
    </row>
    <row r="433" spans="4:67" ht="13.5" thickBot="1" x14ac:dyDescent="0.25">
      <c r="D433" s="345">
        <v>43652</v>
      </c>
      <c r="E433" s="340" t="str">
        <f t="shared" si="311"/>
        <v>0.724082317276569i</v>
      </c>
      <c r="F433" s="728" t="str">
        <f t="shared" si="325"/>
        <v>0.005-0.0597703983262162i</v>
      </c>
      <c r="G433" s="337" t="str">
        <f t="shared" si="326"/>
        <v>0.005-0.0934870332794666i</v>
      </c>
      <c r="H433" s="338" t="str">
        <f t="shared" si="327"/>
        <v>0.0120338051094832-0.0921835354034942i</v>
      </c>
      <c r="I433" s="338" t="str">
        <f t="shared" si="328"/>
        <v>0.0220338051094832-0.0921835354034942i</v>
      </c>
      <c r="J433" s="337" t="str">
        <f t="shared" si="329"/>
        <v>0.00521321537777042-0.0364624364579472i</v>
      </c>
      <c r="K433" s="338" t="str">
        <f t="shared" si="312"/>
        <v>0.978827809955556-0.228561337524169i</v>
      </c>
      <c r="L433" s="732"/>
      <c r="M433" s="732" t="str">
        <f t="shared" si="313"/>
        <v>0.260193149918475-34.3193153882856i</v>
      </c>
      <c r="N433" s="337">
        <f t="shared" si="314"/>
        <v>0</v>
      </c>
      <c r="O433" s="730" t="str">
        <f t="shared" si="315"/>
        <v>-1.13265480123205-13.2892789714177i</v>
      </c>
      <c r="P433" s="731" t="str">
        <f t="shared" si="316"/>
        <v>-1.25000941369527-0.188401258932459i</v>
      </c>
      <c r="Q433" s="729" t="str">
        <f t="shared" si="317"/>
        <v>-1.23868286568294-0.0555084692182828i</v>
      </c>
      <c r="R433" s="730"/>
      <c r="S433" s="405" t="str">
        <f t="shared" si="330"/>
        <v>39.0192233867069-8.16611240545473i</v>
      </c>
      <c r="T433" s="405" t="str">
        <f t="shared" si="331"/>
        <v>14.8051007778323-4.5621318669145i</v>
      </c>
      <c r="U433" s="405" t="str">
        <f t="shared" si="332"/>
        <v>-0.242391747082429-1.41968633747581i</v>
      </c>
      <c r="V433" s="731" t="str">
        <f t="shared" si="318"/>
        <v>6000</v>
      </c>
      <c r="W433" s="733" t="str">
        <f>IMSUM(COMPLEX(1,0),IMDIV(COMPLEX(0,2*PI()*D433),COMPLEX(2*PI()*'Stability Calculations'!EA_Pole1,0)))</f>
        <v>1+277016.341079293i</v>
      </c>
      <c r="X433" s="734">
        <f t="shared" si="333"/>
        <v>277016.34108109795</v>
      </c>
      <c r="Y433" s="735">
        <f t="shared" si="334"/>
        <v>1.5707927168995521</v>
      </c>
      <c r="Z433" s="340" t="str">
        <f>IMSUM(COMPLEX(1,0),IMDIV(COMPLEX(0,2*PI()*D433),COMPLEX(2*PI()*'Stability Calculations'!EA_Zero1,0)))</f>
        <v>1+2742.73605029003i</v>
      </c>
      <c r="AA433" s="734">
        <f t="shared" si="335"/>
        <v>2742.7362325897393</v>
      </c>
      <c r="AB433" s="735">
        <f t="shared" si="336"/>
        <v>1.5704317273812625</v>
      </c>
      <c r="AC433" s="733" t="str">
        <f>IMSUM(COMPLEX(1,0),IMDIV(COMPLEX(0,2*PI()*D433),COMPLEX(2*PI()*'Stability Calculations'!EA_Pole2,0)))</f>
        <v>1+27.6288312721311i</v>
      </c>
      <c r="AD433" s="734">
        <f t="shared" si="337"/>
        <v>27.646922386838824</v>
      </c>
      <c r="AE433" s="735">
        <f t="shared" si="338"/>
        <v>1.5346180439461927</v>
      </c>
      <c r="AF433" s="732" t="str">
        <f t="shared" si="339"/>
        <v>0.076945462416963-2.14735812111245i</v>
      </c>
      <c r="AG433" s="337">
        <f t="shared" si="340"/>
        <v>2.1487362575463167</v>
      </c>
      <c r="AH433" s="730">
        <f t="shared" si="341"/>
        <v>-1.5349790334644826</v>
      </c>
      <c r="AI433" s="731" t="str">
        <f t="shared" si="319"/>
        <v>10000</v>
      </c>
      <c r="AJ433" s="733" t="str">
        <f t="shared" si="342"/>
        <v>1+258255.4779481i</v>
      </c>
      <c r="AK433" s="734">
        <f t="shared" si="343"/>
        <v>258255.47795003603</v>
      </c>
      <c r="AL433" s="735">
        <f t="shared" si="344"/>
        <v>1.5707924546601875</v>
      </c>
      <c r="AM433" s="340" t="str">
        <f t="shared" si="345"/>
        <v>1+438.289220836347i</v>
      </c>
      <c r="AN433" s="734">
        <f t="shared" si="346"/>
        <v>438.29036163407943</v>
      </c>
      <c r="AO433" s="735">
        <f t="shared" si="347"/>
        <v>1.5685147323197537</v>
      </c>
      <c r="AP433" s="733" t="str">
        <f t="shared" si="348"/>
        <v>1+21.2577496561694i</v>
      </c>
      <c r="AQ433" s="734">
        <f t="shared" si="349"/>
        <v>21.281257492083736</v>
      </c>
      <c r="AR433" s="735">
        <f t="shared" si="350"/>
        <v>1.5237893126700779</v>
      </c>
      <c r="AS433" s="732" t="str">
        <f t="shared" si="351"/>
        <v>0.00143742143867988-5.36175593508482i</v>
      </c>
      <c r="AT433" s="337">
        <f t="shared" si="352"/>
        <v>5.3617561277624031</v>
      </c>
      <c r="AU433" s="730">
        <f t="shared" si="353"/>
        <v>-1.5705282389852973</v>
      </c>
      <c r="AV433" s="732" t="str">
        <f t="shared" si="354"/>
        <v>-0.172354768701274+0.0463723712139836i</v>
      </c>
      <c r="AW433" s="337">
        <f t="shared" si="355"/>
        <v>-14.968010805304834</v>
      </c>
      <c r="AX433" s="730">
        <f t="shared" si="356"/>
        <v>164.94107016899315</v>
      </c>
      <c r="AY433" s="360">
        <f t="shared" si="357"/>
        <v>-15.05892983100685</v>
      </c>
      <c r="BB433" s="337">
        <f t="shared" si="358"/>
        <v>-25.413858864040343</v>
      </c>
      <c r="BC433" s="730">
        <f t="shared" si="359"/>
        <v>-89.984639699971055</v>
      </c>
      <c r="BD433" s="351"/>
      <c r="BE433" s="337">
        <f t="shared" si="320"/>
        <v>30.711021940588573</v>
      </c>
      <c r="BF433" s="730">
        <f t="shared" si="321"/>
        <v>-89.565618266141612</v>
      </c>
      <c r="BI433" s="351"/>
      <c r="BJ433" s="351"/>
      <c r="BL433" s="405">
        <f t="shared" si="322"/>
        <v>0</v>
      </c>
      <c r="BM433" s="405">
        <f t="shared" si="360"/>
        <v>0</v>
      </c>
      <c r="BN433" s="405">
        <f t="shared" si="323"/>
        <v>0</v>
      </c>
      <c r="BO433" s="405">
        <f t="shared" si="324"/>
        <v>0</v>
      </c>
    </row>
    <row r="434" spans="4:67" ht="13.5" thickBot="1" x14ac:dyDescent="0.25">
      <c r="D434" s="345">
        <v>43906</v>
      </c>
      <c r="E434" s="340" t="str">
        <f t="shared" si="311"/>
        <v>0.728295570016151i</v>
      </c>
      <c r="F434" s="728" t="str">
        <f t="shared" si="325"/>
        <v>0.005-0.059424621412472i</v>
      </c>
      <c r="G434" s="337" t="str">
        <f t="shared" si="326"/>
        <v>0.005-0.0929462027220718i</v>
      </c>
      <c r="H434" s="338" t="str">
        <f t="shared" si="327"/>
        <v>0.0119528904522602-0.0916564018003523i</v>
      </c>
      <c r="I434" s="338" t="str">
        <f t="shared" si="328"/>
        <v>0.0219528904522602-0.0916564018003523i</v>
      </c>
      <c r="J434" s="337" t="str">
        <f t="shared" si="329"/>
        <v>0.00520062923215388-0.0362524319617277i</v>
      </c>
      <c r="K434" s="338" t="str">
        <f t="shared" si="312"/>
        <v>0.978580701822222-0.229891278414189i</v>
      </c>
      <c r="L434" s="732"/>
      <c r="M434" s="732" t="str">
        <f t="shared" si="313"/>
        <v>0.256257766589697-34.0999946400918i</v>
      </c>
      <c r="N434" s="337">
        <f t="shared" si="314"/>
        <v>0</v>
      </c>
      <c r="O434" s="730" t="str">
        <f t="shared" si="315"/>
        <v>-1.12611851134006-13.2031527953016i</v>
      </c>
      <c r="P434" s="731" t="str">
        <f t="shared" si="316"/>
        <v>-1.23487503395331-0.18663139618951i</v>
      </c>
      <c r="Q434" s="729" t="str">
        <f t="shared" si="317"/>
        <v>-1.22361384883991-0.0545998682364943i</v>
      </c>
      <c r="R434" s="730"/>
      <c r="S434" s="405" t="str">
        <f t="shared" si="330"/>
        <v>39.0051216620223-8.22338108554366i</v>
      </c>
      <c r="T434" s="405" t="str">
        <f t="shared" si="331"/>
        <v>14.7963534196127-4.58330356463838i</v>
      </c>
      <c r="U434" s="405" t="str">
        <f t="shared" si="332"/>
        <v>-0.243229921575923-1.41096423962561i</v>
      </c>
      <c r="V434" s="731" t="str">
        <f t="shared" si="318"/>
        <v>6000</v>
      </c>
      <c r="W434" s="733" t="str">
        <f>IMSUM(COMPLEX(1,0),IMDIV(COMPLEX(0,2*PI()*D434),COMPLEX(2*PI()*'Stability Calculations'!EA_Pole1,0)))</f>
        <v>1+278628.229437997i</v>
      </c>
      <c r="X434" s="734">
        <f t="shared" si="333"/>
        <v>278628.22943979152</v>
      </c>
      <c r="Y434" s="735">
        <f t="shared" si="334"/>
        <v>1.5707927377831084</v>
      </c>
      <c r="Z434" s="340" t="str">
        <f>IMSUM(COMPLEX(1,0),IMDIV(COMPLEX(0,2*PI()*D434),COMPLEX(2*PI()*'Stability Calculations'!EA_Zero1,0)))</f>
        <v>1+2758.69534097027i</v>
      </c>
      <c r="AA434" s="734">
        <f t="shared" si="335"/>
        <v>2758.6955222153592</v>
      </c>
      <c r="AB434" s="735">
        <f t="shared" si="336"/>
        <v>1.5704338366201576</v>
      </c>
      <c r="AC434" s="733" t="str">
        <f>IMSUM(COMPLEX(1,0),IMDIV(COMPLEX(0,2*PI()*D434),COMPLEX(2*PI()*'Stability Calculations'!EA_Pole2,0)))</f>
        <v>1+27.7895964866258i</v>
      </c>
      <c r="AD434" s="734">
        <f t="shared" si="337"/>
        <v>27.807583010565391</v>
      </c>
      <c r="AE434" s="735">
        <f t="shared" si="338"/>
        <v>1.5348271574369343</v>
      </c>
      <c r="AF434" s="732" t="str">
        <f t="shared" si="339"/>
        <v>0.0760589132732682-2.13496737118369i</v>
      </c>
      <c r="AG434" s="337">
        <f t="shared" si="340"/>
        <v>2.1363217534602104</v>
      </c>
      <c r="AH434" s="730">
        <f t="shared" si="341"/>
        <v>-1.5351860585998849</v>
      </c>
      <c r="AI434" s="731" t="str">
        <f t="shared" si="319"/>
        <v>10000</v>
      </c>
      <c r="AJ434" s="733" t="str">
        <f t="shared" si="342"/>
        <v>1+259758.201566693i</v>
      </c>
      <c r="AK434" s="734">
        <f t="shared" si="343"/>
        <v>259758.20156861783</v>
      </c>
      <c r="AL434" s="735">
        <f t="shared" si="344"/>
        <v>1.570792477060821</v>
      </c>
      <c r="AM434" s="340" t="str">
        <f t="shared" si="345"/>
        <v>1+440.839515487049i</v>
      </c>
      <c r="AN434" s="734">
        <f t="shared" si="346"/>
        <v>440.8406496851851</v>
      </c>
      <c r="AO434" s="735">
        <f t="shared" si="347"/>
        <v>1.5685279314953309</v>
      </c>
      <c r="AP434" s="733" t="str">
        <f t="shared" si="348"/>
        <v>1+21.3814431504576i</v>
      </c>
      <c r="AQ434" s="734">
        <f t="shared" si="349"/>
        <v>21.404815140436281</v>
      </c>
      <c r="AR434" s="735">
        <f t="shared" si="350"/>
        <v>1.5240608553474146</v>
      </c>
      <c r="AS434" s="732" t="str">
        <f t="shared" si="351"/>
        <v>0.00142083833215868-5.33073771858943i</v>
      </c>
      <c r="AT434" s="337">
        <f t="shared" si="352"/>
        <v>5.3307379079423516</v>
      </c>
      <c r="AU434" s="730">
        <f t="shared" si="353"/>
        <v>-1.5705297898963435</v>
      </c>
      <c r="AV434" s="732" t="str">
        <f t="shared" si="354"/>
        <v>-0.170267179790016+0.0461177912710555i</v>
      </c>
      <c r="AW434" s="337">
        <f t="shared" si="355"/>
        <v>-15.069916286221348</v>
      </c>
      <c r="AX434" s="730">
        <f t="shared" si="356"/>
        <v>164.8447520928712</v>
      </c>
      <c r="AY434" s="360">
        <f t="shared" si="357"/>
        <v>-15.155247907128796</v>
      </c>
      <c r="BB434" s="337">
        <f t="shared" si="358"/>
        <v>-25.464253391078348</v>
      </c>
      <c r="BC434" s="730">
        <f t="shared" si="359"/>
        <v>-89.984728560628398</v>
      </c>
      <c r="BD434" s="351"/>
      <c r="BE434" s="337">
        <f t="shared" si="320"/>
        <v>30.655331469375142</v>
      </c>
      <c r="BF434" s="730">
        <f t="shared" si="321"/>
        <v>-89.569436527296091</v>
      </c>
      <c r="BI434" s="351"/>
      <c r="BJ434" s="351"/>
      <c r="BL434" s="405">
        <f t="shared" si="322"/>
        <v>0</v>
      </c>
      <c r="BM434" s="405">
        <f t="shared" si="360"/>
        <v>0</v>
      </c>
      <c r="BN434" s="405">
        <f t="shared" si="323"/>
        <v>0</v>
      </c>
      <c r="BO434" s="405">
        <f t="shared" si="324"/>
        <v>0</v>
      </c>
    </row>
    <row r="435" spans="4:67" ht="13.5" thickBot="1" x14ac:dyDescent="0.25">
      <c r="D435" s="345">
        <v>44160</v>
      </c>
      <c r="E435" s="340" t="str">
        <f t="shared" si="311"/>
        <v>0.732508822755733i</v>
      </c>
      <c r="F435" s="728" t="str">
        <f t="shared" si="325"/>
        <v>0.005-0.0590828221860504i</v>
      </c>
      <c r="G435" s="337" t="str">
        <f t="shared" si="326"/>
        <v>0.005-0.0924115936756172i</v>
      </c>
      <c r="H435" s="338" t="str">
        <f t="shared" si="327"/>
        <v>0.011873357401583-0.091135227633485i</v>
      </c>
      <c r="I435" s="338" t="str">
        <f t="shared" si="328"/>
        <v>0.021873357401583-0.091135227633485i</v>
      </c>
      <c r="J435" s="337" t="str">
        <f t="shared" si="329"/>
        <v>0.00518825772333615-0.0360448399692451i</v>
      </c>
      <c r="K435" s="338" t="str">
        <f t="shared" si="312"/>
        <v>0.97833216-0.231221219304209i</v>
      </c>
      <c r="L435" s="732"/>
      <c r="M435" s="732" t="str">
        <f t="shared" si="313"/>
        <v>0.252413233330181-33.8835761767271i</v>
      </c>
      <c r="N435" s="337">
        <f t="shared" si="314"/>
        <v>0</v>
      </c>
      <c r="O435" s="730" t="str">
        <f t="shared" si="315"/>
        <v>-1.11969235719738-13.1181662229206i</v>
      </c>
      <c r="P435" s="731" t="str">
        <f t="shared" si="316"/>
        <v>-1.22001849596856-0.184894920394659i</v>
      </c>
      <c r="Q435" s="729" t="str">
        <f t="shared" si="317"/>
        <v>-1.20882157239659-0.0537132581654526i</v>
      </c>
      <c r="R435" s="730"/>
      <c r="S435" s="405" t="str">
        <f t="shared" si="330"/>
        <v>38.9909238320171-8.28056754864894i</v>
      </c>
      <c r="T435" s="405" t="str">
        <f t="shared" si="331"/>
        <v>14.7875624847096-4.60448084299528i</v>
      </c>
      <c r="U435" s="405" t="str">
        <f t="shared" si="332"/>
        <v>-0.2440523952812-1.40233851988602i</v>
      </c>
      <c r="V435" s="731" t="str">
        <f t="shared" si="318"/>
        <v>6000</v>
      </c>
      <c r="W435" s="733" t="str">
        <f>IMSUM(COMPLEX(1,0),IMDIV(COMPLEX(0,2*PI()*D435),COMPLEX(2*PI()*'Stability Calculations'!EA_Pole1,0)))</f>
        <v>1+280240.117796702i</v>
      </c>
      <c r="X435" s="734">
        <f t="shared" si="333"/>
        <v>280240.11779848614</v>
      </c>
      <c r="Y435" s="735">
        <f t="shared" si="334"/>
        <v>1.5707927584264281</v>
      </c>
      <c r="Z435" s="340" t="str">
        <f>IMSUM(COMPLEX(1,0),IMDIV(COMPLEX(0,2*PI()*D435),COMPLEX(2*PI()*'Stability Calculations'!EA_Zero1,0)))</f>
        <v>1+2774.65463165051i</v>
      </c>
      <c r="AA435" s="734">
        <f t="shared" si="335"/>
        <v>2774.6548118531118</v>
      </c>
      <c r="AB435" s="735">
        <f t="shared" si="336"/>
        <v>1.5704359215951662</v>
      </c>
      <c r="AC435" s="733" t="str">
        <f>IMSUM(COMPLEX(1,0),IMDIV(COMPLEX(0,2*PI()*D435),COMPLEX(2*PI()*'Stability Calculations'!EA_Pole2,0)))</f>
        <v>1+27.9503617011205i</v>
      </c>
      <c r="AD435" s="734">
        <f t="shared" si="337"/>
        <v>27.968244836304326</v>
      </c>
      <c r="AE435" s="735">
        <f t="shared" si="338"/>
        <v>1.5350338684580029</v>
      </c>
      <c r="AF435" s="732" t="str">
        <f t="shared" si="339"/>
        <v>0.0751875918067824-2.12271861496222i</v>
      </c>
      <c r="AG435" s="337">
        <f t="shared" si="340"/>
        <v>2.1240497857321587</v>
      </c>
      <c r="AH435" s="730">
        <f t="shared" si="341"/>
        <v>-1.5353907052892648</v>
      </c>
      <c r="AI435" s="731" t="str">
        <f t="shared" si="319"/>
        <v>10000</v>
      </c>
      <c r="AJ435" s="733" t="str">
        <f t="shared" si="342"/>
        <v>1+261260.925185287i</v>
      </c>
      <c r="AK435" s="734">
        <f t="shared" si="343"/>
        <v>261260.9251872008</v>
      </c>
      <c r="AL435" s="735">
        <f t="shared" si="344"/>
        <v>1.5707924992037661</v>
      </c>
      <c r="AM435" s="340" t="str">
        <f t="shared" si="345"/>
        <v>1+443.389810137751i</v>
      </c>
      <c r="AN435" s="734">
        <f t="shared" si="346"/>
        <v>443.39093781220976</v>
      </c>
      <c r="AO435" s="735">
        <f t="shared" si="347"/>
        <v>1.5685409788333426</v>
      </c>
      <c r="AP435" s="733" t="str">
        <f t="shared" si="348"/>
        <v>1+21.5051366447458i</v>
      </c>
      <c r="AQ435" s="734">
        <f t="shared" si="349"/>
        <v>21.528374348965336</v>
      </c>
      <c r="AR435" s="735">
        <f t="shared" si="350"/>
        <v>1.5243292810790188</v>
      </c>
      <c r="AS435" s="732" t="str">
        <f t="shared" si="351"/>
        <v>0.00140454055059125-5.30007632389297i</v>
      </c>
      <c r="AT435" s="337">
        <f t="shared" si="352"/>
        <v>5.3000765099972833</v>
      </c>
      <c r="AU435" s="730">
        <f t="shared" si="353"/>
        <v>-1.5705313229662949</v>
      </c>
      <c r="AV435" s="732" t="str">
        <f t="shared" si="354"/>
        <v>-0.168215568701361+0.0458656193088003i</v>
      </c>
      <c r="AW435" s="337">
        <f t="shared" si="355"/>
        <v>-15.17124522241393</v>
      </c>
      <c r="AX435" s="730">
        <f t="shared" si="356"/>
        <v>164.74848089306067</v>
      </c>
      <c r="AY435" s="360">
        <f t="shared" si="357"/>
        <v>-15.251519106939327</v>
      </c>
      <c r="BB435" s="337">
        <f t="shared" si="358"/>
        <v>-25.514357220701974</v>
      </c>
      <c r="BC435" s="730">
        <f t="shared" si="359"/>
        <v>-89.984816399066318</v>
      </c>
      <c r="BD435" s="351"/>
      <c r="BE435" s="337">
        <f t="shared" si="320"/>
        <v>30.600025817573755</v>
      </c>
      <c r="BF435" s="730">
        <f t="shared" si="321"/>
        <v>-89.573187157851947</v>
      </c>
      <c r="BI435" s="351"/>
      <c r="BJ435" s="351"/>
      <c r="BL435" s="405">
        <f t="shared" si="322"/>
        <v>0</v>
      </c>
      <c r="BM435" s="405">
        <f t="shared" si="360"/>
        <v>0</v>
      </c>
      <c r="BN435" s="405">
        <f t="shared" si="323"/>
        <v>0</v>
      </c>
      <c r="BO435" s="405">
        <f t="shared" si="324"/>
        <v>0</v>
      </c>
    </row>
    <row r="436" spans="4:67" ht="13.5" thickBot="1" x14ac:dyDescent="0.25">
      <c r="D436" s="345">
        <v>44414</v>
      </c>
      <c r="E436" s="340" t="str">
        <f t="shared" si="311"/>
        <v>0.736722075495316i</v>
      </c>
      <c r="F436" s="728" t="str">
        <f t="shared" si="325"/>
        <v>0.005-0.0587449324027557i</v>
      </c>
      <c r="G436" s="337" t="str">
        <f t="shared" si="326"/>
        <v>0.005-0.0918830993991818i</v>
      </c>
      <c r="H436" s="338" t="str">
        <f t="shared" si="327"/>
        <v>0.011795174740214-0.0906199130062093i</v>
      </c>
      <c r="I436" s="338" t="str">
        <f t="shared" si="328"/>
        <v>0.021795174740214-0.0906199130062093i</v>
      </c>
      <c r="J436" s="337" t="str">
        <f t="shared" si="329"/>
        <v>0.00517609595386352-0.0358396192296188i</v>
      </c>
      <c r="K436" s="338" t="str">
        <f t="shared" si="312"/>
        <v>0.978082184488889-0.232551160194228i</v>
      </c>
      <c r="L436" s="732"/>
      <c r="M436" s="732" t="str">
        <f t="shared" si="313"/>
        <v>0.24865675240413-33.670000893622i</v>
      </c>
      <c r="N436" s="337">
        <f t="shared" si="314"/>
        <v>0</v>
      </c>
      <c r="O436" s="730" t="str">
        <f t="shared" si="315"/>
        <v>-1.11337381991963-13.0342959305319i</v>
      </c>
      <c r="P436" s="731" t="str">
        <f t="shared" si="316"/>
        <v>-1.20543294027832-0.183190918717095i</v>
      </c>
      <c r="Q436" s="729" t="str">
        <f t="shared" si="317"/>
        <v>-1.19429920207912-0.0528479594117751i</v>
      </c>
      <c r="R436" s="730"/>
      <c r="S436" s="405" t="str">
        <f t="shared" si="330"/>
        <v>38.9766301064729-8.33767269963123i</v>
      </c>
      <c r="T436" s="405" t="str">
        <f t="shared" si="331"/>
        <v>14.7787279206821-4.62566317920924i</v>
      </c>
      <c r="U436" s="405" t="str">
        <f t="shared" si="332"/>
        <v>-0.244859516633443-1.39380754400279i</v>
      </c>
      <c r="V436" s="731" t="str">
        <f t="shared" si="318"/>
        <v>6000</v>
      </c>
      <c r="W436" s="733" t="str">
        <f>IMSUM(COMPLEX(1,0),IMDIV(COMPLEX(0,2*PI()*D436),COMPLEX(2*PI()*'Stability Calculations'!EA_Pole1,0)))</f>
        <v>1+281852.006155405i</v>
      </c>
      <c r="X436" s="734">
        <f t="shared" si="333"/>
        <v>281852.00615717901</v>
      </c>
      <c r="Y436" s="735">
        <f t="shared" si="334"/>
        <v>1.5707927788336327</v>
      </c>
      <c r="Z436" s="340" t="str">
        <f>IMSUM(COMPLEX(1,0),IMDIV(COMPLEX(0,2*PI()*D436),COMPLEX(2*PI()*'Stability Calculations'!EA_Zero1,0)))</f>
        <v>1+2790.61392233074i</v>
      </c>
      <c r="AA436" s="734">
        <f t="shared" si="335"/>
        <v>2790.6141015027779</v>
      </c>
      <c r="AB436" s="735">
        <f t="shared" si="336"/>
        <v>1.5704379827225783</v>
      </c>
      <c r="AC436" s="733" t="str">
        <f>IMSUM(COMPLEX(1,0),IMDIV(COMPLEX(0,2*PI()*D436),COMPLEX(2*PI()*'Stability Calculations'!EA_Pole2,0)))</f>
        <v>1+28.1111269156151i</v>
      </c>
      <c r="AD436" s="734">
        <f t="shared" si="337"/>
        <v>28.128907843459185</v>
      </c>
      <c r="AE436" s="735">
        <f t="shared" si="338"/>
        <v>1.5352382181579138</v>
      </c>
      <c r="AF436" s="732" t="str">
        <f t="shared" si="339"/>
        <v>0.0743311514082072-2.11060942862714i</v>
      </c>
      <c r="AG436" s="337">
        <f t="shared" si="340"/>
        <v>2.1119179151376724</v>
      </c>
      <c r="AH436" s="730">
        <f t="shared" si="341"/>
        <v>-1.5355930142689682</v>
      </c>
      <c r="AI436" s="731" t="str">
        <f t="shared" si="319"/>
        <v>10000</v>
      </c>
      <c r="AJ436" s="733" t="str">
        <f t="shared" si="342"/>
        <v>1+262763.648803879i</v>
      </c>
      <c r="AK436" s="734">
        <f t="shared" si="343"/>
        <v>262763.64880578185</v>
      </c>
      <c r="AL436" s="735">
        <f t="shared" si="344"/>
        <v>1.5707925210934439</v>
      </c>
      <c r="AM436" s="340" t="str">
        <f t="shared" si="345"/>
        <v>1+445.940104788452i</v>
      </c>
      <c r="AN436" s="734">
        <f t="shared" si="346"/>
        <v>445.94122601384987</v>
      </c>
      <c r="AO436" s="735">
        <f t="shared" si="347"/>
        <v>1.568553876938811</v>
      </c>
      <c r="AP436" s="733" t="str">
        <f t="shared" si="348"/>
        <v>1+21.6288301390339i</v>
      </c>
      <c r="AQ436" s="734">
        <f t="shared" si="349"/>
        <v>21.651935090960833</v>
      </c>
      <c r="AR436" s="735">
        <f t="shared" si="350"/>
        <v>1.524594643188143</v>
      </c>
      <c r="AS436" s="732" t="str">
        <f t="shared" si="351"/>
        <v>0.00138852158567858-5.2697656290939i</v>
      </c>
      <c r="AT436" s="337">
        <f t="shared" si="352"/>
        <v>5.2697658120234925</v>
      </c>
      <c r="AU436" s="730">
        <f t="shared" si="353"/>
        <v>-1.5705328385012467</v>
      </c>
      <c r="AV436" s="732" t="str">
        <f t="shared" si="354"/>
        <v>-0.16619911388488+0.0456158243217826i</v>
      </c>
      <c r="AW436" s="337">
        <f t="shared" si="355"/>
        <v>-15.272004321384312</v>
      </c>
      <c r="AX436" s="730">
        <f t="shared" si="356"/>
        <v>164.6522556822089</v>
      </c>
      <c r="AY436" s="360">
        <f t="shared" si="357"/>
        <v>-15.347744317791097</v>
      </c>
      <c r="BB436" s="337">
        <f t="shared" si="358"/>
        <v>-25.564173687421963</v>
      </c>
      <c r="BC436" s="730">
        <f t="shared" si="359"/>
        <v>-89.984903232822759</v>
      </c>
      <c r="BD436" s="351"/>
      <c r="BE436" s="337">
        <f t="shared" si="320"/>
        <v>30.545099415564678</v>
      </c>
      <c r="BF436" s="730">
        <f t="shared" si="321"/>
        <v>-89.57687190136842</v>
      </c>
      <c r="BI436" s="351"/>
      <c r="BJ436" s="351"/>
      <c r="BL436" s="405">
        <f t="shared" si="322"/>
        <v>0</v>
      </c>
      <c r="BM436" s="405">
        <f t="shared" si="360"/>
        <v>0</v>
      </c>
      <c r="BN436" s="405">
        <f t="shared" si="323"/>
        <v>0</v>
      </c>
      <c r="BO436" s="405">
        <f t="shared" si="324"/>
        <v>0</v>
      </c>
    </row>
    <row r="437" spans="4:67" ht="13.5" thickBot="1" x14ac:dyDescent="0.25">
      <c r="D437" s="345">
        <v>44668</v>
      </c>
      <c r="E437" s="340" t="str">
        <f t="shared" si="311"/>
        <v>0.740935328234898i</v>
      </c>
      <c r="F437" s="728" t="str">
        <f t="shared" si="325"/>
        <v>0.005-0.0584108853706453i</v>
      </c>
      <c r="G437" s="337" t="str">
        <f t="shared" si="326"/>
        <v>0.005-0.0913606155797275i</v>
      </c>
      <c r="H437" s="338" t="str">
        <f t="shared" si="327"/>
        <v>0.0117183121259998-0.0901103602286067i</v>
      </c>
      <c r="I437" s="338" t="str">
        <f t="shared" si="328"/>
        <v>0.0217183121259998-0.0901103602286067i</v>
      </c>
      <c r="J437" s="337" t="str">
        <f t="shared" si="329"/>
        <v>0.00516413916490813-0.035636729426187i</v>
      </c>
      <c r="K437" s="338" t="str">
        <f t="shared" si="312"/>
        <v>0.977830775288889-0.233881101084248i</v>
      </c>
      <c r="L437" s="732"/>
      <c r="M437" s="732" t="str">
        <f t="shared" si="313"/>
        <v>0.244985632876679-33.4592113183806i</v>
      </c>
      <c r="N437" s="337">
        <f t="shared" si="314"/>
        <v>0</v>
      </c>
      <c r="O437" s="730" t="str">
        <f t="shared" si="315"/>
        <v>-1.10716045129212-12.9515192420676i</v>
      </c>
      <c r="P437" s="731" t="str">
        <f t="shared" si="316"/>
        <v>-1.19111172066517-0.181518510308316i</v>
      </c>
      <c r="Q437" s="729" t="str">
        <f t="shared" si="317"/>
        <v>-1.18004011615225-0.0520033178876394i</v>
      </c>
      <c r="R437" s="730"/>
      <c r="S437" s="405" t="str">
        <f t="shared" si="330"/>
        <v>38.9622406889629-8.39469741947794i</v>
      </c>
      <c r="T437" s="405" t="str">
        <f t="shared" si="331"/>
        <v>14.7698496778226-4.64685005978162i</v>
      </c>
      <c r="U437" s="405" t="str">
        <f t="shared" si="332"/>
        <v>-0.245651624236423-1.38536971439421i</v>
      </c>
      <c r="V437" s="731" t="str">
        <f t="shared" si="318"/>
        <v>6000</v>
      </c>
      <c r="W437" s="733" t="str">
        <f>IMSUM(COMPLEX(1,0),IMDIV(COMPLEX(0,2*PI()*D437),COMPLEX(2*PI()*'Stability Calculations'!EA_Pole1,0)))</f>
        <v>1+283463.894514109i</v>
      </c>
      <c r="X437" s="734">
        <f t="shared" si="333"/>
        <v>283463.89451587287</v>
      </c>
      <c r="Y437" s="735">
        <f t="shared" si="334"/>
        <v>1.5707927990087505</v>
      </c>
      <c r="Z437" s="340" t="str">
        <f>IMSUM(COMPLEX(1,0),IMDIV(COMPLEX(0,2*PI()*D437),COMPLEX(2*PI()*'Stability Calculations'!EA_Zero1,0)))</f>
        <v>1+2806.57321301098i</v>
      </c>
      <c r="AA437" s="734">
        <f t="shared" si="335"/>
        <v>2806.5733911641746</v>
      </c>
      <c r="AB437" s="735">
        <f t="shared" si="336"/>
        <v>1.5704400204092139</v>
      </c>
      <c r="AC437" s="733" t="str">
        <f>IMSUM(COMPLEX(1,0),IMDIV(COMPLEX(0,2*PI()*D437),COMPLEX(2*PI()*'Stability Calculations'!EA_Pole2,0)))</f>
        <v>1+28.2718921301098i</v>
      </c>
      <c r="AD437" s="734">
        <f t="shared" si="337"/>
        <v>28.289572011901566</v>
      </c>
      <c r="AE437" s="735">
        <f t="shared" si="338"/>
        <v>1.5354402467512072</v>
      </c>
      <c r="AF437" s="732" t="str">
        <f t="shared" si="339"/>
        <v>0.0734892552701454-2.09863744314205i</v>
      </c>
      <c r="AG437" s="337">
        <f t="shared" si="340"/>
        <v>2.0999237577583525</v>
      </c>
      <c r="AH437" s="730">
        <f t="shared" si="341"/>
        <v>-1.5357930253507437</v>
      </c>
      <c r="AI437" s="731" t="str">
        <f t="shared" si="319"/>
        <v>10000</v>
      </c>
      <c r="AJ437" s="733" t="str">
        <f t="shared" si="342"/>
        <v>1+264266.372422472i</v>
      </c>
      <c r="AK437" s="734">
        <f t="shared" si="343"/>
        <v>264266.37242436403</v>
      </c>
      <c r="AL437" s="735">
        <f t="shared" si="344"/>
        <v>1.5707925427341747</v>
      </c>
      <c r="AM437" s="340" t="str">
        <f t="shared" si="345"/>
        <v>1+448.490399439154i</v>
      </c>
      <c r="AN437" s="734">
        <f t="shared" si="346"/>
        <v>448.49151428883454</v>
      </c>
      <c r="AO437" s="735">
        <f t="shared" si="347"/>
        <v>1.5685666283575055</v>
      </c>
      <c r="AP437" s="733" t="str">
        <f t="shared" si="348"/>
        <v>1+21.7525236333221i</v>
      </c>
      <c r="AQ437" s="734">
        <f t="shared" si="349"/>
        <v>21.775497340318925</v>
      </c>
      <c r="AR437" s="735">
        <f t="shared" si="350"/>
        <v>1.5248569937894847</v>
      </c>
      <c r="AS437" s="732" t="str">
        <f t="shared" si="351"/>
        <v>0.00137277511363788-5.23979965153688i</v>
      </c>
      <c r="AT437" s="337">
        <f t="shared" si="352"/>
        <v>5.2397998313635528</v>
      </c>
      <c r="AU437" s="730">
        <f t="shared" si="353"/>
        <v>-1.5705343368003313</v>
      </c>
      <c r="AV437" s="732" t="str">
        <f t="shared" si="354"/>
        <v>-0.164217017116642+0.0453683757151312i</v>
      </c>
      <c r="AW437" s="337">
        <f t="shared" si="355"/>
        <v>-15.37220017564926</v>
      </c>
      <c r="AX437" s="730">
        <f t="shared" si="356"/>
        <v>164.55607559367846</v>
      </c>
      <c r="AY437" s="360">
        <f t="shared" si="357"/>
        <v>-15.443924406321543</v>
      </c>
      <c r="BB437" s="337">
        <f t="shared" si="358"/>
        <v>-25.613706068702232</v>
      </c>
      <c r="BC437" s="730">
        <f t="shared" si="359"/>
        <v>-89.984989079036751</v>
      </c>
      <c r="BD437" s="351"/>
      <c r="BE437" s="337">
        <f t="shared" si="320"/>
        <v>30.490546817247733</v>
      </c>
      <c r="BF437" s="730">
        <f t="shared" si="321"/>
        <v>-89.580492443693643</v>
      </c>
      <c r="BI437" s="351"/>
      <c r="BJ437" s="351"/>
      <c r="BL437" s="405">
        <f t="shared" si="322"/>
        <v>0</v>
      </c>
      <c r="BM437" s="405">
        <f t="shared" si="360"/>
        <v>0</v>
      </c>
      <c r="BN437" s="405">
        <f t="shared" si="323"/>
        <v>0</v>
      </c>
      <c r="BO437" s="405">
        <f t="shared" si="324"/>
        <v>0</v>
      </c>
    </row>
    <row r="438" spans="4:67" ht="13.5" thickBot="1" x14ac:dyDescent="0.25">
      <c r="D438" s="345">
        <v>44928.25</v>
      </c>
      <c r="E438" s="340" t="str">
        <f t="shared" si="311"/>
        <v>0.745252253532049i</v>
      </c>
      <c r="F438" s="728" t="str">
        <f t="shared" si="325"/>
        <v>0.005-0.0580725362714102i</v>
      </c>
      <c r="G438" s="337" t="str">
        <f t="shared" si="326"/>
        <v>0.005-0.0908314028860516i</v>
      </c>
      <c r="H438" s="338" t="str">
        <f t="shared" si="327"/>
        <v>0.0116408965367477-0.0895941456055217i</v>
      </c>
      <c r="I438" s="338" t="str">
        <f t="shared" si="328"/>
        <v>0.0216408965367477-0.0895941456055217i</v>
      </c>
      <c r="J438" s="337" t="str">
        <f t="shared" si="329"/>
        <v>0.00515209593642437-0.0354312237262096i</v>
      </c>
      <c r="K438" s="338" t="str">
        <f t="shared" si="312"/>
        <v>0.977571692799306-0.235243766897743i</v>
      </c>
      <c r="L438" s="732"/>
      <c r="M438" s="732" t="str">
        <f t="shared" si="313"/>
        <v>0.241310011863977-33.2460659190719i</v>
      </c>
      <c r="N438" s="337">
        <f t="shared" si="314"/>
        <v>0</v>
      </c>
      <c r="O438" s="730" t="str">
        <f t="shared" si="315"/>
        <v>-1.10090078860544-12.8678169696048i</v>
      </c>
      <c r="P438" s="731" t="str">
        <f t="shared" si="316"/>
        <v>-1.17670554726341-0.179836830141474i</v>
      </c>
      <c r="Q438" s="729" t="str">
        <f t="shared" si="317"/>
        <v>-1.16569653937735-0.0511586604454269i</v>
      </c>
      <c r="R438" s="730"/>
      <c r="S438" s="405" t="str">
        <f t="shared" si="330"/>
        <v>38.9473981548441-8.45304277932753i</v>
      </c>
      <c r="T438" s="405" t="str">
        <f t="shared" si="331"/>
        <v>14.7607076208547-4.66856245705435i</v>
      </c>
      <c r="U438" s="405" t="str">
        <f t="shared" si="332"/>
        <v>-0.246447994322245-1.37681924036129i</v>
      </c>
      <c r="V438" s="731" t="str">
        <f t="shared" si="318"/>
        <v>6000</v>
      </c>
      <c r="W438" s="733" t="str">
        <f>IMSUM(COMPLEX(1,0),IMDIV(COMPLEX(0,2*PI()*D438),COMPLEX(2*PI()*'Stability Calculations'!EA_Pole1,0)))</f>
        <v>1+285115.445480064i</v>
      </c>
      <c r="X438" s="734">
        <f t="shared" si="333"/>
        <v>285115.44548181765</v>
      </c>
      <c r="Y438" s="735">
        <f t="shared" si="334"/>
        <v>1.570792819443696</v>
      </c>
      <c r="Z438" s="340" t="str">
        <f>IMSUM(COMPLEX(1,0),IMDIV(COMPLEX(0,2*PI()*D438),COMPLEX(2*PI()*'Stability Calculations'!EA_Zero1,0)))</f>
        <v>1+2822.92520277291i</v>
      </c>
      <c r="AA438" s="734">
        <f t="shared" si="335"/>
        <v>2822.92537989414</v>
      </c>
      <c r="AB438" s="735">
        <f t="shared" si="336"/>
        <v>1.5704420843384588</v>
      </c>
      <c r="AC438" s="733" t="str">
        <f>IMSUM(COMPLEX(1,0),IMDIV(COMPLEX(0,2*PI()*D438),COMPLEX(2*PI()*'Stability Calculations'!EA_Pole2,0)))</f>
        <v>1+28.4366131815753i</v>
      </c>
      <c r="AD438" s="734">
        <f t="shared" si="337"/>
        <v>28.454190714876113</v>
      </c>
      <c r="AE438" s="735">
        <f t="shared" si="338"/>
        <v>1.5356448801387423</v>
      </c>
      <c r="AF438" s="732" t="str">
        <f t="shared" si="339"/>
        <v>0.072641386425534-2.08651075646222i</v>
      </c>
      <c r="AG438" s="337">
        <f t="shared" si="340"/>
        <v>2.0877748700121783</v>
      </c>
      <c r="AH438" s="730">
        <f t="shared" si="341"/>
        <v>-1.5359956152439795</v>
      </c>
      <c r="AI438" s="731" t="str">
        <f t="shared" si="319"/>
        <v>10000</v>
      </c>
      <c r="AJ438" s="733" t="str">
        <f t="shared" si="342"/>
        <v>1+265806.072508058i</v>
      </c>
      <c r="AK438" s="734">
        <f t="shared" si="343"/>
        <v>265806.07250993908</v>
      </c>
      <c r="AL438" s="735">
        <f t="shared" si="344"/>
        <v>1.5707925646536085</v>
      </c>
      <c r="AM438" s="340" t="str">
        <f t="shared" si="345"/>
        <v>1+451.103447403111i</v>
      </c>
      <c r="AN438" s="734">
        <f t="shared" si="346"/>
        <v>451.10455579496346</v>
      </c>
      <c r="AO438" s="735">
        <f t="shared" si="347"/>
        <v>1.5685795439977042</v>
      </c>
      <c r="AP438" s="733" t="str">
        <f t="shared" si="348"/>
        <v>1+21.8792607667413i</v>
      </c>
      <c r="AQ438" s="734">
        <f t="shared" si="349"/>
        <v>21.902101536132669</v>
      </c>
      <c r="AR438" s="735">
        <f t="shared" si="350"/>
        <v>1.5251227295573968</v>
      </c>
      <c r="AS438" s="732" t="str">
        <f t="shared" si="351"/>
        <v>0.00135691738675879-5.20944775326051i</v>
      </c>
      <c r="AT438" s="337">
        <f t="shared" si="352"/>
        <v>5.2094479299802749</v>
      </c>
      <c r="AU438" s="730">
        <f t="shared" si="353"/>
        <v>-1.5705358543954522</v>
      </c>
      <c r="AV438" s="732" t="str">
        <f t="shared" si="354"/>
        <v>-0.162220973857585+0.0451172404450338i</v>
      </c>
      <c r="AW438" s="337">
        <f t="shared" si="355"/>
        <v>-15.474284050522373</v>
      </c>
      <c r="AX438" s="730">
        <f t="shared" si="356"/>
        <v>164.45757478543399</v>
      </c>
      <c r="AY438" s="360">
        <f t="shared" si="357"/>
        <v>-15.542425214566009</v>
      </c>
      <c r="BB438" s="337">
        <f t="shared" si="358"/>
        <v>-25.664165970351334</v>
      </c>
      <c r="BC438" s="730">
        <f t="shared" si="359"/>
        <v>-89.98507603083219</v>
      </c>
      <c r="BD438" s="351"/>
      <c r="BE438" s="337">
        <f t="shared" si="320"/>
        <v>30.435034026105928</v>
      </c>
      <c r="BF438" s="730">
        <f t="shared" si="321"/>
        <v>-89.584137188550486</v>
      </c>
      <c r="BI438" s="351"/>
      <c r="BJ438" s="351"/>
      <c r="BL438" s="405">
        <f t="shared" si="322"/>
        <v>0</v>
      </c>
      <c r="BM438" s="405">
        <f t="shared" si="360"/>
        <v>0</v>
      </c>
      <c r="BN438" s="405">
        <f t="shared" si="323"/>
        <v>0</v>
      </c>
      <c r="BO438" s="405">
        <f t="shared" si="324"/>
        <v>0</v>
      </c>
    </row>
    <row r="439" spans="4:67" ht="13.5" thickBot="1" x14ac:dyDescent="0.25">
      <c r="D439" s="345">
        <v>45188.5</v>
      </c>
      <c r="E439" s="340" t="str">
        <f t="shared" si="311"/>
        <v>0.7495691788292i</v>
      </c>
      <c r="F439" s="728" t="str">
        <f t="shared" si="325"/>
        <v>0.005-0.0577380844182919i</v>
      </c>
      <c r="G439" s="337" t="str">
        <f t="shared" si="326"/>
        <v>0.005-0.0903082858850209i</v>
      </c>
      <c r="H439" s="338" t="str">
        <f t="shared" si="327"/>
        <v>0.0115648049570958-0.0890837790841789i</v>
      </c>
      <c r="I439" s="338" t="str">
        <f t="shared" si="328"/>
        <v>0.0215648049570958-0.0890837790841789i</v>
      </c>
      <c r="J439" s="337" t="str">
        <f t="shared" si="329"/>
        <v>0.00514025821161053-0.0352280822876956i</v>
      </c>
      <c r="K439" s="338" t="str">
        <f t="shared" si="312"/>
        <v>0.977311105197222-0.236606432711237i</v>
      </c>
      <c r="L439" s="732"/>
      <c r="M439" s="732" t="str">
        <f t="shared" si="313"/>
        <v>0.237718608426714-33.0357278605766i</v>
      </c>
      <c r="N439" s="337">
        <f t="shared" si="314"/>
        <v>0</v>
      </c>
      <c r="O439" s="730" t="str">
        <f t="shared" si="315"/>
        <v>-1.09474654773688-12.7852165726113i</v>
      </c>
      <c r="P439" s="731" t="str">
        <f t="shared" si="316"/>
        <v>-1.16256340447729-0.178186542110833i</v>
      </c>
      <c r="Q439" s="729" t="str">
        <f t="shared" si="317"/>
        <v>-1.15161593899992-0.0503343763847188i</v>
      </c>
      <c r="R439" s="730"/>
      <c r="S439" s="405" t="str">
        <f t="shared" si="330"/>
        <v>38.9324555751982-8.51130549958532i</v>
      </c>
      <c r="T439" s="405" t="str">
        <f t="shared" si="331"/>
        <v>14.7515196118514-4.69027856240876i</v>
      </c>
      <c r="U439" s="405" t="str">
        <f t="shared" si="332"/>
        <v>-0.247229292165046-1.36836327102681i</v>
      </c>
      <c r="V439" s="731" t="str">
        <f t="shared" si="318"/>
        <v>6000</v>
      </c>
      <c r="W439" s="733" t="str">
        <f>IMSUM(COMPLEX(1,0),IMDIV(COMPLEX(0,2*PI()*D439),COMPLEX(2*PI()*'Stability Calculations'!EA_Pole1,0)))</f>
        <v>1+286766.99644602i</v>
      </c>
      <c r="X439" s="734">
        <f t="shared" si="333"/>
        <v>286766.99644776358</v>
      </c>
      <c r="Y439" s="735">
        <f t="shared" si="334"/>
        <v>1.5707928396432635</v>
      </c>
      <c r="Z439" s="340" t="str">
        <f>IMSUM(COMPLEX(1,0),IMDIV(COMPLEX(0,2*PI()*D439),COMPLEX(2*PI()*'Stability Calculations'!EA_Zero1,0)))</f>
        <v>1+2839.27719253485i</v>
      </c>
      <c r="AA439" s="734">
        <f t="shared" si="335"/>
        <v>2839.2773686360024</v>
      </c>
      <c r="AB439" s="735">
        <f t="shared" si="336"/>
        <v>1.5704441244945082</v>
      </c>
      <c r="AC439" s="733" t="str">
        <f>IMSUM(COMPLEX(1,0),IMDIV(COMPLEX(0,2*PI()*D439),COMPLEX(2*PI()*'Stability Calculations'!EA_Pole2,0)))</f>
        <v>1+28.6013342330408i</v>
      </c>
      <c r="AD439" s="734">
        <f t="shared" si="337"/>
        <v>28.618810595657386</v>
      </c>
      <c r="AE439" s="735">
        <f t="shared" si="338"/>
        <v>1.5358471593680776</v>
      </c>
      <c r="AF439" s="732" t="str">
        <f t="shared" si="339"/>
        <v>0.071808100668864-2.0745232401461i</v>
      </c>
      <c r="AG439" s="337">
        <f t="shared" si="340"/>
        <v>2.075765660479993</v>
      </c>
      <c r="AH439" s="730">
        <f t="shared" si="341"/>
        <v>-1.5361958745168327</v>
      </c>
      <c r="AI439" s="731" t="str">
        <f t="shared" si="319"/>
        <v>10000</v>
      </c>
      <c r="AJ439" s="733" t="str">
        <f t="shared" si="342"/>
        <v>1+267345.772593644i</v>
      </c>
      <c r="AK439" s="734">
        <f t="shared" si="343"/>
        <v>267345.77259551425</v>
      </c>
      <c r="AL439" s="735">
        <f t="shared" si="344"/>
        <v>1.5707925863205652</v>
      </c>
      <c r="AM439" s="340" t="str">
        <f t="shared" si="345"/>
        <v>1+453.716495367069i</v>
      </c>
      <c r="AN439" s="734">
        <f t="shared" si="346"/>
        <v>453.71759737547711</v>
      </c>
      <c r="AO439" s="735">
        <f t="shared" si="347"/>
        <v>1.5685923108708961</v>
      </c>
      <c r="AP439" s="733" t="str">
        <f t="shared" si="348"/>
        <v>1+22.0059979001606i</v>
      </c>
      <c r="AQ439" s="734">
        <f t="shared" si="349"/>
        <v>22.028707260796597</v>
      </c>
      <c r="AR439" s="735">
        <f t="shared" si="350"/>
        <v>1.5253854108140563</v>
      </c>
      <c r="AS439" s="732" t="str">
        <f t="shared" si="351"/>
        <v>0.00134133285399948-5.17944546074344i</v>
      </c>
      <c r="AT439" s="337">
        <f t="shared" si="352"/>
        <v>5.1794456344274575</v>
      </c>
      <c r="AU439" s="730">
        <f t="shared" si="353"/>
        <v>-1.5705373545102805</v>
      </c>
      <c r="AV439" s="732" t="str">
        <f t="shared" si="354"/>
        <v>-0.160259375395737+0.0448685047334887i</v>
      </c>
      <c r="AW439" s="337">
        <f t="shared" si="355"/>
        <v>-15.575790274250657</v>
      </c>
      <c r="AX439" s="730">
        <f t="shared" si="356"/>
        <v>164.35911956951105</v>
      </c>
      <c r="AY439" s="360">
        <f t="shared" si="357"/>
        <v>-15.640880430488949</v>
      </c>
      <c r="BB439" s="337">
        <f t="shared" si="358"/>
        <v>-25.714334422056851</v>
      </c>
      <c r="BC439" s="730">
        <f t="shared" si="359"/>
        <v>-89.985161981080637</v>
      </c>
      <c r="BD439" s="351"/>
      <c r="BE439" s="337">
        <f t="shared" si="320"/>
        <v>30.379902467171686</v>
      </c>
      <c r="BF439" s="730">
        <f t="shared" si="321"/>
        <v>-89.587717941154096</v>
      </c>
      <c r="BI439" s="351"/>
      <c r="BJ439" s="351"/>
      <c r="BL439" s="405">
        <f t="shared" si="322"/>
        <v>0</v>
      </c>
      <c r="BM439" s="405">
        <f t="shared" si="360"/>
        <v>0</v>
      </c>
      <c r="BN439" s="405">
        <f t="shared" si="323"/>
        <v>0</v>
      </c>
      <c r="BO439" s="405">
        <f t="shared" si="324"/>
        <v>0</v>
      </c>
    </row>
    <row r="440" spans="4:67" ht="13.5" thickBot="1" x14ac:dyDescent="0.25">
      <c r="D440" s="345">
        <v>45448.75</v>
      </c>
      <c r="E440" s="340" t="str">
        <f t="shared" si="311"/>
        <v>0.753886104126351i</v>
      </c>
      <c r="F440" s="728" t="str">
        <f t="shared" si="325"/>
        <v>0.005-0.0574074628617065i</v>
      </c>
      <c r="G440" s="337" t="str">
        <f t="shared" si="326"/>
        <v>0.005-0.0897911598606177i</v>
      </c>
      <c r="H440" s="338" t="str">
        <f t="shared" si="327"/>
        <v>0.0114900074202762-0.0885791624043747i</v>
      </c>
      <c r="I440" s="338" t="str">
        <f t="shared" si="328"/>
        <v>0.0214900074202762-0.0885791624043747i</v>
      </c>
      <c r="J440" s="337" t="str">
        <f t="shared" si="329"/>
        <v>0.00512862129439803-0.0350272646262843i</v>
      </c>
      <c r="K440" s="338" t="str">
        <f t="shared" si="312"/>
        <v>0.977049012482639-0.237969098524732i</v>
      </c>
      <c r="L440" s="732"/>
      <c r="M440" s="732" t="str">
        <f t="shared" si="313"/>
        <v>0.23420884615093-32.8281402895959i</v>
      </c>
      <c r="N440" s="337">
        <f t="shared" si="314"/>
        <v>0</v>
      </c>
      <c r="O440" s="730" t="str">
        <f t="shared" si="315"/>
        <v>-1.08869531110701-12.7036956297418i</v>
      </c>
      <c r="P440" s="731" t="str">
        <f t="shared" si="316"/>
        <v>-1.14867878863676-0.176566794576653i</v>
      </c>
      <c r="Q440" s="729" t="str">
        <f t="shared" si="317"/>
        <v>-1.13779183552569-0.0495298382792348i</v>
      </c>
      <c r="R440" s="730"/>
      <c r="S440" s="405" t="str">
        <f t="shared" si="330"/>
        <v>38.917413150101-8.56948645410882i</v>
      </c>
      <c r="T440" s="405" t="str">
        <f t="shared" si="331"/>
        <v>14.7422856057422-4.71199785214441i</v>
      </c>
      <c r="U440" s="405" t="str">
        <f t="shared" si="332"/>
        <v>-0.247995851992358-1.36000020116819i</v>
      </c>
      <c r="V440" s="731" t="str">
        <f t="shared" si="318"/>
        <v>6000</v>
      </c>
      <c r="W440" s="733" t="str">
        <f>IMSUM(COMPLEX(1,0),IMDIV(COMPLEX(0,2*PI()*D440),COMPLEX(2*PI()*'Stability Calculations'!EA_Pole1,0)))</f>
        <v>1+288418.547411975i</v>
      </c>
      <c r="X440" s="734">
        <f t="shared" si="333"/>
        <v>288418.54741370858</v>
      </c>
      <c r="Y440" s="735">
        <f t="shared" si="334"/>
        <v>1.5707928596114962</v>
      </c>
      <c r="Z440" s="340" t="str">
        <f>IMSUM(COMPLEX(1,0),IMDIV(COMPLEX(0,2*PI()*D440),COMPLEX(2*PI()*'Stability Calculations'!EA_Zero1,0)))</f>
        <v>1+2855.62918229678i</v>
      </c>
      <c r="AA440" s="734">
        <f t="shared" si="335"/>
        <v>2855.6293573895368</v>
      </c>
      <c r="AB440" s="735">
        <f t="shared" si="336"/>
        <v>1.5704461412857547</v>
      </c>
      <c r="AC440" s="733" t="str">
        <f>IMSUM(COMPLEX(1,0),IMDIV(COMPLEX(0,2*PI()*D440),COMPLEX(2*PI()*'Stability Calculations'!EA_Pole2,0)))</f>
        <v>1+28.7660552845063i</v>
      </c>
      <c r="AD440" s="734">
        <f t="shared" si="337"/>
        <v>28.783431634036841</v>
      </c>
      <c r="AE440" s="735">
        <f t="shared" si="338"/>
        <v>1.5360471248149172</v>
      </c>
      <c r="AF440" s="732" t="str">
        <f t="shared" si="339"/>
        <v>0.0709890656078952-2.06267251498414i</v>
      </c>
      <c r="AG440" s="337">
        <f t="shared" si="340"/>
        <v>2.0638937355171363</v>
      </c>
      <c r="AH440" s="730">
        <f t="shared" si="341"/>
        <v>-1.5363938431406587</v>
      </c>
      <c r="AI440" s="731" t="str">
        <f t="shared" si="319"/>
        <v>10000</v>
      </c>
      <c r="AJ440" s="733" t="str">
        <f t="shared" si="342"/>
        <v>1+268885.472679229i</v>
      </c>
      <c r="AK440" s="734">
        <f t="shared" si="343"/>
        <v>268885.47268108855</v>
      </c>
      <c r="AL440" s="735">
        <f t="shared" si="344"/>
        <v>1.5707926077393819</v>
      </c>
      <c r="AM440" s="340" t="str">
        <f t="shared" si="345"/>
        <v>1+456.329543331025i</v>
      </c>
      <c r="AN440" s="734">
        <f t="shared" si="346"/>
        <v>456.33063902909458</v>
      </c>
      <c r="AO440" s="735">
        <f t="shared" si="347"/>
        <v>1.5686049315326873</v>
      </c>
      <c r="AP440" s="733" t="str">
        <f t="shared" si="348"/>
        <v>1+22.1327350335799i</v>
      </c>
      <c r="AQ440" s="734">
        <f t="shared" si="349"/>
        <v>22.155314488100931</v>
      </c>
      <c r="AR440" s="735">
        <f t="shared" si="350"/>
        <v>1.5256450898881935</v>
      </c>
      <c r="AS440" s="732" t="str">
        <f t="shared" si="351"/>
        <v>0.00132601527582163-5.14978676821828i</v>
      </c>
      <c r="AT440" s="337">
        <f t="shared" si="352"/>
        <v>5.1497869389356863</v>
      </c>
      <c r="AU440" s="730">
        <f t="shared" si="353"/>
        <v>-1.5705388374451046</v>
      </c>
      <c r="AV440" s="732" t="str">
        <f t="shared" si="354"/>
        <v>-0.158331434241889+0.0446221370006502i</v>
      </c>
      <c r="AW440" s="337">
        <f t="shared" si="355"/>
        <v>-15.676725579410499</v>
      </c>
      <c r="AX440" s="730">
        <f t="shared" si="356"/>
        <v>164.26070907751406</v>
      </c>
      <c r="AY440" s="360">
        <f t="shared" si="357"/>
        <v>-15.739290922485935</v>
      </c>
      <c r="BB440" s="337">
        <f t="shared" si="358"/>
        <v>-25.764214771248607</v>
      </c>
      <c r="BC440" s="730">
        <f t="shared" si="359"/>
        <v>-89.985246946987345</v>
      </c>
      <c r="BD440" s="351"/>
      <c r="BE440" s="337">
        <f t="shared" si="320"/>
        <v>30.325146662220689</v>
      </c>
      <c r="BF440" s="730">
        <f t="shared" si="321"/>
        <v>-89.591236341111767</v>
      </c>
      <c r="BI440" s="351"/>
      <c r="BJ440" s="351"/>
      <c r="BL440" s="405">
        <f t="shared" si="322"/>
        <v>0</v>
      </c>
      <c r="BM440" s="405">
        <f t="shared" si="360"/>
        <v>0</v>
      </c>
      <c r="BN440" s="405">
        <f t="shared" si="323"/>
        <v>0</v>
      </c>
      <c r="BO440" s="405">
        <f t="shared" si="324"/>
        <v>0</v>
      </c>
    </row>
    <row r="441" spans="4:67" ht="13.5" thickBot="1" x14ac:dyDescent="0.25">
      <c r="D441" s="345">
        <v>45709</v>
      </c>
      <c r="E441" s="340" t="str">
        <f t="shared" si="311"/>
        <v>0.758203029423501i</v>
      </c>
      <c r="F441" s="728" t="str">
        <f t="shared" si="325"/>
        <v>0.005-0.0570806061768139i</v>
      </c>
      <c r="G441" s="337" t="str">
        <f t="shared" si="326"/>
        <v>0.005-0.0892799224816833i</v>
      </c>
      <c r="H441" s="338" t="str">
        <f t="shared" si="327"/>
        <v>0.0114164748010463-0.0880801994822343i</v>
      </c>
      <c r="I441" s="338" t="str">
        <f t="shared" si="328"/>
        <v>0.0214164748010463-0.0880801994822343i</v>
      </c>
      <c r="J441" s="337" t="str">
        <f t="shared" si="329"/>
        <v>0.00511718062182461-0.0348287311758185i</v>
      </c>
      <c r="K441" s="338" t="str">
        <f t="shared" si="312"/>
        <v>0.976785414655556-0.239331764338226i</v>
      </c>
      <c r="L441" s="732"/>
      <c r="M441" s="732" t="str">
        <f t="shared" si="313"/>
        <v>0.230778246405258-32.6232479135571i</v>
      </c>
      <c r="N441" s="337">
        <f t="shared" si="314"/>
        <v>0</v>
      </c>
      <c r="O441" s="730" t="str">
        <f t="shared" si="315"/>
        <v>-1.0827447291899-12.623232338484i</v>
      </c>
      <c r="P441" s="731" t="str">
        <f t="shared" si="316"/>
        <v>-1.13504539769292-0.17497676554951i</v>
      </c>
      <c r="Q441" s="729" t="str">
        <f t="shared" si="317"/>
        <v>-1.12421795040102-0.0487444421646706i</v>
      </c>
      <c r="R441" s="730"/>
      <c r="S441" s="405" t="str">
        <f t="shared" si="330"/>
        <v>38.9022710736892-8.62758649321087i</v>
      </c>
      <c r="T441" s="405" t="str">
        <f t="shared" si="331"/>
        <v>14.7330055601195-4.73371981169259i</v>
      </c>
      <c r="U441" s="405" t="str">
        <f t="shared" si="332"/>
        <v>-0.248747998586108-1.35172846165359i</v>
      </c>
      <c r="V441" s="731" t="str">
        <f t="shared" si="318"/>
        <v>6000</v>
      </c>
      <c r="W441" s="733" t="str">
        <f>IMSUM(COMPLEX(1,0),IMDIV(COMPLEX(0,2*PI()*D441),COMPLEX(2*PI()*'Stability Calculations'!EA_Pole1,0)))</f>
        <v>1+290070.098377931i</v>
      </c>
      <c r="X441" s="734">
        <f t="shared" si="333"/>
        <v>290070.09837965469</v>
      </c>
      <c r="Y441" s="735">
        <f t="shared" si="334"/>
        <v>1.5707928793523454</v>
      </c>
      <c r="Z441" s="340" t="str">
        <f>IMSUM(COMPLEX(1,0),IMDIV(COMPLEX(0,2*PI()*D441),COMPLEX(2*PI()*'Stability Calculations'!EA_Zero1,0)))</f>
        <v>1+2871.98117205872i</v>
      </c>
      <c r="AA441" s="734">
        <f t="shared" si="335"/>
        <v>2871.9813461545637</v>
      </c>
      <c r="AB441" s="735">
        <f t="shared" si="336"/>
        <v>1.5704481351112893</v>
      </c>
      <c r="AC441" s="733" t="str">
        <f>IMSUM(COMPLEX(1,0),IMDIV(COMPLEX(0,2*PI()*D441),COMPLEX(2*PI()*'Stability Calculations'!EA_Pole2,0)))</f>
        <v>1+28.9307763359718i</v>
      </c>
      <c r="AD441" s="734">
        <f t="shared" si="337"/>
        <v>28.948053810265478</v>
      </c>
      <c r="AE441" s="735">
        <f t="shared" si="338"/>
        <v>1.5362448159372781</v>
      </c>
      <c r="AF441" s="732" t="str">
        <f t="shared" si="339"/>
        <v>0.0701839582632318-2.05095625562674i</v>
      </c>
      <c r="AG441" s="337">
        <f t="shared" si="340"/>
        <v>2.0521567558283538</v>
      </c>
      <c r="AH441" s="730">
        <f t="shared" si="341"/>
        <v>-1.5365895601783341</v>
      </c>
      <c r="AI441" s="731" t="str">
        <f t="shared" si="319"/>
        <v>10000</v>
      </c>
      <c r="AJ441" s="733" t="str">
        <f t="shared" si="342"/>
        <v>1+270425.172764816i</v>
      </c>
      <c r="AK441" s="734">
        <f t="shared" si="343"/>
        <v>270425.17276666494</v>
      </c>
      <c r="AL441" s="735">
        <f t="shared" si="344"/>
        <v>1.5707926289142971</v>
      </c>
      <c r="AM441" s="340" t="str">
        <f t="shared" si="345"/>
        <v>1+458.942591294983i</v>
      </c>
      <c r="AN441" s="734">
        <f t="shared" si="346"/>
        <v>458.94368075457123</v>
      </c>
      <c r="AO441" s="735">
        <f t="shared" si="347"/>
        <v>1.5686174084804814</v>
      </c>
      <c r="AP441" s="733" t="str">
        <f t="shared" si="348"/>
        <v>1+22.2594721669992i</v>
      </c>
      <c r="AQ441" s="734">
        <f t="shared" si="349"/>
        <v>22.281923192431393</v>
      </c>
      <c r="AR441" s="735">
        <f t="shared" si="350"/>
        <v>1.5259018179208264</v>
      </c>
      <c r="AS441" s="732" t="str">
        <f t="shared" si="351"/>
        <v>0.00131095858980771-5.12046580669588i</v>
      </c>
      <c r="AT441" s="337">
        <f t="shared" si="352"/>
        <v>5.1204659745138548</v>
      </c>
      <c r="AU441" s="730">
        <f t="shared" si="353"/>
        <v>-1.570540303493374</v>
      </c>
      <c r="AV441" s="732" t="str">
        <f t="shared" si="354"/>
        <v>-0.15643638529317+0.0443781061100927i</v>
      </c>
      <c r="AW441" s="337">
        <f t="shared" si="355"/>
        <v>-15.777096583043523</v>
      </c>
      <c r="AX441" s="730">
        <f t="shared" si="356"/>
        <v>164.16234246134016</v>
      </c>
      <c r="AY441" s="360">
        <f t="shared" si="357"/>
        <v>-15.83765753865984</v>
      </c>
      <c r="BB441" s="337">
        <f t="shared" si="358"/>
        <v>-25.813810308015764</v>
      </c>
      <c r="BC441" s="730">
        <f t="shared" si="359"/>
        <v>-89.98533094536576</v>
      </c>
      <c r="BD441" s="351"/>
      <c r="BE441" s="337">
        <f t="shared" si="320"/>
        <v>30.270761253679957</v>
      </c>
      <c r="BF441" s="730">
        <f t="shared" si="321"/>
        <v>-89.594693974013509</v>
      </c>
      <c r="BI441" s="351"/>
      <c r="BJ441" s="351"/>
      <c r="BL441" s="405">
        <f t="shared" si="322"/>
        <v>0</v>
      </c>
      <c r="BM441" s="405">
        <f t="shared" si="360"/>
        <v>0</v>
      </c>
      <c r="BN441" s="405">
        <f t="shared" si="323"/>
        <v>0</v>
      </c>
      <c r="BO441" s="405">
        <f t="shared" si="324"/>
        <v>0</v>
      </c>
    </row>
    <row r="442" spans="4:67" ht="13.5" thickBot="1" x14ac:dyDescent="0.25">
      <c r="D442" s="345">
        <v>45975.25</v>
      </c>
      <c r="E442" s="340" t="str">
        <f t="shared" si="311"/>
        <v>0.762619480375918i</v>
      </c>
      <c r="F442" s="728" t="str">
        <f t="shared" si="325"/>
        <v>0.005-0.0567500432892913i</v>
      </c>
      <c r="G442" s="337" t="str">
        <f t="shared" si="326"/>
        <v>0.005-0.0887628882217122i</v>
      </c>
      <c r="H442" s="338" t="str">
        <f t="shared" si="327"/>
        <v>0.0113425263837211-0.0875754858948426i</v>
      </c>
      <c r="I442" s="338" t="str">
        <f t="shared" si="328"/>
        <v>0.0213425263837211-0.0875754858948426i</v>
      </c>
      <c r="J442" s="337" t="str">
        <f t="shared" si="329"/>
        <v>0.00510567464730177-0.0346279440723303i</v>
      </c>
      <c r="K442" s="338" t="str">
        <f t="shared" si="312"/>
        <v>0.976514182082639-0.240725846078257i</v>
      </c>
      <c r="L442" s="732"/>
      <c r="M442" s="732" t="str">
        <f t="shared" si="313"/>
        <v>0.227347989399381-32.4163648316004i</v>
      </c>
      <c r="N442" s="337">
        <f t="shared" si="314"/>
        <v>0</v>
      </c>
      <c r="O442" s="730" t="str">
        <f t="shared" si="315"/>
        <v>-1.07675873929122-12.5419863849568i</v>
      </c>
      <c r="P442" s="731" t="str">
        <f t="shared" si="316"/>
        <v>-1.12135130355132-0.173380005540266i</v>
      </c>
      <c r="Q442" s="729" t="str">
        <f t="shared" si="317"/>
        <v>-1.11058371615841-0.0479601416906978i</v>
      </c>
      <c r="R442" s="730"/>
      <c r="S442" s="405" t="str">
        <f t="shared" si="330"/>
        <v>38.8866769728978-8.68694314201936i</v>
      </c>
      <c r="T442" s="405" t="str">
        <f t="shared" si="331"/>
        <v>14.7234638799127-4.75594480126488i</v>
      </c>
      <c r="U442" s="405" t="str">
        <f t="shared" si="332"/>
        <v>-0.249502899342148-1.34335893272639i</v>
      </c>
      <c r="V442" s="731" t="str">
        <f t="shared" si="318"/>
        <v>6000</v>
      </c>
      <c r="W442" s="733" t="str">
        <f>IMSUM(COMPLEX(1,0),IMDIV(COMPLEX(0,2*PI()*D442),COMPLEX(2*PI()*'Stability Calculations'!EA_Pole1,0)))</f>
        <v>1+291759.725446847i</v>
      </c>
      <c r="X442" s="734">
        <f t="shared" si="333"/>
        <v>291759.72544856078</v>
      </c>
      <c r="Y442" s="735">
        <f t="shared" si="334"/>
        <v>1.5707928993170346</v>
      </c>
      <c r="Z442" s="340" t="str">
        <f>IMSUM(COMPLEX(1,0),IMDIV(COMPLEX(0,2*PI()*D442),COMPLEX(2*PI()*'Stability Calculations'!EA_Zero1,0)))</f>
        <v>1+2888.71015293908i</v>
      </c>
      <c r="AA442" s="734">
        <f t="shared" si="335"/>
        <v>2888.7103260267072</v>
      </c>
      <c r="AB442" s="735">
        <f t="shared" si="336"/>
        <v>1.5704501515446603</v>
      </c>
      <c r="AC442" s="733" t="str">
        <f>IMSUM(COMPLEX(1,0),IMDIV(COMPLEX(0,2*PI()*D442),COMPLEX(2*PI()*'Stability Calculations'!EA_Pole2,0)))</f>
        <v>1+29.0992949909293i</v>
      </c>
      <c r="AD442" s="734">
        <f t="shared" si="337"/>
        <v>29.116472467816617</v>
      </c>
      <c r="AE442" s="735">
        <f t="shared" si="338"/>
        <v>1.5364447514118098</v>
      </c>
      <c r="AF442" s="732" t="str">
        <f t="shared" si="339"/>
        <v>0.0693743751680676-2.03910666245266i</v>
      </c>
      <c r="AG442" s="337">
        <f t="shared" si="340"/>
        <v>2.0402864467492763</v>
      </c>
      <c r="AH442" s="730">
        <f t="shared" si="341"/>
        <v>-1.5367874991841843</v>
      </c>
      <c r="AI442" s="731" t="str">
        <f t="shared" si="319"/>
        <v>10000</v>
      </c>
      <c r="AJ442" s="733" t="str">
        <f t="shared" si="342"/>
        <v>1+272000.370258714i</v>
      </c>
      <c r="AK442" s="734">
        <f t="shared" si="343"/>
        <v>272000.37026055221</v>
      </c>
      <c r="AL442" s="735">
        <f t="shared" si="344"/>
        <v>1.570792650329313</v>
      </c>
      <c r="AM442" s="340" t="str">
        <f t="shared" si="345"/>
        <v>1+461.615882439665i</v>
      </c>
      <c r="AN442" s="734">
        <f t="shared" si="346"/>
        <v>461.61696559003394</v>
      </c>
      <c r="AO442" s="735">
        <f t="shared" si="347"/>
        <v>1.56863002690411</v>
      </c>
      <c r="AP442" s="733" t="str">
        <f t="shared" si="348"/>
        <v>1+22.3891311939843i</v>
      </c>
      <c r="AQ442" s="734">
        <f t="shared" si="349"/>
        <v>22.411452331820019</v>
      </c>
      <c r="AR442" s="735">
        <f t="shared" si="350"/>
        <v>1.5261614629957549</v>
      </c>
      <c r="AS442" s="732" t="str">
        <f t="shared" si="351"/>
        <v>0.00129581861684556-5.09081237699498i</v>
      </c>
      <c r="AT442" s="337">
        <f t="shared" si="352"/>
        <v>5.0908125419142243</v>
      </c>
      <c r="AU442" s="730">
        <f t="shared" si="353"/>
        <v>-1.5705417861650524</v>
      </c>
      <c r="AV442" s="732" t="str">
        <f t="shared" si="354"/>
        <v>-0.154530909713536+0.0441308354161427i</v>
      </c>
      <c r="AW442" s="337">
        <f t="shared" si="355"/>
        <v>-15.87920443118686</v>
      </c>
      <c r="AX442" s="730">
        <f t="shared" si="356"/>
        <v>164.06175256799244</v>
      </c>
      <c r="AY442" s="360">
        <f t="shared" si="357"/>
        <v>-15.938247432007557</v>
      </c>
      <c r="BB442" s="337">
        <f t="shared" si="358"/>
        <v>-25.864257892335672</v>
      </c>
      <c r="BC442" s="730">
        <f t="shared" si="359"/>
        <v>-89.98541589619532</v>
      </c>
      <c r="BD442" s="351"/>
      <c r="BE442" s="337">
        <f t="shared" si="320"/>
        <v>30.215499842718959</v>
      </c>
      <c r="BF442" s="730">
        <f t="shared" si="321"/>
        <v>-89.598170036200585</v>
      </c>
      <c r="BI442" s="351"/>
      <c r="BJ442" s="351"/>
      <c r="BL442" s="405">
        <f t="shared" si="322"/>
        <v>0</v>
      </c>
      <c r="BM442" s="405">
        <f t="shared" si="360"/>
        <v>0</v>
      </c>
      <c r="BN442" s="405">
        <f t="shared" si="323"/>
        <v>0</v>
      </c>
      <c r="BO442" s="405">
        <f t="shared" si="324"/>
        <v>0</v>
      </c>
    </row>
    <row r="443" spans="4:67" ht="13.5" thickBot="1" x14ac:dyDescent="0.25">
      <c r="D443" s="345">
        <v>46241.5</v>
      </c>
      <c r="E443" s="340" t="str">
        <f t="shared" si="311"/>
        <v>0.767035931328334i</v>
      </c>
      <c r="F443" s="728" t="str">
        <f t="shared" si="325"/>
        <v>0.005-0.05642328704164i</v>
      </c>
      <c r="G443" s="337" t="str">
        <f t="shared" si="326"/>
        <v>0.005-0.0882518079369242i</v>
      </c>
      <c r="H443" s="338" t="str">
        <f t="shared" si="327"/>
        <v>0.0112698427877022-0.087076493033079i</v>
      </c>
      <c r="I443" s="338" t="str">
        <f t="shared" si="328"/>
        <v>0.0212698427877022-0.087076493033079i</v>
      </c>
      <c r="J443" s="337" t="str">
        <f t="shared" si="329"/>
        <v>0.00509436481617755-0.0344294667719902i</v>
      </c>
      <c r="K443" s="338" t="str">
        <f t="shared" si="312"/>
        <v>0.976241374197222-0.242119927818287i</v>
      </c>
      <c r="L443" s="732"/>
      <c r="M443" s="732" t="str">
        <f t="shared" si="313"/>
        <v>0.223995633517596-32.2121903453538i</v>
      </c>
      <c r="N443" s="337">
        <f t="shared" si="314"/>
        <v>0</v>
      </c>
      <c r="O443" s="730" t="str">
        <f t="shared" si="315"/>
        <v>-1.07087333228976-12.4618031394356i</v>
      </c>
      <c r="P443" s="731" t="str">
        <f t="shared" si="316"/>
        <v>-1.10790742167401-0.171812699368649i</v>
      </c>
      <c r="Q443" s="729" t="str">
        <f t="shared" si="317"/>
        <v>-1.09719868835111-0.0471946679742929i</v>
      </c>
      <c r="R443" s="730"/>
      <c r="S443" s="405" t="str">
        <f t="shared" si="330"/>
        <v>38.8709789658712-8.7462168291831i</v>
      </c>
      <c r="T443" s="405" t="str">
        <f t="shared" si="331"/>
        <v>14.7138739312667-4.77817152379949i</v>
      </c>
      <c r="U443" s="405" t="str">
        <f t="shared" si="332"/>
        <v>-0.250243373399536-1.33508178275144i</v>
      </c>
      <c r="V443" s="731" t="str">
        <f t="shared" si="318"/>
        <v>6000</v>
      </c>
      <c r="W443" s="733" t="str">
        <f>IMSUM(COMPLEX(1,0),IMDIV(COMPLEX(0,2*PI()*D443),COMPLEX(2*PI()*'Stability Calculations'!EA_Pole1,0)))</f>
        <v>1+293449.352515764i</v>
      </c>
      <c r="X443" s="734">
        <f t="shared" si="333"/>
        <v>293449.35251746792</v>
      </c>
      <c r="Y443" s="735">
        <f t="shared" si="334"/>
        <v>1.5707929190518179</v>
      </c>
      <c r="Z443" s="340" t="str">
        <f>IMSUM(COMPLEX(1,0),IMDIV(COMPLEX(0,2*PI()*D443),COMPLEX(2*PI()*'Stability Calculations'!EA_Zero1,0)))</f>
        <v>1+2905.43913381945i</v>
      </c>
      <c r="AA443" s="734">
        <f t="shared" si="335"/>
        <v>2905.4393059104705</v>
      </c>
      <c r="AB443" s="735">
        <f t="shared" si="336"/>
        <v>1.5704521447575335</v>
      </c>
      <c r="AC443" s="733" t="str">
        <f>IMSUM(COMPLEX(1,0),IMDIV(COMPLEX(0,2*PI()*D443),COMPLEX(2*PI()*'Stability Calculations'!EA_Pole2,0)))</f>
        <v>1+29.2678136458868i</v>
      </c>
      <c r="AD443" s="734">
        <f t="shared" si="337"/>
        <v>29.284892275887877</v>
      </c>
      <c r="AE443" s="735">
        <f t="shared" si="338"/>
        <v>1.5366423872036685</v>
      </c>
      <c r="AF443" s="732" t="str">
        <f t="shared" si="339"/>
        <v>0.0685787143214436-2.0273930491239i</v>
      </c>
      <c r="AG443" s="337">
        <f t="shared" si="340"/>
        <v>2.028552591305901</v>
      </c>
      <c r="AH443" s="730">
        <f t="shared" si="341"/>
        <v>-1.536983161497953</v>
      </c>
      <c r="AI443" s="731" t="str">
        <f t="shared" si="319"/>
        <v>10000</v>
      </c>
      <c r="AJ443" s="733" t="str">
        <f t="shared" si="342"/>
        <v>1+273575.567752614i</v>
      </c>
      <c r="AK443" s="734">
        <f t="shared" si="343"/>
        <v>273575.56775444158</v>
      </c>
      <c r="AL443" s="735">
        <f t="shared" si="344"/>
        <v>1.5707926714977214</v>
      </c>
      <c r="AM443" s="340" t="str">
        <f t="shared" si="345"/>
        <v>1+464.289173584348i</v>
      </c>
      <c r="AN443" s="734">
        <f t="shared" si="346"/>
        <v>464.29025049815215</v>
      </c>
      <c r="AO443" s="735">
        <f t="shared" si="347"/>
        <v>1.56864250001932</v>
      </c>
      <c r="AP443" s="733" t="str">
        <f t="shared" si="348"/>
        <v>1+22.5187902209694i</v>
      </c>
      <c r="AQ443" s="734">
        <f t="shared" si="349"/>
        <v>22.540982964725099</v>
      </c>
      <c r="AR443" s="735">
        <f t="shared" si="350"/>
        <v>1.5264181240129082</v>
      </c>
      <c r="AS443" s="732" t="str">
        <f t="shared" si="351"/>
        <v>0.00128093940972985-5.06150042514977i</v>
      </c>
      <c r="AT443" s="337">
        <f t="shared" si="352"/>
        <v>5.0615005872366616</v>
      </c>
      <c r="AU443" s="730">
        <f t="shared" si="353"/>
        <v>-1.5705432517628333</v>
      </c>
      <c r="AV443" s="732" t="str">
        <f t="shared" si="354"/>
        <v>-0.152658308930648+0.043885946035847i</v>
      </c>
      <c r="AW443" s="337">
        <f t="shared" si="355"/>
        <v>-15.980735310210164</v>
      </c>
      <c r="AX443" s="730">
        <f t="shared" si="356"/>
        <v>163.96120686362684</v>
      </c>
      <c r="AY443" s="360">
        <f t="shared" si="357"/>
        <v>-16.038793136373158</v>
      </c>
      <c r="BB443" s="337">
        <f t="shared" si="358"/>
        <v>-25.91441416856998</v>
      </c>
      <c r="BC443" s="730">
        <f t="shared" si="359"/>
        <v>-89.985499868762631</v>
      </c>
      <c r="BD443" s="351"/>
      <c r="BE443" s="337">
        <f t="shared" si="320"/>
        <v>30.160615131098261</v>
      </c>
      <c r="BF443" s="730">
        <f t="shared" si="321"/>
        <v>-89.601585690482537</v>
      </c>
      <c r="BI443" s="351"/>
      <c r="BJ443" s="351"/>
      <c r="BL443" s="405">
        <f t="shared" si="322"/>
        <v>0</v>
      </c>
      <c r="BM443" s="405">
        <f t="shared" si="360"/>
        <v>0</v>
      </c>
      <c r="BN443" s="405">
        <f t="shared" si="323"/>
        <v>0</v>
      </c>
      <c r="BO443" s="405">
        <f t="shared" si="324"/>
        <v>0</v>
      </c>
    </row>
    <row r="444" spans="4:67" ht="13.5" thickBot="1" x14ac:dyDescent="0.25">
      <c r="D444" s="345">
        <v>46507.75</v>
      </c>
      <c r="E444" s="340" t="str">
        <f t="shared" si="311"/>
        <v>0.771452382280751i</v>
      </c>
      <c r="F444" s="728" t="str">
        <f t="shared" si="325"/>
        <v>0.005-0.0561002720565064i</v>
      </c>
      <c r="G444" s="337" t="str">
        <f t="shared" si="326"/>
        <v>0.005-0.087746579370433i</v>
      </c>
      <c r="H444" s="338" t="str">
        <f t="shared" si="327"/>
        <v>0.0111983953810497-0.086583124702512i</v>
      </c>
      <c r="I444" s="338" t="str">
        <f t="shared" si="328"/>
        <v>0.0211983953810497-0.086583124702512i</v>
      </c>
      <c r="J444" s="337" t="str">
        <f t="shared" si="329"/>
        <v>0.00508324664632598-0.0342332597262001i</v>
      </c>
      <c r="K444" s="338" t="str">
        <f t="shared" si="312"/>
        <v>0.975966990999306-0.243514009558318i</v>
      </c>
      <c r="L444" s="732"/>
      <c r="M444" s="732" t="str">
        <f t="shared" si="313"/>
        <v>0.220718814558815-32.010669975642i</v>
      </c>
      <c r="N444" s="337">
        <f t="shared" si="314"/>
        <v>0</v>
      </c>
      <c r="O444" s="730" t="str">
        <f t="shared" si="315"/>
        <v>-1.06508619907178-12.382661129785i</v>
      </c>
      <c r="P444" s="731" t="str">
        <f t="shared" si="316"/>
        <v>-1.09470761111194-0.170274055305581i</v>
      </c>
      <c r="Q444" s="729" t="str">
        <f t="shared" si="317"/>
        <v>-1.08405674912122-0.0464474440077311i</v>
      </c>
      <c r="R444" s="730"/>
      <c r="S444" s="405" t="str">
        <f t="shared" si="330"/>
        <v>38.8551772425122-8.80540839281184i</v>
      </c>
      <c r="T444" s="405" t="str">
        <f t="shared" si="331"/>
        <v>14.7042356769208-4.80039945635542i</v>
      </c>
      <c r="U444" s="405" t="str">
        <f t="shared" si="332"/>
        <v>-0.250969739865195-1.32689544236919i</v>
      </c>
      <c r="V444" s="731" t="str">
        <f t="shared" si="318"/>
        <v>6000</v>
      </c>
      <c r="W444" s="733" t="str">
        <f>IMSUM(COMPLEX(1,0),IMDIV(COMPLEX(0,2*PI()*D444),COMPLEX(2*PI()*'Stability Calculations'!EA_Pole1,0)))</f>
        <v>1+295138.979584681i</v>
      </c>
      <c r="X444" s="734">
        <f t="shared" si="333"/>
        <v>295138.97958637512</v>
      </c>
      <c r="Y444" s="735">
        <f t="shared" si="334"/>
        <v>1.5707929385606436</v>
      </c>
      <c r="Z444" s="340" t="str">
        <f>IMSUM(COMPLEX(1,0),IMDIV(COMPLEX(0,2*PI()*D444),COMPLEX(2*PI()*'Stability Calculations'!EA_Zero1,0)))</f>
        <v>1+2922.16811469981i</v>
      </c>
      <c r="AA444" s="734">
        <f t="shared" si="335"/>
        <v>2922.1682858056347</v>
      </c>
      <c r="AB444" s="735">
        <f t="shared" si="336"/>
        <v>1.5704541151487106</v>
      </c>
      <c r="AC444" s="733" t="str">
        <f>IMSUM(COMPLEX(1,0),IMDIV(COMPLEX(0,2*PI()*D444),COMPLEX(2*PI()*'Stability Calculations'!EA_Pole2,0)))</f>
        <v>1+29.4363323008443i</v>
      </c>
      <c r="AD444" s="734">
        <f t="shared" si="337"/>
        <v>29.453313214742568</v>
      </c>
      <c r="AE444" s="735">
        <f t="shared" si="338"/>
        <v>1.5368377627476526</v>
      </c>
      <c r="AF444" s="732" t="str">
        <f t="shared" si="339"/>
        <v>0.0677966584408236-2.01581309102545i</v>
      </c>
      <c r="AG444" s="337">
        <f t="shared" si="340"/>
        <v>2.0169528514185253</v>
      </c>
      <c r="AH444" s="730">
        <f t="shared" si="341"/>
        <v>-1.5371765861595856</v>
      </c>
      <c r="AI444" s="731" t="str">
        <f t="shared" si="319"/>
        <v>10000</v>
      </c>
      <c r="AJ444" s="733" t="str">
        <f t="shared" si="342"/>
        <v>1+275150.765246512i</v>
      </c>
      <c r="AK444" s="734">
        <f t="shared" si="343"/>
        <v>275150.7652483292</v>
      </c>
      <c r="AL444" s="735">
        <f t="shared" si="344"/>
        <v>1.5707926924237579</v>
      </c>
      <c r="AM444" s="340" t="str">
        <f t="shared" si="345"/>
        <v>1+466.96246472903i</v>
      </c>
      <c r="AN444" s="734">
        <f t="shared" si="346"/>
        <v>466.9635354776758</v>
      </c>
      <c r="AO444" s="735">
        <f t="shared" si="347"/>
        <v>1.5686548303217041</v>
      </c>
      <c r="AP444" s="733" t="str">
        <f t="shared" si="348"/>
        <v>1+22.6484492479545i</v>
      </c>
      <c r="AQ444" s="734">
        <f t="shared" si="349"/>
        <v>22.670515065546496</v>
      </c>
      <c r="AR444" s="735">
        <f t="shared" si="350"/>
        <v>1.5266718520880449</v>
      </c>
      <c r="AS444" s="732" t="str">
        <f t="shared" si="351"/>
        <v>0.00126631501420305-5.03252408643091i</v>
      </c>
      <c r="AT444" s="337">
        <f t="shared" si="352"/>
        <v>5.0325242457499373</v>
      </c>
      <c r="AU444" s="730">
        <f t="shared" si="353"/>
        <v>-1.5705447005799538</v>
      </c>
      <c r="AV444" s="732" t="str">
        <f t="shared" si="354"/>
        <v>-0.150817831584229+0.0436434060484392i</v>
      </c>
      <c r="AW444" s="337">
        <f t="shared" si="355"/>
        <v>-16.081695946985381</v>
      </c>
      <c r="AX444" s="730">
        <f t="shared" si="356"/>
        <v>163.86070450230022</v>
      </c>
      <c r="AY444" s="360">
        <f t="shared" si="357"/>
        <v>-16.139295497699777</v>
      </c>
      <c r="BB444" s="337">
        <f t="shared" si="358"/>
        <v>-25.964282481711969</v>
      </c>
      <c r="BC444" s="730">
        <f t="shared" si="359"/>
        <v>-89.985582879868929</v>
      </c>
      <c r="BD444" s="351"/>
      <c r="BE444" s="337">
        <f t="shared" si="320"/>
        <v>30.106101751324424</v>
      </c>
      <c r="BF444" s="730">
        <f t="shared" si="321"/>
        <v>-89.604942472811956</v>
      </c>
      <c r="BI444" s="351"/>
      <c r="BJ444" s="351"/>
      <c r="BL444" s="405">
        <f t="shared" si="322"/>
        <v>0</v>
      </c>
      <c r="BM444" s="405">
        <f t="shared" si="360"/>
        <v>0</v>
      </c>
      <c r="BN444" s="405">
        <f t="shared" si="323"/>
        <v>0</v>
      </c>
      <c r="BO444" s="405">
        <f t="shared" si="324"/>
        <v>0</v>
      </c>
    </row>
    <row r="445" spans="4:67" ht="13.5" thickBot="1" x14ac:dyDescent="0.25">
      <c r="D445" s="345">
        <v>46774</v>
      </c>
      <c r="E445" s="340" t="str">
        <f t="shared" si="311"/>
        <v>0.775868833233167i</v>
      </c>
      <c r="F445" s="728" t="str">
        <f t="shared" si="325"/>
        <v>0.005-0.0557809344451188i</v>
      </c>
      <c r="G445" s="337" t="str">
        <f t="shared" si="326"/>
        <v>0.005-0.0872471025936474i</v>
      </c>
      <c r="H445" s="338" t="str">
        <f t="shared" si="327"/>
        <v>0.011128156336065-0.0860952868415334i</v>
      </c>
      <c r="I445" s="338" t="str">
        <f t="shared" si="328"/>
        <v>0.021128156336065-0.0860952868415334i</v>
      </c>
      <c r="J445" s="337" t="str">
        <f t="shared" si="329"/>
        <v>0.00507231578264474-0.0340392842832933i</v>
      </c>
      <c r="K445" s="338" t="str">
        <f t="shared" si="312"/>
        <v>0.975691032488889-0.244908091298348i</v>
      </c>
      <c r="L445" s="732"/>
      <c r="M445" s="732" t="str">
        <f t="shared" si="313"/>
        <v>0.217515257406615-31.8117507280928i</v>
      </c>
      <c r="N445" s="337">
        <f t="shared" si="314"/>
        <v>0</v>
      </c>
      <c r="O445" s="730" t="str">
        <f t="shared" si="315"/>
        <v>-1.05939509562528-12.3045394721494i</v>
      </c>
      <c r="P445" s="731" t="str">
        <f t="shared" si="316"/>
        <v>-1.0817459205097-0.168763308974483i</v>
      </c>
      <c r="Q445" s="729" t="str">
        <f t="shared" si="317"/>
        <v>-1.07115196955345-0.0457179142529892i</v>
      </c>
      <c r="R445" s="730"/>
      <c r="S445" s="405" t="str">
        <f t="shared" si="330"/>
        <v>38.8392719870841-8.86451864793186i</v>
      </c>
      <c r="T445" s="405" t="str">
        <f t="shared" si="331"/>
        <v>14.6945490821995-4.82262808492532i</v>
      </c>
      <c r="U445" s="405" t="str">
        <f t="shared" si="332"/>
        <v>-0.251682308826984-1.3187983775187i</v>
      </c>
      <c r="V445" s="731" t="str">
        <f t="shared" si="318"/>
        <v>6000</v>
      </c>
      <c r="W445" s="733" t="str">
        <f>IMSUM(COMPLEX(1,0),IMDIV(COMPLEX(0,2*PI()*D445),COMPLEX(2*PI()*'Stability Calculations'!EA_Pole1,0)))</f>
        <v>1+296828.606653598i</v>
      </c>
      <c r="X445" s="734">
        <f t="shared" si="333"/>
        <v>296828.60665528255</v>
      </c>
      <c r="Y445" s="735">
        <f t="shared" si="334"/>
        <v>1.5707929578473707</v>
      </c>
      <c r="Z445" s="340" t="str">
        <f>IMSUM(COMPLEX(1,0),IMDIV(COMPLEX(0,2*PI()*D445),COMPLEX(2*PI()*'Stability Calculations'!EA_Zero1,0)))</f>
        <v>1+2938.89709558018i</v>
      </c>
      <c r="AA445" s="734">
        <f t="shared" si="335"/>
        <v>2938.8972657120248</v>
      </c>
      <c r="AB445" s="735">
        <f t="shared" si="336"/>
        <v>1.5704560631079132</v>
      </c>
      <c r="AC445" s="733" t="str">
        <f>IMSUM(COMPLEX(1,0),IMDIV(COMPLEX(0,2*PI()*D445),COMPLEX(2*PI()*'Stability Calculations'!EA_Pole2,0)))</f>
        <v>1+29.6048509558018i</v>
      </c>
      <c r="AD445" s="734">
        <f t="shared" si="337"/>
        <v>29.621735265092742</v>
      </c>
      <c r="AE445" s="735">
        <f t="shared" si="338"/>
        <v>1.5370309165823919</v>
      </c>
      <c r="AF445" s="732" t="str">
        <f t="shared" si="339"/>
        <v>0.067027899227466-2.00436451616818i</v>
      </c>
      <c r="AG445" s="337">
        <f t="shared" si="340"/>
        <v>2.0054849420898053</v>
      </c>
      <c r="AH445" s="730">
        <f t="shared" si="341"/>
        <v>-1.5373678113218494</v>
      </c>
      <c r="AI445" s="731" t="str">
        <f t="shared" si="319"/>
        <v>10000</v>
      </c>
      <c r="AJ445" s="733" t="str">
        <f t="shared" si="342"/>
        <v>1+276725.962740412i</v>
      </c>
      <c r="AK445" s="734">
        <f t="shared" si="343"/>
        <v>276725.96274221886</v>
      </c>
      <c r="AL445" s="735">
        <f t="shared" si="344"/>
        <v>1.5707927131115613</v>
      </c>
      <c r="AM445" s="340" t="str">
        <f t="shared" si="345"/>
        <v>1+469.635755873713i</v>
      </c>
      <c r="AN445" s="734">
        <f t="shared" si="346"/>
        <v>469.63682052738773</v>
      </c>
      <c r="AO445" s="735">
        <f t="shared" si="347"/>
        <v>1.5686670202500326</v>
      </c>
      <c r="AP445" s="733" t="str">
        <f t="shared" si="348"/>
        <v>1+22.7781082749397i</v>
      </c>
      <c r="AQ445" s="734">
        <f t="shared" si="349"/>
        <v>22.800048609265648</v>
      </c>
      <c r="AR445" s="735">
        <f t="shared" si="350"/>
        <v>1.5269226971768408</v>
      </c>
      <c r="AS445" s="732" t="str">
        <f t="shared" si="351"/>
        <v>0.00125193964498988-5.0038776296433i</v>
      </c>
      <c r="AT445" s="337">
        <f t="shared" si="352"/>
        <v>5.003877786257128</v>
      </c>
      <c r="AU445" s="730">
        <f t="shared" si="353"/>
        <v>-1.5705461329029735</v>
      </c>
      <c r="AV445" s="732" t="str">
        <f t="shared" si="354"/>
        <v>-0.149008747666943+0.0434031840033935i</v>
      </c>
      <c r="AW445" s="337">
        <f t="shared" si="355"/>
        <v>-16.182092953001487</v>
      </c>
      <c r="AX445" s="730">
        <f t="shared" si="356"/>
        <v>163.76024465783391</v>
      </c>
      <c r="AY445" s="360">
        <f t="shared" si="357"/>
        <v>-16.239755342166092</v>
      </c>
      <c r="BB445" s="337">
        <f t="shared" si="358"/>
        <v>-26.013866119469654</v>
      </c>
      <c r="BC445" s="730">
        <f t="shared" si="359"/>
        <v>-89.985664945932854</v>
      </c>
      <c r="BD445" s="351"/>
      <c r="BE445" s="337">
        <f t="shared" si="320"/>
        <v>30.051954453141214</v>
      </c>
      <c r="BF445" s="730">
        <f t="shared" si="321"/>
        <v>-89.608241868848523</v>
      </c>
      <c r="BI445" s="351"/>
      <c r="BJ445" s="351"/>
      <c r="BL445" s="405">
        <f t="shared" si="322"/>
        <v>0</v>
      </c>
      <c r="BM445" s="405">
        <f t="shared" si="360"/>
        <v>0</v>
      </c>
      <c r="BN445" s="405">
        <f t="shared" si="323"/>
        <v>0</v>
      </c>
      <c r="BO445" s="405">
        <f t="shared" si="324"/>
        <v>0</v>
      </c>
    </row>
    <row r="446" spans="4:67" ht="13.5" thickBot="1" x14ac:dyDescent="0.25">
      <c r="D446" s="345">
        <v>47046.25</v>
      </c>
      <c r="E446" s="340" t="str">
        <f t="shared" si="311"/>
        <v>0.78038480984085i</v>
      </c>
      <c r="F446" s="728" t="str">
        <f t="shared" si="325"/>
        <v>0.005-0.0554581380606527i</v>
      </c>
      <c r="G446" s="337" t="str">
        <f t="shared" si="326"/>
        <v>0.005-0.0867422159410212i</v>
      </c>
      <c r="H446" s="338" t="str">
        <f t="shared" si="327"/>
        <v>0.011057555776591-0.0856020784479859i</v>
      </c>
      <c r="I446" s="338" t="str">
        <f t="shared" si="328"/>
        <v>0.021057555776591-0.0856020784479859i</v>
      </c>
      <c r="J446" s="337" t="str">
        <f t="shared" si="329"/>
        <v>0.00506132786616053-0.0338432058116684i</v>
      </c>
      <c r="K446" s="338" t="str">
        <f t="shared" si="312"/>
        <v>0.975407226232639-0.246333588964915i</v>
      </c>
      <c r="L446" s="732"/>
      <c r="M446" s="732" t="str">
        <f t="shared" si="313"/>
        <v>0.214312983150753-31.6109847922204i</v>
      </c>
      <c r="N446" s="337">
        <f t="shared" si="314"/>
        <v>0</v>
      </c>
      <c r="O446" s="730" t="str">
        <f t="shared" si="315"/>
        <v>-1.05367277025279-12.2256912659542i</v>
      </c>
      <c r="P446" s="731" t="str">
        <f t="shared" si="316"/>
        <v>-1.06873235595893-0.167246596602526i</v>
      </c>
      <c r="Q446" s="729" t="str">
        <f t="shared" si="317"/>
        <v>-1.0581956282564-0.0449896839429856i</v>
      </c>
      <c r="R446" s="730"/>
      <c r="S446" s="405" t="str">
        <f t="shared" si="330"/>
        <v>38.8229014316002-8.92487771311976i</v>
      </c>
      <c r="T446" s="405" t="str">
        <f t="shared" si="331"/>
        <v>14.6845941778329-4.84535783364734i</v>
      </c>
      <c r="U446" s="405" t="str">
        <f t="shared" si="332"/>
        <v>-0.252396982206447-1.31060959729077i</v>
      </c>
      <c r="V446" s="731" t="str">
        <f t="shared" si="318"/>
        <v>6000</v>
      </c>
      <c r="W446" s="733" t="str">
        <f>IMSUM(COMPLEX(1,0),IMDIV(COMPLEX(0,2*PI()*D446),COMPLEX(2*PI()*'Stability Calculations'!EA_Pole1,0)))</f>
        <v>1+298556.309825477i</v>
      </c>
      <c r="X446" s="734">
        <f t="shared" si="333"/>
        <v>298556.30982715171</v>
      </c>
      <c r="Y446" s="735">
        <f t="shared" si="334"/>
        <v>1.5707929773429941</v>
      </c>
      <c r="Z446" s="340" t="str">
        <f>IMSUM(COMPLEX(1,0),IMDIV(COMPLEX(0,2*PI()*D446),COMPLEX(2*PI()*'Stability Calculations'!EA_Zero1,0)))</f>
        <v>1+2956.00306757898i</v>
      </c>
      <c r="AA446" s="734">
        <f t="shared" si="335"/>
        <v>2956.0032367262961</v>
      </c>
      <c r="AB446" s="735">
        <f t="shared" si="336"/>
        <v>1.5704580321656318</v>
      </c>
      <c r="AC446" s="733" t="str">
        <f>IMSUM(COMPLEX(1,0),IMDIV(COMPLEX(0,2*PI()*D446),COMPLEX(2*PI()*'Stability Calculations'!EA_Pole2,0)))</f>
        <v>1+29.7771672142513i</v>
      </c>
      <c r="AD446" s="734">
        <f t="shared" si="337"/>
        <v>29.793953871641179</v>
      </c>
      <c r="AE446" s="735">
        <f t="shared" si="338"/>
        <v>1.5372261650443964</v>
      </c>
      <c r="AF446" s="732" t="str">
        <f t="shared" si="339"/>
        <v>0.0662552532710238-1.99279148954891i</v>
      </c>
      <c r="AG446" s="337">
        <f t="shared" si="340"/>
        <v>1.9938925947514252</v>
      </c>
      <c r="AH446" s="730">
        <f t="shared" si="341"/>
        <v>-1.5375611102217583</v>
      </c>
      <c r="AI446" s="731" t="str">
        <f t="shared" si="319"/>
        <v>10000</v>
      </c>
      <c r="AJ446" s="733" t="str">
        <f t="shared" si="342"/>
        <v>1+278336.657642624i</v>
      </c>
      <c r="AK446" s="734">
        <f t="shared" si="343"/>
        <v>278336.65764442034</v>
      </c>
      <c r="AL446" s="735">
        <f t="shared" si="344"/>
        <v>1.570792734023436</v>
      </c>
      <c r="AM446" s="340" t="str">
        <f t="shared" si="345"/>
        <v>1+472.369290199121i</v>
      </c>
      <c r="AN446" s="734">
        <f t="shared" si="346"/>
        <v>472.37034869180917</v>
      </c>
      <c r="AO446" s="735">
        <f t="shared" si="347"/>
        <v>1.5686793422091641</v>
      </c>
      <c r="AP446" s="733" t="str">
        <f t="shared" si="348"/>
        <v>1+22.9106891954907i</v>
      </c>
      <c r="AQ446" s="734">
        <f t="shared" si="349"/>
        <v>22.932502685323602</v>
      </c>
      <c r="AR446" s="735">
        <f t="shared" si="350"/>
        <v>1.527176264805306</v>
      </c>
      <c r="AS446" s="732" t="str">
        <f t="shared" si="351"/>
        <v>0.00123749197491118-4.97492090056085i</v>
      </c>
      <c r="AT446" s="337">
        <f t="shared" si="352"/>
        <v>4.9749210544714737</v>
      </c>
      <c r="AU446" s="730">
        <f t="shared" si="353"/>
        <v>-1.5705475807396079</v>
      </c>
      <c r="AV446" s="732" t="str">
        <f t="shared" si="354"/>
        <v>-0.147190619318115+0.0431599131096926i</v>
      </c>
      <c r="AW446" s="337">
        <f t="shared" si="355"/>
        <v>-16.284176370466799</v>
      </c>
      <c r="AX446" s="730">
        <f t="shared" si="356"/>
        <v>163.65756405376976</v>
      </c>
      <c r="AY446" s="360">
        <f t="shared" si="357"/>
        <v>-16.342435946230239</v>
      </c>
      <c r="BB446" s="337">
        <f t="shared" si="358"/>
        <v>-26.064276131046299</v>
      </c>
      <c r="BC446" s="730">
        <f t="shared" si="359"/>
        <v>-89.985747900861426</v>
      </c>
      <c r="BD446" s="351"/>
      <c r="BE446" s="337">
        <f t="shared" si="320"/>
        <v>29.996960132657094</v>
      </c>
      <c r="BF446" s="730">
        <f t="shared" si="321"/>
        <v>-89.611557773989418</v>
      </c>
      <c r="BI446" s="351"/>
      <c r="BJ446" s="351"/>
      <c r="BL446" s="405">
        <f t="shared" si="322"/>
        <v>0</v>
      </c>
      <c r="BM446" s="405">
        <f t="shared" si="360"/>
        <v>0</v>
      </c>
      <c r="BN446" s="405">
        <f t="shared" si="323"/>
        <v>0</v>
      </c>
      <c r="BO446" s="405">
        <f t="shared" si="324"/>
        <v>0</v>
      </c>
    </row>
    <row r="447" spans="4:67" ht="13.5" thickBot="1" x14ac:dyDescent="0.25">
      <c r="D447" s="345">
        <v>47318.5</v>
      </c>
      <c r="E447" s="340" t="str">
        <f t="shared" si="311"/>
        <v>0.784900786448532i</v>
      </c>
      <c r="F447" s="728" t="str">
        <f t="shared" si="325"/>
        <v>0.005-0.0551390561352535i</v>
      </c>
      <c r="G447" s="337" t="str">
        <f t="shared" si="326"/>
        <v>0.005-0.0862431390833452i</v>
      </c>
      <c r="H447" s="338" t="str">
        <f t="shared" si="327"/>
        <v>0.0109881622650309-0.085114460255042i</v>
      </c>
      <c r="I447" s="338" t="str">
        <f t="shared" si="328"/>
        <v>0.0209881622650309-0.085114460255042i</v>
      </c>
      <c r="J447" s="337" t="str">
        <f t="shared" si="329"/>
        <v>0.00505052697131479-0.0336493816805324i</v>
      </c>
      <c r="K447" s="338" t="str">
        <f t="shared" si="312"/>
        <v>0.975121772863889-0.247759086631481i</v>
      </c>
      <c r="L447" s="732"/>
      <c r="M447" s="732" t="str">
        <f t="shared" si="313"/>
        <v>0.211182766779399-31.4128309990026i</v>
      </c>
      <c r="N447" s="337">
        <f t="shared" si="314"/>
        <v>0</v>
      </c>
      <c r="O447" s="730" t="str">
        <f t="shared" si="315"/>
        <v>-1.04804630516521-12.1478675501168i</v>
      </c>
      <c r="P447" s="731" t="str">
        <f t="shared" si="316"/>
        <v>-1.055955755692-0.165757519729527i</v>
      </c>
      <c r="Q447" s="729" t="str">
        <f t="shared" si="317"/>
        <v>-1.04547529264035-0.0442788442283595i</v>
      </c>
      <c r="R447" s="730"/>
      <c r="S447" s="405" t="str">
        <f t="shared" si="330"/>
        <v>38.8064229976958-8.98515341626559i</v>
      </c>
      <c r="T447" s="405" t="str">
        <f t="shared" si="331"/>
        <v>14.6745886644434-4.86808725065402i</v>
      </c>
      <c r="U447" s="405" t="str">
        <f t="shared" si="332"/>
        <v>-0.25309785739638-1.30251102626937i</v>
      </c>
      <c r="V447" s="731" t="str">
        <f t="shared" si="318"/>
        <v>6000</v>
      </c>
      <c r="W447" s="733" t="str">
        <f>IMSUM(COMPLEX(1,0),IMDIV(COMPLEX(0,2*PI()*D447),COMPLEX(2*PI()*'Stability Calculations'!EA_Pole1,0)))</f>
        <v>1+300284.012997355i</v>
      </c>
      <c r="X447" s="734">
        <f t="shared" si="333"/>
        <v>300284.01299902005</v>
      </c>
      <c r="Y447" s="735">
        <f t="shared" si="334"/>
        <v>1.5707929966142786</v>
      </c>
      <c r="Z447" s="340" t="str">
        <f>IMSUM(COMPLEX(1,0),IMDIV(COMPLEX(0,2*PI()*D447),COMPLEX(2*PI()*'Stability Calculations'!EA_Zero1,0)))</f>
        <v>1+2973.10903957777i</v>
      </c>
      <c r="AA447" s="734">
        <f t="shared" si="335"/>
        <v>2973.1092077518865</v>
      </c>
      <c r="AB447" s="735">
        <f t="shared" si="336"/>
        <v>1.5704599785651552</v>
      </c>
      <c r="AC447" s="733" t="str">
        <f>IMSUM(COMPLEX(1,0),IMDIV(COMPLEX(0,2*PI()*D447),COMPLEX(2*PI()*'Stability Calculations'!EA_Pole2,0)))</f>
        <v>1+29.9494834727008i</v>
      </c>
      <c r="AD447" s="734">
        <f t="shared" si="337"/>
        <v>29.966173600938411</v>
      </c>
      <c r="AE447" s="735">
        <f t="shared" si="338"/>
        <v>1.5374191692740515</v>
      </c>
      <c r="AF447" s="732" t="str">
        <f t="shared" si="339"/>
        <v>0.0654958855119654-1.98135119186675i</v>
      </c>
      <c r="AG447" s="337">
        <f t="shared" si="340"/>
        <v>1.9824334179313028</v>
      </c>
      <c r="AH447" s="730">
        <f t="shared" si="341"/>
        <v>-1.537752187323175</v>
      </c>
      <c r="AI447" s="731" t="str">
        <f t="shared" si="319"/>
        <v>10000</v>
      </c>
      <c r="AJ447" s="733" t="str">
        <f t="shared" si="342"/>
        <v>1+279947.352544836i</v>
      </c>
      <c r="AK447" s="734">
        <f t="shared" si="343"/>
        <v>279947.35254662199</v>
      </c>
      <c r="AL447" s="735">
        <f t="shared" si="344"/>
        <v>1.5707927546946752</v>
      </c>
      <c r="AM447" s="340" t="str">
        <f t="shared" si="345"/>
        <v>1+475.102824524528i</v>
      </c>
      <c r="AN447" s="734">
        <f t="shared" si="346"/>
        <v>475.1038769271247</v>
      </c>
      <c r="AO447" s="735">
        <f t="shared" si="347"/>
        <v>1.5686915223785758</v>
      </c>
      <c r="AP447" s="733" t="str">
        <f t="shared" si="348"/>
        <v>1+23.0432701160417i</v>
      </c>
      <c r="AQ447" s="734">
        <f t="shared" si="349"/>
        <v>23.064958218927266</v>
      </c>
      <c r="AR447" s="735">
        <f t="shared" si="350"/>
        <v>1.5274269201153421</v>
      </c>
      <c r="AS447" s="732" t="str">
        <f t="shared" si="351"/>
        <v>0.00122329296348239-4.94629738018269i</v>
      </c>
      <c r="AT447" s="337">
        <f t="shared" si="352"/>
        <v>4.9462975314519673</v>
      </c>
      <c r="AU447" s="730">
        <f t="shared" si="353"/>
        <v>-1.5705490119158028</v>
      </c>
      <c r="AV447" s="732" t="str">
        <f t="shared" si="354"/>
        <v>-0.145403836742238+0.0429190007821113i</v>
      </c>
      <c r="AW447" s="337">
        <f t="shared" si="355"/>
        <v>-16.385684091309216</v>
      </c>
      <c r="AX447" s="730">
        <f t="shared" si="356"/>
        <v>163.55492621809461</v>
      </c>
      <c r="AY447" s="360">
        <f t="shared" si="357"/>
        <v>-16.445073781905393</v>
      </c>
      <c r="BB447" s="337">
        <f t="shared" si="358"/>
        <v>-26.11439526705054</v>
      </c>
      <c r="BC447" s="730">
        <f t="shared" si="359"/>
        <v>-89.98582990121713</v>
      </c>
      <c r="BD447" s="351"/>
      <c r="BE447" s="337">
        <f t="shared" si="320"/>
        <v>29.942337836829473</v>
      </c>
      <c r="BF447" s="730">
        <f t="shared" si="321"/>
        <v>-89.614816666547355</v>
      </c>
      <c r="BI447" s="351"/>
      <c r="BJ447" s="351"/>
      <c r="BL447" s="405">
        <f t="shared" si="322"/>
        <v>0</v>
      </c>
      <c r="BM447" s="405">
        <f t="shared" si="360"/>
        <v>0</v>
      </c>
      <c r="BN447" s="405">
        <f t="shared" si="323"/>
        <v>0</v>
      </c>
      <c r="BO447" s="405">
        <f t="shared" si="324"/>
        <v>0</v>
      </c>
    </row>
    <row r="448" spans="4:67" ht="13.5" thickBot="1" x14ac:dyDescent="0.25">
      <c r="D448" s="345">
        <v>47590.75</v>
      </c>
      <c r="E448" s="340" t="str">
        <f t="shared" si="311"/>
        <v>0.789416763056214i</v>
      </c>
      <c r="F448" s="728" t="str">
        <f t="shared" si="325"/>
        <v>0.005-0.0548236249215653i</v>
      </c>
      <c r="G448" s="337" t="str">
        <f t="shared" si="326"/>
        <v>0.005-0.0857497723132178i</v>
      </c>
      <c r="H448" s="338" t="str">
        <f t="shared" si="327"/>
        <v>0.010919948486646-0.0846323382412114i</v>
      </c>
      <c r="I448" s="338" t="str">
        <f t="shared" si="328"/>
        <v>0.020919948486646-0.0846323382412114i</v>
      </c>
      <c r="J448" s="337" t="str">
        <f t="shared" si="329"/>
        <v>0.00503990882652607-0.0334577733133777i</v>
      </c>
      <c r="K448" s="338" t="str">
        <f t="shared" si="312"/>
        <v>0.974834672382639-0.249184584298047i</v>
      </c>
      <c r="L448" s="732"/>
      <c r="M448" s="732" t="str">
        <f t="shared" si="313"/>
        <v>0.208122439633385-31.217237180958i</v>
      </c>
      <c r="N448" s="337">
        <f t="shared" si="314"/>
        <v>0</v>
      </c>
      <c r="O448" s="730" t="str">
        <f t="shared" si="315"/>
        <v>-1.04251349853509-12.0710477755237i</v>
      </c>
      <c r="P448" s="731" t="str">
        <f t="shared" si="316"/>
        <v>-1.04341032694993-0.164295342614749i</v>
      </c>
      <c r="Q448" s="729" t="str">
        <f t="shared" si="317"/>
        <v>-1.03298519196458-0.0435848648595117i</v>
      </c>
      <c r="R448" s="730"/>
      <c r="S448" s="405" t="str">
        <f t="shared" si="330"/>
        <v>38.7898368653446-9.04534655790056i</v>
      </c>
      <c r="T448" s="405" t="str">
        <f t="shared" si="331"/>
        <v>14.6645325128607-4.89081581378614i</v>
      </c>
      <c r="U448" s="405" t="str">
        <f t="shared" si="332"/>
        <v>-0.253785238606629-1.29450113252189i</v>
      </c>
      <c r="V448" s="731" t="str">
        <f t="shared" si="318"/>
        <v>6000</v>
      </c>
      <c r="W448" s="733" t="str">
        <f>IMSUM(COMPLEX(1,0),IMDIV(COMPLEX(0,2*PI()*D448),COMPLEX(2*PI()*'Stability Calculations'!EA_Pole1,0)))</f>
        <v>1+302011.716169234i</v>
      </c>
      <c r="X448" s="734">
        <f t="shared" si="333"/>
        <v>302011.71617088962</v>
      </c>
      <c r="Y448" s="735">
        <f t="shared" si="334"/>
        <v>1.5707930156650747</v>
      </c>
      <c r="Z448" s="340" t="str">
        <f>IMSUM(COMPLEX(1,0),IMDIV(COMPLEX(0,2*PI()*D448),COMPLEX(2*PI()*'Stability Calculations'!EA_Zero1,0)))</f>
        <v>1+2990.21501157657i</v>
      </c>
      <c r="AA448" s="734">
        <f t="shared" si="335"/>
        <v>2990.215178788621</v>
      </c>
      <c r="AB448" s="735">
        <f t="shared" si="336"/>
        <v>1.5704619026953424</v>
      </c>
      <c r="AC448" s="733" t="str">
        <f>IMSUM(COMPLEX(1,0),IMDIV(COMPLEX(0,2*PI()*D448),COMPLEX(2*PI()*'Stability Calculations'!EA_Pole2,0)))</f>
        <v>1+30.1217997311503i</v>
      </c>
      <c r="AD448" s="734">
        <f t="shared" si="337"/>
        <v>30.138394433737286</v>
      </c>
      <c r="AE448" s="735">
        <f t="shared" si="338"/>
        <v>1.5376099677297297</v>
      </c>
      <c r="AF448" s="732" t="str">
        <f t="shared" si="339"/>
        <v>0.0647494935406146-1.97004135527405i</v>
      </c>
      <c r="AG448" s="337">
        <f t="shared" si="340"/>
        <v>1.9711051312407926</v>
      </c>
      <c r="AH448" s="730">
        <f t="shared" si="341"/>
        <v>-1.5379410806994618</v>
      </c>
      <c r="AI448" s="731" t="str">
        <f t="shared" si="319"/>
        <v>10000</v>
      </c>
      <c r="AJ448" s="733" t="str">
        <f t="shared" si="342"/>
        <v>1+281558.047447049i</v>
      </c>
      <c r="AK448" s="734">
        <f t="shared" si="343"/>
        <v>281558.04744882486</v>
      </c>
      <c r="AL448" s="735">
        <f t="shared" si="344"/>
        <v>1.5707927751294086</v>
      </c>
      <c r="AM448" s="340" t="str">
        <f t="shared" si="345"/>
        <v>1+477.836358849936i</v>
      </c>
      <c r="AN448" s="734">
        <f t="shared" si="346"/>
        <v>477.83740523211952</v>
      </c>
      <c r="AO448" s="735">
        <f t="shared" si="347"/>
        <v>1.5687035631916415</v>
      </c>
      <c r="AP448" s="733" t="str">
        <f t="shared" si="348"/>
        <v>1+23.1758510365927i</v>
      </c>
      <c r="AQ448" s="734">
        <f t="shared" si="349"/>
        <v>23.197415185109204</v>
      </c>
      <c r="AR448" s="735">
        <f t="shared" si="350"/>
        <v>1.5276747129630905</v>
      </c>
      <c r="AS448" s="732" t="str">
        <f t="shared" si="351"/>
        <v>0.00120933693705472-4.91800134999966i</v>
      </c>
      <c r="AT448" s="337">
        <f t="shared" si="352"/>
        <v>4.9180014986876834</v>
      </c>
      <c r="AU448" s="730">
        <f t="shared" si="353"/>
        <v>-1.5705504267174841</v>
      </c>
      <c r="AV448" s="732" t="str">
        <f t="shared" si="354"/>
        <v>-0.143647684101722+0.0426804148903221i</v>
      </c>
      <c r="AW448" s="337">
        <f t="shared" si="355"/>
        <v>-16.486622826776014</v>
      </c>
      <c r="AX448" s="730">
        <f t="shared" si="356"/>
        <v>163.45233032797387</v>
      </c>
      <c r="AY448" s="360">
        <f t="shared" si="357"/>
        <v>-16.547669672026132</v>
      </c>
      <c r="BB448" s="337">
        <f t="shared" si="358"/>
        <v>-26.164226865050182</v>
      </c>
      <c r="BC448" s="730">
        <f t="shared" si="359"/>
        <v>-89.985910963382324</v>
      </c>
      <c r="BD448" s="351"/>
      <c r="BE448" s="337">
        <f t="shared" si="320"/>
        <v>29.88808231071927</v>
      </c>
      <c r="BF448" s="730">
        <f t="shared" si="321"/>
        <v>-89.618019984409287</v>
      </c>
      <c r="BI448" s="351"/>
      <c r="BJ448" s="351"/>
      <c r="BL448" s="405">
        <f t="shared" si="322"/>
        <v>0</v>
      </c>
      <c r="BM448" s="405">
        <f t="shared" si="360"/>
        <v>0</v>
      </c>
      <c r="BN448" s="405">
        <f t="shared" si="323"/>
        <v>0</v>
      </c>
      <c r="BO448" s="405">
        <f t="shared" si="324"/>
        <v>0</v>
      </c>
    </row>
    <row r="449" spans="4:67" ht="13.5" thickBot="1" x14ac:dyDescent="0.25">
      <c r="D449" s="345">
        <v>47863</v>
      </c>
      <c r="E449" s="340" t="str">
        <f t="shared" si="311"/>
        <v>0.793932739663897i</v>
      </c>
      <c r="F449" s="728" t="str">
        <f t="shared" si="325"/>
        <v>0.005-0.0545117821226416i</v>
      </c>
      <c r="G449" s="337" t="str">
        <f t="shared" si="326"/>
        <v>0.005-0.085262018191824i</v>
      </c>
      <c r="H449" s="338" t="str">
        <f t="shared" si="327"/>
        <v>0.0108528878937375-0.0841556204706874i</v>
      </c>
      <c r="I449" s="338" t="str">
        <f t="shared" si="328"/>
        <v>0.0208528878937375-0.0841556204706874i</v>
      </c>
      <c r="J449" s="337" t="str">
        <f t="shared" si="329"/>
        <v>0.00502946928119305-0.0332683430080976i</v>
      </c>
      <c r="K449" s="338" t="str">
        <f t="shared" si="312"/>
        <v>0.974545924788889-0.250610081964614i</v>
      </c>
      <c r="L449" s="732"/>
      <c r="M449" s="732" t="str">
        <f t="shared" si="313"/>
        <v>0.205129914153-31.0241525818076i</v>
      </c>
      <c r="N449" s="337">
        <f t="shared" si="314"/>
        <v>0</v>
      </c>
      <c r="O449" s="730" t="str">
        <f t="shared" si="315"/>
        <v>-1.03707221066422-11.9952119517693i</v>
      </c>
      <c r="P449" s="731" t="str">
        <f t="shared" si="316"/>
        <v>-1.03109045502524-0.162859354730511i</v>
      </c>
      <c r="Q449" s="729" t="str">
        <f t="shared" si="317"/>
        <v>-1.0207197329186-0.0429072352128177i</v>
      </c>
      <c r="R449" s="730"/>
      <c r="S449" s="405" t="str">
        <f t="shared" si="330"/>
        <v>38.7731432091816-9.10545791596447i</v>
      </c>
      <c r="T449" s="405" t="str">
        <f t="shared" si="331"/>
        <v>14.6544256964256-4.91354300960711i</v>
      </c>
      <c r="U449" s="405" t="str">
        <f t="shared" si="332"/>
        <v>-0.254459421452481-1.28657841856861i</v>
      </c>
      <c r="V449" s="731" t="str">
        <f t="shared" si="318"/>
        <v>6000</v>
      </c>
      <c r="W449" s="733" t="str">
        <f>IMSUM(COMPLEX(1,0),IMDIV(COMPLEX(0,2*PI()*D449),COMPLEX(2*PI()*'Stability Calculations'!EA_Pole1,0)))</f>
        <v>1+303739.419341112i</v>
      </c>
      <c r="X449" s="734">
        <f t="shared" si="333"/>
        <v>303739.41934275819</v>
      </c>
      <c r="Y449" s="735">
        <f t="shared" si="334"/>
        <v>1.5707930344991448</v>
      </c>
      <c r="Z449" s="340" t="str">
        <f>IMSUM(COMPLEX(1,0),IMDIV(COMPLEX(0,2*PI()*D449),COMPLEX(2*PI()*'Stability Calculations'!EA_Zero1,0)))</f>
        <v>1+3007.32098357537i</v>
      </c>
      <c r="AA449" s="734">
        <f t="shared" si="335"/>
        <v>3007.3211498363012</v>
      </c>
      <c r="AB449" s="735">
        <f t="shared" si="336"/>
        <v>1.5704638049362043</v>
      </c>
      <c r="AC449" s="733" t="str">
        <f>IMSUM(COMPLEX(1,0),IMDIV(COMPLEX(0,2*PI()*D449),COMPLEX(2*PI()*'Stability Calculations'!EA_Pole2,0)))</f>
        <v>1+30.2941159895999i</v>
      </c>
      <c r="AD449" s="734">
        <f t="shared" si="337"/>
        <v>30.310616351228031</v>
      </c>
      <c r="AE449" s="735">
        <f t="shared" si="338"/>
        <v>1.5377985979963862</v>
      </c>
      <c r="AF449" s="732" t="str">
        <f t="shared" si="339"/>
        <v>0.0640157835046206-1.95885976323979i</v>
      </c>
      <c r="AG449" s="337">
        <f t="shared" si="340"/>
        <v>1.959905506032767</v>
      </c>
      <c r="AH449" s="730">
        <f t="shared" si="341"/>
        <v>-1.5381278275593266</v>
      </c>
      <c r="AI449" s="731" t="str">
        <f t="shared" si="319"/>
        <v>10000</v>
      </c>
      <c r="AJ449" s="733" t="str">
        <f t="shared" si="342"/>
        <v>1+283168.742349261i</v>
      </c>
      <c r="AK449" s="734">
        <f t="shared" si="343"/>
        <v>283168.74235102668</v>
      </c>
      <c r="AL449" s="735">
        <f t="shared" si="344"/>
        <v>1.5707927953316718</v>
      </c>
      <c r="AM449" s="340" t="str">
        <f t="shared" si="345"/>
        <v>1+480.569893175344i</v>
      </c>
      <c r="AN449" s="734">
        <f t="shared" si="346"/>
        <v>480.57093360560367</v>
      </c>
      <c r="AO449" s="735">
        <f t="shared" si="347"/>
        <v>1.5687154670263699</v>
      </c>
      <c r="AP449" s="733" t="str">
        <f t="shared" si="348"/>
        <v>1+23.3084319571437i</v>
      </c>
      <c r="AQ449" s="734">
        <f t="shared" si="349"/>
        <v>23.329873559468719</v>
      </c>
      <c r="AR449" s="735">
        <f t="shared" si="350"/>
        <v>1.5279196920738591</v>
      </c>
      <c r="AS449" s="732" t="str">
        <f t="shared" si="351"/>
        <v>0.00119561838288073-4.8900272216125i</v>
      </c>
      <c r="AT449" s="337">
        <f t="shared" si="352"/>
        <v>4.8900273677776669</v>
      </c>
      <c r="AU449" s="730">
        <f t="shared" si="353"/>
        <v>-1.5705518254240716</v>
      </c>
      <c r="AV449" s="732" t="str">
        <f t="shared" si="354"/>
        <v>-0.141921465886461+0.0424441237968114i</v>
      </c>
      <c r="AW449" s="337">
        <f t="shared" si="355"/>
        <v>-16.586999173110257</v>
      </c>
      <c r="AX449" s="730">
        <f t="shared" si="356"/>
        <v>163.34977557979218</v>
      </c>
      <c r="AY449" s="360">
        <f t="shared" si="357"/>
        <v>-16.65022442020782</v>
      </c>
      <c r="BB449" s="337">
        <f t="shared" si="358"/>
        <v>-26.213774205496662</v>
      </c>
      <c r="BC449" s="730">
        <f t="shared" si="359"/>
        <v>-89.985991103366558</v>
      </c>
      <c r="BD449" s="351"/>
      <c r="BE449" s="337">
        <f t="shared" si="320"/>
        <v>29.834188413183767</v>
      </c>
      <c r="BF449" s="730">
        <f t="shared" si="321"/>
        <v>-89.621169118688996</v>
      </c>
      <c r="BI449" s="351"/>
      <c r="BJ449" s="351"/>
      <c r="BL449" s="405">
        <f t="shared" si="322"/>
        <v>0</v>
      </c>
      <c r="BM449" s="405">
        <f t="shared" si="360"/>
        <v>0</v>
      </c>
      <c r="BN449" s="405">
        <f t="shared" si="323"/>
        <v>0</v>
      </c>
      <c r="BO449" s="405">
        <f t="shared" si="324"/>
        <v>0</v>
      </c>
    </row>
    <row r="450" spans="4:67" ht="13.5" thickBot="1" x14ac:dyDescent="0.25">
      <c r="D450" s="345">
        <v>48141.75</v>
      </c>
      <c r="E450" s="340" t="str">
        <f t="shared" si="311"/>
        <v>0.79855653573145i</v>
      </c>
      <c r="F450" s="728" t="str">
        <f t="shared" si="325"/>
        <v>0.005-0.0541961484103919i</v>
      </c>
      <c r="G450" s="337" t="str">
        <f t="shared" si="326"/>
        <v>0.005-0.0847683346931772i</v>
      </c>
      <c r="H450" s="338" t="str">
        <f t="shared" si="327"/>
        <v>0.0107853940881148-0.0836730264508919i</v>
      </c>
      <c r="I450" s="338" t="str">
        <f t="shared" si="328"/>
        <v>0.0207853940881148-0.0836730264508919i</v>
      </c>
      <c r="J450" s="337" t="str">
        <f t="shared" si="329"/>
        <v>0.00501896132513139-0.0330766082360933i</v>
      </c>
      <c r="K450" s="338" t="str">
        <f t="shared" si="312"/>
        <v>0.97424857674375-0.252069613551594i</v>
      </c>
      <c r="L450" s="732"/>
      <c r="M450" s="732" t="str">
        <f t="shared" si="313"/>
        <v>0.202134092202213-30.8290062863234i</v>
      </c>
      <c r="N450" s="337">
        <f t="shared" si="314"/>
        <v>0</v>
      </c>
      <c r="O450" s="730" t="str">
        <f t="shared" si="315"/>
        <v>-1.03159366230044-11.9185646980883i</v>
      </c>
      <c r="P450" s="731" t="str">
        <f t="shared" si="316"/>
        <v>-1.01870446004952-0.161415500422221i</v>
      </c>
      <c r="Q450" s="729" t="str">
        <f t="shared" si="317"/>
        <v>-1.00838852342652-0.0422298534413384i</v>
      </c>
      <c r="R450" s="730"/>
      <c r="S450" s="405" t="str">
        <f t="shared" si="330"/>
        <v>38.7559397618597-9.16692049318322i</v>
      </c>
      <c r="T450" s="405" t="str">
        <f t="shared" si="331"/>
        <v>14.6440250595709-4.93681087587275i</v>
      </c>
      <c r="U450" s="405" t="str">
        <f t="shared" si="332"/>
        <v>-0.25513632569625-1.27855534699178i</v>
      </c>
      <c r="V450" s="731" t="str">
        <f t="shared" si="318"/>
        <v>6000</v>
      </c>
      <c r="W450" s="733" t="str">
        <f>IMSUM(COMPLEX(1,0),IMDIV(COMPLEX(0,2*PI()*D450),COMPLEX(2*PI()*'Stability Calculations'!EA_Pole1,0)))</f>
        <v>1+305508.371624532i</v>
      </c>
      <c r="X450" s="734">
        <f t="shared" si="333"/>
        <v>305508.37162616861</v>
      </c>
      <c r="Y450" s="735">
        <f t="shared" si="334"/>
        <v>1.5707930535621708</v>
      </c>
      <c r="Z450" s="340" t="str">
        <f>IMSUM(COMPLEX(1,0),IMDIV(COMPLEX(0,2*PI()*D450),COMPLEX(2*PI()*'Stability Calculations'!EA_Zero1,0)))</f>
        <v>1+3024.83536261913i</v>
      </c>
      <c r="AA450" s="734">
        <f t="shared" si="335"/>
        <v>3024.8355279173784</v>
      </c>
      <c r="AB450" s="735">
        <f t="shared" si="336"/>
        <v>1.5704657303016374</v>
      </c>
      <c r="AC450" s="733" t="str">
        <f>IMSUM(COMPLEX(1,0),IMDIV(COMPLEX(0,2*PI()*D450),COMPLEX(2*PI()*'Stability Calculations'!EA_Pole2,0)))</f>
        <v>1+30.470546318499i</v>
      </c>
      <c r="AD450" s="734">
        <f t="shared" si="337"/>
        <v>30.486951191416189</v>
      </c>
      <c r="AE450" s="735">
        <f t="shared" si="338"/>
        <v>1.5379895237367103</v>
      </c>
      <c r="AF450" s="732" t="str">
        <f t="shared" si="339"/>
        <v>0.0632773975836726-1.94754182087297i</v>
      </c>
      <c r="AG450" s="337">
        <f t="shared" si="340"/>
        <v>1.948569519697505</v>
      </c>
      <c r="AH450" s="730">
        <f t="shared" si="341"/>
        <v>-1.5383168469972439</v>
      </c>
      <c r="AI450" s="731" t="str">
        <f t="shared" si="319"/>
        <v>10000</v>
      </c>
      <c r="AJ450" s="733" t="str">
        <f t="shared" si="342"/>
        <v>1+284817.892777146i</v>
      </c>
      <c r="AK450" s="734">
        <f t="shared" si="343"/>
        <v>284817.8927789015</v>
      </c>
      <c r="AL450" s="735">
        <f t="shared" si="344"/>
        <v>1.5707928157795239</v>
      </c>
      <c r="AM450" s="340" t="str">
        <f t="shared" si="345"/>
        <v>1+483.368690946537i</v>
      </c>
      <c r="AN450" s="734">
        <f t="shared" si="346"/>
        <v>483.36972535251812</v>
      </c>
      <c r="AO450" s="735">
        <f t="shared" si="347"/>
        <v>1.5687275155705258</v>
      </c>
      <c r="AP450" s="733" t="str">
        <f t="shared" si="348"/>
        <v>1+23.444178262391i</v>
      </c>
      <c r="AQ450" s="734">
        <f t="shared" si="349"/>
        <v>23.465495826825535</v>
      </c>
      <c r="AR450" s="735">
        <f t="shared" si="350"/>
        <v>1.5281676545142033</v>
      </c>
      <c r="AS450" s="732" t="str">
        <f t="shared" si="351"/>
        <v>0.00118181274719464-4.86171302600342i</v>
      </c>
      <c r="AT450" s="337">
        <f t="shared" si="352"/>
        <v>4.861713169644287</v>
      </c>
      <c r="AU450" s="730">
        <f t="shared" si="353"/>
        <v>-1.5705532411340204</v>
      </c>
      <c r="AV450" s="732" t="str">
        <f t="shared" si="354"/>
        <v>-0.140184343278963+0.0422045363326833i</v>
      </c>
      <c r="AW450" s="337">
        <f t="shared" si="355"/>
        <v>-16.689196096844313</v>
      </c>
      <c r="AX450" s="730">
        <f t="shared" si="356"/>
        <v>163.24481413265195</v>
      </c>
      <c r="AY450" s="360">
        <f t="shared" si="357"/>
        <v>-16.755185867348047</v>
      </c>
      <c r="BB450" s="337">
        <f t="shared" si="358"/>
        <v>-26.264213343071674</v>
      </c>
      <c r="BC450" s="730">
        <f t="shared" si="359"/>
        <v>-89.986072217571646</v>
      </c>
      <c r="BD450" s="351"/>
      <c r="BE450" s="337">
        <f t="shared" si="320"/>
        <v>29.779377222129142</v>
      </c>
      <c r="BF450" s="730">
        <f t="shared" si="321"/>
        <v>-89.624338705032187</v>
      </c>
      <c r="BI450" s="351"/>
      <c r="BJ450" s="351"/>
      <c r="BL450" s="405">
        <f t="shared" si="322"/>
        <v>0</v>
      </c>
      <c r="BM450" s="405">
        <f t="shared" si="360"/>
        <v>0</v>
      </c>
      <c r="BN450" s="405">
        <f t="shared" si="323"/>
        <v>0</v>
      </c>
      <c r="BO450" s="405">
        <f t="shared" si="324"/>
        <v>0</v>
      </c>
    </row>
    <row r="451" spans="4:67" ht="13.5" thickBot="1" x14ac:dyDescent="0.25">
      <c r="D451" s="345">
        <v>48420.5</v>
      </c>
      <c r="E451" s="340" t="str">
        <f t="shared" si="311"/>
        <v>0.803180331799003i</v>
      </c>
      <c r="F451" s="728" t="str">
        <f t="shared" si="325"/>
        <v>0.005-0.0538841488158114i</v>
      </c>
      <c r="G451" s="337" t="str">
        <f t="shared" si="326"/>
        <v>0.005-0.0842803353272944i</v>
      </c>
      <c r="H451" s="338" t="str">
        <f t="shared" si="327"/>
        <v>0.0107190552188858-0.083195909205977i</v>
      </c>
      <c r="I451" s="338" t="str">
        <f t="shared" si="328"/>
        <v>0.0207190552188858-0.083195909205977i</v>
      </c>
      <c r="J451" s="337" t="str">
        <f t="shared" si="329"/>
        <v>0.00500863216342841-0.0328870794823628i</v>
      </c>
      <c r="K451" s="338" t="str">
        <f t="shared" si="312"/>
        <v>0.973949501997222-0.253529145138574i</v>
      </c>
      <c r="L451" s="732"/>
      <c r="M451" s="732" t="str">
        <f t="shared" si="313"/>
        <v>0.19920516415478-30.6363870949592i</v>
      </c>
      <c r="N451" s="337">
        <f t="shared" si="314"/>
        <v>0</v>
      </c>
      <c r="O451" s="730" t="str">
        <f t="shared" si="315"/>
        <v>-1.02620670588233-11.8429082397251i</v>
      </c>
      <c r="P451" s="731" t="str">
        <f t="shared" si="316"/>
        <v>-1.00654355205205-0.159997669841911i</v>
      </c>
      <c r="Q451" s="729" t="str">
        <f t="shared" si="317"/>
        <v>-0.996281484993227-0.0415685874446606i</v>
      </c>
      <c r="R451" s="730"/>
      <c r="S451" s="405" t="str">
        <f t="shared" si="330"/>
        <v>38.7386239493272-9.22829891561899i</v>
      </c>
      <c r="T451" s="405" t="str">
        <f t="shared" si="331"/>
        <v>14.6335712609169-4.96007624639552i</v>
      </c>
      <c r="U451" s="405" t="str">
        <f t="shared" si="332"/>
        <v>-0.255799994654575-1.27062059715743i</v>
      </c>
      <c r="V451" s="731" t="str">
        <f t="shared" si="318"/>
        <v>6000</v>
      </c>
      <c r="W451" s="733" t="str">
        <f>IMSUM(COMPLEX(1,0),IMDIV(COMPLEX(0,2*PI()*D451),COMPLEX(2*PI()*'Stability Calculations'!EA_Pole1,0)))</f>
        <v>1+307277.323907952i</v>
      </c>
      <c r="X451" s="734">
        <f t="shared" si="333"/>
        <v>307277.32390957919</v>
      </c>
      <c r="Y451" s="735">
        <f t="shared" si="334"/>
        <v>1.5707930724057106</v>
      </c>
      <c r="Z451" s="340" t="str">
        <f>IMSUM(COMPLEX(1,0),IMDIV(COMPLEX(0,2*PI()*D451),COMPLEX(2*PI()*'Stability Calculations'!EA_Zero1,0)))</f>
        <v>1+3042.34974166289i</v>
      </c>
      <c r="AA451" s="734">
        <f t="shared" si="335"/>
        <v>3042.3499060095396</v>
      </c>
      <c r="AB451" s="735">
        <f t="shared" si="336"/>
        <v>1.5704676334989573</v>
      </c>
      <c r="AC451" s="733" t="str">
        <f>IMSUM(COMPLEX(1,0),IMDIV(COMPLEX(0,2*PI()*D451),COMPLEX(2*PI()*'Stability Calculations'!EA_Pole2,0)))</f>
        <v>1+30.6469766473981i</v>
      </c>
      <c r="AD451" s="734">
        <f t="shared" si="337"/>
        <v>30.663287130152312</v>
      </c>
      <c r="AE451" s="735">
        <f t="shared" si="338"/>
        <v>1.5381782535633972</v>
      </c>
      <c r="AF451" s="732" t="str">
        <f t="shared" si="339"/>
        <v>0.0625517091875964-1.93635377579168i</v>
      </c>
      <c r="AG451" s="337">
        <f t="shared" si="340"/>
        <v>1.9373638433048619</v>
      </c>
      <c r="AH451" s="730">
        <f t="shared" si="341"/>
        <v>-1.5385036924701505</v>
      </c>
      <c r="AI451" s="731" t="str">
        <f t="shared" si="319"/>
        <v>10000</v>
      </c>
      <c r="AJ451" s="733" t="str">
        <f t="shared" si="342"/>
        <v>1+286467.04320503i</v>
      </c>
      <c r="AK451" s="734">
        <f t="shared" si="343"/>
        <v>286467.04320677539</v>
      </c>
      <c r="AL451" s="735">
        <f t="shared" si="344"/>
        <v>1.570792835991945</v>
      </c>
      <c r="AM451" s="340" t="str">
        <f t="shared" si="345"/>
        <v>1+486.16748871773i</v>
      </c>
      <c r="AN451" s="734">
        <f t="shared" si="346"/>
        <v>486.16851716879421</v>
      </c>
      <c r="AO451" s="735">
        <f t="shared" si="347"/>
        <v>1.5687394253917279</v>
      </c>
      <c r="AP451" s="733" t="str">
        <f t="shared" si="348"/>
        <v>1+23.5799245676384i</v>
      </c>
      <c r="AQ451" s="734">
        <f t="shared" si="349"/>
        <v>23.601119520385407</v>
      </c>
      <c r="AR451" s="735">
        <f t="shared" si="350"/>
        <v>1.5284127671400844</v>
      </c>
      <c r="AS451" s="732" t="str">
        <f t="shared" si="351"/>
        <v>0.0011682448558197-4.83372483201081i</v>
      </c>
      <c r="AT451" s="337">
        <f t="shared" si="352"/>
        <v>4.8337249731851699</v>
      </c>
      <c r="AU451" s="730">
        <f t="shared" si="353"/>
        <v>-1.5705546405438844</v>
      </c>
      <c r="AV451" s="732" t="str">
        <f t="shared" si="354"/>
        <v>-0.138477188243479+0.0419672889854771i</v>
      </c>
      <c r="AW451" s="337">
        <f t="shared" si="355"/>
        <v>-16.790817093528759</v>
      </c>
      <c r="AX451" s="730">
        <f t="shared" si="356"/>
        <v>163.13989416980635</v>
      </c>
      <c r="AY451" s="360">
        <f t="shared" si="357"/>
        <v>-16.860105830193646</v>
      </c>
      <c r="BB451" s="337">
        <f t="shared" si="358"/>
        <v>-26.314361269820921</v>
      </c>
      <c r="BC451" s="730">
        <f t="shared" si="359"/>
        <v>-89.98615239785066</v>
      </c>
      <c r="BD451" s="351"/>
      <c r="BE451" s="337">
        <f t="shared" si="320"/>
        <v>29.724934577206561</v>
      </c>
      <c r="BF451" s="730">
        <f t="shared" si="321"/>
        <v>-89.627454298726789</v>
      </c>
      <c r="BI451" s="351"/>
      <c r="BJ451" s="351"/>
      <c r="BL451" s="405">
        <f t="shared" si="322"/>
        <v>0</v>
      </c>
      <c r="BM451" s="405">
        <f t="shared" si="360"/>
        <v>0</v>
      </c>
      <c r="BN451" s="405">
        <f t="shared" si="323"/>
        <v>0</v>
      </c>
      <c r="BO451" s="405">
        <f t="shared" si="324"/>
        <v>0</v>
      </c>
    </row>
    <row r="452" spans="4:67" ht="13.5" thickBot="1" x14ac:dyDescent="0.25">
      <c r="D452" s="345">
        <v>48699.25</v>
      </c>
      <c r="E452" s="340" t="str">
        <f t="shared" si="311"/>
        <v>0.807804127866557i</v>
      </c>
      <c r="F452" s="728" t="str">
        <f t="shared" si="325"/>
        <v>0.005-0.0535757209348396i</v>
      </c>
      <c r="G452" s="337" t="str">
        <f t="shared" si="326"/>
        <v>0.005-0.0837979224878258i</v>
      </c>
      <c r="H452" s="338" t="str">
        <f t="shared" si="327"/>
        <v>0.0106538451260023-0.0827241764846841i</v>
      </c>
      <c r="I452" s="338" t="str">
        <f t="shared" si="328"/>
        <v>0.0206538451260023-0.0827241764846841i</v>
      </c>
      <c r="J452" s="337" t="str">
        <f t="shared" si="329"/>
        <v>0.00499847770906257-0.0326997189702469i</v>
      </c>
      <c r="K452" s="338" t="str">
        <f t="shared" si="312"/>
        <v>0.973648700549306-0.254988676725555i</v>
      </c>
      <c r="L452" s="732"/>
      <c r="M452" s="732" t="str">
        <f t="shared" si="313"/>
        <v>0.196341130696371-30.446244818602i</v>
      </c>
      <c r="N452" s="337">
        <f t="shared" si="314"/>
        <v>0</v>
      </c>
      <c r="O452" s="730" t="str">
        <f t="shared" si="315"/>
        <v>-1.02090923392703-11.768222817878i</v>
      </c>
      <c r="P452" s="731" t="str">
        <f t="shared" si="316"/>
        <v>-0.994602242502463-0.158605175846516i</v>
      </c>
      <c r="Q452" s="729" t="str">
        <f t="shared" si="317"/>
        <v>-0.984393150163193-0.040922947667736i</v>
      </c>
      <c r="R452" s="730"/>
      <c r="S452" s="405" t="str">
        <f t="shared" si="330"/>
        <v>38.7211959428475-9.28959394860684i</v>
      </c>
      <c r="T452" s="405" t="str">
        <f t="shared" si="331"/>
        <v>14.6230642795657-4.98333859694129i</v>
      </c>
      <c r="U452" s="405" t="str">
        <f t="shared" si="332"/>
        <v>-0.256450719474239-1.26277266783192i</v>
      </c>
      <c r="V452" s="731" t="str">
        <f t="shared" si="318"/>
        <v>6000</v>
      </c>
      <c r="W452" s="733" t="str">
        <f>IMSUM(COMPLEX(1,0),IMDIV(COMPLEX(0,2*PI()*D452),COMPLEX(2*PI()*'Stability Calculations'!EA_Pole1,0)))</f>
        <v>1+309046.276191372i</v>
      </c>
      <c r="X452" s="734">
        <f t="shared" si="333"/>
        <v>309046.27619298984</v>
      </c>
      <c r="Y452" s="735">
        <f t="shared" si="334"/>
        <v>1.5707930910335333</v>
      </c>
      <c r="Z452" s="340" t="str">
        <f>IMSUM(COMPLEX(1,0),IMDIV(COMPLEX(0,2*PI()*D452),COMPLEX(2*PI()*'Stability Calculations'!EA_Zero1,0)))</f>
        <v>1+3059.86412070665i</v>
      </c>
      <c r="AA452" s="734">
        <f t="shared" si="335"/>
        <v>3059.8642841125948</v>
      </c>
      <c r="AB452" s="735">
        <f t="shared" si="336"/>
        <v>1.5704695149088292</v>
      </c>
      <c r="AC452" s="733" t="str">
        <f>IMSUM(COMPLEX(1,0),IMDIV(COMPLEX(0,2*PI()*D452),COMPLEX(2*PI()*'Stability Calculations'!EA_Pole2,0)))</f>
        <v>1+30.8234069762973i</v>
      </c>
      <c r="AD452" s="734">
        <f t="shared" si="337"/>
        <v>30.839624148592552</v>
      </c>
      <c r="AE452" s="735">
        <f t="shared" si="338"/>
        <v>1.5383648251307445</v>
      </c>
      <c r="AF452" s="732" t="str">
        <f t="shared" si="339"/>
        <v>0.0618384289431996-1.9252934068239i</v>
      </c>
      <c r="AG452" s="337">
        <f t="shared" si="340"/>
        <v>1.9262862439559039</v>
      </c>
      <c r="AH452" s="730">
        <f t="shared" si="341"/>
        <v>-1.5386884012554485</v>
      </c>
      <c r="AI452" s="731" t="str">
        <f t="shared" si="319"/>
        <v>10000</v>
      </c>
      <c r="AJ452" s="733" t="str">
        <f t="shared" si="342"/>
        <v>1+288116.193632915i</v>
      </c>
      <c r="AK452" s="734">
        <f t="shared" si="343"/>
        <v>288116.19363465038</v>
      </c>
      <c r="AL452" s="735">
        <f t="shared" si="344"/>
        <v>1.570792855972978</v>
      </c>
      <c r="AM452" s="340" t="str">
        <f t="shared" si="345"/>
        <v>1+488.966286488923i</v>
      </c>
      <c r="AN452" s="734">
        <f t="shared" si="346"/>
        <v>488.96730905324074</v>
      </c>
      <c r="AO452" s="735">
        <f t="shared" si="347"/>
        <v>1.568751198872075</v>
      </c>
      <c r="AP452" s="733" t="str">
        <f t="shared" si="348"/>
        <v>1+23.7156708728857i</v>
      </c>
      <c r="AQ452" s="734">
        <f t="shared" si="349"/>
        <v>23.736744615701603</v>
      </c>
      <c r="AR452" s="735">
        <f t="shared" si="350"/>
        <v>1.5286550787709134</v>
      </c>
      <c r="AS452" s="732" t="str">
        <f t="shared" si="351"/>
        <v>0.00115490928105926-4.80605704162671i</v>
      </c>
      <c r="AT452" s="337">
        <f t="shared" si="352"/>
        <v>4.8060571803907131</v>
      </c>
      <c r="AU452" s="730">
        <f t="shared" si="353"/>
        <v>-1.5705560239335643</v>
      </c>
      <c r="AV452" s="732" t="str">
        <f t="shared" si="354"/>
        <v>-0.136799316077586+0.0417323493641872i</v>
      </c>
      <c r="AW452" s="337">
        <f t="shared" si="355"/>
        <v>-16.891868885402403</v>
      </c>
      <c r="AX452" s="730">
        <f t="shared" si="356"/>
        <v>163.03501488777414</v>
      </c>
      <c r="AY452" s="360">
        <f t="shared" si="357"/>
        <v>-16.964985112225861</v>
      </c>
      <c r="BB452" s="337">
        <f t="shared" si="358"/>
        <v>-26.364221329067551</v>
      </c>
      <c r="BC452" s="730">
        <f t="shared" si="359"/>
        <v>-89.986231660240747</v>
      </c>
      <c r="BD452" s="351"/>
      <c r="BE452" s="337">
        <f t="shared" si="320"/>
        <v>29.670855309738492</v>
      </c>
      <c r="BF452" s="730">
        <f t="shared" si="321"/>
        <v>-89.630517252259978</v>
      </c>
      <c r="BI452" s="351"/>
      <c r="BJ452" s="351"/>
      <c r="BL452" s="405">
        <f t="shared" si="322"/>
        <v>0</v>
      </c>
      <c r="BM452" s="405">
        <f t="shared" si="360"/>
        <v>0</v>
      </c>
      <c r="BN452" s="405">
        <f t="shared" si="323"/>
        <v>0</v>
      </c>
      <c r="BO452" s="405">
        <f t="shared" si="324"/>
        <v>0</v>
      </c>
    </row>
    <row r="453" spans="4:67" ht="13.5" thickBot="1" x14ac:dyDescent="0.25">
      <c r="D453" s="345">
        <v>48978</v>
      </c>
      <c r="E453" s="340" t="str">
        <f t="shared" si="311"/>
        <v>0.81242792393411i</v>
      </c>
      <c r="F453" s="728" t="str">
        <f t="shared" si="325"/>
        <v>0.005-0.0532708037840662i</v>
      </c>
      <c r="G453" s="337" t="str">
        <f t="shared" si="326"/>
        <v>0.005-0.0833210007904625i</v>
      </c>
      <c r="H453" s="338" t="str">
        <f t="shared" si="327"/>
        <v>0.0105897383847718-0.0822577380857309i</v>
      </c>
      <c r="I453" s="338" t="str">
        <f t="shared" si="328"/>
        <v>0.0205897383847718-0.0822577380857309i</v>
      </c>
      <c r="J453" s="337" t="str">
        <f t="shared" si="329"/>
        <v>0.004988493990841-0.0325144897799855i</v>
      </c>
      <c r="K453" s="338" t="str">
        <f t="shared" si="312"/>
        <v>0.9733461724-0.256448208312535i</v>
      </c>
      <c r="L453" s="732"/>
      <c r="M453" s="732" t="str">
        <f t="shared" si="313"/>
        <v>0.193540066817784-30.2585306177405i</v>
      </c>
      <c r="N453" s="337">
        <f t="shared" si="314"/>
        <v>0</v>
      </c>
      <c r="O453" s="730" t="str">
        <f t="shared" si="315"/>
        <v>-1.01569919853437-11.6944892076848i</v>
      </c>
      <c r="P453" s="731" t="str">
        <f t="shared" si="316"/>
        <v>-0.982875211067593-0.157237354682842i</v>
      </c>
      <c r="Q453" s="729" t="str">
        <f t="shared" si="317"/>
        <v>-0.97271821908225-0.0402924626059937i</v>
      </c>
      <c r="R453" s="730"/>
      <c r="S453" s="405" t="str">
        <f t="shared" si="330"/>
        <v>38.7036559086121-9.35080633524928i</v>
      </c>
      <c r="T453" s="405" t="str">
        <f t="shared" si="331"/>
        <v>14.6125040970759-5.00659741183712i</v>
      </c>
      <c r="U453" s="405" t="str">
        <f t="shared" si="332"/>
        <v>-0.257088783069156-1.25501009158318i</v>
      </c>
      <c r="V453" s="731" t="str">
        <f t="shared" si="318"/>
        <v>6000</v>
      </c>
      <c r="W453" s="733" t="str">
        <f>IMSUM(COMPLEX(1,0),IMDIV(COMPLEX(0,2*PI()*D453),COMPLEX(2*PI()*'Stability Calculations'!EA_Pole1,0)))</f>
        <v>1+310815.228474792i</v>
      </c>
      <c r="X453" s="734">
        <f t="shared" si="333"/>
        <v>310815.22847640066</v>
      </c>
      <c r="Y453" s="735">
        <f t="shared" si="334"/>
        <v>1.5707931094493215</v>
      </c>
      <c r="Z453" s="340" t="str">
        <f>IMSUM(COMPLEX(1,0),IMDIV(COMPLEX(0,2*PI()*D453),COMPLEX(2*PI()*'Stability Calculations'!EA_Zero1,0)))</f>
        <v>1+3077.37849975042i</v>
      </c>
      <c r="AA453" s="734">
        <f t="shared" si="335"/>
        <v>3077.3786622263669</v>
      </c>
      <c r="AB453" s="735">
        <f t="shared" si="336"/>
        <v>1.5704713749032515</v>
      </c>
      <c r="AC453" s="733" t="str">
        <f>IMSUM(COMPLEX(1,0),IMDIV(COMPLEX(0,2*PI()*D453),COMPLEX(2*PI()*'Stability Calculations'!EA_Pole2,0)))</f>
        <v>1+30.9998373051965i</v>
      </c>
      <c r="AD453" s="734">
        <f t="shared" si="337"/>
        <v>31.015962228321285</v>
      </c>
      <c r="AE453" s="735">
        <f t="shared" si="338"/>
        <v>1.5385492752373386</v>
      </c>
      <c r="AF453" s="732" t="str">
        <f t="shared" si="339"/>
        <v>0.0611372756711568-1.91435854309898i</v>
      </c>
      <c r="AG453" s="337">
        <f t="shared" si="340"/>
        <v>1.9153345394506258</v>
      </c>
      <c r="AH453" s="730">
        <f t="shared" si="341"/>
        <v>-1.5388710097834088</v>
      </c>
      <c r="AI453" s="731" t="str">
        <f t="shared" si="319"/>
        <v>10000</v>
      </c>
      <c r="AJ453" s="733" t="str">
        <f t="shared" si="342"/>
        <v>1+289765.344060801i</v>
      </c>
      <c r="AK453" s="734">
        <f t="shared" si="343"/>
        <v>289765.34406252654</v>
      </c>
      <c r="AL453" s="735">
        <f t="shared" si="344"/>
        <v>1.5707928757265737</v>
      </c>
      <c r="AM453" s="340" t="str">
        <f t="shared" si="345"/>
        <v>1+491.765084260117i</v>
      </c>
      <c r="AN453" s="734">
        <f t="shared" si="346"/>
        <v>491.76610100469514</v>
      </c>
      <c r="AO453" s="735">
        <f t="shared" si="347"/>
        <v>1.5687628383394367</v>
      </c>
      <c r="AP453" s="733" t="str">
        <f t="shared" si="348"/>
        <v>1+23.8514171781331i</v>
      </c>
      <c r="AQ453" s="734">
        <f t="shared" si="349"/>
        <v>23.872371088883121</v>
      </c>
      <c r="AR453" s="735">
        <f t="shared" si="350"/>
        <v>1.528894637118001</v>
      </c>
      <c r="AS453" s="732" t="str">
        <f t="shared" si="351"/>
        <v>0.00114180074922995-4.77870418428364i</v>
      </c>
      <c r="AT453" s="337">
        <f t="shared" si="352"/>
        <v>4.7787043206918458</v>
      </c>
      <c r="AU453" s="730">
        <f t="shared" si="353"/>
        <v>-1.5705573915765885</v>
      </c>
      <c r="AV453" s="732" t="str">
        <f t="shared" si="354"/>
        <v>-0.135150061532135+0.0414996855928174i</v>
      </c>
      <c r="AW453" s="337">
        <f t="shared" si="355"/>
        <v>-16.992358079474531</v>
      </c>
      <c r="AX453" s="730">
        <f t="shared" si="356"/>
        <v>162.93017550186758</v>
      </c>
      <c r="AY453" s="360">
        <f t="shared" si="357"/>
        <v>-17.069824498132419</v>
      </c>
      <c r="BB453" s="337">
        <f t="shared" si="358"/>
        <v>-26.413796806887166</v>
      </c>
      <c r="BC453" s="730">
        <f t="shared" si="359"/>
        <v>-89.98631002041391</v>
      </c>
      <c r="BD453" s="351"/>
      <c r="BE453" s="337">
        <f t="shared" si="320"/>
        <v>29.617134362181869</v>
      </c>
      <c r="BF453" s="730">
        <f t="shared" si="321"/>
        <v>-89.633528874354241</v>
      </c>
      <c r="BI453" s="351"/>
      <c r="BJ453" s="351"/>
      <c r="BL453" s="405">
        <f t="shared" si="322"/>
        <v>0</v>
      </c>
      <c r="BM453" s="405">
        <f t="shared" si="360"/>
        <v>0</v>
      </c>
      <c r="BN453" s="405">
        <f t="shared" si="323"/>
        <v>0</v>
      </c>
      <c r="BO453" s="405">
        <f t="shared" si="324"/>
        <v>0</v>
      </c>
    </row>
    <row r="454" spans="4:67" ht="13.5" thickBot="1" x14ac:dyDescent="0.25">
      <c r="D454" s="345">
        <v>49263.25</v>
      </c>
      <c r="E454" s="340" t="str">
        <f t="shared" si="311"/>
        <v>0.817159539461535i</v>
      </c>
      <c r="F454" s="728" t="str">
        <f t="shared" si="325"/>
        <v>0.005-0.0529623487637537i</v>
      </c>
      <c r="G454" s="337" t="str">
        <f t="shared" si="326"/>
        <v>0.005-0.0828385455022813i</v>
      </c>
      <c r="H454" s="338" t="str">
        <f t="shared" si="327"/>
        <v>0.0105252532422408-0.0817858120257668i</v>
      </c>
      <c r="I454" s="338" t="str">
        <f t="shared" si="328"/>
        <v>0.0205252532422408-0.0817858120257668i</v>
      </c>
      <c r="J454" s="337" t="str">
        <f t="shared" si="329"/>
        <v>0.00497845019721806-0.0323271101493276i</v>
      </c>
      <c r="K454" s="338" t="str">
        <f t="shared" si="312"/>
        <v>0.973034802215972-0.257941773819929i</v>
      </c>
      <c r="L454" s="732"/>
      <c r="M454" s="732" t="str">
        <f t="shared" si="313"/>
        <v>0.190736942034254-30.0689033024725i</v>
      </c>
      <c r="N454" s="337">
        <f t="shared" si="314"/>
        <v>0</v>
      </c>
      <c r="O454" s="730" t="str">
        <f t="shared" si="315"/>
        <v>-1.01045611603789-11.6200020951135i</v>
      </c>
      <c r="P454" s="731" t="str">
        <f t="shared" si="316"/>
        <v>-0.97109117476182-0.155862511711012i</v>
      </c>
      <c r="Q454" s="729" t="str">
        <f t="shared" si="317"/>
        <v>-0.960986613601442-0.0396624907598769i</v>
      </c>
      <c r="R454" s="730"/>
      <c r="S454" s="405" t="str">
        <f t="shared" si="330"/>
        <v>38.6855910606781-9.41336128892723i</v>
      </c>
      <c r="T454" s="405" t="str">
        <f t="shared" si="331"/>
        <v>14.6016425749935-5.03039439520202i</v>
      </c>
      <c r="U454" s="405" t="str">
        <f t="shared" si="332"/>
        <v>-0.257728904566972-1.24715336982371i</v>
      </c>
      <c r="V454" s="731" t="str">
        <f t="shared" si="318"/>
        <v>6000</v>
      </c>
      <c r="W454" s="733" t="str">
        <f>IMSUM(COMPLEX(1,0),IMDIV(COMPLEX(0,2*PI()*D454),COMPLEX(2*PI()*'Stability Calculations'!EA_Pole1,0)))</f>
        <v>1+312625.429869754i</v>
      </c>
      <c r="X454" s="734">
        <f t="shared" si="333"/>
        <v>312625.42987135338</v>
      </c>
      <c r="Y454" s="735">
        <f t="shared" si="334"/>
        <v>1.5707931280787832</v>
      </c>
      <c r="Z454" s="340" t="str">
        <f>IMSUM(COMPLEX(1,0),IMDIV(COMPLEX(0,2*PI()*D454),COMPLEX(2*PI()*'Stability Calculations'!EA_Zero1,0)))</f>
        <v>1+3095.30128583915i</v>
      </c>
      <c r="AA454" s="734">
        <f t="shared" si="335"/>
        <v>3095.3014473743092</v>
      </c>
      <c r="AB454" s="735">
        <f t="shared" si="336"/>
        <v>1.5704732564786779</v>
      </c>
      <c r="AC454" s="733" t="str">
        <f>IMSUM(COMPLEX(1,0),IMDIV(COMPLEX(0,2*PI()*D454),COMPLEX(2*PI()*'Stability Calculations'!EA_Pole2,0)))</f>
        <v>1+31.1803817045454i</v>
      </c>
      <c r="AD454" s="734">
        <f t="shared" si="337"/>
        <v>31.196413307320274</v>
      </c>
      <c r="AE454" s="735">
        <f t="shared" si="338"/>
        <v>1.5387358677009044</v>
      </c>
      <c r="AF454" s="732" t="str">
        <f t="shared" si="339"/>
        <v>0.0604320420316008-1.90329641167156i</v>
      </c>
      <c r="AG454" s="337">
        <f t="shared" si="340"/>
        <v>1.9042555664579128</v>
      </c>
      <c r="AH454" s="730">
        <f t="shared" si="341"/>
        <v>-1.5390557393010098</v>
      </c>
      <c r="AI454" s="731" t="str">
        <f t="shared" si="319"/>
        <v>10000</v>
      </c>
      <c r="AJ454" s="733" t="str">
        <f t="shared" si="342"/>
        <v>1+291452.950014358i</v>
      </c>
      <c r="AK454" s="734">
        <f t="shared" si="343"/>
        <v>291452.95001607353</v>
      </c>
      <c r="AL454" s="735">
        <f t="shared" si="344"/>
        <v>1.5707928957093649</v>
      </c>
      <c r="AM454" s="340" t="str">
        <f t="shared" si="345"/>
        <v>1+494.629145477096i</v>
      </c>
      <c r="AN454" s="734">
        <f t="shared" si="346"/>
        <v>494.63015633440932</v>
      </c>
      <c r="AO454" s="735">
        <f t="shared" si="347"/>
        <v>1.5687746128568862</v>
      </c>
      <c r="AP454" s="733" t="str">
        <f t="shared" si="348"/>
        <v>1+23.9903288680768i</v>
      </c>
      <c r="AQ454" s="734">
        <f t="shared" si="349"/>
        <v>24.011161554545399</v>
      </c>
      <c r="AR454" s="735">
        <f t="shared" si="350"/>
        <v>1.5291369798906753</v>
      </c>
      <c r="AS454" s="732" t="str">
        <f t="shared" si="351"/>
        <v>0.00112861624777752-4.75103395923201i</v>
      </c>
      <c r="AT454" s="337">
        <f t="shared" si="352"/>
        <v>4.7510340932843684</v>
      </c>
      <c r="AU454" s="730">
        <f t="shared" si="353"/>
        <v>-1.5705587750879981</v>
      </c>
      <c r="AV454" s="732" t="str">
        <f t="shared" si="354"/>
        <v>-0.133491301075665+0.0412639198272553i</v>
      </c>
      <c r="AW454" s="337">
        <f t="shared" si="355"/>
        <v>-17.09461486517792</v>
      </c>
      <c r="AX454" s="730">
        <f t="shared" si="356"/>
        <v>162.82293193366434</v>
      </c>
      <c r="AY454" s="360">
        <f t="shared" si="357"/>
        <v>-17.177068066335664</v>
      </c>
      <c r="BB454" s="337">
        <f t="shared" si="358"/>
        <v>-26.464237061697364</v>
      </c>
      <c r="BC454" s="730">
        <f t="shared" si="359"/>
        <v>-89.986389289778586</v>
      </c>
      <c r="BD454" s="351"/>
      <c r="BE454" s="337">
        <f t="shared" si="320"/>
        <v>29.562526516067877</v>
      </c>
      <c r="BF454" s="730">
        <f t="shared" si="321"/>
        <v>-89.63655890303761</v>
      </c>
      <c r="BI454" s="351"/>
      <c r="BJ454" s="351"/>
      <c r="BL454" s="405">
        <f t="shared" si="322"/>
        <v>0</v>
      </c>
      <c r="BM454" s="405">
        <f t="shared" si="360"/>
        <v>0</v>
      </c>
      <c r="BN454" s="405">
        <f t="shared" si="323"/>
        <v>0</v>
      </c>
      <c r="BO454" s="405">
        <f t="shared" si="324"/>
        <v>0</v>
      </c>
    </row>
    <row r="455" spans="4:67" ht="13.5" thickBot="1" x14ac:dyDescent="0.25">
      <c r="D455" s="345">
        <v>49548.5</v>
      </c>
      <c r="E455" s="340" t="str">
        <f t="shared" si="311"/>
        <v>0.82189115498896i</v>
      </c>
      <c r="F455" s="728" t="str">
        <f t="shared" si="325"/>
        <v>0.005-0.0526574452856491i</v>
      </c>
      <c r="G455" s="337" t="str">
        <f t="shared" si="326"/>
        <v>0.005-0.0823616451903745i</v>
      </c>
      <c r="H455" s="338" t="str">
        <f t="shared" si="327"/>
        <v>0.0104618718919941-0.0813192452939921i</v>
      </c>
      <c r="I455" s="338" t="str">
        <f t="shared" si="328"/>
        <v>0.0204618718919941-0.0813192452939921i</v>
      </c>
      <c r="J455" s="337" t="str">
        <f t="shared" si="329"/>
        <v>0.00496857713584268-0.0321418868175221i</v>
      </c>
      <c r="K455" s="338" t="str">
        <f t="shared" si="312"/>
        <v>0.972721623863889-0.259435339327323i</v>
      </c>
      <c r="L455" s="732"/>
      <c r="M455" s="732" t="str">
        <f t="shared" si="313"/>
        <v>0.187995903440499-29.8817192733753i</v>
      </c>
      <c r="N455" s="337">
        <f t="shared" si="314"/>
        <v>0</v>
      </c>
      <c r="O455" s="730" t="str">
        <f t="shared" si="315"/>
        <v>-1.00530043893711-11.5464726026571i</v>
      </c>
      <c r="P455" s="731" t="str">
        <f t="shared" si="316"/>
        <v>-0.959520766650333-0.154512170211904i</v>
      </c>
      <c r="Q455" s="729" t="str">
        <f t="shared" si="317"/>
        <v>-0.949467762260962-0.0390474441853321i</v>
      </c>
      <c r="R455" s="730"/>
      <c r="S455" s="405" t="str">
        <f t="shared" si="330"/>
        <v>38.6674092360971-9.47583120270751i</v>
      </c>
      <c r="T455" s="405" t="str">
        <f t="shared" si="331"/>
        <v>14.5907253102244-5.05418660994479i</v>
      </c>
      <c r="U455" s="405" t="str">
        <f t="shared" si="332"/>
        <v>-0.258356341688871-1.23938302335088i</v>
      </c>
      <c r="V455" s="731" t="str">
        <f t="shared" si="318"/>
        <v>6000</v>
      </c>
      <c r="W455" s="733" t="str">
        <f>IMSUM(COMPLEX(1,0),IMDIV(COMPLEX(0,2*PI()*D455),COMPLEX(2*PI()*'Stability Calculations'!EA_Pole1,0)))</f>
        <v>1+314435.631264716i</v>
      </c>
      <c r="X455" s="734">
        <f t="shared" si="333"/>
        <v>314435.63126630615</v>
      </c>
      <c r="Y455" s="735">
        <f t="shared" si="334"/>
        <v>1.5707931464937457</v>
      </c>
      <c r="Z455" s="340" t="str">
        <f>IMSUM(COMPLEX(1,0),IMDIV(COMPLEX(0,2*PI()*D455),COMPLEX(2*PI()*'Stability Calculations'!EA_Zero1,0)))</f>
        <v>1+3113.22407192788i</v>
      </c>
      <c r="AA455" s="734">
        <f t="shared" si="335"/>
        <v>3113.224232533084</v>
      </c>
      <c r="AB455" s="735">
        <f t="shared" si="336"/>
        <v>1.5704751163897013</v>
      </c>
      <c r="AC455" s="733" t="str">
        <f>IMSUM(COMPLEX(1,0),IMDIV(COMPLEX(0,2*PI()*D455),COMPLEX(2*PI()*'Stability Calculations'!EA_Pole2,0)))</f>
        <v>1+31.3609261038942i</v>
      </c>
      <c r="AD455" s="734">
        <f t="shared" si="337"/>
        <v>31.376865459983616</v>
      </c>
      <c r="AE455" s="735">
        <f t="shared" si="338"/>
        <v>1.5389203139391259</v>
      </c>
      <c r="AF455" s="732" t="str">
        <f t="shared" si="339"/>
        <v>0.0597389368616831-1.8923612625685i</v>
      </c>
      <c r="AG455" s="337">
        <f t="shared" si="340"/>
        <v>1.8933039609759472</v>
      </c>
      <c r="AH455" s="730">
        <f t="shared" si="341"/>
        <v>-1.5392383440431703</v>
      </c>
      <c r="AI455" s="731" t="str">
        <f t="shared" si="319"/>
        <v>10000</v>
      </c>
      <c r="AJ455" s="733" t="str">
        <f t="shared" si="342"/>
        <v>1+293140.555967916i</v>
      </c>
      <c r="AK455" s="734">
        <f t="shared" si="343"/>
        <v>293140.55596962158</v>
      </c>
      <c r="AL455" s="735">
        <f t="shared" si="344"/>
        <v>1.5707929154620748</v>
      </c>
      <c r="AM455" s="340" t="str">
        <f t="shared" si="345"/>
        <v>1+497.493206694075i</v>
      </c>
      <c r="AN455" s="734">
        <f t="shared" si="346"/>
        <v>497.4942117319091</v>
      </c>
      <c r="AO455" s="735">
        <f t="shared" si="347"/>
        <v>1.5687862518034323</v>
      </c>
      <c r="AP455" s="733" t="str">
        <f t="shared" si="348"/>
        <v>1+24.1292405580205i</v>
      </c>
      <c r="AQ455" s="734">
        <f t="shared" si="349"/>
        <v>24.149953414174973</v>
      </c>
      <c r="AR455" s="735">
        <f t="shared" si="350"/>
        <v>1.5293765371477632</v>
      </c>
      <c r="AS455" s="732" t="str">
        <f t="shared" si="351"/>
        <v>0.0011156587991694-4.72368232829997i</v>
      </c>
      <c r="AT455" s="337">
        <f t="shared" si="352"/>
        <v>4.7236824600504193</v>
      </c>
      <c r="AU455" s="730">
        <f t="shared" si="353"/>
        <v>-1.5705601426696982</v>
      </c>
      <c r="AV455" s="732" t="str">
        <f t="shared" si="354"/>
        <v>-0.131861158491345+0.0410304713706742i</v>
      </c>
      <c r="AW455" s="337">
        <f t="shared" si="355"/>
        <v>-17.196296149905937</v>
      </c>
      <c r="AX455" s="730">
        <f t="shared" si="356"/>
        <v>162.71572853930022</v>
      </c>
      <c r="AY455" s="360">
        <f t="shared" si="357"/>
        <v>-17.284271460699784</v>
      </c>
      <c r="BB455" s="337">
        <f t="shared" si="358"/>
        <v>-26.514386092817375</v>
      </c>
      <c r="BC455" s="730">
        <f t="shared" si="359"/>
        <v>-89.986467646438143</v>
      </c>
      <c r="BD455" s="351"/>
      <c r="BE455" s="337">
        <f t="shared" si="320"/>
        <v>29.508283522475249</v>
      </c>
      <c r="BF455" s="730">
        <f t="shared" si="321"/>
        <v>-89.639537818282449</v>
      </c>
      <c r="BI455" s="351"/>
      <c r="BJ455" s="351"/>
      <c r="BL455" s="405">
        <f t="shared" si="322"/>
        <v>0</v>
      </c>
      <c r="BM455" s="405">
        <f t="shared" si="360"/>
        <v>0</v>
      </c>
      <c r="BN455" s="405">
        <f t="shared" si="323"/>
        <v>0</v>
      </c>
      <c r="BO455" s="405">
        <f t="shared" si="324"/>
        <v>0</v>
      </c>
    </row>
    <row r="456" spans="4:67" ht="13.5" thickBot="1" x14ac:dyDescent="0.25">
      <c r="D456" s="345">
        <v>49833.75</v>
      </c>
      <c r="E456" s="340" t="str">
        <f t="shared" si="311"/>
        <v>0.826622770516384i</v>
      </c>
      <c r="F456" s="728" t="str">
        <f t="shared" si="325"/>
        <v>0.005-0.0523560323623245i</v>
      </c>
      <c r="G456" s="337" t="str">
        <f t="shared" si="326"/>
        <v>0.005-0.0818902044641484i</v>
      </c>
      <c r="H456" s="338" t="str">
        <f t="shared" si="327"/>
        <v>0.0103995693230095-0.0808579475360271i</v>
      </c>
      <c r="I456" s="338" t="str">
        <f t="shared" si="328"/>
        <v>0.0203995693230095-0.0808579475360271i</v>
      </c>
      <c r="J456" s="337" t="str">
        <f t="shared" si="329"/>
        <v>0.00495887090285966-0.0319587828532855i</v>
      </c>
      <c r="K456" s="338" t="str">
        <f t="shared" si="312"/>
        <v>0.97240663734375-0.260928904834717i</v>
      </c>
      <c r="L456" s="732"/>
      <c r="M456" s="732" t="str">
        <f t="shared" si="313"/>
        <v>0.185315109039637-29.6969302908726i</v>
      </c>
      <c r="N456" s="337">
        <f t="shared" si="314"/>
        <v>0</v>
      </c>
      <c r="O456" s="730" t="str">
        <f t="shared" si="315"/>
        <v>-1.00023015373123-11.4738817492207i</v>
      </c>
      <c r="P456" s="731" t="str">
        <f t="shared" si="316"/>
        <v>-0.948158792873078-0.153185688852891i</v>
      </c>
      <c r="Q456" s="729" t="str">
        <f t="shared" si="317"/>
        <v>-0.938156491335765-0.038446871360683i</v>
      </c>
      <c r="R456" s="730"/>
      <c r="S456" s="405" t="str">
        <f t="shared" si="330"/>
        <v>38.649110597633-9.53821680446135i</v>
      </c>
      <c r="T456" s="405" t="str">
        <f t="shared" si="331"/>
        <v>14.579752290554-5.07797352978629i</v>
      </c>
      <c r="U456" s="405" t="str">
        <f t="shared" si="332"/>
        <v>-0.258971372602872-1.23169758354132i</v>
      </c>
      <c r="V456" s="731" t="str">
        <f t="shared" si="318"/>
        <v>6000</v>
      </c>
      <c r="W456" s="733" t="str">
        <f>IMSUM(COMPLEX(1,0),IMDIV(COMPLEX(0,2*PI()*D456),COMPLEX(2*PI()*'Stability Calculations'!EA_Pole1,0)))</f>
        <v>1+316245.832659678i</v>
      </c>
      <c r="X456" s="734">
        <f t="shared" si="333"/>
        <v>316245.8326612591</v>
      </c>
      <c r="Y456" s="735">
        <f t="shared" si="334"/>
        <v>1.5707931646978925</v>
      </c>
      <c r="Z456" s="340" t="str">
        <f>IMSUM(COMPLEX(1,0),IMDIV(COMPLEX(0,2*PI()*D456),COMPLEX(2*PI()*'Stability Calculations'!EA_Zero1,0)))</f>
        <v>1+3131.14685801661i</v>
      </c>
      <c r="AA456" s="734">
        <f t="shared" si="335"/>
        <v>3131.1470177025044</v>
      </c>
      <c r="AB456" s="735">
        <f t="shared" si="336"/>
        <v>1.5704769550083448</v>
      </c>
      <c r="AC456" s="733" t="str">
        <f>IMSUM(COMPLEX(1,0),IMDIV(COMPLEX(0,2*PI()*D456),COMPLEX(2*PI()*'Stability Calculations'!EA_Pole2,0)))</f>
        <v>1+31.541470503243i</v>
      </c>
      <c r="AD456" s="734">
        <f t="shared" si="337"/>
        <v>31.557318667893</v>
      </c>
      <c r="AE456" s="735">
        <f t="shared" si="338"/>
        <v>1.5391026507574199</v>
      </c>
      <c r="AF456" s="732" t="str">
        <f t="shared" si="339"/>
        <v>0.0590576837288594-1.88155092400108i</v>
      </c>
      <c r="AG456" s="337">
        <f t="shared" si="340"/>
        <v>1.8824775402688703</v>
      </c>
      <c r="AH456" s="730">
        <f t="shared" si="341"/>
        <v>-1.5394188604469676</v>
      </c>
      <c r="AI456" s="731" t="str">
        <f t="shared" si="319"/>
        <v>10000</v>
      </c>
      <c r="AJ456" s="733" t="str">
        <f t="shared" si="342"/>
        <v>1+294828.161921474i</v>
      </c>
      <c r="AK456" s="734">
        <f t="shared" si="343"/>
        <v>294828.16192316992</v>
      </c>
      <c r="AL456" s="735">
        <f t="shared" si="344"/>
        <v>1.5707929349886545</v>
      </c>
      <c r="AM456" s="340" t="str">
        <f t="shared" si="345"/>
        <v>1+500.357267911054i</v>
      </c>
      <c r="AN456" s="734">
        <f t="shared" si="346"/>
        <v>500.35826719603051</v>
      </c>
      <c r="AO456" s="735">
        <f t="shared" si="347"/>
        <v>1.5687977575070993</v>
      </c>
      <c r="AP456" s="733" t="str">
        <f t="shared" si="348"/>
        <v>1+24.2681522479642i</v>
      </c>
      <c r="AQ456" s="734">
        <f t="shared" si="349"/>
        <v>24.288746643875427</v>
      </c>
      <c r="AR456" s="735">
        <f t="shared" si="350"/>
        <v>1.5296133566133614</v>
      </c>
      <c r="AS456" s="732" t="str">
        <f t="shared" si="351"/>
        <v>0.00110292321968201-4.69664382055958i</v>
      </c>
      <c r="AT456" s="337">
        <f t="shared" si="352"/>
        <v>4.6966439500605235</v>
      </c>
      <c r="AU456" s="730">
        <f t="shared" si="353"/>
        <v>-1.5705614945952353</v>
      </c>
      <c r="AV456" s="732" t="str">
        <f t="shared" si="354"/>
        <v>-0.130258979948894+0.0407993076936361i</v>
      </c>
      <c r="AW456" s="337">
        <f t="shared" si="355"/>
        <v>-17.297408655875287</v>
      </c>
      <c r="AX456" s="730">
        <f t="shared" si="356"/>
        <v>162.60856453557517</v>
      </c>
      <c r="AY456" s="360">
        <f t="shared" si="357"/>
        <v>-17.391435464424831</v>
      </c>
      <c r="BB456" s="337">
        <f t="shared" si="358"/>
        <v>-26.564247243791172</v>
      </c>
      <c r="BC456" s="730">
        <f t="shared" si="359"/>
        <v>-89.986545106065634</v>
      </c>
      <c r="BD456" s="351"/>
      <c r="BE456" s="337">
        <f t="shared" si="320"/>
        <v>29.454400302618325</v>
      </c>
      <c r="BF456" s="730">
        <f t="shared" si="321"/>
        <v>-89.642466891100312</v>
      </c>
      <c r="BI456" s="351"/>
      <c r="BJ456" s="351"/>
      <c r="BL456" s="405">
        <f t="shared" si="322"/>
        <v>0</v>
      </c>
      <c r="BM456" s="405">
        <f t="shared" si="360"/>
        <v>0</v>
      </c>
      <c r="BN456" s="405">
        <f t="shared" si="323"/>
        <v>0</v>
      </c>
      <c r="BO456" s="405">
        <f t="shared" si="324"/>
        <v>0</v>
      </c>
    </row>
    <row r="457" spans="4:67" ht="13.5" thickBot="1" x14ac:dyDescent="0.25">
      <c r="D457" s="345">
        <v>50119</v>
      </c>
      <c r="E457" s="340" t="str">
        <f t="shared" si="311"/>
        <v>0.831354386043809i</v>
      </c>
      <c r="F457" s="728" t="str">
        <f t="shared" si="325"/>
        <v>0.005-0.0520580503947801i</v>
      </c>
      <c r="G457" s="337" t="str">
        <f t="shared" si="326"/>
        <v>0.005-0.0814241301046563i</v>
      </c>
      <c r="H457" s="338" t="str">
        <f t="shared" si="327"/>
        <v>0.0103383212276357-0.080401830407609i</v>
      </c>
      <c r="I457" s="338" t="str">
        <f t="shared" si="328"/>
        <v>0.0203383212276357-0.080401830407609i</v>
      </c>
      <c r="J457" s="337" t="str">
        <f t="shared" si="329"/>
        <v>0.00494932770506379-0.0317777621632098i</v>
      </c>
      <c r="K457" s="338" t="str">
        <f t="shared" si="312"/>
        <v>0.972089842655556-0.262422470342111i</v>
      </c>
      <c r="L457" s="732"/>
      <c r="M457" s="732" t="str">
        <f t="shared" si="313"/>
        <v>0.182692784840438-29.5144894044108i</v>
      </c>
      <c r="N457" s="337">
        <f t="shared" si="314"/>
        <v>0</v>
      </c>
      <c r="O457" s="730" t="str">
        <f t="shared" si="315"/>
        <v>-0.995243303914982-11.4022110633315i</v>
      </c>
      <c r="P457" s="731" t="str">
        <f t="shared" si="316"/>
        <v>-0.937000218200415-0.151882447975655i</v>
      </c>
      <c r="Q457" s="729" t="str">
        <f t="shared" si="317"/>
        <v>-0.927047785161265-0.0378603373423399i</v>
      </c>
      <c r="R457" s="730"/>
      <c r="S457" s="405" t="str">
        <f t="shared" si="330"/>
        <v>38.6306953032518-9.60051880022239i</v>
      </c>
      <c r="T457" s="405" t="str">
        <f t="shared" si="331"/>
        <v>14.5687235061725-5.10175463683167i</v>
      </c>
      <c r="U457" s="405" t="str">
        <f t="shared" si="332"/>
        <v>-0.259574267608356-1.22409561485877i</v>
      </c>
      <c r="V457" s="731" t="str">
        <f t="shared" si="318"/>
        <v>6000</v>
      </c>
      <c r="W457" s="733" t="str">
        <f>IMSUM(COMPLEX(1,0),IMDIV(COMPLEX(0,2*PI()*D457),COMPLEX(2*PI()*'Stability Calculations'!EA_Pole1,0)))</f>
        <v>1+318056.034054639i</v>
      </c>
      <c r="X457" s="734">
        <f t="shared" si="333"/>
        <v>318056.03405621107</v>
      </c>
      <c r="Y457" s="735">
        <f t="shared" si="334"/>
        <v>1.5707931826948234</v>
      </c>
      <c r="Z457" s="340" t="str">
        <f>IMSUM(COMPLEX(1,0),IMDIV(COMPLEX(0,2*PI()*D457),COMPLEX(2*PI()*'Stability Calculations'!EA_Zero1,0)))</f>
        <v>1+3149.06964410534i</v>
      </c>
      <c r="AA457" s="734">
        <f t="shared" si="335"/>
        <v>3149.0698028823899</v>
      </c>
      <c r="AB457" s="735">
        <f t="shared" si="336"/>
        <v>1.5704787726981626</v>
      </c>
      <c r="AC457" s="733" t="str">
        <f>IMSUM(COMPLEX(1,0),IMDIV(COMPLEX(0,2*PI()*D457),COMPLEX(2*PI()*'Stability Calculations'!EA_Pole2,0)))</f>
        <v>1+31.7220149025919i</v>
      </c>
      <c r="AD457" s="734">
        <f t="shared" si="337"/>
        <v>31.737772913048936</v>
      </c>
      <c r="AE457" s="735">
        <f t="shared" si="338"/>
        <v>1.5392829141247006</v>
      </c>
      <c r="AF457" s="732" t="str">
        <f t="shared" si="339"/>
        <v>0.0583880140289347-1.87086327337633i</v>
      </c>
      <c r="AG457" s="337">
        <f t="shared" si="340"/>
        <v>1.8717741711677294</v>
      </c>
      <c r="AH457" s="730">
        <f t="shared" si="341"/>
        <v>-1.5395973241213612</v>
      </c>
      <c r="AI457" s="731" t="str">
        <f t="shared" si="319"/>
        <v>10000</v>
      </c>
      <c r="AJ457" s="733" t="str">
        <f t="shared" si="342"/>
        <v>1+296515.767875031i</v>
      </c>
      <c r="AK457" s="734">
        <f t="shared" si="343"/>
        <v>296515.76787671726</v>
      </c>
      <c r="AL457" s="735">
        <f t="shared" si="344"/>
        <v>1.5707929542929646</v>
      </c>
      <c r="AM457" s="340" t="str">
        <f t="shared" si="345"/>
        <v>1+503.221329128033i</v>
      </c>
      <c r="AN457" s="734">
        <f t="shared" si="346"/>
        <v>503.22232272563593</v>
      </c>
      <c r="AO457" s="735">
        <f t="shared" si="347"/>
        <v>1.5688091322429123</v>
      </c>
      <c r="AP457" s="733" t="str">
        <f t="shared" si="348"/>
        <v>1+24.4070639379079i</v>
      </c>
      <c r="AQ457" s="734">
        <f t="shared" si="349"/>
        <v>24.427541220293215</v>
      </c>
      <c r="AR457" s="735">
        <f t="shared" si="350"/>
        <v>1.5298474849281589</v>
      </c>
      <c r="AS457" s="732" t="str">
        <f t="shared" si="351"/>
        <v>0.00109040447268534-4.66991308963291i</v>
      </c>
      <c r="AT457" s="337">
        <f t="shared" si="352"/>
        <v>4.6699132169352682</v>
      </c>
      <c r="AU457" s="730">
        <f t="shared" si="353"/>
        <v>-1.5705628311319282</v>
      </c>
      <c r="AV457" s="732" t="str">
        <f t="shared" si="354"/>
        <v>-0.128684130193638+0.0405703968001177i</v>
      </c>
      <c r="AW457" s="337">
        <f t="shared" si="355"/>
        <v>-17.397958990100161</v>
      </c>
      <c r="AX457" s="730">
        <f t="shared" si="356"/>
        <v>162.50143915763439</v>
      </c>
      <c r="AY457" s="360">
        <f t="shared" si="357"/>
        <v>-17.498560842365606</v>
      </c>
      <c r="BB457" s="337">
        <f t="shared" si="358"/>
        <v>-26.613823800910442</v>
      </c>
      <c r="BC457" s="730">
        <f t="shared" si="359"/>
        <v>-89.986621683977305</v>
      </c>
      <c r="BD457" s="351"/>
      <c r="BE457" s="337">
        <f t="shared" si="320"/>
        <v>29.40087188609828</v>
      </c>
      <c r="BF457" s="730">
        <f t="shared" si="321"/>
        <v>-89.645347351610965</v>
      </c>
      <c r="BI457" s="351"/>
      <c r="BJ457" s="351"/>
      <c r="BL457" s="405">
        <f t="shared" si="322"/>
        <v>0</v>
      </c>
      <c r="BM457" s="405">
        <f t="shared" si="360"/>
        <v>0</v>
      </c>
      <c r="BN457" s="405">
        <f t="shared" si="323"/>
        <v>0</v>
      </c>
      <c r="BO457" s="405">
        <f t="shared" si="324"/>
        <v>0</v>
      </c>
    </row>
    <row r="458" spans="4:67" ht="13.5" thickBot="1" x14ac:dyDescent="0.25">
      <c r="D458" s="345">
        <v>50410.75</v>
      </c>
      <c r="E458" s="340" t="str">
        <f t="shared" si="311"/>
        <v>0.836193821031105i</v>
      </c>
      <c r="F458" s="728" t="str">
        <f t="shared" si="325"/>
        <v>0.005-0.0517567667161467i</v>
      </c>
      <c r="G458" s="337" t="str">
        <f t="shared" si="326"/>
        <v>0.005-0.0809528915303834i</v>
      </c>
      <c r="H458" s="338" t="str">
        <f t="shared" si="327"/>
        <v>0.0102767436366799-0.0799405887441151i</v>
      </c>
      <c r="I458" s="338" t="str">
        <f t="shared" si="328"/>
        <v>0.0202767436366799-0.0799405887441151i</v>
      </c>
      <c r="J458" s="337" t="str">
        <f t="shared" si="329"/>
        <v>0.00493973185469138-0.0315947348052686i</v>
      </c>
      <c r="K458" s="338" t="str">
        <f t="shared" si="312"/>
        <v>0.971763958715972-0.263950069769919i</v>
      </c>
      <c r="L458" s="732"/>
      <c r="M458" s="732" t="str">
        <f t="shared" si="313"/>
        <v>0.18006940870509-29.330272566059i</v>
      </c>
      <c r="N458" s="337">
        <f t="shared" si="314"/>
        <v>0</v>
      </c>
      <c r="O458" s="730" t="str">
        <f t="shared" si="315"/>
        <v>-0.990227145999087-11.3298403369817i</v>
      </c>
      <c r="P458" s="731" t="str">
        <f t="shared" si="316"/>
        <v>-0.925792688896643-0.150572926915922i</v>
      </c>
      <c r="Q458" s="729" t="str">
        <f t="shared" si="317"/>
        <v>-0.915890417436653-0.0372745235461055i</v>
      </c>
      <c r="R458" s="730"/>
      <c r="S458" s="405" t="str">
        <f t="shared" si="330"/>
        <v>38.6117398652623-9.66415470159361i</v>
      </c>
      <c r="T458" s="405" t="str">
        <f t="shared" si="331"/>
        <v>14.5573857155321-5.12607110040485i</v>
      </c>
      <c r="U458" s="405" t="str">
        <f t="shared" si="332"/>
        <v>-0.260178620691766-1.21640530323706i</v>
      </c>
      <c r="V458" s="731" t="str">
        <f t="shared" si="318"/>
        <v>6000</v>
      </c>
      <c r="W458" s="733" t="str">
        <f>IMSUM(COMPLEX(1,0),IMDIV(COMPLEX(0,2*PI()*D458),COMPLEX(2*PI()*'Stability Calculations'!EA_Pole1,0)))</f>
        <v>1+319907.484561142i</v>
      </c>
      <c r="X458" s="734">
        <f t="shared" si="333"/>
        <v>319907.48456270492</v>
      </c>
      <c r="Y458" s="735">
        <f t="shared" si="334"/>
        <v>1.5707932008911643</v>
      </c>
      <c r="Z458" s="340" t="str">
        <f>IMSUM(COMPLEX(1,0),IMDIV(COMPLEX(0,2*PI()*D458),COMPLEX(2*PI()*'Stability Calculations'!EA_Zero1,0)))</f>
        <v>1+3167.40083723903i</v>
      </c>
      <c r="AA458" s="734">
        <f t="shared" si="335"/>
        <v>3167.4009950971645</v>
      </c>
      <c r="AB458" s="735">
        <f t="shared" si="336"/>
        <v>1.5704806105284179</v>
      </c>
      <c r="AC458" s="733" t="str">
        <f>IMSUM(COMPLEX(1,0),IMDIV(COMPLEX(0,2*PI()*D458),COMPLEX(2*PI()*'Stability Calculations'!EA_Pole2,0)))</f>
        <v>1+31.9066733723903i</v>
      </c>
      <c r="AD458" s="734">
        <f t="shared" si="337"/>
        <v>31.922340228943117</v>
      </c>
      <c r="AE458" s="735">
        <f t="shared" si="338"/>
        <v>1.5394651769358583</v>
      </c>
      <c r="AF458" s="732" t="str">
        <f t="shared" si="339"/>
        <v>0.057714794876521-1.86005683402223i</v>
      </c>
      <c r="AG458" s="337">
        <f t="shared" si="340"/>
        <v>1.8609520206981267</v>
      </c>
      <c r="AH458" s="730">
        <f t="shared" si="341"/>
        <v>-1.5397777672986048</v>
      </c>
      <c r="AI458" s="731" t="str">
        <f t="shared" si="319"/>
        <v>10000</v>
      </c>
      <c r="AJ458" s="733" t="str">
        <f t="shared" si="342"/>
        <v>1+298241.829354261i</v>
      </c>
      <c r="AK458" s="734">
        <f t="shared" si="343"/>
        <v>298241.82935593749</v>
      </c>
      <c r="AL458" s="735">
        <f t="shared" si="344"/>
        <v>1.5707929738111714</v>
      </c>
      <c r="AM458" s="340" t="str">
        <f t="shared" si="345"/>
        <v>1+506.150653790797i</v>
      </c>
      <c r="AN458" s="734">
        <f t="shared" si="346"/>
        <v>506.1516416380087</v>
      </c>
      <c r="AO458" s="735">
        <f t="shared" si="347"/>
        <v>1.5688206330140269</v>
      </c>
      <c r="AP458" s="733" t="str">
        <f t="shared" si="348"/>
        <v>1+24.5491410125479i</v>
      </c>
      <c r="AQ458" s="734">
        <f t="shared" si="349"/>
        <v>24.569499882048092</v>
      </c>
      <c r="AR458" s="735">
        <f t="shared" si="350"/>
        <v>1.5300842120071256</v>
      </c>
      <c r="AS458" s="732" t="str">
        <f t="shared" si="351"/>
        <v>0.00107781966015537-4.64288617579756i</v>
      </c>
      <c r="AT458" s="337">
        <f t="shared" si="352"/>
        <v>4.6428863009024148</v>
      </c>
      <c r="AU458" s="730">
        <f t="shared" si="353"/>
        <v>-1.5705641824777665</v>
      </c>
      <c r="AV458" s="732" t="str">
        <f t="shared" si="354"/>
        <v>-0.127101020970864+0.040338567278541i</v>
      </c>
      <c r="AW458" s="337">
        <f t="shared" si="355"/>
        <v>-17.500225803142641</v>
      </c>
      <c r="AX458" s="730">
        <f t="shared" si="356"/>
        <v>162.39191188814121</v>
      </c>
      <c r="AY458" s="360">
        <f t="shared" si="357"/>
        <v>-17.608088111858791</v>
      </c>
      <c r="BB458" s="337">
        <f t="shared" si="358"/>
        <v>-26.66423903180376</v>
      </c>
      <c r="BC458" s="730">
        <f t="shared" si="359"/>
        <v>-89.986699110390504</v>
      </c>
      <c r="BD458" s="351"/>
      <c r="BE458" s="337">
        <f t="shared" si="320"/>
        <v>29.346485668534573</v>
      </c>
      <c r="BF458" s="730">
        <f t="shared" si="321"/>
        <v>-89.648244403701156</v>
      </c>
      <c r="BI458" s="351"/>
      <c r="BJ458" s="351"/>
      <c r="BL458" s="405">
        <f t="shared" si="322"/>
        <v>0</v>
      </c>
      <c r="BM458" s="405">
        <f t="shared" si="360"/>
        <v>0</v>
      </c>
      <c r="BN458" s="405">
        <f t="shared" si="323"/>
        <v>0</v>
      </c>
      <c r="BO458" s="405">
        <f t="shared" si="324"/>
        <v>0</v>
      </c>
    </row>
    <row r="459" spans="4:67" ht="13.5" thickBot="1" x14ac:dyDescent="0.25">
      <c r="D459" s="345">
        <v>50702.5</v>
      </c>
      <c r="E459" s="340" t="str">
        <f t="shared" si="311"/>
        <v>0.841033256018401i</v>
      </c>
      <c r="F459" s="728" t="str">
        <f t="shared" si="325"/>
        <v>0.005-0.051458950302963i</v>
      </c>
      <c r="G459" s="337" t="str">
        <f t="shared" si="326"/>
        <v>0.005-0.0804870761148914i</v>
      </c>
      <c r="H459" s="338" t="str">
        <f t="shared" si="327"/>
        <v>0.0102162198398968-0.0794845857647402i</v>
      </c>
      <c r="I459" s="338" t="str">
        <f t="shared" si="328"/>
        <v>0.0202162198398968-0.0794845857647402i</v>
      </c>
      <c r="J459" s="337" t="str">
        <f t="shared" si="329"/>
        <v>0.00493029886621994-0.0314138129543108i</v>
      </c>
      <c r="K459" s="338" t="str">
        <f t="shared" si="312"/>
        <v>0.971436183263889-0.265477669197727i</v>
      </c>
      <c r="L459" s="732"/>
      <c r="M459" s="732" t="str">
        <f t="shared" si="313"/>
        <v>0.177503649140636-29.1484166494897i</v>
      </c>
      <c r="N459" s="337">
        <f t="shared" si="314"/>
        <v>0</v>
      </c>
      <c r="O459" s="730" t="str">
        <f t="shared" si="315"/>
        <v>-0.98529430364795-11.2583946640973i</v>
      </c>
      <c r="P459" s="731" t="str">
        <f t="shared" si="316"/>
        <v>-0.91478776250128-0.149286471991898i</v>
      </c>
      <c r="Q459" s="729" t="str">
        <f t="shared" si="317"/>
        <v>-0.904934819464801-0.0367025253509251i</v>
      </c>
      <c r="R459" s="730"/>
      <c r="S459" s="405" t="str">
        <f t="shared" si="330"/>
        <v>38.5926627139445-9.72770456986953i</v>
      </c>
      <c r="T459" s="405" t="str">
        <f t="shared" si="331"/>
        <v>14.545989576464-5.15038041322914i</v>
      </c>
      <c r="U459" s="405" t="str">
        <f t="shared" si="332"/>
        <v>-0.260770826374346-1.20879937458412i</v>
      </c>
      <c r="V459" s="731" t="str">
        <f t="shared" si="318"/>
        <v>6000</v>
      </c>
      <c r="W459" s="733" t="str">
        <f>IMSUM(COMPLEX(1,0),IMDIV(COMPLEX(0,2*PI()*D459),COMPLEX(2*PI()*'Stability Calculations'!EA_Pole1,0)))</f>
        <v>1+321758.935067646i</v>
      </c>
      <c r="X459" s="734">
        <f t="shared" si="333"/>
        <v>321758.93506919988</v>
      </c>
      <c r="Y459" s="735">
        <f t="shared" si="334"/>
        <v>1.5707932188780962</v>
      </c>
      <c r="Z459" s="340" t="str">
        <f>IMSUM(COMPLEX(1,0),IMDIV(COMPLEX(0,2*PI()*D459),COMPLEX(2*PI()*'Stability Calculations'!EA_Zero1,0)))</f>
        <v>1+3185.73203037273i</v>
      </c>
      <c r="AA459" s="734">
        <f t="shared" si="335"/>
        <v>3185.7321873225251</v>
      </c>
      <c r="AB459" s="735">
        <f t="shared" si="336"/>
        <v>1.5704824272083584</v>
      </c>
      <c r="AC459" s="733" t="str">
        <f>IMSUM(COMPLEX(1,0),IMDIV(COMPLEX(0,2*PI()*D459),COMPLEX(2*PI()*'Stability Calculations'!EA_Pole2,0)))</f>
        <v>1+32.0913318421889i</v>
      </c>
      <c r="AD459" s="734">
        <f t="shared" si="337"/>
        <v>32.106908593097018</v>
      </c>
      <c r="AE459" s="735">
        <f t="shared" si="338"/>
        <v>1.5396453442569669</v>
      </c>
      <c r="AF459" s="732" t="str">
        <f t="shared" si="339"/>
        <v>0.0570531486446609-1.8493743978794i</v>
      </c>
      <c r="AG459" s="337">
        <f t="shared" si="340"/>
        <v>1.8502542326129301</v>
      </c>
      <c r="AH459" s="730">
        <f t="shared" si="341"/>
        <v>-1.5399561359267047</v>
      </c>
      <c r="AI459" s="731" t="str">
        <f t="shared" si="319"/>
        <v>10000</v>
      </c>
      <c r="AJ459" s="733" t="str">
        <f t="shared" si="342"/>
        <v>1+299967.890833491i</v>
      </c>
      <c r="AK459" s="734">
        <f t="shared" si="343"/>
        <v>299967.89083515789</v>
      </c>
      <c r="AL459" s="735">
        <f t="shared" si="344"/>
        <v>1.5707929931047566</v>
      </c>
      <c r="AM459" s="340" t="str">
        <f t="shared" si="345"/>
        <v>1+509.079978453562i</v>
      </c>
      <c r="AN459" s="734">
        <f t="shared" si="346"/>
        <v>509.08096061655959</v>
      </c>
      <c r="AO459" s="735">
        <f t="shared" si="347"/>
        <v>1.5688320014312358</v>
      </c>
      <c r="AP459" s="733" t="str">
        <f t="shared" si="348"/>
        <v>1+24.691218087188i</v>
      </c>
      <c r="AQ459" s="734">
        <f t="shared" si="349"/>
        <v>24.711459904851431</v>
      </c>
      <c r="AR459" s="735">
        <f t="shared" si="350"/>
        <v>1.5303182192450813</v>
      </c>
      <c r="AS459" s="732" t="str">
        <f t="shared" si="351"/>
        <v>0.00106545146682828-4.61617029596817i</v>
      </c>
      <c r="AT459" s="337">
        <f t="shared" si="352"/>
        <v>4.6161704189258099</v>
      </c>
      <c r="AU459" s="730">
        <f t="shared" si="353"/>
        <v>-1.5705655182719009</v>
      </c>
      <c r="AV459" s="732" t="str">
        <f t="shared" si="354"/>
        <v>-0.125545212796364+0.0401090283479635i</v>
      </c>
      <c r="AW459" s="337">
        <f t="shared" si="355"/>
        <v>-17.601918154990429</v>
      </c>
      <c r="AX459" s="730">
        <f t="shared" si="356"/>
        <v>162.28242346287928</v>
      </c>
      <c r="AY459" s="360">
        <f t="shared" si="357"/>
        <v>-17.717576537120721</v>
      </c>
      <c r="BB459" s="337">
        <f t="shared" si="358"/>
        <v>-26.71436332705996</v>
      </c>
      <c r="BC459" s="730">
        <f t="shared" si="359"/>
        <v>-89.986775645756708</v>
      </c>
      <c r="BD459" s="351"/>
      <c r="BE459" s="337">
        <f t="shared" si="320"/>
        <v>29.292460424712218</v>
      </c>
      <c r="BF459" s="730">
        <f t="shared" si="321"/>
        <v>-89.651093081582175</v>
      </c>
      <c r="BI459" s="351"/>
      <c r="BJ459" s="351"/>
      <c r="BL459" s="405">
        <f t="shared" si="322"/>
        <v>0</v>
      </c>
      <c r="BM459" s="405">
        <f t="shared" si="360"/>
        <v>0</v>
      </c>
      <c r="BN459" s="405">
        <f t="shared" si="323"/>
        <v>0</v>
      </c>
      <c r="BO459" s="405">
        <f t="shared" si="324"/>
        <v>0</v>
      </c>
    </row>
    <row r="460" spans="4:67" ht="13.5" thickBot="1" x14ac:dyDescent="0.25">
      <c r="D460" s="345">
        <v>50994.25</v>
      </c>
      <c r="E460" s="340" t="str">
        <f t="shared" si="311"/>
        <v>0.845872691005697i</v>
      </c>
      <c r="F460" s="728" t="str">
        <f t="shared" si="325"/>
        <v>0.005-0.0511645416441263i</v>
      </c>
      <c r="G460" s="337" t="str">
        <f t="shared" si="326"/>
        <v>0.005-0.0800265907767102i</v>
      </c>
      <c r="H460" s="338" t="str">
        <f t="shared" si="327"/>
        <v>0.010156725962734-0.0790337331182101i</v>
      </c>
      <c r="I460" s="338" t="str">
        <f t="shared" si="328"/>
        <v>0.020156725962734-0.0790337331182101i</v>
      </c>
      <c r="J460" s="337" t="str">
        <f t="shared" si="329"/>
        <v>0.00492102501652333-0.0312349605616787i</v>
      </c>
      <c r="K460" s="338" t="str">
        <f t="shared" si="312"/>
        <v>0.971106516299306-0.267005268625536i</v>
      </c>
      <c r="L460" s="732"/>
      <c r="M460" s="732" t="str">
        <f t="shared" si="313"/>
        <v>0.17499380996525-28.968875328449i</v>
      </c>
      <c r="N460" s="337">
        <f t="shared" si="314"/>
        <v>0</v>
      </c>
      <c r="O460" s="730" t="str">
        <f t="shared" si="315"/>
        <v>-0.980442856366628-11.1878558258572i</v>
      </c>
      <c r="P460" s="731" t="str">
        <f t="shared" si="316"/>
        <v>-0.903980529483716-0.148022484944646i</v>
      </c>
      <c r="Q460" s="729" t="str">
        <f t="shared" si="317"/>
        <v>-0.89417610092005-0.0361439266860733i</v>
      </c>
      <c r="R460" s="730"/>
      <c r="S460" s="405" t="str">
        <f t="shared" si="330"/>
        <v>38.5734640038572-9.79116909334666i</v>
      </c>
      <c r="T460" s="405" t="str">
        <f t="shared" si="331"/>
        <v>14.5345350858601-5.17468204692028i</v>
      </c>
      <c r="U460" s="405" t="str">
        <f t="shared" si="332"/>
        <v>-0.261351150005068-1.20127639446798i</v>
      </c>
      <c r="V460" s="731" t="str">
        <f t="shared" si="318"/>
        <v>6000</v>
      </c>
      <c r="W460" s="733" t="str">
        <f>IMSUM(COMPLEX(1,0),IMDIV(COMPLEX(0,2*PI()*D460),COMPLEX(2*PI()*'Stability Calculations'!EA_Pole1,0)))</f>
        <v>1+323610.385574149i</v>
      </c>
      <c r="X460" s="734">
        <f t="shared" si="333"/>
        <v>323610.38557569409</v>
      </c>
      <c r="Y460" s="735">
        <f t="shared" si="334"/>
        <v>1.5707932366592132</v>
      </c>
      <c r="Z460" s="340" t="str">
        <f>IMSUM(COMPLEX(1,0),IMDIV(COMPLEX(0,2*PI()*D460),COMPLEX(2*PI()*'Stability Calculations'!EA_Zero1,0)))</f>
        <v>1+3204.06322350643i</v>
      </c>
      <c r="AA460" s="734">
        <f t="shared" si="335"/>
        <v>3204.0633795582785</v>
      </c>
      <c r="AB460" s="735">
        <f t="shared" si="336"/>
        <v>1.5704842231010012</v>
      </c>
      <c r="AC460" s="733" t="str">
        <f>IMSUM(COMPLEX(1,0),IMDIV(COMPLEX(0,2*PI()*D460),COMPLEX(2*PI()*'Stability Calculations'!EA_Pole2,0)))</f>
        <v>1+32.2759903119874i</v>
      </c>
      <c r="AD460" s="734">
        <f t="shared" si="337"/>
        <v>32.291477987535721</v>
      </c>
      <c r="AE460" s="735">
        <f t="shared" si="338"/>
        <v>1.5398234520079985</v>
      </c>
      <c r="AF460" s="732" t="str">
        <f t="shared" si="339"/>
        <v>0.0564028116715298-1.83881384476286i</v>
      </c>
      <c r="AG460" s="337">
        <f t="shared" si="340"/>
        <v>1.839678676523709</v>
      </c>
      <c r="AH460" s="730">
        <f t="shared" si="341"/>
        <v>-1.5401324655662101</v>
      </c>
      <c r="AI460" s="731" t="str">
        <f t="shared" si="319"/>
        <v>10000</v>
      </c>
      <c r="AJ460" s="733" t="str">
        <f t="shared" si="342"/>
        <v>1+301693.952312722i</v>
      </c>
      <c r="AK460" s="734">
        <f t="shared" si="343"/>
        <v>301693.95231437933</v>
      </c>
      <c r="AL460" s="735">
        <f t="shared" si="344"/>
        <v>1.5707930121775755</v>
      </c>
      <c r="AM460" s="340" t="str">
        <f t="shared" si="345"/>
        <v>1+512.009303116327i</v>
      </c>
      <c r="AN460" s="734">
        <f t="shared" si="346"/>
        <v>512.01027966015181</v>
      </c>
      <c r="AO460" s="735">
        <f t="shared" si="347"/>
        <v>1.56884323976621</v>
      </c>
      <c r="AP460" s="733" t="str">
        <f t="shared" si="348"/>
        <v>1+24.833295161828i</v>
      </c>
      <c r="AQ460" s="734">
        <f t="shared" si="349"/>
        <v>24.85342126538055</v>
      </c>
      <c r="AR460" s="735">
        <f t="shared" si="350"/>
        <v>1.5305495532229174</v>
      </c>
      <c r="AS460" s="732" t="str">
        <f t="shared" si="351"/>
        <v>0.00105329494959691-4.58976011165159i</v>
      </c>
      <c r="AT460" s="337">
        <f t="shared" si="352"/>
        <v>4.5897602325108737</v>
      </c>
      <c r="AU460" s="730">
        <f t="shared" si="353"/>
        <v>-1.5705668387812568</v>
      </c>
      <c r="AV460" s="732" t="str">
        <f t="shared" si="354"/>
        <v>-0.124016082276058+0.0398817474539257i</v>
      </c>
      <c r="AW460" s="337">
        <f t="shared" si="355"/>
        <v>-17.703042757570657</v>
      </c>
      <c r="AX460" s="730">
        <f t="shared" si="356"/>
        <v>162.17297311970827</v>
      </c>
      <c r="AY460" s="360">
        <f t="shared" si="357"/>
        <v>-17.827026880291726</v>
      </c>
      <c r="BB460" s="337">
        <f t="shared" si="358"/>
        <v>-26.764200025277741</v>
      </c>
      <c r="BC460" s="730">
        <f t="shared" si="359"/>
        <v>-89.986851305369598</v>
      </c>
      <c r="BD460" s="351"/>
      <c r="BE460" s="337">
        <f t="shared" si="320"/>
        <v>29.238791168630559</v>
      </c>
      <c r="BF460" s="730">
        <f t="shared" si="321"/>
        <v>-89.653894578782442</v>
      </c>
      <c r="BI460" s="351"/>
      <c r="BJ460" s="351"/>
      <c r="BL460" s="405">
        <f t="shared" si="322"/>
        <v>0</v>
      </c>
      <c r="BM460" s="405">
        <f t="shared" si="360"/>
        <v>0</v>
      </c>
      <c r="BN460" s="405">
        <f t="shared" si="323"/>
        <v>0</v>
      </c>
      <c r="BO460" s="405">
        <f t="shared" si="324"/>
        <v>0</v>
      </c>
    </row>
    <row r="461" spans="4:67" ht="13.5" thickBot="1" x14ac:dyDescent="0.25">
      <c r="D461" s="345">
        <v>51286</v>
      </c>
      <c r="E461" s="340" t="str">
        <f t="shared" ref="E461:E524" si="361">COMPLEX(0,2*PI()*D461*L)</f>
        <v>0.850712125992992i</v>
      </c>
      <c r="F461" s="728" t="str">
        <f t="shared" si="325"/>
        <v>0.005-0.0508734825826928i</v>
      </c>
      <c r="G461" s="337" t="str">
        <f t="shared" si="326"/>
        <v>0.005-0.079571344552417i</v>
      </c>
      <c r="H461" s="338" t="str">
        <f t="shared" si="327"/>
        <v>0.0100982388019958-0.0785879444199354i</v>
      </c>
      <c r="I461" s="338" t="str">
        <f t="shared" si="328"/>
        <v>0.0200982388019958-0.0785879444199354i</v>
      </c>
      <c r="J461" s="337" t="str">
        <f t="shared" si="329"/>
        <v>0.00491190668796175-0.0310581423962923i</v>
      </c>
      <c r="K461" s="338" t="str">
        <f t="shared" ref="K461:K524" si="362">IMSUM(COMPLEX(1,0),COMPLEX(0,2*PI()*D461/(Fsw*PI()*(-2)/PI())),IMPRODUCT(COMPLEX(0,2*PI()*D461/(Fsw*PI())),COMPLEX(0,2*PI()*D461/(Fsw*PI()))))</f>
        <v>0.970774957822222-0.268532868053344i</v>
      </c>
      <c r="L461" s="732"/>
      <c r="M461" s="732" t="str">
        <f t="shared" ref="M461:M524" si="363">IF(Vin&gt;=Vout,IMDIV(COMPLEX(Vin,0),IMSUM(E461,J461)),IMDIV(IMSUM(COMPLEX(Vout,0),IMPRODUCT(J461,COMPLEX($B$4,0))),IMSUM(E461,IMPRODUCT(J461,COMPLEX((1-$B$11)^2,0)))))</f>
        <v>0.172538257179938-28.7916035064282i</v>
      </c>
      <c r="N461" s="337">
        <f t="shared" ref="N461:N524" si="364">IF(Vin&gt;=Vout,0,IMSUB(IMPRODUCT(M461,COMPLEX(1-$B$11,0)),COMPLEX($B$4/(1-$B$11),0)))</f>
        <v>0</v>
      </c>
      <c r="O461" s="730" t="str">
        <f t="shared" ref="O461:O524" si="365">IMDIV(IF(Vin&gt;=Vout,M461,N461),IMPRODUCT(I461,IMSUM(IMDIV(COMPLEX(1,0),F461),IMDIV(COMPLEX(1,0),I461))))</f>
        <v>-0.975670938054609-11.1182060893048i</v>
      </c>
      <c r="P461" s="731" t="str">
        <f t="shared" ref="P461:P524" si="366">IF(Vin&gt;=Vout,IMDIV(IMPRODUCT(COMPLEX(Vin,0),J461),IMSUM(J461,E461)),IMPRODUCT(N461,J461))</f>
        <v>-0.893366229700865-0.14678038758067i</v>
      </c>
      <c r="Q461" s="729" t="str">
        <f t="shared" ref="Q461:Q524" si="367">IF(Vin&gt;=Vout,IMDIV(IMPRODUCT(P461,H461),IMSUM(COMPLEX($B$15,0),H461)),IMPRODUCT(O461,H461))</f>
        <v>-0.883609520320319-0.0355983266876212i</v>
      </c>
      <c r="R461" s="730"/>
      <c r="S461" s="405" t="str">
        <f t="shared" si="330"/>
        <v>38.5541438850433-9.85454893890905i</v>
      </c>
      <c r="T461" s="405" t="str">
        <f t="shared" si="331"/>
        <v>14.52302224297-5.19897548128957i</v>
      </c>
      <c r="U461" s="405" t="str">
        <f t="shared" si="332"/>
        <v>-0.261919849427987-1.1938349607758i</v>
      </c>
      <c r="V461" s="731" t="str">
        <f t="shared" ref="V461:V524" si="368">COMPLEX(AEA,0)</f>
        <v>6000</v>
      </c>
      <c r="W461" s="733" t="str">
        <f>IMSUM(COMPLEX(1,0),IMDIV(COMPLEX(0,2*PI()*D461),COMPLEX(2*PI()*'Stability Calculations'!EA_Pole1,0)))</f>
        <v>1+325461.836080652i</v>
      </c>
      <c r="X461" s="734">
        <f t="shared" si="333"/>
        <v>325461.8360821883</v>
      </c>
      <c r="Y461" s="735">
        <f t="shared" si="334"/>
        <v>1.5707932542380278</v>
      </c>
      <c r="Z461" s="340" t="str">
        <f>IMSUM(COMPLEX(1,0),IMDIV(COMPLEX(0,2*PI()*D461),COMPLEX(2*PI()*'Stability Calculations'!EA_Zero1,0)))</f>
        <v>1+3222.39441664012i</v>
      </c>
      <c r="AA461" s="734">
        <f t="shared" si="335"/>
        <v>3222.3945718042387</v>
      </c>
      <c r="AB461" s="735">
        <f t="shared" si="336"/>
        <v>1.5704859985611042</v>
      </c>
      <c r="AC461" s="733" t="str">
        <f>IMSUM(COMPLEX(1,0),IMDIV(COMPLEX(0,2*PI()*D461),COMPLEX(2*PI()*'Stability Calculations'!EA_Pole2,0)))</f>
        <v>1+32.4606487817858i</v>
      </c>
      <c r="AD461" s="734">
        <f t="shared" si="337"/>
        <v>32.476048394693152</v>
      </c>
      <c r="AE461" s="735">
        <f t="shared" si="338"/>
        <v>1.539999535292883</v>
      </c>
      <c r="AF461" s="732" t="str">
        <f t="shared" si="339"/>
        <v>0.0557635277590508-1.82837310250205i</v>
      </c>
      <c r="AG461" s="337">
        <f t="shared" si="340"/>
        <v>1.8292232704022506</v>
      </c>
      <c r="AH461" s="730">
        <f t="shared" si="341"/>
        <v>-1.5403067909698067</v>
      </c>
      <c r="AI461" s="731" t="str">
        <f t="shared" ref="AI461:AI524" si="369">COMPLEX(AIL,0)</f>
        <v>10000</v>
      </c>
      <c r="AJ461" s="733" t="str">
        <f t="shared" si="342"/>
        <v>1+303420.013791952i</v>
      </c>
      <c r="AK461" s="734">
        <f t="shared" si="343"/>
        <v>303420.01379359985</v>
      </c>
      <c r="AL461" s="735">
        <f t="shared" si="344"/>
        <v>1.570793031033396</v>
      </c>
      <c r="AM461" s="340" t="str">
        <f t="shared" si="345"/>
        <v>1+514.938627779091i</v>
      </c>
      <c r="AN461" s="734">
        <f t="shared" si="346"/>
        <v>514.93959876767417</v>
      </c>
      <c r="AO461" s="735">
        <f t="shared" si="347"/>
        <v>1.5688543502389298</v>
      </c>
      <c r="AP461" s="733" t="str">
        <f t="shared" si="348"/>
        <v>1+24.975372236468i</v>
      </c>
      <c r="AQ461" s="734">
        <f t="shared" si="349"/>
        <v>24.995383940842689</v>
      </c>
      <c r="AR461" s="735">
        <f t="shared" si="350"/>
        <v>1.5307782594644501</v>
      </c>
      <c r="AS461" s="732" t="str">
        <f t="shared" si="351"/>
        <v>0.00104134530555192-4.56365040583065i</v>
      </c>
      <c r="AT461" s="337">
        <f t="shared" si="352"/>
        <v>4.5636505246390531</v>
      </c>
      <c r="AU461" s="730">
        <f t="shared" si="353"/>
        <v>-1.5705681442666846</v>
      </c>
      <c r="AV461" s="732" t="str">
        <f t="shared" si="354"/>
        <v>-0.122513023717328+0.0396566925901791i</v>
      </c>
      <c r="AW461" s="337">
        <f t="shared" si="355"/>
        <v>-17.803606207869514</v>
      </c>
      <c r="AX461" s="730">
        <f t="shared" si="356"/>
        <v>162.06356011436341</v>
      </c>
      <c r="AY461" s="360">
        <f t="shared" si="357"/>
        <v>-17.936439885636588</v>
      </c>
      <c r="BB461" s="337">
        <f t="shared" si="358"/>
        <v>-26.813752407916063</v>
      </c>
      <c r="BC461" s="730">
        <f t="shared" si="359"/>
        <v>-89.986926104174827</v>
      </c>
      <c r="BD461" s="351"/>
      <c r="BE461" s="337">
        <f t="shared" ref="BE461:BE524" si="370">20*LOG10(IMABS(M461))</f>
        <v>29.185473019867057</v>
      </c>
      <c r="BF461" s="730">
        <f t="shared" ref="BF461:BF524" si="371">180/PI()*IMARGUMENT(IMPRODUCT(COMPLEX(1,0),M461))</f>
        <v>-89.65665005067045</v>
      </c>
      <c r="BI461" s="351"/>
      <c r="BJ461" s="351"/>
      <c r="BL461" s="405">
        <f t="shared" ref="BL461:BL524" si="372">SUM((AW462&lt;0)*(AW461&gt;0))*D461</f>
        <v>0</v>
      </c>
      <c r="BM461" s="405">
        <f t="shared" si="360"/>
        <v>0</v>
      </c>
      <c r="BN461" s="405">
        <f t="shared" ref="BN461:BN524" si="373">SUM((BB462&lt;0)*(BB461&gt;0))*D461</f>
        <v>0</v>
      </c>
      <c r="BO461" s="405">
        <f t="shared" ref="BO461:BO524" si="374">IF(BN461&gt;0,BC461,0)</f>
        <v>0</v>
      </c>
    </row>
    <row r="462" spans="4:67" ht="13.5" thickBot="1" x14ac:dyDescent="0.25">
      <c r="D462" s="345">
        <v>51584.75</v>
      </c>
      <c r="E462" s="340" t="str">
        <f t="shared" si="361"/>
        <v>0.855667674244765i</v>
      </c>
      <c r="F462" s="728" t="str">
        <f t="shared" ref="F462:F525" si="375">IMSUM(COMPLEX($B$8,0),IMDIV(COMPLEX(1,0),COMPLEX(0,2*PI()*D462*$B$6)))</f>
        <v>0.005-0.0505788518454773i</v>
      </c>
      <c r="G462" s="337" t="str">
        <f t="shared" ref="G462:G525" si="376">IMSUM(COMPLEX($B$9,0),IMDIV(COMPLEX(1,0),COMPLEX(0,2*PI()*D462*$B$7)))</f>
        <v>0.005-0.0791105118608746i</v>
      </c>
      <c r="H462" s="338" t="str">
        <f t="shared" ref="H462:H525" si="377">IMDIV(COMPLEX(1,0),IMSUM(IMDIV(COMPLEX(1,0),COMPLEX($B$5,0)), IMDIV(COMPLEX(1,0),G462)))</f>
        <v>0.0100393680324501-0.0781366192798834i</v>
      </c>
      <c r="I462" s="338" t="str">
        <f t="shared" ref="I462:I525" si="378">IMSUM(H462,COMPLEX($B$15,0))</f>
        <v>0.0200393680324501-0.0781366192798834i</v>
      </c>
      <c r="J462" s="337" t="str">
        <f t="shared" ref="J462:J525" si="379">IMDIV(COMPLEX(1,0),IMSUM(IMDIV(COMPLEX(1,0),F462),IMDIV(COMPLEX(1,0),IMSUM(COMPLEX($B$15,0),H462))))</f>
        <v>0.00490272707330722-0.0308791538647409i</v>
      </c>
      <c r="K462" s="338" t="str">
        <f t="shared" si="362"/>
        <v>0.970433484082639-0.270097119395444i</v>
      </c>
      <c r="L462" s="732"/>
      <c r="M462" s="732" t="str">
        <f t="shared" si="363"/>
        <v>0.170078399389807-28.6123843493279i</v>
      </c>
      <c r="N462" s="337">
        <f t="shared" si="364"/>
        <v>0</v>
      </c>
      <c r="O462" s="730" t="str">
        <f t="shared" si="365"/>
        <v>-0.970865046468983-11.0477885627301i</v>
      </c>
      <c r="P462" s="731" t="str">
        <f t="shared" si="366"/>
        <v>-0.882692370786728-0.145530588445148i</v>
      </c>
      <c r="Q462" s="729" t="str">
        <f t="shared" si="367"/>
        <v>-0.872983720322039-0.0350527028178467i</v>
      </c>
      <c r="R462" s="730"/>
      <c r="S462" s="405" t="str">
        <f t="shared" ref="S462:S525" si="380">IMDIV(IMPRODUCT(COMPLEX($B$34,0),M462),IMSUM(COMPLEX(1,0),IMPRODUCT(M462,COMPLEX($B$29,0),K462,COMPLEX($B$34,0))))</f>
        <v>38.5342345548424-9.91936239117266i</v>
      </c>
      <c r="T462" s="405" t="str">
        <f t="shared" ref="T462:T525" si="381">IMDIV(IMPRODUCT(COMPLEX($B$34,0),O462),IMSUM(COMPLEX(1,0),IMPRODUCT(M462,COMPLEX($B$29,0),K462,COMPLEX($B$34,0))))</f>
        <v>14.5111727032356-5.2238427597752i</v>
      </c>
      <c r="U462" s="405" t="str">
        <f t="shared" ref="U462:U525" si="382">IMDIV(IMPRODUCT(COMPLEX($B$34,0),Q462),IMSUM(COMPLEX(1,0),IMPRODUCT(M462,COMPLEX($B$29,0),K462,COMPLEX($B$34,0))))</f>
        <v>-0.262490409548305-1.18629805682639i</v>
      </c>
      <c r="V462" s="731" t="str">
        <f t="shared" si="368"/>
        <v>6000</v>
      </c>
      <c r="W462" s="733" t="str">
        <f>IMSUM(COMPLEX(1,0),IMDIV(COMPLEX(0,2*PI()*D462),COMPLEX(2*PI()*'Stability Calculations'!EA_Pole1,0)))</f>
        <v>1+327357.708707277i</v>
      </c>
      <c r="X462" s="734">
        <f t="shared" ref="X462:X525" si="383">IMABS(W462)</f>
        <v>327357.70870880439</v>
      </c>
      <c r="Y462" s="735">
        <f t="shared" ref="Y462:Y525" si="384">IMARGUMENT(W462)</f>
        <v>1.5707932720325575</v>
      </c>
      <c r="Z462" s="340" t="str">
        <f>IMSUM(COMPLEX(1,0),IMDIV(COMPLEX(0,2*PI()*D462),COMPLEX(2*PI()*'Stability Calculations'!EA_Zero1,0)))</f>
        <v>1+3241.16543274532i</v>
      </c>
      <c r="AA462" s="734">
        <f t="shared" ref="AA462:AA525" si="385">IMABS(Z462)</f>
        <v>3241.1655870108143</v>
      </c>
      <c r="AB462" s="735">
        <f t="shared" ref="AB462:AB525" si="386">IMARGUMENT(Z462)</f>
        <v>1.5704877958084291</v>
      </c>
      <c r="AC462" s="733" t="str">
        <f>IMSUM(COMPLEX(1,0),IMDIV(COMPLEX(0,2*PI()*D462),COMPLEX(2*PI()*'Stability Calculations'!EA_Pole2,0)))</f>
        <v>1+32.6497377889917i</v>
      </c>
      <c r="AD462" s="734">
        <f t="shared" ref="AD462:AD525" si="387">IMABS(AC462)</f>
        <v>32.665048257884344</v>
      </c>
      <c r="AE462" s="735">
        <f t="shared" ref="AE462:AE525" si="388">IMARGUMENT(AC462)</f>
        <v>1.5401777812958442</v>
      </c>
      <c r="AF462" s="732" t="str">
        <f t="shared" ref="AF462:AF525" si="389">IMPRODUCT(V462,IMDIV(Z462,IMPRODUCT(W462,AC462)))</f>
        <v>0.0551200994151389-1.81780389581231i</v>
      </c>
      <c r="AG462" s="337">
        <f t="shared" ref="AG462:AG525" si="390">IMABS(AF462)</f>
        <v>1.818639389485982</v>
      </c>
      <c r="AH462" s="730">
        <f t="shared" ref="AH462:AH525" si="391">IMARGUMENT(AF462)</f>
        <v>-1.5404832575199725</v>
      </c>
      <c r="AI462" s="731" t="str">
        <f t="shared" si="369"/>
        <v>10000</v>
      </c>
      <c r="AJ462" s="733" t="str">
        <f t="shared" ref="AJ462:AJ525" si="392">IMSUM(COMPLEX(1,0),IMDIV(COMPLEX(0,2*PI()*D462),COMPLEX(2*PI()*IL_Pole1,0)))</f>
        <v>1+305187.488914214i</v>
      </c>
      <c r="AK462" s="734">
        <f t="shared" ref="AK462:AK525" si="393">IMABS(AJ462)</f>
        <v>305187.48891585233</v>
      </c>
      <c r="AL462" s="735">
        <f t="shared" ref="AL462:AL525" si="394">IMARGUMENT(AJ462)</f>
        <v>1.570793050120602</v>
      </c>
      <c r="AM462" s="340" t="str">
        <f t="shared" ref="AM462:AM525" si="395">IMSUM(COMPLEX(1,0),IMDIV(COMPLEX(0,2*PI()*D462),COMPLEX(2*PI()*IL_Zero1,0)))</f>
        <v>1+517.938236152702i</v>
      </c>
      <c r="AN462" s="734">
        <f t="shared" ref="AN462:AN525" si="396">IMABS(AM462)</f>
        <v>517.93920151787313</v>
      </c>
      <c r="AO462" s="735">
        <f t="shared" ref="AO462:AO525" si="397">IMARGUMENT(AM462)</f>
        <v>1.5688655970521856</v>
      </c>
      <c r="AP462" s="733" t="str">
        <f t="shared" ref="AP462:AP525" si="398">IMSUM(COMPLEX(1,0),IMDIV(COMPLEX(0,2*PI()*D462),COMPLEX(2*PI()*IL_Pole2,0)))</f>
        <v>1+25.1208581869349i</v>
      </c>
      <c r="AQ462" s="734">
        <f t="shared" ref="AQ462:AQ525" si="399">IMABS(AP462)</f>
        <v>25.14075408670341</v>
      </c>
      <c r="AR462" s="735">
        <f t="shared" ref="AR462:AR525" si="400">IMARGUMENT(AP462)</f>
        <v>1.5310097764970674</v>
      </c>
      <c r="AS462" s="732" t="str">
        <f t="shared" ref="AS462:AS525" si="401">_xlfn.SWITCH(IMONLIM_select,0,COMPLEX(1,0),1,IMPRODUCT(gm_IL,IMDIV(COMPLEX(1,0),IMSUM(COMPLEX(1/20000000,0),COMPLEX(0,2*PI()*D462*CISET),COMPLEX(1/RISET,0)))),2,IMPRODUCT(gm_IL,IMDIV(COMPLEX(1,0),IMSUM(COMPLEX(1/20000000,0),COMPLEX(0,2*PI()*D462*CcIL)))),3,IMPRODUCT(AI462,IMDIV(AM462,IMPRODUCT(AJ462,AP462))))</f>
        <v>0.0010293184553685-4.53722029968499i</v>
      </c>
      <c r="AT462" s="337">
        <f t="shared" ref="AT462:AT525" si="402">IMABS(AS462)</f>
        <v>4.5372204164411096</v>
      </c>
      <c r="AU462" s="730">
        <f t="shared" ref="AU462:AU525" si="403">IMARGUMENT(AS462)</f>
        <v>-1.5705694657721285</v>
      </c>
      <c r="AV462" s="732" t="str">
        <f t="shared" ref="AV462:AV525" si="404">IMPRODUCT(T462,AS462,COMPLEX($B$15,0),IMPRODUCT(COMPLEX(0.1,0),AF462))</f>
        <v>-0.121000305127899+0.0394285118717345i</v>
      </c>
      <c r="AW462" s="337">
        <f t="shared" ref="AW462:AW525" si="405">20*LOG10(IMABS(AV462))</f>
        <v>-17.906007755044289</v>
      </c>
      <c r="AX462" s="730">
        <f t="shared" ref="AX462:AX525" si="406">(180/PI())*IMARGUMENT(AV462)</f>
        <v>161.95155988010444</v>
      </c>
      <c r="AY462" s="360">
        <f t="shared" ref="AY462:AY525" si="407">IF(AX462&gt;0,AX462-180,AX462+180)</f>
        <v>-18.04844011989556</v>
      </c>
      <c r="BB462" s="337">
        <f t="shared" ref="BB462:BB525" si="408">20*LOG10(IMPRODUCT(COMPLEX($B$15,0),IMABS(AS462)))</f>
        <v>-26.864202447217028</v>
      </c>
      <c r="BC462" s="730">
        <f t="shared" ref="BC462:BC525" si="409">(180/PI())*IMARGUMENT(AS462)</f>
        <v>-89.987001820859376</v>
      </c>
      <c r="BD462" s="351"/>
      <c r="BE462" s="337">
        <f t="shared" si="370"/>
        <v>29.131234455522574</v>
      </c>
      <c r="BF462" s="730">
        <f t="shared" si="371"/>
        <v>-89.659425108317905</v>
      </c>
      <c r="BI462" s="351"/>
      <c r="BJ462" s="351"/>
      <c r="BL462" s="405">
        <f t="shared" si="372"/>
        <v>0</v>
      </c>
      <c r="BM462" s="405">
        <f t="shared" si="360"/>
        <v>0</v>
      </c>
      <c r="BN462" s="405">
        <f t="shared" si="373"/>
        <v>0</v>
      </c>
      <c r="BO462" s="405">
        <f t="shared" si="374"/>
        <v>0</v>
      </c>
    </row>
    <row r="463" spans="4:67" ht="13.5" thickBot="1" x14ac:dyDescent="0.25">
      <c r="D463" s="345">
        <v>51883.5</v>
      </c>
      <c r="E463" s="340" t="str">
        <f t="shared" si="361"/>
        <v>0.860623222496537i</v>
      </c>
      <c r="F463" s="728" t="str">
        <f t="shared" si="375"/>
        <v>0.005-0.0502876141304266i</v>
      </c>
      <c r="G463" s="337" t="str">
        <f t="shared" si="376"/>
        <v>0.005-0.0786549862040008i</v>
      </c>
      <c r="H463" s="338" t="str">
        <f t="shared" si="377"/>
        <v>0.00998150568473354-0.0776904267582044i</v>
      </c>
      <c r="I463" s="338" t="str">
        <f t="shared" si="378"/>
        <v>0.0199815056847335-0.0776904267582044i</v>
      </c>
      <c r="J463" s="337" t="str">
        <f t="shared" si="379"/>
        <v>0.00489370317825455-0.0307022261046122i</v>
      </c>
      <c r="K463" s="338" t="str">
        <f t="shared" si="362"/>
        <v>0.970090026975-0.271661370737543i</v>
      </c>
      <c r="L463" s="732"/>
      <c r="M463" s="732" t="str">
        <f t="shared" si="363"/>
        <v>0.167672184679752-28.4354529704564i</v>
      </c>
      <c r="N463" s="337">
        <f t="shared" si="364"/>
        <v>0</v>
      </c>
      <c r="O463" s="730" t="str">
        <f t="shared" si="365"/>
        <v>-0.966138752516061-10.978267171344i</v>
      </c>
      <c r="P463" s="731" t="str">
        <f t="shared" si="366"/>
        <v>-0.872211168582948-0.144302575902122i</v>
      </c>
      <c r="Q463" s="729" t="str">
        <f t="shared" si="367"/>
        <v>-0.862549781057788-0.0345199041886813i</v>
      </c>
      <c r="R463" s="730"/>
      <c r="S463" s="405" t="str">
        <f t="shared" si="380"/>
        <v>38.5141982247068-9.98408840237602i</v>
      </c>
      <c r="T463" s="405" t="str">
        <f t="shared" si="381"/>
        <v>14.4992619832279-5.24870036213641i</v>
      </c>
      <c r="U463" s="405" t="str">
        <f t="shared" si="382"/>
        <v>-0.263049305150293-1.17884378365812i</v>
      </c>
      <c r="V463" s="731" t="str">
        <f t="shared" si="368"/>
        <v>6000</v>
      </c>
      <c r="W463" s="733" t="str">
        <f>IMSUM(COMPLEX(1,0),IMDIV(COMPLEX(0,2*PI()*D463),COMPLEX(2*PI()*'Stability Calculations'!EA_Pole1,0)))</f>
        <v>1+329253.581333903i</v>
      </c>
      <c r="X463" s="734">
        <f t="shared" si="383"/>
        <v>329253.58133542165</v>
      </c>
      <c r="Y463" s="735">
        <f t="shared" si="384"/>
        <v>1.5707932896221619</v>
      </c>
      <c r="Z463" s="340" t="str">
        <f>IMSUM(COMPLEX(1,0),IMDIV(COMPLEX(0,2*PI()*D463),COMPLEX(2*PI()*'Stability Calculations'!EA_Zero1,0)))</f>
        <v>1+3259.93644885052i</v>
      </c>
      <c r="AA463" s="734">
        <f t="shared" si="385"/>
        <v>3259.9366022277395</v>
      </c>
      <c r="AB463" s="735">
        <f t="shared" si="386"/>
        <v>1.5704895723583228</v>
      </c>
      <c r="AC463" s="733" t="str">
        <f>IMSUM(COMPLEX(1,0),IMDIV(COMPLEX(0,2*PI()*D463),COMPLEX(2*PI()*'Stability Calculations'!EA_Pole2,0)))</f>
        <v>1+32.8388267961975i</v>
      </c>
      <c r="AD463" s="734">
        <f t="shared" si="387"/>
        <v>32.854049146956896</v>
      </c>
      <c r="AE463" s="735">
        <f t="shared" si="388"/>
        <v>1.54035397649759</v>
      </c>
      <c r="AF463" s="732" t="str">
        <f t="shared" si="389"/>
        <v>0.0544877400704783-1.80735606899512i</v>
      </c>
      <c r="AG463" s="337">
        <f t="shared" si="390"/>
        <v>1.808177224154613</v>
      </c>
      <c r="AH463" s="730">
        <f t="shared" si="391"/>
        <v>-1.5406576937614296</v>
      </c>
      <c r="AI463" s="731" t="str">
        <f t="shared" si="369"/>
        <v>10000</v>
      </c>
      <c r="AJ463" s="733" t="str">
        <f t="shared" si="392"/>
        <v>1+306954.964036476i</v>
      </c>
      <c r="AK463" s="734">
        <f t="shared" si="393"/>
        <v>306954.96403810487</v>
      </c>
      <c r="AL463" s="735">
        <f t="shared" si="394"/>
        <v>1.5707930689879961</v>
      </c>
      <c r="AM463" s="340" t="str">
        <f t="shared" si="395"/>
        <v>1+520.937844526313i</v>
      </c>
      <c r="AN463" s="734">
        <f t="shared" si="396"/>
        <v>520.93880433283243</v>
      </c>
      <c r="AO463" s="735">
        <f t="shared" si="397"/>
        <v>1.5688767143455362</v>
      </c>
      <c r="AP463" s="733" t="str">
        <f t="shared" si="398"/>
        <v>1+25.2663441374018i</v>
      </c>
      <c r="AQ463" s="734">
        <f t="shared" si="399"/>
        <v>25.286125564617809</v>
      </c>
      <c r="AR463" s="735">
        <f t="shared" si="400"/>
        <v>1.5312386315307556</v>
      </c>
      <c r="AS463" s="732" t="str">
        <f t="shared" si="401"/>
        <v>0.0010174987616082-4.51109456749249i</v>
      </c>
      <c r="AT463" s="337">
        <f t="shared" si="402"/>
        <v>4.511094682243324</v>
      </c>
      <c r="AU463" s="730">
        <f t="shared" si="403"/>
        <v>-1.570570772058872</v>
      </c>
      <c r="AV463" s="732" t="str">
        <f t="shared" si="404"/>
        <v>-0.119513693468729+0.039202599080615i</v>
      </c>
      <c r="AW463" s="337">
        <f t="shared" si="405"/>
        <v>-18.007834541842659</v>
      </c>
      <c r="AX463" s="730">
        <f t="shared" si="406"/>
        <v>161.83959727259773</v>
      </c>
      <c r="AY463" s="360">
        <f t="shared" si="407"/>
        <v>-18.160402727402271</v>
      </c>
      <c r="BB463" s="337">
        <f t="shared" si="408"/>
        <v>-26.914361150157177</v>
      </c>
      <c r="BC463" s="730">
        <f t="shared" si="409"/>
        <v>-89.987076665576609</v>
      </c>
      <c r="BD463" s="351"/>
      <c r="BE463" s="337">
        <f t="shared" si="370"/>
        <v>29.077354017702245</v>
      </c>
      <c r="BF463" s="730">
        <f t="shared" si="371"/>
        <v>-89.662154241295994</v>
      </c>
      <c r="BI463" s="351"/>
      <c r="BJ463" s="351"/>
      <c r="BL463" s="405">
        <f t="shared" si="372"/>
        <v>0</v>
      </c>
      <c r="BM463" s="405">
        <f t="shared" si="360"/>
        <v>0</v>
      </c>
      <c r="BN463" s="405">
        <f t="shared" si="373"/>
        <v>0</v>
      </c>
      <c r="BO463" s="405">
        <f t="shared" si="374"/>
        <v>0</v>
      </c>
    </row>
    <row r="464" spans="4:67" ht="13.5" thickBot="1" x14ac:dyDescent="0.25">
      <c r="D464" s="345">
        <v>52182.25</v>
      </c>
      <c r="E464" s="340" t="str">
        <f t="shared" si="361"/>
        <v>0.86557877074831i</v>
      </c>
      <c r="F464" s="728" t="str">
        <f t="shared" si="375"/>
        <v>0.005-0.0499997111610938i</v>
      </c>
      <c r="G464" s="337" t="str">
        <f t="shared" si="376"/>
        <v>0.005-0.0782046764314545i</v>
      </c>
      <c r="H464" s="338" t="str">
        <f t="shared" si="377"/>
        <v>0.00992462888933553-0.0772492801642104i</v>
      </c>
      <c r="I464" s="338" t="str">
        <f t="shared" si="378"/>
        <v>0.0199246288893355-0.0772492801642104i</v>
      </c>
      <c r="J464" s="337" t="str">
        <f t="shared" si="379"/>
        <v>0.00488483143948277-0.0305273238044901i</v>
      </c>
      <c r="K464" s="338" t="str">
        <f t="shared" si="362"/>
        <v>0.969744586499306-0.273225622079643i</v>
      </c>
      <c r="L464" s="732"/>
      <c r="M464" s="732" t="str">
        <f t="shared" si="363"/>
        <v>0.165318044037764-28.2607646937095i</v>
      </c>
      <c r="N464" s="337">
        <f t="shared" si="364"/>
        <v>0</v>
      </c>
      <c r="O464" s="730" t="str">
        <f t="shared" si="365"/>
        <v>-0.961490218130844-10.9096243540378i</v>
      </c>
      <c r="P464" s="731" t="str">
        <f t="shared" si="366"/>
        <v>-0.861917963988343-0.143095789340722i</v>
      </c>
      <c r="Q464" s="729" t="str">
        <f t="shared" si="367"/>
        <v>-0.852303061807034-0.0339995458003439i</v>
      </c>
      <c r="R464" s="730"/>
      <c r="S464" s="405" t="str">
        <f t="shared" si="380"/>
        <v>38.4940350420954-10.0487276224743i</v>
      </c>
      <c r="T464" s="405" t="str">
        <f t="shared" si="381"/>
        <v>14.4872900894249-5.2735477550883i</v>
      </c>
      <c r="U464" s="405" t="str">
        <f t="shared" si="382"/>
        <v>-0.263596790242469-1.17147073533761i</v>
      </c>
      <c r="V464" s="731" t="str">
        <f t="shared" si="368"/>
        <v>6000</v>
      </c>
      <c r="W464" s="733" t="str">
        <f>IMSUM(COMPLEX(1,0),IMDIV(COMPLEX(0,2*PI()*D464),COMPLEX(2*PI()*'Stability Calculations'!EA_Pole1,0)))</f>
        <v>1+331149.453960528i</v>
      </c>
      <c r="X464" s="734">
        <f t="shared" si="383"/>
        <v>331149.45396203786</v>
      </c>
      <c r="Y464" s="735">
        <f t="shared" si="384"/>
        <v>1.5707933070103612</v>
      </c>
      <c r="Z464" s="340" t="str">
        <f>IMSUM(COMPLEX(1,0),IMDIV(COMPLEX(0,2*PI()*D464),COMPLEX(2*PI()*'Stability Calculations'!EA_Zero1,0)))</f>
        <v>1+3278.70746495572i</v>
      </c>
      <c r="AA464" s="734">
        <f t="shared" si="385"/>
        <v>3278.7076174548356</v>
      </c>
      <c r="AB464" s="735">
        <f t="shared" si="386"/>
        <v>1.5704913285662714</v>
      </c>
      <c r="AC464" s="733" t="str">
        <f>IMSUM(COMPLEX(1,0),IMDIV(COMPLEX(0,2*PI()*D464),COMPLEX(2*PI()*'Stability Calculations'!EA_Pole2,0)))</f>
        <v>1+33.0279158034034i</v>
      </c>
      <c r="AD464" s="734">
        <f t="shared" si="387"/>
        <v>33.043051044307397</v>
      </c>
      <c r="AE464" s="735">
        <f t="shared" si="388"/>
        <v>1.5405281560780244</v>
      </c>
      <c r="AF464" s="732" t="str">
        <f t="shared" si="389"/>
        <v>0.0538661973545078-1.79702754494614i</v>
      </c>
      <c r="AG464" s="337">
        <f t="shared" si="390"/>
        <v>1.7978346877598579</v>
      </c>
      <c r="AH464" s="730">
        <f t="shared" si="391"/>
        <v>-1.540830134522114</v>
      </c>
      <c r="AI464" s="731" t="str">
        <f t="shared" si="369"/>
        <v>10000</v>
      </c>
      <c r="AJ464" s="733" t="str">
        <f t="shared" si="392"/>
        <v>1+308722.439158739i</v>
      </c>
      <c r="AK464" s="734">
        <f t="shared" si="393"/>
        <v>308722.43916035857</v>
      </c>
      <c r="AL464" s="735">
        <f t="shared" si="394"/>
        <v>1.5707930876393539</v>
      </c>
      <c r="AM464" s="340" t="str">
        <f t="shared" si="395"/>
        <v>1+523.937452899924i</v>
      </c>
      <c r="AN464" s="734">
        <f t="shared" si="396"/>
        <v>523.93840721143943</v>
      </c>
      <c r="AO464" s="735">
        <f t="shared" si="397"/>
        <v>1.5688877043435239</v>
      </c>
      <c r="AP464" s="733" t="str">
        <f t="shared" si="398"/>
        <v>1+25.4118300878687i</v>
      </c>
      <c r="AQ464" s="734">
        <f t="shared" si="399"/>
        <v>25.431498351743041</v>
      </c>
      <c r="AR464" s="735">
        <f t="shared" si="400"/>
        <v>1.5314648701912834</v>
      </c>
      <c r="AS464" s="732" t="str">
        <f t="shared" si="401"/>
        <v>0.00100588149389038-4.48526798151571i</v>
      </c>
      <c r="AT464" s="337">
        <f t="shared" si="402"/>
        <v>4.4852680943069156</v>
      </c>
      <c r="AU464" s="730">
        <f t="shared" si="403"/>
        <v>-1.5705720633883014</v>
      </c>
      <c r="AV464" s="732" t="str">
        <f t="shared" si="404"/>
        <v>-0.118052592253356+0.0389789215794734i</v>
      </c>
      <c r="AW464" s="337">
        <f t="shared" si="405"/>
        <v>-18.109093293797539</v>
      </c>
      <c r="AX464" s="730">
        <f t="shared" si="406"/>
        <v>161.72767154771981</v>
      </c>
      <c r="AY464" s="360">
        <f t="shared" si="407"/>
        <v>-18.272328452280192</v>
      </c>
      <c r="BB464" s="337">
        <f t="shared" si="408"/>
        <v>-26.96423186221557</v>
      </c>
      <c r="BC464" s="730">
        <f t="shared" si="409"/>
        <v>-89.987150653302862</v>
      </c>
      <c r="BD464" s="351"/>
      <c r="BE464" s="337">
        <f t="shared" si="370"/>
        <v>29.023826791045071</v>
      </c>
      <c r="BF464" s="730">
        <f t="shared" si="371"/>
        <v>-89.664838575205991</v>
      </c>
      <c r="BI464" s="351"/>
      <c r="BJ464" s="351"/>
      <c r="BL464" s="405">
        <f t="shared" si="372"/>
        <v>0</v>
      </c>
      <c r="BM464" s="405">
        <f t="shared" si="360"/>
        <v>0</v>
      </c>
      <c r="BN464" s="405">
        <f t="shared" si="373"/>
        <v>0</v>
      </c>
      <c r="BO464" s="405">
        <f t="shared" si="374"/>
        <v>0</v>
      </c>
    </row>
    <row r="465" spans="4:67" ht="13.5" thickBot="1" x14ac:dyDescent="0.25">
      <c r="D465" s="345">
        <v>52481</v>
      </c>
      <c r="E465" s="340" t="str">
        <f t="shared" si="361"/>
        <v>0.870534319000082i</v>
      </c>
      <c r="F465" s="728" t="str">
        <f t="shared" si="375"/>
        <v>0.005-0.0497150859879955i</v>
      </c>
      <c r="G465" s="337" t="str">
        <f t="shared" si="376"/>
        <v>0.005-0.077759493468403i</v>
      </c>
      <c r="H465" s="338" t="str">
        <f t="shared" si="377"/>
        <v>0.00986871542052242-0.0768130947401967i</v>
      </c>
      <c r="I465" s="338" t="str">
        <f t="shared" si="378"/>
        <v>0.0198687154205224-0.0768130947401967i</v>
      </c>
      <c r="J465" s="337" t="str">
        <f t="shared" si="379"/>
        <v>0.0048761083947072-0.0303544124544751i</v>
      </c>
      <c r="K465" s="338" t="str">
        <f t="shared" si="362"/>
        <v>0.969397162655555-0.274789873421743i</v>
      </c>
      <c r="L465" s="732"/>
      <c r="M465" s="732" t="str">
        <f t="shared" si="363"/>
        <v>0.163014465640283-28.0882760227194i</v>
      </c>
      <c r="N465" s="337">
        <f t="shared" si="364"/>
        <v>0</v>
      </c>
      <c r="O465" s="730" t="str">
        <f t="shared" si="365"/>
        <v>-0.956917657392323-10.8418430155112i</v>
      </c>
      <c r="P465" s="731" t="str">
        <f t="shared" si="366"/>
        <v>-0.851808239324402-0.141909686833326i</v>
      </c>
      <c r="Q465" s="729" t="str">
        <f t="shared" si="367"/>
        <v>-0.842239062750479-0.0334912566782143i</v>
      </c>
      <c r="R465" s="730"/>
      <c r="S465" s="405" t="str">
        <f t="shared" si="380"/>
        <v>38.4737451502083-10.1132806803191i</v>
      </c>
      <c r="T465" s="405" t="str">
        <f t="shared" si="381"/>
        <v>14.4752570306347-5.29838441339536i</v>
      </c>
      <c r="U465" s="405" t="str">
        <f t="shared" si="382"/>
        <v>-0.26413311164187-1.16417753764717i</v>
      </c>
      <c r="V465" s="731" t="str">
        <f t="shared" si="368"/>
        <v>6000</v>
      </c>
      <c r="W465" s="733" t="str">
        <f>IMSUM(COMPLEX(1,0),IMDIV(COMPLEX(0,2*PI()*D465),COMPLEX(2*PI()*'Stability Calculations'!EA_Pole1,0)))</f>
        <v>1+333045.326587153i</v>
      </c>
      <c r="X465" s="734">
        <f t="shared" si="383"/>
        <v>333045.32658865437</v>
      </c>
      <c r="Y465" s="735">
        <f t="shared" si="384"/>
        <v>1.5707933242005945</v>
      </c>
      <c r="Z465" s="340" t="str">
        <f>IMSUM(COMPLEX(1,0),IMDIV(COMPLEX(0,2*PI()*D465),COMPLEX(2*PI()*'Stability Calculations'!EA_Zero1,0)))</f>
        <v>1+3297.47848106092i</v>
      </c>
      <c r="AA465" s="734">
        <f t="shared" si="385"/>
        <v>3297.4786326919284</v>
      </c>
      <c r="AB465" s="735">
        <f t="shared" si="386"/>
        <v>1.5704930647796667</v>
      </c>
      <c r="AC465" s="733" t="str">
        <f>IMSUM(COMPLEX(1,0),IMDIV(COMPLEX(0,2*PI()*D465),COMPLEX(2*PI()*'Stability Calculations'!EA_Pole2,0)))</f>
        <v>1+33.2170048106092i</v>
      </c>
      <c r="AD465" s="734">
        <f t="shared" si="387"/>
        <v>33.232053932732391</v>
      </c>
      <c r="AE465" s="735">
        <f t="shared" si="388"/>
        <v>1.5407003544172213</v>
      </c>
      <c r="AF465" s="732" t="str">
        <f t="shared" si="389"/>
        <v>0.0532552260462125-1.78681629364169i</v>
      </c>
      <c r="AG465" s="337">
        <f t="shared" si="390"/>
        <v>1.7876097410577789</v>
      </c>
      <c r="AH465" s="730">
        <f t="shared" si="391"/>
        <v>-1.5410006138381491</v>
      </c>
      <c r="AI465" s="731" t="str">
        <f t="shared" si="369"/>
        <v>10000</v>
      </c>
      <c r="AJ465" s="733" t="str">
        <f t="shared" si="392"/>
        <v>1+310489.914281001i</v>
      </c>
      <c r="AK465" s="734">
        <f t="shared" si="393"/>
        <v>310489.9142826114</v>
      </c>
      <c r="AL465" s="735">
        <f t="shared" si="394"/>
        <v>1.5707931060783644</v>
      </c>
      <c r="AM465" s="340" t="str">
        <f t="shared" si="395"/>
        <v>1+526.937061273535i</v>
      </c>
      <c r="AN465" s="734">
        <f t="shared" si="396"/>
        <v>526.93801015260726</v>
      </c>
      <c r="AO465" s="735">
        <f t="shared" si="397"/>
        <v>1.568898569220039</v>
      </c>
      <c r="AP465" s="733" t="str">
        <f t="shared" si="398"/>
        <v>1+25.5573160383356i</v>
      </c>
      <c r="AQ465" s="734">
        <f t="shared" si="399"/>
        <v>25.576872425755386</v>
      </c>
      <c r="AR465" s="735">
        <f t="shared" si="400"/>
        <v>1.5316885370681927</v>
      </c>
      <c r="AS465" s="732" t="str">
        <f t="shared" si="401"/>
        <v>0.000994462056089423-4.45973543305359i</v>
      </c>
      <c r="AT465" s="337">
        <f t="shared" si="402"/>
        <v>4.4597355439295354</v>
      </c>
      <c r="AU465" s="730">
        <f t="shared" si="403"/>
        <v>-1.5705733400158521</v>
      </c>
      <c r="AV465" s="732" t="str">
        <f t="shared" si="404"/>
        <v>-0.116616421943378+0.0387574472942665i</v>
      </c>
      <c r="AW465" s="337">
        <f t="shared" si="405"/>
        <v>-18.209790621220531</v>
      </c>
      <c r="AX465" s="730">
        <f t="shared" si="406"/>
        <v>161.61578197885814</v>
      </c>
      <c r="AY465" s="360">
        <f t="shared" si="407"/>
        <v>-18.384218021141862</v>
      </c>
      <c r="BB465" s="337">
        <f t="shared" si="408"/>
        <v>-27.013817871574723</v>
      </c>
      <c r="BC465" s="730">
        <f t="shared" si="409"/>
        <v>-89.98722379867354</v>
      </c>
      <c r="BD465" s="351"/>
      <c r="BE465" s="337">
        <f t="shared" si="370"/>
        <v>28.970647963600126</v>
      </c>
      <c r="BF465" s="730">
        <f t="shared" si="371"/>
        <v>-89.667479199842845</v>
      </c>
      <c r="BI465" s="351"/>
      <c r="BJ465" s="351"/>
      <c r="BL465" s="405">
        <f t="shared" si="372"/>
        <v>0</v>
      </c>
      <c r="BM465" s="405">
        <f t="shared" si="360"/>
        <v>0</v>
      </c>
      <c r="BN465" s="405">
        <f t="shared" si="373"/>
        <v>0</v>
      </c>
      <c r="BO465" s="405">
        <f t="shared" si="374"/>
        <v>0</v>
      </c>
    </row>
    <row r="466" spans="4:67" ht="13.5" thickBot="1" x14ac:dyDescent="0.25">
      <c r="D466" s="345">
        <v>52786.5</v>
      </c>
      <c r="E466" s="340" t="str">
        <f t="shared" si="361"/>
        <v>0.875601833614029i</v>
      </c>
      <c r="F466" s="728" t="str">
        <f t="shared" si="375"/>
        <v>0.005-0.0494273616878557i</v>
      </c>
      <c r="G466" s="337" t="str">
        <f t="shared" si="376"/>
        <v>0.005-0.0773094631527996i</v>
      </c>
      <c r="H466" s="338" t="str">
        <f t="shared" si="377"/>
        <v>0.00981251234968468-0.0763720983143016i</v>
      </c>
      <c r="I466" s="338" t="str">
        <f t="shared" si="378"/>
        <v>0.0198125123496847-0.0763720983143016i</v>
      </c>
      <c r="J466" s="337" t="str">
        <f t="shared" si="379"/>
        <v>0.00486733852638338-0.0301796181138132i</v>
      </c>
      <c r="K466" s="338" t="str">
        <f t="shared" si="362"/>
        <v>0.969039837975-0.276389467681196i</v>
      </c>
      <c r="L466" s="732"/>
      <c r="M466" s="732" t="str">
        <f t="shared" si="363"/>
        <v>0.160709610720719-27.9141207070802i</v>
      </c>
      <c r="N466" s="337">
        <f t="shared" si="364"/>
        <v>0</v>
      </c>
      <c r="O466" s="730" t="str">
        <f t="shared" si="365"/>
        <v>-0.952318543421669-10.773403770501i</v>
      </c>
      <c r="P466" s="731" t="str">
        <f t="shared" si="366"/>
        <v>-0.841655274842745-0.140717629826459i</v>
      </c>
      <c r="Q466" s="729" t="str">
        <f t="shared" si="367"/>
        <v>-0.832132089408529-0.0329835921214485i</v>
      </c>
      <c r="R466" s="730"/>
      <c r="S466" s="405" t="str">
        <f t="shared" si="380"/>
        <v>38.4528659345816-10.1792037884511i</v>
      </c>
      <c r="T466" s="405" t="str">
        <f t="shared" si="381"/>
        <v>14.4628888532026-5.3237705944364i</v>
      </c>
      <c r="U466" s="405" t="str">
        <f t="shared" si="382"/>
        <v>-0.264670255756917-1.1568007341104i</v>
      </c>
      <c r="V466" s="731" t="str">
        <f t="shared" si="368"/>
        <v>6000</v>
      </c>
      <c r="W466" s="733" t="str">
        <f>IMSUM(COMPLEX(1,0),IMDIV(COMPLEX(0,2*PI()*D466),COMPLEX(2*PI()*'Stability Calculations'!EA_Pole1,0)))</f>
        <v>1+334984.034829609i</v>
      </c>
      <c r="X466" s="734">
        <f t="shared" si="383"/>
        <v>334984.0348311016</v>
      </c>
      <c r="Y466" s="735">
        <f t="shared" si="384"/>
        <v>1.5707933415780027</v>
      </c>
      <c r="Z466" s="340" t="str">
        <f>IMSUM(COMPLEX(1,0),IMDIV(COMPLEX(0,2*PI()*D466),COMPLEX(2*PI()*'Stability Calculations'!EA_Zero1,0)))</f>
        <v>1+3316.67361217435i</v>
      </c>
      <c r="AA466" s="734">
        <f t="shared" si="385"/>
        <v>3316.6737629278</v>
      </c>
      <c r="AB466" s="735">
        <f t="shared" si="386"/>
        <v>1.5704948198977371</v>
      </c>
      <c r="AC466" s="733" t="str">
        <f>IMSUM(COMPLEX(1,0),IMDIV(COMPLEX(0,2*PI()*D466),COMPLEX(2*PI()*'Stability Calculations'!EA_Pole2,0)))</f>
        <v>1+33.4103661217435i</v>
      </c>
      <c r="AD466" s="734">
        <f t="shared" si="387"/>
        <v>33.425328186705151</v>
      </c>
      <c r="AE466" s="735">
        <f t="shared" si="388"/>
        <v>1.5408744295440842</v>
      </c>
      <c r="AF466" s="732" t="str">
        <f t="shared" si="389"/>
        <v>0.0526411344819125-1.77649353785112i</v>
      </c>
      <c r="AG466" s="337">
        <f t="shared" si="390"/>
        <v>1.777273298923475</v>
      </c>
      <c r="AH466" s="730">
        <f t="shared" si="391"/>
        <v>-1.5411729512243497</v>
      </c>
      <c r="AI466" s="731" t="str">
        <f t="shared" si="369"/>
        <v>10000</v>
      </c>
      <c r="AJ466" s="733" t="str">
        <f t="shared" si="392"/>
        <v>1+312297.323987616i</v>
      </c>
      <c r="AK466" s="734">
        <f t="shared" si="393"/>
        <v>312297.32398921699</v>
      </c>
      <c r="AL466" s="735">
        <f t="shared" si="394"/>
        <v>1.5707931247181475</v>
      </c>
      <c r="AM466" s="340" t="str">
        <f t="shared" si="395"/>
        <v>1+530.004443225461i</v>
      </c>
      <c r="AN466" s="734">
        <f t="shared" si="396"/>
        <v>530.00538661293899</v>
      </c>
      <c r="AO466" s="735">
        <f t="shared" si="397"/>
        <v>1.5689095523986769</v>
      </c>
      <c r="AP466" s="733" t="str">
        <f t="shared" si="398"/>
        <v>1+25.7060891190641i</v>
      </c>
      <c r="AQ466" s="734">
        <f t="shared" si="399"/>
        <v>25.725532410375216</v>
      </c>
      <c r="AR466" s="735">
        <f t="shared" si="400"/>
        <v>1.5319146433098041</v>
      </c>
      <c r="AS466" s="732" t="str">
        <f t="shared" si="401"/>
        <v>0.000982984538020719-4.43392487466305i</v>
      </c>
      <c r="AT466" s="337">
        <f t="shared" si="402"/>
        <v>4.4339249836250438</v>
      </c>
      <c r="AU466" s="730">
        <f t="shared" si="403"/>
        <v>-1.5705746305438992</v>
      </c>
      <c r="AV466" s="732" t="str">
        <f t="shared" si="404"/>
        <v>-0.115172998117084+0.0385332145963685i</v>
      </c>
      <c r="AW466" s="337">
        <f t="shared" si="405"/>
        <v>-18.312189292737692</v>
      </c>
      <c r="AX466" s="730">
        <f t="shared" si="406"/>
        <v>161.50140101251989</v>
      </c>
      <c r="AY466" s="360">
        <f t="shared" si="407"/>
        <v>-18.498598987480108</v>
      </c>
      <c r="BB466" s="337">
        <f t="shared" si="408"/>
        <v>-27.06423317739992</v>
      </c>
      <c r="BC466" s="730">
        <f t="shared" si="409"/>
        <v>-89.987297740483982</v>
      </c>
      <c r="BD466" s="351"/>
      <c r="BE466" s="337">
        <f t="shared" si="370"/>
        <v>28.916622993510806</v>
      </c>
      <c r="BF466" s="730">
        <f t="shared" si="371"/>
        <v>-89.670135384771285</v>
      </c>
      <c r="BI466" s="351"/>
      <c r="BJ466" s="351"/>
      <c r="BL466" s="405">
        <f t="shared" si="372"/>
        <v>0</v>
      </c>
      <c r="BM466" s="405">
        <f t="shared" si="360"/>
        <v>0</v>
      </c>
      <c r="BN466" s="405">
        <f t="shared" si="373"/>
        <v>0</v>
      </c>
      <c r="BO466" s="405">
        <f t="shared" si="374"/>
        <v>0</v>
      </c>
    </row>
    <row r="467" spans="4:67" ht="13.5" thickBot="1" x14ac:dyDescent="0.25">
      <c r="D467" s="345">
        <v>53092</v>
      </c>
      <c r="E467" s="340" t="str">
        <f t="shared" si="361"/>
        <v>0.880669348227975i</v>
      </c>
      <c r="F467" s="728" t="str">
        <f t="shared" si="375"/>
        <v>0.005-0.0491429486125214i</v>
      </c>
      <c r="G467" s="337" t="str">
        <f t="shared" si="376"/>
        <v>0.005-0.0768646119324052i</v>
      </c>
      <c r="H467" s="338" t="str">
        <f t="shared" si="377"/>
        <v>0.00975727158877893-0.0759361164722258i</v>
      </c>
      <c r="I467" s="338" t="str">
        <f t="shared" si="378"/>
        <v>0.0197572715887789-0.0759361164722258i</v>
      </c>
      <c r="J467" s="337" t="str">
        <f t="shared" si="379"/>
        <v>0.00485871713319494-0.0300068351868612i</v>
      </c>
      <c r="K467" s="338" t="str">
        <f t="shared" si="362"/>
        <v>0.968680439288889-0.277989061940649i</v>
      </c>
      <c r="L467" s="732"/>
      <c r="M467" s="732" t="str">
        <f t="shared" si="363"/>
        <v>0.158454603633094-27.7421771291359i</v>
      </c>
      <c r="N467" s="337">
        <f t="shared" si="364"/>
        <v>0</v>
      </c>
      <c r="O467" s="730" t="str">
        <f t="shared" si="365"/>
        <v>-0.947795257152341-10.7058306403175i</v>
      </c>
      <c r="P467" s="731" t="str">
        <f t="shared" si="366"/>
        <v>-0.831685050741186-0.13954611250528i</v>
      </c>
      <c r="Q467" s="729" t="str">
        <f t="shared" si="367"/>
        <v>-0.822207098169663-0.0324878061021056i</v>
      </c>
      <c r="R467" s="730"/>
      <c r="S467" s="405" t="str">
        <f t="shared" si="380"/>
        <v>38.4318545091519-10.2450380617269i</v>
      </c>
      <c r="T467" s="405" t="str">
        <f t="shared" si="381"/>
        <v>14.4504567414493-5.34914446419669i</v>
      </c>
      <c r="U467" s="405" t="str">
        <f t="shared" si="382"/>
        <v>-0.265196226051779-1.14950462150033i</v>
      </c>
      <c r="V467" s="731" t="str">
        <f t="shared" si="368"/>
        <v>6000</v>
      </c>
      <c r="W467" s="733" t="str">
        <f>IMSUM(COMPLEX(1,0),IMDIV(COMPLEX(0,2*PI()*D467),COMPLEX(2*PI()*'Stability Calculations'!EA_Pole1,0)))</f>
        <v>1+336922.743072067i</v>
      </c>
      <c r="X467" s="734">
        <f t="shared" si="383"/>
        <v>336922.74307355093</v>
      </c>
      <c r="Y467" s="735">
        <f t="shared" si="384"/>
        <v>1.5707933587554259</v>
      </c>
      <c r="Z467" s="340" t="str">
        <f>IMSUM(COMPLEX(1,0),IMDIV(COMPLEX(0,2*PI()*D467),COMPLEX(2*PI()*'Stability Calculations'!EA_Zero1,0)))</f>
        <v>1+3335.86874328779i</v>
      </c>
      <c r="AA467" s="734">
        <f t="shared" si="385"/>
        <v>3335.8688931737797</v>
      </c>
      <c r="AB467" s="735">
        <f t="shared" si="386"/>
        <v>1.5704965548173397</v>
      </c>
      <c r="AC467" s="733" t="str">
        <f>IMSUM(COMPLEX(1,0),IMDIV(COMPLEX(0,2*PI()*D467),COMPLEX(2*PI()*'Stability Calculations'!EA_Pole2,0)))</f>
        <v>1+33.6037274328779i</v>
      </c>
      <c r="AD467" s="734">
        <f t="shared" si="387"/>
        <v>33.618603441891381</v>
      </c>
      <c r="AE467" s="735">
        <f t="shared" si="388"/>
        <v>1.5410465031405851</v>
      </c>
      <c r="AF467" s="732" t="str">
        <f t="shared" si="389"/>
        <v>0.0520376006308796-1.76628926550835i</v>
      </c>
      <c r="AG467" s="337">
        <f t="shared" si="390"/>
        <v>1.7670556531500208</v>
      </c>
      <c r="AH467" s="730">
        <f t="shared" si="391"/>
        <v>-1.5413433070786715</v>
      </c>
      <c r="AI467" s="731" t="str">
        <f t="shared" si="369"/>
        <v>10000</v>
      </c>
      <c r="AJ467" s="733" t="str">
        <f t="shared" si="392"/>
        <v>1+314104.733694231i</v>
      </c>
      <c r="AK467" s="734">
        <f t="shared" si="393"/>
        <v>314104.73369582288</v>
      </c>
      <c r="AL467" s="735">
        <f t="shared" si="394"/>
        <v>1.5707931431434177</v>
      </c>
      <c r="AM467" s="340" t="str">
        <f t="shared" si="395"/>
        <v>1+533.071825177389i</v>
      </c>
      <c r="AN467" s="734">
        <f t="shared" si="396"/>
        <v>533.07276313647162</v>
      </c>
      <c r="AO467" s="735">
        <f t="shared" si="397"/>
        <v>1.568920409179771</v>
      </c>
      <c r="AP467" s="733" t="str">
        <f t="shared" si="398"/>
        <v>1+25.8548621997926i</v>
      </c>
      <c r="AQ467" s="734">
        <f t="shared" si="399"/>
        <v>25.8741936950751</v>
      </c>
      <c r="AR467" s="735">
        <f t="shared" si="400"/>
        <v>1.5321381513566008</v>
      </c>
      <c r="AS467" s="732" t="str">
        <f t="shared" si="401"/>
        <v>0.000971704579865292-4.40841135252781i</v>
      </c>
      <c r="AT467" s="337">
        <f t="shared" si="402"/>
        <v>4.4084114596196518</v>
      </c>
      <c r="AU467" s="730">
        <f t="shared" si="403"/>
        <v>-1.5705759062201308</v>
      </c>
      <c r="AV467" s="732" t="str">
        <f t="shared" si="404"/>
        <v>-0.113754470566266+0.0383112197220731i</v>
      </c>
      <c r="AW467" s="337">
        <f t="shared" si="405"/>
        <v>-18.414014506717621</v>
      </c>
      <c r="AX467" s="730">
        <f t="shared" si="406"/>
        <v>161.38705637161107</v>
      </c>
      <c r="AY467" s="360">
        <f t="shared" si="407"/>
        <v>-18.612943628388933</v>
      </c>
      <c r="BB467" s="337">
        <f t="shared" si="408"/>
        <v>-27.114357546724168</v>
      </c>
      <c r="BC467" s="730">
        <f t="shared" si="409"/>
        <v>-89.987370831348073</v>
      </c>
      <c r="BD467" s="351"/>
      <c r="BE467" s="337">
        <f t="shared" si="370"/>
        <v>28.862952485153688</v>
      </c>
      <c r="BF467" s="730">
        <f t="shared" si="371"/>
        <v>-89.672748059191321</v>
      </c>
      <c r="BI467" s="351"/>
      <c r="BJ467" s="351"/>
      <c r="BL467" s="405">
        <f t="shared" si="372"/>
        <v>0</v>
      </c>
      <c r="BM467" s="405">
        <f t="shared" si="360"/>
        <v>0</v>
      </c>
      <c r="BN467" s="405">
        <f t="shared" si="373"/>
        <v>0</v>
      </c>
      <c r="BO467" s="405">
        <f t="shared" si="374"/>
        <v>0</v>
      </c>
    </row>
    <row r="468" spans="4:67" ht="13.5" thickBot="1" x14ac:dyDescent="0.25">
      <c r="D468" s="345">
        <v>53397.5</v>
      </c>
      <c r="E468" s="340" t="str">
        <f t="shared" si="361"/>
        <v>0.885736862841922i</v>
      </c>
      <c r="F468" s="728" t="str">
        <f t="shared" si="375"/>
        <v>0.005-0.0488617899290415i</v>
      </c>
      <c r="G468" s="337" t="str">
        <f t="shared" si="376"/>
        <v>0.005-0.0764248509146543i</v>
      </c>
      <c r="H468" s="338" t="str">
        <f t="shared" si="377"/>
        <v>0.00970297132206915-0.0755050645097773i</v>
      </c>
      <c r="I468" s="338" t="str">
        <f t="shared" si="378"/>
        <v>0.0197029713220691-0.0755050645097773i</v>
      </c>
      <c r="J468" s="337" t="str">
        <f t="shared" si="379"/>
        <v>0.00485024081882899-0.0298360292269287i</v>
      </c>
      <c r="K468" s="338" t="str">
        <f t="shared" si="362"/>
        <v>0.968318966597222-0.279588656200102i</v>
      </c>
      <c r="L468" s="732"/>
      <c r="M468" s="732" t="str">
        <f t="shared" si="363"/>
        <v>0.156247997569846-27.5724023540324i</v>
      </c>
      <c r="N468" s="337">
        <f t="shared" si="364"/>
        <v>0</v>
      </c>
      <c r="O468" s="730" t="str">
        <f t="shared" si="365"/>
        <v>-0.943346046829905-10.6391067564001i</v>
      </c>
      <c r="P468" s="731" t="str">
        <f t="shared" si="366"/>
        <v>-0.821893162075874-0.138394611192847i</v>
      </c>
      <c r="Q468" s="729" t="str">
        <f t="shared" si="367"/>
        <v>-0.812459701607575-0.0320035436288466i</v>
      </c>
      <c r="R468" s="730"/>
      <c r="S468" s="405" t="str">
        <f t="shared" si="380"/>
        <v>38.4107110142666-10.3107841077529i</v>
      </c>
      <c r="T468" s="405" t="str">
        <f t="shared" si="381"/>
        <v>14.4379607119711-5.37450548571357i</v>
      </c>
      <c r="U468" s="405" t="str">
        <f t="shared" si="382"/>
        <v>-0.265711264669539-1.14228782754519i</v>
      </c>
      <c r="V468" s="731" t="str">
        <f t="shared" si="368"/>
        <v>6000</v>
      </c>
      <c r="W468" s="733" t="str">
        <f>IMSUM(COMPLEX(1,0),IMDIV(COMPLEX(0,2*PI()*D468),COMPLEX(2*PI()*'Stability Calculations'!EA_Pole1,0)))</f>
        <v>1+338861.451314523i</v>
      </c>
      <c r="X468" s="734">
        <f t="shared" si="383"/>
        <v>338861.45131599851</v>
      </c>
      <c r="Y468" s="735">
        <f t="shared" si="384"/>
        <v>1.5707933757362968</v>
      </c>
      <c r="Z468" s="340" t="str">
        <f>IMSUM(COMPLEX(1,0),IMDIV(COMPLEX(0,2*PI()*D468),COMPLEX(2*PI()*'Stability Calculations'!EA_Zero1,0)))</f>
        <v>1+3355.06387440122i</v>
      </c>
      <c r="AA468" s="734">
        <f t="shared" si="385"/>
        <v>3355.0640234296761</v>
      </c>
      <c r="AB468" s="735">
        <f t="shared" si="386"/>
        <v>1.5704982698851557</v>
      </c>
      <c r="AC468" s="733" t="str">
        <f>IMSUM(COMPLEX(1,0),IMDIV(COMPLEX(0,2*PI()*D468),COMPLEX(2*PI()*'Stability Calculations'!EA_Pole2,0)))</f>
        <v>1+33.7970887440122i</v>
      </c>
      <c r="AD468" s="734">
        <f t="shared" si="387"/>
        <v>33.811879681121489</v>
      </c>
      <c r="AE468" s="735">
        <f t="shared" si="388"/>
        <v>1.5412166095200266</v>
      </c>
      <c r="AF468" s="732" t="str">
        <f t="shared" si="389"/>
        <v>0.0514443839259998-1.75620145011409i</v>
      </c>
      <c r="AG468" s="337">
        <f t="shared" si="390"/>
        <v>1.7569547683478817</v>
      </c>
      <c r="AH468" s="730">
        <f t="shared" si="391"/>
        <v>-1.5415117153711679</v>
      </c>
      <c r="AI468" s="731" t="str">
        <f t="shared" si="369"/>
        <v>10000</v>
      </c>
      <c r="AJ468" s="733" t="str">
        <f t="shared" si="392"/>
        <v>1+315912.143400845i</v>
      </c>
      <c r="AK468" s="734">
        <f t="shared" si="393"/>
        <v>315912.14340242773</v>
      </c>
      <c r="AL468" s="735">
        <f t="shared" si="394"/>
        <v>1.570793161357857</v>
      </c>
      <c r="AM468" s="340" t="str">
        <f t="shared" si="395"/>
        <v>1+536.139207129315i</v>
      </c>
      <c r="AN468" s="734">
        <f t="shared" si="396"/>
        <v>536.14013972211637</v>
      </c>
      <c r="AO468" s="735">
        <f t="shared" si="397"/>
        <v>1.5689311417327638</v>
      </c>
      <c r="AP468" s="733" t="str">
        <f t="shared" si="398"/>
        <v>1+26.0036352805211i</v>
      </c>
      <c r="AQ468" s="734">
        <f t="shared" si="399"/>
        <v>26.022856257574066</v>
      </c>
      <c r="AR468" s="735">
        <f t="shared" si="400"/>
        <v>1.5323591057147179</v>
      </c>
      <c r="AS468" s="732" t="str">
        <f t="shared" si="401"/>
        <v>0.000960617673429737-4.38318976840023i</v>
      </c>
      <c r="AT468" s="337">
        <f t="shared" si="402"/>
        <v>4.383189873664473</v>
      </c>
      <c r="AU468" s="730">
        <f t="shared" si="403"/>
        <v>-1.5705771672994591</v>
      </c>
      <c r="AV468" s="732" t="str">
        <f t="shared" si="404"/>
        <v>-0.112360270894708+0.0380914301374621i</v>
      </c>
      <c r="AW468" s="337">
        <f t="shared" si="405"/>
        <v>-18.515272974791706</v>
      </c>
      <c r="AX468" s="730">
        <f t="shared" si="406"/>
        <v>161.2727473327854</v>
      </c>
      <c r="AY468" s="360">
        <f t="shared" si="407"/>
        <v>-18.7272526672146</v>
      </c>
      <c r="BB468" s="337">
        <f t="shared" si="408"/>
        <v>-27.164194318161236</v>
      </c>
      <c r="BC468" s="730">
        <f t="shared" si="409"/>
        <v>-89.98744308587122</v>
      </c>
      <c r="BD468" s="351"/>
      <c r="BE468" s="337">
        <f t="shared" si="370"/>
        <v>28.809631609764864</v>
      </c>
      <c r="BF468" s="730">
        <f t="shared" si="371"/>
        <v>-89.675318281072052</v>
      </c>
      <c r="BI468" s="351"/>
      <c r="BJ468" s="351"/>
      <c r="BL468" s="405">
        <f t="shared" si="372"/>
        <v>0</v>
      </c>
      <c r="BM468" s="405">
        <f t="shared" si="360"/>
        <v>0</v>
      </c>
      <c r="BN468" s="405">
        <f t="shared" si="373"/>
        <v>0</v>
      </c>
      <c r="BO468" s="405">
        <f t="shared" si="374"/>
        <v>0</v>
      </c>
    </row>
    <row r="469" spans="4:67" ht="13.5" thickBot="1" x14ac:dyDescent="0.25">
      <c r="D469" s="345">
        <v>53703</v>
      </c>
      <c r="E469" s="340" t="str">
        <f t="shared" si="361"/>
        <v>0.890804377455868i</v>
      </c>
      <c r="F469" s="728" t="str">
        <f t="shared" si="375"/>
        <v>0.005-0.0485838300976852i</v>
      </c>
      <c r="G469" s="337" t="str">
        <f t="shared" si="376"/>
        <v>0.005-0.075990093229713i</v>
      </c>
      <c r="H469" s="338" t="str">
        <f t="shared" si="377"/>
        <v>0.00964959034774628-0.0750788596120033i</v>
      </c>
      <c r="I469" s="338" t="str">
        <f t="shared" si="378"/>
        <v>0.0196495903477463-0.0750788596120033i</v>
      </c>
      <c r="J469" s="337" t="str">
        <f t="shared" si="379"/>
        <v>0.00484190628321765-0.029667166568793i</v>
      </c>
      <c r="K469" s="338" t="str">
        <f t="shared" si="362"/>
        <v>0.9679554199-0.281188250459554i</v>
      </c>
      <c r="L469" s="732"/>
      <c r="M469" s="732" t="str">
        <f t="shared" si="363"/>
        <v>0.154088398087559-27.4047545734402i</v>
      </c>
      <c r="N469" s="337">
        <f t="shared" si="364"/>
        <v>0</v>
      </c>
      <c r="O469" s="730" t="str">
        <f t="shared" si="365"/>
        <v>-0.938969210403629-10.5732156947117i</v>
      </c>
      <c r="P469" s="731" t="str">
        <f t="shared" si="366"/>
        <v>-0.812275337124272-0.13726261953156i</v>
      </c>
      <c r="Q469" s="729" t="str">
        <f t="shared" si="367"/>
        <v>-0.802885645020236-0.0315304625844415i</v>
      </c>
      <c r="R469" s="730"/>
      <c r="S469" s="405" t="str">
        <f t="shared" si="380"/>
        <v>38.3894355862949-10.3764425134404i</v>
      </c>
      <c r="T469" s="405" t="str">
        <f t="shared" si="381"/>
        <v>14.4254007836632-5.3998531298883i</v>
      </c>
      <c r="U469" s="405" t="str">
        <f t="shared" si="382"/>
        <v>-0.266215606899915-1.13514901092495i</v>
      </c>
      <c r="V469" s="731" t="str">
        <f t="shared" si="368"/>
        <v>6000</v>
      </c>
      <c r="W469" s="733" t="str">
        <f>IMSUM(COMPLEX(1,0),IMDIV(COMPLEX(0,2*PI()*D469),COMPLEX(2*PI()*'Stability Calculations'!EA_Pole1,0)))</f>
        <v>1+340800.15955698i</v>
      </c>
      <c r="X469" s="734">
        <f t="shared" si="383"/>
        <v>340800.15955844714</v>
      </c>
      <c r="Y469" s="735">
        <f t="shared" si="384"/>
        <v>1.5707933925239699</v>
      </c>
      <c r="Z469" s="340" t="str">
        <f>IMSUM(COMPLEX(1,0),IMDIV(COMPLEX(0,2*PI()*D469),COMPLEX(2*PI()*'Stability Calculations'!EA_Zero1,0)))</f>
        <v>1+3374.25900551465i</v>
      </c>
      <c r="AA469" s="734">
        <f t="shared" si="385"/>
        <v>3374.2591536953291</v>
      </c>
      <c r="AB469" s="735">
        <f t="shared" si="386"/>
        <v>1.5704999654399772</v>
      </c>
      <c r="AC469" s="733" t="str">
        <f>IMSUM(COMPLEX(1,0),IMDIV(COMPLEX(0,2*PI()*D469),COMPLEX(2*PI()*'Stability Calculations'!EA_Pole2,0)))</f>
        <v>1+33.9904500551465i</v>
      </c>
      <c r="AD469" s="734">
        <f t="shared" si="387"/>
        <v>34.005156887616451</v>
      </c>
      <c r="AE469" s="735">
        <f t="shared" si="388"/>
        <v>1.5413847822160578</v>
      </c>
      <c r="AF469" s="732" t="str">
        <f t="shared" si="389"/>
        <v>0.0508612506112944-1.74622811108114i</v>
      </c>
      <c r="AG469" s="337">
        <f t="shared" si="390"/>
        <v>1.7469686553409454</v>
      </c>
      <c r="AH469" s="730">
        <f t="shared" si="391"/>
        <v>-1.5416782093000505</v>
      </c>
      <c r="AI469" s="731" t="str">
        <f t="shared" si="369"/>
        <v>10000</v>
      </c>
      <c r="AJ469" s="733" t="str">
        <f t="shared" si="392"/>
        <v>1+317719.55310746i</v>
      </c>
      <c r="AK469" s="734">
        <f t="shared" si="393"/>
        <v>317719.55310903367</v>
      </c>
      <c r="AL469" s="735">
        <f t="shared" si="394"/>
        <v>1.5707931793650636</v>
      </c>
      <c r="AM469" s="340" t="str">
        <f t="shared" si="395"/>
        <v>1+539.206589081241i</v>
      </c>
      <c r="AN469" s="734">
        <f t="shared" si="396"/>
        <v>539.20751636881528</v>
      </c>
      <c r="AO469" s="735">
        <f t="shared" si="397"/>
        <v>1.5689417521777331</v>
      </c>
      <c r="AP469" s="733" t="str">
        <f t="shared" si="398"/>
        <v>1+26.1524083612495i</v>
      </c>
      <c r="AQ469" s="734">
        <f t="shared" si="399"/>
        <v>26.171520076097085</v>
      </c>
      <c r="AR469" s="735">
        <f t="shared" si="400"/>
        <v>1.5325775498800553</v>
      </c>
      <c r="AS469" s="732" t="str">
        <f t="shared" si="401"/>
        <v>0.000949719438383585-4.35825514004225i</v>
      </c>
      <c r="AT469" s="337">
        <f t="shared" si="402"/>
        <v>4.3582552435202446</v>
      </c>
      <c r="AU469" s="730">
        <f t="shared" si="403"/>
        <v>-1.570578414030996</v>
      </c>
      <c r="AV469" s="732" t="str">
        <f t="shared" si="404"/>
        <v>-0.11098984684455+0.0378738138818444i</v>
      </c>
      <c r="AW469" s="337">
        <f t="shared" si="405"/>
        <v>-18.615971293717973</v>
      </c>
      <c r="AX469" s="730">
        <f t="shared" si="406"/>
        <v>161.15847318976378</v>
      </c>
      <c r="AY469" s="360">
        <f t="shared" si="407"/>
        <v>-18.841526810236218</v>
      </c>
      <c r="BB469" s="337">
        <f t="shared" si="408"/>
        <v>-27.21374677318444</v>
      </c>
      <c r="BC469" s="730">
        <f t="shared" si="409"/>
        <v>-89.987514518326464</v>
      </c>
      <c r="BD469" s="351"/>
      <c r="BE469" s="337">
        <f t="shared" si="370"/>
        <v>28.756655639393603</v>
      </c>
      <c r="BF469" s="730">
        <f t="shared" si="371"/>
        <v>-89.677847074942079</v>
      </c>
      <c r="BI469" s="351"/>
      <c r="BJ469" s="351"/>
      <c r="BL469" s="405">
        <f t="shared" si="372"/>
        <v>0</v>
      </c>
      <c r="BM469" s="405">
        <f t="shared" si="360"/>
        <v>0</v>
      </c>
      <c r="BN469" s="405">
        <f t="shared" si="373"/>
        <v>0</v>
      </c>
      <c r="BO469" s="405">
        <f t="shared" si="374"/>
        <v>0</v>
      </c>
    </row>
    <row r="470" spans="4:67" ht="13.5" thickBot="1" x14ac:dyDescent="0.25">
      <c r="D470" s="345">
        <v>54015.75</v>
      </c>
      <c r="E470" s="340" t="str">
        <f t="shared" si="361"/>
        <v>0.895992152236594i</v>
      </c>
      <c r="F470" s="728" t="str">
        <f t="shared" si="375"/>
        <v>0.005-0.0483025307939998i</v>
      </c>
      <c r="G470" s="337" t="str">
        <f t="shared" si="376"/>
        <v>0.005-0.0755501122675382i</v>
      </c>
      <c r="H470" s="338" t="str">
        <f t="shared" si="377"/>
        <v>0.00959587332063311-0.0746474766320541i</v>
      </c>
      <c r="I470" s="338" t="str">
        <f t="shared" si="378"/>
        <v>0.0195958733206331-0.0746474766320541i</v>
      </c>
      <c r="J470" s="337" t="str">
        <f t="shared" si="379"/>
        <v>0.00483351747361454-0.0294962752057272i</v>
      </c>
      <c r="K470" s="338" t="str">
        <f t="shared" si="362"/>
        <v>0.96758109724375-0.282825805630238i</v>
      </c>
      <c r="L470" s="732"/>
      <c r="M470" s="732" t="str">
        <f t="shared" si="363"/>
        <v>0.151924837723264-27.2352890466223i</v>
      </c>
      <c r="N470" s="337">
        <f t="shared" si="364"/>
        <v>0</v>
      </c>
      <c r="O470" s="730" t="str">
        <f t="shared" si="365"/>
        <v>-0.934561748668845-10.5066069399442i</v>
      </c>
      <c r="P470" s="731" t="str">
        <f t="shared" si="366"/>
        <v>-0.802605249668889-0.136123462329862i</v>
      </c>
      <c r="Q470" s="729" t="str">
        <f t="shared" si="367"/>
        <v>-0.7932596321822-0.0310573929304193i</v>
      </c>
      <c r="R470" s="730"/>
      <c r="S470" s="405" t="str">
        <f t="shared" si="380"/>
        <v>38.3675187302974-10.443568904173i</v>
      </c>
      <c r="T470" s="405" t="str">
        <f t="shared" si="381"/>
        <v>14.4124766189457-5.42578791220471i</v>
      </c>
      <c r="U470" s="405" t="str">
        <f t="shared" si="382"/>
        <v>-0.266721076514796-1.12792018509292i</v>
      </c>
      <c r="V470" s="731" t="str">
        <f t="shared" si="368"/>
        <v>6000</v>
      </c>
      <c r="W470" s="733" t="str">
        <f>IMSUM(COMPLEX(1,0),IMDIV(COMPLEX(0,2*PI()*D470),COMPLEX(2*PI()*'Stability Calculations'!EA_Pole1,0)))</f>
        <v>1+342784.876423849i</v>
      </c>
      <c r="X470" s="734">
        <f t="shared" si="383"/>
        <v>342784.87642530765</v>
      </c>
      <c r="Y470" s="735">
        <f t="shared" si="384"/>
        <v>1.5707934095133338</v>
      </c>
      <c r="Z470" s="340" t="str">
        <f>IMSUM(COMPLEX(1,0),IMDIV(COMPLEX(0,2*PI()*D470),COMPLEX(2*PI()*'Stability Calculations'!EA_Zero1,0)))</f>
        <v>1+3393.90966756286i</v>
      </c>
      <c r="AA470" s="734">
        <f t="shared" si="385"/>
        <v>3393.9098148855755</v>
      </c>
      <c r="AB470" s="735">
        <f t="shared" si="386"/>
        <v>1.5705016813655799</v>
      </c>
      <c r="AC470" s="733" t="str">
        <f>IMSUM(COMPLEX(1,0),IMDIV(COMPLEX(0,2*PI()*D470),COMPLEX(2*PI()*'Stability Calculations'!EA_Pole2,0)))</f>
        <v>1+34.1884001371671i</v>
      </c>
      <c r="AD470" s="734">
        <f t="shared" si="387"/>
        <v>34.203021853910037</v>
      </c>
      <c r="AE470" s="735">
        <f t="shared" si="388"/>
        <v>1.5415549770711301</v>
      </c>
      <c r="AF470" s="732" t="str">
        <f t="shared" si="389"/>
        <v>0.0502744866415781-1.7361346515144i</v>
      </c>
      <c r="AG470" s="337">
        <f t="shared" si="390"/>
        <v>1.73686241602382</v>
      </c>
      <c r="AH470" s="730">
        <f t="shared" si="391"/>
        <v>-1.5418467052188838</v>
      </c>
      <c r="AI470" s="731" t="str">
        <f t="shared" si="369"/>
        <v>10000</v>
      </c>
      <c r="AJ470" s="733" t="str">
        <f t="shared" si="392"/>
        <v>1+319569.855515787i</v>
      </c>
      <c r="AK470" s="734">
        <f t="shared" si="393"/>
        <v>319569.85551735165</v>
      </c>
      <c r="AL470" s="735">
        <f t="shared" si="394"/>
        <v>1.5707931975886129</v>
      </c>
      <c r="AM470" s="340" t="str">
        <f t="shared" si="395"/>
        <v>1+542.346764876545i</v>
      </c>
      <c r="AN470" s="734">
        <f t="shared" si="396"/>
        <v>542.34768679515389</v>
      </c>
      <c r="AO470" s="735">
        <f t="shared" si="397"/>
        <v>1.568952490099415</v>
      </c>
      <c r="AP470" s="733" t="str">
        <f t="shared" si="398"/>
        <v>1+26.3047120633701i</v>
      </c>
      <c r="AQ470" s="734">
        <f t="shared" si="399"/>
        <v>26.323713201917556</v>
      </c>
      <c r="AR470" s="735">
        <f t="shared" si="400"/>
        <v>1.532798622198257</v>
      </c>
      <c r="AS470" s="732" t="str">
        <f t="shared" si="401"/>
        <v>0.000938753567982154-4.33302094137391i</v>
      </c>
      <c r="AT470" s="337">
        <f t="shared" si="402"/>
        <v>4.3330210430648846</v>
      </c>
      <c r="AU470" s="730">
        <f t="shared" si="403"/>
        <v>-1.5705796757410486</v>
      </c>
      <c r="AV470" s="732" t="str">
        <f t="shared" si="404"/>
        <v>-0.109610968897357+0.0376532517744567i</v>
      </c>
      <c r="AW470" s="337">
        <f t="shared" si="405"/>
        <v>-18.718485866500561</v>
      </c>
      <c r="AX470" s="730">
        <f t="shared" si="406"/>
        <v>161.04152256775319</v>
      </c>
      <c r="AY470" s="360">
        <f t="shared" si="407"/>
        <v>-18.958477432246809</v>
      </c>
      <c r="BB470" s="337">
        <f t="shared" si="408"/>
        <v>-27.26418403669183</v>
      </c>
      <c r="BC470" s="730">
        <f t="shared" si="409"/>
        <v>-89.987586808987444</v>
      </c>
      <c r="BD470" s="351"/>
      <c r="BE470" s="337">
        <f t="shared" si="370"/>
        <v>28.702774911565143</v>
      </c>
      <c r="BF470" s="730">
        <f t="shared" si="371"/>
        <v>-89.680394002617518</v>
      </c>
      <c r="BI470" s="351"/>
      <c r="BJ470" s="351"/>
      <c r="BL470" s="405">
        <f t="shared" si="372"/>
        <v>0</v>
      </c>
      <c r="BM470" s="405">
        <f t="shared" si="360"/>
        <v>0</v>
      </c>
      <c r="BN470" s="405">
        <f t="shared" si="373"/>
        <v>0</v>
      </c>
      <c r="BO470" s="405">
        <f t="shared" si="374"/>
        <v>0</v>
      </c>
    </row>
    <row r="471" spans="4:67" ht="13.5" thickBot="1" x14ac:dyDescent="0.25">
      <c r="D471" s="345">
        <v>54328.5</v>
      </c>
      <c r="E471" s="340" t="str">
        <f t="shared" si="361"/>
        <v>0.90117992701732i</v>
      </c>
      <c r="F471" s="728" t="str">
        <f t="shared" si="375"/>
        <v>0.005-0.0480244701719353i</v>
      </c>
      <c r="G471" s="337" t="str">
        <f t="shared" si="376"/>
        <v>0.005-0.0751151969355914i</v>
      </c>
      <c r="H471" s="338" t="str">
        <f t="shared" si="377"/>
        <v>0.00954307665199169-0.0742210037022242i</v>
      </c>
      <c r="I471" s="338" t="str">
        <f t="shared" si="378"/>
        <v>0.0195430766519917-0.0742210037022242i</v>
      </c>
      <c r="J471" s="337" t="str">
        <f t="shared" si="379"/>
        <v>0.00482527054782198-0.0293273514877203i</v>
      </c>
      <c r="K471" s="338" t="str">
        <f t="shared" si="362"/>
        <v>0.967204600975-0.284463360800922i</v>
      </c>
      <c r="L471" s="732"/>
      <c r="M471" s="732" t="str">
        <f t="shared" si="363"/>
        <v>0.149807742501343-27.0679674516957i</v>
      </c>
      <c r="N471" s="337">
        <f t="shared" si="364"/>
        <v>0</v>
      </c>
      <c r="O471" s="730" t="str">
        <f t="shared" si="365"/>
        <v>-0.93022667920556-10.4408375348832i</v>
      </c>
      <c r="P471" s="731" t="str">
        <f t="shared" si="366"/>
        <v>-0.793108932626325-0.13500373045399i</v>
      </c>
      <c r="Q471" s="729" t="str">
        <f t="shared" si="367"/>
        <v>-0.783806665834269-0.0305953551051584i</v>
      </c>
      <c r="R471" s="730"/>
      <c r="S471" s="405" t="str">
        <f t="shared" si="380"/>
        <v>38.3454638820704-10.5106046262294i</v>
      </c>
      <c r="T471" s="405" t="str">
        <f t="shared" si="381"/>
        <v>14.3994855337853-5.45170757685468i</v>
      </c>
      <c r="U471" s="405" t="str">
        <f t="shared" si="382"/>
        <v>-0.267215814047015-1.12077033240336i</v>
      </c>
      <c r="V471" s="731" t="str">
        <f t="shared" si="368"/>
        <v>6000</v>
      </c>
      <c r="W471" s="733" t="str">
        <f>IMSUM(COMPLEX(1,0),IMDIV(COMPLEX(0,2*PI()*D471),COMPLEX(2*PI()*'Stability Calculations'!EA_Pole1,0)))</f>
        <v>1+344769.593290717i</v>
      </c>
      <c r="X471" s="734">
        <f t="shared" si="383"/>
        <v>344769.59329216724</v>
      </c>
      <c r="Y471" s="735">
        <f t="shared" si="384"/>
        <v>1.5707934263070942</v>
      </c>
      <c r="Z471" s="340" t="str">
        <f>IMSUM(COMPLEX(1,0),IMDIV(COMPLEX(0,2*PI()*D471),COMPLEX(2*PI()*'Stability Calculations'!EA_Zero1,0)))</f>
        <v>1+3413.56032961106i</v>
      </c>
      <c r="AA471" s="734">
        <f t="shared" si="385"/>
        <v>3413.5604760856904</v>
      </c>
      <c r="AB471" s="735">
        <f t="shared" si="386"/>
        <v>1.570503377535228</v>
      </c>
      <c r="AC471" s="733" t="str">
        <f>IMSUM(COMPLEX(1,0),IMDIV(COMPLEX(0,2*PI()*D471),COMPLEX(2*PI()*'Stability Calculations'!EA_Pole2,0)))</f>
        <v>1+34.3863502191875i</v>
      </c>
      <c r="AD471" s="734">
        <f t="shared" si="387"/>
        <v>34.400887799541103</v>
      </c>
      <c r="AE471" s="735">
        <f t="shared" si="388"/>
        <v>1.5417232140881885</v>
      </c>
      <c r="AF471" s="732" t="str">
        <f t="shared" si="389"/>
        <v>0.0496978154385154-1.72615710740588i</v>
      </c>
      <c r="AG471" s="337">
        <f t="shared" si="390"/>
        <v>1.7268723844879783</v>
      </c>
      <c r="AH471" s="730">
        <f t="shared" si="391"/>
        <v>-1.5420132628600545</v>
      </c>
      <c r="AI471" s="731" t="str">
        <f t="shared" si="369"/>
        <v>10000</v>
      </c>
      <c r="AJ471" s="733" t="str">
        <f t="shared" si="392"/>
        <v>1+321420.157924113i</v>
      </c>
      <c r="AK471" s="734">
        <f t="shared" si="393"/>
        <v>321420.15792566858</v>
      </c>
      <c r="AL471" s="735">
        <f t="shared" si="394"/>
        <v>1.570793215602349</v>
      </c>
      <c r="AM471" s="340" t="str">
        <f t="shared" si="395"/>
        <v>1+545.486940671847i</v>
      </c>
      <c r="AN471" s="734">
        <f t="shared" si="396"/>
        <v>545.48785728330483</v>
      </c>
      <c r="AO471" s="735">
        <f t="shared" si="397"/>
        <v>1.568963104392664</v>
      </c>
      <c r="AP471" s="733" t="str">
        <f t="shared" si="398"/>
        <v>1+26.4570157654907i</v>
      </c>
      <c r="AQ471" s="734">
        <f t="shared" si="399"/>
        <v>26.475907599465277</v>
      </c>
      <c r="AR471" s="735">
        <f t="shared" si="400"/>
        <v>1.533017152897961</v>
      </c>
      <c r="AS471" s="732" t="str">
        <f t="shared" si="401"/>
        <v>0.000927976531881677-4.30807727141623i</v>
      </c>
      <c r="AT471" s="337">
        <f t="shared" si="402"/>
        <v>4.3080773713610991</v>
      </c>
      <c r="AU471" s="730">
        <f t="shared" si="403"/>
        <v>-1.5705809229246628</v>
      </c>
      <c r="AV471" s="732" t="str">
        <f t="shared" si="404"/>
        <v>-0.108255886612687+0.0374349013822331i</v>
      </c>
      <c r="AW471" s="337">
        <f t="shared" si="405"/>
        <v>-18.820427021794771</v>
      </c>
      <c r="AX471" s="730">
        <f t="shared" si="406"/>
        <v>160.92460707224899</v>
      </c>
      <c r="AY471" s="360">
        <f t="shared" si="407"/>
        <v>-19.075392927751011</v>
      </c>
      <c r="BB471" s="337">
        <f t="shared" si="408"/>
        <v>-27.314330110947033</v>
      </c>
      <c r="BC471" s="730">
        <f t="shared" si="409"/>
        <v>-89.987658267344827</v>
      </c>
      <c r="BD471" s="351"/>
      <c r="BE471" s="337">
        <f t="shared" si="370"/>
        <v>28.649245937246256</v>
      </c>
      <c r="BF471" s="730">
        <f t="shared" si="371"/>
        <v>-89.682899583703318</v>
      </c>
      <c r="BI471" s="351"/>
      <c r="BJ471" s="351"/>
      <c r="BL471" s="405">
        <f t="shared" si="372"/>
        <v>0</v>
      </c>
      <c r="BM471" s="405">
        <f t="shared" si="360"/>
        <v>0</v>
      </c>
      <c r="BN471" s="405">
        <f t="shared" si="373"/>
        <v>0</v>
      </c>
      <c r="BO471" s="405">
        <f t="shared" si="374"/>
        <v>0</v>
      </c>
    </row>
    <row r="472" spans="4:67" ht="13.5" thickBot="1" x14ac:dyDescent="0.25">
      <c r="D472" s="345">
        <v>54641.25</v>
      </c>
      <c r="E472" s="340" t="str">
        <f t="shared" si="361"/>
        <v>0.906367701798046i</v>
      </c>
      <c r="F472" s="728" t="str">
        <f t="shared" si="375"/>
        <v>0.005-0.047749592619788i</v>
      </c>
      <c r="G472" s="337" t="str">
        <f t="shared" si="376"/>
        <v>0.005-0.0746852602514634i</v>
      </c>
      <c r="H472" s="338" t="str">
        <f t="shared" si="377"/>
        <v>0.00949117946203914-0.0737993577880474i</v>
      </c>
      <c r="I472" s="338" t="str">
        <f t="shared" si="378"/>
        <v>0.0194911794620391-0.0737993577880474i</v>
      </c>
      <c r="J472" s="337" t="str">
        <f t="shared" si="379"/>
        <v>0.00481716225783255-0.0291603616989925i</v>
      </c>
      <c r="K472" s="338" t="str">
        <f t="shared" si="362"/>
        <v>0.96682593109375-0.286100915971605i</v>
      </c>
      <c r="L472" s="732"/>
      <c r="M472" s="732" t="str">
        <f t="shared" si="363"/>
        <v>0.147735772515661-26.9027483629443i</v>
      </c>
      <c r="N472" s="337">
        <f t="shared" si="364"/>
        <v>0</v>
      </c>
      <c r="O472" s="730" t="str">
        <f t="shared" si="365"/>
        <v>-0.925962327046907-10.3758912114192i</v>
      </c>
      <c r="P472" s="731" t="str">
        <f t="shared" si="366"/>
        <v>-0.783782205772939-0.133902932608378i</v>
      </c>
      <c r="Q472" s="729" t="str">
        <f t="shared" si="367"/>
        <v>-0.77452258250247-0.030144020494186i</v>
      </c>
      <c r="R472" s="730"/>
      <c r="S472" s="405" t="str">
        <f t="shared" si="380"/>
        <v>38.3232711759692-10.5775502454563i</v>
      </c>
      <c r="T472" s="405" t="str">
        <f t="shared" si="381"/>
        <v>14.3864275555789-5.47761158038284i</v>
      </c>
      <c r="U472" s="405" t="str">
        <f t="shared" si="382"/>
        <v>-0.267700051097001-1.11369810899874i</v>
      </c>
      <c r="V472" s="731" t="str">
        <f t="shared" si="368"/>
        <v>6000</v>
      </c>
      <c r="W472" s="733" t="str">
        <f>IMSUM(COMPLEX(1,0),IMDIV(COMPLEX(0,2*PI()*D472),COMPLEX(2*PI()*'Stability Calculations'!EA_Pole1,0)))</f>
        <v>1+346754.310157586i</v>
      </c>
      <c r="X472" s="734">
        <f t="shared" si="383"/>
        <v>346754.31015902798</v>
      </c>
      <c r="Y472" s="735">
        <f t="shared" si="384"/>
        <v>1.5707934429086097</v>
      </c>
      <c r="Z472" s="340" t="str">
        <f>IMSUM(COMPLEX(1,0),IMDIV(COMPLEX(0,2*PI()*D472),COMPLEX(2*PI()*'Stability Calculations'!EA_Zero1,0)))</f>
        <v>1+3433.21099165927i</v>
      </c>
      <c r="AA472" s="734">
        <f t="shared" si="385"/>
        <v>3433.2111372955242</v>
      </c>
      <c r="AB472" s="735">
        <f t="shared" si="386"/>
        <v>1.5705050542881531</v>
      </c>
      <c r="AC472" s="733" t="str">
        <f>IMSUM(COMPLEX(1,0),IMDIV(COMPLEX(0,2*PI()*D472),COMPLEX(2*PI()*'Stability Calculations'!EA_Pole2,0)))</f>
        <v>1+34.5843003012081i</v>
      </c>
      <c r="AD472" s="734">
        <f t="shared" si="387"/>
        <v>34.598754707707947</v>
      </c>
      <c r="AE472" s="735">
        <f t="shared" si="388"/>
        <v>1.5418895268476818</v>
      </c>
      <c r="AF472" s="732" t="str">
        <f t="shared" si="389"/>
        <v>0.0491310069155837-1.71629349501332i</v>
      </c>
      <c r="AG472" s="337">
        <f t="shared" si="390"/>
        <v>1.7169965686819457</v>
      </c>
      <c r="AH472" s="730">
        <f t="shared" si="391"/>
        <v>-1.5421779154681383</v>
      </c>
      <c r="AI472" s="731" t="str">
        <f t="shared" si="369"/>
        <v>10000</v>
      </c>
      <c r="AJ472" s="733" t="str">
        <f t="shared" si="392"/>
        <v>1+323270.46033244i</v>
      </c>
      <c r="AK472" s="734">
        <f t="shared" si="393"/>
        <v>323270.46033398673</v>
      </c>
      <c r="AL472" s="735">
        <f t="shared" si="394"/>
        <v>1.5707932334098749</v>
      </c>
      <c r="AM472" s="340" t="str">
        <f t="shared" si="395"/>
        <v>1+548.627116467151i</v>
      </c>
      <c r="AN472" s="734">
        <f t="shared" si="396"/>
        <v>548.62802783221071</v>
      </c>
      <c r="AO472" s="735">
        <f t="shared" si="397"/>
        <v>1.5689735971803063</v>
      </c>
      <c r="AP472" s="733" t="str">
        <f t="shared" si="398"/>
        <v>1+26.6093194676113i</v>
      </c>
      <c r="AQ472" s="734">
        <f t="shared" si="399"/>
        <v>26.628103246934391</v>
      </c>
      <c r="AR472" s="735">
        <f t="shared" si="400"/>
        <v>1.5332331855387553</v>
      </c>
      <c r="AS472" s="732" t="str">
        <f t="shared" si="401"/>
        <v>0.000917384019157199-4.28341914147455i</v>
      </c>
      <c r="AT472" s="337">
        <f t="shared" si="402"/>
        <v>4.2834192397130604</v>
      </c>
      <c r="AU472" s="730">
        <f t="shared" si="403"/>
        <v>-1.5705821558312736</v>
      </c>
      <c r="AV472" s="732" t="str">
        <f t="shared" si="404"/>
        <v>-0.106924056533253+0.0372187302129787i</v>
      </c>
      <c r="AW472" s="337">
        <f t="shared" si="405"/>
        <v>-18.921801479986357</v>
      </c>
      <c r="AX472" s="730">
        <f t="shared" si="406"/>
        <v>160.80772599798692</v>
      </c>
      <c r="AY472" s="360">
        <f t="shared" si="407"/>
        <v>-19.192274002013079</v>
      </c>
      <c r="BB472" s="337">
        <f t="shared" si="408"/>
        <v>-27.364188338902782</v>
      </c>
      <c r="BC472" s="730">
        <f t="shared" si="409"/>
        <v>-89.987728907690155</v>
      </c>
      <c r="BD472" s="351"/>
      <c r="BE472" s="337">
        <f t="shared" si="370"/>
        <v>28.596063953980618</v>
      </c>
      <c r="BF472" s="730">
        <f t="shared" si="371"/>
        <v>-89.685364816700869</v>
      </c>
      <c r="BI472" s="351"/>
      <c r="BJ472" s="351"/>
      <c r="BL472" s="405">
        <f t="shared" si="372"/>
        <v>0</v>
      </c>
      <c r="BM472" s="405">
        <f t="shared" si="360"/>
        <v>0</v>
      </c>
      <c r="BN472" s="405">
        <f t="shared" si="373"/>
        <v>0</v>
      </c>
      <c r="BO472" s="405">
        <f t="shared" si="374"/>
        <v>0</v>
      </c>
    </row>
    <row r="473" spans="4:67" ht="13.5" thickBot="1" x14ac:dyDescent="0.25">
      <c r="D473" s="345">
        <v>54954</v>
      </c>
      <c r="E473" s="340" t="str">
        <f t="shared" si="361"/>
        <v>0.911555476578772i</v>
      </c>
      <c r="F473" s="728" t="str">
        <f t="shared" si="375"/>
        <v>0.005-0.0474778437918256i</v>
      </c>
      <c r="G473" s="337" t="str">
        <f t="shared" si="376"/>
        <v>0.005-0.0742602172128558i</v>
      </c>
      <c r="H473" s="338" t="str">
        <f t="shared" si="377"/>
        <v>0.00944016145903771-0.0733824577095513i</v>
      </c>
      <c r="I473" s="338" t="str">
        <f t="shared" si="378"/>
        <v>0.0194401614590377-0.0733824577095513i</v>
      </c>
      <c r="J473" s="337" t="str">
        <f t="shared" si="379"/>
        <v>0.00480918944772988-0.0289952728890787i</v>
      </c>
      <c r="K473" s="338" t="str">
        <f t="shared" si="362"/>
        <v>0.9664450876-0.287738471142289i</v>
      </c>
      <c r="L473" s="732"/>
      <c r="M473" s="732" t="str">
        <f t="shared" si="363"/>
        <v>0.145707636071981-26.739591436044i</v>
      </c>
      <c r="N473" s="337">
        <f t="shared" si="364"/>
        <v>0</v>
      </c>
      <c r="O473" s="730" t="str">
        <f t="shared" si="365"/>
        <v>-0.921767064806998-10.3117521279034i</v>
      </c>
      <c r="P473" s="731" t="str">
        <f t="shared" si="366"/>
        <v>-0.774621015004716-0.13282059364076i</v>
      </c>
      <c r="Q473" s="729" t="str">
        <f t="shared" si="367"/>
        <v>-0.765403344356646-0.0297030723617268i</v>
      </c>
      <c r="R473" s="730"/>
      <c r="S473" s="405" t="str">
        <f t="shared" si="380"/>
        <v>38.3009407426363-10.6444063073046i</v>
      </c>
      <c r="T473" s="405" t="str">
        <f t="shared" si="381"/>
        <v>14.3733027140124-5.50349938705275i</v>
      </c>
      <c r="U473" s="405" t="str">
        <f t="shared" si="382"/>
        <v>-0.268174012705037-1.10670220136108i</v>
      </c>
      <c r="V473" s="731" t="str">
        <f t="shared" si="368"/>
        <v>6000</v>
      </c>
      <c r="W473" s="733" t="str">
        <f>IMSUM(COMPLEX(1,0),IMDIV(COMPLEX(0,2*PI()*D473),COMPLEX(2*PI()*'Stability Calculations'!EA_Pole1,0)))</f>
        <v>1+348739.027024454i</v>
      </c>
      <c r="X473" s="734">
        <f t="shared" si="383"/>
        <v>348739.02702588768</v>
      </c>
      <c r="Y473" s="735">
        <f t="shared" si="384"/>
        <v>1.5707934593211628</v>
      </c>
      <c r="Z473" s="340" t="str">
        <f>IMSUM(COMPLEX(1,0),IMDIV(COMPLEX(0,2*PI()*D473),COMPLEX(2*PI()*'Stability Calculations'!EA_Zero1,0)))</f>
        <v>1+3452.86165370747i</v>
      </c>
      <c r="AA473" s="734">
        <f t="shared" si="385"/>
        <v>3452.8617985148908</v>
      </c>
      <c r="AB473" s="735">
        <f t="shared" si="386"/>
        <v>1.5705067119558638</v>
      </c>
      <c r="AC473" s="733" t="str">
        <f>IMSUM(COMPLEX(1,0),IMDIV(COMPLEX(0,2*PI()*D473),COMPLEX(2*PI()*'Stability Calculations'!EA_Pole2,0)))</f>
        <v>1+34.7822503832286i</v>
      </c>
      <c r="AD473" s="734">
        <f t="shared" si="387"/>
        <v>34.796622561990212</v>
      </c>
      <c r="AE473" s="735">
        <f t="shared" si="388"/>
        <v>1.5420539481666811</v>
      </c>
      <c r="AF473" s="732" t="str">
        <f t="shared" si="389"/>
        <v>0.0485738375039506-1.70654187556601i</v>
      </c>
      <c r="AG473" s="337">
        <f t="shared" si="390"/>
        <v>1.7072330218075726</v>
      </c>
      <c r="AH473" s="730">
        <f t="shared" si="391"/>
        <v>-1.5423406955319801</v>
      </c>
      <c r="AI473" s="731" t="str">
        <f t="shared" si="369"/>
        <v>10000</v>
      </c>
      <c r="AJ473" s="733" t="str">
        <f t="shared" si="392"/>
        <v>1+325120.762740766i</v>
      </c>
      <c r="AK473" s="734">
        <f t="shared" si="393"/>
        <v>325120.76274230389</v>
      </c>
      <c r="AL473" s="735">
        <f t="shared" si="394"/>
        <v>1.5707932510147109</v>
      </c>
      <c r="AM473" s="340" t="str">
        <f t="shared" si="395"/>
        <v>1+551.767292262454i</v>
      </c>
      <c r="AN473" s="734">
        <f t="shared" si="396"/>
        <v>551.76819844083116</v>
      </c>
      <c r="AO473" s="735">
        <f t="shared" si="397"/>
        <v>1.5689839705368427</v>
      </c>
      <c r="AP473" s="733" t="str">
        <f t="shared" si="398"/>
        <v>1+26.7616231697318i</v>
      </c>
      <c r="AQ473" s="734">
        <f t="shared" si="399"/>
        <v>26.780300123014413</v>
      </c>
      <c r="AR473" s="735">
        <f t="shared" si="400"/>
        <v>1.5334467626909476</v>
      </c>
      <c r="AS473" s="732" t="str">
        <f t="shared" si="401"/>
        <v>0.000906971841203714-4.25904167641928i</v>
      </c>
      <c r="AT473" s="337">
        <f t="shared" si="402"/>
        <v>4.2590417729900558</v>
      </c>
      <c r="AU473" s="730">
        <f t="shared" si="403"/>
        <v>-1.5705833747046376</v>
      </c>
      <c r="AV473" s="732" t="str">
        <f t="shared" si="404"/>
        <v>-0.10561495063799+0.0370047063582701i</v>
      </c>
      <c r="AW473" s="337">
        <f t="shared" si="405"/>
        <v>-19.022615846420315</v>
      </c>
      <c r="AX473" s="730">
        <f t="shared" si="406"/>
        <v>160.69087865642356</v>
      </c>
      <c r="AY473" s="360">
        <f t="shared" si="407"/>
        <v>-19.309121343576436</v>
      </c>
      <c r="BB473" s="337">
        <f t="shared" si="408"/>
        <v>-27.413762006272819</v>
      </c>
      <c r="BC473" s="730">
        <f t="shared" si="409"/>
        <v>-89.987798743989671</v>
      </c>
      <c r="BD473" s="351"/>
      <c r="BE473" s="337">
        <f t="shared" si="370"/>
        <v>28.543224298108548</v>
      </c>
      <c r="BF473" s="730">
        <f t="shared" si="371"/>
        <v>-89.687790668716943</v>
      </c>
      <c r="BI473" s="351"/>
      <c r="BJ473" s="351"/>
      <c r="BL473" s="405">
        <f t="shared" si="372"/>
        <v>0</v>
      </c>
      <c r="BM473" s="405">
        <f t="shared" si="360"/>
        <v>0</v>
      </c>
      <c r="BN473" s="405">
        <f t="shared" si="373"/>
        <v>0</v>
      </c>
      <c r="BO473" s="405">
        <f t="shared" si="374"/>
        <v>0</v>
      </c>
    </row>
    <row r="474" spans="4:67" ht="13.5" thickBot="1" x14ac:dyDescent="0.25">
      <c r="D474" s="345">
        <v>55274</v>
      </c>
      <c r="E474" s="340" t="str">
        <f t="shared" si="361"/>
        <v>0.916863511526277i</v>
      </c>
      <c r="F474" s="728" t="str">
        <f t="shared" si="375"/>
        <v>0.005-0.0472029783937473i</v>
      </c>
      <c r="G474" s="337" t="str">
        <f t="shared" si="376"/>
        <v>0.005-0.0738302995389383i</v>
      </c>
      <c r="H474" s="338" t="str">
        <f t="shared" si="377"/>
        <v>0.0093888502099715-0.0729607226322343i</v>
      </c>
      <c r="I474" s="338" t="str">
        <f t="shared" si="378"/>
        <v>0.0193888502099715-0.0729607226322343i</v>
      </c>
      <c r="J474" s="337" t="str">
        <f t="shared" si="379"/>
        <v>0.00480116884509658-0.0288282910826667i</v>
      </c>
      <c r="K474" s="338" t="str">
        <f t="shared" si="362"/>
        <v>0.966053165822222-0.289413987224204i</v>
      </c>
      <c r="L474" s="732"/>
      <c r="M474" s="732" t="str">
        <f t="shared" si="363"/>
        <v>0.143676555094807-26.574745732282i</v>
      </c>
      <c r="N474" s="337">
        <f t="shared" si="364"/>
        <v>0</v>
      </c>
      <c r="O474" s="730" t="str">
        <f t="shared" si="365"/>
        <v>-0.917544411973853-10.2469456425439i</v>
      </c>
      <c r="P474" s="731" t="str">
        <f t="shared" si="366"/>
        <v>-0.765414690017987-0.131731790828223i</v>
      </c>
      <c r="Q474" s="729" t="str">
        <f t="shared" si="367"/>
        <v>-0.756239245898249-0.0292623344027831i</v>
      </c>
      <c r="R474" s="730"/>
      <c r="S474" s="405" t="str">
        <f t="shared" si="380"/>
        <v>38.2779502365856-10.7127200424848i</v>
      </c>
      <c r="T474" s="405" t="str">
        <f t="shared" si="381"/>
        <v>14.3598044465197-5.52996999541251i</v>
      </c>
      <c r="U474" s="405" t="str">
        <f t="shared" si="382"/>
        <v>-0.268648554007017-1.09962176922822i</v>
      </c>
      <c r="V474" s="731" t="str">
        <f t="shared" si="368"/>
        <v>6000</v>
      </c>
      <c r="W474" s="733" t="str">
        <f>IMSUM(COMPLEX(1,0),IMDIV(COMPLEX(0,2*PI()*D474),COMPLEX(2*PI()*'Stability Calculations'!EA_Pole1,0)))</f>
        <v>1+350769.752515735i</v>
      </c>
      <c r="X474" s="734">
        <f t="shared" si="383"/>
        <v>350769.75251716049</v>
      </c>
      <c r="Y474" s="735">
        <f t="shared" si="384"/>
        <v>1.5707934759219442</v>
      </c>
      <c r="Z474" s="340" t="str">
        <f>IMSUM(COMPLEX(1,0),IMDIV(COMPLEX(0,2*PI()*D474),COMPLEX(2*PI()*'Stability Calculations'!EA_Zero1,0)))</f>
        <v>1+3472.96784669044i</v>
      </c>
      <c r="AA474" s="734">
        <f t="shared" si="385"/>
        <v>3472.9679906595211</v>
      </c>
      <c r="AB474" s="735">
        <f t="shared" si="386"/>
        <v>1.5705083886346523</v>
      </c>
      <c r="AC474" s="733" t="str">
        <f>IMSUM(COMPLEX(1,0),IMDIV(COMPLEX(0,2*PI()*D474),COMPLEX(2*PI()*'Stability Calculations'!EA_Pole2,0)))</f>
        <v>1+34.9847892361352i</v>
      </c>
      <c r="AD474" s="734">
        <f t="shared" si="387"/>
        <v>34.999078243530946</v>
      </c>
      <c r="AE474" s="735">
        <f t="shared" si="388"/>
        <v>1.5422202567441978</v>
      </c>
      <c r="AF474" s="732" t="str">
        <f t="shared" si="389"/>
        <v>0.0480135023834753-1.69667814030013i</v>
      </c>
      <c r="AG474" s="337">
        <f t="shared" si="390"/>
        <v>1.697357360187723</v>
      </c>
      <c r="AH474" s="730">
        <f t="shared" si="391"/>
        <v>-1.5425053440314898</v>
      </c>
      <c r="AI474" s="731" t="str">
        <f t="shared" si="369"/>
        <v>10000</v>
      </c>
      <c r="AJ474" s="733" t="str">
        <f t="shared" si="392"/>
        <v>1+327013.957850804i</v>
      </c>
      <c r="AK474" s="734">
        <f t="shared" si="393"/>
        <v>327013.95785233303</v>
      </c>
      <c r="AL474" s="735">
        <f t="shared" si="394"/>
        <v>1.5707932688214494</v>
      </c>
      <c r="AM474" s="340" t="str">
        <f t="shared" si="395"/>
        <v>1+554.980261901132i</v>
      </c>
      <c r="AN474" s="734">
        <f t="shared" si="396"/>
        <v>554.98116283334264</v>
      </c>
      <c r="AO474" s="735">
        <f t="shared" si="397"/>
        <v>1.5689944628613284</v>
      </c>
      <c r="AP474" s="733" t="str">
        <f t="shared" si="398"/>
        <v>1+26.9174574932444i</v>
      </c>
      <c r="AQ474" s="734">
        <f t="shared" si="399"/>
        <v>26.936026394043701</v>
      </c>
      <c r="AR474" s="735">
        <f t="shared" si="400"/>
        <v>1.5336627927352426</v>
      </c>
      <c r="AS474" s="732" t="str">
        <f t="shared" si="401"/>
        <v>0.000896500702758116-4.23438463669148i</v>
      </c>
      <c r="AT474" s="337">
        <f t="shared" si="402"/>
        <v>4.2343847315947034</v>
      </c>
      <c r="AU474" s="730">
        <f t="shared" si="403"/>
        <v>-1.5705846075567351</v>
      </c>
      <c r="AV474" s="732" t="str">
        <f t="shared" si="404"/>
        <v>-0.104298483119002+0.0367879109964558i</v>
      </c>
      <c r="AW474" s="337">
        <f t="shared" si="405"/>
        <v>-19.12519429038025</v>
      </c>
      <c r="AX474" s="730">
        <f t="shared" si="406"/>
        <v>160.57135683708046</v>
      </c>
      <c r="AY474" s="360">
        <f t="shared" si="407"/>
        <v>-19.428643162919542</v>
      </c>
      <c r="BB474" s="337">
        <f t="shared" si="408"/>
        <v>-27.46419369998495</v>
      </c>
      <c r="BC474" s="730">
        <f t="shared" si="409"/>
        <v>-89.987869381211624</v>
      </c>
      <c r="BD474" s="351"/>
      <c r="BE474" s="337">
        <f t="shared" si="370"/>
        <v>28.489509301345819</v>
      </c>
      <c r="BF474" s="730">
        <f t="shared" si="371"/>
        <v>-89.690232971646765</v>
      </c>
      <c r="BI474" s="351"/>
      <c r="BJ474" s="351"/>
      <c r="BL474" s="405">
        <f t="shared" si="372"/>
        <v>0</v>
      </c>
      <c r="BM474" s="405">
        <f t="shared" ref="BM474:BM537" si="410">IF(BL474&gt;0,AY474,0)</f>
        <v>0</v>
      </c>
      <c r="BN474" s="405">
        <f t="shared" si="373"/>
        <v>0</v>
      </c>
      <c r="BO474" s="405">
        <f t="shared" si="374"/>
        <v>0</v>
      </c>
    </row>
    <row r="475" spans="4:67" ht="13.5" thickBot="1" x14ac:dyDescent="0.25">
      <c r="D475" s="345">
        <v>55594</v>
      </c>
      <c r="E475" s="340" t="str">
        <f t="shared" si="361"/>
        <v>0.922171546473783i</v>
      </c>
      <c r="F475" s="728" t="str">
        <f t="shared" si="375"/>
        <v>0.005-0.046931277255387i</v>
      </c>
      <c r="G475" s="337" t="str">
        <f t="shared" si="376"/>
        <v>0.005-0.0734053310917595i</v>
      </c>
      <c r="H475" s="338" t="str">
        <f t="shared" si="377"/>
        <v>0.00933841820365629-0.0725437897529563i</v>
      </c>
      <c r="I475" s="338" t="str">
        <f t="shared" si="378"/>
        <v>0.0193384182036563-0.0725437897529563i</v>
      </c>
      <c r="J475" s="337" t="str">
        <f t="shared" si="379"/>
        <v>0.00479328367389414-0.0286632319814398i</v>
      </c>
      <c r="K475" s="338" t="str">
        <f t="shared" si="362"/>
        <v>0.965658968488889-0.291089503306118i</v>
      </c>
      <c r="L475" s="732"/>
      <c r="M475" s="732" t="str">
        <f t="shared" si="363"/>
        <v>0.141688773333143-26.411976769264i</v>
      </c>
      <c r="N475" s="337">
        <f t="shared" si="364"/>
        <v>0</v>
      </c>
      <c r="O475" s="730" t="str">
        <f t="shared" si="365"/>
        <v>-0.913390788173876-10.18295201026i</v>
      </c>
      <c r="P475" s="731" t="str">
        <f t="shared" si="366"/>
        <v>-0.756373462741821-0.130661355222598i</v>
      </c>
      <c r="Q475" s="729" t="str">
        <f t="shared" si="367"/>
        <v>-0.747239554860083-0.0288318351199982i</v>
      </c>
      <c r="R475" s="730"/>
      <c r="S475" s="405" t="str">
        <f t="shared" si="380"/>
        <v>38.2548158093052-10.7809411122536i</v>
      </c>
      <c r="T475" s="405" t="str">
        <f t="shared" si="381"/>
        <v>14.3462362497364-5.55642253638433i</v>
      </c>
      <c r="U475" s="405" t="str">
        <f t="shared" si="382"/>
        <v>-0.269112794509561-1.0926185436081i</v>
      </c>
      <c r="V475" s="731" t="str">
        <f t="shared" si="368"/>
        <v>6000</v>
      </c>
      <c r="W475" s="733" t="str">
        <f>IMSUM(COMPLEX(1,0),IMDIV(COMPLEX(0,2*PI()*D475),COMPLEX(2*PI()*'Stability Calculations'!EA_Pole1,0)))</f>
        <v>1+352800.478007015i</v>
      </c>
      <c r="X475" s="734">
        <f t="shared" si="383"/>
        <v>352800.47800843231</v>
      </c>
      <c r="Y475" s="735">
        <f t="shared" si="384"/>
        <v>1.5707934923316169</v>
      </c>
      <c r="Z475" s="340" t="str">
        <f>IMSUM(COMPLEX(1,0),IMDIV(COMPLEX(0,2*PI()*D475),COMPLEX(2*PI()*'Stability Calculations'!EA_Zero1,0)))</f>
        <v>1+3493.07403967342i</v>
      </c>
      <c r="AA475" s="734">
        <f t="shared" si="385"/>
        <v>3493.074182813813</v>
      </c>
      <c r="AB475" s="735">
        <f t="shared" si="386"/>
        <v>1.5705100460114596</v>
      </c>
      <c r="AC475" s="733" t="str">
        <f>IMSUM(COMPLEX(1,0),IMDIV(COMPLEX(0,2*PI()*D475),COMPLEX(2*PI()*'Stability Calculations'!EA_Pole2,0)))</f>
        <v>1+35.1873280890419i</v>
      </c>
      <c r="AD475" s="734">
        <f t="shared" si="387"/>
        <v>35.201534881960427</v>
      </c>
      <c r="AE475" s="735">
        <f t="shared" si="388"/>
        <v>1.542384652325796</v>
      </c>
      <c r="AF475" s="732" t="str">
        <f t="shared" si="389"/>
        <v>0.0474628048724026-1.68692768279273i</v>
      </c>
      <c r="AG475" s="337">
        <f t="shared" si="390"/>
        <v>1.6875952491100481</v>
      </c>
      <c r="AH475" s="730">
        <f t="shared" si="391"/>
        <v>-1.5426680986459531</v>
      </c>
      <c r="AI475" s="731" t="str">
        <f t="shared" si="369"/>
        <v>10000</v>
      </c>
      <c r="AJ475" s="733" t="str">
        <f t="shared" si="392"/>
        <v>1+328907.152960843i</v>
      </c>
      <c r="AK475" s="734">
        <f t="shared" si="393"/>
        <v>328907.15296236321</v>
      </c>
      <c r="AL475" s="735">
        <f t="shared" si="394"/>
        <v>1.5707932864231959</v>
      </c>
      <c r="AM475" s="340" t="str">
        <f t="shared" si="395"/>
        <v>1+558.193231539812i</v>
      </c>
      <c r="AN475" s="734">
        <f t="shared" si="396"/>
        <v>558.19412728624991</v>
      </c>
      <c r="AO475" s="735">
        <f t="shared" si="397"/>
        <v>1.5690048343982113</v>
      </c>
      <c r="AP475" s="733" t="str">
        <f t="shared" si="398"/>
        <v>1+27.0732918167571i</v>
      </c>
      <c r="AQ475" s="734">
        <f t="shared" si="399"/>
        <v>27.091753907698312</v>
      </c>
      <c r="AR475" s="735">
        <f t="shared" si="400"/>
        <v>1.5338763392424382</v>
      </c>
      <c r="AS475" s="732" t="str">
        <f t="shared" si="401"/>
        <v>0.000886209859555421-4.21001144959732i</v>
      </c>
      <c r="AT475" s="337">
        <f t="shared" si="402"/>
        <v>4.2100115428711646</v>
      </c>
      <c r="AU475" s="730">
        <f t="shared" si="403"/>
        <v>-1.5705858262161985</v>
      </c>
      <c r="AV475" s="732" t="str">
        <f t="shared" si="404"/>
        <v>-0.103004734424242+0.0365732978979896i</v>
      </c>
      <c r="AW475" s="337">
        <f t="shared" si="405"/>
        <v>-19.227200007102798</v>
      </c>
      <c r="AX475" s="730">
        <f t="shared" si="406"/>
        <v>160.45186892572622</v>
      </c>
      <c r="AY475" s="360">
        <f t="shared" si="407"/>
        <v>-19.548131074273783</v>
      </c>
      <c r="BB475" s="337">
        <f t="shared" si="408"/>
        <v>-27.514334268567499</v>
      </c>
      <c r="BC475" s="730">
        <f t="shared" si="409"/>
        <v>-89.987939205255543</v>
      </c>
      <c r="BD475" s="351"/>
      <c r="BE475" s="337">
        <f t="shared" si="370"/>
        <v>28.436143114223739</v>
      </c>
      <c r="BF475" s="730">
        <f t="shared" si="371"/>
        <v>-89.692635999484779</v>
      </c>
      <c r="BI475" s="351"/>
      <c r="BJ475" s="351"/>
      <c r="BL475" s="405">
        <f t="shared" si="372"/>
        <v>0</v>
      </c>
      <c r="BM475" s="405">
        <f t="shared" si="410"/>
        <v>0</v>
      </c>
      <c r="BN475" s="405">
        <f t="shared" si="373"/>
        <v>0</v>
      </c>
      <c r="BO475" s="405">
        <f t="shared" si="374"/>
        <v>0</v>
      </c>
    </row>
    <row r="476" spans="4:67" ht="13.5" thickBot="1" x14ac:dyDescent="0.25">
      <c r="D476" s="345">
        <v>55914</v>
      </c>
      <c r="E476" s="340" t="str">
        <f t="shared" si="361"/>
        <v>0.927479581421288i</v>
      </c>
      <c r="F476" s="728" t="str">
        <f t="shared" si="375"/>
        <v>0.005-0.0466626860488606i</v>
      </c>
      <c r="G476" s="337" t="str">
        <f t="shared" si="376"/>
        <v>0.005-0.0729852268969359i</v>
      </c>
      <c r="H476" s="338" t="str">
        <f t="shared" si="377"/>
        <v>0.00928884548962522-0.072131577813589i</v>
      </c>
      <c r="I476" s="338" t="str">
        <f t="shared" si="378"/>
        <v>0.0192888454896252-0.072131577813589i</v>
      </c>
      <c r="J476" s="337" t="str">
        <f t="shared" si="379"/>
        <v>0.00478553083306726-0.0285000626392764i</v>
      </c>
      <c r="K476" s="338" t="str">
        <f t="shared" si="362"/>
        <v>0.9652624956-0.292765019388033i</v>
      </c>
      <c r="L476" s="732"/>
      <c r="M476" s="732" t="str">
        <f t="shared" si="363"/>
        <v>0.139743050767654-26.2512446193385i</v>
      </c>
      <c r="N476" s="337">
        <f t="shared" si="364"/>
        <v>0</v>
      </c>
      <c r="O476" s="730" t="str">
        <f t="shared" si="365"/>
        <v>-0.909304594619573-10.1197555582351i</v>
      </c>
      <c r="P476" s="731" t="str">
        <f t="shared" si="366"/>
        <v>-0.74749337133196-0.129608826232517i</v>
      </c>
      <c r="Q476" s="729" t="str">
        <f t="shared" si="367"/>
        <v>-0.738400325385764-0.0284112706501665i</v>
      </c>
      <c r="R476" s="730"/>
      <c r="S476" s="405" t="str">
        <f t="shared" si="380"/>
        <v>38.2315375896306-10.8490700380592i</v>
      </c>
      <c r="T476" s="405" t="str">
        <f t="shared" si="381"/>
        <v>14.332598162554-5.58285645982865i</v>
      </c>
      <c r="U476" s="405" t="str">
        <f t="shared" si="382"/>
        <v>-0.269566955357378-1.08569121067928i</v>
      </c>
      <c r="V476" s="731" t="str">
        <f t="shared" si="368"/>
        <v>6000</v>
      </c>
      <c r="W476" s="733" t="str">
        <f>IMSUM(COMPLEX(1,0),IMDIV(COMPLEX(0,2*PI()*D476),COMPLEX(2*PI()*'Stability Calculations'!EA_Pole1,0)))</f>
        <v>1+354831.203498295i</v>
      </c>
      <c r="X476" s="734">
        <f t="shared" si="383"/>
        <v>354831.20349970413</v>
      </c>
      <c r="Y476" s="735">
        <f t="shared" si="384"/>
        <v>1.5707935085534619</v>
      </c>
      <c r="Z476" s="340" t="str">
        <f>IMSUM(COMPLEX(1,0),IMDIV(COMPLEX(0,2*PI()*D476),COMPLEX(2*PI()*'Stability Calculations'!EA_Zero1,0)))</f>
        <v>1+3513.18023265639i</v>
      </c>
      <c r="AA476" s="734">
        <f t="shared" si="385"/>
        <v>3513.18037497758</v>
      </c>
      <c r="AB476" s="735">
        <f t="shared" si="386"/>
        <v>1.5705116844176858</v>
      </c>
      <c r="AC476" s="733" t="str">
        <f>IMSUM(COMPLEX(1,0),IMDIV(COMPLEX(0,2*PI()*D476),COMPLEX(2*PI()*'Stability Calculations'!EA_Pole2,0)))</f>
        <v>1+35.3898669419485i</v>
      </c>
      <c r="AD476" s="734">
        <f t="shared" si="387"/>
        <v>35.403992460862646</v>
      </c>
      <c r="AE476" s="735">
        <f t="shared" si="388"/>
        <v>1.5425471677208891</v>
      </c>
      <c r="AF476" s="732" t="str">
        <f t="shared" si="389"/>
        <v>0.0469215252704963-1.67728856436056i</v>
      </c>
      <c r="AG476" s="337">
        <f t="shared" si="390"/>
        <v>1.6779447421379581</v>
      </c>
      <c r="AH476" s="730">
        <f t="shared" si="391"/>
        <v>-1.5428289918566651</v>
      </c>
      <c r="AI476" s="731" t="str">
        <f t="shared" si="369"/>
        <v>10000</v>
      </c>
      <c r="AJ476" s="733" t="str">
        <f t="shared" si="392"/>
        <v>1+330800.34807088i</v>
      </c>
      <c r="AK476" s="734">
        <f t="shared" si="393"/>
        <v>330800.34807239147</v>
      </c>
      <c r="AL476" s="735">
        <f t="shared" si="394"/>
        <v>1.5707933038234705</v>
      </c>
      <c r="AM476" s="340" t="str">
        <f t="shared" si="395"/>
        <v>1+561.406201178491i</v>
      </c>
      <c r="AN476" s="734">
        <f t="shared" si="396"/>
        <v>561.40709179851319</v>
      </c>
      <c r="AO476" s="735">
        <f t="shared" si="397"/>
        <v>1.569015087221312</v>
      </c>
      <c r="AP476" s="733" t="str">
        <f t="shared" si="398"/>
        <v>1+27.2291261402697i</v>
      </c>
      <c r="AQ476" s="734">
        <f t="shared" si="399"/>
        <v>27.247482642672122</v>
      </c>
      <c r="AR476" s="735">
        <f t="shared" si="400"/>
        <v>1.5340874447756945</v>
      </c>
      <c r="AS476" s="732" t="str">
        <f t="shared" si="401"/>
        <v>0.000876095196056781-4.1859172416082i</v>
      </c>
      <c r="AT476" s="337">
        <f t="shared" si="402"/>
        <v>4.1859173332897521</v>
      </c>
      <c r="AU476" s="730">
        <f t="shared" si="403"/>
        <v>-1.570587030926704</v>
      </c>
      <c r="AV476" s="732" t="str">
        <f t="shared" si="404"/>
        <v>-0.10173318578953+0.0363608347084908i</v>
      </c>
      <c r="AW476" s="337">
        <f t="shared" si="405"/>
        <v>-19.328639714926513</v>
      </c>
      <c r="AX476" s="730">
        <f t="shared" si="406"/>
        <v>160.33241423616343</v>
      </c>
      <c r="AY476" s="360">
        <f t="shared" si="407"/>
        <v>-19.66758576383657</v>
      </c>
      <c r="BB476" s="337">
        <f t="shared" si="408"/>
        <v>-27.564187053872125</v>
      </c>
      <c r="BC476" s="730">
        <f t="shared" si="409"/>
        <v>-89.98800823008304</v>
      </c>
      <c r="BD476" s="351"/>
      <c r="BE476" s="337">
        <f t="shared" si="370"/>
        <v>28.383121044658886</v>
      </c>
      <c r="BF476" s="730">
        <f t="shared" si="371"/>
        <v>-89.695000693758331</v>
      </c>
      <c r="BI476" s="351"/>
      <c r="BJ476" s="351"/>
      <c r="BL476" s="405">
        <f t="shared" si="372"/>
        <v>0</v>
      </c>
      <c r="BM476" s="405">
        <f t="shared" si="410"/>
        <v>0</v>
      </c>
      <c r="BN476" s="405">
        <f t="shared" si="373"/>
        <v>0</v>
      </c>
      <c r="BO476" s="405">
        <f t="shared" si="374"/>
        <v>0</v>
      </c>
    </row>
    <row r="477" spans="4:67" ht="13.5" thickBot="1" x14ac:dyDescent="0.25">
      <c r="D477" s="345">
        <v>56234</v>
      </c>
      <c r="E477" s="340" t="str">
        <f t="shared" si="361"/>
        <v>0.932787616368793i</v>
      </c>
      <c r="F477" s="728" t="str">
        <f t="shared" si="375"/>
        <v>0.005-0.0463971516828964i</v>
      </c>
      <c r="G477" s="337" t="str">
        <f t="shared" si="376"/>
        <v>0.005-0.0725699039142739i</v>
      </c>
      <c r="H477" s="338" t="str">
        <f t="shared" si="377"/>
        <v>0.00924011267941245-0.0717240073722222i</v>
      </c>
      <c r="I477" s="338" t="str">
        <f t="shared" si="378"/>
        <v>0.0192401126794125-0.0717240073722222i</v>
      </c>
      <c r="J477" s="337" t="str">
        <f t="shared" si="379"/>
        <v>0.00477790730948463-0.0283387508579121i</v>
      </c>
      <c r="K477" s="338" t="str">
        <f t="shared" si="362"/>
        <v>0.964863747155555-0.294440535469947i</v>
      </c>
      <c r="L477" s="732"/>
      <c r="M477" s="732" t="str">
        <f t="shared" si="363"/>
        <v>0.137838191716666-26.0925103914704i</v>
      </c>
      <c r="N477" s="337">
        <f t="shared" si="364"/>
        <v>0</v>
      </c>
      <c r="O477" s="730" t="str">
        <f t="shared" si="365"/>
        <v>-0.905284277966366-10.05734102222i</v>
      </c>
      <c r="P477" s="731" t="str">
        <f t="shared" si="366"/>
        <v>-0.738770573137633-0.128573758295973i</v>
      </c>
      <c r="Q477" s="729" t="str">
        <f t="shared" si="367"/>
        <v>-0.729717730357969-0.0280003480737722i</v>
      </c>
      <c r="R477" s="730"/>
      <c r="S477" s="405" t="str">
        <f t="shared" si="380"/>
        <v>38.2081157029616-10.9171073212823i</v>
      </c>
      <c r="T477" s="405" t="str">
        <f t="shared" si="381"/>
        <v>14.3188902261463-5.60927122316787i</v>
      </c>
      <c r="U477" s="405" t="str">
        <f t="shared" si="382"/>
        <v>-0.270011251429558-1.07883848629361i</v>
      </c>
      <c r="V477" s="731" t="str">
        <f t="shared" si="368"/>
        <v>6000</v>
      </c>
      <c r="W477" s="733" t="str">
        <f>IMSUM(COMPLEX(1,0),IMDIV(COMPLEX(0,2*PI()*D477),COMPLEX(2*PI()*'Stability Calculations'!EA_Pole1,0)))</f>
        <v>1+356861.928989576i</v>
      </c>
      <c r="X477" s="734">
        <f t="shared" si="383"/>
        <v>356861.92899097712</v>
      </c>
      <c r="Y477" s="735">
        <f t="shared" si="384"/>
        <v>1.5707935245906861</v>
      </c>
      <c r="Z477" s="340" t="str">
        <f>IMSUM(COMPLEX(1,0),IMDIV(COMPLEX(0,2*PI()*D477),COMPLEX(2*PI()*'Stability Calculations'!EA_Zero1,0)))</f>
        <v>1+3533.28642563937i</v>
      </c>
      <c r="AA477" s="734">
        <f t="shared" si="385"/>
        <v>3533.2865671506797</v>
      </c>
      <c r="AB477" s="735">
        <f t="shared" si="386"/>
        <v>1.5705133041771879</v>
      </c>
      <c r="AC477" s="733" t="str">
        <f>IMSUM(COMPLEX(1,0),IMDIV(COMPLEX(0,2*PI()*D477),COMPLEX(2*PI()*'Stability Calculations'!EA_Pole2,0)))</f>
        <v>1+35.5924057948552i</v>
      </c>
      <c r="AD477" s="734">
        <f t="shared" si="387"/>
        <v>35.606450964195275</v>
      </c>
      <c r="AE477" s="735">
        <f t="shared" si="388"/>
        <v>1.5427078349930756</v>
      </c>
      <c r="AF477" s="732" t="str">
        <f t="shared" si="389"/>
        <v>0.0463894501007925-1.66775889027391i</v>
      </c>
      <c r="AG477" s="337">
        <f t="shared" si="390"/>
        <v>1.668403937051312</v>
      </c>
      <c r="AH477" s="730">
        <f t="shared" si="391"/>
        <v>-1.542988055406574</v>
      </c>
      <c r="AI477" s="731" t="str">
        <f t="shared" si="369"/>
        <v>10000</v>
      </c>
      <c r="AJ477" s="733" t="str">
        <f t="shared" si="392"/>
        <v>1+332693.543180919i</v>
      </c>
      <c r="AK477" s="734">
        <f t="shared" si="393"/>
        <v>332693.54318242188</v>
      </c>
      <c r="AL477" s="735">
        <f t="shared" si="394"/>
        <v>1.5707933210257121</v>
      </c>
      <c r="AM477" s="340" t="str">
        <f t="shared" si="395"/>
        <v>1+564.619170817171i</v>
      </c>
      <c r="AN477" s="734">
        <f t="shared" si="396"/>
        <v>564.62005636912136</v>
      </c>
      <c r="AO477" s="735">
        <f t="shared" si="397"/>
        <v>1.5690252233572468</v>
      </c>
      <c r="AP477" s="733" t="str">
        <f t="shared" si="398"/>
        <v>1+27.3849604637824i</v>
      </c>
      <c r="AQ477" s="734">
        <f t="shared" si="399"/>
        <v>27.403212578143552</v>
      </c>
      <c r="AR477" s="735">
        <f t="shared" si="400"/>
        <v>1.5342961509315245</v>
      </c>
      <c r="AS477" s="732" t="str">
        <f t="shared" si="401"/>
        <v>0.000866152713486705-4.16209725012686i</v>
      </c>
      <c r="AT477" s="337">
        <f t="shared" si="402"/>
        <v>4.1620973402521582</v>
      </c>
      <c r="AU477" s="730">
        <f t="shared" si="403"/>
        <v>-1.570588221926382</v>
      </c>
      <c r="AV477" s="732" t="str">
        <f t="shared" si="404"/>
        <v>-0.10048333318336+0.0361504896648751i</v>
      </c>
      <c r="AW477" s="337">
        <f t="shared" si="405"/>
        <v>-19.429520017232079</v>
      </c>
      <c r="AX477" s="730">
        <f t="shared" si="406"/>
        <v>160.21299209854757</v>
      </c>
      <c r="AY477" s="360">
        <f t="shared" si="407"/>
        <v>-19.787007901452426</v>
      </c>
      <c r="BB477" s="337">
        <f t="shared" si="408"/>
        <v>-27.613755340536684</v>
      </c>
      <c r="BC477" s="730">
        <f t="shared" si="409"/>
        <v>-89.988076469337997</v>
      </c>
      <c r="BD477" s="351"/>
      <c r="BE477" s="337">
        <f t="shared" si="370"/>
        <v>28.330438497250437</v>
      </c>
      <c r="BF477" s="730">
        <f t="shared" si="371"/>
        <v>-89.697327966562668</v>
      </c>
      <c r="BI477" s="351"/>
      <c r="BJ477" s="351"/>
      <c r="BL477" s="405">
        <f t="shared" si="372"/>
        <v>0</v>
      </c>
      <c r="BM477" s="405">
        <f t="shared" si="410"/>
        <v>0</v>
      </c>
      <c r="BN477" s="405">
        <f t="shared" si="373"/>
        <v>0</v>
      </c>
      <c r="BO477" s="405">
        <f t="shared" si="374"/>
        <v>0</v>
      </c>
    </row>
    <row r="478" spans="4:67" ht="13.5" thickBot="1" x14ac:dyDescent="0.25">
      <c r="D478" s="345">
        <v>56561.5</v>
      </c>
      <c r="E478" s="340" t="str">
        <f t="shared" si="361"/>
        <v>0.938220058385381i</v>
      </c>
      <c r="F478" s="728" t="str">
        <f t="shared" si="375"/>
        <v>0.005-0.0461285048617168i</v>
      </c>
      <c r="G478" s="337" t="str">
        <f t="shared" si="376"/>
        <v>0.005-0.0721497127324286i</v>
      </c>
      <c r="H478" s="338" t="str">
        <f t="shared" si="377"/>
        <v>0.00919108769407728-0.0713116094032429i</v>
      </c>
      <c r="I478" s="338" t="str">
        <f t="shared" si="378"/>
        <v>0.0191910876940773-0.0713116094032429i</v>
      </c>
      <c r="J478" s="337" t="str">
        <f t="shared" si="379"/>
        <v>0.00477023595352972-0.0281755488707363i</v>
      </c>
      <c r="K478" s="338" t="str">
        <f t="shared" si="362"/>
        <v>0.964453296863889-0.296155321460032i</v>
      </c>
      <c r="L478" s="732"/>
      <c r="M478" s="732" t="str">
        <f t="shared" si="363"/>
        <v>0.135929795704594-25.9320850091032i</v>
      </c>
      <c r="N478" s="337">
        <f t="shared" si="364"/>
        <v>0</v>
      </c>
      <c r="O478" s="730" t="str">
        <f t="shared" si="365"/>
        <v>-0.901236371256054-9.99425775165823i</v>
      </c>
      <c r="P478" s="731" t="str">
        <f t="shared" si="366"/>
        <v>-0.730002311295449-0.127532060862277i</v>
      </c>
      <c r="Q478" s="729" t="str">
        <f t="shared" si="367"/>
        <v>-0.720989947582889-0.0275894833456951i</v>
      </c>
      <c r="R478" s="730"/>
      <c r="S478" s="405" t="str">
        <f t="shared" si="380"/>
        <v>38.1839962359809-10.9866448414649i</v>
      </c>
      <c r="T478" s="405" t="str">
        <f t="shared" si="381"/>
        <v>14.3047887312395-5.63628468508501i</v>
      </c>
      <c r="U478" s="405" t="str">
        <f t="shared" si="382"/>
        <v>-0.270455964274191-1.07190109340746i</v>
      </c>
      <c r="V478" s="731" t="str">
        <f t="shared" si="368"/>
        <v>6000</v>
      </c>
      <c r="W478" s="733" t="str">
        <f>IMSUM(COMPLEX(1,0),IMDIV(COMPLEX(0,2*PI()*D478),COMPLEX(2*PI()*'Stability Calculations'!EA_Pole1,0)))</f>
        <v>1+358940.249609558i</v>
      </c>
      <c r="X478" s="734">
        <f t="shared" si="383"/>
        <v>358940.24961095105</v>
      </c>
      <c r="Y478" s="735">
        <f t="shared" si="384"/>
        <v>1.5707935408158902</v>
      </c>
      <c r="Z478" s="340" t="str">
        <f>IMSUM(COMPLEX(1,0),IMDIV(COMPLEX(0,2*PI()*D478),COMPLEX(2*PI()*'Stability Calculations'!EA_Zero1,0)))</f>
        <v>1+3553.86385752038i</v>
      </c>
      <c r="AA478" s="734">
        <f t="shared" si="385"/>
        <v>3553.8639982123168</v>
      </c>
      <c r="AB478" s="735">
        <f t="shared" si="386"/>
        <v>1.5705149429226666</v>
      </c>
      <c r="AC478" s="733" t="str">
        <f>IMSUM(COMPLEX(1,0),IMDIV(COMPLEX(0,2*PI()*D478),COMPLEX(2*PI()*'Stability Calculations'!EA_Pole2,0)))</f>
        <v>1+35.7996916521269i</v>
      </c>
      <c r="AD478" s="734">
        <f t="shared" si="387"/>
        <v>35.813655529523437</v>
      </c>
      <c r="AE478" s="735">
        <f t="shared" si="388"/>
        <v>1.5428703869992664</v>
      </c>
      <c r="AF478" s="732" t="str">
        <f t="shared" si="389"/>
        <v>0.0458542185157979-1.65811725415032i</v>
      </c>
      <c r="AG478" s="337">
        <f t="shared" si="390"/>
        <v>1.6587511681583502</v>
      </c>
      <c r="AH478" s="730">
        <f t="shared" si="391"/>
        <v>-1.5431489848924898</v>
      </c>
      <c r="AI478" s="731" t="str">
        <f t="shared" si="369"/>
        <v>10000</v>
      </c>
      <c r="AJ478" s="733" t="str">
        <f t="shared" si="392"/>
        <v>1+334631.110051349i</v>
      </c>
      <c r="AK478" s="734">
        <f t="shared" si="393"/>
        <v>334631.11005284323</v>
      </c>
      <c r="AL478" s="735">
        <f t="shared" si="394"/>
        <v>1.5707933384295893</v>
      </c>
      <c r="AM478" s="340" t="str">
        <f t="shared" si="395"/>
        <v>1+567.907444431757i</v>
      </c>
      <c r="AN478" s="734">
        <f t="shared" si="396"/>
        <v>567.90832485622991</v>
      </c>
      <c r="AO478" s="735">
        <f t="shared" si="397"/>
        <v>1.5690354783040457</v>
      </c>
      <c r="AP478" s="733" t="str">
        <f t="shared" si="398"/>
        <v>1+27.5444471542524i</v>
      </c>
      <c r="AQ478" s="734">
        <f t="shared" si="399"/>
        <v>27.562593655775633</v>
      </c>
      <c r="AR478" s="735">
        <f t="shared" si="400"/>
        <v>1.5345073066692672</v>
      </c>
      <c r="AS478" s="732" t="str">
        <f t="shared" si="401"/>
        <v>0.000856151431024627-4.13799805310458i</v>
      </c>
      <c r="AT478" s="337">
        <f t="shared" si="402"/>
        <v>4.1379981416734068</v>
      </c>
      <c r="AU478" s="730">
        <f t="shared" si="403"/>
        <v>-1.5705894268863367</v>
      </c>
      <c r="AV478" s="732" t="str">
        <f t="shared" si="404"/>
        <v>-0.0992261408656804+0.0359373753158209i</v>
      </c>
      <c r="AW478" s="337">
        <f t="shared" si="405"/>
        <v>-19.532192248715777</v>
      </c>
      <c r="AX478" s="730">
        <f t="shared" si="406"/>
        <v>160.090804027562</v>
      </c>
      <c r="AY478" s="360">
        <f t="shared" si="407"/>
        <v>-19.909195972437999</v>
      </c>
      <c r="BB478" s="337">
        <f t="shared" si="408"/>
        <v>-27.664194174136302</v>
      </c>
      <c r="BC478" s="730">
        <f t="shared" si="409"/>
        <v>-89.988145508457876</v>
      </c>
      <c r="BD478" s="351"/>
      <c r="BE478" s="337">
        <f t="shared" si="370"/>
        <v>28.276868057631965</v>
      </c>
      <c r="BF478" s="730">
        <f t="shared" si="371"/>
        <v>-89.699671959556113</v>
      </c>
      <c r="BI478" s="351"/>
      <c r="BJ478" s="351"/>
      <c r="BL478" s="405">
        <f t="shared" si="372"/>
        <v>0</v>
      </c>
      <c r="BM478" s="405">
        <f t="shared" si="410"/>
        <v>0</v>
      </c>
      <c r="BN478" s="405">
        <f t="shared" si="373"/>
        <v>0</v>
      </c>
      <c r="BO478" s="405">
        <f t="shared" si="374"/>
        <v>0</v>
      </c>
    </row>
    <row r="479" spans="4:67" ht="13.5" thickBot="1" x14ac:dyDescent="0.25">
      <c r="D479" s="345">
        <v>56889</v>
      </c>
      <c r="E479" s="340" t="str">
        <f t="shared" si="361"/>
        <v>0.943652500401968i</v>
      </c>
      <c r="F479" s="728" t="str">
        <f t="shared" si="375"/>
        <v>0.005-0.0458629511458452i</v>
      </c>
      <c r="G479" s="337" t="str">
        <f t="shared" si="376"/>
        <v>0.005-0.0717343594845274i</v>
      </c>
      <c r="H479" s="338" t="str">
        <f t="shared" si="377"/>
        <v>0.00914290307499529-0.0709039102948933i</v>
      </c>
      <c r="I479" s="338" t="str">
        <f t="shared" si="378"/>
        <v>0.0191429030749953-0.0709039102948933i</v>
      </c>
      <c r="J479" s="337" t="str">
        <f t="shared" si="379"/>
        <v>0.00476269393096269-0.0280142266060681i</v>
      </c>
      <c r="K479" s="338" t="str">
        <f t="shared" si="362"/>
        <v>0.9640404631-0.297870107450116i</v>
      </c>
      <c r="L479" s="732"/>
      <c r="M479" s="732" t="str">
        <f t="shared" si="363"/>
        <v>0.134061801200911-25.7736730541404i</v>
      </c>
      <c r="N479" s="337">
        <f t="shared" si="364"/>
        <v>0</v>
      </c>
      <c r="O479" s="730" t="str">
        <f t="shared" si="365"/>
        <v>-0.897254312700254-9.93196238136846i</v>
      </c>
      <c r="P479" s="731" t="str">
        <f t="shared" si="366"/>
        <v>-0.721391022082448-0.126507753911631i</v>
      </c>
      <c r="Q479" s="729" t="str">
        <f t="shared" si="367"/>
        <v>-0.712418478955446-0.0271881300979457i</v>
      </c>
      <c r="R479" s="730"/>
      <c r="S479" s="405" t="str">
        <f t="shared" si="380"/>
        <v>38.1597265440673-11.0560873734912i</v>
      </c>
      <c r="T479" s="405" t="str">
        <f t="shared" si="381"/>
        <v>14.290614168923-5.66327695167487i</v>
      </c>
      <c r="U479" s="405" t="str">
        <f t="shared" si="382"/>
        <v>-0.270890780728076-1.06503921734826i</v>
      </c>
      <c r="V479" s="731" t="str">
        <f t="shared" si="368"/>
        <v>6000</v>
      </c>
      <c r="W479" s="733" t="str">
        <f>IMSUM(COMPLEX(1,0),IMDIV(COMPLEX(0,2*PI()*D479),COMPLEX(2*PI()*'Stability Calculations'!EA_Pole1,0)))</f>
        <v>1+361018.57022954i</v>
      </c>
      <c r="X479" s="734">
        <f t="shared" si="383"/>
        <v>361018.57023092493</v>
      </c>
      <c r="Y479" s="735">
        <f t="shared" si="384"/>
        <v>1.5707935568542828</v>
      </c>
      <c r="Z479" s="340" t="str">
        <f>IMSUM(COMPLEX(1,0),IMDIV(COMPLEX(0,2*PI()*D479),COMPLEX(2*PI()*'Stability Calculations'!EA_Zero1,0)))</f>
        <v>1+3574.44128940139i</v>
      </c>
      <c r="AA479" s="734">
        <f t="shared" si="385"/>
        <v>3574.4414292833881</v>
      </c>
      <c r="AB479" s="735">
        <f t="shared" si="386"/>
        <v>1.5705165628002058</v>
      </c>
      <c r="AC479" s="733" t="str">
        <f>IMSUM(COMPLEX(1,0),IMDIV(COMPLEX(0,2*PI()*D479),COMPLEX(2*PI()*'Stability Calculations'!EA_Pole2,0)))</f>
        <v>1+36.0069775093985i</v>
      </c>
      <c r="AD479" s="734">
        <f t="shared" si="387"/>
        <v>36.020861030274247</v>
      </c>
      <c r="AE479" s="735">
        <f t="shared" si="388"/>
        <v>1.5430310688894664</v>
      </c>
      <c r="AF479" s="732" t="str">
        <f t="shared" si="389"/>
        <v>0.045328194501958-1.64858637272852i</v>
      </c>
      <c r="AG479" s="337">
        <f t="shared" si="390"/>
        <v>1.6492094086449378</v>
      </c>
      <c r="AH479" s="730">
        <f t="shared" si="391"/>
        <v>-1.5433080629435434</v>
      </c>
      <c r="AI479" s="731" t="str">
        <f t="shared" si="369"/>
        <v>10000</v>
      </c>
      <c r="AJ479" s="733" t="str">
        <f t="shared" si="392"/>
        <v>1+336568.676921778i</v>
      </c>
      <c r="AK479" s="734">
        <f t="shared" si="393"/>
        <v>336568.67692326359</v>
      </c>
      <c r="AL479" s="735">
        <f t="shared" si="394"/>
        <v>1.5707933556330846</v>
      </c>
      <c r="AM479" s="340" t="str">
        <f t="shared" si="395"/>
        <v>1+571.195718046342i</v>
      </c>
      <c r="AN479" s="734">
        <f t="shared" si="396"/>
        <v>571.19659340237331</v>
      </c>
      <c r="AO479" s="735">
        <f t="shared" si="397"/>
        <v>1.5690456151793468</v>
      </c>
      <c r="AP479" s="733" t="str">
        <f t="shared" si="398"/>
        <v>1+27.7039338447223i</v>
      </c>
      <c r="AQ479" s="734">
        <f t="shared" si="399"/>
        <v>27.721975948203077</v>
      </c>
      <c r="AR479" s="735">
        <f t="shared" si="400"/>
        <v>1.5347160344157409</v>
      </c>
      <c r="AS479" s="732" t="str">
        <f t="shared" si="401"/>
        <v>0.000846322377781947-4.1141763257519i</v>
      </c>
      <c r="AT479" s="337">
        <f t="shared" si="402"/>
        <v>4.114176412799889</v>
      </c>
      <c r="AU479" s="730">
        <f t="shared" si="403"/>
        <v>-1.5705906179728057</v>
      </c>
      <c r="AV479" s="732" t="str">
        <f t="shared" si="404"/>
        <v>-0.0979906503863091+0.0357264140920602i</v>
      </c>
      <c r="AW479" s="337">
        <f t="shared" si="405"/>
        <v>-19.63429218284703</v>
      </c>
      <c r="AX479" s="730">
        <f t="shared" si="406"/>
        <v>159.96864868312792</v>
      </c>
      <c r="AY479" s="360">
        <f t="shared" si="407"/>
        <v>-20.031351316872076</v>
      </c>
      <c r="BB479" s="337">
        <f t="shared" si="408"/>
        <v>-27.714341800405347</v>
      </c>
      <c r="BC479" s="730">
        <f t="shared" si="409"/>
        <v>-89.988213752685596</v>
      </c>
      <c r="BD479" s="351"/>
      <c r="BE479" s="337">
        <f t="shared" si="370"/>
        <v>28.223643801006148</v>
      </c>
      <c r="BF479" s="730">
        <f t="shared" si="371"/>
        <v>-89.701978599839492</v>
      </c>
      <c r="BI479" s="351"/>
      <c r="BJ479" s="351"/>
      <c r="BL479" s="405">
        <f t="shared" si="372"/>
        <v>0</v>
      </c>
      <c r="BM479" s="405">
        <f t="shared" si="410"/>
        <v>0</v>
      </c>
      <c r="BN479" s="405">
        <f t="shared" si="373"/>
        <v>0</v>
      </c>
      <c r="BO479" s="405">
        <f t="shared" si="374"/>
        <v>0</v>
      </c>
    </row>
    <row r="480" spans="4:67" ht="13.5" thickBot="1" x14ac:dyDescent="0.25">
      <c r="D480" s="345">
        <v>57216.5</v>
      </c>
      <c r="E480" s="340" t="str">
        <f t="shared" si="361"/>
        <v>0.949084942418556i</v>
      </c>
      <c r="F480" s="728" t="str">
        <f t="shared" si="375"/>
        <v>0.005-0.0456004374216526i</v>
      </c>
      <c r="G480" s="337" t="str">
        <f t="shared" si="376"/>
        <v>0.005-0.0713237610954054i</v>
      </c>
      <c r="H480" s="338" t="str">
        <f t="shared" si="377"/>
        <v>0.00909553974603814-0.0705008304738308i</v>
      </c>
      <c r="I480" s="338" t="str">
        <f t="shared" si="378"/>
        <v>0.0190955397460381-0.0705008304738308i</v>
      </c>
      <c r="J480" s="337" t="str">
        <f t="shared" si="379"/>
        <v>0.00475527827883958-0.0278547518460246i</v>
      </c>
      <c r="K480" s="338" t="str">
        <f t="shared" si="362"/>
        <v>0.963625245863889-0.299584893440201i</v>
      </c>
      <c r="L480" s="732"/>
      <c r="M480" s="732" t="str">
        <f t="shared" si="363"/>
        <v>0.132233058712248-25.6172359921699i</v>
      </c>
      <c r="N480" s="337">
        <f t="shared" si="364"/>
        <v>0</v>
      </c>
      <c r="O480" s="730" t="str">
        <f t="shared" si="365"/>
        <v>-0.893336575195012-9.87043979192813i</v>
      </c>
      <c r="P480" s="731" t="str">
        <f t="shared" si="366"/>
        <v>-0.712932946551104-0.125500404913743i</v>
      </c>
      <c r="Q480" s="729" t="str">
        <f t="shared" si="367"/>
        <v>-0.703999580799154-0.0267960069944627i</v>
      </c>
      <c r="R480" s="730"/>
      <c r="S480" s="405" t="str">
        <f t="shared" si="380"/>
        <v>38.135306751401-11.1254353929434i</v>
      </c>
      <c r="T480" s="405" t="str">
        <f t="shared" si="381"/>
        <v>14.2763665904332-5.69024746457609i</v>
      </c>
      <c r="U480" s="405" t="str">
        <f t="shared" si="382"/>
        <v>-0.271315912101927-1.05825157275324i</v>
      </c>
      <c r="V480" s="731" t="str">
        <f t="shared" si="368"/>
        <v>6000</v>
      </c>
      <c r="W480" s="733" t="str">
        <f>IMSUM(COMPLEX(1,0),IMDIV(COMPLEX(0,2*PI()*D480),COMPLEX(2*PI()*'Stability Calculations'!EA_Pole1,0)))</f>
        <v>1+363096.890849523i</v>
      </c>
      <c r="X480" s="734">
        <f t="shared" si="383"/>
        <v>363096.89085090009</v>
      </c>
      <c r="Y480" s="735">
        <f t="shared" si="384"/>
        <v>1.5707935727090721</v>
      </c>
      <c r="Z480" s="340" t="str">
        <f>IMSUM(COMPLEX(1,0),IMDIV(COMPLEX(0,2*PI()*D480),COMPLEX(2*PI()*'Stability Calculations'!EA_Zero1,0)))</f>
        <v>1+3595.01872128241i</v>
      </c>
      <c r="AA480" s="734">
        <f t="shared" si="385"/>
        <v>3595.0188603637416</v>
      </c>
      <c r="AB480" s="735">
        <f t="shared" si="386"/>
        <v>1.5705181641337989</v>
      </c>
      <c r="AC480" s="733" t="str">
        <f>IMSUM(COMPLEX(1,0),IMDIV(COMPLEX(0,2*PI()*D480),COMPLEX(2*PI()*'Stability Calculations'!EA_Pole2,0)))</f>
        <v>1+36.2142633666703i</v>
      </c>
      <c r="AD480" s="734">
        <f t="shared" si="387"/>
        <v>36.22806745039761</v>
      </c>
      <c r="AE480" s="735">
        <f t="shared" si="388"/>
        <v>1.5431899127436901</v>
      </c>
      <c r="AF480" s="732" t="str">
        <f t="shared" si="389"/>
        <v>0.0448111681203957-1.63916434996801i</v>
      </c>
      <c r="AG480" s="337">
        <f t="shared" si="390"/>
        <v>1.6397767552305293</v>
      </c>
      <c r="AH480" s="730">
        <f t="shared" si="391"/>
        <v>-1.5434653213189635</v>
      </c>
      <c r="AI480" s="731" t="str">
        <f t="shared" si="369"/>
        <v>10000</v>
      </c>
      <c r="AJ480" s="733" t="str">
        <f t="shared" si="392"/>
        <v>1+338506.243792209i</v>
      </c>
      <c r="AK480" s="734">
        <f t="shared" si="393"/>
        <v>338506.24379368615</v>
      </c>
      <c r="AL480" s="735">
        <f t="shared" si="394"/>
        <v>1.5707933726396386</v>
      </c>
      <c r="AM480" s="340" t="str">
        <f t="shared" si="395"/>
        <v>1+574.483991660929i</v>
      </c>
      <c r="AN480" s="734">
        <f t="shared" si="396"/>
        <v>574.48486200654088</v>
      </c>
      <c r="AO480" s="735">
        <f t="shared" si="397"/>
        <v>1.5690556360106205</v>
      </c>
      <c r="AP480" s="733" t="str">
        <f t="shared" si="398"/>
        <v>1+27.8634205351924i</v>
      </c>
      <c r="AQ480" s="734">
        <f t="shared" si="399"/>
        <v>27.881359434593239</v>
      </c>
      <c r="AR480" s="735">
        <f t="shared" si="400"/>
        <v>1.5349223757913575</v>
      </c>
      <c r="AS480" s="732" t="str">
        <f t="shared" si="401"/>
        <v>0.000836661621793158-4.09062730346587i</v>
      </c>
      <c r="AT480" s="337">
        <f t="shared" si="402"/>
        <v>4.0906273890276443</v>
      </c>
      <c r="AU480" s="730">
        <f t="shared" si="403"/>
        <v>-1.5705917954240192</v>
      </c>
      <c r="AV480" s="732" t="str">
        <f t="shared" si="404"/>
        <v>-0.0967763661772945+0.0355175737917852i</v>
      </c>
      <c r="AW480" s="337">
        <f t="shared" si="405"/>
        <v>-19.735826541110775</v>
      </c>
      <c r="AX480" s="730">
        <f t="shared" si="406"/>
        <v>159.84652539747427</v>
      </c>
      <c r="AY480" s="360">
        <f t="shared" si="407"/>
        <v>-20.153474602525733</v>
      </c>
      <c r="BB480" s="337">
        <f t="shared" si="408"/>
        <v>-27.764201562606992</v>
      </c>
      <c r="BC480" s="730">
        <f t="shared" si="409"/>
        <v>-89.988281215670696</v>
      </c>
      <c r="BD480" s="351"/>
      <c r="BE480" s="337">
        <f t="shared" si="370"/>
        <v>28.170761098584499</v>
      </c>
      <c r="BF480" s="730">
        <f t="shared" si="371"/>
        <v>-89.704248776538165</v>
      </c>
      <c r="BI480" s="351"/>
      <c r="BJ480" s="351"/>
      <c r="BL480" s="405">
        <f t="shared" si="372"/>
        <v>0</v>
      </c>
      <c r="BM480" s="405">
        <f t="shared" si="410"/>
        <v>0</v>
      </c>
      <c r="BN480" s="405">
        <f t="shared" si="373"/>
        <v>0</v>
      </c>
      <c r="BO480" s="405">
        <f t="shared" si="374"/>
        <v>0</v>
      </c>
    </row>
    <row r="481" spans="4:67" ht="13.5" thickBot="1" x14ac:dyDescent="0.25">
      <c r="D481" s="345">
        <v>57544</v>
      </c>
      <c r="E481" s="340" t="str">
        <f t="shared" si="361"/>
        <v>0.954517384435143i</v>
      </c>
      <c r="F481" s="728" t="str">
        <f t="shared" si="375"/>
        <v>0.005-0.0453409117846515i</v>
      </c>
      <c r="G481" s="337" t="str">
        <f t="shared" si="376"/>
        <v>0.005-0.0709178363811219i</v>
      </c>
      <c r="H481" s="338" t="str">
        <f t="shared" si="377"/>
        <v>0.00904897916869571-0.0701022921470095i</v>
      </c>
      <c r="I481" s="338" t="str">
        <f t="shared" si="378"/>
        <v>0.0190489791686957-0.0701022921470095i</v>
      </c>
      <c r="J481" s="337" t="str">
        <f t="shared" si="379"/>
        <v>0.00474798611824516-0.0276970931042392i</v>
      </c>
      <c r="K481" s="338" t="str">
        <f t="shared" si="362"/>
        <v>0.963207645155556-0.301299679430285i</v>
      </c>
      <c r="L481" s="732"/>
      <c r="M481" s="732" t="str">
        <f t="shared" si="363"/>
        <v>0.130442459601694-25.462736284209i</v>
      </c>
      <c r="N481" s="337">
        <f t="shared" si="364"/>
        <v>0</v>
      </c>
      <c r="O481" s="730" t="str">
        <f t="shared" si="365"/>
        <v>-0.889481675074831-9.80967525603094i</v>
      </c>
      <c r="P481" s="731" t="str">
        <f t="shared" si="366"/>
        <v>-0.704624438565008-0.124509595358296i</v>
      </c>
      <c r="Q481" s="729" t="str">
        <f t="shared" si="367"/>
        <v>-0.69572962181426-0.026412842797987i</v>
      </c>
      <c r="R481" s="730"/>
      <c r="S481" s="405" t="str">
        <f t="shared" si="380"/>
        <v>38.110736979006-11.1946893556273i</v>
      </c>
      <c r="T481" s="405" t="str">
        <f t="shared" si="381"/>
        <v>14.2620460492965-5.71719567284589i</v>
      </c>
      <c r="U481" s="405" t="str">
        <f t="shared" si="382"/>
        <v>-0.271731563716397-1.05153690330883i</v>
      </c>
      <c r="V481" s="731" t="str">
        <f t="shared" si="368"/>
        <v>6000</v>
      </c>
      <c r="W481" s="733" t="str">
        <f>IMSUM(COMPLEX(1,0),IMDIV(COMPLEX(0,2*PI()*D481),COMPLEX(2*PI()*'Stability Calculations'!EA_Pole1,0)))</f>
        <v>1+365175.211469505i</v>
      </c>
      <c r="X481" s="734">
        <f t="shared" si="383"/>
        <v>365175.2114708742</v>
      </c>
      <c r="Y481" s="735">
        <f t="shared" si="384"/>
        <v>1.5707935883833928</v>
      </c>
      <c r="Z481" s="340" t="str">
        <f>IMSUM(COMPLEX(1,0),IMDIV(COMPLEX(0,2*PI()*D481),COMPLEX(2*PI()*'Stability Calculations'!EA_Zero1,0)))</f>
        <v>1+3615.59615316342i</v>
      </c>
      <c r="AA481" s="734">
        <f t="shared" si="385"/>
        <v>3615.5962914531979</v>
      </c>
      <c r="AB481" s="735">
        <f t="shared" si="386"/>
        <v>1.5705197472400627</v>
      </c>
      <c r="AC481" s="733" t="str">
        <f>IMSUM(COMPLEX(1,0),IMDIV(COMPLEX(0,2*PI()*D481),COMPLEX(2*PI()*'Stability Calculations'!EA_Pole2,0)))</f>
        <v>1+36.4215492239419i</v>
      </c>
      <c r="AD481" s="734">
        <f t="shared" si="387"/>
        <v>36.435274774207791</v>
      </c>
      <c r="AE481" s="735">
        <f t="shared" si="388"/>
        <v>1.5433469499125714</v>
      </c>
      <c r="AF481" s="732" t="str">
        <f t="shared" si="389"/>
        <v>0.0443029353802507-1.62984933282863i</v>
      </c>
      <c r="AG481" s="337">
        <f t="shared" si="390"/>
        <v>1.6304513478804687</v>
      </c>
      <c r="AH481" s="730">
        <f t="shared" si="391"/>
        <v>-1.5436207910559014</v>
      </c>
      <c r="AI481" s="731" t="str">
        <f t="shared" si="369"/>
        <v>10000</v>
      </c>
      <c r="AJ481" s="733" t="str">
        <f t="shared" si="392"/>
        <v>1+340443.810662638i</v>
      </c>
      <c r="AK481" s="734">
        <f t="shared" si="393"/>
        <v>340443.81066410663</v>
      </c>
      <c r="AL481" s="735">
        <f t="shared" si="394"/>
        <v>1.5707933894526138</v>
      </c>
      <c r="AM481" s="340" t="str">
        <f t="shared" si="395"/>
        <v>1+577.772265275514i</v>
      </c>
      <c r="AN481" s="734">
        <f t="shared" si="396"/>
        <v>577.77313066773786</v>
      </c>
      <c r="AO481" s="735">
        <f t="shared" si="397"/>
        <v>1.5690655427791822</v>
      </c>
      <c r="AP481" s="733" t="str">
        <f t="shared" si="398"/>
        <v>1+28.0229072256623i</v>
      </c>
      <c r="AQ481" s="734">
        <f t="shared" si="399"/>
        <v>28.040744094586298</v>
      </c>
      <c r="AR481" s="735">
        <f t="shared" si="400"/>
        <v>1.5351263714710637</v>
      </c>
      <c r="AS481" s="732" t="str">
        <f t="shared" si="401"/>
        <v>0.000827165342663345-4.06734633011063i</v>
      </c>
      <c r="AT481" s="337">
        <f t="shared" si="402"/>
        <v>4.0673464142198306</v>
      </c>
      <c r="AU481" s="730">
        <f t="shared" si="403"/>
        <v>-1.5705929594727839</v>
      </c>
      <c r="AV481" s="732" t="str">
        <f t="shared" si="404"/>
        <v>-0.0955828067460356+0.0353108228109839i</v>
      </c>
      <c r="AW481" s="337">
        <f t="shared" si="405"/>
        <v>-19.836801930000117</v>
      </c>
      <c r="AX481" s="730">
        <f t="shared" si="406"/>
        <v>159.72443351885227</v>
      </c>
      <c r="AY481" s="360">
        <f t="shared" si="407"/>
        <v>-20.275566481147735</v>
      </c>
      <c r="BB481" s="337">
        <f t="shared" si="408"/>
        <v>-27.813776746758307</v>
      </c>
      <c r="BC481" s="730">
        <f t="shared" si="409"/>
        <v>-89.988347910752069</v>
      </c>
      <c r="BD481" s="351"/>
      <c r="BE481" s="337">
        <f t="shared" si="370"/>
        <v>28.118215416355564</v>
      </c>
      <c r="BF481" s="730">
        <f t="shared" si="371"/>
        <v>-89.706483351137038</v>
      </c>
      <c r="BI481" s="351"/>
      <c r="BJ481" s="351"/>
      <c r="BL481" s="405">
        <f t="shared" si="372"/>
        <v>0</v>
      </c>
      <c r="BM481" s="405">
        <f t="shared" si="410"/>
        <v>0</v>
      </c>
      <c r="BN481" s="405">
        <f t="shared" si="373"/>
        <v>0</v>
      </c>
      <c r="BO481" s="405">
        <f t="shared" si="374"/>
        <v>0</v>
      </c>
    </row>
    <row r="482" spans="4:67" ht="13.5" thickBot="1" x14ac:dyDescent="0.25">
      <c r="D482" s="345">
        <v>57879</v>
      </c>
      <c r="E482" s="340" t="str">
        <f t="shared" si="361"/>
        <v>0.960074233520813i</v>
      </c>
      <c r="F482" s="728" t="str">
        <f t="shared" si="375"/>
        <v>0.005-0.0450784814481243i</v>
      </c>
      <c r="G482" s="337" t="str">
        <f t="shared" si="376"/>
        <v>0.005-0.0705073684188614i</v>
      </c>
      <c r="H482" s="338" t="str">
        <f t="shared" si="377"/>
        <v>0.00900216407419932-0.0696992463934527i</v>
      </c>
      <c r="I482" s="338" t="str">
        <f t="shared" si="378"/>
        <v>0.0190021640741993-0.0696992463934527i</v>
      </c>
      <c r="J482" s="337" t="str">
        <f t="shared" si="379"/>
        <v>0.00474065181140162-0.0275376706540403i</v>
      </c>
      <c r="K482" s="338" t="str">
        <f t="shared" si="362"/>
        <v>0.9627780151-0.303053735328539i</v>
      </c>
      <c r="L482" s="732"/>
      <c r="M482" s="732" t="str">
        <f t="shared" si="363"/>
        <v>0.128649203299602-25.3066647021033i</v>
      </c>
      <c r="N482" s="337">
        <f t="shared" si="364"/>
        <v>0</v>
      </c>
      <c r="O482" s="730" t="str">
        <f t="shared" si="365"/>
        <v>-0.885602004458824-9.74828850245286i</v>
      </c>
      <c r="P482" s="731" t="str">
        <f t="shared" si="366"/>
        <v>-0.696276716840091-0.123512785250929i</v>
      </c>
      <c r="Q482" s="729" t="str">
        <f t="shared" si="367"/>
        <v>-0.687420696795503-0.0260299002264i</v>
      </c>
      <c r="R482" s="730"/>
      <c r="S482" s="405" t="str">
        <f t="shared" si="380"/>
        <v>38.0854494920439-11.2654324295267i</v>
      </c>
      <c r="T482" s="405" t="str">
        <f t="shared" si="381"/>
        <v>14.2473221268583-5.74473737218616i</v>
      </c>
      <c r="U482" s="405" t="str">
        <f t="shared" si="382"/>
        <v>-0.272147134165731-1.04474268375439i</v>
      </c>
      <c r="V482" s="731" t="str">
        <f t="shared" si="368"/>
        <v>6000</v>
      </c>
      <c r="W482" s="733" t="str">
        <f>IMSUM(COMPLEX(1,0),IMDIV(COMPLEX(0,2*PI()*D482),COMPLEX(2*PI()*'Stability Calculations'!EA_Pole1,0)))</f>
        <v>1+367301.12721819i</v>
      </c>
      <c r="X482" s="734">
        <f t="shared" si="383"/>
        <v>367301.12721955124</v>
      </c>
      <c r="Y482" s="735">
        <f t="shared" si="384"/>
        <v>1.5707936042331458</v>
      </c>
      <c r="Z482" s="340" t="str">
        <f>IMSUM(COMPLEX(1,0),IMDIV(COMPLEX(0,2*PI()*D482),COMPLEX(2*PI()*'Stability Calculations'!EA_Zero1,0)))</f>
        <v>1+3636.64482394247i</v>
      </c>
      <c r="AA482" s="734">
        <f t="shared" si="385"/>
        <v>3636.6449614318353</v>
      </c>
      <c r="AB482" s="735">
        <f t="shared" si="386"/>
        <v>1.5705213480649938</v>
      </c>
      <c r="AC482" s="733" t="str">
        <f>IMSUM(COMPLEX(1,0),IMDIV(COMPLEX(0,2*PI()*D482),COMPLEX(2*PI()*'Stability Calculations'!EA_Pole2,0)))</f>
        <v>1+36.6335820855786i</v>
      </c>
      <c r="AD482" s="734">
        <f t="shared" si="387"/>
        <v>36.647228222893283</v>
      </c>
      <c r="AE482" s="735">
        <f t="shared" si="388"/>
        <v>1.5435057460720385</v>
      </c>
      <c r="AF482" s="732" t="str">
        <f t="shared" si="389"/>
        <v>0.0437919551032617-1.62042981612652i</v>
      </c>
      <c r="AG482" s="337">
        <f t="shared" si="390"/>
        <v>1.6210214447451317</v>
      </c>
      <c r="AH482" s="730">
        <f t="shared" si="391"/>
        <v>-1.5437780022401906</v>
      </c>
      <c r="AI482" s="731" t="str">
        <f t="shared" si="369"/>
        <v>10000</v>
      </c>
      <c r="AJ482" s="733" t="str">
        <f t="shared" si="392"/>
        <v>1+342425.74929346i</v>
      </c>
      <c r="AK482" s="734">
        <f t="shared" si="393"/>
        <v>342425.74929492013</v>
      </c>
      <c r="AL482" s="735">
        <f t="shared" si="394"/>
        <v>1.5707934064537656</v>
      </c>
      <c r="AM482" s="340" t="str">
        <f t="shared" si="395"/>
        <v>1+581.135842866007i</v>
      </c>
      <c r="AN482" s="734">
        <f t="shared" si="396"/>
        <v>581.13670324940279</v>
      </c>
      <c r="AO482" s="735">
        <f t="shared" si="397"/>
        <v>1.5690755604280249</v>
      </c>
      <c r="AP482" s="733" t="str">
        <f t="shared" si="398"/>
        <v>1+28.1860462830896i</v>
      </c>
      <c r="AQ482" s="734">
        <f t="shared" si="399"/>
        <v>28.20377997844383</v>
      </c>
      <c r="AR482" s="735">
        <f t="shared" si="400"/>
        <v>1.5353326533601006</v>
      </c>
      <c r="AS482" s="732" t="str">
        <f t="shared" si="401"/>
        <v>0.000817617891646193-4.04380478812032i</v>
      </c>
      <c r="AT482" s="337">
        <f t="shared" si="402"/>
        <v>4.0438048707775014</v>
      </c>
      <c r="AU482" s="730">
        <f t="shared" si="403"/>
        <v>-1.57059413654998</v>
      </c>
      <c r="AV482" s="732" t="str">
        <f t="shared" si="404"/>
        <v>-0.0943828683186961+0.0351014663790446i</v>
      </c>
      <c r="AW482" s="337">
        <f t="shared" si="405"/>
        <v>-19.939518184721177</v>
      </c>
      <c r="AX482" s="730">
        <f t="shared" si="406"/>
        <v>159.59957747402103</v>
      </c>
      <c r="AY482" s="360">
        <f t="shared" si="407"/>
        <v>-20.400422525978968</v>
      </c>
      <c r="BB482" s="337">
        <f t="shared" si="408"/>
        <v>-27.864196179272355</v>
      </c>
      <c r="BC482" s="730">
        <f t="shared" si="409"/>
        <v>-89.98841535230757</v>
      </c>
      <c r="BD482" s="351"/>
      <c r="BE482" s="337">
        <f t="shared" si="370"/>
        <v>28.064810453351608</v>
      </c>
      <c r="BF482" s="730">
        <f t="shared" si="371"/>
        <v>-89.708733135022314</v>
      </c>
      <c r="BI482" s="351"/>
      <c r="BJ482" s="351"/>
      <c r="BL482" s="405">
        <f t="shared" si="372"/>
        <v>0</v>
      </c>
      <c r="BM482" s="405">
        <f t="shared" si="410"/>
        <v>0</v>
      </c>
      <c r="BN482" s="405">
        <f t="shared" si="373"/>
        <v>0</v>
      </c>
      <c r="BO482" s="405">
        <f t="shared" si="374"/>
        <v>0</v>
      </c>
    </row>
    <row r="483" spans="4:67" ht="13.5" thickBot="1" x14ac:dyDescent="0.25">
      <c r="D483" s="345">
        <v>58214</v>
      </c>
      <c r="E483" s="340" t="str">
        <f t="shared" si="361"/>
        <v>0.965631082606482i</v>
      </c>
      <c r="F483" s="728" t="str">
        <f t="shared" si="375"/>
        <v>0.005-0.0448190714902942i</v>
      </c>
      <c r="G483" s="337" t="str">
        <f t="shared" si="376"/>
        <v>0.005-0.0701016246386656i</v>
      </c>
      <c r="H483" s="338" t="str">
        <f t="shared" si="377"/>
        <v>0.00895615132588219-0.0693007933576447i</v>
      </c>
      <c r="I483" s="338" t="str">
        <f t="shared" si="378"/>
        <v>0.0189561513258822-0.0693007933576447i</v>
      </c>
      <c r="J483" s="337" t="str">
        <f t="shared" si="379"/>
        <v>0.00473344088046016-0.0273800839616209i</v>
      </c>
      <c r="K483" s="338" t="str">
        <f t="shared" si="362"/>
        <v>0.962345891155555-0.304807791226794i</v>
      </c>
      <c r="L483" s="732"/>
      <c r="M483" s="732" t="str">
        <f t="shared" si="363"/>
        <v>0.12689363435969-25.1525438188383i</v>
      </c>
      <c r="N483" s="337">
        <f t="shared" si="364"/>
        <v>0</v>
      </c>
      <c r="O483" s="730" t="str">
        <f t="shared" si="365"/>
        <v>-0.881785074776142-9.68766494941391i</v>
      </c>
      <c r="P483" s="731" t="str">
        <f t="shared" si="366"/>
        <v>-0.688078118091793-0.122532437522618i</v>
      </c>
      <c r="Q483" s="729" t="str">
        <f t="shared" si="367"/>
        <v>-0.679260267344031-0.0256557880284788i</v>
      </c>
      <c r="R483" s="730"/>
      <c r="S483" s="405" t="str">
        <f t="shared" si="380"/>
        <v>38.06000532405-11.3360779930191i</v>
      </c>
      <c r="T483" s="405" t="str">
        <f t="shared" si="381"/>
        <v>14.2325219821315-5.77225459037342i</v>
      </c>
      <c r="U483" s="405" t="str">
        <f t="shared" si="382"/>
        <v>-0.272553201954271-1.03802225044473i</v>
      </c>
      <c r="V483" s="731" t="str">
        <f t="shared" si="368"/>
        <v>6000</v>
      </c>
      <c r="W483" s="733" t="str">
        <f>IMSUM(COMPLEX(1,0),IMDIV(COMPLEX(0,2*PI()*D483),COMPLEX(2*PI()*'Stability Calculations'!EA_Pole1,0)))</f>
        <v>1+369427.042966874i</v>
      </c>
      <c r="X483" s="734">
        <f t="shared" si="383"/>
        <v>369427.04296822753</v>
      </c>
      <c r="Y483" s="735">
        <f t="shared" si="384"/>
        <v>1.5707936199004799</v>
      </c>
      <c r="Z483" s="340" t="str">
        <f>IMSUM(COMPLEX(1,0),IMDIV(COMPLEX(0,2*PI()*D483),COMPLEX(2*PI()*'Stability Calculations'!EA_Zero1,0)))</f>
        <v>1+3657.69349472152i</v>
      </c>
      <c r="AA483" s="734">
        <f t="shared" si="385"/>
        <v>3657.6936314196851</v>
      </c>
      <c r="AB483" s="735">
        <f t="shared" si="386"/>
        <v>1.5705229304656176</v>
      </c>
      <c r="AC483" s="733" t="str">
        <f>IMSUM(COMPLEX(1,0),IMDIV(COMPLEX(0,2*PI()*D483),COMPLEX(2*PI()*'Stability Calculations'!EA_Pole2,0)))</f>
        <v>1+36.8456149472152i</v>
      </c>
      <c r="AD483" s="734">
        <f t="shared" si="387"/>
        <v>36.859182585055358</v>
      </c>
      <c r="AE483" s="735">
        <f t="shared" si="388"/>
        <v>1.5436627159584262</v>
      </c>
      <c r="AF483" s="732" t="str">
        <f t="shared" si="389"/>
        <v>0.0432897622683601-1.6111184725879i</v>
      </c>
      <c r="AG483" s="337">
        <f t="shared" si="390"/>
        <v>1.61169995229609</v>
      </c>
      <c r="AH483" s="730">
        <f t="shared" si="391"/>
        <v>-1.5439334053932887</v>
      </c>
      <c r="AI483" s="731" t="str">
        <f t="shared" si="369"/>
        <v>10000</v>
      </c>
      <c r="AJ483" s="733" t="str">
        <f t="shared" si="392"/>
        <v>1+344407.687924281i</v>
      </c>
      <c r="AK483" s="734">
        <f t="shared" si="393"/>
        <v>344407.68792573275</v>
      </c>
      <c r="AL483" s="735">
        <f t="shared" si="394"/>
        <v>1.5707934232592466</v>
      </c>
      <c r="AM483" s="340" t="str">
        <f t="shared" si="395"/>
        <v>1+584.499420456499i</v>
      </c>
      <c r="AN483" s="734">
        <f t="shared" si="396"/>
        <v>584.50027588871433</v>
      </c>
      <c r="AO483" s="735">
        <f t="shared" si="397"/>
        <v>1.5690854627814925</v>
      </c>
      <c r="AP483" s="733" t="str">
        <f t="shared" si="398"/>
        <v>1+28.3491853405169i</v>
      </c>
      <c r="AQ483" s="734">
        <f t="shared" si="399"/>
        <v>28.366817048639387</v>
      </c>
      <c r="AR483" s="735">
        <f t="shared" si="400"/>
        <v>1.5355365640650269</v>
      </c>
      <c r="AS483" s="732" t="str">
        <f t="shared" si="401"/>
        <v>0.000808234792033658-4.0205341917996i</v>
      </c>
      <c r="AT483" s="337">
        <f t="shared" si="402"/>
        <v>4.0205342730379936</v>
      </c>
      <c r="AU483" s="730">
        <f t="shared" si="403"/>
        <v>-1.5705953000798907</v>
      </c>
      <c r="AV483" s="732" t="str">
        <f t="shared" si="404"/>
        <v>-0.0932036386853069+0.0348942310250651i</v>
      </c>
      <c r="AW483" s="337">
        <f t="shared" si="405"/>
        <v>-20.041663201498523</v>
      </c>
      <c r="AX483" s="730">
        <f t="shared" si="406"/>
        <v>159.47475296111273</v>
      </c>
      <c r="AY483" s="360">
        <f t="shared" si="407"/>
        <v>-20.525247038887272</v>
      </c>
      <c r="BB483" s="337">
        <f t="shared" si="408"/>
        <v>-27.914324627789973</v>
      </c>
      <c r="BC483" s="730">
        <f t="shared" si="409"/>
        <v>-89.988482017660786</v>
      </c>
      <c r="BD483" s="351"/>
      <c r="BE483" s="337">
        <f t="shared" si="370"/>
        <v>28.011748819027204</v>
      </c>
      <c r="BF483" s="730">
        <f t="shared" si="371"/>
        <v>-89.710947406855112</v>
      </c>
      <c r="BI483" s="351"/>
      <c r="BJ483" s="351"/>
      <c r="BL483" s="405">
        <f t="shared" si="372"/>
        <v>0</v>
      </c>
      <c r="BM483" s="405">
        <f t="shared" si="410"/>
        <v>0</v>
      </c>
      <c r="BN483" s="405">
        <f t="shared" si="373"/>
        <v>0</v>
      </c>
      <c r="BO483" s="405">
        <f t="shared" si="374"/>
        <v>0</v>
      </c>
    </row>
    <row r="484" spans="4:67" ht="13.5" thickBot="1" x14ac:dyDescent="0.25">
      <c r="D484" s="345">
        <v>58549</v>
      </c>
      <c r="E484" s="340" t="str">
        <f t="shared" si="361"/>
        <v>0.971187931692152i</v>
      </c>
      <c r="F484" s="728" t="str">
        <f t="shared" si="375"/>
        <v>0.005-0.04456263006603i</v>
      </c>
      <c r="G484" s="337" t="str">
        <f t="shared" si="376"/>
        <v>0.005-0.0697005239494317i</v>
      </c>
      <c r="H484" s="338" t="str">
        <f t="shared" si="377"/>
        <v>0.00891092271286763-0.0689068552440784i</v>
      </c>
      <c r="I484" s="338" t="str">
        <f t="shared" si="378"/>
        <v>0.0189109227128676-0.0689068552440784i</v>
      </c>
      <c r="J484" s="337" t="str">
        <f t="shared" si="379"/>
        <v>0.00472635049890665-0.0272243015709625i</v>
      </c>
      <c r="K484" s="338" t="str">
        <f t="shared" si="362"/>
        <v>0.961911273322222-0.306561847125048i</v>
      </c>
      <c r="L484" s="732"/>
      <c r="M484" s="732" t="str">
        <f t="shared" si="363"/>
        <v>0.125174687920049-25.000336482796i</v>
      </c>
      <c r="N484" s="337">
        <f t="shared" si="364"/>
        <v>0</v>
      </c>
      <c r="O484" s="730" t="str">
        <f t="shared" si="365"/>
        <v>-0.878029429779488-9.6277900260918i</v>
      </c>
      <c r="P484" s="731" t="str">
        <f t="shared" si="366"/>
        <v>-0.680025080334472-0.121568146261283i</v>
      </c>
      <c r="Q484" s="729" t="str">
        <f t="shared" si="367"/>
        <v>-0.671244786036678-0.0252902460003658i</v>
      </c>
      <c r="R484" s="730"/>
      <c r="S484" s="405" t="str">
        <f t="shared" si="380"/>
        <v>38.0344045952094-11.4066264730528i</v>
      </c>
      <c r="T484" s="405" t="str">
        <f t="shared" si="381"/>
        <v>14.2176456795328-5.79974676052937i</v>
      </c>
      <c r="U484" s="405" t="str">
        <f t="shared" si="382"/>
        <v>-0.272949968670857-1.03137434788844i</v>
      </c>
      <c r="V484" s="731" t="str">
        <f t="shared" si="368"/>
        <v>6000</v>
      </c>
      <c r="W484" s="733" t="str">
        <f>IMSUM(COMPLEX(1,0),IMDIV(COMPLEX(0,2*PI()*D484),COMPLEX(2*PI()*'Stability Calculations'!EA_Pole1,0)))</f>
        <v>1+371552.958715559i</v>
      </c>
      <c r="X484" s="734">
        <f t="shared" si="383"/>
        <v>371552.95871690474</v>
      </c>
      <c r="Y484" s="735">
        <f t="shared" si="384"/>
        <v>1.5707936353885263</v>
      </c>
      <c r="Z484" s="340" t="str">
        <f>IMSUM(COMPLEX(1,0),IMDIV(COMPLEX(0,2*PI()*D484),COMPLEX(2*PI()*'Stability Calculations'!EA_Zero1,0)))</f>
        <v>1+3678.74216550058i</v>
      </c>
      <c r="AA484" s="734">
        <f t="shared" si="385"/>
        <v>3678.7423014165988</v>
      </c>
      <c r="AB484" s="735">
        <f t="shared" si="386"/>
        <v>1.5705244947581893</v>
      </c>
      <c r="AC484" s="733" t="str">
        <f>IMSUM(COMPLEX(1,0),IMDIV(COMPLEX(0,2*PI()*D484),COMPLEX(2*PI()*'Stability Calculations'!EA_Pole2,0)))</f>
        <v>1+37.057647808852i</v>
      </c>
      <c r="AD484" s="734">
        <f t="shared" si="387"/>
        <v>37.07113784502593</v>
      </c>
      <c r="AE484" s="735">
        <f t="shared" si="388"/>
        <v>1.5438178908892333</v>
      </c>
      <c r="AF484" s="732" t="str">
        <f t="shared" si="389"/>
        <v>0.0427961565801224-1.60191345081354i</v>
      </c>
      <c r="AG484" s="337">
        <f t="shared" si="390"/>
        <v>1.6024850123840078</v>
      </c>
      <c r="AH484" s="730">
        <f t="shared" si="391"/>
        <v>-1.5440870315195703</v>
      </c>
      <c r="AI484" s="731" t="str">
        <f t="shared" si="369"/>
        <v>10000</v>
      </c>
      <c r="AJ484" s="733" t="str">
        <f t="shared" si="392"/>
        <v>1+346389.626555103i</v>
      </c>
      <c r="AK484" s="734">
        <f t="shared" si="393"/>
        <v>346389.62655654643</v>
      </c>
      <c r="AL484" s="735">
        <f t="shared" si="394"/>
        <v>1.5707934398724159</v>
      </c>
      <c r="AM484" s="340" t="str">
        <f t="shared" si="395"/>
        <v>1+587.862998046993i</v>
      </c>
      <c r="AN484" s="734">
        <f t="shared" si="396"/>
        <v>587.86384858468614</v>
      </c>
      <c r="AO484" s="735">
        <f t="shared" si="397"/>
        <v>1.5690952518186352</v>
      </c>
      <c r="AP484" s="733" t="str">
        <f t="shared" si="398"/>
        <v>1+28.5123243979443i</v>
      </c>
      <c r="AQ484" s="734">
        <f t="shared" si="399"/>
        <v>28.529855284834692</v>
      </c>
      <c r="AR484" s="735">
        <f t="shared" si="400"/>
        <v>1.5357381442202245</v>
      </c>
      <c r="AS484" s="732" t="str">
        <f t="shared" si="401"/>
        <v>0.000799012293127977-3.99752989033714i</v>
      </c>
      <c r="AT484" s="337">
        <f t="shared" si="402"/>
        <v>3.9975299701890301</v>
      </c>
      <c r="AU484" s="730">
        <f t="shared" si="403"/>
        <v>-1.5705964502950562</v>
      </c>
      <c r="AV484" s="732" t="str">
        <f t="shared" si="404"/>
        <v>-0.0920446451763326+0.034689084785486i</v>
      </c>
      <c r="AW484" s="337">
        <f t="shared" si="405"/>
        <v>-20.143243694564998</v>
      </c>
      <c r="AX484" s="730">
        <f t="shared" si="406"/>
        <v>159.34995933176114</v>
      </c>
      <c r="AY484" s="360">
        <f t="shared" si="407"/>
        <v>-20.650040668238859</v>
      </c>
      <c r="BB484" s="337">
        <f t="shared" si="408"/>
        <v>-27.964165431739989</v>
      </c>
      <c r="BC484" s="730">
        <f t="shared" si="409"/>
        <v>-89.988547920135304</v>
      </c>
      <c r="BD484" s="351"/>
      <c r="BE484" s="337">
        <f t="shared" si="370"/>
        <v>27.959025951752349</v>
      </c>
      <c r="BF484" s="730">
        <f t="shared" si="371"/>
        <v>-89.713127005572076</v>
      </c>
      <c r="BI484" s="351"/>
      <c r="BJ484" s="351"/>
      <c r="BL484" s="405">
        <f t="shared" si="372"/>
        <v>0</v>
      </c>
      <c r="BM484" s="405">
        <f t="shared" si="410"/>
        <v>0</v>
      </c>
      <c r="BN484" s="405">
        <f t="shared" si="373"/>
        <v>0</v>
      </c>
      <c r="BO484" s="405">
        <f t="shared" si="374"/>
        <v>0</v>
      </c>
    </row>
    <row r="485" spans="4:67" ht="13.5" thickBot="1" x14ac:dyDescent="0.25">
      <c r="D485" s="345">
        <v>58884</v>
      </c>
      <c r="E485" s="340" t="str">
        <f t="shared" si="361"/>
        <v>0.976744780777822i</v>
      </c>
      <c r="F485" s="728" t="str">
        <f t="shared" si="375"/>
        <v>0.005-0.0443091065100196i</v>
      </c>
      <c r="G485" s="337" t="str">
        <f t="shared" si="376"/>
        <v>0.005-0.0693039871054154i</v>
      </c>
      <c r="H485" s="338" t="str">
        <f t="shared" si="377"/>
        <v>0.00886646053747638-0.0685173559984958i</v>
      </c>
      <c r="I485" s="338" t="str">
        <f t="shared" si="378"/>
        <v>0.0188664605374764-0.0685173559984958i</v>
      </c>
      <c r="J485" s="337" t="str">
        <f t="shared" si="379"/>
        <v>0.00471937792036557-0.0270702927400762i</v>
      </c>
      <c r="K485" s="338" t="str">
        <f t="shared" si="362"/>
        <v>0.9614741616-0.308315903023302i</v>
      </c>
      <c r="L485" s="732"/>
      <c r="M485" s="732" t="str">
        <f t="shared" si="363"/>
        <v>0.12349133672623-24.8500064969357i</v>
      </c>
      <c r="N485" s="337">
        <f t="shared" si="364"/>
        <v>0</v>
      </c>
      <c r="O485" s="730" t="str">
        <f t="shared" si="365"/>
        <v>-0.874333654652925-9.5686495374871i</v>
      </c>
      <c r="P485" s="731" t="str">
        <f t="shared" si="366"/>
        <v>-0.672114148176943-0.120619518618621i</v>
      </c>
      <c r="Q485" s="729" t="str">
        <f t="shared" si="367"/>
        <v>-0.663370811630414-0.0249330232437502i</v>
      </c>
      <c r="R485" s="730"/>
      <c r="S485" s="405" t="str">
        <f t="shared" si="380"/>
        <v>38.0086474228453-11.4770782771132i</v>
      </c>
      <c r="T485" s="405" t="str">
        <f t="shared" si="381"/>
        <v>14.2026932857834-5.82721332304133i</v>
      </c>
      <c r="U485" s="405" t="str">
        <f t="shared" si="382"/>
        <v>-0.273337630189722-1.02479774897167i</v>
      </c>
      <c r="V485" s="731" t="str">
        <f t="shared" si="368"/>
        <v>6000</v>
      </c>
      <c r="W485" s="733" t="str">
        <f>IMSUM(COMPLEX(1,0),IMDIV(COMPLEX(0,2*PI()*D485),COMPLEX(2*PI()*'Stability Calculations'!EA_Pole1,0)))</f>
        <v>1+373678.874464243i</v>
      </c>
      <c r="X485" s="734">
        <f t="shared" si="383"/>
        <v>373678.87446558103</v>
      </c>
      <c r="Y485" s="735">
        <f t="shared" si="384"/>
        <v>1.570793650700345</v>
      </c>
      <c r="Z485" s="340" t="str">
        <f>IMSUM(COMPLEX(1,0),IMDIV(COMPLEX(0,2*PI()*D485),COMPLEX(2*PI()*'Stability Calculations'!EA_Zero1,0)))</f>
        <v>1+3699.79083627963i</v>
      </c>
      <c r="AA485" s="734">
        <f t="shared" si="385"/>
        <v>3699.790971422402</v>
      </c>
      <c r="AB485" s="735">
        <f t="shared" si="386"/>
        <v>1.5705260412517674</v>
      </c>
      <c r="AC485" s="733" t="str">
        <f>IMSUM(COMPLEX(1,0),IMDIV(COMPLEX(0,2*PI()*D485),COMPLEX(2*PI()*'Stability Calculations'!EA_Pole2,0)))</f>
        <v>1+37.2696806704886i</v>
      </c>
      <c r="AD485" s="734">
        <f t="shared" si="387"/>
        <v>37.283093987492393</v>
      </c>
      <c r="AE485" s="735">
        <f t="shared" si="388"/>
        <v>1.5439713014701424</v>
      </c>
      <c r="AF485" s="732" t="str">
        <f t="shared" si="389"/>
        <v>0.0423109434161777-1.59281294138356i</v>
      </c>
      <c r="AG485" s="337">
        <f t="shared" si="390"/>
        <v>1.5933748090677584</v>
      </c>
      <c r="AH485" s="730">
        <f t="shared" si="391"/>
        <v>-1.5442389109187202</v>
      </c>
      <c r="AI485" s="731" t="str">
        <f t="shared" si="369"/>
        <v>10000</v>
      </c>
      <c r="AJ485" s="733" t="str">
        <f t="shared" si="392"/>
        <v>1+348371.565185924i</v>
      </c>
      <c r="AK485" s="734">
        <f t="shared" si="393"/>
        <v>348371.56518735923</v>
      </c>
      <c r="AL485" s="735">
        <f t="shared" si="394"/>
        <v>1.5707934562965553</v>
      </c>
      <c r="AM485" s="340" t="str">
        <f t="shared" si="395"/>
        <v>1+591.226575637485i</v>
      </c>
      <c r="AN485" s="734">
        <f t="shared" si="396"/>
        <v>591.22742133634722</v>
      </c>
      <c r="AO485" s="735">
        <f t="shared" si="397"/>
        <v>1.5691049294734665</v>
      </c>
      <c r="AP485" s="733" t="str">
        <f t="shared" si="398"/>
        <v>1+28.6754634553716i</v>
      </c>
      <c r="AQ485" s="734">
        <f t="shared" si="399"/>
        <v>28.692894667153261</v>
      </c>
      <c r="AR485" s="735">
        <f t="shared" si="400"/>
        <v>1.5359374335372693</v>
      </c>
      <c r="AS485" s="732" t="str">
        <f t="shared" si="401"/>
        <v>0.000789946750618427-3.97478733875822i</v>
      </c>
      <c r="AT485" s="337">
        <f t="shared" si="402"/>
        <v>3.9747874172549813</v>
      </c>
      <c r="AU485" s="730">
        <f t="shared" si="403"/>
        <v>-1.5705975874227256</v>
      </c>
      <c r="AV485" s="732" t="str">
        <f t="shared" si="404"/>
        <v>-0.090905428541719+0.0344859962983116i</v>
      </c>
      <c r="AW485" s="337">
        <f t="shared" si="405"/>
        <v>-20.244266263366526</v>
      </c>
      <c r="AX485" s="730">
        <f t="shared" si="406"/>
        <v>159.22519595327725</v>
      </c>
      <c r="AY485" s="360">
        <f t="shared" si="407"/>
        <v>-20.77480404672275</v>
      </c>
      <c r="BB485" s="337">
        <f t="shared" si="408"/>
        <v>-28.013721873392612</v>
      </c>
      <c r="BC485" s="730">
        <f t="shared" si="409"/>
        <v>-89.988613072751519</v>
      </c>
      <c r="BD485" s="351"/>
      <c r="BE485" s="337">
        <f t="shared" si="370"/>
        <v>27.906637382678298</v>
      </c>
      <c r="BF485" s="730">
        <f t="shared" si="371"/>
        <v>-89.715272744186763</v>
      </c>
      <c r="BI485" s="351"/>
      <c r="BJ485" s="351"/>
      <c r="BL485" s="405">
        <f t="shared" si="372"/>
        <v>0</v>
      </c>
      <c r="BM485" s="405">
        <f t="shared" si="410"/>
        <v>0</v>
      </c>
      <c r="BN485" s="405">
        <f t="shared" si="373"/>
        <v>0</v>
      </c>
      <c r="BO485" s="405">
        <f t="shared" si="374"/>
        <v>0</v>
      </c>
    </row>
    <row r="486" spans="4:67" ht="13.5" thickBot="1" x14ac:dyDescent="0.25">
      <c r="D486" s="345">
        <v>59227</v>
      </c>
      <c r="E486" s="340" t="str">
        <f t="shared" si="361"/>
        <v>0.982434330737179i</v>
      </c>
      <c r="F486" s="728" t="str">
        <f t="shared" si="375"/>
        <v>0.005-0.0440525001728265i</v>
      </c>
      <c r="G486" s="337" t="str">
        <f t="shared" si="376"/>
        <v>0.005-0.0689026284754464i</v>
      </c>
      <c r="H486" s="338" t="str">
        <f t="shared" si="377"/>
        <v>0.0088217127277688-0.0681230767671443i</v>
      </c>
      <c r="I486" s="338" t="str">
        <f t="shared" si="378"/>
        <v>0.0188217127277688-0.0681230767671443i</v>
      </c>
      <c r="J486" s="337" t="str">
        <f t="shared" si="379"/>
        <v>0.00471235810204463-0.0269144123057391i</v>
      </c>
      <c r="K486" s="338" t="str">
        <f t="shared" si="362"/>
        <v>0.961024027455556-0.310111846823604i</v>
      </c>
      <c r="L486" s="732"/>
      <c r="M486" s="732" t="str">
        <f t="shared" si="363"/>
        <v>0.12180363156957-24.6979948428602i</v>
      </c>
      <c r="N486" s="337">
        <f t="shared" si="364"/>
        <v>0</v>
      </c>
      <c r="O486" s="730" t="str">
        <f t="shared" si="365"/>
        <v>-0.870610218224895-9.50884324829558i</v>
      </c>
      <c r="P486" s="731" t="str">
        <f t="shared" si="366"/>
        <v>-0.664158033995673-0.119664069262408i</v>
      </c>
      <c r="Q486" s="729" t="str">
        <f t="shared" si="367"/>
        <v>-0.655451931813424-0.0245756367794514i</v>
      </c>
      <c r="R486" s="730"/>
      <c r="S486" s="405" t="str">
        <f t="shared" si="380"/>
        <v>37.9821131814142-11.5491127514041i</v>
      </c>
      <c r="T486" s="405" t="str">
        <f t="shared" si="381"/>
        <v>14.1873050534976-5.85530869422032i</v>
      </c>
      <c r="U486" s="405" t="str">
        <f t="shared" si="382"/>
        <v>-0.273725314108523-1.01813672251113i</v>
      </c>
      <c r="V486" s="731" t="str">
        <f t="shared" si="368"/>
        <v>6000</v>
      </c>
      <c r="W486" s="733" t="str">
        <f>IMSUM(COMPLEX(1,0),IMDIV(COMPLEX(0,2*PI()*D486),COMPLEX(2*PI()*'Stability Calculations'!EA_Pole1,0)))</f>
        <v>1+375855.558350208i</v>
      </c>
      <c r="X486" s="734">
        <f t="shared" si="383"/>
        <v>375855.55835153826</v>
      </c>
      <c r="Y486" s="735">
        <f t="shared" si="384"/>
        <v>1.5707936661983515</v>
      </c>
      <c r="Z486" s="340" t="str">
        <f>IMSUM(COMPLEX(1,0),IMDIV(COMPLEX(0,2*PI()*D486),COMPLEX(2*PI()*'Stability Calculations'!EA_Zero1,0)))</f>
        <v>1+3721.34216188325i</v>
      </c>
      <c r="AA486" s="734">
        <f t="shared" si="385"/>
        <v>3721.3422962433733</v>
      </c>
      <c r="AB486" s="735">
        <f t="shared" si="386"/>
        <v>1.5705276065503104</v>
      </c>
      <c r="AC486" s="733" t="str">
        <f>IMSUM(COMPLEX(1,0),IMDIV(COMPLEX(0,2*PI()*D486),COMPLEX(2*PI()*'Stability Calculations'!EA_Pole2,0)))</f>
        <v>1+37.4867770034479i</v>
      </c>
      <c r="AD486" s="734">
        <f t="shared" si="387"/>
        <v>37.500112667913818</v>
      </c>
      <c r="AE486" s="735">
        <f t="shared" si="388"/>
        <v>1.5441265787702831</v>
      </c>
      <c r="AF486" s="732" t="str">
        <f t="shared" si="389"/>
        <v>0.0418226411204347-1.5836015454071i</v>
      </c>
      <c r="AG486" s="337">
        <f t="shared" si="390"/>
        <v>1.5841537134779706</v>
      </c>
      <c r="AH486" s="730">
        <f t="shared" si="391"/>
        <v>-1.544392638418324</v>
      </c>
      <c r="AI486" s="731" t="str">
        <f t="shared" si="369"/>
        <v>10000</v>
      </c>
      <c r="AJ486" s="733" t="str">
        <f t="shared" si="392"/>
        <v>1+350400.833694496i</v>
      </c>
      <c r="AK486" s="734">
        <f t="shared" si="393"/>
        <v>350400.83369592298</v>
      </c>
      <c r="AL486" s="735">
        <f t="shared" si="394"/>
        <v>1.5707934729204083</v>
      </c>
      <c r="AM486" s="340" t="str">
        <f t="shared" si="395"/>
        <v>1+594.670477468943i</v>
      </c>
      <c r="AN486" s="734">
        <f t="shared" si="396"/>
        <v>594.67131827013532</v>
      </c>
      <c r="AO486" s="735">
        <f t="shared" si="397"/>
        <v>1.5691147248064121</v>
      </c>
      <c r="AP486" s="733" t="str">
        <f t="shared" si="398"/>
        <v>1+28.8424983708867i</v>
      </c>
      <c r="AQ486" s="734">
        <f t="shared" si="399"/>
        <v>28.859828694477763</v>
      </c>
      <c r="AR486" s="735">
        <f t="shared" si="400"/>
        <v>1.5361391489818643</v>
      </c>
      <c r="AS486" s="732" t="str">
        <f t="shared" si="401"/>
        <v>0.000780823643030583-3.95176824357478i</v>
      </c>
      <c r="AT486" s="337">
        <f t="shared" si="402"/>
        <v>3.951768320715634</v>
      </c>
      <c r="AU486" s="730">
        <f t="shared" si="403"/>
        <v>-1.5705987383775752</v>
      </c>
      <c r="AV486" s="732" t="str">
        <f t="shared" si="404"/>
        <v>-0.0897590316717029+0.0342801578520626i</v>
      </c>
      <c r="AW486" s="337">
        <f t="shared" si="405"/>
        <v>-20.347130017041795</v>
      </c>
      <c r="AX486" s="730">
        <f t="shared" si="406"/>
        <v>159.09748384919973</v>
      </c>
      <c r="AY486" s="360">
        <f t="shared" si="407"/>
        <v>-20.902516150800267</v>
      </c>
      <c r="BB486" s="337">
        <f t="shared" si="408"/>
        <v>-28.064170492134242</v>
      </c>
      <c r="BC486" s="730">
        <f t="shared" si="409"/>
        <v>-89.988679017606813</v>
      </c>
      <c r="BD486" s="351"/>
      <c r="BE486" s="337">
        <f t="shared" si="370"/>
        <v>27.85333953941635</v>
      </c>
      <c r="BF486" s="730">
        <f t="shared" si="371"/>
        <v>-89.717435464535328</v>
      </c>
      <c r="BI486" s="351"/>
      <c r="BJ486" s="351"/>
      <c r="BL486" s="405">
        <f t="shared" si="372"/>
        <v>0</v>
      </c>
      <c r="BM486" s="405">
        <f t="shared" si="410"/>
        <v>0</v>
      </c>
      <c r="BN486" s="405">
        <f t="shared" si="373"/>
        <v>0</v>
      </c>
      <c r="BO486" s="405">
        <f t="shared" si="374"/>
        <v>0</v>
      </c>
    </row>
    <row r="487" spans="4:67" ht="13.5" thickBot="1" x14ac:dyDescent="0.25">
      <c r="D487" s="345">
        <v>59570</v>
      </c>
      <c r="E487" s="340" t="str">
        <f t="shared" si="361"/>
        <v>0.988123880696536i</v>
      </c>
      <c r="F487" s="728" t="str">
        <f t="shared" si="375"/>
        <v>0.005-0.0437988488792343i</v>
      </c>
      <c r="G487" s="337" t="str">
        <f t="shared" si="376"/>
        <v>0.005-0.0685058918367513i</v>
      </c>
      <c r="H487" s="338" t="str">
        <f t="shared" si="377"/>
        <v>0.0087777324244151-0.0677332949631719i</v>
      </c>
      <c r="I487" s="338" t="str">
        <f t="shared" si="378"/>
        <v>0.0187777324244151-0.0677332949631719i</v>
      </c>
      <c r="J487" s="337" t="str">
        <f t="shared" si="379"/>
        <v>0.00470545619919179-0.0267603281321208i</v>
      </c>
      <c r="K487" s="338" t="str">
        <f t="shared" si="362"/>
        <v>0.960571278888889-0.311907790623907i</v>
      </c>
      <c r="L487" s="732"/>
      <c r="M487" s="732" t="str">
        <f t="shared" si="363"/>
        <v>0.120151176548561-24.5478774090723i</v>
      </c>
      <c r="N487" s="337">
        <f t="shared" si="364"/>
        <v>0</v>
      </c>
      <c r="O487" s="730" t="str">
        <f t="shared" si="365"/>
        <v>-0.866946670554056-9.44977792764156i</v>
      </c>
      <c r="P487" s="731" t="str">
        <f t="shared" si="366"/>
        <v>-0.656343888315319-0.118724246841419i</v>
      </c>
      <c r="Q487" s="729" t="str">
        <f t="shared" si="367"/>
        <v>-0.647674421609779-0.024226467565003i</v>
      </c>
      <c r="R487" s="730"/>
      <c r="S487" s="405" t="str">
        <f t="shared" si="380"/>
        <v>37.955415175632-11.6210466814489i</v>
      </c>
      <c r="T487" s="405" t="str">
        <f t="shared" si="381"/>
        <v>14.1718372012333-5.88337605526195i</v>
      </c>
      <c r="U487" s="405" t="str">
        <f t="shared" si="382"/>
        <v>-0.274103850815524-1.01154793008649i</v>
      </c>
      <c r="V487" s="731" t="str">
        <f t="shared" si="368"/>
        <v>6000</v>
      </c>
      <c r="W487" s="733" t="str">
        <f>IMSUM(COMPLEX(1,0),IMDIV(COMPLEX(0,2*PI()*D487),COMPLEX(2*PI()*'Stability Calculations'!EA_Pole1,0)))</f>
        <v>1+378032.242236175i</v>
      </c>
      <c r="X487" s="734">
        <f t="shared" si="383"/>
        <v>378032.24223749764</v>
      </c>
      <c r="Y487" s="735">
        <f t="shared" si="384"/>
        <v>1.5707936815178851</v>
      </c>
      <c r="Z487" s="340" t="str">
        <f>IMSUM(COMPLEX(1,0),IMDIV(COMPLEX(0,2*PI()*D487),COMPLEX(2*PI()*'Stability Calculations'!EA_Zero1,0)))</f>
        <v>1+3742.89348748688i</v>
      </c>
      <c r="AA487" s="734">
        <f t="shared" si="385"/>
        <v>3742.8936210733668</v>
      </c>
      <c r="AB487" s="735">
        <f t="shared" si="386"/>
        <v>1.5705291538230903</v>
      </c>
      <c r="AC487" s="733" t="str">
        <f>IMSUM(COMPLEX(1,0),IMDIV(COMPLEX(0,2*PI()*D487),COMPLEX(2*PI()*'Stability Calculations'!EA_Pole2,0)))</f>
        <v>1+37.7038733364073i</v>
      </c>
      <c r="AD487" s="734">
        <f t="shared" si="387"/>
        <v>37.717132242097165</v>
      </c>
      <c r="AE487" s="735">
        <f t="shared" si="388"/>
        <v>1.5442800691824803</v>
      </c>
      <c r="AF487" s="732" t="str">
        <f t="shared" si="389"/>
        <v>0.0413427414458192-1.57449600375301i</v>
      </c>
      <c r="AG487" s="337">
        <f t="shared" si="390"/>
        <v>1.575038694161021</v>
      </c>
      <c r="AH487" s="730">
        <f t="shared" si="391"/>
        <v>-1.5445445968772753</v>
      </c>
      <c r="AI487" s="731" t="str">
        <f t="shared" si="369"/>
        <v>10000</v>
      </c>
      <c r="AJ487" s="733" t="str">
        <f t="shared" si="392"/>
        <v>1+352430.102203068i</v>
      </c>
      <c r="AK487" s="734">
        <f t="shared" si="393"/>
        <v>352430.10220448673</v>
      </c>
      <c r="AL487" s="735">
        <f t="shared" si="394"/>
        <v>1.570793489352823</v>
      </c>
      <c r="AM487" s="340" t="str">
        <f t="shared" si="395"/>
        <v>1+598.114379300403i</v>
      </c>
      <c r="AN487" s="734">
        <f t="shared" si="396"/>
        <v>598.11521526032629</v>
      </c>
      <c r="AO487" s="735">
        <f t="shared" si="397"/>
        <v>1.569124407337956</v>
      </c>
      <c r="AP487" s="733" t="str">
        <f t="shared" si="398"/>
        <v>1+29.0095332864018i</v>
      </c>
      <c r="AQ487" s="734">
        <f t="shared" si="399"/>
        <v>29.026763882576617</v>
      </c>
      <c r="AR487" s="735">
        <f t="shared" si="400"/>
        <v>1.5363385442719151</v>
      </c>
      <c r="AS487" s="732" t="str">
        <f t="shared" si="401"/>
        <v>0.000771857671992309-3.92901423312285i</v>
      </c>
      <c r="AT487" s="337">
        <f t="shared" si="402"/>
        <v>3.929014308938847</v>
      </c>
      <c r="AU487" s="730">
        <f t="shared" si="403"/>
        <v>-1.5705998760781861</v>
      </c>
      <c r="AV487" s="732" t="str">
        <f t="shared" si="404"/>
        <v>-0.0886324342944656+0.0340764119494398i</v>
      </c>
      <c r="AW487" s="337">
        <f t="shared" si="405"/>
        <v>-20.449422525658257</v>
      </c>
      <c r="AX487" s="730">
        <f t="shared" si="406"/>
        <v>158.96980216419584</v>
      </c>
      <c r="AY487" s="360">
        <f t="shared" si="407"/>
        <v>-21.030197835804159</v>
      </c>
      <c r="BB487" s="337">
        <f t="shared" si="408"/>
        <v>-28.114327790870682</v>
      </c>
      <c r="BC487" s="730">
        <f t="shared" si="409"/>
        <v>-89.988744203050175</v>
      </c>
      <c r="BD487" s="351"/>
      <c r="BE487" s="337">
        <f t="shared" si="370"/>
        <v>27.800382957088207</v>
      </c>
      <c r="BF487" s="730">
        <f t="shared" si="371"/>
        <v>-89.719564334145645</v>
      </c>
      <c r="BI487" s="351"/>
      <c r="BJ487" s="351"/>
      <c r="BL487" s="405">
        <f t="shared" si="372"/>
        <v>0</v>
      </c>
      <c r="BM487" s="405">
        <f t="shared" si="410"/>
        <v>0</v>
      </c>
      <c r="BN487" s="405">
        <f t="shared" si="373"/>
        <v>0</v>
      </c>
      <c r="BO487" s="405">
        <f t="shared" si="374"/>
        <v>0</v>
      </c>
    </row>
    <row r="488" spans="4:67" ht="13.5" thickBot="1" x14ac:dyDescent="0.25">
      <c r="D488" s="345">
        <v>59913</v>
      </c>
      <c r="E488" s="340" t="str">
        <f t="shared" si="361"/>
        <v>0.993813430655894i</v>
      </c>
      <c r="F488" s="728" t="str">
        <f t="shared" si="375"/>
        <v>0.005-0.0435481018766543i</v>
      </c>
      <c r="G488" s="337" t="str">
        <f t="shared" si="376"/>
        <v>0.005-0.0681136978070745i</v>
      </c>
      <c r="H488" s="338" t="str">
        <f t="shared" si="377"/>
        <v>0.00873450219310764-0.0673479343157415i</v>
      </c>
      <c r="I488" s="338" t="str">
        <f t="shared" si="378"/>
        <v>0.0187345021931076-0.0673479343157415i</v>
      </c>
      <c r="J488" s="337" t="str">
        <f t="shared" si="379"/>
        <v>0.00469866950771524-0.026608009418974i</v>
      </c>
      <c r="K488" s="338" t="str">
        <f t="shared" si="362"/>
        <v>0.9601159159-0.313703734424209i</v>
      </c>
      <c r="L488" s="732"/>
      <c r="M488" s="732" t="str">
        <f t="shared" si="363"/>
        <v>0.118532981493973-24.3996182553586i</v>
      </c>
      <c r="N488" s="337">
        <f t="shared" si="364"/>
        <v>0</v>
      </c>
      <c r="O488" s="730" t="str">
        <f t="shared" si="365"/>
        <v>-0.863341619056401-9.39143948545279i</v>
      </c>
      <c r="P488" s="731" t="str">
        <f t="shared" si="366"/>
        <v>-0.648668325052148-0.117799668984397i</v>
      </c>
      <c r="Q488" s="729" t="str">
        <f t="shared" si="367"/>
        <v>-0.640034908861585-0.0238852741298693i</v>
      </c>
      <c r="R488" s="730"/>
      <c r="S488" s="405" t="str">
        <f t="shared" si="380"/>
        <v>37.9285535229862-11.6928804444797i</v>
      </c>
      <c r="T488" s="405" t="str">
        <f t="shared" si="381"/>
        <v>14.1562898078233-5.91141482789817i</v>
      </c>
      <c r="U488" s="405" t="str">
        <f t="shared" si="382"/>
        <v>-0.274473433169685-1.00503014191053i</v>
      </c>
      <c r="V488" s="731" t="str">
        <f t="shared" si="368"/>
        <v>6000</v>
      </c>
      <c r="W488" s="733" t="str">
        <f>IMSUM(COMPLEX(1,0),IMDIV(COMPLEX(0,2*PI()*D488),COMPLEX(2*PI()*'Stability Calculations'!EA_Pole1,0)))</f>
        <v>1+380208.926122142i</v>
      </c>
      <c r="X488" s="734">
        <f t="shared" si="383"/>
        <v>380208.92612345709</v>
      </c>
      <c r="Y488" s="735">
        <f t="shared" si="384"/>
        <v>1.5707936966620111</v>
      </c>
      <c r="Z488" s="340" t="str">
        <f>IMSUM(COMPLEX(1,0),IMDIV(COMPLEX(0,2*PI()*D488),COMPLEX(2*PI()*'Stability Calculations'!EA_Zero1,0)))</f>
        <v>1+3764.44481309051i</v>
      </c>
      <c r="AA488" s="734">
        <f t="shared" si="385"/>
        <v>3764.4449459122179</v>
      </c>
      <c r="AB488" s="735">
        <f t="shared" si="386"/>
        <v>1.5705306833796975</v>
      </c>
      <c r="AC488" s="733" t="str">
        <f>IMSUM(COMPLEX(1,0),IMDIV(COMPLEX(0,2*PI()*D488),COMPLEX(2*PI()*'Stability Calculations'!EA_Pole2,0)))</f>
        <v>1+37.9209696693666i</v>
      </c>
      <c r="AD488" s="734">
        <f t="shared" si="387"/>
        <v>37.934152694702711</v>
      </c>
      <c r="AE488" s="735">
        <f t="shared" si="388"/>
        <v>1.5444318033676789</v>
      </c>
      <c r="AF488" s="732" t="str">
        <f t="shared" si="389"/>
        <v>0.0408710527487815-1.56549450343728i</v>
      </c>
      <c r="AG488" s="337">
        <f t="shared" si="390"/>
        <v>1.5660279318215016</v>
      </c>
      <c r="AH488" s="730">
        <f t="shared" si="391"/>
        <v>-1.5446948166499923</v>
      </c>
      <c r="AI488" s="731" t="str">
        <f t="shared" si="369"/>
        <v>10000</v>
      </c>
      <c r="AJ488" s="733" t="str">
        <f t="shared" si="392"/>
        <v>1+354459.370711641i</v>
      </c>
      <c r="AK488" s="734">
        <f t="shared" si="393"/>
        <v>354459.37071305152</v>
      </c>
      <c r="AL488" s="735">
        <f t="shared" si="394"/>
        <v>1.5707935055970876</v>
      </c>
      <c r="AM488" s="340" t="str">
        <f t="shared" si="395"/>
        <v>1+601.558281131863i</v>
      </c>
      <c r="AN488" s="734">
        <f t="shared" si="396"/>
        <v>601.55911230594927</v>
      </c>
      <c r="AO488" s="735">
        <f t="shared" si="397"/>
        <v>1.5691339790054442</v>
      </c>
      <c r="AP488" s="733" t="str">
        <f t="shared" si="398"/>
        <v>1+29.176568201917i</v>
      </c>
      <c r="AQ488" s="734">
        <f t="shared" si="399"/>
        <v>29.193700211537319</v>
      </c>
      <c r="AR488" s="735">
        <f t="shared" si="400"/>
        <v>1.5365356591929697</v>
      </c>
      <c r="AS488" s="732" t="str">
        <f t="shared" si="401"/>
        <v>0.000763045249417322-3.90652075459844i</v>
      </c>
      <c r="AT488" s="337">
        <f t="shared" si="402"/>
        <v>3.9065208291197449</v>
      </c>
      <c r="AU488" s="730">
        <f t="shared" si="403"/>
        <v>-1.5706010007521987</v>
      </c>
      <c r="AV488" s="732" t="str">
        <f t="shared" si="404"/>
        <v>-0.0875251842812677+0.0338747268052018i</v>
      </c>
      <c r="AW488" s="337">
        <f t="shared" si="405"/>
        <v>-20.551150515661234</v>
      </c>
      <c r="AX488" s="730">
        <f t="shared" si="406"/>
        <v>158.84215026747071</v>
      </c>
      <c r="AY488" s="360">
        <f t="shared" si="407"/>
        <v>-21.157849732529286</v>
      </c>
      <c r="BB488" s="337">
        <f t="shared" si="408"/>
        <v>-28.164197114800093</v>
      </c>
      <c r="BC488" s="730">
        <f t="shared" si="409"/>
        <v>-89.988808642124411</v>
      </c>
      <c r="BD488" s="351"/>
      <c r="BE488" s="337">
        <f t="shared" si="370"/>
        <v>27.747763124975041</v>
      </c>
      <c r="BF488" s="730">
        <f t="shared" si="371"/>
        <v>-89.7216601474518</v>
      </c>
      <c r="BI488" s="351"/>
      <c r="BJ488" s="351"/>
      <c r="BL488" s="405">
        <f t="shared" si="372"/>
        <v>0</v>
      </c>
      <c r="BM488" s="405">
        <f t="shared" si="410"/>
        <v>0</v>
      </c>
      <c r="BN488" s="405">
        <f t="shared" si="373"/>
        <v>0</v>
      </c>
      <c r="BO488" s="405">
        <f t="shared" si="374"/>
        <v>0</v>
      </c>
    </row>
    <row r="489" spans="4:67" ht="13.5" thickBot="1" x14ac:dyDescent="0.25">
      <c r="D489" s="345">
        <v>60256</v>
      </c>
      <c r="E489" s="340" t="str">
        <f t="shared" si="361"/>
        <v>0.999502980615251i</v>
      </c>
      <c r="F489" s="728" t="str">
        <f t="shared" si="375"/>
        <v>0.005-0.0433002095681092i</v>
      </c>
      <c r="G489" s="337" t="str">
        <f t="shared" si="376"/>
        <v>0.005-0.0677259688116581i</v>
      </c>
      <c r="H489" s="338" t="str">
        <f t="shared" si="377"/>
        <v>0.00869200509127336-0.0669669202634065i</v>
      </c>
      <c r="I489" s="338" t="str">
        <f t="shared" si="378"/>
        <v>0.0186920050912734-0.0669669202634065i</v>
      </c>
      <c r="J489" s="337" t="str">
        <f t="shared" si="379"/>
        <v>0.00469199540024353-0.0264574260656685i</v>
      </c>
      <c r="K489" s="338" t="str">
        <f t="shared" si="362"/>
        <v>0.959657938488889-0.315499678224511i</v>
      </c>
      <c r="L489" s="732"/>
      <c r="M489" s="732" t="str">
        <f t="shared" si="363"/>
        <v>0.116948091019196-24.2531823610447i</v>
      </c>
      <c r="N489" s="337">
        <f t="shared" si="364"/>
        <v>0</v>
      </c>
      <c r="O489" s="730" t="str">
        <f t="shared" si="365"/>
        <v>-0.859793710811875-9.33381419349819i</v>
      </c>
      <c r="P489" s="731" t="str">
        <f t="shared" si="366"/>
        <v>-0.641128059269386-0.11688996555095i</v>
      </c>
      <c r="Q489" s="729" t="str">
        <f t="shared" si="367"/>
        <v>-0.632530122161267-0.0235518236159676i</v>
      </c>
      <c r="R489" s="730"/>
      <c r="S489" s="405" t="str">
        <f t="shared" si="380"/>
        <v>37.9015283383972-11.7646143984874i</v>
      </c>
      <c r="T489" s="405" t="str">
        <f t="shared" si="381"/>
        <v>14.1406629544412-5.93942444100808i</v>
      </c>
      <c r="U489" s="405" t="str">
        <f t="shared" si="382"/>
        <v>-0.274834248557535-0.998582156022245i</v>
      </c>
      <c r="V489" s="731" t="str">
        <f t="shared" si="368"/>
        <v>6000</v>
      </c>
      <c r="W489" s="733" t="str">
        <f>IMSUM(COMPLEX(1,0),IMDIV(COMPLEX(0,2*PI()*D489),COMPLEX(2*PI()*'Stability Calculations'!EA_Pole1,0)))</f>
        <v>1+382385.610008107i</v>
      </c>
      <c r="X489" s="734">
        <f t="shared" si="383"/>
        <v>382385.61000941455</v>
      </c>
      <c r="Y489" s="735">
        <f t="shared" si="384"/>
        <v>1.5707937116337247</v>
      </c>
      <c r="Z489" s="340" t="str">
        <f>IMSUM(COMPLEX(1,0),IMDIV(COMPLEX(0,2*PI()*D489),COMPLEX(2*PI()*'Stability Calculations'!EA_Zero1,0)))</f>
        <v>1+3785.99613869413i</v>
      </c>
      <c r="AA489" s="734">
        <f t="shared" si="385"/>
        <v>3785.9962707597665</v>
      </c>
      <c r="AB489" s="735">
        <f t="shared" si="386"/>
        <v>1.5705321955226736</v>
      </c>
      <c r="AC489" s="733" t="str">
        <f>IMSUM(COMPLEX(1,0),IMDIV(COMPLEX(0,2*PI()*D489),COMPLEX(2*PI()*'Stability Calculations'!EA_Pole2,0)))</f>
        <v>1+38.1380660023259i</v>
      </c>
      <c r="AD489" s="734">
        <f t="shared" si="387"/>
        <v>38.15117401074005</v>
      </c>
      <c r="AE489" s="735">
        <f t="shared" si="388"/>
        <v>1.5445818112894971</v>
      </c>
      <c r="AF489" s="732" t="str">
        <f t="shared" si="389"/>
        <v>0.0404073888171986-1.55659527261424i</v>
      </c>
      <c r="AG489" s="337">
        <f t="shared" si="390"/>
        <v>1.55711964851646</v>
      </c>
      <c r="AH489" s="730">
        <f t="shared" si="391"/>
        <v>-1.5448433274005482</v>
      </c>
      <c r="AI489" s="731" t="str">
        <f t="shared" si="369"/>
        <v>10000</v>
      </c>
      <c r="AJ489" s="733" t="str">
        <f t="shared" si="392"/>
        <v>1+356488.639220213i</v>
      </c>
      <c r="AK489" s="734">
        <f t="shared" si="393"/>
        <v>356488.63922161557</v>
      </c>
      <c r="AL489" s="735">
        <f t="shared" si="394"/>
        <v>1.5707935216564153</v>
      </c>
      <c r="AM489" s="340" t="str">
        <f t="shared" si="395"/>
        <v>1+605.002182963322i</v>
      </c>
      <c r="AN489" s="734">
        <f t="shared" si="396"/>
        <v>605.00300940605655</v>
      </c>
      <c r="AO489" s="735">
        <f t="shared" si="397"/>
        <v>1.56914344170211</v>
      </c>
      <c r="AP489" s="733" t="str">
        <f t="shared" si="398"/>
        <v>1+29.343603117432i</v>
      </c>
      <c r="AQ489" s="734">
        <f t="shared" si="399"/>
        <v>29.36063766189973</v>
      </c>
      <c r="AR489" s="735">
        <f t="shared" si="400"/>
        <v>1.53673053262645</v>
      </c>
      <c r="AS489" s="732" t="str">
        <f t="shared" si="401"/>
        <v>0.000754382889051543-3.88428335886265i</v>
      </c>
      <c r="AT489" s="337">
        <f t="shared" si="402"/>
        <v>3.8842834321185751</v>
      </c>
      <c r="AU489" s="730">
        <f t="shared" si="403"/>
        <v>-1.5706021126220697</v>
      </c>
      <c r="AV489" s="732" t="str">
        <f t="shared" si="404"/>
        <v>-0.0864368423465421+0.0336750712403875i</v>
      </c>
      <c r="AW489" s="337">
        <f t="shared" si="405"/>
        <v>-20.652320598474205</v>
      </c>
      <c r="AX489" s="730">
        <f t="shared" si="406"/>
        <v>158.7145275436414</v>
      </c>
      <c r="AY489" s="360">
        <f t="shared" si="407"/>
        <v>-21.285472456358605</v>
      </c>
      <c r="BB489" s="337">
        <f t="shared" si="408"/>
        <v>-28.213781751830602</v>
      </c>
      <c r="BC489" s="730">
        <f t="shared" si="409"/>
        <v>-89.988872347575395</v>
      </c>
      <c r="BD489" s="351"/>
      <c r="BE489" s="337">
        <f t="shared" si="370"/>
        <v>27.695475623595648</v>
      </c>
      <c r="BF489" s="730">
        <f t="shared" si="371"/>
        <v>-89.723723674464722</v>
      </c>
      <c r="BI489" s="351"/>
      <c r="BJ489" s="351"/>
      <c r="BL489" s="405">
        <f t="shared" si="372"/>
        <v>0</v>
      </c>
      <c r="BM489" s="405">
        <f t="shared" si="410"/>
        <v>0</v>
      </c>
      <c r="BN489" s="405">
        <f t="shared" si="373"/>
        <v>0</v>
      </c>
      <c r="BO489" s="405">
        <f t="shared" si="374"/>
        <v>0</v>
      </c>
    </row>
    <row r="490" spans="4:67" ht="13.5" thickBot="1" x14ac:dyDescent="0.25">
      <c r="D490" s="345">
        <v>60607</v>
      </c>
      <c r="E490" s="340" t="str">
        <f t="shared" si="361"/>
        <v>1.0053252314483i</v>
      </c>
      <c r="F490" s="728" t="str">
        <f t="shared" si="375"/>
        <v>0.005-0.0430494402913194i</v>
      </c>
      <c r="G490" s="337" t="str">
        <f t="shared" si="376"/>
        <v>0.005-0.0673337399428327i</v>
      </c>
      <c r="H490" s="338" t="str">
        <f t="shared" si="377"/>
        <v>0.00864925860342059-0.0665814433841301i</v>
      </c>
      <c r="I490" s="338" t="str">
        <f t="shared" si="378"/>
        <v>0.0186492586034206-0.0665814433841301i</v>
      </c>
      <c r="J490" s="337" t="str">
        <f t="shared" si="379"/>
        <v>0.00468527951850515-0.0263050964175172i</v>
      </c>
      <c r="K490" s="338" t="str">
        <f t="shared" si="362"/>
        <v>0.959186572788889-0.317337509926861i</v>
      </c>
      <c r="L490" s="732"/>
      <c r="M490" s="732" t="str">
        <f t="shared" si="363"/>
        <v>0.115359752183763-24.1051829915365i</v>
      </c>
      <c r="N490" s="337">
        <f t="shared" si="364"/>
        <v>0</v>
      </c>
      <c r="O490" s="730" t="str">
        <f t="shared" si="365"/>
        <v>-0.856220839196044-9.27556921010658i</v>
      </c>
      <c r="P490" s="731" t="str">
        <f t="shared" si="366"/>
        <v>-0.633548670070098-0.11597406956396i</v>
      </c>
      <c r="Q490" s="729" t="str">
        <f t="shared" si="367"/>
        <v>-0.624986461678138-0.0232183774628932i</v>
      </c>
      <c r="R490" s="730"/>
      <c r="S490" s="405" t="str">
        <f t="shared" si="380"/>
        <v>37.8737036484918-11.837918473432i</v>
      </c>
      <c r="T490" s="405" t="str">
        <f t="shared" si="381"/>
        <v>14.1245894519186-5.96805656338195i</v>
      </c>
      <c r="U490" s="405" t="str">
        <f t="shared" si="382"/>
        <v>-0.275194593351313-0.992054817493538i</v>
      </c>
      <c r="V490" s="731" t="str">
        <f t="shared" si="368"/>
        <v>6000</v>
      </c>
      <c r="W490" s="733" t="str">
        <f>IMSUM(COMPLEX(1,0),IMDIV(COMPLEX(0,2*PI()*D490),COMPLEX(2*PI()*'Stability Calculations'!EA_Pole1,0)))</f>
        <v>1+384613.062031355i</v>
      </c>
      <c r="X490" s="734">
        <f t="shared" si="383"/>
        <v>384613.06203265494</v>
      </c>
      <c r="Y490" s="735">
        <f t="shared" si="384"/>
        <v>1.5707937267791958</v>
      </c>
      <c r="Z490" s="340" t="str">
        <f>IMSUM(COMPLEX(1,0),IMDIV(COMPLEX(0,2*PI()*D490),COMPLEX(2*PI()*'Stability Calculations'!EA_Zero1,0)))</f>
        <v>1+3808.05011912233i</v>
      </c>
      <c r="AA490" s="734">
        <f t="shared" si="385"/>
        <v>3808.0502504231213</v>
      </c>
      <c r="AB490" s="735">
        <f t="shared" si="386"/>
        <v>1.5705337252151559</v>
      </c>
      <c r="AC490" s="733" t="str">
        <f>IMSUM(COMPLEX(1,0),IMDIV(COMPLEX(0,2*PI()*D490),COMPLEX(2*PI()*'Stability Calculations'!EA_Pole2,0)))</f>
        <v>1+38.3602258066079i</v>
      </c>
      <c r="AD490" s="734">
        <f t="shared" si="387"/>
        <v>38.373257927024476</v>
      </c>
      <c r="AE490" s="735">
        <f t="shared" si="388"/>
        <v>1.544733561361618</v>
      </c>
      <c r="AF490" s="732" t="str">
        <f t="shared" si="389"/>
        <v>0.0399410294943482-1.5475925481778i</v>
      </c>
      <c r="AG490" s="337">
        <f t="shared" si="390"/>
        <v>1.5481078712455809</v>
      </c>
      <c r="AH490" s="730">
        <f t="shared" si="391"/>
        <v>-1.5449935629256581</v>
      </c>
      <c r="AI490" s="731" t="str">
        <f t="shared" si="369"/>
        <v>10000</v>
      </c>
      <c r="AJ490" s="733" t="str">
        <f t="shared" si="392"/>
        <v>1+358565.237606536i</v>
      </c>
      <c r="AK490" s="734">
        <f t="shared" si="393"/>
        <v>358565.23760793044</v>
      </c>
      <c r="AL490" s="735">
        <f t="shared" si="394"/>
        <v>1.5707935379021232</v>
      </c>
      <c r="AM490" s="340" t="str">
        <f t="shared" si="395"/>
        <v>1+608.526409035748i</v>
      </c>
      <c r="AN490" s="734">
        <f t="shared" si="396"/>
        <v>608.52723069222009</v>
      </c>
      <c r="AO490" s="735">
        <f t="shared" si="397"/>
        <v>1.5691530142204668</v>
      </c>
      <c r="AP490" s="733" t="str">
        <f t="shared" si="398"/>
        <v>1+29.514533891035i</v>
      </c>
      <c r="AQ490" s="734">
        <f t="shared" si="399"/>
        <v>29.531469838209098</v>
      </c>
      <c r="AR490" s="735">
        <f t="shared" si="400"/>
        <v>1.5369276703396124</v>
      </c>
      <c r="AS490" s="732" t="str">
        <f t="shared" si="401"/>
        <v>0.000745670310138018-3.86178788215202i</v>
      </c>
      <c r="AT490" s="337">
        <f t="shared" si="402"/>
        <v>3.8617879541425366</v>
      </c>
      <c r="AU490" s="730">
        <f t="shared" si="403"/>
        <v>-1.5706032373959897</v>
      </c>
      <c r="AV490" s="732" t="str">
        <f t="shared" si="404"/>
        <v>-0.085342245781164+0.0334728282163453i</v>
      </c>
      <c r="AW490" s="337">
        <f t="shared" si="405"/>
        <v>-20.755279535602504</v>
      </c>
      <c r="AX490" s="730">
        <f t="shared" si="406"/>
        <v>158.58395777166515</v>
      </c>
      <c r="AY490" s="360">
        <f t="shared" si="407"/>
        <v>-21.416042228334845</v>
      </c>
      <c r="BB490" s="337">
        <f t="shared" si="408"/>
        <v>-28.264231529175156</v>
      </c>
      <c r="BC490" s="730">
        <f t="shared" si="409"/>
        <v>-89.98893679237392</v>
      </c>
      <c r="BD490" s="351"/>
      <c r="BE490" s="337">
        <f t="shared" si="370"/>
        <v>27.642308118765769</v>
      </c>
      <c r="BF490" s="730">
        <f t="shared" si="371"/>
        <v>-89.725802684457562</v>
      </c>
      <c r="BI490" s="351"/>
      <c r="BJ490" s="351"/>
      <c r="BL490" s="405">
        <f t="shared" si="372"/>
        <v>0</v>
      </c>
      <c r="BM490" s="405">
        <f t="shared" si="410"/>
        <v>0</v>
      </c>
      <c r="BN490" s="405">
        <f t="shared" si="373"/>
        <v>0</v>
      </c>
      <c r="BO490" s="405">
        <f t="shared" si="374"/>
        <v>0</v>
      </c>
    </row>
    <row r="491" spans="4:67" ht="13.5" thickBot="1" x14ac:dyDescent="0.25">
      <c r="D491" s="345">
        <v>60958</v>
      </c>
      <c r="E491" s="340" t="str">
        <f t="shared" si="361"/>
        <v>1.01114748228134i</v>
      </c>
      <c r="F491" s="728" t="str">
        <f t="shared" si="375"/>
        <v>0.005-0.0428015589050821i</v>
      </c>
      <c r="G491" s="337" t="str">
        <f t="shared" si="376"/>
        <v>0.005-0.0669460280310256i</v>
      </c>
      <c r="H491" s="338" t="str">
        <f t="shared" si="377"/>
        <v>0.00860724545078369-0.0662003655191239i</v>
      </c>
      <c r="I491" s="338" t="str">
        <f t="shared" si="378"/>
        <v>0.0186072454507837-0.0662003655191239i</v>
      </c>
      <c r="J491" s="337" t="str">
        <f t="shared" si="379"/>
        <v>0.00467867620183448-0.0261545224049198i</v>
      </c>
      <c r="K491" s="338" t="str">
        <f t="shared" si="362"/>
        <v>0.958712469288889-0.319175341629211i</v>
      </c>
      <c r="L491" s="732"/>
      <c r="M491" s="732" t="str">
        <f t="shared" si="363"/>
        <v>0.113804370673286-23.9590215438292i</v>
      </c>
      <c r="N491" s="337">
        <f t="shared" si="364"/>
        <v>0</v>
      </c>
      <c r="O491" s="730" t="str">
        <f t="shared" si="365"/>
        <v>-0.85270506239756-9.21804305442787i</v>
      </c>
      <c r="P491" s="731" t="str">
        <f t="shared" si="366"/>
        <v>-0.626104311967304-0.115073002878906i</v>
      </c>
      <c r="Q491" s="729" t="str">
        <f t="shared" si="367"/>
        <v>-0.617577261343328-0.0228925723346271i</v>
      </c>
      <c r="R491" s="730"/>
      <c r="S491" s="405" t="str">
        <f t="shared" si="380"/>
        <v>37.8457079452074-11.9111187281863i</v>
      </c>
      <c r="T491" s="405" t="str">
        <f t="shared" si="381"/>
        <v>14.1084329189236-5.99665696215588i</v>
      </c>
      <c r="U491" s="405" t="str">
        <f t="shared" si="382"/>
        <v>-0.275546137728425-0.985598114492207i</v>
      </c>
      <c r="V491" s="731" t="str">
        <f t="shared" si="368"/>
        <v>6000</v>
      </c>
      <c r="W491" s="733" t="str">
        <f>IMSUM(COMPLEX(1,0),IMDIV(COMPLEX(0,2*PI()*D491),COMPLEX(2*PI()*'Stability Calculations'!EA_Pole1,0)))</f>
        <v>1+386840.514054604i</v>
      </c>
      <c r="X491" s="734">
        <f t="shared" si="383"/>
        <v>386840.51405589655</v>
      </c>
      <c r="Y491" s="735">
        <f t="shared" si="384"/>
        <v>1.5707937417502498</v>
      </c>
      <c r="Z491" s="340" t="str">
        <f>IMSUM(COMPLEX(1,0),IMDIV(COMPLEX(0,2*PI()*D491),COMPLEX(2*PI()*'Stability Calculations'!EA_Zero1,0)))</f>
        <v>1+3830.10409955053i</v>
      </c>
      <c r="AA491" s="734">
        <f t="shared" si="385"/>
        <v>3830.1042300952822</v>
      </c>
      <c r="AB491" s="735">
        <f t="shared" si="386"/>
        <v>1.5705352372915082</v>
      </c>
      <c r="AC491" s="733" t="str">
        <f>IMSUM(COMPLEX(1,0),IMDIV(COMPLEX(0,2*PI()*D491),COMPLEX(2*PI()*'Stability Calculations'!EA_Pole2,0)))</f>
        <v>1+38.5823856108899i</v>
      </c>
      <c r="AD491" s="734">
        <f t="shared" si="387"/>
        <v>38.595342716802037</v>
      </c>
      <c r="AE491" s="735">
        <f t="shared" si="388"/>
        <v>1.5448835650408079</v>
      </c>
      <c r="AF491" s="732" t="str">
        <f t="shared" si="389"/>
        <v>0.0394826957236374-1.53869329223845i</v>
      </c>
      <c r="AG491" s="337">
        <f t="shared" si="390"/>
        <v>1.5391997696339503</v>
      </c>
      <c r="AH491" s="730">
        <f t="shared" si="391"/>
        <v>-1.5451420694995495</v>
      </c>
      <c r="AI491" s="731" t="str">
        <f t="shared" si="369"/>
        <v>10000</v>
      </c>
      <c r="AJ491" s="733" t="str">
        <f t="shared" si="392"/>
        <v>1+360641.835992859i</v>
      </c>
      <c r="AK491" s="734">
        <f t="shared" si="393"/>
        <v>360641.83599424537</v>
      </c>
      <c r="AL491" s="735">
        <f t="shared" si="394"/>
        <v>1.5707935539607432</v>
      </c>
      <c r="AM491" s="340" t="str">
        <f t="shared" si="395"/>
        <v>1+612.050635108175i</v>
      </c>
      <c r="AN491" s="734">
        <f t="shared" si="396"/>
        <v>612.05145203350378</v>
      </c>
      <c r="AO491" s="735">
        <f t="shared" si="397"/>
        <v>1.5691624765007934</v>
      </c>
      <c r="AP491" s="733" t="str">
        <f t="shared" si="398"/>
        <v>1+29.6854646646379i</v>
      </c>
      <c r="AQ491" s="734">
        <f t="shared" si="399"/>
        <v>29.70230314900623</v>
      </c>
      <c r="AR491" s="735">
        <f t="shared" si="400"/>
        <v>1.5371225403783348</v>
      </c>
      <c r="AS491" s="732" t="str">
        <f t="shared" si="401"/>
        <v>0.000737107800228508-3.8395514661536i</v>
      </c>
      <c r="AT491" s="337">
        <f t="shared" si="402"/>
        <v>3.8395515369076856</v>
      </c>
      <c r="AU491" s="730">
        <f t="shared" si="403"/>
        <v>-1.570604349216872</v>
      </c>
      <c r="AV491" s="732" t="str">
        <f t="shared" si="404"/>
        <v>-0.0842665581605058+0.0332726463759361i</v>
      </c>
      <c r="AW491" s="337">
        <f t="shared" si="405"/>
        <v>-20.857667887864729</v>
      </c>
      <c r="AX491" s="730">
        <f t="shared" si="406"/>
        <v>158.45341729303505</v>
      </c>
      <c r="AY491" s="360">
        <f t="shared" si="407"/>
        <v>-21.546582706964955</v>
      </c>
      <c r="BB491" s="337">
        <f t="shared" si="408"/>
        <v>-28.314389973171529</v>
      </c>
      <c r="BC491" s="730">
        <f t="shared" si="409"/>
        <v>-89.989000495018047</v>
      </c>
      <c r="BD491" s="351"/>
      <c r="BE491" s="337">
        <f t="shared" si="370"/>
        <v>27.589479545725784</v>
      </c>
      <c r="BF491" s="730">
        <f t="shared" si="371"/>
        <v>-89.727849441612904</v>
      </c>
      <c r="BI491" s="351"/>
      <c r="BJ491" s="351"/>
      <c r="BL491" s="405">
        <f t="shared" si="372"/>
        <v>0</v>
      </c>
      <c r="BM491" s="405">
        <f t="shared" si="410"/>
        <v>0</v>
      </c>
      <c r="BN491" s="405">
        <f t="shared" si="373"/>
        <v>0</v>
      </c>
      <c r="BO491" s="405">
        <f t="shared" si="374"/>
        <v>0</v>
      </c>
    </row>
    <row r="492" spans="4:67" ht="13.5" thickBot="1" x14ac:dyDescent="0.25">
      <c r="D492" s="345">
        <v>61309</v>
      </c>
      <c r="E492" s="340" t="str">
        <f t="shared" si="361"/>
        <v>1.01696973311439i</v>
      </c>
      <c r="F492" s="728" t="str">
        <f t="shared" si="375"/>
        <v>0.005-0.0425565158090327i</v>
      </c>
      <c r="G492" s="337" t="str">
        <f t="shared" si="376"/>
        <v>0.005-0.0665627554961793i</v>
      </c>
      <c r="H492" s="338" t="str">
        <f t="shared" si="377"/>
        <v>0.00856594897098617-0.065823612021885i</v>
      </c>
      <c r="I492" s="338" t="str">
        <f t="shared" si="378"/>
        <v>0.0185659489709862-0.065823612021885i</v>
      </c>
      <c r="J492" s="337" t="str">
        <f t="shared" si="379"/>
        <v>0.00467218286762537-0.0260056739202294i</v>
      </c>
      <c r="K492" s="338" t="str">
        <f t="shared" si="362"/>
        <v>0.958235627988889-0.321013173331561i</v>
      </c>
      <c r="L492" s="732"/>
      <c r="M492" s="732" t="str">
        <f t="shared" si="363"/>
        <v>0.112281026532638-23.8146632903137i</v>
      </c>
      <c r="N492" s="337">
        <f t="shared" si="364"/>
        <v>0</v>
      </c>
      <c r="O492" s="730" t="str">
        <f t="shared" si="365"/>
        <v>-0.849245051023876-9.16122211703857i</v>
      </c>
      <c r="P492" s="731" t="str">
        <f t="shared" si="366"/>
        <v>-0.618791770559431-0.114186405586707i</v>
      </c>
      <c r="Q492" s="729" t="str">
        <f t="shared" si="367"/>
        <v>-0.610299320049192-0.0225741844163214i</v>
      </c>
      <c r="R492" s="730"/>
      <c r="S492" s="405" t="str">
        <f t="shared" si="380"/>
        <v>37.8175413442071-11.9842154870098i</v>
      </c>
      <c r="T492" s="405" t="str">
        <f t="shared" si="381"/>
        <v>14.0921934497778-6.02522504730978i</v>
      </c>
      <c r="U492" s="405" t="str">
        <f t="shared" si="382"/>
        <v>-0.2758890658786-0.979210844469486i</v>
      </c>
      <c r="V492" s="731" t="str">
        <f t="shared" si="368"/>
        <v>6000</v>
      </c>
      <c r="W492" s="733" t="str">
        <f>IMSUM(COMPLEX(1,0),IMDIV(COMPLEX(0,2*PI()*D492),COMPLEX(2*PI()*'Stability Calculations'!EA_Pole1,0)))</f>
        <v>1+389067.966077852i</v>
      </c>
      <c r="X492" s="734">
        <f t="shared" si="383"/>
        <v>389067.96607913717</v>
      </c>
      <c r="Y492" s="735">
        <f t="shared" si="384"/>
        <v>1.5707937565498824</v>
      </c>
      <c r="Z492" s="340" t="str">
        <f>IMSUM(COMPLEX(1,0),IMDIV(COMPLEX(0,2*PI()*D492),COMPLEX(2*PI()*'Stability Calculations'!EA_Zero1,0)))</f>
        <v>1+3852.15807997873i</v>
      </c>
      <c r="AA492" s="734">
        <f t="shared" si="385"/>
        <v>3852.1582097761011</v>
      </c>
      <c r="AB492" s="735">
        <f t="shared" si="386"/>
        <v>1.5705367320542929</v>
      </c>
      <c r="AC492" s="733" t="str">
        <f>IMSUM(COMPLEX(1,0),IMDIV(COMPLEX(0,2*PI()*D492),COMPLEX(2*PI()*'Stability Calculations'!EA_Pole2,0)))</f>
        <v>1+38.8045454151719i</v>
      </c>
      <c r="AD492" s="734">
        <f t="shared" si="387"/>
        <v>38.817428365080268</v>
      </c>
      <c r="AE492" s="735">
        <f t="shared" si="388"/>
        <v>1.5450318522951032</v>
      </c>
      <c r="AF492" s="732" t="str">
        <f t="shared" si="389"/>
        <v>0.0390322044478118-1.52989573241192i</v>
      </c>
      <c r="AG492" s="337">
        <f t="shared" si="390"/>
        <v>1.5303935654060563</v>
      </c>
      <c r="AH492" s="730">
        <f t="shared" si="391"/>
        <v>-1.5452888767906929</v>
      </c>
      <c r="AI492" s="731" t="str">
        <f t="shared" si="369"/>
        <v>10000</v>
      </c>
      <c r="AJ492" s="733" t="str">
        <f t="shared" si="392"/>
        <v>1+362718.434379183i</v>
      </c>
      <c r="AK492" s="734">
        <f t="shared" si="393"/>
        <v>362718.43438056152</v>
      </c>
      <c r="AL492" s="735">
        <f t="shared" si="394"/>
        <v>1.5707935698354889</v>
      </c>
      <c r="AM492" s="340" t="str">
        <f t="shared" si="395"/>
        <v>1+615.574861180601i</v>
      </c>
      <c r="AN492" s="734">
        <f t="shared" si="396"/>
        <v>615.57567342895879</v>
      </c>
      <c r="AO492" s="735">
        <f t="shared" si="397"/>
        <v>1.5691718304364535</v>
      </c>
      <c r="AP492" s="733" t="str">
        <f t="shared" si="398"/>
        <v>1+29.8563954382408i</v>
      </c>
      <c r="AQ492" s="734">
        <f t="shared" si="399"/>
        <v>29.873137574828089</v>
      </c>
      <c r="AR492" s="735">
        <f t="shared" si="400"/>
        <v>1.5373151816318913</v>
      </c>
      <c r="AS492" s="732" t="str">
        <f t="shared" si="401"/>
        <v>0.000728691932541056-3.81756966142455i</v>
      </c>
      <c r="AT492" s="337">
        <f t="shared" si="402"/>
        <v>3.8175697309703573</v>
      </c>
      <c r="AU492" s="730">
        <f t="shared" si="403"/>
        <v>-1.570605448307189</v>
      </c>
      <c r="AV492" s="732" t="str">
        <f t="shared" si="404"/>
        <v>-0.0832093477260404+0.0330744941940834i</v>
      </c>
      <c r="AW492" s="337">
        <f t="shared" si="405"/>
        <v>-20.959492382943367</v>
      </c>
      <c r="AX492" s="730">
        <f t="shared" si="406"/>
        <v>158.32290549571627</v>
      </c>
      <c r="AY492" s="360">
        <f t="shared" si="407"/>
        <v>-21.67709450428373</v>
      </c>
      <c r="BB492" s="337">
        <f t="shared" si="408"/>
        <v>-28.364260429247121</v>
      </c>
      <c r="BC492" s="730">
        <f t="shared" si="409"/>
        <v>-89.989063468254514</v>
      </c>
      <c r="BD492" s="351"/>
      <c r="BE492" s="337">
        <f t="shared" si="370"/>
        <v>27.536985449277513</v>
      </c>
      <c r="BF492" s="730">
        <f t="shared" si="371"/>
        <v>-89.729864697501085</v>
      </c>
      <c r="BI492" s="351"/>
      <c r="BJ492" s="351"/>
      <c r="BL492" s="405">
        <f t="shared" si="372"/>
        <v>0</v>
      </c>
      <c r="BM492" s="405">
        <f t="shared" si="410"/>
        <v>0</v>
      </c>
      <c r="BN492" s="405">
        <f t="shared" si="373"/>
        <v>0</v>
      </c>
      <c r="BO492" s="405">
        <f t="shared" si="374"/>
        <v>0</v>
      </c>
    </row>
    <row r="493" spans="4:67" ht="13.5" thickBot="1" x14ac:dyDescent="0.25">
      <c r="D493" s="345">
        <v>61660</v>
      </c>
      <c r="E493" s="340" t="str">
        <f t="shared" si="361"/>
        <v>1.02279198394743i</v>
      </c>
      <c r="F493" s="728" t="str">
        <f t="shared" si="375"/>
        <v>0.005-0.0423142625322087i</v>
      </c>
      <c r="G493" s="337" t="str">
        <f t="shared" si="376"/>
        <v>0.005-0.0661838465247369i</v>
      </c>
      <c r="H493" s="338" t="str">
        <f t="shared" si="377"/>
        <v>0.00852535297175597-0.0654511099201455i</v>
      </c>
      <c r="I493" s="338" t="str">
        <f t="shared" si="378"/>
        <v>0.018525352971756-0.0654511099201455i</v>
      </c>
      <c r="J493" s="337" t="str">
        <f t="shared" si="379"/>
        <v>0.00466579700655619-0.0258585215397697i</v>
      </c>
      <c r="K493" s="338" t="str">
        <f t="shared" si="362"/>
        <v>0.957756048888889-0.322851005033911i</v>
      </c>
      <c r="L493" s="732"/>
      <c r="M493" s="732" t="str">
        <f t="shared" si="363"/>
        <v>0.110788831935507-23.6720743877984i</v>
      </c>
      <c r="N493" s="337">
        <f t="shared" si="364"/>
        <v>0</v>
      </c>
      <c r="O493" s="730" t="str">
        <f t="shared" si="365"/>
        <v>-0.845839513567234-9.10509313636243i</v>
      </c>
      <c r="P493" s="731" t="str">
        <f t="shared" si="366"/>
        <v>-0.611607927247512-0.113313929214536i</v>
      </c>
      <c r="Q493" s="729" t="str">
        <f t="shared" si="367"/>
        <v>-0.60314953211184-0.0222629978509116i</v>
      </c>
      <c r="R493" s="730"/>
      <c r="S493" s="405" t="str">
        <f t="shared" si="380"/>
        <v>37.7892039589043-12.0572090551672i</v>
      </c>
      <c r="T493" s="405" t="str">
        <f t="shared" si="381"/>
        <v>14.0758711411882-6.05376023584375i</v>
      </c>
      <c r="U493" s="405" t="str">
        <f t="shared" si="382"/>
        <v>-0.276223556762831-0.972891832100662i</v>
      </c>
      <c r="V493" s="731" t="str">
        <f t="shared" si="368"/>
        <v>6000</v>
      </c>
      <c r="W493" s="733" t="str">
        <f>IMSUM(COMPLEX(1,0),IMDIV(COMPLEX(0,2*PI()*D493),COMPLEX(2*PI()*'Stability Calculations'!EA_Pole1,0)))</f>
        <v>1+391295.4181011i</v>
      </c>
      <c r="X493" s="734">
        <f t="shared" si="383"/>
        <v>391295.41810237785</v>
      </c>
      <c r="Y493" s="735">
        <f t="shared" si="384"/>
        <v>1.5707937711810209</v>
      </c>
      <c r="Z493" s="340" t="str">
        <f>IMSUM(COMPLEX(1,0),IMDIV(COMPLEX(0,2*PI()*D493),COMPLEX(2*PI()*'Stability Calculations'!EA_Zero1,0)))</f>
        <v>1+3874.21206040693i</v>
      </c>
      <c r="AA493" s="734">
        <f t="shared" si="385"/>
        <v>3874.2121894654292</v>
      </c>
      <c r="AB493" s="735">
        <f t="shared" si="386"/>
        <v>1.5705382097991825</v>
      </c>
      <c r="AC493" s="733" t="str">
        <f>IMSUM(COMPLEX(1,0),IMDIV(COMPLEX(0,2*PI()*D493),COMPLEX(2*PI()*'Stability Calculations'!EA_Pole2,0)))</f>
        <v>1+39.0267052194539i</v>
      </c>
      <c r="AD493" s="734">
        <f t="shared" si="387"/>
        <v>39.039514857207827</v>
      </c>
      <c r="AE493" s="735">
        <f t="shared" si="388"/>
        <v>1.5451784524109224</v>
      </c>
      <c r="AF493" s="732" t="str">
        <f t="shared" si="389"/>
        <v>0.0385893777981404-1.52119813653823i</v>
      </c>
      <c r="AG493" s="337">
        <f t="shared" si="390"/>
        <v>1.5216875207105538</v>
      </c>
      <c r="AH493" s="730">
        <f t="shared" si="391"/>
        <v>-1.5454340137927609</v>
      </c>
      <c r="AI493" s="731" t="str">
        <f t="shared" si="369"/>
        <v>10000</v>
      </c>
      <c r="AJ493" s="733" t="str">
        <f t="shared" si="392"/>
        <v>1+364795.032765506i</v>
      </c>
      <c r="AK493" s="734">
        <f t="shared" si="393"/>
        <v>364795.03276687663</v>
      </c>
      <c r="AL493" s="735">
        <f t="shared" si="394"/>
        <v>1.5707935855295005</v>
      </c>
      <c r="AM493" s="340" t="str">
        <f t="shared" si="395"/>
        <v>1+619.099087253027i</v>
      </c>
      <c r="AN493" s="734">
        <f t="shared" si="396"/>
        <v>619.0998948776612</v>
      </c>
      <c r="AO493" s="735">
        <f t="shared" si="397"/>
        <v>1.5691810778776989</v>
      </c>
      <c r="AP493" s="733" t="str">
        <f t="shared" si="398"/>
        <v>1+30.0273262118438i</v>
      </c>
      <c r="AQ493" s="734">
        <f t="shared" si="399"/>
        <v>30.043973096654206</v>
      </c>
      <c r="AR493" s="735">
        <f t="shared" si="400"/>
        <v>1.5375056321056995</v>
      </c>
      <c r="AS493" s="732" t="str">
        <f t="shared" si="401"/>
        <v>0.000720419377550215-3.79583811983602i</v>
      </c>
      <c r="AT493" s="337">
        <f t="shared" si="402"/>
        <v>3.7958381882009049</v>
      </c>
      <c r="AU493" s="730">
        <f t="shared" si="403"/>
        <v>-1.5706065348843472</v>
      </c>
      <c r="AV493" s="732" t="str">
        <f t="shared" si="404"/>
        <v>-0.0821701949837028+0.0328783407541476i</v>
      </c>
      <c r="AW493" s="337">
        <f t="shared" si="405"/>
        <v>-21.060759633516174</v>
      </c>
      <c r="AX493" s="730">
        <f t="shared" si="406"/>
        <v>158.1924217828049</v>
      </c>
      <c r="AY493" s="360">
        <f t="shared" si="407"/>
        <v>-21.8075782171951</v>
      </c>
      <c r="BB493" s="337">
        <f t="shared" si="408"/>
        <v>-28.413846185533885</v>
      </c>
      <c r="BC493" s="730">
        <f t="shared" si="409"/>
        <v>-89.989125724539804</v>
      </c>
      <c r="BD493" s="351"/>
      <c r="BE493" s="337">
        <f t="shared" si="370"/>
        <v>27.48482146380454</v>
      </c>
      <c r="BF493" s="730">
        <f t="shared" si="371"/>
        <v>-89.731849180716665</v>
      </c>
      <c r="BI493" s="351"/>
      <c r="BJ493" s="351"/>
      <c r="BL493" s="405">
        <f t="shared" si="372"/>
        <v>0</v>
      </c>
      <c r="BM493" s="405">
        <f t="shared" si="410"/>
        <v>0</v>
      </c>
      <c r="BN493" s="405">
        <f t="shared" si="373"/>
        <v>0</v>
      </c>
      <c r="BO493" s="405">
        <f t="shared" si="374"/>
        <v>0</v>
      </c>
    </row>
    <row r="494" spans="4:67" ht="13.5" thickBot="1" x14ac:dyDescent="0.25">
      <c r="D494" s="345">
        <v>62019</v>
      </c>
      <c r="E494" s="340" t="str">
        <f t="shared" si="361"/>
        <v>1.02874693565416i</v>
      </c>
      <c r="F494" s="728" t="str">
        <f t="shared" si="375"/>
        <v>0.005-0.0420693243640818i</v>
      </c>
      <c r="G494" s="337" t="str">
        <f t="shared" si="376"/>
        <v>0.005-0.0658007381079226i</v>
      </c>
      <c r="H494" s="338" t="str">
        <f t="shared" si="377"/>
        <v>0.00848453991697094-0.0650744412351401i</v>
      </c>
      <c r="I494" s="338" t="str">
        <f t="shared" si="378"/>
        <v>0.0184845399169709-0.0650744412351401i</v>
      </c>
      <c r="J494" s="337" t="str">
        <f t="shared" si="379"/>
        <v>0.00465937423287339-0.0257097398182882i</v>
      </c>
      <c r="K494" s="338" t="str">
        <f t="shared" si="362"/>
        <v>0.9572627071-0.324730724638309i</v>
      </c>
      <c r="L494" s="732"/>
      <c r="M494" s="732" t="str">
        <f t="shared" si="363"/>
        <v>0.109293956660729-23.5280315191982i</v>
      </c>
      <c r="N494" s="337">
        <f t="shared" si="364"/>
        <v>0</v>
      </c>
      <c r="O494" s="730" t="str">
        <f t="shared" si="365"/>
        <v>-0.842411399660043-9.04838718596798i</v>
      </c>
      <c r="P494" s="731" t="str">
        <f t="shared" si="366"/>
        <v>-0.604390327349596-0.112435823000244i</v>
      </c>
      <c r="Q494" s="729" t="str">
        <f t="shared" si="367"/>
        <v>-0.595966213352995-0.0219519511405649i</v>
      </c>
      <c r="R494" s="730"/>
      <c r="S494" s="405" t="str">
        <f t="shared" si="380"/>
        <v>37.760044155819-12.131759847825i</v>
      </c>
      <c r="T494" s="405" t="str">
        <f t="shared" si="381"/>
        <v>14.0590912243465-6.08291116870577i</v>
      </c>
      <c r="U494" s="405" t="str">
        <f t="shared" si="382"/>
        <v>-0.276557124697217-0.966498208320487i</v>
      </c>
      <c r="V494" s="731" t="str">
        <f t="shared" si="368"/>
        <v>6000</v>
      </c>
      <c r="W494" s="733" t="str">
        <f>IMSUM(COMPLEX(1,0),IMDIV(COMPLEX(0,2*PI()*D494),COMPLEX(2*PI()*'Stability Calculations'!EA_Pole1,0)))</f>
        <v>1+393573.638261631i</v>
      </c>
      <c r="X494" s="734">
        <f t="shared" si="383"/>
        <v>393573.6382629014</v>
      </c>
      <c r="Y494" s="735">
        <f t="shared" si="384"/>
        <v>1.5707937859743162</v>
      </c>
      <c r="Z494" s="340" t="str">
        <f>IMSUM(COMPLEX(1,0),IMDIV(COMPLEX(0,2*PI()*D494),COMPLEX(2*PI()*'Stability Calculations'!EA_Zero1,0)))</f>
        <v>1+3896.76869565971i</v>
      </c>
      <c r="AA494" s="734">
        <f t="shared" si="385"/>
        <v>3896.768823971147</v>
      </c>
      <c r="AB494" s="735">
        <f t="shared" si="386"/>
        <v>1.5705397039219091</v>
      </c>
      <c r="AC494" s="733" t="str">
        <f>IMSUM(COMPLEX(1,0),IMDIV(COMPLEX(0,2*PI()*D494),COMPLEX(2*PI()*'Stability Calculations'!EA_Pole2,0)))</f>
        <v>1+39.2539284950587i</v>
      </c>
      <c r="AD494" s="734">
        <f t="shared" si="387"/>
        <v>39.266664007720109</v>
      </c>
      <c r="AE494" s="735">
        <f t="shared" si="388"/>
        <v>1.5453266784144988</v>
      </c>
      <c r="AF494" s="732" t="str">
        <f t="shared" si="389"/>
        <v>0.0381442067491654-1.51240394787835i</v>
      </c>
      <c r="AG494" s="337">
        <f t="shared" si="390"/>
        <v>1.5128848872490406</v>
      </c>
      <c r="AH494" s="730">
        <f t="shared" si="391"/>
        <v>-1.5455807604669061</v>
      </c>
      <c r="AI494" s="731" t="str">
        <f t="shared" si="369"/>
        <v>10000</v>
      </c>
      <c r="AJ494" s="733" t="str">
        <f t="shared" si="392"/>
        <v>1+366918.961029581i</v>
      </c>
      <c r="AK494" s="734">
        <f t="shared" si="393"/>
        <v>366918.96103094373</v>
      </c>
      <c r="AL494" s="735">
        <f t="shared" si="394"/>
        <v>1.5707936013974486</v>
      </c>
      <c r="AM494" s="340" t="str">
        <f t="shared" si="395"/>
        <v>1+622.703637566422i</v>
      </c>
      <c r="AN494" s="734">
        <f t="shared" si="396"/>
        <v>622.70444051608774</v>
      </c>
      <c r="AO494" s="735">
        <f t="shared" si="397"/>
        <v>1.5691904278085493</v>
      </c>
      <c r="AP494" s="733" t="str">
        <f t="shared" si="398"/>
        <v>1+30.2021528435346i</v>
      </c>
      <c r="AQ494" s="734">
        <f t="shared" si="399"/>
        <v>30.218703419971959</v>
      </c>
      <c r="AR494" s="735">
        <f t="shared" si="400"/>
        <v>1.5376981957969043</v>
      </c>
      <c r="AS494" s="732" t="str">
        <f t="shared" si="401"/>
        <v>0.000712103151891094-3.77386572770296i</v>
      </c>
      <c r="AT494" s="337">
        <f t="shared" si="402"/>
        <v>3.7738657948875032</v>
      </c>
      <c r="AU494" s="730">
        <f t="shared" si="403"/>
        <v>-1.5706076335040324</v>
      </c>
      <c r="AV494" s="732" t="str">
        <f t="shared" si="404"/>
        <v>-0.0811256127647185+0.03267975257364i</v>
      </c>
      <c r="AW494" s="337">
        <f t="shared" si="405"/>
        <v>-21.163765303877046</v>
      </c>
      <c r="AX494" s="730">
        <f t="shared" si="406"/>
        <v>158.05899252725712</v>
      </c>
      <c r="AY494" s="360">
        <f t="shared" si="407"/>
        <v>-21.941007472742882</v>
      </c>
      <c r="BB494" s="337">
        <f t="shared" si="408"/>
        <v>-28.464270962998526</v>
      </c>
      <c r="BC494" s="730">
        <f t="shared" si="409"/>
        <v>-89.989188670811046</v>
      </c>
      <c r="BD494" s="351"/>
      <c r="BE494" s="337">
        <f t="shared" si="370"/>
        <v>27.431805579185564</v>
      </c>
      <c r="BF494" s="730">
        <f t="shared" si="371"/>
        <v>-89.733847797835608</v>
      </c>
      <c r="BI494" s="351"/>
      <c r="BJ494" s="351"/>
      <c r="BL494" s="405">
        <f t="shared" si="372"/>
        <v>0</v>
      </c>
      <c r="BM494" s="405">
        <f t="shared" si="410"/>
        <v>0</v>
      </c>
      <c r="BN494" s="405">
        <f t="shared" si="373"/>
        <v>0</v>
      </c>
      <c r="BO494" s="405">
        <f t="shared" si="374"/>
        <v>0</v>
      </c>
    </row>
    <row r="495" spans="4:67" ht="13.5" thickBot="1" x14ac:dyDescent="0.25">
      <c r="D495" s="345">
        <v>62378</v>
      </c>
      <c r="E495" s="340" t="str">
        <f t="shared" si="361"/>
        <v>1.0347018873609i</v>
      </c>
      <c r="F495" s="728" t="str">
        <f t="shared" si="375"/>
        <v>0.005-0.0418272055490076i</v>
      </c>
      <c r="G495" s="337" t="str">
        <f t="shared" si="376"/>
        <v>0.005-0.0654220394484475i</v>
      </c>
      <c r="H495" s="338" t="str">
        <f t="shared" si="377"/>
        <v>0.00844442681177612-0.0647020706998186i</v>
      </c>
      <c r="I495" s="338" t="str">
        <f t="shared" si="378"/>
        <v>0.0184444268117761-0.0647020706998186i</v>
      </c>
      <c r="J495" s="337" t="str">
        <f t="shared" si="379"/>
        <v>0.00465305880149004-0.0255626722433617i</v>
      </c>
      <c r="K495" s="338" t="str">
        <f t="shared" si="362"/>
        <v>0.956766501288889-0.326610444242707i</v>
      </c>
      <c r="L495" s="732"/>
      <c r="M495" s="732" t="str">
        <f t="shared" si="363"/>
        <v>0.107829885536532-23.3857706723381i</v>
      </c>
      <c r="N495" s="337">
        <f t="shared" si="364"/>
        <v>0</v>
      </c>
      <c r="O495" s="730" t="str">
        <f t="shared" si="365"/>
        <v>-0.839037654068492-8.99237809797453i</v>
      </c>
      <c r="P495" s="731" t="str">
        <f t="shared" si="366"/>
        <v>-0.597301052057439-0.11157178607856i</v>
      </c>
      <c r="Q495" s="729" t="str">
        <f t="shared" si="367"/>
        <v>-0.588910675516754-0.0216480050988142i</v>
      </c>
      <c r="R495" s="730"/>
      <c r="S495" s="405" t="str">
        <f t="shared" si="380"/>
        <v>37.7307059280132-12.2062032795864i</v>
      </c>
      <c r="T495" s="405" t="str">
        <f t="shared" si="381"/>
        <v>14.0422248609704-6.11202647631678i</v>
      </c>
      <c r="U495" s="405" t="str">
        <f t="shared" si="382"/>
        <v>-0.276882229076843-0.960173585988149i</v>
      </c>
      <c r="V495" s="731" t="str">
        <f t="shared" si="368"/>
        <v>6000</v>
      </c>
      <c r="W495" s="733" t="str">
        <f>IMSUM(COMPLEX(1,0),IMDIV(COMPLEX(0,2*PI()*D495),COMPLEX(2*PI()*'Stability Calculations'!EA_Pole1,0)))</f>
        <v>1+395851.858422161i</v>
      </c>
      <c r="X495" s="734">
        <f t="shared" si="383"/>
        <v>395851.85842342407</v>
      </c>
      <c r="Y495" s="735">
        <f t="shared" si="384"/>
        <v>1.5707938005973339</v>
      </c>
      <c r="Z495" s="340" t="str">
        <f>IMSUM(COMPLEX(1,0),IMDIV(COMPLEX(0,2*PI()*D495),COMPLEX(2*PI()*'Stability Calculations'!EA_Zero1,0)))</f>
        <v>1+3919.32533091248i</v>
      </c>
      <c r="AA495" s="734">
        <f t="shared" si="385"/>
        <v>3919.3254584854549</v>
      </c>
      <c r="AB495" s="735">
        <f t="shared" si="386"/>
        <v>1.5705411808465843</v>
      </c>
      <c r="AC495" s="733" t="str">
        <f>IMSUM(COMPLEX(1,0),IMDIV(COMPLEX(0,2*PI()*D495),COMPLEX(2*PI()*'Stability Calculations'!EA_Pole2,0)))</f>
        <v>1+39.4811517706633i</v>
      </c>
      <c r="AD495" s="734">
        <f t="shared" si="387"/>
        <v>39.493814011034061</v>
      </c>
      <c r="AE495" s="735">
        <f t="shared" si="388"/>
        <v>1.5454731993675457</v>
      </c>
      <c r="AF495" s="732" t="str">
        <f t="shared" si="389"/>
        <v>0.0377066931813342-1.50371079049681i</v>
      </c>
      <c r="AG495" s="337">
        <f t="shared" si="390"/>
        <v>1.5041834782257155</v>
      </c>
      <c r="AH495" s="730">
        <f t="shared" si="391"/>
        <v>-1.5457258191182952</v>
      </c>
      <c r="AI495" s="731" t="str">
        <f t="shared" si="369"/>
        <v>10000</v>
      </c>
      <c r="AJ495" s="733" t="str">
        <f t="shared" si="392"/>
        <v>1+369042.889293654i</v>
      </c>
      <c r="AK495" s="734">
        <f t="shared" si="393"/>
        <v>369042.88929500885</v>
      </c>
      <c r="AL495" s="735">
        <f t="shared" si="394"/>
        <v>1.5707936170827492</v>
      </c>
      <c r="AM495" s="340" t="str">
        <f t="shared" si="395"/>
        <v>1+626.308187879814i</v>
      </c>
      <c r="AN495" s="734">
        <f t="shared" si="396"/>
        <v>626.30898620832227</v>
      </c>
      <c r="AO495" s="735">
        <f t="shared" si="397"/>
        <v>1.5691996701175919</v>
      </c>
      <c r="AP495" s="733" t="str">
        <f t="shared" si="398"/>
        <v>1+30.3769794752253i</v>
      </c>
      <c r="AQ495" s="734">
        <f t="shared" si="399"/>
        <v>30.393434850938768</v>
      </c>
      <c r="AR495" s="735">
        <f t="shared" si="400"/>
        <v>1.5378885454031763</v>
      </c>
      <c r="AS495" s="732" t="str">
        <f t="shared" si="401"/>
        <v>0.000703930098120835-3.75214624806911i</v>
      </c>
      <c r="AT495" s="337">
        <f t="shared" si="402"/>
        <v>3.7521463141003282</v>
      </c>
      <c r="AU495" s="730">
        <f t="shared" si="403"/>
        <v>-1.5706087194780911</v>
      </c>
      <c r="AV495" s="732" t="str">
        <f t="shared" si="404"/>
        <v>-0.0800990705943021+0.032483191753666i</v>
      </c>
      <c r="AW495" s="337">
        <f t="shared" si="405"/>
        <v>-21.266201674461986</v>
      </c>
      <c r="AX495" s="730">
        <f t="shared" si="406"/>
        <v>157.92559143452681</v>
      </c>
      <c r="AY495" s="360">
        <f t="shared" si="407"/>
        <v>-22.074408565473192</v>
      </c>
      <c r="BB495" s="337">
        <f t="shared" si="408"/>
        <v>-28.514404694945547</v>
      </c>
      <c r="BC495" s="730">
        <f t="shared" si="409"/>
        <v>-89.989250892541278</v>
      </c>
      <c r="BD495" s="351"/>
      <c r="BE495" s="337">
        <f t="shared" si="370"/>
        <v>27.379126063473475</v>
      </c>
      <c r="BF495" s="730">
        <f t="shared" si="371"/>
        <v>-89.735815695375479</v>
      </c>
      <c r="BI495" s="351"/>
      <c r="BJ495" s="351"/>
      <c r="BL495" s="405">
        <f t="shared" si="372"/>
        <v>0</v>
      </c>
      <c r="BM495" s="405">
        <f t="shared" si="410"/>
        <v>0</v>
      </c>
      <c r="BN495" s="405">
        <f t="shared" si="373"/>
        <v>0</v>
      </c>
      <c r="BO495" s="405">
        <f t="shared" si="374"/>
        <v>0</v>
      </c>
    </row>
    <row r="496" spans="4:67" ht="13.5" thickBot="1" x14ac:dyDescent="0.25">
      <c r="D496" s="345">
        <v>62737</v>
      </c>
      <c r="E496" s="340" t="str">
        <f t="shared" si="361"/>
        <v>1.04065683906763i</v>
      </c>
      <c r="F496" s="728" t="str">
        <f t="shared" si="375"/>
        <v>0.005-0.0415878576874251i</v>
      </c>
      <c r="G496" s="337" t="str">
        <f t="shared" si="376"/>
        <v>0.005-0.0650476748444342i</v>
      </c>
      <c r="H496" s="338" t="str">
        <f t="shared" si="377"/>
        <v>0.00840499775654716-0.0643339253748366i</v>
      </c>
      <c r="I496" s="338" t="str">
        <f t="shared" si="378"/>
        <v>0.0184049977565472-0.0643339253748366i</v>
      </c>
      <c r="J496" s="337" t="str">
        <f t="shared" si="379"/>
        <v>0.00464684824965903-0.0254172894300237i</v>
      </c>
      <c r="K496" s="338" t="str">
        <f t="shared" si="362"/>
        <v>0.956267431455556-0.328490163847105i</v>
      </c>
      <c r="L496" s="732"/>
      <c r="M496" s="732" t="str">
        <f t="shared" si="363"/>
        <v>0.106395764435949-23.2452583269162i</v>
      </c>
      <c r="N496" s="337">
        <f t="shared" si="364"/>
        <v>0</v>
      </c>
      <c r="O496" s="730" t="str">
        <f t="shared" si="365"/>
        <v>-0.835717009752322-8.93705274098576i</v>
      </c>
      <c r="P496" s="731" t="str">
        <f t="shared" si="366"/>
        <v>-0.590337053799156-0.110721479908099i</v>
      </c>
      <c r="Q496" s="729" t="str">
        <f t="shared" si="367"/>
        <v>-0.581979883701632-0.0213509524982417i</v>
      </c>
      <c r="R496" s="730"/>
      <c r="S496" s="405" t="str">
        <f t="shared" si="380"/>
        <v>37.7011893903665-12.2805396185424i</v>
      </c>
      <c r="T496" s="405" t="str">
        <f t="shared" si="381"/>
        <v>14.0252721620123-6.14110555647842i</v>
      </c>
      <c r="U496" s="405" t="str">
        <f t="shared" si="382"/>
        <v>-0.277199045532801-0.953916791057591i</v>
      </c>
      <c r="V496" s="731" t="str">
        <f t="shared" si="368"/>
        <v>6000</v>
      </c>
      <c r="W496" s="733" t="str">
        <f>IMSUM(COMPLEX(1,0),IMDIV(COMPLEX(0,2*PI()*D496),COMPLEX(2*PI()*'Stability Calculations'!EA_Pole1,0)))</f>
        <v>1+398130.078582691i</v>
      </c>
      <c r="X496" s="734">
        <f t="shared" si="383"/>
        <v>398130.07858394686</v>
      </c>
      <c r="Y496" s="735">
        <f t="shared" si="384"/>
        <v>1.5707938150529968</v>
      </c>
      <c r="Z496" s="340" t="str">
        <f>IMSUM(COMPLEX(1,0),IMDIV(COMPLEX(0,2*PI()*D496),COMPLEX(2*PI()*'Stability Calculations'!EA_Zero1,0)))</f>
        <v>1+3941.88196616526i</v>
      </c>
      <c r="AA496" s="734">
        <f t="shared" si="385"/>
        <v>3941.8820930082243</v>
      </c>
      <c r="AB496" s="735">
        <f t="shared" si="386"/>
        <v>1.5705426408684455</v>
      </c>
      <c r="AC496" s="733" t="str">
        <f>IMSUM(COMPLEX(1,0),IMDIV(COMPLEX(0,2*PI()*D496),COMPLEX(2*PI()*'Stability Calculations'!EA_Pole2,0)))</f>
        <v>1+39.708375046268i</v>
      </c>
      <c r="AD496" s="734">
        <f t="shared" si="387"/>
        <v>39.720964852519373</v>
      </c>
      <c r="AE496" s="735">
        <f t="shared" si="388"/>
        <v>1.5456180445155496</v>
      </c>
      <c r="AF496" s="732" t="str">
        <f t="shared" si="389"/>
        <v>0.0372766625091564-1.49511693439615i</v>
      </c>
      <c r="AG496" s="337">
        <f t="shared" si="390"/>
        <v>1.4955815581525345</v>
      </c>
      <c r="AH496" s="730">
        <f t="shared" si="391"/>
        <v>-1.5458692187001009</v>
      </c>
      <c r="AI496" s="731" t="str">
        <f t="shared" si="369"/>
        <v>10000</v>
      </c>
      <c r="AJ496" s="733" t="str">
        <f t="shared" si="392"/>
        <v>1+371166.817557729i</v>
      </c>
      <c r="AK496" s="734">
        <f t="shared" si="393"/>
        <v>371166.81755907612</v>
      </c>
      <c r="AL496" s="735">
        <f t="shared" si="394"/>
        <v>1.5707936325885379</v>
      </c>
      <c r="AM496" s="340" t="str">
        <f t="shared" si="395"/>
        <v>1+629.912738193208i</v>
      </c>
      <c r="AN496" s="734">
        <f t="shared" si="396"/>
        <v>629.91353195344607</v>
      </c>
      <c r="AO496" s="735">
        <f t="shared" si="397"/>
        <v>1.5692088066523531</v>
      </c>
      <c r="AP496" s="733" t="str">
        <f t="shared" si="398"/>
        <v>1+30.5518061069161i</v>
      </c>
      <c r="AQ496" s="734">
        <f t="shared" si="399"/>
        <v>30.568167370560435</v>
      </c>
      <c r="AR496" s="735">
        <f t="shared" si="400"/>
        <v>1.5380767188787901</v>
      </c>
      <c r="AS496" s="732" t="str">
        <f t="shared" si="401"/>
        <v>0.000695896948543382-3.73067533921073i</v>
      </c>
      <c r="AT496" s="337">
        <f t="shared" si="402"/>
        <v>3.7306754041148711</v>
      </c>
      <c r="AU496" s="730">
        <f t="shared" si="403"/>
        <v>-1.5706097930236091</v>
      </c>
      <c r="AV496" s="732" t="str">
        <f t="shared" si="404"/>
        <v>-0.0790901567991107+0.0322886271033484i</v>
      </c>
      <c r="AW496" s="337">
        <f t="shared" si="405"/>
        <v>-21.368075463960142</v>
      </c>
      <c r="AX496" s="730">
        <f t="shared" si="406"/>
        <v>157.79221791245376</v>
      </c>
      <c r="AY496" s="360">
        <f t="shared" si="407"/>
        <v>-22.207782087546235</v>
      </c>
      <c r="BB496" s="337">
        <f t="shared" si="408"/>
        <v>-28.564250721859906</v>
      </c>
      <c r="BC496" s="730">
        <f t="shared" si="409"/>
        <v>-89.989312402168579</v>
      </c>
      <c r="BD496" s="351"/>
      <c r="BE496" s="337">
        <f t="shared" si="370"/>
        <v>27.326778520973459</v>
      </c>
      <c r="BF496" s="730">
        <f t="shared" si="371"/>
        <v>-89.737753583769418</v>
      </c>
      <c r="BI496" s="351"/>
      <c r="BJ496" s="351"/>
      <c r="BL496" s="405">
        <f t="shared" si="372"/>
        <v>0</v>
      </c>
      <c r="BM496" s="405">
        <f t="shared" si="410"/>
        <v>0</v>
      </c>
      <c r="BN496" s="405">
        <f t="shared" si="373"/>
        <v>0</v>
      </c>
      <c r="BO496" s="405">
        <f t="shared" si="374"/>
        <v>0</v>
      </c>
    </row>
    <row r="497" spans="4:67" ht="13.5" thickBot="1" x14ac:dyDescent="0.25">
      <c r="D497" s="345">
        <v>63096</v>
      </c>
      <c r="E497" s="340" t="str">
        <f t="shared" si="361"/>
        <v>1.04661179077436i</v>
      </c>
      <c r="F497" s="728" t="str">
        <f t="shared" si="375"/>
        <v>0.005-0.0413512334812982i</v>
      </c>
      <c r="G497" s="337" t="str">
        <f t="shared" si="376"/>
        <v>0.005-0.0646775703169024i</v>
      </c>
      <c r="H497" s="338" t="str">
        <f t="shared" si="377"/>
        <v>0.00836623730014735-0.0639699339571321i</v>
      </c>
      <c r="I497" s="338" t="str">
        <f t="shared" si="378"/>
        <v>0.0183662373001474-0.0639699339571321i</v>
      </c>
      <c r="J497" s="337" t="str">
        <f t="shared" si="379"/>
        <v>0.0046407401844925-0.0252735626606031i</v>
      </c>
      <c r="K497" s="338" t="str">
        <f t="shared" si="362"/>
        <v>0.9557654976-0.330369883451503i</v>
      </c>
      <c r="L497" s="732"/>
      <c r="M497" s="732" t="str">
        <f t="shared" si="363"/>
        <v>0.104990768876596-23.106461812072i</v>
      </c>
      <c r="N497" s="337">
        <f t="shared" si="364"/>
        <v>0</v>
      </c>
      <c r="O497" s="730" t="str">
        <f t="shared" si="365"/>
        <v>-0.832448235779955-8.88239831753546i</v>
      </c>
      <c r="P497" s="731" t="str">
        <f t="shared" si="366"/>
        <v>-0.583495375592108-0.109884576628711i</v>
      </c>
      <c r="Q497" s="729" t="str">
        <f t="shared" si="367"/>
        <v>-0.575170893234308-0.0210605934533554i</v>
      </c>
      <c r="R497" s="730"/>
      <c r="S497" s="405" t="str">
        <f t="shared" si="380"/>
        <v>37.6714946558462-12.354769114059i</v>
      </c>
      <c r="T497" s="405" t="str">
        <f t="shared" si="381"/>
        <v>14.0082332408633-6.17014781388058i</v>
      </c>
      <c r="U497" s="405" t="str">
        <f t="shared" si="382"/>
        <v>-0.277507744710809-0.947726676062035i</v>
      </c>
      <c r="V497" s="731" t="str">
        <f t="shared" si="368"/>
        <v>6000</v>
      </c>
      <c r="W497" s="733" t="str">
        <f>IMSUM(COMPLEX(1,0),IMDIV(COMPLEX(0,2*PI()*D497),COMPLEX(2*PI()*'Stability Calculations'!EA_Pole1,0)))</f>
        <v>1+400408.298743221i</v>
      </c>
      <c r="X497" s="734">
        <f t="shared" si="383"/>
        <v>400408.29874446971</v>
      </c>
      <c r="Y497" s="735">
        <f t="shared" si="384"/>
        <v>1.5707938293441617</v>
      </c>
      <c r="Z497" s="340" t="str">
        <f>IMSUM(COMPLEX(1,0),IMDIV(COMPLEX(0,2*PI()*D497),COMPLEX(2*PI()*'Stability Calculations'!EA_Zero1,0)))</f>
        <v>1+3964.43860141803i</v>
      </c>
      <c r="AA497" s="734">
        <f t="shared" si="385"/>
        <v>3964.4387275392901</v>
      </c>
      <c r="AB497" s="735">
        <f t="shared" si="386"/>
        <v>1.5705440842760106</v>
      </c>
      <c r="AC497" s="733" t="str">
        <f>IMSUM(COMPLEX(1,0),IMDIV(COMPLEX(0,2*PI()*D497),COMPLEX(2*PI()*'Stability Calculations'!EA_Pole2,0)))</f>
        <v>1+39.9355983218726i</v>
      </c>
      <c r="AD497" s="734">
        <f t="shared" si="387"/>
        <v>39.948116517877949</v>
      </c>
      <c r="AE497" s="735">
        <f t="shared" si="388"/>
        <v>1.5457612424391025</v>
      </c>
      <c r="AF497" s="732" t="str">
        <f t="shared" si="389"/>
        <v>0.036853945093441-1.48662068882797i</v>
      </c>
      <c r="AG497" s="337">
        <f t="shared" si="390"/>
        <v>1.4870774309767123</v>
      </c>
      <c r="AH497" s="730">
        <f t="shared" si="391"/>
        <v>-1.5460109875072536</v>
      </c>
      <c r="AI497" s="731" t="str">
        <f t="shared" si="369"/>
        <v>10000</v>
      </c>
      <c r="AJ497" s="733" t="str">
        <f t="shared" si="392"/>
        <v>1+373290.745821803i</v>
      </c>
      <c r="AK497" s="734">
        <f t="shared" si="393"/>
        <v>373290.74582314247</v>
      </c>
      <c r="AL497" s="735">
        <f t="shared" si="394"/>
        <v>1.5707936479178786</v>
      </c>
      <c r="AM497" s="340" t="str">
        <f t="shared" si="395"/>
        <v>1+633.517288506601i</v>
      </c>
      <c r="AN497" s="734">
        <f t="shared" si="396"/>
        <v>633.51807775055306</v>
      </c>
      <c r="AO497" s="735">
        <f t="shared" si="397"/>
        <v>1.5692178392183127</v>
      </c>
      <c r="AP497" s="733" t="str">
        <f t="shared" si="398"/>
        <v>1+30.7266327386068i</v>
      </c>
      <c r="AQ497" s="734">
        <f t="shared" si="399"/>
        <v>30.742900960274117</v>
      </c>
      <c r="AR497" s="735">
        <f t="shared" si="400"/>
        <v>1.53826275331576</v>
      </c>
      <c r="AS497" s="732" t="str">
        <f t="shared" si="401"/>
        <v>0.000688000528159192-3.7094487582172i</v>
      </c>
      <c r="AT497" s="337">
        <f t="shared" si="402"/>
        <v>3.7094488220197692</v>
      </c>
      <c r="AU497" s="730">
        <f t="shared" si="403"/>
        <v>-1.5706108543527322</v>
      </c>
      <c r="AV497" s="732" t="str">
        <f t="shared" si="404"/>
        <v>-0.0780984713937493+0.0320960280400256i</v>
      </c>
      <c r="AW497" s="337">
        <f t="shared" si="405"/>
        <v>-21.469393276309404</v>
      </c>
      <c r="AX497" s="730">
        <f t="shared" si="406"/>
        <v>157.65887138371318</v>
      </c>
      <c r="AY497" s="360">
        <f t="shared" si="407"/>
        <v>-22.341128616286824</v>
      </c>
      <c r="BB497" s="337">
        <f t="shared" si="408"/>
        <v>-28.61381232704381</v>
      </c>
      <c r="BC497" s="730">
        <f t="shared" si="409"/>
        <v>-89.98937321184799</v>
      </c>
      <c r="BD497" s="351"/>
      <c r="BE497" s="337">
        <f t="shared" si="370"/>
        <v>27.274758643822299</v>
      </c>
      <c r="BF497" s="730">
        <f t="shared" si="371"/>
        <v>-89.739662151865019</v>
      </c>
      <c r="BI497" s="351"/>
      <c r="BJ497" s="351"/>
      <c r="BL497" s="405">
        <f t="shared" si="372"/>
        <v>0</v>
      </c>
      <c r="BM497" s="405">
        <f t="shared" si="410"/>
        <v>0</v>
      </c>
      <c r="BN497" s="405">
        <f t="shared" si="373"/>
        <v>0</v>
      </c>
      <c r="BO497" s="405">
        <f t="shared" si="374"/>
        <v>0</v>
      </c>
    </row>
    <row r="498" spans="4:67" ht="13.5" thickBot="1" x14ac:dyDescent="0.25">
      <c r="D498" s="345">
        <v>63463.25</v>
      </c>
      <c r="E498" s="340" t="str">
        <f t="shared" si="361"/>
        <v>1.05270359025708i</v>
      </c>
      <c r="F498" s="728" t="str">
        <f t="shared" si="375"/>
        <v>0.005-0.041111941599839i</v>
      </c>
      <c r="G498" s="337" t="str">
        <f t="shared" si="376"/>
        <v>0.005-0.0643032932715433i</v>
      </c>
      <c r="H498" s="338" t="str">
        <f t="shared" si="377"/>
        <v>0.00832726227562594-0.0636018033496201i</v>
      </c>
      <c r="I498" s="338" t="str">
        <f t="shared" si="378"/>
        <v>0.0183272622756259-0.0636018033496201i</v>
      </c>
      <c r="J498" s="337" t="str">
        <f t="shared" si="379"/>
        <v>0.0046345953752437-0.0251282172813665i</v>
      </c>
      <c r="K498" s="338" t="str">
        <f t="shared" si="362"/>
        <v>0.955249065549305-0.332292799954887i</v>
      </c>
      <c r="L498" s="732"/>
      <c r="M498" s="732" t="str">
        <f t="shared" si="363"/>
        <v>0.103582793161542-22.9662179109305i</v>
      </c>
      <c r="N498" s="337">
        <f t="shared" si="364"/>
        <v>0</v>
      </c>
      <c r="O498" s="730" t="str">
        <f t="shared" si="365"/>
        <v>-0.829156768926121-8.82716914180965i</v>
      </c>
      <c r="P498" s="731" t="str">
        <f t="shared" si="366"/>
        <v>-0.576620049462931-0.109041978250011i</v>
      </c>
      <c r="Q498" s="729" t="str">
        <f t="shared" si="367"/>
        <v>-0.56832848177367-0.0207702868319153i</v>
      </c>
      <c r="R498" s="730"/>
      <c r="S498" s="405" t="str">
        <f t="shared" si="380"/>
        <v>37.6409332508471-12.4305941268453i</v>
      </c>
      <c r="T498" s="405" t="str">
        <f t="shared" si="381"/>
        <v>13.990713660407-6.19981876145076i</v>
      </c>
      <c r="U498" s="405" t="str">
        <f t="shared" si="382"/>
        <v>-0.277815311595685-0.941462135838003i</v>
      </c>
      <c r="V498" s="731" t="str">
        <f t="shared" si="368"/>
        <v>6000</v>
      </c>
      <c r="W498" s="733" t="str">
        <f>IMSUM(COMPLEX(1,0),IMDIV(COMPLEX(0,2*PI()*D498),COMPLEX(2*PI()*'Stability Calculations'!EA_Pole1,0)))</f>
        <v>1+402738.873545324i</v>
      </c>
      <c r="X498" s="734">
        <f t="shared" si="383"/>
        <v>402738.87354656553</v>
      </c>
      <c r="Y498" s="735">
        <f t="shared" si="384"/>
        <v>1.5707938437964435</v>
      </c>
      <c r="Z498" s="340" t="str">
        <f>IMSUM(COMPLEX(1,0),IMDIV(COMPLEX(0,2*PI()*D498),COMPLEX(2*PI()*'Stability Calculations'!EA_Zero1,0)))</f>
        <v>1+3987.51359945865i</v>
      </c>
      <c r="AA498" s="734">
        <f t="shared" si="385"/>
        <v>3987.51372485007</v>
      </c>
      <c r="AB498" s="735">
        <f t="shared" si="386"/>
        <v>1.5705455439563951</v>
      </c>
      <c r="AC498" s="733" t="str">
        <f>IMSUM(COMPLEX(1,0),IMDIV(COMPLEX(0,2*PI()*D498),COMPLEX(2*PI()*'Stability Calculations'!EA_Pole2,0)))</f>
        <v>1+40.1680433022788i</v>
      </c>
      <c r="AD498" s="734">
        <f t="shared" si="387"/>
        <v>40.18048908032037</v>
      </c>
      <c r="AE498" s="735">
        <f t="shared" si="388"/>
        <v>1.5459060558046831</v>
      </c>
      <c r="AF498" s="732" t="str">
        <f t="shared" si="389"/>
        <v>0.0364289088352285-1.4780284734079i</v>
      </c>
      <c r="AG498" s="337">
        <f t="shared" si="390"/>
        <v>1.4784773361818613</v>
      </c>
      <c r="AH498" s="730">
        <f t="shared" si="391"/>
        <v>-1.5461543556447317</v>
      </c>
      <c r="AI498" s="731" t="str">
        <f t="shared" si="369"/>
        <v>10000</v>
      </c>
      <c r="AJ498" s="733" t="str">
        <f t="shared" si="392"/>
        <v>1+375463.483022308i</v>
      </c>
      <c r="AK498" s="734">
        <f t="shared" si="393"/>
        <v>375463.48302363971</v>
      </c>
      <c r="AL498" s="735">
        <f t="shared" si="394"/>
        <v>1.5707936634200408</v>
      </c>
      <c r="AM498" s="340" t="str">
        <f t="shared" si="395"/>
        <v>1+637.204673193492i</v>
      </c>
      <c r="AN498" s="734">
        <f t="shared" si="396"/>
        <v>637.20545787024218</v>
      </c>
      <c r="AO498" s="735">
        <f t="shared" si="397"/>
        <v>1.5692269736166915</v>
      </c>
      <c r="AP498" s="733" t="str">
        <f t="shared" si="398"/>
        <v>1+30.9054769739506i</v>
      </c>
      <c r="AQ498" s="734">
        <f t="shared" si="399"/>
        <v>30.92165110383646</v>
      </c>
      <c r="AR498" s="735">
        <f t="shared" si="400"/>
        <v>1.5384508873754648</v>
      </c>
      <c r="AS498" s="732" t="str">
        <f t="shared" si="401"/>
        <v>0.000680060905983344-3.6879828710535i</v>
      </c>
      <c r="AT498" s="337">
        <f t="shared" si="402"/>
        <v>3.6879829337548258</v>
      </c>
      <c r="AU498" s="730">
        <f t="shared" si="403"/>
        <v>-1.570611927647164</v>
      </c>
      <c r="AV498" s="732" t="str">
        <f t="shared" si="404"/>
        <v>-0.077101418165438+0.0319010055509279i</v>
      </c>
      <c r="AW498" s="337">
        <f t="shared" si="405"/>
        <v>-21.572470901964596</v>
      </c>
      <c r="AX498" s="730">
        <f t="shared" si="406"/>
        <v>157.52248782901188</v>
      </c>
      <c r="AY498" s="360">
        <f t="shared" si="407"/>
        <v>-22.47751217098812</v>
      </c>
      <c r="BB498" s="337">
        <f t="shared" si="408"/>
        <v>-28.664221946474747</v>
      </c>
      <c r="BC498" s="730">
        <f t="shared" si="409"/>
        <v>-89.989434707089117</v>
      </c>
      <c r="BD498" s="351"/>
      <c r="BE498" s="337">
        <f t="shared" si="370"/>
        <v>27.221877968526449</v>
      </c>
      <c r="BF498" s="730">
        <f t="shared" si="371"/>
        <v>-89.741584937523811</v>
      </c>
      <c r="BI498" s="351"/>
      <c r="BJ498" s="351"/>
      <c r="BL498" s="405">
        <f t="shared" si="372"/>
        <v>0</v>
      </c>
      <c r="BM498" s="405">
        <f t="shared" si="410"/>
        <v>0</v>
      </c>
      <c r="BN498" s="405">
        <f t="shared" si="373"/>
        <v>0</v>
      </c>
      <c r="BO498" s="405">
        <f t="shared" si="374"/>
        <v>0</v>
      </c>
    </row>
    <row r="499" spans="4:67" ht="13.5" thickBot="1" x14ac:dyDescent="0.25">
      <c r="D499" s="345">
        <v>63830.5</v>
      </c>
      <c r="E499" s="340" t="str">
        <f t="shared" si="361"/>
        <v>1.05879538973981i</v>
      </c>
      <c r="F499" s="728" t="str">
        <f t="shared" si="375"/>
        <v>0.005-0.0408754032591941i</v>
      </c>
      <c r="G499" s="337" t="str">
        <f t="shared" si="376"/>
        <v>0.005-0.0639333230464319i</v>
      </c>
      <c r="H499" s="338" t="str">
        <f t="shared" si="377"/>
        <v>0.00828895559468962-0.0632378738587223i</v>
      </c>
      <c r="I499" s="338" t="str">
        <f t="shared" si="378"/>
        <v>0.0182889555946896-0.0632378738587223i</v>
      </c>
      <c r="J499" s="337" t="str">
        <f t="shared" si="379"/>
        <v>0.00462855296512617-0.0249845461956046i</v>
      </c>
      <c r="K499" s="338" t="str">
        <f t="shared" si="362"/>
        <v>0.954729636330556-0.334215716458272i</v>
      </c>
      <c r="L499" s="732"/>
      <c r="M499" s="732" t="str">
        <f t="shared" si="363"/>
        <v>0.102203641307539-22.8277030487771i</v>
      </c>
      <c r="N499" s="337">
        <f t="shared" si="364"/>
        <v>0</v>
      </c>
      <c r="O499" s="730" t="str">
        <f t="shared" si="365"/>
        <v>-0.825917088388254-8.77261602247478i</v>
      </c>
      <c r="P499" s="731" t="str">
        <f t="shared" si="366"/>
        <v>-0.569866746394695-0.108212744231045i</v>
      </c>
      <c r="Q499" s="729" t="str">
        <f t="shared" si="367"/>
        <v>-0.561607575510813-0.0204865840062974i</v>
      </c>
      <c r="R499" s="730"/>
      <c r="S499" s="405" t="str">
        <f t="shared" si="380"/>
        <v>37.6101855983354-12.5063077990926i</v>
      </c>
      <c r="T499" s="405" t="str">
        <f t="shared" si="381"/>
        <v>13.9731040970694-6.22944993539977i</v>
      </c>
      <c r="U499" s="405" t="str">
        <f t="shared" si="382"/>
        <v>-0.278114729843452-0.93526502819915i</v>
      </c>
      <c r="V499" s="731" t="str">
        <f t="shared" si="368"/>
        <v>6000</v>
      </c>
      <c r="W499" s="733" t="str">
        <f>IMSUM(COMPLEX(1,0),IMDIV(COMPLEX(0,2*PI()*D499),COMPLEX(2*PI()*'Stability Calculations'!EA_Pole1,0)))</f>
        <v>1+405069.448347426i</v>
      </c>
      <c r="X499" s="734">
        <f t="shared" si="383"/>
        <v>405069.44834866043</v>
      </c>
      <c r="Y499" s="735">
        <f t="shared" si="384"/>
        <v>1.5707938580824226</v>
      </c>
      <c r="Z499" s="340" t="str">
        <f>IMSUM(COMPLEX(1,0),IMDIV(COMPLEX(0,2*PI()*D499),COMPLEX(2*PI()*'Stability Calculations'!EA_Zero1,0)))</f>
        <v>1+4010.58859749927i</v>
      </c>
      <c r="AA499" s="734">
        <f t="shared" si="385"/>
        <v>4010.5887221692478</v>
      </c>
      <c r="AB499" s="735">
        <f t="shared" si="386"/>
        <v>1.5705469868401827</v>
      </c>
      <c r="AC499" s="733" t="str">
        <f>IMSUM(COMPLEX(1,0),IMDIV(COMPLEX(0,2*PI()*D499),COMPLEX(2*PI()*'Stability Calculations'!EA_Pole2,0)))</f>
        <v>1+40.400488282685i</v>
      </c>
      <c r="AD499" s="734">
        <f t="shared" si="387"/>
        <v>40.412862475694148</v>
      </c>
      <c r="AE499" s="735">
        <f t="shared" si="388"/>
        <v>1.5460492038235736</v>
      </c>
      <c r="AF499" s="732" t="str">
        <f t="shared" si="389"/>
        <v>0.0360111818248698-1.46953494801905i</v>
      </c>
      <c r="AG499" s="337">
        <f t="shared" si="390"/>
        <v>1.4699761115969796</v>
      </c>
      <c r="AH499" s="730">
        <f t="shared" si="391"/>
        <v>-1.5462960750658137</v>
      </c>
      <c r="AI499" s="731" t="str">
        <f t="shared" si="369"/>
        <v>10000</v>
      </c>
      <c r="AJ499" s="733" t="str">
        <f t="shared" si="392"/>
        <v>1+377636.220222813i</v>
      </c>
      <c r="AK499" s="734">
        <f t="shared" si="393"/>
        <v>377636.22022413707</v>
      </c>
      <c r="AL499" s="735">
        <f t="shared" si="394"/>
        <v>1.5707936787438188</v>
      </c>
      <c r="AM499" s="340" t="str">
        <f t="shared" si="395"/>
        <v>1+640.892057880383i</v>
      </c>
      <c r="AN499" s="734">
        <f t="shared" si="396"/>
        <v>640.89283804248612</v>
      </c>
      <c r="AO499" s="735">
        <f t="shared" si="397"/>
        <v>1.5692360029054568</v>
      </c>
      <c r="AP499" s="733" t="str">
        <f t="shared" si="398"/>
        <v>1+31.0843212092945i</v>
      </c>
      <c r="AQ499" s="734">
        <f t="shared" si="399"/>
        <v>31.100402329272139</v>
      </c>
      <c r="AR499" s="735">
        <f t="shared" si="400"/>
        <v>1.5386368588205523</v>
      </c>
      <c r="AS499" s="732" t="str">
        <f t="shared" si="401"/>
        <v>0.000672257931485433-3.66676399264773i</v>
      </c>
      <c r="AT499" s="337">
        <f t="shared" si="402"/>
        <v>3.6667640542730107</v>
      </c>
      <c r="AU499" s="730">
        <f t="shared" si="403"/>
        <v>-1.5706129885911559</v>
      </c>
      <c r="AV499" s="732" t="str">
        <f t="shared" si="404"/>
        <v>-0.0761215832400708+0.0317079771728501i</v>
      </c>
      <c r="AW499" s="337">
        <f t="shared" si="405"/>
        <v>-21.674980327802356</v>
      </c>
      <c r="AX499" s="730">
        <f t="shared" si="406"/>
        <v>157.38613134617182</v>
      </c>
      <c r="AY499" s="360">
        <f t="shared" si="407"/>
        <v>-22.613868653828177</v>
      </c>
      <c r="BB499" s="337">
        <f t="shared" si="408"/>
        <v>-28.714340694837645</v>
      </c>
      <c r="BC499" s="730">
        <f t="shared" si="409"/>
        <v>-89.989495494702155</v>
      </c>
      <c r="BD499" s="351"/>
      <c r="BE499" s="337">
        <f t="shared" si="370"/>
        <v>27.169331342908414</v>
      </c>
      <c r="BF499" s="730">
        <f t="shared" si="371"/>
        <v>-89.743478432376946</v>
      </c>
      <c r="BI499" s="351"/>
      <c r="BJ499" s="351"/>
      <c r="BL499" s="405">
        <f t="shared" si="372"/>
        <v>0</v>
      </c>
      <c r="BM499" s="405">
        <f t="shared" si="410"/>
        <v>0</v>
      </c>
      <c r="BN499" s="405">
        <f t="shared" si="373"/>
        <v>0</v>
      </c>
      <c r="BO499" s="405">
        <f t="shared" si="374"/>
        <v>0</v>
      </c>
    </row>
    <row r="500" spans="4:67" ht="13.5" thickBot="1" x14ac:dyDescent="0.25">
      <c r="D500" s="345">
        <v>64197.75</v>
      </c>
      <c r="E500" s="340" t="str">
        <f t="shared" si="361"/>
        <v>1.06488718922253i</v>
      </c>
      <c r="F500" s="728" t="str">
        <f t="shared" si="375"/>
        <v>0.005-0.0406415712036012i</v>
      </c>
      <c r="G500" s="337" t="str">
        <f t="shared" si="376"/>
        <v>0.005-0.0635675857287097i</v>
      </c>
      <c r="H500" s="338" t="str">
        <f t="shared" si="377"/>
        <v>0.00825130207689752-0.0628780741755392i</v>
      </c>
      <c r="I500" s="338" t="str">
        <f t="shared" si="378"/>
        <v>0.0182513020768975-0.0628780741755392i</v>
      </c>
      <c r="J500" s="337" t="str">
        <f t="shared" si="379"/>
        <v>0.00462261060431665-0.0248425207069831i</v>
      </c>
      <c r="K500" s="338" t="str">
        <f t="shared" si="362"/>
        <v>0.95420720994375-0.336138632961657i</v>
      </c>
      <c r="L500" s="732"/>
      <c r="M500" s="732" t="str">
        <f t="shared" si="363"/>
        <v>0.100852519167397-22.6908848364743i</v>
      </c>
      <c r="N500" s="337">
        <f t="shared" si="364"/>
        <v>0</v>
      </c>
      <c r="O500" s="730" t="str">
        <f t="shared" si="365"/>
        <v>-0.822727985899503-8.71872627582482i</v>
      </c>
      <c r="P500" s="731" t="str">
        <f t="shared" si="366"/>
        <v>-0.563232574485306-0.107396555662181i</v>
      </c>
      <c r="Q500" s="729" t="str">
        <f t="shared" si="367"/>
        <v>-0.555005294626311-0.020209292903933i</v>
      </c>
      <c r="R500" s="730"/>
      <c r="S500" s="405" t="str">
        <f t="shared" si="380"/>
        <v>37.5792518138567-12.5819103399892i</v>
      </c>
      <c r="T500" s="405" t="str">
        <f t="shared" si="381"/>
        <v>13.9554046799164-6.25904071962129i</v>
      </c>
      <c r="U500" s="405" t="str">
        <f t="shared" si="382"/>
        <v>-0.278406167016731-0.929134206302651i</v>
      </c>
      <c r="V500" s="731" t="str">
        <f t="shared" si="368"/>
        <v>6000</v>
      </c>
      <c r="W500" s="733" t="str">
        <f>IMSUM(COMPLEX(1,0),IMDIV(COMPLEX(0,2*PI()*D500),COMPLEX(2*PI()*'Stability Calculations'!EA_Pole1,0)))</f>
        <v>1+407400.023149528i</v>
      </c>
      <c r="X500" s="734">
        <f t="shared" si="383"/>
        <v>407400.02315075533</v>
      </c>
      <c r="Y500" s="735">
        <f t="shared" si="384"/>
        <v>1.5707938722049526</v>
      </c>
      <c r="Z500" s="340" t="str">
        <f>IMSUM(COMPLEX(1,0),IMDIV(COMPLEX(0,2*PI()*D500),COMPLEX(2*PI()*'Stability Calculations'!EA_Zero1,0)))</f>
        <v>1+4033.66359553988i</v>
      </c>
      <c r="AA500" s="734">
        <f t="shared" si="385"/>
        <v>4033.6637194966702</v>
      </c>
      <c r="AB500" s="735">
        <f t="shared" si="386"/>
        <v>1.5705484132156338</v>
      </c>
      <c r="AC500" s="733" t="str">
        <f>IMSUM(COMPLEX(1,0),IMDIV(COMPLEX(0,2*PI()*D500),COMPLEX(2*PI()*'Stability Calculations'!EA_Pole2,0)))</f>
        <v>1+40.6329332630911i</v>
      </c>
      <c r="AD500" s="734">
        <f t="shared" si="387"/>
        <v>40.645236689713279</v>
      </c>
      <c r="AE500" s="735">
        <f t="shared" si="388"/>
        <v>1.5461907150528811</v>
      </c>
      <c r="AF500" s="732" t="str">
        <f t="shared" si="389"/>
        <v>0.0356005974576301-1.46113842306145i</v>
      </c>
      <c r="AG500" s="337">
        <f t="shared" si="390"/>
        <v>1.4615720625018256</v>
      </c>
      <c r="AH500" s="730">
        <f t="shared" si="391"/>
        <v>-1.5464361740422001</v>
      </c>
      <c r="AI500" s="731" t="str">
        <f t="shared" si="369"/>
        <v>10000</v>
      </c>
      <c r="AJ500" s="733" t="str">
        <f t="shared" si="392"/>
        <v>1+379808.957423317i</v>
      </c>
      <c r="AK500" s="734">
        <f t="shared" si="393"/>
        <v>379808.9574246335</v>
      </c>
      <c r="AL500" s="735">
        <f t="shared" si="394"/>
        <v>1.5707936938922742</v>
      </c>
      <c r="AM500" s="340" t="str">
        <f t="shared" si="395"/>
        <v>1+644.579442567273i</v>
      </c>
      <c r="AN500" s="734">
        <f t="shared" si="396"/>
        <v>644.58021826638185</v>
      </c>
      <c r="AO500" s="735">
        <f t="shared" si="397"/>
        <v>1.5692449288884749</v>
      </c>
      <c r="AP500" s="733" t="str">
        <f t="shared" si="398"/>
        <v>1+31.2631654446382i</v>
      </c>
      <c r="AQ500" s="734">
        <f t="shared" si="399"/>
        <v>31.279154618033076</v>
      </c>
      <c r="AR500" s="735">
        <f t="shared" si="400"/>
        <v>1.5388207047143989</v>
      </c>
      <c r="AS500" s="732" t="str">
        <f t="shared" si="401"/>
        <v>0.000664588486796748-3.6457878838815i</v>
      </c>
      <c r="AT500" s="337">
        <f t="shared" si="402"/>
        <v>3.6457879444552175</v>
      </c>
      <c r="AU500" s="730">
        <f t="shared" si="403"/>
        <v>-1.5706140373966644</v>
      </c>
      <c r="AV500" s="732" t="str">
        <f t="shared" si="404"/>
        <v>-0.0751585738579926+0.0315169120530973i</v>
      </c>
      <c r="AW500" s="337">
        <f t="shared" si="405"/>
        <v>-21.776928267614124</v>
      </c>
      <c r="AX500" s="730">
        <f t="shared" si="406"/>
        <v>157.24980136280234</v>
      </c>
      <c r="AY500" s="360">
        <f t="shared" si="407"/>
        <v>-22.750198637197656</v>
      </c>
      <c r="BB500" s="337">
        <f t="shared" si="408"/>
        <v>-28.764171909623162</v>
      </c>
      <c r="BC500" s="730">
        <f t="shared" si="409"/>
        <v>-89.989555586831315</v>
      </c>
      <c r="BD500" s="351"/>
      <c r="BE500" s="337">
        <f t="shared" si="370"/>
        <v>27.117114425408147</v>
      </c>
      <c r="BF500" s="730">
        <f t="shared" si="371"/>
        <v>-89.745343308853393</v>
      </c>
      <c r="BI500" s="351"/>
      <c r="BJ500" s="351"/>
      <c r="BL500" s="405">
        <f t="shared" si="372"/>
        <v>0</v>
      </c>
      <c r="BM500" s="405">
        <f t="shared" si="410"/>
        <v>0</v>
      </c>
      <c r="BN500" s="405">
        <f t="shared" si="373"/>
        <v>0</v>
      </c>
      <c r="BO500" s="405">
        <f t="shared" si="374"/>
        <v>0</v>
      </c>
    </row>
    <row r="501" spans="4:67" ht="13.5" thickBot="1" x14ac:dyDescent="0.25">
      <c r="D501" s="345">
        <v>64565</v>
      </c>
      <c r="E501" s="340" t="str">
        <f t="shared" si="361"/>
        <v>1.07097898870525i</v>
      </c>
      <c r="F501" s="728" t="str">
        <f t="shared" si="375"/>
        <v>0.005-0.040410399252474i</v>
      </c>
      <c r="G501" s="337" t="str">
        <f t="shared" si="376"/>
        <v>0.005-0.0632060090872033i</v>
      </c>
      <c r="H501" s="338" t="str">
        <f t="shared" si="377"/>
        <v>0.00821428696999236-0.0625223345914547i</v>
      </c>
      <c r="I501" s="338" t="str">
        <f t="shared" si="378"/>
        <v>0.0182142869699924-0.0625223345914547i</v>
      </c>
      <c r="J501" s="337" t="str">
        <f t="shared" si="379"/>
        <v>0.00461676600963835-0.0247021127706938i</v>
      </c>
      <c r="K501" s="338" t="str">
        <f t="shared" si="362"/>
        <v>0.953681786388889-0.338061549465042i</v>
      </c>
      <c r="L501" s="732"/>
      <c r="M501" s="732" t="str">
        <f t="shared" si="363"/>
        <v>0.0995286599933367-22.5557317018842i</v>
      </c>
      <c r="N501" s="337">
        <f t="shared" si="364"/>
        <v>0</v>
      </c>
      <c r="O501" s="730" t="str">
        <f t="shared" si="365"/>
        <v>-0.819588287634108-8.66548753918177i</v>
      </c>
      <c r="P501" s="731" t="str">
        <f t="shared" si="366"/>
        <v>-0.556714727591016-0.106593103626853i</v>
      </c>
      <c r="Q501" s="729" t="str">
        <f t="shared" si="367"/>
        <v>-0.548518844714675-0.0199382282350343i</v>
      </c>
      <c r="R501" s="730"/>
      <c r="S501" s="405" t="str">
        <f t="shared" si="380"/>
        <v>37.5481320114016-12.6574019402314i</v>
      </c>
      <c r="T501" s="405" t="str">
        <f t="shared" si="381"/>
        <v>13.9376155405241-6.28859050477958i</v>
      </c>
      <c r="U501" s="405" t="str">
        <f t="shared" si="382"/>
        <v>-0.278689785921184-0.923068549274737i</v>
      </c>
      <c r="V501" s="731" t="str">
        <f t="shared" si="368"/>
        <v>6000</v>
      </c>
      <c r="W501" s="733" t="str">
        <f>IMSUM(COMPLEX(1,0),IMDIV(COMPLEX(0,2*PI()*D501),COMPLEX(2*PI()*'Stability Calculations'!EA_Pole1,0)))</f>
        <v>1+409730.597951631i</v>
      </c>
      <c r="X501" s="734">
        <f t="shared" si="383"/>
        <v>409730.59795285127</v>
      </c>
      <c r="Y501" s="735">
        <f t="shared" si="384"/>
        <v>1.5707938861668229</v>
      </c>
      <c r="Z501" s="340" t="str">
        <f>IMSUM(COMPLEX(1,0),IMDIV(COMPLEX(0,2*PI()*D501),COMPLEX(2*PI()*'Stability Calculations'!EA_Zero1,0)))</f>
        <v>1+4056.7385935805i</v>
      </c>
      <c r="AA501" s="734">
        <f t="shared" si="385"/>
        <v>4056.7387168322157</v>
      </c>
      <c r="AB501" s="735">
        <f t="shared" si="386"/>
        <v>1.5705498233644493</v>
      </c>
      <c r="AC501" s="733" t="str">
        <f>IMSUM(COMPLEX(1,0),IMDIV(COMPLEX(0,2*PI()*D501),COMPLEX(2*PI()*'Stability Calculations'!EA_Pole2,0)))</f>
        <v>1+40.8653782434973i</v>
      </c>
      <c r="AD501" s="734">
        <f t="shared" si="387"/>
        <v>40.8776117084169</v>
      </c>
      <c r="AE501" s="735">
        <f t="shared" si="388"/>
        <v>1.5463306174006293</v>
      </c>
      <c r="AF501" s="732" t="str">
        <f t="shared" si="389"/>
        <v>0.0351969938478473-1.45283724726187i</v>
      </c>
      <c r="AG501" s="337">
        <f t="shared" si="390"/>
        <v>1.4532635326764973</v>
      </c>
      <c r="AH501" s="730">
        <f t="shared" si="391"/>
        <v>-1.5465746802030029</v>
      </c>
      <c r="AI501" s="731" t="str">
        <f t="shared" si="369"/>
        <v>10000</v>
      </c>
      <c r="AJ501" s="733" t="str">
        <f t="shared" si="392"/>
        <v>1+381981.694623823i</v>
      </c>
      <c r="AK501" s="734">
        <f t="shared" si="393"/>
        <v>381981.69462513196</v>
      </c>
      <c r="AL501" s="735">
        <f t="shared" si="394"/>
        <v>1.570793708868399</v>
      </c>
      <c r="AM501" s="340" t="str">
        <f t="shared" si="395"/>
        <v>1+648.266827254164i</v>
      </c>
      <c r="AN501" s="734">
        <f t="shared" si="396"/>
        <v>648.26759854105012</v>
      </c>
      <c r="AO501" s="735">
        <f t="shared" si="397"/>
        <v>1.5692537533285698</v>
      </c>
      <c r="AP501" s="733" t="str">
        <f t="shared" si="398"/>
        <v>1+31.4420096799821i</v>
      </c>
      <c r="AQ501" s="734">
        <f t="shared" si="399"/>
        <v>31.457907951993377</v>
      </c>
      <c r="AR501" s="735">
        <f t="shared" si="400"/>
        <v>1.539002461278542</v>
      </c>
      <c r="AS501" s="732" t="str">
        <f t="shared" si="401"/>
        <v>0.000657049542468874-3.62505040208593i</v>
      </c>
      <c r="AT501" s="337">
        <f t="shared" si="402"/>
        <v>3.6250504616318748</v>
      </c>
      <c r="AU501" s="730">
        <f t="shared" si="403"/>
        <v>-1.5706150742708227</v>
      </c>
      <c r="AV501" s="732" t="str">
        <f t="shared" si="404"/>
        <v>-0.0742120084069736+0.0313277799464134i</v>
      </c>
      <c r="AW501" s="337">
        <f t="shared" si="405"/>
        <v>-21.878321320602598</v>
      </c>
      <c r="AX501" s="730">
        <f t="shared" si="406"/>
        <v>157.11349732108965</v>
      </c>
      <c r="AY501" s="360">
        <f t="shared" si="407"/>
        <v>-22.886502678910347</v>
      </c>
      <c r="BB501" s="337">
        <f t="shared" si="408"/>
        <v>-28.813718871207413</v>
      </c>
      <c r="BC501" s="730">
        <f t="shared" si="409"/>
        <v>-89.989614995344468</v>
      </c>
      <c r="BD501" s="351"/>
      <c r="BE501" s="337">
        <f t="shared" si="370"/>
        <v>27.06522296070353</v>
      </c>
      <c r="BF501" s="730">
        <f t="shared" si="371"/>
        <v>-89.747180219071979</v>
      </c>
      <c r="BI501" s="351"/>
      <c r="BJ501" s="351"/>
      <c r="BL501" s="405">
        <f t="shared" si="372"/>
        <v>0</v>
      </c>
      <c r="BM501" s="405">
        <f t="shared" si="410"/>
        <v>0</v>
      </c>
      <c r="BN501" s="405">
        <f t="shared" si="373"/>
        <v>0</v>
      </c>
      <c r="BO501" s="405">
        <f t="shared" si="374"/>
        <v>0</v>
      </c>
    </row>
    <row r="502" spans="4:67" ht="13.5" thickBot="1" x14ac:dyDescent="0.25">
      <c r="D502" s="345">
        <v>64941</v>
      </c>
      <c r="E502" s="340" t="str">
        <f t="shared" si="361"/>
        <v>1.07721592976857i</v>
      </c>
      <c r="F502" s="728" t="str">
        <f t="shared" si="375"/>
        <v>0.005-0.0401764282615912i</v>
      </c>
      <c r="G502" s="337" t="str">
        <f t="shared" si="376"/>
        <v>0.005-0.0628400544604375i</v>
      </c>
      <c r="H502" s="338" t="str">
        <f t="shared" si="377"/>
        <v>0.00817703638862573-0.0621622544460133i</v>
      </c>
      <c r="I502" s="338" t="str">
        <f t="shared" si="378"/>
        <v>0.0181770363886257-0.0621622544460133i</v>
      </c>
      <c r="J502" s="337" t="str">
        <f t="shared" si="379"/>
        <v>0.00461088113454394-0.024560006712282i</v>
      </c>
      <c r="K502" s="338" t="str">
        <f t="shared" si="362"/>
        <v>0.9531407391-0.340030280861291i</v>
      </c>
      <c r="L502" s="732"/>
      <c r="M502" s="732" t="str">
        <f t="shared" si="363"/>
        <v>0.098200730862401-22.4190513644606i</v>
      </c>
      <c r="N502" s="337">
        <f t="shared" si="364"/>
        <v>0</v>
      </c>
      <c r="O502" s="730" t="str">
        <f t="shared" si="365"/>
        <v>-0.816423776824072-8.61164222835353i</v>
      </c>
      <c r="P502" s="731" t="str">
        <f t="shared" si="366"/>
        <v>-0.550159260096816-0.105783391599895i</v>
      </c>
      <c r="Q502" s="729" t="str">
        <f t="shared" si="367"/>
        <v>-0.541995022328575-0.0196669693163597i</v>
      </c>
      <c r="R502" s="730"/>
      <c r="S502" s="405" t="str">
        <f t="shared" si="380"/>
        <v>37.5160781556174-12.7345774262877i</v>
      </c>
      <c r="T502" s="405" t="str">
        <f t="shared" si="381"/>
        <v>13.919309747612-6.31880122986715i</v>
      </c>
      <c r="U502" s="405" t="str">
        <f t="shared" si="382"/>
        <v>-0.278972227534007-0.916924741833047i</v>
      </c>
      <c r="V502" s="731" t="str">
        <f t="shared" si="368"/>
        <v>6000</v>
      </c>
      <c r="W502" s="733" t="str">
        <f>IMSUM(COMPLEX(1,0),IMDIV(COMPLEX(0,2*PI()*D502),COMPLEX(2*PI()*'Stability Calculations'!EA_Pole1,0)))</f>
        <v>1+412116.700403885i</v>
      </c>
      <c r="X502" s="734">
        <f t="shared" si="383"/>
        <v>412116.70040509821</v>
      </c>
      <c r="Y502" s="735">
        <f t="shared" si="384"/>
        <v>1.5707939002977442</v>
      </c>
      <c r="Z502" s="340" t="str">
        <f>IMSUM(COMPLEX(1,0),IMDIV(COMPLEX(0,2*PI()*D502),COMPLEX(2*PI()*'Stability Calculations'!EA_Zero1,0)))</f>
        <v>1+4080.36337033549i</v>
      </c>
      <c r="AA502" s="734">
        <f t="shared" si="385"/>
        <v>4080.3634928735942</v>
      </c>
      <c r="AB502" s="735">
        <f t="shared" si="386"/>
        <v>1.5705512505874075</v>
      </c>
      <c r="AC502" s="733" t="str">
        <f>IMSUM(COMPLEX(1,0),IMDIV(COMPLEX(0,2*PI()*D502),COMPLEX(2*PI()*'Stability Calculations'!EA_Pole2,0)))</f>
        <v>1+41.1033613956626i</v>
      </c>
      <c r="AD502" s="734">
        <f t="shared" si="387"/>
        <v>41.115524051414532</v>
      </c>
      <c r="AE502" s="735">
        <f t="shared" si="388"/>
        <v>1.5464722146672789</v>
      </c>
      <c r="AF502" s="732" t="str">
        <f t="shared" si="389"/>
        <v>0.0347908420478059-1.4444353885192i</v>
      </c>
      <c r="AG502" s="337">
        <f t="shared" si="390"/>
        <v>1.4448543159422711</v>
      </c>
      <c r="AH502" s="730">
        <f t="shared" si="391"/>
        <v>-1.5467148643776156</v>
      </c>
      <c r="AI502" s="731" t="str">
        <f t="shared" si="369"/>
        <v>10000</v>
      </c>
      <c r="AJ502" s="733" t="str">
        <f t="shared" si="392"/>
        <v>1+384206.198878117i</v>
      </c>
      <c r="AK502" s="734">
        <f t="shared" si="393"/>
        <v>384206.19887941837</v>
      </c>
      <c r="AL502" s="735">
        <f t="shared" si="394"/>
        <v>1.5707937240258552</v>
      </c>
      <c r="AM502" s="340" t="str">
        <f t="shared" si="395"/>
        <v>1+652.042066579611i</v>
      </c>
      <c r="AN502" s="734">
        <f t="shared" si="396"/>
        <v>652.0428334008509</v>
      </c>
      <c r="AO502" s="735">
        <f t="shared" si="397"/>
        <v>1.5692626846156028</v>
      </c>
      <c r="AP502" s="733" t="str">
        <f t="shared" si="398"/>
        <v>1+31.6251150101094i</v>
      </c>
      <c r="AQ502" s="734">
        <f t="shared" si="399"/>
        <v>31.640921279296638</v>
      </c>
      <c r="AR502" s="735">
        <f t="shared" si="400"/>
        <v>1.5391864206984984</v>
      </c>
      <c r="AS502" s="732" t="str">
        <f t="shared" si="401"/>
        <v>0.000649463104798994-3.60406182996041i</v>
      </c>
      <c r="AT502" s="337">
        <f t="shared" si="402"/>
        <v>3.6040618884780411</v>
      </c>
      <c r="AU502" s="730">
        <f t="shared" si="403"/>
        <v>-1.5706161236994973</v>
      </c>
      <c r="AV502" s="732" t="str">
        <f t="shared" si="404"/>
        <v>-0.0732595394357112+0.0311361133135357i</v>
      </c>
      <c r="AW502" s="337">
        <f t="shared" si="405"/>
        <v>-21.981562035680358</v>
      </c>
      <c r="AX502" s="730">
        <f t="shared" si="406"/>
        <v>156.97397204438892</v>
      </c>
      <c r="AY502" s="360">
        <f t="shared" si="407"/>
        <v>-23.026027955611085</v>
      </c>
      <c r="BB502" s="337">
        <f t="shared" si="408"/>
        <v>-28.864155199621241</v>
      </c>
      <c r="BC502" s="730">
        <f t="shared" si="409"/>
        <v>-89.989675123178429</v>
      </c>
      <c r="BD502" s="351"/>
      <c r="BE502" s="337">
        <f t="shared" si="370"/>
        <v>27.012427964809223</v>
      </c>
      <c r="BF502" s="730">
        <f t="shared" si="371"/>
        <v>-89.749032581783837</v>
      </c>
      <c r="BI502" s="351"/>
      <c r="BJ502" s="351"/>
      <c r="BL502" s="405">
        <f t="shared" si="372"/>
        <v>0</v>
      </c>
      <c r="BM502" s="405">
        <f t="shared" si="410"/>
        <v>0</v>
      </c>
      <c r="BN502" s="405">
        <f t="shared" si="373"/>
        <v>0</v>
      </c>
      <c r="BO502" s="405">
        <f t="shared" si="374"/>
        <v>0</v>
      </c>
    </row>
    <row r="503" spans="4:67" ht="13.5" thickBot="1" x14ac:dyDescent="0.25">
      <c r="D503" s="345">
        <v>65317</v>
      </c>
      <c r="E503" s="340" t="str">
        <f t="shared" si="361"/>
        <v>1.08345287083189i</v>
      </c>
      <c r="F503" s="728" t="str">
        <f t="shared" si="375"/>
        <v>0.005-0.0399451509979942i</v>
      </c>
      <c r="G503" s="337" t="str">
        <f t="shared" si="376"/>
        <v>0.005-0.0624783130994269i</v>
      </c>
      <c r="H503" s="338" t="str">
        <f t="shared" si="377"/>
        <v>0.00814042501979115-0.0618062872424177i</v>
      </c>
      <c r="I503" s="338" t="str">
        <f t="shared" si="378"/>
        <v>0.0181404250197911-0.0618062872424177i</v>
      </c>
      <c r="J503" s="337" t="str">
        <f t="shared" si="379"/>
        <v>0.00460509410063741-0.0244195387223811i</v>
      </c>
      <c r="K503" s="338" t="str">
        <f t="shared" si="362"/>
        <v>0.952596550122222-0.341999012257541i</v>
      </c>
      <c r="L503" s="732"/>
      <c r="M503" s="732" t="str">
        <f t="shared" si="363"/>
        <v>0.0968998358829244-22.2840519288746i</v>
      </c>
      <c r="N503" s="337">
        <f t="shared" si="364"/>
        <v>0</v>
      </c>
      <c r="O503" s="730" t="str">
        <f t="shared" si="365"/>
        <v>-0.813308667927123-8.55845407964609i</v>
      </c>
      <c r="P503" s="731" t="str">
        <f t="shared" si="366"/>
        <v>-0.543720036106128-0.104986405370494i</v>
      </c>
      <c r="Q503" s="729" t="str">
        <f t="shared" si="367"/>
        <v>-0.535586949426857-0.0194018645740326i</v>
      </c>
      <c r="R503" s="730"/>
      <c r="S503" s="405" t="str">
        <f t="shared" si="380"/>
        <v>37.4838295495976-12.8116369693809i</v>
      </c>
      <c r="T503" s="405" t="str">
        <f t="shared" si="381"/>
        <v>13.9009101931653-6.34896770727546i</v>
      </c>
      <c r="U503" s="405" t="str">
        <f t="shared" si="382"/>
        <v>-0.279246804674391-0.910846943903985i</v>
      </c>
      <c r="V503" s="731" t="str">
        <f t="shared" si="368"/>
        <v>6000</v>
      </c>
      <c r="W503" s="733" t="str">
        <f>IMSUM(COMPLEX(1,0),IMDIV(COMPLEX(0,2*PI()*D503),COMPLEX(2*PI()*'Stability Calculations'!EA_Pole1,0)))</f>
        <v>1+414502.80285614i</v>
      </c>
      <c r="X503" s="734">
        <f t="shared" si="383"/>
        <v>414502.80285734625</v>
      </c>
      <c r="Y503" s="735">
        <f t="shared" si="384"/>
        <v>1.570793914265975</v>
      </c>
      <c r="Z503" s="340" t="str">
        <f>IMSUM(COMPLEX(1,0),IMDIV(COMPLEX(0,2*PI()*D503),COMPLEX(2*PI()*'Stability Calculations'!EA_Zero1,0)))</f>
        <v>1+4103.98814709049i</v>
      </c>
      <c r="AA503" s="734">
        <f t="shared" si="385"/>
        <v>4103.9882689231999</v>
      </c>
      <c r="AB503" s="735">
        <f t="shared" si="386"/>
        <v>1.5705526613786311</v>
      </c>
      <c r="AC503" s="733" t="str">
        <f>IMSUM(COMPLEX(1,0),IMDIV(COMPLEX(0,2*PI()*D503),COMPLEX(2*PI()*'Stability Calculations'!EA_Pole2,0)))</f>
        <v>1+41.341344547828i</v>
      </c>
      <c r="AD503" s="734">
        <f t="shared" si="387"/>
        <v>41.353437209284408</v>
      </c>
      <c r="AE503" s="735">
        <f t="shared" si="388"/>
        <v>1.5466121826717607</v>
      </c>
      <c r="AF503" s="732" t="str">
        <f t="shared" si="389"/>
        <v>0.0343916786596439-1.4361300920266i</v>
      </c>
      <c r="AG503" s="337">
        <f t="shared" si="390"/>
        <v>1.43654182980704</v>
      </c>
      <c r="AH503" s="730">
        <f t="shared" si="391"/>
        <v>-1.5468534355591044</v>
      </c>
      <c r="AI503" s="731" t="str">
        <f t="shared" si="369"/>
        <v>10000</v>
      </c>
      <c r="AJ503" s="733" t="str">
        <f t="shared" si="392"/>
        <v>1+386430.703132413i</v>
      </c>
      <c r="AK503" s="734">
        <f t="shared" si="393"/>
        <v>386430.70313370693</v>
      </c>
      <c r="AL503" s="735">
        <f t="shared" si="394"/>
        <v>1.5707937390088023</v>
      </c>
      <c r="AM503" s="340" t="str">
        <f t="shared" si="395"/>
        <v>1+655.81730590506i</v>
      </c>
      <c r="AN503" s="734">
        <f t="shared" si="396"/>
        <v>655.81806831206711</v>
      </c>
      <c r="AO503" s="735">
        <f t="shared" si="397"/>
        <v>1.5692715130762331</v>
      </c>
      <c r="AP503" s="733" t="str">
        <f t="shared" si="398"/>
        <v>1+31.8082203402368i</v>
      </c>
      <c r="AQ503" s="734">
        <f t="shared" si="399"/>
        <v>31.823935665047056</v>
      </c>
      <c r="AR503" s="735">
        <f t="shared" si="400"/>
        <v>1.5393682642818962</v>
      </c>
      <c r="AS503" s="732" t="str">
        <f t="shared" si="401"/>
        <v>0.000642007304584647-3.58331490097082i</v>
      </c>
      <c r="AT503" s="337">
        <f t="shared" si="402"/>
        <v>3.5833149584836796</v>
      </c>
      <c r="AU503" s="730">
        <f t="shared" si="403"/>
        <v>-1.5706171610460138</v>
      </c>
      <c r="AV503" s="732" t="str">
        <f t="shared" si="404"/>
        <v>-0.0723235319391253+0.0309464106303279i</v>
      </c>
      <c r="AW503" s="337">
        <f t="shared" si="405"/>
        <v>-22.084234750558306</v>
      </c>
      <c r="AX503" s="730">
        <f t="shared" si="406"/>
        <v>156.83447282205344</v>
      </c>
      <c r="AY503" s="360">
        <f t="shared" si="407"/>
        <v>-23.165527177946558</v>
      </c>
      <c r="BB503" s="337">
        <f t="shared" si="408"/>
        <v>-28.914300349544604</v>
      </c>
      <c r="BC503" s="730">
        <f t="shared" si="409"/>
        <v>-89.989734558755714</v>
      </c>
      <c r="BD503" s="351"/>
      <c r="BE503" s="337">
        <f t="shared" si="370"/>
        <v>26.959965354560708</v>
      </c>
      <c r="BF503" s="730">
        <f t="shared" si="371"/>
        <v>-89.750856951121875</v>
      </c>
      <c r="BI503" s="351"/>
      <c r="BJ503" s="351"/>
      <c r="BL503" s="405">
        <f t="shared" si="372"/>
        <v>0</v>
      </c>
      <c r="BM503" s="405">
        <f t="shared" si="410"/>
        <v>0</v>
      </c>
      <c r="BN503" s="405">
        <f t="shared" si="373"/>
        <v>0</v>
      </c>
      <c r="BO503" s="405">
        <f t="shared" si="374"/>
        <v>0</v>
      </c>
    </row>
    <row r="504" spans="4:67" ht="13.5" thickBot="1" x14ac:dyDescent="0.25">
      <c r="D504" s="345">
        <v>65693</v>
      </c>
      <c r="E504" s="340" t="str">
        <f t="shared" si="361"/>
        <v>1.08968981189521i</v>
      </c>
      <c r="F504" s="728" t="str">
        <f t="shared" si="375"/>
        <v>0.005-0.0397165212082868i</v>
      </c>
      <c r="G504" s="337" t="str">
        <f t="shared" si="376"/>
        <v>0.005-0.0621207126591153i</v>
      </c>
      <c r="H504" s="338" t="str">
        <f t="shared" si="377"/>
        <v>0.00810443833418912-0.0614543630970546i</v>
      </c>
      <c r="I504" s="338" t="str">
        <f t="shared" si="378"/>
        <v>0.0181044383341891-0.0614543630970546i</v>
      </c>
      <c r="J504" s="337" t="str">
        <f t="shared" si="379"/>
        <v>0.0045994026603234-0.0242806807079064i</v>
      </c>
      <c r="K504" s="338" t="str">
        <f t="shared" si="362"/>
        <v>0.952049219455555-0.34396774365379i</v>
      </c>
      <c r="L504" s="732"/>
      <c r="M504" s="732" t="str">
        <f t="shared" si="363"/>
        <v>0.0956252342496631-22.1507020075411i</v>
      </c>
      <c r="N504" s="337">
        <f t="shared" si="364"/>
        <v>0</v>
      </c>
      <c r="O504" s="730" t="str">
        <f t="shared" si="365"/>
        <v>-0.810241805935921-8.50591080583485i</v>
      </c>
      <c r="P504" s="731" t="str">
        <f t="shared" si="366"/>
        <v>-0.537394303944286-0.10420184352195i</v>
      </c>
      <c r="Q504" s="729" t="str">
        <f t="shared" si="367"/>
        <v>-0.529291885884926-0.0191427354636009i</v>
      </c>
      <c r="R504" s="730"/>
      <c r="S504" s="405" t="str">
        <f t="shared" si="380"/>
        <v>37.4513863114201-12.888580716926i</v>
      </c>
      <c r="T504" s="405" t="str">
        <f t="shared" si="381"/>
        <v>13.8824170263358-6.37908930397485i</v>
      </c>
      <c r="U504" s="405" t="str">
        <f t="shared" si="382"/>
        <v>-0.279513677595574-0.90483403249352i</v>
      </c>
      <c r="V504" s="731" t="str">
        <f t="shared" si="368"/>
        <v>6000</v>
      </c>
      <c r="W504" s="733" t="str">
        <f>IMSUM(COMPLEX(1,0),IMDIV(COMPLEX(0,2*PI()*D504),COMPLEX(2*PI()*'Stability Calculations'!EA_Pole1,0)))</f>
        <v>1+416888.905308395i</v>
      </c>
      <c r="X504" s="734">
        <f t="shared" si="383"/>
        <v>416888.90530959429</v>
      </c>
      <c r="Y504" s="735">
        <f t="shared" si="384"/>
        <v>1.5707939280743088</v>
      </c>
      <c r="Z504" s="340" t="str">
        <f>IMSUM(COMPLEX(1,0),IMDIV(COMPLEX(0,2*PI()*D504),COMPLEX(2*PI()*'Stability Calculations'!EA_Zero1,0)))</f>
        <v>1+4127.61292384549i</v>
      </c>
      <c r="AA504" s="734">
        <f t="shared" si="385"/>
        <v>4127.613044980877</v>
      </c>
      <c r="AB504" s="735">
        <f t="shared" si="386"/>
        <v>1.5705540560202662</v>
      </c>
      <c r="AC504" s="733" t="str">
        <f>IMSUM(COMPLEX(1,0),IMDIV(COMPLEX(0,2*PI()*D504),COMPLEX(2*PI()*'Stability Calculations'!EA_Pole2,0)))</f>
        <v>1+41.5793276999934i</v>
      </c>
      <c r="AD504" s="734">
        <f t="shared" si="387"/>
        <v>41.5913511680426</v>
      </c>
      <c r="AE504" s="735">
        <f t="shared" si="388"/>
        <v>1.5467505493680245</v>
      </c>
      <c r="AF504" s="732" t="str">
        <f t="shared" si="389"/>
        <v>0.0339993443014297-1.42791970356819i</v>
      </c>
      <c r="AG504" s="337">
        <f t="shared" si="390"/>
        <v>1.4283244152681824</v>
      </c>
      <c r="AH504" s="730">
        <f t="shared" si="391"/>
        <v>-1.5469904214220671</v>
      </c>
      <c r="AI504" s="731" t="str">
        <f t="shared" si="369"/>
        <v>10000</v>
      </c>
      <c r="AJ504" s="733" t="str">
        <f t="shared" si="392"/>
        <v>1+388655.207386708i</v>
      </c>
      <c r="AK504" s="734">
        <f t="shared" si="393"/>
        <v>388655.20738799457</v>
      </c>
      <c r="AL504" s="735">
        <f t="shared" si="394"/>
        <v>1.5707937538202368</v>
      </c>
      <c r="AM504" s="340" t="str">
        <f t="shared" si="395"/>
        <v>1+659.592545230509i</v>
      </c>
      <c r="AN504" s="734">
        <f t="shared" si="396"/>
        <v>659.5933032738136</v>
      </c>
      <c r="AO504" s="735">
        <f t="shared" si="397"/>
        <v>1.5692802404760651</v>
      </c>
      <c r="AP504" s="733" t="str">
        <f t="shared" si="398"/>
        <v>1+31.9913256703642i</v>
      </c>
      <c r="AQ504" s="734">
        <f t="shared" si="399"/>
        <v>32.006951091088062</v>
      </c>
      <c r="AR504" s="735">
        <f t="shared" si="400"/>
        <v>1.5395480283116012</v>
      </c>
      <c r="AS504" s="732" t="str">
        <f t="shared" si="401"/>
        <v>0.000634679159539196-3.56280546591675i</v>
      </c>
      <c r="AT504" s="337">
        <f t="shared" si="402"/>
        <v>3.5628055224477104</v>
      </c>
      <c r="AU504" s="730">
        <f t="shared" si="403"/>
        <v>-1.5706181865178321</v>
      </c>
      <c r="AV504" s="732" t="str">
        <f t="shared" si="404"/>
        <v>-0.0714036102722767+0.0307586413265494i</v>
      </c>
      <c r="AW504" s="337">
        <f t="shared" si="405"/>
        <v>-22.186346190959124</v>
      </c>
      <c r="AX504" s="730">
        <f t="shared" si="406"/>
        <v>156.69499910046233</v>
      </c>
      <c r="AY504" s="360">
        <f t="shared" si="407"/>
        <v>-23.305000899537674</v>
      </c>
      <c r="BB504" s="337">
        <f t="shared" si="408"/>
        <v>-28.964157663745517</v>
      </c>
      <c r="BC504" s="730">
        <f t="shared" si="409"/>
        <v>-89.98979331396292</v>
      </c>
      <c r="BD504" s="351"/>
      <c r="BE504" s="337">
        <f t="shared" si="370"/>
        <v>26.907830829292291</v>
      </c>
      <c r="BF504" s="730">
        <f t="shared" si="371"/>
        <v>-89.752653965569721</v>
      </c>
      <c r="BI504" s="351"/>
      <c r="BJ504" s="351"/>
      <c r="BL504" s="405">
        <f t="shared" si="372"/>
        <v>0</v>
      </c>
      <c r="BM504" s="405">
        <f t="shared" si="410"/>
        <v>0</v>
      </c>
      <c r="BN504" s="405">
        <f t="shared" si="373"/>
        <v>0</v>
      </c>
      <c r="BO504" s="405">
        <f t="shared" si="374"/>
        <v>0</v>
      </c>
    </row>
    <row r="505" spans="4:67" ht="13.5" thickBot="1" x14ac:dyDescent="0.25">
      <c r="D505" s="345">
        <v>66069</v>
      </c>
      <c r="E505" s="340" t="str">
        <f t="shared" si="361"/>
        <v>1.09592675295853i</v>
      </c>
      <c r="F505" s="728" t="str">
        <f t="shared" si="375"/>
        <v>0.005-0.0394904936919886i</v>
      </c>
      <c r="G505" s="337" t="str">
        <f t="shared" si="376"/>
        <v>0.005-0.0617671824413153i</v>
      </c>
      <c r="H505" s="338" t="str">
        <f t="shared" si="377"/>
        <v>0.00806906221264995-0.0611064136964103i</v>
      </c>
      <c r="I505" s="338" t="str">
        <f t="shared" si="378"/>
        <v>0.01806906221265-0.0611064136964103i</v>
      </c>
      <c r="J505" s="337" t="str">
        <f t="shared" si="379"/>
        <v>0.00459380462979695-0.0241434052139909i</v>
      </c>
      <c r="K505" s="338" t="str">
        <f t="shared" si="362"/>
        <v>0.9514987471-0.34593647505004i</v>
      </c>
      <c r="L505" s="732"/>
      <c r="M505" s="732" t="str">
        <f t="shared" si="363"/>
        <v>0.0943762105876953-22.0189710017326i</v>
      </c>
      <c r="N505" s="337">
        <f t="shared" si="364"/>
        <v>0</v>
      </c>
      <c r="O505" s="730" t="str">
        <f t="shared" si="365"/>
        <v>-0.807222068800044-8.4540004295258i</v>
      </c>
      <c r="P505" s="731" t="str">
        <f t="shared" si="366"/>
        <v>-0.531179393416803-0.103429414025903i</v>
      </c>
      <c r="Q505" s="729" t="str">
        <f t="shared" si="367"/>
        <v>-0.523107172728802-0.0188894097306454i</v>
      </c>
      <c r="R505" s="730"/>
      <c r="S505" s="405" t="str">
        <f t="shared" si="380"/>
        <v>37.4187485579867-12.9654087979977i</v>
      </c>
      <c r="T505" s="405" t="str">
        <f t="shared" si="381"/>
        <v>13.863830398881-6.4091653936194i</v>
      </c>
      <c r="U505" s="405" t="str">
        <f t="shared" si="382"/>
        <v>-0.279773001997023-0.898884910063163i</v>
      </c>
      <c r="V505" s="731" t="str">
        <f t="shared" si="368"/>
        <v>6000</v>
      </c>
      <c r="W505" s="733" t="str">
        <f>IMSUM(COMPLEX(1,0),IMDIV(COMPLEX(0,2*PI()*D505),COMPLEX(2*PI()*'Stability Calculations'!EA_Pole1,0)))</f>
        <v>1+419275.007760648i</v>
      </c>
      <c r="X505" s="734">
        <f t="shared" si="383"/>
        <v>419275.00776184053</v>
      </c>
      <c r="Y505" s="735">
        <f t="shared" si="384"/>
        <v>1.5707939417254757</v>
      </c>
      <c r="Z505" s="340" t="str">
        <f>IMSUM(COMPLEX(1,0),IMDIV(COMPLEX(0,2*PI()*D505),COMPLEX(2*PI()*'Stability Calculations'!EA_Zero1,0)))</f>
        <v>1+4151.23770060048i</v>
      </c>
      <c r="AA505" s="734">
        <f t="shared" si="385"/>
        <v>4151.237821046484</v>
      </c>
      <c r="AB505" s="735">
        <f t="shared" si="386"/>
        <v>1.5705554347880351</v>
      </c>
      <c r="AC505" s="733" t="str">
        <f>IMSUM(COMPLEX(1,0),IMDIV(COMPLEX(0,2*PI()*D505),COMPLEX(2*PI()*'Stability Calculations'!EA_Pole2,0)))</f>
        <v>1+41.8173108521587i</v>
      </c>
      <c r="AD505" s="734">
        <f t="shared" si="387"/>
        <v>41.829265914023274</v>
      </c>
      <c r="AE505" s="735">
        <f t="shared" si="388"/>
        <v>1.5468873420742877</v>
      </c>
      <c r="AF505" s="732" t="str">
        <f t="shared" si="389"/>
        <v>0.0336136841083032-1.41980260647677i</v>
      </c>
      <c r="AG505" s="337">
        <f t="shared" si="390"/>
        <v>1.4202004510341355</v>
      </c>
      <c r="AH505" s="730">
        <f t="shared" si="391"/>
        <v>-1.5471258490117281</v>
      </c>
      <c r="AI505" s="731" t="str">
        <f t="shared" si="369"/>
        <v>10000</v>
      </c>
      <c r="AJ505" s="733" t="str">
        <f t="shared" si="392"/>
        <v>1+390879.711641003i</v>
      </c>
      <c r="AK505" s="734">
        <f t="shared" si="393"/>
        <v>390879.7116422822</v>
      </c>
      <c r="AL505" s="735">
        <f t="shared" si="394"/>
        <v>1.570793768463087</v>
      </c>
      <c r="AM505" s="340" t="str">
        <f t="shared" si="395"/>
        <v>1+663.367784555957i</v>
      </c>
      <c r="AN505" s="734">
        <f t="shared" si="396"/>
        <v>663.36853828522692</v>
      </c>
      <c r="AO505" s="735">
        <f t="shared" si="397"/>
        <v>1.56928886854051</v>
      </c>
      <c r="AP505" s="733" t="str">
        <f t="shared" si="398"/>
        <v>1+32.1744310004915i</v>
      </c>
      <c r="AQ505" s="734">
        <f t="shared" si="399"/>
        <v>32.189967539675905</v>
      </c>
      <c r="AR505" s="735">
        <f t="shared" si="400"/>
        <v>1.5397257482458782</v>
      </c>
      <c r="AS505" s="732" t="str">
        <f t="shared" si="401"/>
        <v>0.00062747577199511-3.54252947005051i</v>
      </c>
      <c r="AT505" s="337">
        <f t="shared" si="402"/>
        <v>3.5425295256217968</v>
      </c>
      <c r="AU505" s="730">
        <f t="shared" si="403"/>
        <v>-1.5706192003176893</v>
      </c>
      <c r="AV505" s="732" t="str">
        <f t="shared" si="404"/>
        <v>-0.070499409457185+0.0305727754396819i</v>
      </c>
      <c r="AW505" s="337">
        <f t="shared" si="405"/>
        <v>-22.287902967801962</v>
      </c>
      <c r="AX505" s="730">
        <f t="shared" si="406"/>
        <v>156.55555034038701</v>
      </c>
      <c r="AY505" s="360">
        <f t="shared" si="407"/>
        <v>-23.444449659612985</v>
      </c>
      <c r="BB505" s="337">
        <f t="shared" si="408"/>
        <v>-29.013730427757189</v>
      </c>
      <c r="BC505" s="730">
        <f t="shared" si="409"/>
        <v>-89.989851400416001</v>
      </c>
      <c r="BD505" s="351"/>
      <c r="BE505" s="337">
        <f t="shared" si="370"/>
        <v>26.856020173343367</v>
      </c>
      <c r="BF505" s="730">
        <f t="shared" si="371"/>
        <v>-89.754424244424257</v>
      </c>
      <c r="BI505" s="351"/>
      <c r="BJ505" s="351"/>
      <c r="BL505" s="405">
        <f t="shared" si="372"/>
        <v>0</v>
      </c>
      <c r="BM505" s="405">
        <f t="shared" si="410"/>
        <v>0</v>
      </c>
      <c r="BN505" s="405">
        <f t="shared" si="373"/>
        <v>0</v>
      </c>
      <c r="BO505" s="405">
        <f t="shared" si="374"/>
        <v>0</v>
      </c>
    </row>
    <row r="506" spans="4:67" ht="13.5" thickBot="1" x14ac:dyDescent="0.25">
      <c r="D506" s="345">
        <v>66453.75</v>
      </c>
      <c r="E506" s="340" t="str">
        <f t="shared" si="361"/>
        <v>1.10230883560244i</v>
      </c>
      <c r="F506" s="728" t="str">
        <f t="shared" si="375"/>
        <v>0.005-0.0392618539621314i</v>
      </c>
      <c r="G506" s="337" t="str">
        <f t="shared" si="376"/>
        <v>0.005-0.0614095664535902i</v>
      </c>
      <c r="H506" s="338" t="str">
        <f t="shared" si="377"/>
        <v>0.00803348057246418-0.060754411972278i</v>
      </c>
      <c r="I506" s="338" t="str">
        <f t="shared" si="378"/>
        <v>0.0180334805724642-0.060754411972278i</v>
      </c>
      <c r="J506" s="337" t="str">
        <f t="shared" si="379"/>
        <v>0.00458817080817952-0.0240045453436169i</v>
      </c>
      <c r="K506" s="338" t="str">
        <f t="shared" si="362"/>
        <v>0.95093221234375-0.347951021339155i</v>
      </c>
      <c r="L506" s="732"/>
      <c r="M506" s="732" t="str">
        <f t="shared" si="363"/>
        <v>0.0931238775937279-21.8858191930951i</v>
      </c>
      <c r="N506" s="337">
        <f t="shared" si="364"/>
        <v>0</v>
      </c>
      <c r="O506" s="730" t="str">
        <f t="shared" si="365"/>
        <v>-0.804179703997136-8.40152501369343i</v>
      </c>
      <c r="P506" s="731" t="str">
        <f t="shared" si="366"/>
        <v>-0.524931870946133-0.102651273077126i</v>
      </c>
      <c r="Q506" s="729" t="str">
        <f t="shared" si="367"/>
        <v>-0.516890073906161-0.0186360229401921i</v>
      </c>
      <c r="R506" s="730"/>
      <c r="S506" s="405" t="str">
        <f t="shared" si="380"/>
        <v>37.3851500453632-13.043905147135i</v>
      </c>
      <c r="T506" s="405" t="str">
        <f t="shared" si="381"/>
        <v>13.8447146495373-6.43989363779804i</v>
      </c>
      <c r="U506" s="405" t="str">
        <f t="shared" si="382"/>
        <v>-0.280030704960067-0.892862257884611i</v>
      </c>
      <c r="V506" s="731" t="str">
        <f t="shared" si="368"/>
        <v>6000</v>
      </c>
      <c r="W506" s="733" t="str">
        <f>IMSUM(COMPLEX(1,0),IMDIV(COMPLEX(0,2*PI()*D506),COMPLEX(2*PI()*'Stability Calculations'!EA_Pole1,0)))</f>
        <v>1+421716.637863055i</v>
      </c>
      <c r="X506" s="734">
        <f t="shared" si="383"/>
        <v>421716.63786424068</v>
      </c>
      <c r="Y506" s="735">
        <f t="shared" si="384"/>
        <v>1.5707939555344097</v>
      </c>
      <c r="Z506" s="340" t="str">
        <f>IMSUM(COMPLEX(1,0),IMDIV(COMPLEX(0,2*PI()*D506),COMPLEX(2*PI()*'Stability Calculations'!EA_Zero1,0)))</f>
        <v>1+4175.41225606985i</v>
      </c>
      <c r="AA506" s="734">
        <f t="shared" si="385"/>
        <v>4175.4123758185024</v>
      </c>
      <c r="AB506" s="735">
        <f t="shared" si="386"/>
        <v>1.5705568294903067</v>
      </c>
      <c r="AC506" s="733" t="str">
        <f>IMSUM(COMPLEX(1,0),IMDIV(COMPLEX(0,2*PI()*D506),COMPLEX(2*PI()*'Stability Calculations'!EA_Pole2,0)))</f>
        <v>1+42.0608321760831i</v>
      </c>
      <c r="AD506" s="734">
        <f t="shared" si="387"/>
        <v>42.072718040847178</v>
      </c>
      <c r="AE506" s="735">
        <f t="shared" si="388"/>
        <v>1.5470257166125716</v>
      </c>
      <c r="AF506" s="732" t="str">
        <f t="shared" si="389"/>
        <v>0.0332258010794297-1.41159153907906i</v>
      </c>
      <c r="AG506" s="337">
        <f t="shared" si="390"/>
        <v>1.4119825165549889</v>
      </c>
      <c r="AH506" s="730">
        <f t="shared" si="391"/>
        <v>-1.5472628426566748</v>
      </c>
      <c r="AI506" s="731" t="str">
        <f t="shared" si="369"/>
        <v>10000</v>
      </c>
      <c r="AJ506" s="733" t="str">
        <f t="shared" si="392"/>
        <v>1+393155.982949087i</v>
      </c>
      <c r="AK506" s="734">
        <f t="shared" si="393"/>
        <v>393155.98295035877</v>
      </c>
      <c r="AL506" s="735">
        <f t="shared" si="394"/>
        <v>1.5707937832751655</v>
      </c>
      <c r="AM506" s="340" t="str">
        <f t="shared" si="395"/>
        <v>1+667.230878519962i</v>
      </c>
      <c r="AN506" s="734">
        <f t="shared" si="396"/>
        <v>667.23162788533955</v>
      </c>
      <c r="AO506" s="735">
        <f t="shared" si="397"/>
        <v>1.5692975963202414</v>
      </c>
      <c r="AP506" s="733" t="str">
        <f t="shared" si="398"/>
        <v>1+32.3617974254024i</v>
      </c>
      <c r="AQ506" s="734">
        <f t="shared" si="399"/>
        <v>32.377244055088774</v>
      </c>
      <c r="AR506" s="735">
        <f t="shared" si="400"/>
        <v>1.5399055240975579</v>
      </c>
      <c r="AS506" s="732" t="str">
        <f t="shared" si="401"/>
        <v>0.000620230961509539-3.52201914326205i</v>
      </c>
      <c r="AT506" s="337">
        <f t="shared" si="402"/>
        <v>3.5220191978736843</v>
      </c>
      <c r="AU506" s="730">
        <f t="shared" si="403"/>
        <v>-1.5706202258340927</v>
      </c>
      <c r="AV506" s="732" t="str">
        <f t="shared" si="404"/>
        <v>-0.0695900706736748+0.0303845239566848i</v>
      </c>
      <c r="AW506" s="337">
        <f t="shared" si="405"/>
        <v>-22.391255704000681</v>
      </c>
      <c r="AX506" s="730">
        <f t="shared" si="406"/>
        <v>156.41288172142674</v>
      </c>
      <c r="AY506" s="360">
        <f t="shared" si="407"/>
        <v>-23.587118278573257</v>
      </c>
      <c r="BB506" s="337">
        <f t="shared" si="408"/>
        <v>-29.064165622071712</v>
      </c>
      <c r="BC506" s="730">
        <f t="shared" si="409"/>
        <v>-89.989910158177736</v>
      </c>
      <c r="BD506" s="351"/>
      <c r="BE506" s="337">
        <f t="shared" si="370"/>
        <v>26.803334768582836</v>
      </c>
      <c r="BF506" s="730">
        <f t="shared" si="371"/>
        <v>-89.756208670506567</v>
      </c>
      <c r="BI506" s="351"/>
      <c r="BJ506" s="351"/>
      <c r="BL506" s="405">
        <f t="shared" si="372"/>
        <v>0</v>
      </c>
      <c r="BM506" s="405">
        <f t="shared" si="410"/>
        <v>0</v>
      </c>
      <c r="BN506" s="405">
        <f t="shared" si="373"/>
        <v>0</v>
      </c>
      <c r="BO506" s="405">
        <f t="shared" si="374"/>
        <v>0</v>
      </c>
    </row>
    <row r="507" spans="4:67" ht="13.5" thickBot="1" x14ac:dyDescent="0.25">
      <c r="D507" s="345">
        <v>66838.5</v>
      </c>
      <c r="E507" s="340" t="str">
        <f t="shared" si="361"/>
        <v>1.10869091824636i</v>
      </c>
      <c r="F507" s="728" t="str">
        <f t="shared" si="375"/>
        <v>0.005-0.0390358465216303i</v>
      </c>
      <c r="G507" s="337" t="str">
        <f t="shared" si="376"/>
        <v>0.005-0.0610560676363961i</v>
      </c>
      <c r="H507" s="338" t="str">
        <f t="shared" si="377"/>
        <v>0.00799850958850016-0.0604064322634567i</v>
      </c>
      <c r="I507" s="338" t="str">
        <f t="shared" si="378"/>
        <v>0.0179985095885002-0.0604064322634567i</v>
      </c>
      <c r="J507" s="337" t="str">
        <f t="shared" si="379"/>
        <v>0.0045826303633471-0.0238672863108299i</v>
      </c>
      <c r="K507" s="338" t="str">
        <f t="shared" si="362"/>
        <v>0.950362387975-0.349965567628269i</v>
      </c>
      <c r="L507" s="732"/>
      <c r="M507" s="732" t="str">
        <f t="shared" si="363"/>
        <v>0.0918968884397134-21.7543001238115i</v>
      </c>
      <c r="N507" s="337">
        <f t="shared" si="364"/>
        <v>0</v>
      </c>
      <c r="O507" s="730" t="str">
        <f t="shared" si="365"/>
        <v>-0.801184406694443-8.34968787180882i</v>
      </c>
      <c r="P507" s="731" t="str">
        <f t="shared" si="366"/>
        <v>-0.518794980075471-0.10188524562821i</v>
      </c>
      <c r="Q507" s="729" t="str">
        <f t="shared" si="367"/>
        <v>-0.510783136008527-0.0183883669101212i</v>
      </c>
      <c r="R507" s="730"/>
      <c r="S507" s="405" t="str">
        <f t="shared" si="380"/>
        <v>37.3513481033286-13.1222806003541i</v>
      </c>
      <c r="T507" s="405" t="str">
        <f t="shared" si="381"/>
        <v>13.825501368774-6.47057292601598i</v>
      </c>
      <c r="U507" s="405" t="str">
        <f t="shared" si="382"/>
        <v>-0.28028081989718-0.886904151533004i</v>
      </c>
      <c r="V507" s="731" t="str">
        <f t="shared" si="368"/>
        <v>6000</v>
      </c>
      <c r="W507" s="733" t="str">
        <f>IMSUM(COMPLEX(1,0),IMDIV(COMPLEX(0,2*PI()*D507),COMPLEX(2*PI()*'Stability Calculations'!EA_Pole1,0)))</f>
        <v>1+424158.267965462i</v>
      </c>
      <c r="X507" s="734">
        <f t="shared" si="383"/>
        <v>424158.26796664076</v>
      </c>
      <c r="Y507" s="735">
        <f t="shared" si="384"/>
        <v>1.5707939691843642</v>
      </c>
      <c r="Z507" s="340" t="str">
        <f>IMSUM(COMPLEX(1,0),IMDIV(COMPLEX(0,2*PI()*D507),COMPLEX(2*PI()*'Stability Calculations'!EA_Zero1,0)))</f>
        <v>1+4199.58681153923i</v>
      </c>
      <c r="AA507" s="734">
        <f t="shared" si="385"/>
        <v>4199.5869305985607</v>
      </c>
      <c r="AB507" s="735">
        <f t="shared" si="386"/>
        <v>1.5705582081356151</v>
      </c>
      <c r="AC507" s="733" t="str">
        <f>IMSUM(COMPLEX(1,0),IMDIV(COMPLEX(0,2*PI()*D507),COMPLEX(2*PI()*'Stability Calculations'!EA_Pole2,0)))</f>
        <v>1+42.3043535000077i</v>
      </c>
      <c r="AD507" s="734">
        <f t="shared" si="387"/>
        <v>42.316170963989805</v>
      </c>
      <c r="AE507" s="735">
        <f t="shared" si="388"/>
        <v>1.5471624989637469</v>
      </c>
      <c r="AF507" s="732" t="str">
        <f t="shared" si="389"/>
        <v>0.0328445922091681-1.4034748465039i</v>
      </c>
      <c r="AG507" s="337">
        <f t="shared" si="390"/>
        <v>1.4038591140162646</v>
      </c>
      <c r="AH507" s="730">
        <f t="shared" si="391"/>
        <v>-1.547398260012496</v>
      </c>
      <c r="AI507" s="731" t="str">
        <f t="shared" si="369"/>
        <v>10000</v>
      </c>
      <c r="AJ507" s="733" t="str">
        <f t="shared" si="392"/>
        <v>1+395432.254257173i</v>
      </c>
      <c r="AK507" s="734">
        <f t="shared" si="393"/>
        <v>395432.25425843743</v>
      </c>
      <c r="AL507" s="735">
        <f t="shared" si="394"/>
        <v>1.5707937979167153</v>
      </c>
      <c r="AM507" s="340" t="str">
        <f t="shared" si="395"/>
        <v>1+671.093972483969i</v>
      </c>
      <c r="AN507" s="734">
        <f t="shared" si="396"/>
        <v>671.09471753569483</v>
      </c>
      <c r="AO507" s="735">
        <f t="shared" si="397"/>
        <v>1.5693062236187905</v>
      </c>
      <c r="AP507" s="733" t="str">
        <f t="shared" si="398"/>
        <v>1+32.5491638503134i</v>
      </c>
      <c r="AQ507" s="734">
        <f t="shared" si="399"/>
        <v>32.564521604877733</v>
      </c>
      <c r="AR507" s="735">
        <f t="shared" si="400"/>
        <v>1.5400832321842755</v>
      </c>
      <c r="AS507" s="732" t="str">
        <f t="shared" si="401"/>
        <v>0.000613110902931597-3.50174494826893i</v>
      </c>
      <c r="AT507" s="337">
        <f t="shared" si="402"/>
        <v>3.5017450019428811</v>
      </c>
      <c r="AU507" s="730">
        <f t="shared" si="403"/>
        <v>-1.570621239543905</v>
      </c>
      <c r="AV507" s="732" t="str">
        <f t="shared" si="404"/>
        <v>-0.0686964523887504+0.0301982039227151i</v>
      </c>
      <c r="AW507" s="337">
        <f t="shared" si="405"/>
        <v>-22.494041309311182</v>
      </c>
      <c r="AX507" s="730">
        <f t="shared" si="406"/>
        <v>156.2702381414401</v>
      </c>
      <c r="AY507" s="360">
        <f t="shared" si="407"/>
        <v>-23.729761858559897</v>
      </c>
      <c r="BB507" s="337">
        <f t="shared" si="408"/>
        <v>-29.11430965095219</v>
      </c>
      <c r="BC507" s="730">
        <f t="shared" si="409"/>
        <v>-89.989968239471636</v>
      </c>
      <c r="BD507" s="351"/>
      <c r="BE507" s="337">
        <f t="shared" si="370"/>
        <v>26.750979814124172</v>
      </c>
      <c r="BF507" s="730">
        <f t="shared" si="371"/>
        <v>-89.757966355665801</v>
      </c>
      <c r="BI507" s="351"/>
      <c r="BJ507" s="351"/>
      <c r="BL507" s="405">
        <f t="shared" si="372"/>
        <v>0</v>
      </c>
      <c r="BM507" s="405">
        <f t="shared" si="410"/>
        <v>0</v>
      </c>
      <c r="BN507" s="405">
        <f t="shared" si="373"/>
        <v>0</v>
      </c>
      <c r="BO507" s="405">
        <f t="shared" si="374"/>
        <v>0</v>
      </c>
    </row>
    <row r="508" spans="4:67" ht="13.5" thickBot="1" x14ac:dyDescent="0.25">
      <c r="D508" s="345">
        <v>67223.25</v>
      </c>
      <c r="E508" s="340" t="str">
        <f t="shared" si="361"/>
        <v>1.11507300089027i</v>
      </c>
      <c r="F508" s="728" t="str">
        <f t="shared" si="375"/>
        <v>0.005-0.0388124261730277i</v>
      </c>
      <c r="G508" s="337" t="str">
        <f t="shared" si="376"/>
        <v>0.005-0.0607066152962744i</v>
      </c>
      <c r="H508" s="338" t="str">
        <f t="shared" si="377"/>
        <v>0.00796413537814202-0.06006240620019i</v>
      </c>
      <c r="I508" s="338" t="str">
        <f t="shared" si="378"/>
        <v>0.017964135378142-0.06006240620019i</v>
      </c>
      <c r="J508" s="337" t="str">
        <f t="shared" si="379"/>
        <v>0.00457718114909624-0.0237316006587969i</v>
      </c>
      <c r="K508" s="338" t="str">
        <f t="shared" si="362"/>
        <v>0.94978927399375-0.351980113917383i</v>
      </c>
      <c r="L508" s="732"/>
      <c r="M508" s="732" t="str">
        <f t="shared" si="363"/>
        <v>0.0906945526891809-21.6243834143905i</v>
      </c>
      <c r="N508" s="337">
        <f t="shared" si="364"/>
        <v>0</v>
      </c>
      <c r="O508" s="730" t="str">
        <f t="shared" si="365"/>
        <v>-0.798235074697265-8.29847711527601i</v>
      </c>
      <c r="P508" s="731" t="str">
        <f t="shared" si="366"/>
        <v>-0.512766106286132-0.101131047031525i</v>
      </c>
      <c r="Q508" s="729" t="str">
        <f t="shared" si="367"/>
        <v>-0.504783755539159-0.0181462758787654i</v>
      </c>
      <c r="R508" s="730"/>
      <c r="S508" s="405" t="str">
        <f t="shared" si="380"/>
        <v>37.317342854115-13.2005352392711i</v>
      </c>
      <c r="T508" s="405" t="str">
        <f t="shared" si="381"/>
        <v>13.8061907274492-6.50120260779114i</v>
      </c>
      <c r="U508" s="405" t="str">
        <f t="shared" si="382"/>
        <v>-0.280523499809033-0.88100949323853i</v>
      </c>
      <c r="V508" s="731" t="str">
        <f t="shared" si="368"/>
        <v>6000</v>
      </c>
      <c r="W508" s="733" t="str">
        <f>IMSUM(COMPLEX(1,0),IMDIV(COMPLEX(0,2*PI()*D508),COMPLEX(2*PI()*'Stability Calculations'!EA_Pole1,0)))</f>
        <v>1+426599.898067869i</v>
      </c>
      <c r="X508" s="734">
        <f t="shared" si="383"/>
        <v>426599.89806904114</v>
      </c>
      <c r="Y508" s="735">
        <f t="shared" si="384"/>
        <v>1.5707939826780684</v>
      </c>
      <c r="Z508" s="340" t="str">
        <f>IMSUM(COMPLEX(1,0),IMDIV(COMPLEX(0,2*PI()*D508),COMPLEX(2*PI()*'Stability Calculations'!EA_Zero1,0)))</f>
        <v>1+4223.7613670086i</v>
      </c>
      <c r="AA508" s="734">
        <f t="shared" si="385"/>
        <v>4223.761485386498</v>
      </c>
      <c r="AB508" s="735">
        <f t="shared" si="386"/>
        <v>1.5705595709996647</v>
      </c>
      <c r="AC508" s="733" t="str">
        <f>IMSUM(COMPLEX(1,0),IMDIV(COMPLEX(0,2*PI()*D508),COMPLEX(2*PI()*'Stability Calculations'!EA_Pole2,0)))</f>
        <v>1+42.5478748239322i</v>
      </c>
      <c r="AD508" s="734">
        <f t="shared" si="387"/>
        <v>42.559624669785364</v>
      </c>
      <c r="AE508" s="735">
        <f t="shared" si="388"/>
        <v>1.5472977164460018</v>
      </c>
      <c r="AF508" s="732" t="str">
        <f t="shared" si="389"/>
        <v>0.0324699052793576-1.39545091187555i</v>
      </c>
      <c r="AG508" s="337">
        <f t="shared" si="390"/>
        <v>1.3958286220747711</v>
      </c>
      <c r="AH508" s="730">
        <f t="shared" si="391"/>
        <v>-1.5475321281244052</v>
      </c>
      <c r="AI508" s="731" t="str">
        <f t="shared" si="369"/>
        <v>10000</v>
      </c>
      <c r="AJ508" s="733" t="str">
        <f t="shared" si="392"/>
        <v>1+397708.525565258i</v>
      </c>
      <c r="AK508" s="734">
        <f t="shared" si="393"/>
        <v>397708.52556651516</v>
      </c>
      <c r="AL508" s="735">
        <f t="shared" si="394"/>
        <v>1.5707938123906642</v>
      </c>
      <c r="AM508" s="340" t="str">
        <f t="shared" si="395"/>
        <v>1+674.957066447974i</v>
      </c>
      <c r="AN508" s="734">
        <f t="shared" si="396"/>
        <v>674.95780723542623</v>
      </c>
      <c r="AO508" s="735">
        <f t="shared" si="397"/>
        <v>1.5693147521614541</v>
      </c>
      <c r="AP508" s="733" t="str">
        <f t="shared" si="398"/>
        <v>1+32.7365302752243i</v>
      </c>
      <c r="AQ508" s="734">
        <f t="shared" si="399"/>
        <v>32.751800171298626</v>
      </c>
      <c r="AR508" s="735">
        <f t="shared" si="400"/>
        <v>1.5402589079658642</v>
      </c>
      <c r="AS508" s="732" t="str">
        <f t="shared" si="401"/>
        <v>0.000606112748397161-3.48170283059462i</v>
      </c>
      <c r="AT508" s="337">
        <f t="shared" si="402"/>
        <v>3.481702883352233</v>
      </c>
      <c r="AU508" s="730">
        <f t="shared" si="403"/>
        <v>-1.5706222416498496</v>
      </c>
      <c r="AV508" s="732" t="str">
        <f t="shared" si="404"/>
        <v>-0.0678181959220741+0.0300137851191334i</v>
      </c>
      <c r="AW508" s="337">
        <f t="shared" si="405"/>
        <v>-22.596266510520465</v>
      </c>
      <c r="AX508" s="730">
        <f t="shared" si="406"/>
        <v>156.12761906705703</v>
      </c>
      <c r="AY508" s="360">
        <f t="shared" si="407"/>
        <v>-23.872380932942974</v>
      </c>
      <c r="BB508" s="337">
        <f t="shared" si="408"/>
        <v>-29.164165856942404</v>
      </c>
      <c r="BC508" s="730">
        <f t="shared" si="409"/>
        <v>-89.990025655912888</v>
      </c>
      <c r="BD508" s="351"/>
      <c r="BE508" s="337">
        <f t="shared" si="370"/>
        <v>26.698951054982849</v>
      </c>
      <c r="BF508" s="730">
        <f t="shared" si="371"/>
        <v>-89.759697905567663</v>
      </c>
      <c r="BI508" s="351"/>
      <c r="BJ508" s="351"/>
      <c r="BL508" s="405">
        <f t="shared" si="372"/>
        <v>0</v>
      </c>
      <c r="BM508" s="405">
        <f t="shared" si="410"/>
        <v>0</v>
      </c>
      <c r="BN508" s="405">
        <f t="shared" si="373"/>
        <v>0</v>
      </c>
      <c r="BO508" s="405">
        <f t="shared" si="374"/>
        <v>0</v>
      </c>
    </row>
    <row r="509" spans="4:67" ht="13.5" thickBot="1" x14ac:dyDescent="0.25">
      <c r="D509" s="345">
        <v>67608</v>
      </c>
      <c r="E509" s="340" t="str">
        <f t="shared" si="361"/>
        <v>1.12145508353419i</v>
      </c>
      <c r="F509" s="728" t="str">
        <f t="shared" si="375"/>
        <v>0.005-0.0385915487477221i</v>
      </c>
      <c r="G509" s="337" t="str">
        <f t="shared" si="376"/>
        <v>0.005-0.0603611403490011i</v>
      </c>
      <c r="H509" s="338" t="str">
        <f t="shared" si="377"/>
        <v>0.00793034445073211-0.0597222669496955i</v>
      </c>
      <c r="I509" s="338" t="str">
        <f t="shared" si="378"/>
        <v>0.0179303444507321-0.0597222669496955i</v>
      </c>
      <c r="J509" s="337" t="str">
        <f t="shared" si="379"/>
        <v>0.00457182108014588-0.0235974615544882i</v>
      </c>
      <c r="K509" s="338" t="str">
        <f t="shared" si="362"/>
        <v>0.9492128704-0.353994660206498i</v>
      </c>
      <c r="L509" s="732"/>
      <c r="M509" s="732" t="str">
        <f t="shared" si="363"/>
        <v>0.0895162034769889-21.4960394457873i</v>
      </c>
      <c r="N509" s="337">
        <f t="shared" si="364"/>
        <v>0</v>
      </c>
      <c r="O509" s="730" t="str">
        <f t="shared" si="365"/>
        <v>-0.795330637276954-8.24788115404204i</v>
      </c>
      <c r="P509" s="731" t="str">
        <f t="shared" si="366"/>
        <v>-0.506842712329658-0.10038840144795i</v>
      </c>
      <c r="Q509" s="729" t="str">
        <f t="shared" si="367"/>
        <v>-0.498889405956888-0.01790958990753i</v>
      </c>
      <c r="R509" s="730"/>
      <c r="S509" s="405" t="str">
        <f t="shared" si="380"/>
        <v>37.2831344191901-13.278669127338i</v>
      </c>
      <c r="T509" s="405" t="str">
        <f t="shared" si="381"/>
        <v>13.7867828991357-6.53178203923683i</v>
      </c>
      <c r="U509" s="405" t="str">
        <f t="shared" si="382"/>
        <v>-0.280758893346918-0.875177210127932i</v>
      </c>
      <c r="V509" s="731" t="str">
        <f t="shared" si="368"/>
        <v>6000</v>
      </c>
      <c r="W509" s="733" t="str">
        <f>IMSUM(COMPLEX(1,0),IMDIV(COMPLEX(0,2*PI()*D509),COMPLEX(2*PI()*'Stability Calculations'!EA_Pole1,0)))</f>
        <v>1+429041.528170275i</v>
      </c>
      <c r="X509" s="734">
        <f t="shared" si="383"/>
        <v>429041.52817144035</v>
      </c>
      <c r="Y509" s="735">
        <f t="shared" si="384"/>
        <v>1.57079399601819</v>
      </c>
      <c r="Z509" s="340" t="str">
        <f>IMSUM(COMPLEX(1,0),IMDIV(COMPLEX(0,2*PI()*D509),COMPLEX(2*PI()*'Stability Calculations'!EA_Zero1,0)))</f>
        <v>1+4247.93592247797i</v>
      </c>
      <c r="AA509" s="734">
        <f t="shared" si="385"/>
        <v>4247.9360401821923</v>
      </c>
      <c r="AB509" s="735">
        <f t="shared" si="386"/>
        <v>1.570560918351884</v>
      </c>
      <c r="AC509" s="733" t="str">
        <f>IMSUM(COMPLEX(1,0),IMDIV(COMPLEX(0,2*PI()*D509),COMPLEX(2*PI()*'Stability Calculations'!EA_Pole2,0)))</f>
        <v>1+42.7913961478566i</v>
      </c>
      <c r="AD509" s="734">
        <f t="shared" si="387"/>
        <v>42.803079144879248</v>
      </c>
      <c r="AE509" s="735">
        <f t="shared" si="388"/>
        <v>1.5474313957562367</v>
      </c>
      <c r="AF509" s="732" t="str">
        <f t="shared" si="389"/>
        <v>0.032101592386008-1.38751815502331i</v>
      </c>
      <c r="AG509" s="337">
        <f t="shared" si="390"/>
        <v>1.3878894562439068</v>
      </c>
      <c r="AH509" s="730">
        <f t="shared" si="391"/>
        <v>-1.5476644734225424</v>
      </c>
      <c r="AI509" s="731" t="str">
        <f t="shared" si="369"/>
        <v>10000</v>
      </c>
      <c r="AJ509" s="733" t="str">
        <f t="shared" si="392"/>
        <v>1+399984.796873343i</v>
      </c>
      <c r="AK509" s="734">
        <f t="shared" si="393"/>
        <v>399984.79687459307</v>
      </c>
      <c r="AL509" s="735">
        <f t="shared" si="394"/>
        <v>1.5707938266998736</v>
      </c>
      <c r="AM509" s="340" t="str">
        <f t="shared" si="395"/>
        <v>1+678.820160411979i</v>
      </c>
      <c r="AN509" s="734">
        <f t="shared" si="396"/>
        <v>678.82089698369248</v>
      </c>
      <c r="AO509" s="735">
        <f t="shared" si="397"/>
        <v>1.5693231836342554</v>
      </c>
      <c r="AP509" s="733" t="str">
        <f t="shared" si="398"/>
        <v>1+32.9238967001351i</v>
      </c>
      <c r="AQ509" s="734">
        <f t="shared" si="399"/>
        <v>32.939079737010978</v>
      </c>
      <c r="AR509" s="735">
        <f t="shared" si="400"/>
        <v>1.5404325860962189</v>
      </c>
      <c r="AS509" s="732" t="str">
        <f t="shared" si="401"/>
        <v>0.000599233730845318-3.46188882805692i</v>
      </c>
      <c r="AT509" s="337">
        <f t="shared" si="402"/>
        <v>3.4618888799189347</v>
      </c>
      <c r="AU509" s="730">
        <f t="shared" si="403"/>
        <v>-1.5706232323500362</v>
      </c>
      <c r="AV509" s="732" t="str">
        <f t="shared" si="404"/>
        <v>-0.0669549527781156+0.0298312379331372i</v>
      </c>
      <c r="AW509" s="337">
        <f t="shared" si="405"/>
        <v>-22.69793791964694</v>
      </c>
      <c r="AX509" s="730">
        <f t="shared" si="406"/>
        <v>155.9850239791011</v>
      </c>
      <c r="AY509" s="360">
        <f t="shared" si="407"/>
        <v>-24.014976020898899</v>
      </c>
      <c r="BB509" s="337">
        <f t="shared" si="408"/>
        <v>-29.213737525356564</v>
      </c>
      <c r="BC509" s="730">
        <f t="shared" si="409"/>
        <v>-89.990082418852339</v>
      </c>
      <c r="BD509" s="351"/>
      <c r="BE509" s="337">
        <f t="shared" si="370"/>
        <v>26.647244319829547</v>
      </c>
      <c r="BF509" s="730">
        <f t="shared" si="371"/>
        <v>-89.761403907779567</v>
      </c>
      <c r="BI509" s="351"/>
      <c r="BJ509" s="351"/>
      <c r="BL509" s="405">
        <f t="shared" si="372"/>
        <v>0</v>
      </c>
      <c r="BM509" s="405">
        <f t="shared" si="410"/>
        <v>0</v>
      </c>
      <c r="BN509" s="405">
        <f t="shared" si="373"/>
        <v>0</v>
      </c>
      <c r="BO509" s="405">
        <f t="shared" si="374"/>
        <v>0</v>
      </c>
    </row>
    <row r="510" spans="4:67" ht="13.5" thickBot="1" x14ac:dyDescent="0.25">
      <c r="D510" s="345">
        <v>68001.75</v>
      </c>
      <c r="E510" s="340" t="str">
        <f t="shared" si="361"/>
        <v>1.127986454661i</v>
      </c>
      <c r="F510" s="728" t="str">
        <f t="shared" si="375"/>
        <v>0.005-0.0383680924055041i</v>
      </c>
      <c r="G510" s="337" t="str">
        <f t="shared" si="376"/>
        <v>0.005-0.060011631711173i</v>
      </c>
      <c r="H510" s="338" t="str">
        <f t="shared" si="377"/>
        <v>0.00789635332171638-0.0593781273133884i</v>
      </c>
      <c r="I510" s="338" t="str">
        <f t="shared" si="378"/>
        <v>0.0178963533217164-0.0593781273133884i</v>
      </c>
      <c r="J510" s="337" t="str">
        <f t="shared" si="379"/>
        <v>0.0045664258129743-0.0234617585666621i</v>
      </c>
      <c r="K510" s="338" t="str">
        <f t="shared" si="362"/>
        <v>0.94861957774375-0.356056330385416i</v>
      </c>
      <c r="L510" s="732"/>
      <c r="M510" s="732" t="str">
        <f t="shared" si="363"/>
        <v>0.0883344531676277-21.3662915014235i</v>
      </c>
      <c r="N510" s="337">
        <f t="shared" si="364"/>
        <v>0</v>
      </c>
      <c r="O510" s="730" t="str">
        <f t="shared" si="365"/>
        <v>-0.79240365657308-8.19672640674557i</v>
      </c>
      <c r="P510" s="731" t="str">
        <f t="shared" si="366"/>
        <v>-0.500887399944203-0.0996400666529703i</v>
      </c>
      <c r="Q510" s="729" t="str">
        <f t="shared" si="367"/>
        <v>-0.492963363378473-0.0176728025855142i</v>
      </c>
      <c r="R510" s="730"/>
      <c r="S510" s="405" t="str">
        <f t="shared" si="380"/>
        <v>37.2479155424073-13.3585057355539i</v>
      </c>
      <c r="T510" s="405" t="str">
        <f t="shared" si="381"/>
        <v>13.7668206468144-6.56302408666269i</v>
      </c>
      <c r="U510" s="405" t="str">
        <f t="shared" si="382"/>
        <v>-0.280992399834746-0.869271986114352i</v>
      </c>
      <c r="V510" s="731" t="str">
        <f t="shared" si="368"/>
        <v>6000</v>
      </c>
      <c r="W510" s="733" t="str">
        <f>IMSUM(COMPLEX(1,0),IMDIV(COMPLEX(0,2*PI()*D510),COMPLEX(2*PI()*'Stability Calculations'!EA_Pole1,0)))</f>
        <v>1+431540.272427124i</v>
      </c>
      <c r="X510" s="734">
        <f t="shared" si="383"/>
        <v>431540.27242828265</v>
      </c>
      <c r="Y510" s="735">
        <f t="shared" si="384"/>
        <v>1.5707940095140682</v>
      </c>
      <c r="Z510" s="340" t="str">
        <f>IMSUM(COMPLEX(1,0),IMDIV(COMPLEX(0,2*PI()*D510),COMPLEX(2*PI()*'Stability Calculations'!EA_Zero1,0)))</f>
        <v>1+4272.67596462499i</v>
      </c>
      <c r="AA510" s="734">
        <f t="shared" si="385"/>
        <v>4272.6760816476708</v>
      </c>
      <c r="AB510" s="735">
        <f t="shared" si="386"/>
        <v>1.5705622814354965</v>
      </c>
      <c r="AC510" s="733" t="str">
        <f>IMSUM(COMPLEX(1,0),IMDIV(COMPLEX(0,2*PI()*D510),COMPLEX(2*PI()*'Stability Calculations'!EA_Pole2,0)))</f>
        <v>1+43.0406138770191i</v>
      </c>
      <c r="AD510" s="734">
        <f t="shared" si="387"/>
        <v>43.052229244380001</v>
      </c>
      <c r="AE510" s="735">
        <f t="shared" si="388"/>
        <v>1.5475666367269976</v>
      </c>
      <c r="AF510" s="732" t="str">
        <f t="shared" si="389"/>
        <v>0.0317311134630971-1.37949262717645i</v>
      </c>
      <c r="AG510" s="337">
        <f t="shared" si="390"/>
        <v>1.3798575187300288</v>
      </c>
      <c r="AH510" s="730">
        <f t="shared" si="391"/>
        <v>-1.5477983648055693</v>
      </c>
      <c r="AI510" s="731" t="str">
        <f t="shared" si="369"/>
        <v>10000</v>
      </c>
      <c r="AJ510" s="733" t="str">
        <f t="shared" si="392"/>
        <v>1+402314.314293898i</v>
      </c>
      <c r="AK510" s="734">
        <f t="shared" si="393"/>
        <v>402314.31429514079</v>
      </c>
      <c r="AL510" s="735">
        <f t="shared" si="394"/>
        <v>1.5707938411761542</v>
      </c>
      <c r="AM510" s="340" t="str">
        <f t="shared" si="395"/>
        <v>1+682.773619147073i</v>
      </c>
      <c r="AN510" s="734">
        <f t="shared" si="396"/>
        <v>682.77435145382572</v>
      </c>
      <c r="AO510" s="735">
        <f t="shared" si="397"/>
        <v>1.5693317135513174</v>
      </c>
      <c r="AP510" s="733" t="str">
        <f t="shared" si="398"/>
        <v>1+33.1156459653949i</v>
      </c>
      <c r="AQ510" s="734">
        <f t="shared" si="399"/>
        <v>33.130741128223733</v>
      </c>
      <c r="AR510" s="735">
        <f t="shared" si="400"/>
        <v>1.540608293919302</v>
      </c>
      <c r="AS510" s="732" t="str">
        <f t="shared" si="401"/>
        <v>0.000592314345099793-3.44184348150226i</v>
      </c>
      <c r="AT510" s="337">
        <f t="shared" si="402"/>
        <v>3.4418435324685928</v>
      </c>
      <c r="AU510" s="730">
        <f t="shared" si="403"/>
        <v>-1.5706242346174237</v>
      </c>
      <c r="AV510" s="732" t="str">
        <f t="shared" si="404"/>
        <v>-0.0660867077188501+0.0296463281596921i</v>
      </c>
      <c r="AW510" s="337">
        <f t="shared" si="405"/>
        <v>-22.801421013959725</v>
      </c>
      <c r="AX510" s="730">
        <f t="shared" si="406"/>
        <v>155.83911764093975</v>
      </c>
      <c r="AY510" s="360">
        <f t="shared" si="407"/>
        <v>-24.160882359060253</v>
      </c>
      <c r="BB510" s="337">
        <f t="shared" si="408"/>
        <v>-29.264177535079394</v>
      </c>
      <c r="BC510" s="730">
        <f t="shared" si="409"/>
        <v>-89.990139844543592</v>
      </c>
      <c r="BD510" s="351"/>
      <c r="BE510" s="337">
        <f t="shared" si="370"/>
        <v>26.594657214537548</v>
      </c>
      <c r="BF510" s="730">
        <f t="shared" si="371"/>
        <v>-89.76312396017984</v>
      </c>
      <c r="BI510" s="351"/>
      <c r="BJ510" s="351"/>
      <c r="BL510" s="405">
        <f t="shared" si="372"/>
        <v>0</v>
      </c>
      <c r="BM510" s="405">
        <f t="shared" si="410"/>
        <v>0</v>
      </c>
      <c r="BN510" s="405">
        <f t="shared" si="373"/>
        <v>0</v>
      </c>
      <c r="BO510" s="405">
        <f t="shared" si="374"/>
        <v>0</v>
      </c>
    </row>
    <row r="511" spans="4:67" ht="13.5" thickBot="1" x14ac:dyDescent="0.25">
      <c r="D511" s="345">
        <v>68395.5</v>
      </c>
      <c r="E511" s="340" t="str">
        <f t="shared" si="361"/>
        <v>1.13451782578781i</v>
      </c>
      <c r="F511" s="728" t="str">
        <f t="shared" si="375"/>
        <v>0.005-0.0381472089207037i</v>
      </c>
      <c r="G511" s="337" t="str">
        <f t="shared" si="376"/>
        <v>0.005-0.0596661472862287i</v>
      </c>
      <c r="H511" s="338" t="str">
        <f t="shared" si="377"/>
        <v>0.00786294569501589-0.0590379215735082i</v>
      </c>
      <c r="I511" s="338" t="str">
        <f t="shared" si="378"/>
        <v>0.0178629456950159-0.0590379215735082i</v>
      </c>
      <c r="J511" s="337" t="str">
        <f t="shared" si="379"/>
        <v>0.00456111967800484-0.0233276203881351i</v>
      </c>
      <c r="K511" s="338" t="str">
        <f t="shared" si="362"/>
        <v>0.948022839775-0.358118000564335i</v>
      </c>
      <c r="L511" s="732"/>
      <c r="M511" s="732" t="str">
        <f t="shared" si="363"/>
        <v>0.0871764830129542-21.2381303065389i</v>
      </c>
      <c r="N511" s="337">
        <f t="shared" si="364"/>
        <v>0</v>
      </c>
      <c r="O511" s="730" t="str">
        <f t="shared" si="365"/>
        <v>-0.789521522679467-8.14619190970462i</v>
      </c>
      <c r="P511" s="731" t="str">
        <f t="shared" si="366"/>
        <v>-0.495037419172556-0.098903273967684i</v>
      </c>
      <c r="Q511" s="729" t="str">
        <f t="shared" si="367"/>
        <v>-0.487142203945762-0.017441354870638i</v>
      </c>
      <c r="R511" s="730"/>
      <c r="S511" s="405" t="str">
        <f t="shared" si="380"/>
        <v>37.2124841184631-13.4382159558132i</v>
      </c>
      <c r="T511" s="405" t="str">
        <f t="shared" si="381"/>
        <v>13.7467569839683-6.59421216130219i</v>
      </c>
      <c r="U511" s="405" t="str">
        <f t="shared" si="382"/>
        <v>-0.281218576770508-0.863429892835329i</v>
      </c>
      <c r="V511" s="731" t="str">
        <f t="shared" si="368"/>
        <v>6000</v>
      </c>
      <c r="W511" s="733" t="str">
        <f>IMSUM(COMPLEX(1,0),IMDIV(COMPLEX(0,2*PI()*D511),COMPLEX(2*PI()*'Stability Calculations'!EA_Pole1,0)))</f>
        <v>1+434039.016683973i</v>
      </c>
      <c r="X511" s="734">
        <f t="shared" si="383"/>
        <v>434039.01668512501</v>
      </c>
      <c r="Y511" s="735">
        <f t="shared" si="384"/>
        <v>1.5707940228545558</v>
      </c>
      <c r="Z511" s="340" t="str">
        <f>IMSUM(COMPLEX(1,0),IMDIV(COMPLEX(0,2*PI()*D511),COMPLEX(2*PI()*'Stability Calculations'!EA_Zero1,0)))</f>
        <v>1+4297.41600677201i</v>
      </c>
      <c r="AA511" s="734">
        <f t="shared" si="385"/>
        <v>4297.4161231209964</v>
      </c>
      <c r="AB511" s="735">
        <f t="shared" si="386"/>
        <v>1.5705636288246805</v>
      </c>
      <c r="AC511" s="733" t="str">
        <f>IMSUM(COMPLEX(1,0),IMDIV(COMPLEX(0,2*PI()*D511),COMPLEX(2*PI()*'Stability Calculations'!EA_Pole2,0)))</f>
        <v>1+43.2898316061817i</v>
      </c>
      <c r="AD511" s="734">
        <f t="shared" si="387"/>
        <v>43.301380122249775</v>
      </c>
      <c r="AE511" s="735">
        <f t="shared" si="388"/>
        <v>1.5477003213799663</v>
      </c>
      <c r="AF511" s="732" t="str">
        <f t="shared" si="389"/>
        <v>0.0313670100487982-1.37155935730333i</v>
      </c>
      <c r="AG511" s="337">
        <f t="shared" si="390"/>
        <v>1.3719179858598416</v>
      </c>
      <c r="AH511" s="730">
        <f t="shared" si="391"/>
        <v>-1.5479307154098416</v>
      </c>
      <c r="AI511" s="731" t="str">
        <f t="shared" si="369"/>
        <v>10000</v>
      </c>
      <c r="AJ511" s="733" t="str">
        <f t="shared" si="392"/>
        <v>1+404643.831714453i</v>
      </c>
      <c r="AK511" s="734">
        <f t="shared" si="393"/>
        <v>404643.83171568863</v>
      </c>
      <c r="AL511" s="735">
        <f t="shared" si="394"/>
        <v>1.5707938554857561</v>
      </c>
      <c r="AM511" s="340" t="str">
        <f t="shared" si="395"/>
        <v>1+686.727077882167i</v>
      </c>
      <c r="AN511" s="734">
        <f t="shared" si="396"/>
        <v>686.72780597306519</v>
      </c>
      <c r="AO511" s="735">
        <f t="shared" si="397"/>
        <v>1.5693401452558458</v>
      </c>
      <c r="AP511" s="733" t="str">
        <f t="shared" si="398"/>
        <v>1+33.3073952306546i</v>
      </c>
      <c r="AQ511" s="734">
        <f t="shared" si="399"/>
        <v>33.322403530523317</v>
      </c>
      <c r="AR511" s="735">
        <f t="shared" si="400"/>
        <v>1.540781980489929</v>
      </c>
      <c r="AS511" s="732" t="str">
        <f t="shared" si="401"/>
        <v>0.00058551411886045-3.4220289353514i</v>
      </c>
      <c r="AT511" s="337">
        <f t="shared" si="402"/>
        <v>3.4220289854425578</v>
      </c>
      <c r="AU511" s="730">
        <f t="shared" si="403"/>
        <v>-1.5706252253447897</v>
      </c>
      <c r="AV511" s="732" t="str">
        <f t="shared" si="404"/>
        <v>-0.0652334792545038+0.029463317716741i</v>
      </c>
      <c r="AW511" s="337">
        <f t="shared" si="405"/>
        <v>-22.904337759723319</v>
      </c>
      <c r="AX511" s="730">
        <f t="shared" si="406"/>
        <v>155.69323536825971</v>
      </c>
      <c r="AY511" s="360">
        <f t="shared" si="407"/>
        <v>-24.306764631740293</v>
      </c>
      <c r="BB511" s="337">
        <f t="shared" si="408"/>
        <v>-29.314326323926153</v>
      </c>
      <c r="BC511" s="730">
        <f t="shared" si="409"/>
        <v>-89.990196609040311</v>
      </c>
      <c r="BD511" s="351"/>
      <c r="BE511" s="337">
        <f t="shared" si="370"/>
        <v>26.542398794047031</v>
      </c>
      <c r="BF511" s="730">
        <f t="shared" si="371"/>
        <v>-89.764818445624329</v>
      </c>
      <c r="BI511" s="351"/>
      <c r="BJ511" s="351"/>
      <c r="BL511" s="405">
        <f t="shared" si="372"/>
        <v>0</v>
      </c>
      <c r="BM511" s="405">
        <f t="shared" si="410"/>
        <v>0</v>
      </c>
      <c r="BN511" s="405">
        <f t="shared" si="373"/>
        <v>0</v>
      </c>
      <c r="BO511" s="405">
        <f t="shared" si="374"/>
        <v>0</v>
      </c>
    </row>
    <row r="512" spans="4:67" ht="13.5" thickBot="1" x14ac:dyDescent="0.25">
      <c r="D512" s="345">
        <v>68789.25</v>
      </c>
      <c r="E512" s="340" t="str">
        <f t="shared" si="361"/>
        <v>1.14104919691462i</v>
      </c>
      <c r="F512" s="728" t="str">
        <f t="shared" si="375"/>
        <v>0.005-0.0379288541121758i</v>
      </c>
      <c r="G512" s="337" t="str">
        <f t="shared" si="376"/>
        <v>0.005-0.0593246179703264i</v>
      </c>
      <c r="H512" s="338" t="str">
        <f t="shared" si="377"/>
        <v>0.00783010830161332-0.0587015828214769i</v>
      </c>
      <c r="I512" s="338" t="str">
        <f t="shared" si="378"/>
        <v>0.0178301083016133-0.0587015828214769i</v>
      </c>
      <c r="J512" s="337" t="str">
        <f t="shared" si="379"/>
        <v>0.00455590062517711-0.0231950201746955i</v>
      </c>
      <c r="K512" s="338" t="str">
        <f t="shared" si="362"/>
        <v>0.94742265649375-0.360179670743253i</v>
      </c>
      <c r="L512" s="732"/>
      <c r="M512" s="732" t="str">
        <f t="shared" si="363"/>
        <v>0.0860416487993828-21.1115264350702i</v>
      </c>
      <c r="N512" s="337">
        <f t="shared" si="364"/>
        <v>0</v>
      </c>
      <c r="O512" s="730" t="str">
        <f t="shared" si="365"/>
        <v>-0.786683183497215-8.09626615117129i</v>
      </c>
      <c r="P512" s="731" t="str">
        <f t="shared" si="366"/>
        <v>-0.489290284378514-0.0981777542637453i</v>
      </c>
      <c r="Q512" s="729" t="str">
        <f t="shared" si="367"/>
        <v>-0.481423452543542-0.0172150927520328i</v>
      </c>
      <c r="R512" s="730"/>
      <c r="S512" s="405" t="str">
        <f t="shared" si="380"/>
        <v>37.1768402758636-13.5177997999371i</v>
      </c>
      <c r="T512" s="405" t="str">
        <f t="shared" si="381"/>
        <v>13.7265921052667-6.62534559338665i</v>
      </c>
      <c r="U512" s="405" t="str">
        <f t="shared" si="382"/>
        <v>-0.281437570274784-0.857649856855776i</v>
      </c>
      <c r="V512" s="731" t="str">
        <f t="shared" si="368"/>
        <v>6000</v>
      </c>
      <c r="W512" s="733" t="str">
        <f>IMSUM(COMPLEX(1,0),IMDIV(COMPLEX(0,2*PI()*D512),COMPLEX(2*PI()*'Stability Calculations'!EA_Pole1,0)))</f>
        <v>1+436537.760940822i</v>
      </c>
      <c r="X512" s="734">
        <f t="shared" si="383"/>
        <v>436537.76094196737</v>
      </c>
      <c r="Y512" s="735">
        <f t="shared" si="384"/>
        <v>1.5707940360423216</v>
      </c>
      <c r="Z512" s="340" t="str">
        <f>IMSUM(COMPLEX(1,0),IMDIV(COMPLEX(0,2*PI()*D512),COMPLEX(2*PI()*'Stability Calculations'!EA_Zero1,0)))</f>
        <v>1+4322.15604891903i</v>
      </c>
      <c r="AA512" s="734">
        <f t="shared" si="385"/>
        <v>4322.1561646020336</v>
      </c>
      <c r="AB512" s="735">
        <f t="shared" si="386"/>
        <v>1.5705649607889407</v>
      </c>
      <c r="AC512" s="733" t="str">
        <f>IMSUM(COMPLEX(1,0),IMDIV(COMPLEX(0,2*PI()*D512),COMPLEX(2*PI()*'Stability Calculations'!EA_Pole2,0)))</f>
        <v>1+43.5390493353442i</v>
      </c>
      <c r="AD512" s="734">
        <f t="shared" si="387"/>
        <v>43.5505317651293</v>
      </c>
      <c r="AE512" s="735">
        <f t="shared" si="388"/>
        <v>1.5478324764213032</v>
      </c>
      <c r="AF512" s="732" t="str">
        <f t="shared" si="389"/>
        <v>0.0310091367165838-1.36371676448886i</v>
      </c>
      <c r="AG512" s="337">
        <f t="shared" si="390"/>
        <v>1.3640692725473558</v>
      </c>
      <c r="AH512" s="730">
        <f t="shared" si="391"/>
        <v>-1.5480615516746841</v>
      </c>
      <c r="AI512" s="731" t="str">
        <f t="shared" si="369"/>
        <v>10000</v>
      </c>
      <c r="AJ512" s="733" t="str">
        <f t="shared" si="392"/>
        <v>1+406973.349135008i</v>
      </c>
      <c r="AK512" s="734">
        <f t="shared" si="393"/>
        <v>406973.34913623665</v>
      </c>
      <c r="AL512" s="735">
        <f t="shared" si="394"/>
        <v>1.5707938696315416</v>
      </c>
      <c r="AM512" s="340" t="str">
        <f t="shared" si="395"/>
        <v>1+690.680536617261i</v>
      </c>
      <c r="AN512" s="734">
        <f t="shared" si="396"/>
        <v>690.68126054056779</v>
      </c>
      <c r="AO512" s="735">
        <f t="shared" si="397"/>
        <v>1.5693484804343425</v>
      </c>
      <c r="AP512" s="733" t="str">
        <f t="shared" si="398"/>
        <v>1+33.4991444959143i</v>
      </c>
      <c r="AQ512" s="734">
        <f t="shared" si="399"/>
        <v>33.514066926563018</v>
      </c>
      <c r="AR512" s="735">
        <f t="shared" si="400"/>
        <v>1.5409536804755155</v>
      </c>
      <c r="AS512" s="732" t="str">
        <f t="shared" si="401"/>
        <v>0.000578830331672466-3.4024412262969i</v>
      </c>
      <c r="AT512" s="337">
        <f t="shared" si="402"/>
        <v>3.4024412755328055</v>
      </c>
      <c r="AU512" s="730">
        <f t="shared" si="403"/>
        <v>-1.5706262047302995</v>
      </c>
      <c r="AV512" s="732" t="str">
        <f t="shared" si="404"/>
        <v>-0.0643949247822981+0.0292821767428335i</v>
      </c>
      <c r="AW512" s="337">
        <f t="shared" si="405"/>
        <v>-23.006694887366997</v>
      </c>
      <c r="AX512" s="730">
        <f t="shared" si="406"/>
        <v>155.54737664842526</v>
      </c>
      <c r="AY512" s="360">
        <f t="shared" si="407"/>
        <v>-24.452623351574744</v>
      </c>
      <c r="BB512" s="337">
        <f t="shared" si="408"/>
        <v>-29.36418723539273</v>
      </c>
      <c r="BC512" s="730">
        <f t="shared" si="409"/>
        <v>-89.990252723696528</v>
      </c>
      <c r="BD512" s="351"/>
      <c r="BE512" s="337">
        <f t="shared" si="370"/>
        <v>26.490464845315806</v>
      </c>
      <c r="BF512" s="730">
        <f t="shared" si="371"/>
        <v>-89.766487939246844</v>
      </c>
      <c r="BI512" s="351"/>
      <c r="BJ512" s="351"/>
      <c r="BL512" s="405">
        <f t="shared" si="372"/>
        <v>0</v>
      </c>
      <c r="BM512" s="405">
        <f t="shared" si="410"/>
        <v>0</v>
      </c>
      <c r="BN512" s="405">
        <f t="shared" si="373"/>
        <v>0</v>
      </c>
      <c r="BO512" s="405">
        <f t="shared" si="374"/>
        <v>0</v>
      </c>
    </row>
    <row r="513" spans="4:67" ht="13.5" thickBot="1" x14ac:dyDescent="0.25">
      <c r="D513" s="345">
        <v>69183</v>
      </c>
      <c r="E513" s="340" t="str">
        <f t="shared" si="361"/>
        <v>1.14758056804144i</v>
      </c>
      <c r="F513" s="728" t="str">
        <f t="shared" si="375"/>
        <v>0.005-0.0377129848045906i</v>
      </c>
      <c r="G513" s="337" t="str">
        <f t="shared" si="376"/>
        <v>0.005-0.0589869762328212i</v>
      </c>
      <c r="H513" s="338" t="str">
        <f t="shared" si="377"/>
        <v>0.00779782824724342-0.0583690456538429i</v>
      </c>
      <c r="I513" s="338" t="str">
        <f t="shared" si="378"/>
        <v>0.0177978282472434-0.0583690456538429i</v>
      </c>
      <c r="J513" s="337" t="str">
        <f t="shared" si="379"/>
        <v>0.0045507666626405-0.0230639316921228i</v>
      </c>
      <c r="K513" s="338" t="str">
        <f t="shared" si="362"/>
        <v>0.9468190279-0.362241340922171i</v>
      </c>
      <c r="L513" s="732"/>
      <c r="M513" s="732" t="str">
        <f t="shared" si="363"/>
        <v>0.0849293281905649-20.9864511947635i</v>
      </c>
      <c r="N513" s="337">
        <f t="shared" si="364"/>
        <v>0</v>
      </c>
      <c r="O513" s="730" t="str">
        <f t="shared" si="365"/>
        <v>-0.783887616983005-8.04693790736249i</v>
      </c>
      <c r="P513" s="731" t="str">
        <f t="shared" si="366"/>
        <v>-0.483643583260684-0.0974632466883068i</v>
      </c>
      <c r="Q513" s="729" t="str">
        <f t="shared" si="367"/>
        <v>-0.475804707090854-0.0169938676146822i</v>
      </c>
      <c r="R513" s="730"/>
      <c r="S513" s="405" t="str">
        <f t="shared" si="380"/>
        <v>37.1409841428025-13.5972572617304i</v>
      </c>
      <c r="T513" s="405" t="str">
        <f t="shared" si="381"/>
        <v>13.706326208224-6.65642371966943i</v>
      </c>
      <c r="U513" s="405" t="str">
        <f t="shared" si="382"/>
        <v>-0.281649522312286-0.851930829101149i</v>
      </c>
      <c r="V513" s="731" t="str">
        <f t="shared" si="368"/>
        <v>6000</v>
      </c>
      <c r="W513" s="733" t="str">
        <f>IMSUM(COMPLEX(1,0),IMDIV(COMPLEX(0,2*PI()*D513),COMPLEX(2*PI()*'Stability Calculations'!EA_Pole1,0)))</f>
        <v>1+439036.505197671i</v>
      </c>
      <c r="X513" s="734">
        <f t="shared" si="383"/>
        <v>439036.50519880984</v>
      </c>
      <c r="Y513" s="735">
        <f t="shared" si="384"/>
        <v>1.5707940490799728</v>
      </c>
      <c r="Z513" s="340" t="str">
        <f>IMSUM(COMPLEX(1,0),IMDIV(COMPLEX(0,2*PI()*D513),COMPLEX(2*PI()*'Stability Calculations'!EA_Zero1,0)))</f>
        <v>1+4346.89609106605i</v>
      </c>
      <c r="AA513" s="734">
        <f t="shared" si="385"/>
        <v>4346.8962060906515</v>
      </c>
      <c r="AB513" s="735">
        <f t="shared" si="386"/>
        <v>1.5705662775916469</v>
      </c>
      <c r="AC513" s="733" t="str">
        <f>IMSUM(COMPLEX(1,0),IMDIV(COMPLEX(0,2*PI()*D513),COMPLEX(2*PI()*'Stability Calculations'!EA_Pole2,0)))</f>
        <v>1+43.7882670645067i</v>
      </c>
      <c r="AD513" s="734">
        <f t="shared" si="387"/>
        <v>43.799684159963554</v>
      </c>
      <c r="AE513" s="735">
        <f t="shared" si="388"/>
        <v>1.547963127949719</v>
      </c>
      <c r="AF513" s="732" t="str">
        <f t="shared" si="389"/>
        <v>0.0306573521621961-1.3559633037144i</v>
      </c>
      <c r="AG513" s="337">
        <f t="shared" si="390"/>
        <v>1.3563098297445417</v>
      </c>
      <c r="AH513" s="730">
        <f t="shared" si="391"/>
        <v>-1.5481908994380449</v>
      </c>
      <c r="AI513" s="731" t="str">
        <f t="shared" si="369"/>
        <v>10000</v>
      </c>
      <c r="AJ513" s="733" t="str">
        <f t="shared" si="392"/>
        <v>1+409302.866555563i</v>
      </c>
      <c r="AK513" s="734">
        <f t="shared" si="393"/>
        <v>409302.86655678466</v>
      </c>
      <c r="AL513" s="735">
        <f t="shared" si="394"/>
        <v>1.5707938836163076</v>
      </c>
      <c r="AM513" s="340" t="str">
        <f t="shared" si="395"/>
        <v>1+694.633995352355i</v>
      </c>
      <c r="AN513" s="734">
        <f t="shared" si="396"/>
        <v>694.6347151555093</v>
      </c>
      <c r="AO513" s="735">
        <f t="shared" si="397"/>
        <v>1.5693567207349157</v>
      </c>
      <c r="AP513" s="733" t="str">
        <f t="shared" si="398"/>
        <v>1+33.690893761174i</v>
      </c>
      <c r="AQ513" s="734">
        <f t="shared" si="399"/>
        <v>33.705731299390521</v>
      </c>
      <c r="AR513" s="735">
        <f t="shared" si="400"/>
        <v>1.54112342775542</v>
      </c>
      <c r="AS513" s="732" t="str">
        <f t="shared" si="401"/>
        <v>0.000572260340276425-3.38307648125883i</v>
      </c>
      <c r="AT513" s="337">
        <f t="shared" si="402"/>
        <v>3.3830765296588439</v>
      </c>
      <c r="AU513" s="730">
        <f t="shared" si="403"/>
        <v>-1.5706271729676071</v>
      </c>
      <c r="AV513" s="732" t="str">
        <f t="shared" si="404"/>
        <v>-0.0635707114284852+0.0291028759799814i</v>
      </c>
      <c r="AW513" s="337">
        <f t="shared" si="405"/>
        <v>-23.108499012531766</v>
      </c>
      <c r="AX513" s="730">
        <f t="shared" si="406"/>
        <v>155.40154098283122</v>
      </c>
      <c r="AY513" s="360">
        <f t="shared" si="407"/>
        <v>-24.598459017168778</v>
      </c>
      <c r="BB513" s="337">
        <f t="shared" si="408"/>
        <v>-29.413763555723644</v>
      </c>
      <c r="BC513" s="730">
        <f t="shared" si="409"/>
        <v>-89.990308199607824</v>
      </c>
      <c r="BD513" s="351"/>
      <c r="BE513" s="337">
        <f t="shared" si="370"/>
        <v>26.438851237715674</v>
      </c>
      <c r="BF513" s="730">
        <f t="shared" si="371"/>
        <v>-89.768132999089673</v>
      </c>
      <c r="BI513" s="351"/>
      <c r="BJ513" s="351"/>
      <c r="BL513" s="405">
        <f t="shared" si="372"/>
        <v>0</v>
      </c>
      <c r="BM513" s="405">
        <f t="shared" si="410"/>
        <v>0</v>
      </c>
      <c r="BN513" s="405">
        <f t="shared" si="373"/>
        <v>0</v>
      </c>
      <c r="BO513" s="405">
        <f t="shared" si="374"/>
        <v>0</v>
      </c>
    </row>
    <row r="514" spans="4:67" ht="13.5" thickBot="1" x14ac:dyDescent="0.25">
      <c r="D514" s="345">
        <v>69586</v>
      </c>
      <c r="E514" s="340" t="str">
        <f t="shared" si="361"/>
        <v>1.15426537455345i</v>
      </c>
      <c r="F514" s="728" t="str">
        <f t="shared" si="375"/>
        <v>0.005-0.0374945740197165i</v>
      </c>
      <c r="G514" s="337" t="str">
        <f t="shared" si="376"/>
        <v>0.005-0.0586453593641721i</v>
      </c>
      <c r="H514" s="338" t="str">
        <f t="shared" si="377"/>
        <v>0.0077653539235164-0.0580325663751499i</v>
      </c>
      <c r="I514" s="338" t="str">
        <f t="shared" si="378"/>
        <v>0.0177653539235164-0.0580325663751499i</v>
      </c>
      <c r="J514" s="337" t="str">
        <f t="shared" si="379"/>
        <v>0.00454559818520928-0.0229313023326687i</v>
      </c>
      <c r="K514" s="338" t="str">
        <f t="shared" si="362"/>
        <v>0.946197651155556-0.364351443987832i</v>
      </c>
      <c r="L514" s="732"/>
      <c r="M514" s="732" t="str">
        <f t="shared" si="363"/>
        <v>0.0838135625720803-20.8599914001499i</v>
      </c>
      <c r="N514" s="337">
        <f t="shared" si="364"/>
        <v>0</v>
      </c>
      <c r="O514" s="730" t="str">
        <f t="shared" si="365"/>
        <v>-0.781069632389234-7.99705815554292i</v>
      </c>
      <c r="P514" s="731" t="str">
        <f t="shared" si="366"/>
        <v>-0.477965786675783-0.0967430931949211i</v>
      </c>
      <c r="Q514" s="729" t="str">
        <f t="shared" si="367"/>
        <v>-0.47015509035189-0.0167725116394921i</v>
      </c>
      <c r="R514" s="730"/>
      <c r="S514" s="405" t="str">
        <f t="shared" si="380"/>
        <v>37.1040659790225-13.6784504476742i</v>
      </c>
      <c r="T514" s="405" t="str">
        <f t="shared" si="381"/>
        <v>13.6854798266179-6.68817397982813i</v>
      </c>
      <c r="U514" s="405" t="str">
        <f t="shared" si="382"/>
        <v>-0.281859305946093-0.846139554469394i</v>
      </c>
      <c r="V514" s="731" t="str">
        <f t="shared" si="368"/>
        <v>6000</v>
      </c>
      <c r="W514" s="733" t="str">
        <f>IMSUM(COMPLEX(1,0),IMDIV(COMPLEX(0,2*PI()*D514),COMPLEX(2*PI()*'Stability Calculations'!EA_Pole1,0)))</f>
        <v>1+441593.950113253i</v>
      </c>
      <c r="X514" s="734">
        <f t="shared" si="383"/>
        <v>441593.95011438534</v>
      </c>
      <c r="Y514" s="735">
        <f t="shared" si="384"/>
        <v>1.5707940622711192</v>
      </c>
      <c r="Z514" s="340" t="str">
        <f>IMSUM(COMPLEX(1,0),IMDIV(COMPLEX(0,2*PI()*D514),COMPLEX(2*PI()*'Stability Calculations'!EA_Zero1,0)))</f>
        <v>1+4372.21732785399i</v>
      </c>
      <c r="AA514" s="734">
        <f t="shared" si="385"/>
        <v>4372.217442212439</v>
      </c>
      <c r="AB514" s="735">
        <f t="shared" si="386"/>
        <v>1.5705676098973644</v>
      </c>
      <c r="AC514" s="733" t="str">
        <f>IMSUM(COMPLEX(1,0),IMDIV(COMPLEX(0,2*PI()*D514),COMPLEX(2*PI()*'Stability Calculations'!EA_Pole2,0)))</f>
        <v>1+44.0433394323861i</v>
      </c>
      <c r="AD514" s="734">
        <f t="shared" si="387"/>
        <v>44.054690424021551</v>
      </c>
      <c r="AE514" s="735">
        <f t="shared" si="388"/>
        <v>1.5480953184610506</v>
      </c>
      <c r="AF514" s="732" t="str">
        <f t="shared" si="389"/>
        <v>0.0303034651896188-1.34811841982339i</v>
      </c>
      <c r="AG514" s="337">
        <f t="shared" si="390"/>
        <v>1.3484589626197796</v>
      </c>
      <c r="AH514" s="730">
        <f t="shared" si="391"/>
        <v>-1.5483217708348054</v>
      </c>
      <c r="AI514" s="731" t="str">
        <f t="shared" si="369"/>
        <v>10000</v>
      </c>
      <c r="AJ514" s="733" t="str">
        <f t="shared" si="392"/>
        <v>1+411687.109147268i</v>
      </c>
      <c r="AK514" s="734">
        <f t="shared" si="393"/>
        <v>411687.1091484825</v>
      </c>
      <c r="AL514" s="735">
        <f t="shared" si="394"/>
        <v>1.5707938977657194</v>
      </c>
      <c r="AM514" s="340" t="str">
        <f t="shared" si="395"/>
        <v>1+698.680328991067i</v>
      </c>
      <c r="AN514" s="734">
        <f t="shared" si="396"/>
        <v>698.68104462556141</v>
      </c>
      <c r="AO514" s="735">
        <f t="shared" si="397"/>
        <v>1.569365058050576</v>
      </c>
      <c r="AP514" s="733" t="str">
        <f t="shared" si="398"/>
        <v>1+33.8871476123478i</v>
      </c>
      <c r="AQ514" s="734">
        <f t="shared" si="399"/>
        <v>33.901899258021665</v>
      </c>
      <c r="AR514" s="735">
        <f t="shared" si="400"/>
        <v>1.5412951752485451</v>
      </c>
      <c r="AS514" s="732" t="str">
        <f t="shared" si="401"/>
        <v>0.000565651163078853-3.3634837507584i</v>
      </c>
      <c r="AT514" s="337">
        <f t="shared" si="402"/>
        <v>3.3634837983223638</v>
      </c>
      <c r="AU514" s="730">
        <f t="shared" si="403"/>
        <v>-1.5706281526041879</v>
      </c>
      <c r="AV514" s="732" t="str">
        <f t="shared" si="404"/>
        <v>-0.0627416485023976+0.0289212387205507i</v>
      </c>
      <c r="AW514" s="337">
        <f t="shared" si="405"/>
        <v>-23.212128871328904</v>
      </c>
      <c r="AX514" s="730">
        <f t="shared" si="406"/>
        <v>155.25230270351014</v>
      </c>
      <c r="AY514" s="360">
        <f t="shared" si="407"/>
        <v>-24.747697296489861</v>
      </c>
      <c r="BB514" s="337">
        <f t="shared" si="408"/>
        <v>-29.464213198875214</v>
      </c>
      <c r="BC514" s="730">
        <f t="shared" si="409"/>
        <v>-89.990364328649363</v>
      </c>
      <c r="BD514" s="351"/>
      <c r="BE514" s="337">
        <f t="shared" si="370"/>
        <v>26.386352611112542</v>
      </c>
      <c r="BF514" s="730">
        <f t="shared" si="371"/>
        <v>-89.769791968363322</v>
      </c>
      <c r="BI514" s="351"/>
      <c r="BJ514" s="351"/>
      <c r="BL514" s="405">
        <f t="shared" si="372"/>
        <v>0</v>
      </c>
      <c r="BM514" s="405">
        <f t="shared" si="410"/>
        <v>0</v>
      </c>
      <c r="BN514" s="405">
        <f t="shared" si="373"/>
        <v>0</v>
      </c>
      <c r="BO514" s="405">
        <f t="shared" si="374"/>
        <v>0</v>
      </c>
    </row>
    <row r="515" spans="4:67" ht="13.5" thickBot="1" x14ac:dyDescent="0.25">
      <c r="D515" s="345">
        <v>69989</v>
      </c>
      <c r="E515" s="340" t="str">
        <f t="shared" si="361"/>
        <v>1.16095018106547i</v>
      </c>
      <c r="F515" s="728" t="str">
        <f t="shared" si="375"/>
        <v>0.005-0.0372786784742744i</v>
      </c>
      <c r="G515" s="337" t="str">
        <f t="shared" si="376"/>
        <v>0.005-0.0583076765879676i</v>
      </c>
      <c r="H515" s="338" t="str">
        <f t="shared" si="377"/>
        <v>0.00773343724933863-0.0576999354084415i</v>
      </c>
      <c r="I515" s="338" t="str">
        <f t="shared" si="378"/>
        <v>0.0177334372493386-0.0576999354084415i</v>
      </c>
      <c r="J515" s="337" t="str">
        <f t="shared" si="379"/>
        <v>0.00454051479920304-0.0228002028411625i</v>
      </c>
      <c r="K515" s="338" t="str">
        <f t="shared" si="362"/>
        <v>0.945572665322222-0.366461547053493i</v>
      </c>
      <c r="L515" s="732"/>
      <c r="M515" s="732" t="str">
        <f t="shared" si="363"/>
        <v>0.0827201280170232-20.7350743395467i</v>
      </c>
      <c r="N515" s="337">
        <f t="shared" si="364"/>
        <v>0</v>
      </c>
      <c r="O515" s="730" t="str">
        <f t="shared" si="365"/>
        <v>-0.778294379386785-7.94778141636074i</v>
      </c>
      <c r="P515" s="731" t="str">
        <f t="shared" si="366"/>
        <v>-0.472388308902795-0.0960339475991224i</v>
      </c>
      <c r="Q515" s="729" t="str">
        <f t="shared" si="367"/>
        <v>-0.464605365108927-0.0165561334355152i</v>
      </c>
      <c r="R515" s="730"/>
      <c r="S515" s="405" t="str">
        <f t="shared" si="380"/>
        <v>37.0669257045921-13.7595111745367i</v>
      </c>
      <c r="T515" s="405" t="str">
        <f t="shared" si="381"/>
        <v>13.6645280523323-6.71986491952216i</v>
      </c>
      <c r="U515" s="405" t="str">
        <f t="shared" si="382"/>
        <v>-0.282062001575341-0.840410039685564i</v>
      </c>
      <c r="V515" s="731" t="str">
        <f t="shared" si="368"/>
        <v>6000</v>
      </c>
      <c r="W515" s="733" t="str">
        <f>IMSUM(COMPLEX(1,0),IMDIV(COMPLEX(0,2*PI()*D515),COMPLEX(2*PI()*'Stability Calculations'!EA_Pole1,0)))</f>
        <v>1+444151.395028834i</v>
      </c>
      <c r="X515" s="734">
        <f t="shared" si="383"/>
        <v>444151.39502995973</v>
      </c>
      <c r="Y515" s="735">
        <f t="shared" si="384"/>
        <v>1.5707940753103551</v>
      </c>
      <c r="Z515" s="340" t="str">
        <f>IMSUM(COMPLEX(1,0),IMDIV(COMPLEX(0,2*PI()*D515),COMPLEX(2*PI()*'Stability Calculations'!EA_Zero1,0)))</f>
        <v>1+4397.53856464192i</v>
      </c>
      <c r="AA515" s="734">
        <f t="shared" si="385"/>
        <v>4397.5386783418871</v>
      </c>
      <c r="AB515" s="735">
        <f t="shared" si="386"/>
        <v>1.5705689268601233</v>
      </c>
      <c r="AC515" s="733" t="str">
        <f>IMSUM(COMPLEX(1,0),IMDIV(COMPLEX(0,2*PI()*D515),COMPLEX(2*PI()*'Stability Calculations'!EA_Pole2,0)))</f>
        <v>1+44.2984118002654i</v>
      </c>
      <c r="AD515" s="734">
        <f t="shared" si="387"/>
        <v>44.309697449044869</v>
      </c>
      <c r="AE515" s="735">
        <f t="shared" si="388"/>
        <v>1.5482259874337181</v>
      </c>
      <c r="AF515" s="732" t="str">
        <f t="shared" si="389"/>
        <v>0.0299556695429206-1.34036374085707i</v>
      </c>
      <c r="AG515" s="337">
        <f t="shared" si="390"/>
        <v>1.3406984373609614</v>
      </c>
      <c r="AH515" s="730">
        <f t="shared" si="391"/>
        <v>-1.5484511358839499</v>
      </c>
      <c r="AI515" s="731" t="str">
        <f t="shared" si="369"/>
        <v>10000</v>
      </c>
      <c r="AJ515" s="733" t="str">
        <f t="shared" si="392"/>
        <v>1+414071.351738972i</v>
      </c>
      <c r="AK515" s="734">
        <f t="shared" si="393"/>
        <v>414071.35174017958</v>
      </c>
      <c r="AL515" s="735">
        <f t="shared" si="394"/>
        <v>1.5707939117521852</v>
      </c>
      <c r="AM515" s="340" t="str">
        <f t="shared" si="395"/>
        <v>1+702.726662629779i</v>
      </c>
      <c r="AN515" s="734">
        <f t="shared" si="396"/>
        <v>702.72737414361995</v>
      </c>
      <c r="AO515" s="735">
        <f t="shared" si="397"/>
        <v>1.5693732993531098</v>
      </c>
      <c r="AP515" s="733" t="str">
        <f t="shared" si="398"/>
        <v>1+34.0834014635215i</v>
      </c>
      <c r="AQ515" s="734">
        <f t="shared" si="399"/>
        <v>34.098068205157603</v>
      </c>
      <c r="AR515" s="735">
        <f t="shared" si="400"/>
        <v>1.541464946592163</v>
      </c>
      <c r="AS515" s="732" t="str">
        <f t="shared" si="401"/>
        <v>0.000559155824739356-3.34411665199226i</v>
      </c>
      <c r="AT515" s="337">
        <f t="shared" si="402"/>
        <v>3.3441166987393189</v>
      </c>
      <c r="AU515" s="730">
        <f t="shared" si="403"/>
        <v>-1.5706291209591805</v>
      </c>
      <c r="AV515" s="732" t="str">
        <f t="shared" si="404"/>
        <v>-0.0619269326378766+0.0287414690052974i</v>
      </c>
      <c r="AW515" s="337">
        <f t="shared" si="405"/>
        <v>-23.315193106032311</v>
      </c>
      <c r="AX515" s="730">
        <f t="shared" si="406"/>
        <v>155.10308756095074</v>
      </c>
      <c r="AY515" s="360">
        <f t="shared" si="407"/>
        <v>-24.89691243904926</v>
      </c>
      <c r="BB515" s="337">
        <f t="shared" si="408"/>
        <v>-29.51437151022137</v>
      </c>
      <c r="BC515" s="730">
        <f t="shared" si="409"/>
        <v>-89.990419811303511</v>
      </c>
      <c r="BD515" s="351"/>
      <c r="BE515" s="337">
        <f t="shared" si="370"/>
        <v>26.334181052916744</v>
      </c>
      <c r="BF515" s="730">
        <f t="shared" si="371"/>
        <v>-89.771426473066896</v>
      </c>
      <c r="BI515" s="351"/>
      <c r="BJ515" s="351"/>
      <c r="BL515" s="405">
        <f t="shared" si="372"/>
        <v>0</v>
      </c>
      <c r="BM515" s="405">
        <f t="shared" si="410"/>
        <v>0</v>
      </c>
      <c r="BN515" s="405">
        <f t="shared" si="373"/>
        <v>0</v>
      </c>
      <c r="BO515" s="405">
        <f t="shared" si="374"/>
        <v>0</v>
      </c>
    </row>
    <row r="516" spans="4:67" ht="13.5" thickBot="1" x14ac:dyDescent="0.25">
      <c r="D516" s="345">
        <v>70392</v>
      </c>
      <c r="E516" s="340" t="str">
        <f t="shared" si="361"/>
        <v>1.16763498757748i</v>
      </c>
      <c r="F516" s="728" t="str">
        <f t="shared" si="375"/>
        <v>0.005-0.0370652549684054i</v>
      </c>
      <c r="G516" s="337" t="str">
        <f t="shared" si="376"/>
        <v>0.005-0.0579738603351982i</v>
      </c>
      <c r="H516" s="338" t="str">
        <f t="shared" si="377"/>
        <v>0.00770206553895511-0.0573710872600081i</v>
      </c>
      <c r="I516" s="338" t="str">
        <f t="shared" si="378"/>
        <v>0.0177020655389551-0.0573710872600081i</v>
      </c>
      <c r="J516" s="337" t="str">
        <f t="shared" si="379"/>
        <v>0.00453551454589739-0.022670606965141i</v>
      </c>
      <c r="K516" s="338" t="str">
        <f t="shared" si="362"/>
        <v>0.9449440704-0.368571650119154i</v>
      </c>
      <c r="L516" s="732"/>
      <c r="M516" s="732" t="str">
        <f t="shared" si="363"/>
        <v>0.0816484228216179-20.6116714912732i</v>
      </c>
      <c r="N516" s="337">
        <f t="shared" si="364"/>
        <v>0</v>
      </c>
      <c r="O516" s="730" t="str">
        <f t="shared" si="365"/>
        <v>-0.775560853483646-7.89909653537252i</v>
      </c>
      <c r="P516" s="731" t="str">
        <f t="shared" si="366"/>
        <v>-0.4669087856639-0.0953355551670403i</v>
      </c>
      <c r="Q516" s="729" t="str">
        <f t="shared" si="367"/>
        <v>-0.459153177129063-0.0163445898133153i</v>
      </c>
      <c r="R516" s="730"/>
      <c r="S516" s="405" t="str">
        <f t="shared" si="380"/>
        <v>37.0295634567285-13.8404393799026i</v>
      </c>
      <c r="T516" s="405" t="str">
        <f t="shared" si="381"/>
        <v>13.6434711062-6.75149584782592i</v>
      </c>
      <c r="U516" s="405" t="str">
        <f t="shared" si="382"/>
        <v>-0.282257748782411-0.83474123486914i</v>
      </c>
      <c r="V516" s="731" t="str">
        <f t="shared" si="368"/>
        <v>6000</v>
      </c>
      <c r="W516" s="733" t="str">
        <f>IMSUM(COMPLEX(1,0),IMDIV(COMPLEX(0,2*PI()*D516),COMPLEX(2*PI()*'Stability Calculations'!EA_Pole1,0)))</f>
        <v>1+446708.839944415i</v>
      </c>
      <c r="X516" s="734">
        <f t="shared" si="383"/>
        <v>446708.8399455343</v>
      </c>
      <c r="Y516" s="735">
        <f t="shared" si="384"/>
        <v>1.5707940882002895</v>
      </c>
      <c r="Z516" s="340" t="str">
        <f>IMSUM(COMPLEX(1,0),IMDIV(COMPLEX(0,2*PI()*D516),COMPLEX(2*PI()*'Stability Calculations'!EA_Zero1,0)))</f>
        <v>1+4422.85980142985i</v>
      </c>
      <c r="AA516" s="734">
        <f t="shared" si="385"/>
        <v>4422.8599144788768</v>
      </c>
      <c r="AB516" s="735">
        <f t="shared" si="386"/>
        <v>1.570570228743442</v>
      </c>
      <c r="AC516" s="733" t="str">
        <f>IMSUM(COMPLEX(1,0),IMDIV(COMPLEX(0,2*PI()*D516),COMPLEX(2*PI()*'Stability Calculations'!EA_Pole2,0)))</f>
        <v>1+44.5534841681447i</v>
      </c>
      <c r="AD516" s="734">
        <f t="shared" si="387"/>
        <v>44.564705221970449</v>
      </c>
      <c r="AE516" s="735">
        <f t="shared" si="388"/>
        <v>1.548355160982827</v>
      </c>
      <c r="AF516" s="732" t="str">
        <f t="shared" si="389"/>
        <v>0.0296138262462194-1.33269772064284i</v>
      </c>
      <c r="AG516" s="337">
        <f t="shared" si="390"/>
        <v>1.3330267039003993</v>
      </c>
      <c r="AH516" s="730">
        <f t="shared" si="391"/>
        <v>-1.5485790204396745</v>
      </c>
      <c r="AI516" s="731" t="str">
        <f t="shared" si="369"/>
        <v>10000</v>
      </c>
      <c r="AJ516" s="733" t="str">
        <f t="shared" si="392"/>
        <v>1+416455.594330676i</v>
      </c>
      <c r="AK516" s="734">
        <f t="shared" si="393"/>
        <v>416455.59433187667</v>
      </c>
      <c r="AL516" s="735">
        <f t="shared" si="394"/>
        <v>1.5707939255785037</v>
      </c>
      <c r="AM516" s="340" t="str">
        <f t="shared" si="395"/>
        <v>1+706.77299626849i</v>
      </c>
      <c r="AN516" s="734">
        <f t="shared" si="396"/>
        <v>706.77370370885967</v>
      </c>
      <c r="AO516" s="735">
        <f t="shared" si="397"/>
        <v>1.5693814462915612</v>
      </c>
      <c r="AP516" s="733" t="str">
        <f t="shared" si="398"/>
        <v>1+34.2796553146952i</v>
      </c>
      <c r="AQ516" s="734">
        <f t="shared" si="399"/>
        <v>34.294238123835186</v>
      </c>
      <c r="AR516" s="735">
        <f t="shared" si="400"/>
        <v>1.5416327756883168</v>
      </c>
      <c r="AS516" s="732" t="str">
        <f t="shared" si="401"/>
        <v>0.000552771725787596-3.32497130968003i</v>
      </c>
      <c r="AT516" s="337">
        <f t="shared" si="402"/>
        <v>3.3249713556287848</v>
      </c>
      <c r="AU516" s="730">
        <f t="shared" si="403"/>
        <v>-1.5706300782263494</v>
      </c>
      <c r="AV516" s="732" t="str">
        <f t="shared" si="404"/>
        <v>-0.061126236497189+0.0285635373360187i</v>
      </c>
      <c r="AW516" s="337">
        <f t="shared" si="405"/>
        <v>-23.417698452855561</v>
      </c>
      <c r="AX516" s="730">
        <f t="shared" si="406"/>
        <v>154.95389506395037</v>
      </c>
      <c r="AY516" s="360">
        <f t="shared" si="407"/>
        <v>-25.04610493604963</v>
      </c>
      <c r="BB516" s="337">
        <f t="shared" si="408"/>
        <v>-29.56424183516306</v>
      </c>
      <c r="BC516" s="730">
        <f t="shared" si="409"/>
        <v>-89.990474658672156</v>
      </c>
      <c r="BD516" s="351"/>
      <c r="BE516" s="337">
        <f t="shared" si="370"/>
        <v>26.28233238873802</v>
      </c>
      <c r="BF516" s="730">
        <f t="shared" si="371"/>
        <v>-89.773037059868287</v>
      </c>
      <c r="BI516" s="351"/>
      <c r="BJ516" s="351"/>
      <c r="BL516" s="405">
        <f t="shared" si="372"/>
        <v>0</v>
      </c>
      <c r="BM516" s="405">
        <f t="shared" si="410"/>
        <v>0</v>
      </c>
      <c r="BN516" s="405">
        <f t="shared" si="373"/>
        <v>0</v>
      </c>
      <c r="BO516" s="405">
        <f t="shared" si="374"/>
        <v>0</v>
      </c>
    </row>
    <row r="517" spans="4:67" ht="13.5" thickBot="1" x14ac:dyDescent="0.25">
      <c r="D517" s="345">
        <v>70795</v>
      </c>
      <c r="E517" s="340" t="str">
        <f t="shared" si="361"/>
        <v>1.1743197940895i</v>
      </c>
      <c r="F517" s="728" t="str">
        <f t="shared" si="375"/>
        <v>0.005-0.0368542612859099i</v>
      </c>
      <c r="G517" s="337" t="str">
        <f t="shared" si="376"/>
        <v>0.005-0.0576438445753974i</v>
      </c>
      <c r="H517" s="338" t="str">
        <f t="shared" si="377"/>
        <v>0.00767122646503287-0.0570459579105162i</v>
      </c>
      <c r="I517" s="338" t="str">
        <f t="shared" si="378"/>
        <v>0.0176712264650329-0.0570459579105162i</v>
      </c>
      <c r="J517" s="337" t="str">
        <f t="shared" si="379"/>
        <v>0.0045305955222065-0.0225424890488433i</v>
      </c>
      <c r="K517" s="338" t="str">
        <f t="shared" si="362"/>
        <v>0.944311866388889-0.370681753184816i</v>
      </c>
      <c r="L517" s="732"/>
      <c r="M517" s="732" t="str">
        <f t="shared" si="363"/>
        <v>0.0805978656116147-20.4897550423932i</v>
      </c>
      <c r="N517" s="337">
        <f t="shared" si="364"/>
        <v>0</v>
      </c>
      <c r="O517" s="730" t="str">
        <f t="shared" si="365"/>
        <v>-0.772868078905904-7.85099263615114i</v>
      </c>
      <c r="P517" s="731" t="str">
        <f t="shared" si="366"/>
        <v>-0.461524922327592-0.0946476689490845i</v>
      </c>
      <c r="Q517" s="729" t="str">
        <f t="shared" si="367"/>
        <v>-0.453796241538533-0.0161377425875728i</v>
      </c>
      <c r="R517" s="730"/>
      <c r="S517" s="405" t="str">
        <f t="shared" si="380"/>
        <v>36.9919793728267-13.9212349834652i</v>
      </c>
      <c r="T517" s="405" t="str">
        <f t="shared" si="381"/>
        <v>13.6223092120517-6.78306608028039i</v>
      </c>
      <c r="U517" s="405" t="str">
        <f t="shared" si="382"/>
        <v>-0.282446683177572-0.829132113983851i</v>
      </c>
      <c r="V517" s="731" t="str">
        <f t="shared" si="368"/>
        <v>6000</v>
      </c>
      <c r="W517" s="733" t="str">
        <f>IMSUM(COMPLEX(1,0),IMDIV(COMPLEX(0,2*PI()*D517),COMPLEX(2*PI()*'Stability Calculations'!EA_Pole1,0)))</f>
        <v>1+449266.284859997i</v>
      </c>
      <c r="X517" s="734">
        <f t="shared" si="383"/>
        <v>449266.28486110986</v>
      </c>
      <c r="Y517" s="735">
        <f t="shared" si="384"/>
        <v>1.5707941009434725</v>
      </c>
      <c r="Z517" s="340" t="str">
        <f>IMSUM(COMPLEX(1,0),IMDIV(COMPLEX(0,2*PI()*D517),COMPLEX(2*PI()*'Stability Calculations'!EA_Zero1,0)))</f>
        <v>1+4448.18103821779i</v>
      </c>
      <c r="AA517" s="734">
        <f t="shared" si="385"/>
        <v>4448.1811506232862</v>
      </c>
      <c r="AB517" s="735">
        <f t="shared" si="386"/>
        <v>1.5705715158048399</v>
      </c>
      <c r="AC517" s="733" t="str">
        <f>IMSUM(COMPLEX(1,0),IMDIV(COMPLEX(0,2*PI()*D517),COMPLEX(2*PI()*'Stability Calculations'!EA_Pole2,0)))</f>
        <v>1+44.8085565360241i</v>
      </c>
      <c r="AD517" s="734">
        <f t="shared" si="387"/>
        <v>44.819713730032547</v>
      </c>
      <c r="AE517" s="735">
        <f t="shared" si="388"/>
        <v>1.548482864629342</v>
      </c>
      <c r="AF517" s="732" t="str">
        <f t="shared" si="389"/>
        <v>0.0292778002639774-1.3251188481265i</v>
      </c>
      <c r="AG517" s="337">
        <f t="shared" si="390"/>
        <v>1.3254422474209879</v>
      </c>
      <c r="AH517" s="730">
        <f t="shared" si="391"/>
        <v>-1.5487054497679744</v>
      </c>
      <c r="AI517" s="731" t="str">
        <f t="shared" si="369"/>
        <v>10000</v>
      </c>
      <c r="AJ517" s="733" t="str">
        <f t="shared" si="392"/>
        <v>1+418839.836922381i</v>
      </c>
      <c r="AK517" s="734">
        <f t="shared" si="393"/>
        <v>418839.8369235748</v>
      </c>
      <c r="AL517" s="735">
        <f t="shared" si="394"/>
        <v>1.57079393924741</v>
      </c>
      <c r="AM517" s="340" t="str">
        <f t="shared" si="395"/>
        <v>1+710.819329907203i</v>
      </c>
      <c r="AN517" s="734">
        <f t="shared" si="396"/>
        <v>710.82003332047782</v>
      </c>
      <c r="AO517" s="735">
        <f t="shared" si="397"/>
        <v>1.5693895004774268</v>
      </c>
      <c r="AP517" s="733" t="str">
        <f t="shared" si="398"/>
        <v>1+34.475909165869i</v>
      </c>
      <c r="AQ517" s="734">
        <f t="shared" si="399"/>
        <v>34.490408997477111</v>
      </c>
      <c r="AR517" s="735">
        <f t="shared" si="400"/>
        <v>1.5417986956681953</v>
      </c>
      <c r="AS517" s="732" t="str">
        <f t="shared" si="401"/>
        <v>0.000546496340529343-3.30604393678133i</v>
      </c>
      <c r="AT517" s="337">
        <f t="shared" si="402"/>
        <v>3.3060439819498537</v>
      </c>
      <c r="AU517" s="730">
        <f t="shared" si="403"/>
        <v>-1.5706310245950463</v>
      </c>
      <c r="AV517" s="732" t="str">
        <f t="shared" si="404"/>
        <v>-0.0603392420397543+0.0283874148151365i</v>
      </c>
      <c r="AW517" s="337">
        <f t="shared" si="405"/>
        <v>-23.519651533159273</v>
      </c>
      <c r="AX517" s="730">
        <f t="shared" si="406"/>
        <v>154.80472473520192</v>
      </c>
      <c r="AY517" s="360">
        <f t="shared" si="407"/>
        <v>-25.195275264798084</v>
      </c>
      <c r="BB517" s="337">
        <f t="shared" si="408"/>
        <v>-29.613827461806448</v>
      </c>
      <c r="BC517" s="730">
        <f t="shared" si="409"/>
        <v>-89.990528881604348</v>
      </c>
      <c r="BD517" s="351"/>
      <c r="BE517" s="337">
        <f t="shared" si="370"/>
        <v>26.230802525452305</v>
      </c>
      <c r="BF517" s="730">
        <f t="shared" si="371"/>
        <v>-89.774624259277431</v>
      </c>
      <c r="BI517" s="351"/>
      <c r="BJ517" s="351"/>
      <c r="BL517" s="405">
        <f t="shared" si="372"/>
        <v>0</v>
      </c>
      <c r="BM517" s="405">
        <f t="shared" si="410"/>
        <v>0</v>
      </c>
      <c r="BN517" s="405">
        <f t="shared" si="373"/>
        <v>0</v>
      </c>
      <c r="BO517" s="405">
        <f t="shared" si="374"/>
        <v>0</v>
      </c>
    </row>
    <row r="518" spans="4:67" ht="13.5" thickBot="1" x14ac:dyDescent="0.25">
      <c r="D518" s="345">
        <v>71207.25</v>
      </c>
      <c r="E518" s="340" t="str">
        <f t="shared" si="361"/>
        <v>1.18115803598671i</v>
      </c>
      <c r="F518" s="728" t="str">
        <f t="shared" si="375"/>
        <v>0.005-0.0366408958039524i</v>
      </c>
      <c r="G518" s="337" t="str">
        <f t="shared" si="376"/>
        <v>0.005-0.0573101190779768i</v>
      </c>
      <c r="H518" s="338" t="str">
        <f t="shared" si="377"/>
        <v>0.00764021817194979-0.056717148484302i</v>
      </c>
      <c r="I518" s="338" t="str">
        <f t="shared" si="378"/>
        <v>0.0176402181719498-0.056717148484302i</v>
      </c>
      <c r="J518" s="337" t="str">
        <f t="shared" si="379"/>
        <v>0.0045256457127592-0.0224129335539212i</v>
      </c>
      <c r="K518" s="338" t="str">
        <f t="shared" si="362"/>
        <v>0.94366141719375-0.37284028913722i</v>
      </c>
      <c r="L518" s="732"/>
      <c r="M518" s="732" t="str">
        <f t="shared" si="363"/>
        <v>0.0795444910864584-20.3665499515531i</v>
      </c>
      <c r="N518" s="337">
        <f t="shared" si="364"/>
        <v>0</v>
      </c>
      <c r="O518" s="730" t="str">
        <f t="shared" si="365"/>
        <v>-0.77015467430316-7.80237469525368i</v>
      </c>
      <c r="P518" s="731" t="str">
        <f t="shared" si="366"/>
        <v>-0.456114140601717-0.0939546148652436i</v>
      </c>
      <c r="Q518" s="729" t="str">
        <f t="shared" si="367"/>
        <v>-0.448412593858685-0.0159308679127069i</v>
      </c>
      <c r="R518" s="730"/>
      <c r="S518" s="405" t="str">
        <f t="shared" si="380"/>
        <v>36.9533032383905-14.0037477725405i</v>
      </c>
      <c r="T518" s="405" t="str">
        <f t="shared" si="381"/>
        <v>13.6005532395823-6.81529743109613i</v>
      </c>
      <c r="U518" s="405" t="str">
        <f t="shared" si="382"/>
        <v>-0.282633042354532-0.823454956838345i</v>
      </c>
      <c r="V518" s="731" t="str">
        <f t="shared" si="368"/>
        <v>6000</v>
      </c>
      <c r="W518" s="733" t="str">
        <f>IMSUM(COMPLEX(1,0),IMDIV(COMPLEX(0,2*PI()*D518),COMPLEX(2*PI()*'Stability Calculations'!EA_Pole1,0)))</f>
        <v>1+451882.430434311i</v>
      </c>
      <c r="X518" s="734">
        <f t="shared" si="383"/>
        <v>451882.43043541751</v>
      </c>
      <c r="Y518" s="735">
        <f t="shared" si="384"/>
        <v>1.5707941138299024</v>
      </c>
      <c r="Z518" s="340" t="str">
        <f>IMSUM(COMPLEX(1,0),IMDIV(COMPLEX(0,2*PI()*D518),COMPLEX(2*PI()*'Stability Calculations'!EA_Zero1,0)))</f>
        <v>1+4474.08346964664i</v>
      </c>
      <c r="AA518" s="734">
        <f t="shared" si="385"/>
        <v>4474.0835814013717</v>
      </c>
      <c r="AB518" s="735">
        <f t="shared" si="386"/>
        <v>1.5705728173342144</v>
      </c>
      <c r="AC518" s="733" t="str">
        <f>IMSUM(COMPLEX(1,0),IMDIV(COMPLEX(0,2*PI()*D518),COMPLEX(2*PI()*'Stability Calculations'!EA_Pole2,0)))</f>
        <v>1+45.0694835426203i</v>
      </c>
      <c r="AD518" s="734">
        <f t="shared" si="387"/>
        <v>45.080576158679719</v>
      </c>
      <c r="AE518" s="735">
        <f t="shared" si="388"/>
        <v>1.5486120045445506</v>
      </c>
      <c r="AF518" s="732" t="str">
        <f t="shared" si="389"/>
        <v>0.0289399438614982-1.31745465028771i</v>
      </c>
      <c r="AG518" s="337">
        <f t="shared" si="390"/>
        <v>1.3177724674295708</v>
      </c>
      <c r="AH518" s="730">
        <f t="shared" si="391"/>
        <v>-1.5488333010402386</v>
      </c>
      <c r="AI518" s="731" t="str">
        <f t="shared" si="369"/>
        <v>10000</v>
      </c>
      <c r="AJ518" s="733" t="str">
        <f t="shared" si="392"/>
        <v>1+421278.804685235i</v>
      </c>
      <c r="AK518" s="734">
        <f t="shared" si="393"/>
        <v>421278.80468642188</v>
      </c>
      <c r="AL518" s="735">
        <f t="shared" si="394"/>
        <v>1.5707939530699693</v>
      </c>
      <c r="AM518" s="340" t="str">
        <f t="shared" si="395"/>
        <v>1+714.958538449533i</v>
      </c>
      <c r="AN518" s="734">
        <f t="shared" si="396"/>
        <v>714.95923779044369</v>
      </c>
      <c r="AO518" s="735">
        <f t="shared" si="397"/>
        <v>1.5693976452013245</v>
      </c>
      <c r="AP518" s="733" t="str">
        <f t="shared" si="398"/>
        <v>1+34.6766676029568i</v>
      </c>
      <c r="AQ518" s="734">
        <f t="shared" si="399"/>
        <v>34.691083523665753</v>
      </c>
      <c r="AR518" s="735">
        <f t="shared" si="400"/>
        <v>1.5419664823939185</v>
      </c>
      <c r="AS518" s="732" t="str">
        <f t="shared" si="401"/>
        <v>0.000540186843954588-3.28690379951862i</v>
      </c>
      <c r="AT518" s="337">
        <f t="shared" si="402"/>
        <v>3.2869038439071754</v>
      </c>
      <c r="AU518" s="730">
        <f t="shared" si="403"/>
        <v>-1.5706319816019614</v>
      </c>
      <c r="AV518" s="732" t="str">
        <f t="shared" si="404"/>
        <v>-0.0595480386704319+0.0282090921780685i</v>
      </c>
      <c r="AW518" s="337">
        <f t="shared" si="405"/>
        <v>-23.623380087263527</v>
      </c>
      <c r="AX518" s="730">
        <f t="shared" si="406"/>
        <v>154.65215297562901</v>
      </c>
      <c r="AY518" s="360">
        <f t="shared" si="407"/>
        <v>-25.347847024370992</v>
      </c>
      <c r="BB518" s="337">
        <f t="shared" si="408"/>
        <v>-29.664260014329411</v>
      </c>
      <c r="BC518" s="730">
        <f t="shared" si="409"/>
        <v>-89.990583714061557</v>
      </c>
      <c r="BD518" s="351"/>
      <c r="BE518" s="337">
        <f t="shared" si="370"/>
        <v>26.178415581158376</v>
      </c>
      <c r="BF518" s="730">
        <f t="shared" si="371"/>
        <v>-89.776224227468603</v>
      </c>
      <c r="BI518" s="351"/>
      <c r="BJ518" s="351"/>
      <c r="BL518" s="405">
        <f t="shared" si="372"/>
        <v>0</v>
      </c>
      <c r="BM518" s="405">
        <f t="shared" si="410"/>
        <v>0</v>
      </c>
      <c r="BN518" s="405">
        <f t="shared" si="373"/>
        <v>0</v>
      </c>
      <c r="BO518" s="405">
        <f t="shared" si="374"/>
        <v>0</v>
      </c>
    </row>
    <row r="519" spans="4:67" ht="13.5" thickBot="1" x14ac:dyDescent="0.25">
      <c r="D519" s="345">
        <v>71619.5</v>
      </c>
      <c r="E519" s="340" t="str">
        <f t="shared" si="361"/>
        <v>1.18799627788393i</v>
      </c>
      <c r="F519" s="728" t="str">
        <f t="shared" si="375"/>
        <v>0.005-0.036429986634031i</v>
      </c>
      <c r="G519" s="337" t="str">
        <f t="shared" si="376"/>
        <v>0.005-0.0569802355045101i</v>
      </c>
      <c r="H519" s="338" t="str">
        <f t="shared" si="377"/>
        <v>0.00760974224829373-0.0563920995566583i</v>
      </c>
      <c r="I519" s="338" t="str">
        <f t="shared" si="378"/>
        <v>0.0176097422482937-0.0563920995566583i</v>
      </c>
      <c r="J519" s="337" t="str">
        <f t="shared" si="379"/>
        <v>0.00452077704624234-0.0222848721736397i</v>
      </c>
      <c r="K519" s="338" t="str">
        <f t="shared" si="362"/>
        <v>0.943007191330555-0.374998825089624i</v>
      </c>
      <c r="L519" s="732"/>
      <c r="M519" s="732" t="str">
        <f t="shared" si="363"/>
        <v>0.0785120774308706-20.244843576891i</v>
      </c>
      <c r="N519" s="337">
        <f t="shared" si="364"/>
        <v>0</v>
      </c>
      <c r="O519" s="730" t="str">
        <f t="shared" si="365"/>
        <v>-0.76748193546774-7.75434254200252i</v>
      </c>
      <c r="P519" s="731" t="str">
        <f t="shared" si="366"/>
        <v>-0.450798815688844-0.093272055756809i</v>
      </c>
      <c r="Q519" s="729" t="str">
        <f t="shared" si="367"/>
        <v>-0.443123996334166-0.0157286303367845i</v>
      </c>
      <c r="R519" s="730"/>
      <c r="S519" s="405" t="str">
        <f t="shared" si="380"/>
        <v>36.9143952594595-14.0861215773204i</v>
      </c>
      <c r="T519" s="405" t="str">
        <f t="shared" si="381"/>
        <v>13.578687929404-6.84746383891786i</v>
      </c>
      <c r="U519" s="405" t="str">
        <f t="shared" si="382"/>
        <v>-0.28281254730209-0.817838156432418i</v>
      </c>
      <c r="V519" s="731" t="str">
        <f t="shared" si="368"/>
        <v>6000</v>
      </c>
      <c r="W519" s="733" t="str">
        <f>IMSUM(COMPLEX(1,0),IMDIV(COMPLEX(0,2*PI()*D519),COMPLEX(2*PI()*'Stability Calculations'!EA_Pole1,0)))</f>
        <v>1+454498.576008624i</v>
      </c>
      <c r="X519" s="734">
        <f t="shared" si="383"/>
        <v>454498.57600972411</v>
      </c>
      <c r="Y519" s="735">
        <f t="shared" si="384"/>
        <v>1.570794126567981</v>
      </c>
      <c r="Z519" s="340" t="str">
        <f>IMSUM(COMPLEX(1,0),IMDIV(COMPLEX(0,2*PI()*D519),COMPLEX(2*PI()*'Stability Calculations'!EA_Zero1,0)))</f>
        <v>1+4499.98590107548i</v>
      </c>
      <c r="AA519" s="734">
        <f t="shared" si="385"/>
        <v>4499.9860121869378</v>
      </c>
      <c r="AB519" s="735">
        <f t="shared" si="386"/>
        <v>1.5705741038800871</v>
      </c>
      <c r="AC519" s="733" t="str">
        <f>IMSUM(COMPLEX(1,0),IMDIV(COMPLEX(0,2*PI()*D519),COMPLEX(2*PI()*'Stability Calculations'!EA_Pole2,0)))</f>
        <v>1+45.3304105492164i</v>
      </c>
      <c r="AD519" s="734">
        <f t="shared" si="387"/>
        <v>45.341439330490047</v>
      </c>
      <c r="AE519" s="735">
        <f t="shared" si="388"/>
        <v>1.5487396584989874</v>
      </c>
      <c r="AF519" s="732" t="str">
        <f t="shared" si="389"/>
        <v>0.0286079010874807-1.3098785561905i</v>
      </c>
      <c r="AG519" s="337">
        <f t="shared" si="390"/>
        <v>1.3101909189016461</v>
      </c>
      <c r="AH519" s="730">
        <f t="shared" si="391"/>
        <v>-1.5489596811868815</v>
      </c>
      <c r="AI519" s="731" t="str">
        <f t="shared" si="369"/>
        <v>10000</v>
      </c>
      <c r="AJ519" s="733" t="str">
        <f t="shared" si="392"/>
        <v>1+423717.772448089i</v>
      </c>
      <c r="AK519" s="734">
        <f t="shared" si="393"/>
        <v>423717.77244926896</v>
      </c>
      <c r="AL519" s="735">
        <f t="shared" si="394"/>
        <v>1.5707939667334005</v>
      </c>
      <c r="AM519" s="340" t="str">
        <f t="shared" si="395"/>
        <v>1+719.097746991862i</v>
      </c>
      <c r="AN519" s="734">
        <f t="shared" si="396"/>
        <v>719.09844230729072</v>
      </c>
      <c r="AO519" s="735">
        <f t="shared" si="397"/>
        <v>1.569405696161488</v>
      </c>
      <c r="AP519" s="733" t="str">
        <f t="shared" si="398"/>
        <v>1+34.8774260400445i</v>
      </c>
      <c r="AQ519" s="734">
        <f t="shared" si="399"/>
        <v>34.891759015257087</v>
      </c>
      <c r="AR519" s="735">
        <f t="shared" si="400"/>
        <v>1.5421323391164583</v>
      </c>
      <c r="AS519" s="732" t="str">
        <f t="shared" si="401"/>
        <v>0.00053398598803807-3.26798400785872i</v>
      </c>
      <c r="AT519" s="337">
        <f t="shared" si="402"/>
        <v>3.267984051485163</v>
      </c>
      <c r="AU519" s="730">
        <f t="shared" si="403"/>
        <v>-1.5706329275915953</v>
      </c>
      <c r="AV519" s="732" t="str">
        <f t="shared" si="404"/>
        <v>-0.0587705283764267+0.0280326033820177i</v>
      </c>
      <c r="AW519" s="337">
        <f t="shared" si="405"/>
        <v>-23.72654439157315</v>
      </c>
      <c r="AX519" s="730">
        <f t="shared" si="406"/>
        <v>154.49960344627678</v>
      </c>
      <c r="AY519" s="360">
        <f t="shared" si="407"/>
        <v>-25.50039655372322</v>
      </c>
      <c r="BB519" s="337">
        <f t="shared" si="408"/>
        <v>-29.714401431830943</v>
      </c>
      <c r="BC519" s="730">
        <f t="shared" si="409"/>
        <v>-89.990637915275045</v>
      </c>
      <c r="BD519" s="351"/>
      <c r="BE519" s="337">
        <f t="shared" si="370"/>
        <v>26.126353827088096</v>
      </c>
      <c r="BF519" s="730">
        <f t="shared" si="371"/>
        <v>-89.777800796095363</v>
      </c>
      <c r="BI519" s="351"/>
      <c r="BJ519" s="351"/>
      <c r="BL519" s="405">
        <f t="shared" si="372"/>
        <v>0</v>
      </c>
      <c r="BM519" s="405">
        <f t="shared" si="410"/>
        <v>0</v>
      </c>
      <c r="BN519" s="405">
        <f t="shared" si="373"/>
        <v>0</v>
      </c>
      <c r="BO519" s="405">
        <f t="shared" si="374"/>
        <v>0</v>
      </c>
    </row>
    <row r="520" spans="4:67" ht="13.5" thickBot="1" x14ac:dyDescent="0.25">
      <c r="D520" s="345">
        <v>72031.75</v>
      </c>
      <c r="E520" s="340" t="str">
        <f t="shared" si="361"/>
        <v>1.19483451978114i</v>
      </c>
      <c r="F520" s="728" t="str">
        <f t="shared" si="375"/>
        <v>0.005-0.0362214916024668i</v>
      </c>
      <c r="G520" s="337" t="str">
        <f t="shared" si="376"/>
        <v>0.005-0.0566541278910378i</v>
      </c>
      <c r="H520" s="338" t="str">
        <f t="shared" si="377"/>
        <v>0.00757978658537255-0.0560707471231936i</v>
      </c>
      <c r="I520" s="338" t="str">
        <f t="shared" si="378"/>
        <v>0.0175797865853725-0.0560707471231936i</v>
      </c>
      <c r="J520" s="337" t="str">
        <f t="shared" si="379"/>
        <v>0.00451598765420083-0.0221582792749546i</v>
      </c>
      <c r="K520" s="338" t="str">
        <f t="shared" si="362"/>
        <v>0.942349188799306-0.377157361042028i</v>
      </c>
      <c r="L520" s="732"/>
      <c r="M520" s="732" t="str">
        <f t="shared" si="363"/>
        <v>0.0775000631198197-20.1246083066242i</v>
      </c>
      <c r="N520" s="337">
        <f t="shared" si="364"/>
        <v>0</v>
      </c>
      <c r="O520" s="730" t="str">
        <f t="shared" si="365"/>
        <v>-0.764848904943784-7.70688538108107i</v>
      </c>
      <c r="P520" s="731" t="str">
        <f t="shared" si="366"/>
        <v>-0.445576701829003-0.0925997507007785i</v>
      </c>
      <c r="Q520" s="729" t="str">
        <f t="shared" si="367"/>
        <v>-0.437928212779566-0.0155308968899677i</v>
      </c>
      <c r="R520" s="730"/>
      <c r="S520" s="405" t="str">
        <f t="shared" si="380"/>
        <v>36.8752555844869-14.16835625653i</v>
      </c>
      <c r="T520" s="405" t="str">
        <f t="shared" si="381"/>
        <v>13.556713530678-6.87956459105193i</v>
      </c>
      <c r="U520" s="405" t="str">
        <f t="shared" si="382"/>
        <v>-0.28298533114098-0.812280687600686i</v>
      </c>
      <c r="V520" s="731" t="str">
        <f t="shared" si="368"/>
        <v>6000</v>
      </c>
      <c r="W520" s="733" t="str">
        <f>IMSUM(COMPLEX(1,0),IMDIV(COMPLEX(0,2*PI()*D520),COMPLEX(2*PI()*'Stability Calculations'!EA_Pole1,0)))</f>
        <v>1+457114.721582937i</v>
      </c>
      <c r="X520" s="734">
        <f t="shared" si="383"/>
        <v>457114.72158403078</v>
      </c>
      <c r="Y520" s="735">
        <f t="shared" si="384"/>
        <v>1.5707941391602553</v>
      </c>
      <c r="Z520" s="340" t="str">
        <f>IMSUM(COMPLEX(1,0),IMDIV(COMPLEX(0,2*PI()*D520),COMPLEX(2*PI()*'Stability Calculations'!EA_Zero1,0)))</f>
        <v>1+4525.88833250433i</v>
      </c>
      <c r="AA520" s="734">
        <f t="shared" si="385"/>
        <v>4525.8884429798782</v>
      </c>
      <c r="AB520" s="735">
        <f t="shared" si="386"/>
        <v>1.5705753756997172</v>
      </c>
      <c r="AC520" s="733" t="str">
        <f>IMSUM(COMPLEX(1,0),IMDIV(COMPLEX(0,2*PI()*D520),COMPLEX(2*PI()*'Stability Calculations'!EA_Pole2,0)))</f>
        <v>1+45.5913375558125i</v>
      </c>
      <c r="AD520" s="734">
        <f t="shared" si="387"/>
        <v>45.602303232710071</v>
      </c>
      <c r="AE520" s="735">
        <f t="shared" si="388"/>
        <v>1.5488658519893737</v>
      </c>
      <c r="AF520" s="732" t="str">
        <f t="shared" si="389"/>
        <v>0.0282815393409381-1.30238905604511i</v>
      </c>
      <c r="AG520" s="337">
        <f t="shared" si="390"/>
        <v>1.3026960884157002</v>
      </c>
      <c r="AH520" s="730">
        <f t="shared" si="391"/>
        <v>-1.5490846154499118</v>
      </c>
      <c r="AI520" s="731" t="str">
        <f t="shared" si="369"/>
        <v>10000</v>
      </c>
      <c r="AJ520" s="733" t="str">
        <f t="shared" si="392"/>
        <v>1+426156.740210943i</v>
      </c>
      <c r="AK520" s="734">
        <f t="shared" si="393"/>
        <v>426156.74021211627</v>
      </c>
      <c r="AL520" s="735">
        <f t="shared" si="394"/>
        <v>1.5707939802404352</v>
      </c>
      <c r="AM520" s="340" t="str">
        <f t="shared" si="395"/>
        <v>1+723.236955534192i</v>
      </c>
      <c r="AN520" s="734">
        <f t="shared" si="396"/>
        <v>723.23764687021571</v>
      </c>
      <c r="AO520" s="735">
        <f t="shared" si="397"/>
        <v>1.56941365496779</v>
      </c>
      <c r="AP520" s="733" t="str">
        <f t="shared" si="398"/>
        <v>1+35.0781844771323i</v>
      </c>
      <c r="AQ520" s="734">
        <f t="shared" si="399"/>
        <v>35.092435455689383</v>
      </c>
      <c r="AR520" s="735">
        <f t="shared" si="400"/>
        <v>1.5422962989368378</v>
      </c>
      <c r="AS520" s="732" t="str">
        <f t="shared" si="401"/>
        <v>0.000527891292834496-3.24928077857558i</v>
      </c>
      <c r="AT520" s="337">
        <f t="shared" si="402"/>
        <v>3.2492808214572571</v>
      </c>
      <c r="AU520" s="730">
        <f t="shared" si="403"/>
        <v>-1.5706338627531091</v>
      </c>
      <c r="AV520" s="732" t="str">
        <f t="shared" si="404"/>
        <v>-0.0580063988981435+0.0278579193508841i</v>
      </c>
      <c r="AW520" s="337">
        <f t="shared" si="405"/>
        <v>-23.829151177677019</v>
      </c>
      <c r="AX520" s="730">
        <f t="shared" si="406"/>
        <v>154.3470756791321</v>
      </c>
      <c r="AY520" s="360">
        <f t="shared" si="407"/>
        <v>-25.652924320867896</v>
      </c>
      <c r="BB520" s="337">
        <f t="shared" si="408"/>
        <v>-29.764255056332544</v>
      </c>
      <c r="BC520" s="730">
        <f t="shared" si="409"/>
        <v>-89.990691496082945</v>
      </c>
      <c r="BD520" s="351"/>
      <c r="BE520" s="337">
        <f t="shared" si="370"/>
        <v>26.074613132060456</v>
      </c>
      <c r="BF520" s="730">
        <f t="shared" si="371"/>
        <v>-89.77935448430172</v>
      </c>
      <c r="BI520" s="351"/>
      <c r="BJ520" s="351"/>
      <c r="BL520" s="405">
        <f t="shared" si="372"/>
        <v>0</v>
      </c>
      <c r="BM520" s="405">
        <f t="shared" si="410"/>
        <v>0</v>
      </c>
      <c r="BN520" s="405">
        <f t="shared" si="373"/>
        <v>0</v>
      </c>
      <c r="BO520" s="405">
        <f t="shared" si="374"/>
        <v>0</v>
      </c>
    </row>
    <row r="521" spans="4:67" ht="13.5" thickBot="1" x14ac:dyDescent="0.25">
      <c r="D521" s="345">
        <v>72444</v>
      </c>
      <c r="E521" s="340" t="str">
        <f t="shared" si="361"/>
        <v>1.20167276167836i</v>
      </c>
      <c r="F521" s="728" t="str">
        <f t="shared" si="375"/>
        <v>0.005-0.036015369495555i</v>
      </c>
      <c r="G521" s="337" t="str">
        <f t="shared" si="376"/>
        <v>0.005-0.0563317317750989i</v>
      </c>
      <c r="H521" s="338" t="str">
        <f t="shared" si="377"/>
        <v>0.00755033941656795-0.0557530286206374i</v>
      </c>
      <c r="I521" s="338" t="str">
        <f t="shared" si="378"/>
        <v>0.017550339416568-0.0557530286206374i</v>
      </c>
      <c r="J521" s="337" t="str">
        <f t="shared" si="379"/>
        <v>0.00451127572124899-0.0220331298072946i</v>
      </c>
      <c r="K521" s="338" t="str">
        <f t="shared" si="362"/>
        <v>0.9416874096-0.379315896994432i</v>
      </c>
      <c r="L521" s="732"/>
      <c r="M521" s="732" t="str">
        <f t="shared" si="363"/>
        <v>0.0765079054956815-20.0058172124237i</v>
      </c>
      <c r="N521" s="337">
        <f t="shared" si="364"/>
        <v>0</v>
      </c>
      <c r="O521" s="730" t="str">
        <f t="shared" si="365"/>
        <v>-0.762254652657463-7.65999268516355i</v>
      </c>
      <c r="P521" s="731" t="str">
        <f t="shared" si="366"/>
        <v>-0.440445619285795-0.0919374660872228i</v>
      </c>
      <c r="Q521" s="729" t="str">
        <f t="shared" si="367"/>
        <v>-0.432823072759221-0.0153375392355864i</v>
      </c>
      <c r="R521" s="730"/>
      <c r="S521" s="405" t="str">
        <f t="shared" si="380"/>
        <v>36.8358843626475-14.2504516511488i</v>
      </c>
      <c r="T521" s="405" t="str">
        <f t="shared" si="381"/>
        <v>13.5346302957333-6.91159898121905i</v>
      </c>
      <c r="U521" s="405" t="str">
        <f t="shared" si="382"/>
        <v>-0.283151523203728-0.806781548467182i</v>
      </c>
      <c r="V521" s="731" t="str">
        <f t="shared" si="368"/>
        <v>6000</v>
      </c>
      <c r="W521" s="733" t="str">
        <f>IMSUM(COMPLEX(1,0),IMDIV(COMPLEX(0,2*PI()*D521),COMPLEX(2*PI()*'Stability Calculations'!EA_Pole1,0)))</f>
        <v>1+459730.867157251i</v>
      </c>
      <c r="X521" s="734">
        <f t="shared" si="383"/>
        <v>459730.86715833854</v>
      </c>
      <c r="Y521" s="735">
        <f t="shared" si="384"/>
        <v>1.5707941516092143</v>
      </c>
      <c r="Z521" s="340" t="str">
        <f>IMSUM(COMPLEX(1,0),IMDIV(COMPLEX(0,2*PI()*D521),COMPLEX(2*PI()*'Stability Calculations'!EA_Zero1,0)))</f>
        <v>1+4551.79076393318i</v>
      </c>
      <c r="AA521" s="734">
        <f t="shared" si="385"/>
        <v>4551.7908737800553</v>
      </c>
      <c r="AB521" s="735">
        <f t="shared" si="386"/>
        <v>1.5705766330445083</v>
      </c>
      <c r="AC521" s="733" t="str">
        <f>IMSUM(COMPLEX(1,0),IMDIV(COMPLEX(0,2*PI()*D521),COMPLEX(2*PI()*'Stability Calculations'!EA_Pole2,0)))</f>
        <v>1+45.8522645624087i</v>
      </c>
      <c r="AD521" s="734">
        <f t="shared" si="387"/>
        <v>45.863167852876458</v>
      </c>
      <c r="AE521" s="735">
        <f t="shared" si="388"/>
        <v>1.548990609932529</v>
      </c>
      <c r="AF521" s="732" t="str">
        <f t="shared" si="389"/>
        <v>0.0279607297794047-1.29498467434622i</v>
      </c>
      <c r="AG521" s="337">
        <f t="shared" si="390"/>
        <v>1.2952864969578672</v>
      </c>
      <c r="AH521" s="730">
        <f t="shared" si="391"/>
        <v>-1.549208128497235</v>
      </c>
      <c r="AI521" s="731" t="str">
        <f t="shared" si="369"/>
        <v>10000</v>
      </c>
      <c r="AJ521" s="733" t="str">
        <f t="shared" si="392"/>
        <v>1+428595.707973797i</v>
      </c>
      <c r="AK521" s="734">
        <f t="shared" si="393"/>
        <v>428595.70797496353</v>
      </c>
      <c r="AL521" s="735">
        <f t="shared" si="394"/>
        <v>1.5707939935937436</v>
      </c>
      <c r="AM521" s="340" t="str">
        <f t="shared" si="395"/>
        <v>1+727.376164076522i</v>
      </c>
      <c r="AN521" s="734">
        <f t="shared" si="396"/>
        <v>727.37685147843092</v>
      </c>
      <c r="AO521" s="735">
        <f t="shared" si="397"/>
        <v>1.5694215231934598</v>
      </c>
      <c r="AP521" s="733" t="str">
        <f t="shared" si="398"/>
        <v>1+35.2789429142201i</v>
      </c>
      <c r="AQ521" s="734">
        <f t="shared" si="399"/>
        <v>35.29311282877724</v>
      </c>
      <c r="AR521" s="735">
        <f t="shared" si="400"/>
        <v>1.5424583942036409</v>
      </c>
      <c r="AS521" s="732" t="str">
        <f t="shared" si="401"/>
        <v>0.000521900348759132-3.23079041455843i</v>
      </c>
      <c r="AT521" s="337">
        <f t="shared" si="402"/>
        <v>3.2307904567121972</v>
      </c>
      <c r="AU521" s="730">
        <f t="shared" si="403"/>
        <v>-1.5706347872713584</v>
      </c>
      <c r="AV521" s="732" t="str">
        <f t="shared" si="404"/>
        <v>-0.057255346841846+0.0276850116044666i</v>
      </c>
      <c r="AW521" s="337">
        <f t="shared" si="405"/>
        <v>-23.931207062487548</v>
      </c>
      <c r="AX521" s="730">
        <f t="shared" si="406"/>
        <v>154.19456921994262</v>
      </c>
      <c r="AY521" s="360">
        <f t="shared" si="407"/>
        <v>-25.805430780057378</v>
      </c>
      <c r="BB521" s="337">
        <f t="shared" si="408"/>
        <v>-29.813824172638203</v>
      </c>
      <c r="BC521" s="730">
        <f t="shared" si="409"/>
        <v>-89.990744467076709</v>
      </c>
      <c r="BD521" s="351"/>
      <c r="BE521" s="337">
        <f t="shared" si="370"/>
        <v>26.02318944490542</v>
      </c>
      <c r="BF521" s="730">
        <f t="shared" si="371"/>
        <v>-89.780885795977568</v>
      </c>
      <c r="BI521" s="351"/>
      <c r="BJ521" s="351"/>
      <c r="BL521" s="405">
        <f t="shared" si="372"/>
        <v>0</v>
      </c>
      <c r="BM521" s="405">
        <f t="shared" si="410"/>
        <v>0</v>
      </c>
      <c r="BN521" s="405">
        <f t="shared" si="373"/>
        <v>0</v>
      </c>
      <c r="BO521" s="405">
        <f t="shared" si="374"/>
        <v>0</v>
      </c>
    </row>
    <row r="522" spans="4:67" ht="13.5" thickBot="1" x14ac:dyDescent="0.25">
      <c r="D522" s="345">
        <v>72865.75</v>
      </c>
      <c r="E522" s="340" t="str">
        <f t="shared" si="361"/>
        <v>1.20866858586308i</v>
      </c>
      <c r="F522" s="728" t="str">
        <f t="shared" si="375"/>
        <v>0.005-0.0358069110348276i</v>
      </c>
      <c r="G522" s="337" t="str">
        <f t="shared" si="376"/>
        <v>0.005-0.0560056813621663i</v>
      </c>
      <c r="H522" s="338" t="str">
        <f t="shared" si="377"/>
        <v>0.00752072794184023-0.055431685264322i</v>
      </c>
      <c r="I522" s="338" t="str">
        <f t="shared" si="378"/>
        <v>0.0175207279418402-0.055431685264322i</v>
      </c>
      <c r="J522" s="337" t="str">
        <f t="shared" si="379"/>
        <v>0.00450653352310225-0.0219065645414159i</v>
      </c>
      <c r="K522" s="338" t="str">
        <f t="shared" si="362"/>
        <v>0.941006471965972-0.381524174830517i</v>
      </c>
      <c r="L522" s="732"/>
      <c r="M522" s="732" t="str">
        <f t="shared" si="363"/>
        <v>0.0755128857721596-19.8857557578112i</v>
      </c>
      <c r="N522" s="337">
        <f t="shared" si="364"/>
        <v>0</v>
      </c>
      <c r="O522" s="730" t="str">
        <f t="shared" si="365"/>
        <v>-0.759639804557649-7.61259280230329i</v>
      </c>
      <c r="P522" s="731" t="str">
        <f t="shared" si="366"/>
        <v>-0.435288290612165-0.091270052860676i</v>
      </c>
      <c r="Q522" s="729" t="str">
        <f t="shared" si="367"/>
        <v>-0.427691892566588-0.0151441248376437i</v>
      </c>
      <c r="R522" s="730"/>
      <c r="S522" s="405" t="str">
        <f t="shared" si="380"/>
        <v>36.7953664041251-14.3342945540216i</v>
      </c>
      <c r="T522" s="405" t="str">
        <f t="shared" si="381"/>
        <v>13.5119258080024-6.94430217708751i</v>
      </c>
      <c r="U522" s="405" t="str">
        <f t="shared" si="382"/>
        <v>-0.283314854688343-0.801215026123854i</v>
      </c>
      <c r="V522" s="731" t="str">
        <f t="shared" si="368"/>
        <v>6000</v>
      </c>
      <c r="W522" s="733" t="str">
        <f>IMSUM(COMPLEX(1,0),IMDIV(COMPLEX(0,2*PI()*D522),COMPLEX(2*PI()*'Stability Calculations'!EA_Pole1,0)))</f>
        <v>1+462407.299894587i</v>
      </c>
      <c r="X522" s="734">
        <f t="shared" si="383"/>
        <v>462407.2998956684</v>
      </c>
      <c r="Y522" s="735">
        <f t="shared" si="384"/>
        <v>1.5707941641992798</v>
      </c>
      <c r="Z522" s="340" t="str">
        <f>IMSUM(COMPLEX(1,0),IMDIV(COMPLEX(0,2*PI()*D522),COMPLEX(2*PI()*'Stability Calculations'!EA_Zero1,0)))</f>
        <v>1+4578.29009796621i</v>
      </c>
      <c r="AA522" s="734">
        <f t="shared" si="385"/>
        <v>4578.2902071772869</v>
      </c>
      <c r="AB522" s="735">
        <f t="shared" si="386"/>
        <v>1.5705779046410577</v>
      </c>
      <c r="AC522" s="733" t="str">
        <f>IMSUM(COMPLEX(1,0),IMDIV(COMPLEX(0,2*PI()*D522),COMPLEX(2*PI()*'Stability Calculations'!EA_Pole2,0)))</f>
        <v>1+46.1192044412006i</v>
      </c>
      <c r="AD522" s="734">
        <f t="shared" si="387"/>
        <v>46.130044637841586</v>
      </c>
      <c r="AE522" s="735">
        <f t="shared" si="388"/>
        <v>1.5491167826730734</v>
      </c>
      <c r="AF522" s="732" t="str">
        <f t="shared" si="389"/>
        <v>0.0276381424277847-1.28749624367695i</v>
      </c>
      <c r="AG522" s="337">
        <f t="shared" si="390"/>
        <v>1.2877928577217359</v>
      </c>
      <c r="AH522" s="730">
        <f t="shared" si="391"/>
        <v>-1.5493330422312954</v>
      </c>
      <c r="AI522" s="731" t="str">
        <f t="shared" si="369"/>
        <v>10000</v>
      </c>
      <c r="AJ522" s="733" t="str">
        <f t="shared" si="392"/>
        <v>1+431090.87996648i</v>
      </c>
      <c r="AK522" s="734">
        <f t="shared" si="393"/>
        <v>431090.87996763986</v>
      </c>
      <c r="AL522" s="735">
        <f t="shared" si="394"/>
        <v>1.5707940070984092</v>
      </c>
      <c r="AM522" s="340" t="str">
        <f t="shared" si="395"/>
        <v>1+731.610757655i</v>
      </c>
      <c r="AN522" s="734">
        <f t="shared" si="396"/>
        <v>731.61144107820189</v>
      </c>
      <c r="AO522" s="735">
        <f t="shared" si="397"/>
        <v>1.5694294806041038</v>
      </c>
      <c r="AP522" s="733" t="str">
        <f t="shared" si="398"/>
        <v>1+35.4843276827872i</v>
      </c>
      <c r="AQ522" s="734">
        <f t="shared" si="399"/>
        <v>35.498415613931535</v>
      </c>
      <c r="AR522" s="735">
        <f t="shared" si="400"/>
        <v>1.5426223283035803</v>
      </c>
      <c r="AS522" s="732" t="str">
        <f t="shared" si="401"/>
        <v>0.000515876271349985-3.21209046586041i</v>
      </c>
      <c r="AT522" s="337">
        <f t="shared" si="402"/>
        <v>3.2120905072864425</v>
      </c>
      <c r="AU522" s="730">
        <f t="shared" si="403"/>
        <v>-1.5706357222688418</v>
      </c>
      <c r="AV522" s="732" t="str">
        <f t="shared" si="404"/>
        <v>-0.0565002128822972+0.0275099283925283i</v>
      </c>
      <c r="AW522" s="337">
        <f t="shared" si="405"/>
        <v>-24.035051442807202</v>
      </c>
      <c r="AX522" s="730">
        <f t="shared" si="406"/>
        <v>154.03856995139077</v>
      </c>
      <c r="AY522" s="360">
        <f t="shared" si="407"/>
        <v>-25.96143004860923</v>
      </c>
      <c r="BB522" s="337">
        <f t="shared" si="408"/>
        <v>-29.864244521532811</v>
      </c>
      <c r="BC522" s="730">
        <f t="shared" si="409"/>
        <v>-89.990798038486361</v>
      </c>
      <c r="BD522" s="351"/>
      <c r="BE522" s="337">
        <f t="shared" si="370"/>
        <v>25.97090464355793</v>
      </c>
      <c r="BF522" s="730">
        <f t="shared" si="371"/>
        <v>-89.782429749694003</v>
      </c>
      <c r="BI522" s="351"/>
      <c r="BJ522" s="351"/>
      <c r="BL522" s="405">
        <f t="shared" si="372"/>
        <v>0</v>
      </c>
      <c r="BM522" s="405">
        <f t="shared" si="410"/>
        <v>0</v>
      </c>
      <c r="BN522" s="405">
        <f t="shared" si="373"/>
        <v>0</v>
      </c>
      <c r="BO522" s="405">
        <f t="shared" si="374"/>
        <v>0</v>
      </c>
    </row>
    <row r="523" spans="4:67" ht="13.5" thickBot="1" x14ac:dyDescent="0.25">
      <c r="D523" s="345">
        <v>73287.5</v>
      </c>
      <c r="E523" s="340" t="str">
        <f t="shared" si="361"/>
        <v>1.2156644100478i</v>
      </c>
      <c r="F523" s="728" t="str">
        <f t="shared" si="375"/>
        <v>0.005-0.0356008518196962i</v>
      </c>
      <c r="G523" s="337" t="str">
        <f t="shared" si="376"/>
        <v>0.005-0.0556833836154224i</v>
      </c>
      <c r="H523" s="338" t="str">
        <f t="shared" si="377"/>
        <v>0.00749162479994732-0.0551140172287523i</v>
      </c>
      <c r="I523" s="338" t="str">
        <f t="shared" si="378"/>
        <v>0.0174916247999473-0.0551140172287523i</v>
      </c>
      <c r="J523" s="337" t="str">
        <f t="shared" si="379"/>
        <v>0.0045018687137471-0.0217814587540462i</v>
      </c>
      <c r="K523" s="338" t="str">
        <f t="shared" si="362"/>
        <v>0.940321581597222-0.383732452666603i</v>
      </c>
      <c r="L523" s="732"/>
      <c r="M523" s="732" t="str">
        <f t="shared" si="363"/>
        <v>0.0745375566754328-19.7671508887298i</v>
      </c>
      <c r="N523" s="337">
        <f t="shared" si="364"/>
        <v>0</v>
      </c>
      <c r="O523" s="730" t="str">
        <f t="shared" si="365"/>
        <v>-0.757063657010809-7.56576223258567i</v>
      </c>
      <c r="P523" s="731" t="str">
        <f t="shared" si="366"/>
        <v>-0.430221823473479-0.0906126548622445i</v>
      </c>
      <c r="Q523" s="729" t="str">
        <f t="shared" si="367"/>
        <v>-0.422651186903371-0.0149550325363879i</v>
      </c>
      <c r="R523" s="730"/>
      <c r="S523" s="405" t="str">
        <f t="shared" si="380"/>
        <v>36.7546064228146-14.417991287179i</v>
      </c>
      <c r="T523" s="405" t="str">
        <f t="shared" si="381"/>
        <v>13.4891079544659-6.97693444167644i</v>
      </c>
      <c r="U523" s="405" t="str">
        <f t="shared" si="382"/>
        <v>-0.283471549341586-0.7957075032938i</v>
      </c>
      <c r="V523" s="731" t="str">
        <f t="shared" si="368"/>
        <v>6000</v>
      </c>
      <c r="W523" s="733" t="str">
        <f>IMSUM(COMPLEX(1,0),IMDIV(COMPLEX(0,2*PI()*D523),COMPLEX(2*PI()*'Stability Calculations'!EA_Pole1,0)))</f>
        <v>1+465083.732631923i</v>
      </c>
      <c r="X523" s="734">
        <f t="shared" si="383"/>
        <v>465083.73263299803</v>
      </c>
      <c r="Y523" s="735">
        <f t="shared" si="384"/>
        <v>1.5707941766444402</v>
      </c>
      <c r="Z523" s="340" t="str">
        <f>IMSUM(COMPLEX(1,0),IMDIV(COMPLEX(0,2*PI()*D523),COMPLEX(2*PI()*'Stability Calculations'!EA_Zero1,0)))</f>
        <v>1+4604.78943199924i</v>
      </c>
      <c r="AA523" s="734">
        <f t="shared" si="385"/>
        <v>4604.7895405818372</v>
      </c>
      <c r="AB523" s="735">
        <f t="shared" si="386"/>
        <v>1.5705791616022104</v>
      </c>
      <c r="AC523" s="733" t="str">
        <f>IMSUM(COMPLEX(1,0),IMDIV(COMPLEX(0,2*PI()*D523),COMPLEX(2*PI()*'Stability Calculations'!EA_Pole2,0)))</f>
        <v>1+46.3861443199924i</v>
      </c>
      <c r="AD523" s="734">
        <f t="shared" si="387"/>
        <v>46.396922148728393</v>
      </c>
      <c r="AE523" s="735">
        <f t="shared" si="388"/>
        <v>1.5492415039112439</v>
      </c>
      <c r="AF523" s="732" t="str">
        <f t="shared" si="389"/>
        <v>0.0273211047987607-1.28009388120523i</v>
      </c>
      <c r="AG523" s="337">
        <f t="shared" si="390"/>
        <v>1.280385405831578</v>
      </c>
      <c r="AH523" s="730">
        <f t="shared" si="391"/>
        <v>-1.5494565189534737</v>
      </c>
      <c r="AI523" s="731" t="str">
        <f t="shared" si="369"/>
        <v>10000</v>
      </c>
      <c r="AJ523" s="733" t="str">
        <f t="shared" si="392"/>
        <v>1+433586.051959164i</v>
      </c>
      <c r="AK523" s="734">
        <f t="shared" si="393"/>
        <v>433586.05196031719</v>
      </c>
      <c r="AL523" s="735">
        <f t="shared" si="394"/>
        <v>1.5707940204476434</v>
      </c>
      <c r="AM523" s="340" t="str">
        <f t="shared" si="395"/>
        <v>1+735.845351233478i</v>
      </c>
      <c r="AN523" s="734">
        <f t="shared" si="396"/>
        <v>735.84603072376535</v>
      </c>
      <c r="AO523" s="735">
        <f t="shared" si="397"/>
        <v>1.5694373464293694</v>
      </c>
      <c r="AP523" s="733" t="str">
        <f t="shared" si="398"/>
        <v>1+35.6897124513542i</v>
      </c>
      <c r="AQ523" s="734">
        <f t="shared" si="399"/>
        <v>35.703719342112613</v>
      </c>
      <c r="AR523" s="735">
        <f t="shared" si="400"/>
        <v>1.5427843770982621</v>
      </c>
      <c r="AS523" s="732" t="str">
        <f t="shared" si="401"/>
        <v>0.000509955895271637-3.19360574357226i</v>
      </c>
      <c r="AT523" s="337">
        <f t="shared" si="402"/>
        <v>3.1936057842872132</v>
      </c>
      <c r="AU523" s="730">
        <f t="shared" si="403"/>
        <v>-1.5706366465050037</v>
      </c>
      <c r="AV523" s="732" t="str">
        <f t="shared" si="404"/>
        <v>-0.0557581507465449+0.0273366458194778i</v>
      </c>
      <c r="AW523" s="337">
        <f t="shared" si="405"/>
        <v>-24.138332893080797</v>
      </c>
      <c r="AX523" s="730">
        <f t="shared" si="406"/>
        <v>153.88259206501078</v>
      </c>
      <c r="AY523" s="360">
        <f t="shared" si="407"/>
        <v>-26.117407934989217</v>
      </c>
      <c r="BB523" s="337">
        <f t="shared" si="408"/>
        <v>-29.914373875879619</v>
      </c>
      <c r="BC523" s="730">
        <f t="shared" si="409"/>
        <v>-89.990850993317707</v>
      </c>
      <c r="BD523" s="351"/>
      <c r="BE523" s="337">
        <f t="shared" si="370"/>
        <v>25.918943298570291</v>
      </c>
      <c r="BF523" s="730">
        <f t="shared" si="371"/>
        <v>-89.783951304079238</v>
      </c>
      <c r="BI523" s="351"/>
      <c r="BJ523" s="351"/>
      <c r="BL523" s="405">
        <f t="shared" si="372"/>
        <v>0</v>
      </c>
      <c r="BM523" s="405">
        <f t="shared" si="410"/>
        <v>0</v>
      </c>
      <c r="BN523" s="405">
        <f t="shared" si="373"/>
        <v>0</v>
      </c>
      <c r="BO523" s="405">
        <f t="shared" si="374"/>
        <v>0</v>
      </c>
    </row>
    <row r="524" spans="4:67" ht="13.5" thickBot="1" x14ac:dyDescent="0.25">
      <c r="D524" s="345">
        <v>73709.25</v>
      </c>
      <c r="E524" s="340" t="str">
        <f t="shared" si="361"/>
        <v>1.22266023423252i</v>
      </c>
      <c r="F524" s="728" t="str">
        <f t="shared" si="375"/>
        <v>0.005-0.0353971506661103i</v>
      </c>
      <c r="G524" s="337" t="str">
        <f t="shared" si="376"/>
        <v>0.005-0.055364774118788i</v>
      </c>
      <c r="H524" s="338" t="str">
        <f t="shared" si="377"/>
        <v>0.00746301842978146-0.0547999619494538i</v>
      </c>
      <c r="I524" s="338" t="str">
        <f t="shared" si="378"/>
        <v>0.0174630184297815-0.0547999619494538i</v>
      </c>
      <c r="J524" s="337" t="str">
        <f t="shared" si="379"/>
        <v>0.00449727951034905-0.0216577874097134i</v>
      </c>
      <c r="K524" s="338" t="str">
        <f t="shared" si="362"/>
        <v>0.93963273849375-0.385940730502689i</v>
      </c>
      <c r="L524" s="732"/>
      <c r="M524" s="732" t="str">
        <f t="shared" si="363"/>
        <v>0.0735813936374345-19.6499758567002i</v>
      </c>
      <c r="N524" s="337">
        <f t="shared" si="364"/>
        <v>0</v>
      </c>
      <c r="O524" s="730" t="str">
        <f t="shared" si="365"/>
        <v>-0.754525297190306-7.51949052128862i</v>
      </c>
      <c r="P524" s="731" t="str">
        <f t="shared" si="366"/>
        <v>-0.425244083616464-0.0899650439799016i</v>
      </c>
      <c r="Q524" s="729" t="str">
        <f t="shared" si="367"/>
        <v>-0.417698830644561-0.0147701387670151i</v>
      </c>
      <c r="R524" s="730"/>
      <c r="S524" s="405" t="str">
        <f t="shared" si="380"/>
        <v>36.7136045815856-14.5015416254514i</v>
      </c>
      <c r="T524" s="405" t="str">
        <f t="shared" si="381"/>
        <v>13.4661770154312-7.00949503860593i</v>
      </c>
      <c r="U524" s="405" t="str">
        <f t="shared" si="382"/>
        <v>-0.283621734155625-0.790257978706813i</v>
      </c>
      <c r="V524" s="731" t="str">
        <f t="shared" si="368"/>
        <v>6000</v>
      </c>
      <c r="W524" s="733" t="str">
        <f>IMSUM(COMPLEX(1,0),IMDIV(COMPLEX(0,2*PI()*D524),COMPLEX(2*PI()*'Stability Calculations'!EA_Pole1,0)))</f>
        <v>1+467760.165369259i</v>
      </c>
      <c r="X524" s="734">
        <f t="shared" si="383"/>
        <v>467760.165370328</v>
      </c>
      <c r="Y524" s="735">
        <f t="shared" si="384"/>
        <v>1.570794188947183</v>
      </c>
      <c r="Z524" s="340" t="str">
        <f>IMSUM(COMPLEX(1,0),IMDIV(COMPLEX(0,2*PI()*D524),COMPLEX(2*PI()*'Stability Calculations'!EA_Zero1,0)))</f>
        <v>1+4631.28876603227i</v>
      </c>
      <c r="AA524" s="734">
        <f t="shared" si="385"/>
        <v>4631.2888739935788</v>
      </c>
      <c r="AB524" s="735">
        <f t="shared" si="386"/>
        <v>1.5705804041791889</v>
      </c>
      <c r="AC524" s="733" t="str">
        <f>IMSUM(COMPLEX(1,0),IMDIV(COMPLEX(0,2*PI()*D524),COMPLEX(2*PI()*'Stability Calculations'!EA_Pole2,0)))</f>
        <v>1+46.6530841987842i</v>
      </c>
      <c r="AD524" s="734">
        <f t="shared" si="387"/>
        <v>46.663800373082012</v>
      </c>
      <c r="AE524" s="735">
        <f t="shared" si="388"/>
        <v>1.5493647985472949</v>
      </c>
      <c r="AF524" s="732" t="str">
        <f t="shared" si="389"/>
        <v>0.0270094903361923-1.27277611224729i</v>
      </c>
      <c r="AG524" s="337">
        <f t="shared" si="390"/>
        <v>1.2730626632163662</v>
      </c>
      <c r="AH524" s="730">
        <f t="shared" si="391"/>
        <v>-1.5495785833152891</v>
      </c>
      <c r="AI524" s="731" t="str">
        <f t="shared" si="369"/>
        <v>10000</v>
      </c>
      <c r="AJ524" s="733" t="str">
        <f t="shared" si="392"/>
        <v>1+436081.223951847i</v>
      </c>
      <c r="AK524" s="734">
        <f t="shared" si="393"/>
        <v>436081.22395299358</v>
      </c>
      <c r="AL524" s="735">
        <f t="shared" si="394"/>
        <v>1.570794033644114</v>
      </c>
      <c r="AM524" s="340" t="str">
        <f t="shared" si="395"/>
        <v>1+740.079944811957i</v>
      </c>
      <c r="AN524" s="734">
        <f t="shared" si="396"/>
        <v>740.08062041433652</v>
      </c>
      <c r="AO524" s="735">
        <f t="shared" si="397"/>
        <v>1.5694451222413541</v>
      </c>
      <c r="AP524" s="733" t="str">
        <f t="shared" si="398"/>
        <v>1+35.8950972199213i</v>
      </c>
      <c r="AQ524" s="734">
        <f t="shared" si="399"/>
        <v>35.909023997145916</v>
      </c>
      <c r="AR524" s="735">
        <f t="shared" si="400"/>
        <v>1.542944572915983</v>
      </c>
      <c r="AS524" s="732" t="str">
        <f t="shared" si="401"/>
        <v>0.000504136853892034-3.17533255324332i</v>
      </c>
      <c r="AT524" s="337">
        <f t="shared" si="402"/>
        <v>3.1753325932633749</v>
      </c>
      <c r="AU524" s="730">
        <f t="shared" si="403"/>
        <v>-1.5706375601645663</v>
      </c>
      <c r="AV524" s="732" t="str">
        <f t="shared" si="404"/>
        <v>-0.0550288624680736+0.027165135232896i</v>
      </c>
      <c r="AW524" s="337">
        <f t="shared" si="405"/>
        <v>-24.241058142462151</v>
      </c>
      <c r="AX524" s="730">
        <f t="shared" si="406"/>
        <v>153.72663511697647</v>
      </c>
      <c r="AY524" s="360">
        <f t="shared" si="407"/>
        <v>-26.273364883023532</v>
      </c>
      <c r="BB524" s="337">
        <f t="shared" si="408"/>
        <v>-29.964215575288733</v>
      </c>
      <c r="BC524" s="730">
        <f t="shared" si="409"/>
        <v>-89.990903342154567</v>
      </c>
      <c r="BD524" s="351"/>
      <c r="BE524" s="337">
        <f t="shared" si="370"/>
        <v>25.867301318786986</v>
      </c>
      <c r="BF524" s="730">
        <f t="shared" si="371"/>
        <v>-89.785450952621872</v>
      </c>
      <c r="BI524" s="351"/>
      <c r="BJ524" s="351"/>
      <c r="BL524" s="405">
        <f t="shared" si="372"/>
        <v>0</v>
      </c>
      <c r="BM524" s="405">
        <f t="shared" si="410"/>
        <v>0</v>
      </c>
      <c r="BN524" s="405">
        <f t="shared" si="373"/>
        <v>0</v>
      </c>
      <c r="BO524" s="405">
        <f t="shared" si="374"/>
        <v>0</v>
      </c>
    </row>
    <row r="525" spans="4:67" ht="13.5" thickBot="1" x14ac:dyDescent="0.25">
      <c r="D525" s="345">
        <v>74131</v>
      </c>
      <c r="E525" s="340" t="str">
        <f t="shared" ref="E525:E588" si="411">COMPLEX(0,2*PI()*D525*L)</f>
        <v>1.22965605841724i</v>
      </c>
      <c r="F525" s="728" t="str">
        <f t="shared" si="375"/>
        <v>0.005-0.0351957673272449i</v>
      </c>
      <c r="G525" s="337" t="str">
        <f t="shared" si="376"/>
        <v>0.005-0.0550497899221008i</v>
      </c>
      <c r="H525" s="338" t="str">
        <f t="shared" si="377"/>
        <v>0.00743489759682551-0.0544894582710163i</v>
      </c>
      <c r="I525" s="338" t="str">
        <f t="shared" si="378"/>
        <v>0.0174348975968255-0.0544894582710163i</v>
      </c>
      <c r="J525" s="337" t="str">
        <f t="shared" si="379"/>
        <v>0.00449276418071231-0.0215355260417452i</v>
      </c>
      <c r="K525" s="338" t="str">
        <f t="shared" ref="K525:K588" si="412">IMSUM(COMPLEX(1,0),COMPLEX(0,2*PI()*D525/(Fsw*PI()*(-2)/PI())),IMPRODUCT(COMPLEX(0,2*PI()*D525/(Fsw*PI())),COMPLEX(0,2*PI()*D525/(Fsw*PI()))))</f>
        <v>0.938939942655556-0.388149008338775i</v>
      </c>
      <c r="L525" s="732"/>
      <c r="M525" s="732" t="str">
        <f t="shared" ref="M525:M588" si="413">IF(Vin&gt;=Vout,IMDIV(COMPLEX(Vin,0),IMSUM(E525,J525)),IMDIV(IMSUM(COMPLEX(Vout,0),IMPRODUCT(J525,COMPLEX($B$4,0))),IMSUM(E525,IMPRODUCT(J525,COMPLEX((1-$B$11)^2,0)))))</f>
        <v>0.0726438896218689-19.5342045728926i</v>
      </c>
      <c r="N525" s="337">
        <f t="shared" ref="N525:N588" si="414">IF(Vin&gt;=Vout,0,IMSUB(IMPRODUCT(M525,COMPLEX(1-$B$11,0)),COMPLEX($B$4/(1-$B$11),0)))</f>
        <v>0</v>
      </c>
      <c r="O525" s="730" t="str">
        <f t="shared" ref="O525:O588" si="415">IMDIV(IF(Vin&gt;=Vout,M525,N525),IMPRODUCT(I525,IMSUM(IMDIV(COMPLEX(1,0),F525),IMDIV(COMPLEX(1,0),I525))))</f>
        <v>-0.752023838387555-7.47376747224932i</v>
      </c>
      <c r="P525" s="731" t="str">
        <f t="shared" ref="P525:P588" si="416">IF(Vin&gt;=Vout,IMDIV(IMPRODUCT(COMPLEX(Vin,0),J525),IMSUM(J525,E525)),IMPRODUCT(N525,J525))</f>
        <v>-0.420352999419067-0.0893269989805244i</v>
      </c>
      <c r="Q525" s="729" t="str">
        <f t="shared" ref="Q525:Q588" si="417">IF(Vin&gt;=Vout,IMDIV(IMPRODUCT(P525,H525),IMSUM(COMPLEX($B$15,0),H525)),IMPRODUCT(O525,H525))</f>
        <v>-0.412832761035192-0.0145893242580311i</v>
      </c>
      <c r="R525" s="730"/>
      <c r="S525" s="405" t="str">
        <f t="shared" si="380"/>
        <v>36.6723610446254-14.5849453260463i</v>
      </c>
      <c r="T525" s="405" t="str">
        <f t="shared" si="381"/>
        <v>13.4431332745688-7.04198323787973i</v>
      </c>
      <c r="U525" s="405" t="str">
        <f t="shared" si="382"/>
        <v>-0.283765532508747-0.784865473848527i</v>
      </c>
      <c r="V525" s="731" t="str">
        <f t="shared" ref="V525:V588" si="418">COMPLEX(AEA,0)</f>
        <v>6000</v>
      </c>
      <c r="W525" s="733" t="str">
        <f>IMSUM(COMPLEX(1,0),IMDIV(COMPLEX(0,2*PI()*D525),COMPLEX(2*PI()*'Stability Calculations'!EA_Pole1,0)))</f>
        <v>1+470436.598106595i</v>
      </c>
      <c r="X525" s="734">
        <f t="shared" si="383"/>
        <v>470436.59810765786</v>
      </c>
      <c r="Y525" s="735">
        <f t="shared" si="384"/>
        <v>1.5707942011099392</v>
      </c>
      <c r="Z525" s="340" t="str">
        <f>IMSUM(COMPLEX(1,0),IMDIV(COMPLEX(0,2*PI()*D525),COMPLEX(2*PI()*'Stability Calculations'!EA_Zero1,0)))</f>
        <v>1+4657.7881000653i</v>
      </c>
      <c r="AA525" s="734">
        <f t="shared" si="385"/>
        <v>4657.7882074123891</v>
      </c>
      <c r="AB525" s="735">
        <f t="shared" si="386"/>
        <v>1.5705816326174991</v>
      </c>
      <c r="AC525" s="733" t="str">
        <f>IMSUM(COMPLEX(1,0),IMDIV(COMPLEX(0,2*PI()*D525),COMPLEX(2*PI()*'Stability Calculations'!EA_Pole2,0)))</f>
        <v>1+46.9200240775761i</v>
      </c>
      <c r="AD525" s="734">
        <f t="shared" si="387"/>
        <v>46.930679298730816</v>
      </c>
      <c r="AE525" s="735">
        <f t="shared" si="388"/>
        <v>1.5494866909152589</v>
      </c>
      <c r="AF525" s="732" t="str">
        <f t="shared" si="389"/>
        <v>0.0267031760704302-1.2655414956023i</v>
      </c>
      <c r="AG525" s="337">
        <f t="shared" si="390"/>
        <v>1.2658231854029038</v>
      </c>
      <c r="AH525" s="730">
        <f t="shared" si="391"/>
        <v>-1.549699259407699</v>
      </c>
      <c r="AI525" s="731" t="str">
        <f t="shared" ref="AI525:AI588" si="419">COMPLEX(AIL,0)</f>
        <v>10000</v>
      </c>
      <c r="AJ525" s="733" t="str">
        <f t="shared" si="392"/>
        <v>1+438576.39594453i</v>
      </c>
      <c r="AK525" s="734">
        <f t="shared" si="393"/>
        <v>438576.39594567008</v>
      </c>
      <c r="AL525" s="735">
        <f t="shared" si="394"/>
        <v>1.5707940466904284</v>
      </c>
      <c r="AM525" s="340" t="str">
        <f t="shared" si="395"/>
        <v>1+744.314538390435i</v>
      </c>
      <c r="AN525" s="734">
        <f t="shared" si="396"/>
        <v>744.31521014914529</v>
      </c>
      <c r="AO525" s="735">
        <f t="shared" si="397"/>
        <v>1.5694528095763791</v>
      </c>
      <c r="AP525" s="733" t="str">
        <f t="shared" si="398"/>
        <v>1+36.1004819884884i</v>
      </c>
      <c r="AQ525" s="734">
        <f t="shared" si="399"/>
        <v>36.114329563224281</v>
      </c>
      <c r="AR525" s="735">
        <f t="shared" si="400"/>
        <v>1.5431029473502949</v>
      </c>
      <c r="AS525" s="732" t="str">
        <f t="shared" si="401"/>
        <v>0.000498416847708897-3.15726728449756i</v>
      </c>
      <c r="AT525" s="337">
        <f t="shared" si="402"/>
        <v>3.1572673238384406</v>
      </c>
      <c r="AU525" s="730">
        <f t="shared" si="403"/>
        <v>-1.570638463428049</v>
      </c>
      <c r="AV525" s="732" t="str">
        <f t="shared" si="404"/>
        <v>-0.0543120585383347+0.0269953685712172i</v>
      </c>
      <c r="AW525" s="337">
        <f t="shared" si="405"/>
        <v>-24.343233805559137</v>
      </c>
      <c r="AX525" s="730">
        <f t="shared" si="406"/>
        <v>153.57069867712286</v>
      </c>
      <c r="AY525" s="360">
        <f t="shared" si="407"/>
        <v>-26.429301322877137</v>
      </c>
      <c r="BB525" s="337">
        <f t="shared" si="408"/>
        <v>-30.013772902207375</v>
      </c>
      <c r="BC525" s="730">
        <f t="shared" si="409"/>
        <v>-89.990955095339913</v>
      </c>
      <c r="BD525" s="351"/>
      <c r="BE525" s="337">
        <f t="shared" ref="BE525:BE588" si="420">20*LOG10(IMABS(M525))</f>
        <v>25.815974691899555</v>
      </c>
      <c r="BF525" s="730">
        <f t="shared" ref="BF525:BF588" si="421">180/PI()*IMARGUMENT(IMPRODUCT(COMPLEX(1,0),M525))</f>
        <v>-89.786929174394061</v>
      </c>
      <c r="BI525" s="351"/>
      <c r="BJ525" s="351"/>
      <c r="BL525" s="405">
        <f t="shared" ref="BL525:BL588" si="422">SUM((AW526&lt;0)*(AW525&gt;0))*D525</f>
        <v>0</v>
      </c>
      <c r="BM525" s="405">
        <f t="shared" si="410"/>
        <v>0</v>
      </c>
      <c r="BN525" s="405">
        <f t="shared" ref="BN525:BN588" si="423">SUM((BB526&lt;0)*(BB525&gt;0))*D525</f>
        <v>0</v>
      </c>
      <c r="BO525" s="405">
        <f t="shared" ref="BO525:BO588" si="424">IF(BN525&gt;0,BC525,0)</f>
        <v>0</v>
      </c>
    </row>
    <row r="526" spans="4:67" ht="13.5" thickBot="1" x14ac:dyDescent="0.25">
      <c r="D526" s="345">
        <v>74562.75</v>
      </c>
      <c r="E526" s="340" t="str">
        <f t="shared" si="411"/>
        <v>1.23681775869407i</v>
      </c>
      <c r="F526" s="728" t="str">
        <f t="shared" ref="F526:F589" si="425">IMSUM(COMPLEX($B$8,0),IMDIV(COMPLEX(1,0),COMPLEX(0,2*PI()*D526*$B$6)))</f>
        <v>0.005-0.034991968881727i</v>
      </c>
      <c r="G526" s="337" t="str">
        <f t="shared" ref="G526:G589" si="426">IMSUM(COMPLEX($B$9,0),IMDIV(COMPLEX(1,0),COMPLEX(0,2*PI()*D526*$B$7)))</f>
        <v>0.005-0.0547310282509063i</v>
      </c>
      <c r="H526" s="338" t="str">
        <f t="shared" ref="H526:H589" si="427">IMDIV(COMPLEX(1,0),IMSUM(IMDIV(COMPLEX(1,0),COMPLEX($B$5,0)), IMDIV(COMPLEX(1,0),G526)))</f>
        <v>0.00740660154294004-0.054175208829724i</v>
      </c>
      <c r="I526" s="338" t="str">
        <f t="shared" ref="I526:I589" si="428">IMSUM(H526,COMPLEX($B$15,0))</f>
        <v>0.01740660154294-0.054175208829724i</v>
      </c>
      <c r="J526" s="337" t="str">
        <f t="shared" ref="J526:J589" si="429">IMDIV(COMPLEX(1,0),IMSUM(IMDIV(COMPLEX(1,0),F526),IMDIV(COMPLEX(1,0),IMSUM(COMPLEX($B$15,0),H526))))</f>
        <v>0.00448821655414973-0.0214118013240441i</v>
      </c>
      <c r="K526" s="338" t="str">
        <f t="shared" si="412"/>
        <v>0.93822662569375-0.390409646052421i</v>
      </c>
      <c r="L526" s="732"/>
      <c r="M526" s="732" t="str">
        <f t="shared" si="413"/>
        <v>0.071702972906542-19.4171157697766i</v>
      </c>
      <c r="N526" s="337">
        <f t="shared" si="414"/>
        <v>0</v>
      </c>
      <c r="O526" s="730" t="str">
        <f t="shared" si="415"/>
        <v>-0.749500392729772-7.42751824456539i</v>
      </c>
      <c r="P526" s="731" t="str">
        <f t="shared" si="416"/>
        <v>-0.415433606678439-0.0886835102419715i</v>
      </c>
      <c r="Q526" s="729" t="str">
        <f t="shared" si="417"/>
        <v>-0.407938602751141-0.0144083277963182i</v>
      </c>
      <c r="R526" s="730"/>
      <c r="S526" s="405" t="str">
        <f t="shared" ref="S526:S589" si="430">IMDIV(IMPRODUCT(COMPLEX($B$34,0),M526),IMSUM(COMPLEX(1,0),IMPRODUCT(M526,COMPLEX($B$29,0),K526,COMPLEX($B$34,0))))</f>
        <v>36.6298894064219-14.6701744234223i</v>
      </c>
      <c r="T526" s="405" t="str">
        <f t="shared" ref="T526:T589" si="431">IMDIV(IMPRODUCT(COMPLEX($B$34,0),O526),IMSUM(COMPLEX(1,0),IMPRODUCT(M526,COMPLEX($B$29,0),K526,COMPLEX($B$34,0))))</f>
        <v>13.4194266040209-7.07516600754536i</v>
      </c>
      <c r="U526" s="405" t="str">
        <f t="shared" ref="U526:U589" si="432">IMDIV(IMPRODUCT(COMPLEX($B$34,0),Q526),IMSUM(COMPLEX(1,0),IMPRODUCT(M526,COMPLEX($B$29,0),K526,COMPLEX($B$34,0))))</f>
        <v>-0.28390625017302-0.779403174116025i</v>
      </c>
      <c r="V526" s="731" t="str">
        <f t="shared" si="418"/>
        <v>6000</v>
      </c>
      <c r="W526" s="733" t="str">
        <f>IMSUM(COMPLEX(1,0),IMDIV(COMPLEX(0,2*PI()*D526),COMPLEX(2*PI()*'Stability Calculations'!EA_Pole1,0)))</f>
        <v>1+473176.491015534i</v>
      </c>
      <c r="X526" s="734">
        <f t="shared" ref="X526:X589" si="433">IMABS(W526)</f>
        <v>473176.49101659073</v>
      </c>
      <c r="Y526" s="735">
        <f t="shared" ref="Y526:Y589" si="434">IMARGUMENT(W526)</f>
        <v>1.5707942134185582</v>
      </c>
      <c r="Z526" s="340" t="str">
        <f>IMSUM(COMPLEX(1,0),IMDIV(COMPLEX(0,2*PI()*D526),COMPLEX(2*PI()*'Stability Calculations'!EA_Zero1,0)))</f>
        <v>1+4684.91575262905i</v>
      </c>
      <c r="AA526" s="734">
        <f t="shared" ref="AA526:AA589" si="435">IMABS(Z526)</f>
        <v>4684.9158593545544</v>
      </c>
      <c r="AB526" s="735">
        <f t="shared" ref="AB526:AB589" si="436">IMARGUMENT(Z526)</f>
        <v>1.5705828757879599</v>
      </c>
      <c r="AC526" s="733" t="str">
        <f>IMSUM(COMPLEX(1,0),IMDIV(COMPLEX(0,2*PI()*D526),COMPLEX(2*PI()*'Stability Calculations'!EA_Pole2,0)))</f>
        <v>1+47.1932932955213i</v>
      </c>
      <c r="AD526" s="734">
        <f t="shared" ref="AD526:AD589" si="437">IMABS(AC526)</f>
        <v>47.203886832305415</v>
      </c>
      <c r="AE526" s="735">
        <f t="shared" ref="AE526:AE589" si="438">IMARGUMENT(AC526)</f>
        <v>1.5496100457324613</v>
      </c>
      <c r="AF526" s="732" t="str">
        <f t="shared" ref="AF526:AF589" si="439">IMPRODUCT(V526,IMDIV(Z526,IMPRODUCT(W526,AC526)))</f>
        <v>0.0263949643182491-1.25822000351709i</v>
      </c>
      <c r="AG526" s="337">
        <f t="shared" ref="AG526:AG589" si="440">IMABS(AF526)</f>
        <v>1.2584968301080093</v>
      </c>
      <c r="AH526" s="730">
        <f t="shared" ref="AH526:AH589" si="441">IMARGUMENT(AF526)</f>
        <v>-1.5498213833630599</v>
      </c>
      <c r="AI526" s="731" t="str">
        <f t="shared" si="419"/>
        <v>10000</v>
      </c>
      <c r="AJ526" s="733" t="str">
        <f t="shared" ref="AJ526:AJ589" si="442">IMSUM(COMPLEX(1,0),IMDIV(COMPLEX(0,2*PI()*D526),COMPLEX(2*PI()*IL_Pole1,0)))</f>
        <v>1+441130.730284402i</v>
      </c>
      <c r="AK526" s="734">
        <f t="shared" ref="AK526:AK589" si="443">IMABS(AJ526)</f>
        <v>441130.73028553545</v>
      </c>
      <c r="AL526" s="735">
        <f t="shared" ref="AL526:AL589" si="444">IMARGUMENT(AJ526)</f>
        <v>1.570794059893202</v>
      </c>
      <c r="AM526" s="340" t="str">
        <f t="shared" ref="AM526:AM589" si="445">IMSUM(COMPLEX(1,0),IMDIV(COMPLEX(0,2*PI()*D526),COMPLEX(2*PI()*IL_Zero1,0)))</f>
        <v>1+748.649537270122i</v>
      </c>
      <c r="AN526" s="734">
        <f t="shared" ref="AN526:AN589" si="446">IMABS(AM526)</f>
        <v>748.65020513906745</v>
      </c>
      <c r="AO526" s="735">
        <f t="shared" ref="AO526:AO589" si="447">IMARGUMENT(AM526)</f>
        <v>1.5694605891025786</v>
      </c>
      <c r="AP526" s="733" t="str">
        <f t="shared" ref="AP526:AP589" si="448">IMSUM(COMPLEX(1,0),IMDIV(COMPLEX(0,2*PI()*D526),COMPLEX(2*PI()*IL_Pole2,0)))</f>
        <v>1+36.3107365796652i</v>
      </c>
      <c r="AQ526" s="734">
        <f t="shared" ref="AQ526:AQ589" si="449">IMABS(AP526)</f>
        <v>36.324504001539189</v>
      </c>
      <c r="AR526" s="735">
        <f t="shared" ref="AR526:AR589" si="450">IMARGUMENT(AP526)</f>
        <v>1.5432632225180178</v>
      </c>
      <c r="AS526" s="732" t="str">
        <f t="shared" ref="AS526:AS589" si="451">_xlfn.SWITCH(IMONLIM_select,0,COMPLEX(1,0),1,IMPRODUCT(gm_IL,IMDIV(COMPLEX(1,0),IMSUM(COMPLEX(1/20000000,0),COMPLEX(0,2*PI()*D526*CISET),COMPLEX(1/RISET,0)))),2,IMPRODUCT(gm_IL,IMDIV(COMPLEX(1,0),IMSUM(COMPLEX(1/20000000,0),COMPLEX(0,2*PI()*D526*CcIL)))),3,IMPRODUCT(AI526,IMDIV(AM526,IMPRODUCT(AJ526,AP526))))</f>
        <v>0.00049266146868427-3.13898536647912i</v>
      </c>
      <c r="AT526" s="337">
        <f t="shared" ref="AT526:AT589" si="452">IMABS(AS526)</f>
        <v>3.138985405140549</v>
      </c>
      <c r="AU526" s="730">
        <f t="shared" ref="AU526:AU589" si="453">IMARGUMENT(AS526)</f>
        <v>-1.5706393775239953</v>
      </c>
      <c r="AV526" s="732" t="str">
        <f t="shared" ref="AV526:AV589" si="454">IMPRODUCT(T526,AS526,COMPLEX($B$15,0),IMPRODUCT(COMPLEX(0.1,0),AF526))</f>
        <v>-0.0535908968661218+0.0268233543658476i</v>
      </c>
      <c r="AW526" s="337">
        <f t="shared" ref="AW526:AW589" si="455">20*LOG10(IMABS(AV526))</f>
        <v>-24.447269629039642</v>
      </c>
      <c r="AX526" s="730">
        <f t="shared" ref="AX526:AX589" si="456">(180/PI())*IMARGUMENT(AV526)</f>
        <v>153.41108567882202</v>
      </c>
      <c r="AY526" s="360">
        <f t="shared" ref="AY526:AY589" si="457">IF(AX526&gt;0,AX526-180,AX526+180)</f>
        <v>-26.588914321177981</v>
      </c>
      <c r="BB526" s="337">
        <f t="shared" ref="BB526:BB589" si="458">20*LOG10(IMPRODUCT(COMPLEX($B$15,0),IMABS(AS526)))</f>
        <v>-30.064214071355373</v>
      </c>
      <c r="BC526" s="730">
        <f t="shared" ref="BC526:BC589" si="459">(180/PI())*IMARGUMENT(AS526)</f>
        <v>-89.991007469179706</v>
      </c>
      <c r="BD526" s="351"/>
      <c r="BE526" s="337">
        <f t="shared" si="420"/>
        <v>25.763753622339593</v>
      </c>
      <c r="BF526" s="730">
        <f t="shared" si="421"/>
        <v>-89.788420736597132</v>
      </c>
      <c r="BI526" s="351"/>
      <c r="BJ526" s="351"/>
      <c r="BL526" s="405">
        <f t="shared" si="422"/>
        <v>0</v>
      </c>
      <c r="BM526" s="405">
        <f t="shared" si="410"/>
        <v>0</v>
      </c>
      <c r="BN526" s="405">
        <f t="shared" si="423"/>
        <v>0</v>
      </c>
      <c r="BO526" s="405">
        <f t="shared" si="424"/>
        <v>0</v>
      </c>
    </row>
    <row r="527" spans="4:67" ht="13.5" thickBot="1" x14ac:dyDescent="0.25">
      <c r="D527" s="345">
        <v>74994.5</v>
      </c>
      <c r="E527" s="340" t="str">
        <f t="shared" si="411"/>
        <v>1.2439794589709i</v>
      </c>
      <c r="F527" s="728" t="str">
        <f t="shared" si="425"/>
        <v>0.005-0.034790517007727i</v>
      </c>
      <c r="G527" s="337" t="str">
        <f t="shared" si="426"/>
        <v>0.005-0.0544159368582398i</v>
      </c>
      <c r="H527" s="338" t="str">
        <f t="shared" si="427"/>
        <v>0.00737879149933821-0.0538645560642895i</v>
      </c>
      <c r="I527" s="338" t="str">
        <f t="shared" si="428"/>
        <v>0.0173787914993382-0.0538645560642895i</v>
      </c>
      <c r="J527" s="337" t="str">
        <f t="shared" si="429"/>
        <v>0.00448374282768052-0.0212895041067278i</v>
      </c>
      <c r="K527" s="338" t="str">
        <f t="shared" si="412"/>
        <v>0.937509166330555-0.392670283766066i</v>
      </c>
      <c r="L527" s="732"/>
      <c r="M527" s="732" t="str">
        <f t="shared" si="413"/>
        <v>0.0707805885044989-19.3014447727803i</v>
      </c>
      <c r="N527" s="337">
        <f t="shared" si="414"/>
        <v>0</v>
      </c>
      <c r="O527" s="730" t="str">
        <f t="shared" si="415"/>
        <v>-0.747013818262181-7.38182317757458i</v>
      </c>
      <c r="P527" s="731" t="str">
        <f t="shared" si="416"/>
        <v>-0.410600825799839-0.088049598193468i</v>
      </c>
      <c r="Q527" s="729" t="str">
        <f t="shared" si="417"/>
        <v>-0.403130687617217-0.0142313664177225i</v>
      </c>
      <c r="R527" s="730"/>
      <c r="S527" s="405" t="str">
        <f t="shared" si="430"/>
        <v>36.5871648280229-14.7552492772259i</v>
      </c>
      <c r="T527" s="405" t="str">
        <f t="shared" si="431"/>
        <v>13.3956023313103-7.1082713773299i</v>
      </c>
      <c r="U527" s="405" t="str">
        <f t="shared" si="432"/>
        <v>-0.284040525513583-0.773998625203817i</v>
      </c>
      <c r="V527" s="731" t="str">
        <f t="shared" si="418"/>
        <v>6000</v>
      </c>
      <c r="W527" s="733" t="str">
        <f>IMSUM(COMPLEX(1,0),IMDIV(COMPLEX(0,2*PI()*D527),COMPLEX(2*PI()*'Stability Calculations'!EA_Pole1,0)))</f>
        <v>1+475916.383924472i</v>
      </c>
      <c r="X527" s="734">
        <f t="shared" si="433"/>
        <v>475916.38392552256</v>
      </c>
      <c r="Y527" s="735">
        <f t="shared" si="434"/>
        <v>1.5707942255854537</v>
      </c>
      <c r="Z527" s="340" t="str">
        <f>IMSUM(COMPLEX(1,0),IMDIV(COMPLEX(0,2*PI()*D527),COMPLEX(2*PI()*'Stability Calculations'!EA_Zero1,0)))</f>
        <v>1+4712.04340519279i</v>
      </c>
      <c r="AA527" s="734">
        <f t="shared" si="435"/>
        <v>4712.0435113038657</v>
      </c>
      <c r="AB527" s="735">
        <f t="shared" si="436"/>
        <v>1.5705841046443356</v>
      </c>
      <c r="AC527" s="733" t="str">
        <f>IMSUM(COMPLEX(1,0),IMDIV(COMPLEX(0,2*PI()*D527),COMPLEX(2*PI()*'Stability Calculations'!EA_Pole2,0)))</f>
        <v>1+47.4665625134664i</v>
      </c>
      <c r="AD527" s="734">
        <f t="shared" si="437"/>
        <v>47.477095075887007</v>
      </c>
      <c r="AE527" s="735">
        <f t="shared" si="438"/>
        <v>1.549731980854155</v>
      </c>
      <c r="AF527" s="732" t="str">
        <f t="shared" si="439"/>
        <v>0.026092057286637-1.25098270063594i</v>
      </c>
      <c r="AG527" s="337">
        <f t="shared" si="440"/>
        <v>1.2512547753131009</v>
      </c>
      <c r="AH527" s="730">
        <f t="shared" si="441"/>
        <v>-1.549942101795273</v>
      </c>
      <c r="AI527" s="731" t="str">
        <f t="shared" si="419"/>
        <v>10000</v>
      </c>
      <c r="AJ527" s="733" t="str">
        <f t="shared" si="442"/>
        <v>1+443685.064624274i</v>
      </c>
      <c r="AK527" s="734">
        <f t="shared" si="443"/>
        <v>443685.06462540093</v>
      </c>
      <c r="AL527" s="735">
        <f t="shared" si="444"/>
        <v>1.5707940729439565</v>
      </c>
      <c r="AM527" s="340" t="str">
        <f t="shared" si="445"/>
        <v>1+752.984536149808i</v>
      </c>
      <c r="AN527" s="734">
        <f t="shared" si="446"/>
        <v>752.98520017377609</v>
      </c>
      <c r="AO527" s="735">
        <f t="shared" si="447"/>
        <v>1.5694682790540897</v>
      </c>
      <c r="AP527" s="733" t="str">
        <f t="shared" si="448"/>
        <v>1+36.520991170842i</v>
      </c>
      <c r="AQ527" s="734">
        <f t="shared" si="449"/>
        <v>36.534679362226782</v>
      </c>
      <c r="AR527" s="735">
        <f t="shared" si="450"/>
        <v>1.5434216536395831</v>
      </c>
      <c r="AS527" s="732" t="str">
        <f t="shared" si="451"/>
        <v>0.000487005205929712-3.1209139496981i</v>
      </c>
      <c r="AT527" s="337">
        <f t="shared" si="452"/>
        <v>3.1209139876956344</v>
      </c>
      <c r="AU527" s="730">
        <f t="shared" si="453"/>
        <v>-1.5706402810948785</v>
      </c>
      <c r="AV527" s="732" t="str">
        <f t="shared" si="454"/>
        <v>-0.0528822305248373+0.0266531100864238i</v>
      </c>
      <c r="AW527" s="337">
        <f t="shared" si="455"/>
        <v>-24.550743166833428</v>
      </c>
      <c r="AX527" s="730">
        <f t="shared" si="456"/>
        <v>153.25149330292101</v>
      </c>
      <c r="AY527" s="360">
        <f t="shared" si="457"/>
        <v>-26.748506697078994</v>
      </c>
      <c r="BB527" s="337">
        <f t="shared" si="458"/>
        <v>-30.114364006276212</v>
      </c>
      <c r="BC527" s="730">
        <f t="shared" si="459"/>
        <v>-89.991059239977801</v>
      </c>
      <c r="BD527" s="351"/>
      <c r="BE527" s="337">
        <f t="shared" si="420"/>
        <v>25.711854772486941</v>
      </c>
      <c r="BF527" s="730">
        <f t="shared" si="421"/>
        <v>-89.789890815848878</v>
      </c>
      <c r="BI527" s="351"/>
      <c r="BJ527" s="351"/>
      <c r="BL527" s="405">
        <f t="shared" si="422"/>
        <v>0</v>
      </c>
      <c r="BM527" s="405">
        <f t="shared" si="410"/>
        <v>0</v>
      </c>
      <c r="BN527" s="405">
        <f t="shared" si="423"/>
        <v>0</v>
      </c>
      <c r="BO527" s="405">
        <f t="shared" si="424"/>
        <v>0</v>
      </c>
    </row>
    <row r="528" spans="4:67" ht="13.5" thickBot="1" x14ac:dyDescent="0.25">
      <c r="D528" s="345">
        <v>75426.25</v>
      </c>
      <c r="E528" s="340" t="str">
        <f t="shared" si="411"/>
        <v>1.25114115924773i</v>
      </c>
      <c r="F528" s="728" t="str">
        <f t="shared" si="425"/>
        <v>0.005-0.0345913714089722i</v>
      </c>
      <c r="G528" s="337" t="str">
        <f t="shared" si="426"/>
        <v>0.005-0.0541044527165976i</v>
      </c>
      <c r="H528" s="338" t="str">
        <f t="shared" si="427"/>
        <v>0.00735145640639898-0.053557438700946i</v>
      </c>
      <c r="I528" s="338" t="str">
        <f t="shared" si="428"/>
        <v>0.017351456406399-0.053557438700946i</v>
      </c>
      <c r="J528" s="337" t="str">
        <f t="shared" si="429"/>
        <v>0.00447934129689536-0.0211686098903186i</v>
      </c>
      <c r="K528" s="338" t="str">
        <f t="shared" si="412"/>
        <v>0.936787564565972-0.394930921479712i</v>
      </c>
      <c r="L528" s="732"/>
      <c r="M528" s="732" t="str">
        <f t="shared" si="413"/>
        <v>0.0698762450696835-19.1871656101425i</v>
      </c>
      <c r="N528" s="337">
        <f t="shared" si="414"/>
        <v>0</v>
      </c>
      <c r="O528" s="730" t="str">
        <f t="shared" si="415"/>
        <v>-0.744563243081213-7.33667212302216i</v>
      </c>
      <c r="P528" s="731" t="str">
        <f t="shared" si="416"/>
        <v>-0.405852624151831-0.0874250462603626i</v>
      </c>
      <c r="Q528" s="729" t="str">
        <f t="shared" si="417"/>
        <v>-0.398406991721019-0.0140583250301405i</v>
      </c>
      <c r="R528" s="730"/>
      <c r="S528" s="405" t="str">
        <f t="shared" si="430"/>
        <v>36.544187490678-14.8401695723216i</v>
      </c>
      <c r="T528" s="405" t="str">
        <f t="shared" si="431"/>
        <v>13.3716607715692-7.14129858391556i</v>
      </c>
      <c r="U528" s="405" t="str">
        <f t="shared" si="432"/>
        <v>-0.284168479909863-0.768650847327895i</v>
      </c>
      <c r="V528" s="731" t="str">
        <f t="shared" si="418"/>
        <v>6000</v>
      </c>
      <c r="W528" s="733" t="str">
        <f>IMSUM(COMPLEX(1,0),IMDIV(COMPLEX(0,2*PI()*D528),COMPLEX(2*PI()*'Stability Calculations'!EA_Pole1,0)))</f>
        <v>1+478656.276833411i</v>
      </c>
      <c r="X528" s="734">
        <f t="shared" si="433"/>
        <v>478656.27683445555</v>
      </c>
      <c r="Y528" s="735">
        <f t="shared" si="434"/>
        <v>1.570794237613059</v>
      </c>
      <c r="Z528" s="340" t="str">
        <f>IMSUM(COMPLEX(1,0),IMDIV(COMPLEX(0,2*PI()*D528),COMPLEX(2*PI()*'Stability Calculations'!EA_Zero1,0)))</f>
        <v>1+4739.17105775654i</v>
      </c>
      <c r="AA528" s="734">
        <f t="shared" si="435"/>
        <v>4739.1711632602219</v>
      </c>
      <c r="AB528" s="735">
        <f t="shared" si="436"/>
        <v>1.5705853194324335</v>
      </c>
      <c r="AC528" s="733" t="str">
        <f>IMSUM(COMPLEX(1,0),IMDIV(COMPLEX(0,2*PI()*D528),COMPLEX(2*PI()*'Stability Calculations'!EA_Pole2,0)))</f>
        <v>1+47.7398317314116i</v>
      </c>
      <c r="AD528" s="734">
        <f t="shared" si="437"/>
        <v>47.750304017288663</v>
      </c>
      <c r="AE528" s="735">
        <f t="shared" si="438"/>
        <v>1.5498525206455436</v>
      </c>
      <c r="AF528" s="732" t="str">
        <f t="shared" si="439"/>
        <v>0.0257943339532012-1.2438281437629i</v>
      </c>
      <c r="AG528" s="337">
        <f t="shared" si="440"/>
        <v>1.2440955746568472</v>
      </c>
      <c r="AH528" s="730">
        <f t="shared" si="441"/>
        <v>-1.5500614388261689</v>
      </c>
      <c r="AI528" s="731" t="str">
        <f t="shared" si="419"/>
        <v>10000</v>
      </c>
      <c r="AJ528" s="733" t="str">
        <f t="shared" si="442"/>
        <v>1+446239.398964146i</v>
      </c>
      <c r="AK528" s="734">
        <f t="shared" si="443"/>
        <v>446239.39896526642</v>
      </c>
      <c r="AL528" s="735">
        <f t="shared" si="444"/>
        <v>1.5707940858453024</v>
      </c>
      <c r="AM528" s="340" t="str">
        <f t="shared" si="445"/>
        <v>1+757.319535029495i</v>
      </c>
      <c r="AN528" s="734">
        <f t="shared" si="446"/>
        <v>757.32019525250382</v>
      </c>
      <c r="AO528" s="735">
        <f t="shared" si="447"/>
        <v>1.5694758809691216</v>
      </c>
      <c r="AP528" s="733" t="str">
        <f t="shared" si="448"/>
        <v>1+36.7312457620188i</v>
      </c>
      <c r="AQ528" s="734">
        <f t="shared" si="449"/>
        <v>36.744855629459536</v>
      </c>
      <c r="AR528" s="735">
        <f t="shared" si="450"/>
        <v>1.5435782723501517</v>
      </c>
      <c r="AS528" s="732" t="str">
        <f t="shared" si="451"/>
        <v>0.000481445796533639-3.10304941934265i</v>
      </c>
      <c r="AT528" s="337">
        <f t="shared" si="452"/>
        <v>3.1030494566914033</v>
      </c>
      <c r="AU528" s="730">
        <f t="shared" si="453"/>
        <v>-1.5706411743214397</v>
      </c>
      <c r="AV528" s="732" t="str">
        <f t="shared" si="454"/>
        <v>-0.0521857746306924+0.0264846074577463i</v>
      </c>
      <c r="AW528" s="337">
        <f t="shared" si="455"/>
        <v>-24.653661159068903</v>
      </c>
      <c r="AX528" s="730">
        <f t="shared" si="456"/>
        <v>153.09192113031517</v>
      </c>
      <c r="AY528" s="360">
        <f t="shared" si="457"/>
        <v>-26.908078869684829</v>
      </c>
      <c r="BB528" s="337">
        <f t="shared" si="458"/>
        <v>-30.164226050695014</v>
      </c>
      <c r="BC528" s="730">
        <f t="shared" si="459"/>
        <v>-89.991110418089903</v>
      </c>
      <c r="BD528" s="351"/>
      <c r="BE528" s="337">
        <f t="shared" si="420"/>
        <v>25.660274081424731</v>
      </c>
      <c r="BF528" s="730">
        <f t="shared" si="421"/>
        <v>-89.791339882481807</v>
      </c>
      <c r="BI528" s="351"/>
      <c r="BJ528" s="351"/>
      <c r="BL528" s="405">
        <f t="shared" si="422"/>
        <v>0</v>
      </c>
      <c r="BM528" s="405">
        <f t="shared" si="410"/>
        <v>0</v>
      </c>
      <c r="BN528" s="405">
        <f t="shared" si="423"/>
        <v>0</v>
      </c>
      <c r="BO528" s="405">
        <f t="shared" si="424"/>
        <v>0</v>
      </c>
    </row>
    <row r="529" spans="4:67" ht="13.5" thickBot="1" x14ac:dyDescent="0.25">
      <c r="D529" s="345">
        <v>75858</v>
      </c>
      <c r="E529" s="340" t="str">
        <f t="shared" si="411"/>
        <v>1.25830285952456i</v>
      </c>
      <c r="F529" s="728" t="str">
        <f t="shared" si="425"/>
        <v>0.005-0.0343944927065832i</v>
      </c>
      <c r="G529" s="337" t="str">
        <f t="shared" si="426"/>
        <v>0.005-0.0537965142333738i</v>
      </c>
      <c r="H529" s="338" t="str">
        <f t="shared" si="427"/>
        <v>0.00732458551710885-0.0532537968471324i</v>
      </c>
      <c r="I529" s="338" t="str">
        <f t="shared" si="428"/>
        <v>0.0173245855171089-0.0532537968471324i</v>
      </c>
      <c r="J529" s="337" t="str">
        <f t="shared" si="429"/>
        <v>0.00447501030582953-0.0210490947322228i</v>
      </c>
      <c r="K529" s="338" t="str">
        <f t="shared" si="412"/>
        <v>0.9360618204-0.397191559193358i</v>
      </c>
      <c r="L529" s="732"/>
      <c r="M529" s="732" t="str">
        <f t="shared" si="413"/>
        <v>0.0689894676019891-19.0742529487332i</v>
      </c>
      <c r="N529" s="337">
        <f t="shared" si="414"/>
        <v>0</v>
      </c>
      <c r="O529" s="730" t="str">
        <f t="shared" si="415"/>
        <v>-0.742147820260044-7.29205518288283i</v>
      </c>
      <c r="P529" s="731" t="str">
        <f t="shared" si="416"/>
        <v>-0.401187028685752-0.0868096443606601i</v>
      </c>
      <c r="Q529" s="729" t="str">
        <f t="shared" si="417"/>
        <v>-0.393765550483152-0.0138890925318312i</v>
      </c>
      <c r="R529" s="730"/>
      <c r="S529" s="405" t="str">
        <f t="shared" si="430"/>
        <v>36.5009575776223-14.924934976016i</v>
      </c>
      <c r="T529" s="405" t="str">
        <f t="shared" si="431"/>
        <v>13.3476022435253-7.17424687037692i</v>
      </c>
      <c r="U529" s="405" t="str">
        <f t="shared" si="432"/>
        <v>-0.284290231285175-0.763358882995958i</v>
      </c>
      <c r="V529" s="731" t="str">
        <f t="shared" si="418"/>
        <v>6000</v>
      </c>
      <c r="W529" s="733" t="str">
        <f>IMSUM(COMPLEX(1,0),IMDIV(COMPLEX(0,2*PI()*D529),COMPLEX(2*PI()*'Stability Calculations'!EA_Pole1,0)))</f>
        <v>1+481396.169742349i</v>
      </c>
      <c r="X529" s="734">
        <f t="shared" si="433"/>
        <v>481396.16974338767</v>
      </c>
      <c r="Y529" s="735">
        <f t="shared" si="434"/>
        <v>1.570794249503753</v>
      </c>
      <c r="Z529" s="340" t="str">
        <f>IMSUM(COMPLEX(1,0),IMDIV(COMPLEX(0,2*PI()*D529),COMPLEX(2*PI()*'Stability Calculations'!EA_Zero1,0)))</f>
        <v>1+4766.29871032029i</v>
      </c>
      <c r="AA529" s="734">
        <f t="shared" si="435"/>
        <v>4766.2988152234921</v>
      </c>
      <c r="AB529" s="735">
        <f t="shared" si="436"/>
        <v>1.5705865203924649</v>
      </c>
      <c r="AC529" s="733" t="str">
        <f>IMSUM(COMPLEX(1,0),IMDIV(COMPLEX(0,2*PI()*D529),COMPLEX(2*PI()*'Stability Calculations'!EA_Pole2,0)))</f>
        <v>1+48.0131009493568i</v>
      </c>
      <c r="AD529" s="734">
        <f t="shared" si="437"/>
        <v>48.02351364460047</v>
      </c>
      <c r="AE529" s="735">
        <f t="shared" si="438"/>
        <v>1.5499716889175326</v>
      </c>
      <c r="AF529" s="732" t="str">
        <f t="shared" si="439"/>
        <v>0.0255016767267441-1.23675492248669i</v>
      </c>
      <c r="AG529" s="337">
        <f t="shared" si="440"/>
        <v>1.2370178146699966</v>
      </c>
      <c r="AH529" s="730">
        <f t="shared" si="441"/>
        <v>-1.5501794180288206</v>
      </c>
      <c r="AI529" s="731" t="str">
        <f t="shared" si="419"/>
        <v>10000</v>
      </c>
      <c r="AJ529" s="733" t="str">
        <f t="shared" si="442"/>
        <v>1+448793.733304018i</v>
      </c>
      <c r="AK529" s="734">
        <f t="shared" si="443"/>
        <v>448793.73330513207</v>
      </c>
      <c r="AL529" s="735">
        <f t="shared" si="444"/>
        <v>1.570794098599791</v>
      </c>
      <c r="AM529" s="340" t="str">
        <f t="shared" si="445"/>
        <v>1+761.654533909182i</v>
      </c>
      <c r="AN529" s="734">
        <f t="shared" si="446"/>
        <v>761.65519037449837</v>
      </c>
      <c r="AO529" s="735">
        <f t="shared" si="447"/>
        <v>1.5694833963508645</v>
      </c>
      <c r="AP529" s="733" t="str">
        <f t="shared" si="448"/>
        <v>1+36.9415003531957i</v>
      </c>
      <c r="AQ529" s="734">
        <f t="shared" si="449"/>
        <v>36.95503278777003</v>
      </c>
      <c r="AR529" s="735">
        <f t="shared" si="450"/>
        <v>1.5437331095655611</v>
      </c>
      <c r="AS529" s="732" t="str">
        <f t="shared" si="451"/>
        <v>0.000475981041798104-3.08538824289653i</v>
      </c>
      <c r="AT529" s="337">
        <f t="shared" si="452"/>
        <v>3.0853882796111884</v>
      </c>
      <c r="AU529" s="730">
        <f t="shared" si="453"/>
        <v>-1.5706420573803042</v>
      </c>
      <c r="AV529" s="732" t="str">
        <f t="shared" si="454"/>
        <v>-0.0515012523897198+0.0263178187914544i</v>
      </c>
      <c r="AW529" s="337">
        <f t="shared" si="455"/>
        <v>-24.756030231159446</v>
      </c>
      <c r="AX529" s="730">
        <f t="shared" si="456"/>
        <v>152.93236875552842</v>
      </c>
      <c r="AY529" s="360">
        <f t="shared" si="457"/>
        <v>-27.067631244471585</v>
      </c>
      <c r="BB529" s="337">
        <f t="shared" si="458"/>
        <v>-30.213803491080373</v>
      </c>
      <c r="BC529" s="730">
        <f t="shared" si="459"/>
        <v>-89.991161013635903</v>
      </c>
      <c r="BD529" s="351"/>
      <c r="BE529" s="337">
        <f t="shared" si="420"/>
        <v>25.6090075661782</v>
      </c>
      <c r="BF529" s="730">
        <f t="shared" si="421"/>
        <v>-89.792768393158795</v>
      </c>
      <c r="BI529" s="351"/>
      <c r="BJ529" s="351"/>
      <c r="BL529" s="405">
        <f t="shared" si="422"/>
        <v>0</v>
      </c>
      <c r="BM529" s="405">
        <f t="shared" si="410"/>
        <v>0</v>
      </c>
      <c r="BN529" s="405">
        <f t="shared" si="423"/>
        <v>0</v>
      </c>
      <c r="BO529" s="405">
        <f t="shared" si="424"/>
        <v>0</v>
      </c>
    </row>
    <row r="530" spans="4:67" ht="13.5" thickBot="1" x14ac:dyDescent="0.25">
      <c r="D530" s="345">
        <v>76299.75</v>
      </c>
      <c r="E530" s="340" t="str">
        <f t="shared" si="411"/>
        <v>1.2656304358935i</v>
      </c>
      <c r="F530" s="728" t="str">
        <f t="shared" si="425"/>
        <v>0.005-0.0341953601123987i</v>
      </c>
      <c r="G530" s="337" t="str">
        <f t="shared" si="426"/>
        <v>0.005-0.0534850504322131i</v>
      </c>
      <c r="H530" s="338" t="str">
        <f t="shared" si="427"/>
        <v>0.00729756181968623-0.0529466583060582i</v>
      </c>
      <c r="I530" s="338" t="str">
        <f t="shared" si="428"/>
        <v>0.0172975618196862-0.0529466583060582i</v>
      </c>
      <c r="J530" s="337" t="str">
        <f t="shared" si="429"/>
        <v>0.00447065033356359-0.020928214352973i</v>
      </c>
      <c r="K530" s="338" t="str">
        <f t="shared" si="412"/>
        <v>0.93531497944375-0.399504556784563i</v>
      </c>
      <c r="L530" s="732"/>
      <c r="M530" s="732" t="str">
        <f t="shared" si="413"/>
        <v>0.0680998529880655-18.9601136247358i</v>
      </c>
      <c r="N530" s="337">
        <f t="shared" si="414"/>
        <v>0</v>
      </c>
      <c r="O530" s="730" t="str">
        <f t="shared" si="415"/>
        <v>-0.739711977524292-7.24694758990722i</v>
      </c>
      <c r="P530" s="731" t="str">
        <f t="shared" si="416"/>
        <v>-0.396496871464718-0.0861892466215691i</v>
      </c>
      <c r="Q530" s="729" t="str">
        <f t="shared" si="417"/>
        <v>-0.389099751689475-0.0137197707224974i</v>
      </c>
      <c r="R530" s="730"/>
      <c r="S530" s="405" t="str">
        <f t="shared" si="430"/>
        <v>36.4564651674986-15.0115029987899i</v>
      </c>
      <c r="T530" s="405" t="str">
        <f t="shared" si="431"/>
        <v>13.3228657553907-7.20787582420341i</v>
      </c>
      <c r="U530" s="405" t="str">
        <f t="shared" si="432"/>
        <v>-0.284408501911249-0.758001140223899i</v>
      </c>
      <c r="V530" s="731" t="str">
        <f t="shared" si="418"/>
        <v>6000</v>
      </c>
      <c r="W530" s="733" t="str">
        <f>IMSUM(COMPLEX(1,0),IMDIV(COMPLEX(0,2*PI()*D530),COMPLEX(2*PI()*'Stability Calculations'!EA_Pole1,0)))</f>
        <v>1+484199.522822891i</v>
      </c>
      <c r="X530" s="734">
        <f t="shared" si="433"/>
        <v>484199.52282392356</v>
      </c>
      <c r="Y530" s="735">
        <f t="shared" si="434"/>
        <v>1.570794261530573</v>
      </c>
      <c r="Z530" s="340" t="str">
        <f>IMSUM(COMPLEX(1,0),IMDIV(COMPLEX(0,2*PI()*D530),COMPLEX(2*PI()*'Stability Calculations'!EA_Zero1,0)))</f>
        <v>1+4794.05468141476i</v>
      </c>
      <c r="AA530" s="734">
        <f t="shared" si="435"/>
        <v>4794.0547857106067</v>
      </c>
      <c r="AB530" s="735">
        <f t="shared" si="436"/>
        <v>1.5705877351012363</v>
      </c>
      <c r="AC530" s="733" t="str">
        <f>IMSUM(COMPLEX(1,0),IMDIV(COMPLEX(0,2*PI()*D530),COMPLEX(2*PI()*'Stability Calculations'!EA_Pole2,0)))</f>
        <v>1+48.2926995064553i</v>
      </c>
      <c r="AD530" s="734">
        <f t="shared" si="437"/>
        <v>48.303051928638915</v>
      </c>
      <c r="AE530" s="735">
        <f t="shared" si="438"/>
        <v>1.5500922220444118</v>
      </c>
      <c r="AF530" s="732" t="str">
        <f t="shared" si="439"/>
        <v>0.0252073654083566-1.22960061998713i</v>
      </c>
      <c r="AG530" s="337">
        <f t="shared" si="440"/>
        <v>1.2298589740061929</v>
      </c>
      <c r="AH530" s="730">
        <f t="shared" si="441"/>
        <v>-1.5502987484737485</v>
      </c>
      <c r="AI530" s="731" t="str">
        <f t="shared" si="419"/>
        <v>10000</v>
      </c>
      <c r="AJ530" s="733" t="str">
        <f t="shared" si="442"/>
        <v>1+451407.229991079i</v>
      </c>
      <c r="AK530" s="734">
        <f t="shared" si="443"/>
        <v>451407.22999218671</v>
      </c>
      <c r="AL530" s="735">
        <f t="shared" si="444"/>
        <v>1.5707941115002944</v>
      </c>
      <c r="AM530" s="340" t="str">
        <f t="shared" si="445"/>
        <v>1+766.089938090078i</v>
      </c>
      <c r="AN530" s="734">
        <f t="shared" si="446"/>
        <v>766.09059075468326</v>
      </c>
      <c r="AO530" s="735">
        <f t="shared" si="447"/>
        <v>1.5694909977697802</v>
      </c>
      <c r="AP530" s="733" t="str">
        <f t="shared" si="448"/>
        <v>1+37.1566247669823i</v>
      </c>
      <c r="AQ530" s="734">
        <f t="shared" si="449"/>
        <v>37.170078881733922</v>
      </c>
      <c r="AR530" s="735">
        <f t="shared" si="450"/>
        <v>1.5438897206969415</v>
      </c>
      <c r="AS530" s="732" t="str">
        <f t="shared" si="451"/>
        <v>0.000470485455262089-3.067524879098i</v>
      </c>
      <c r="AT530" s="337">
        <f t="shared" si="452"/>
        <v>3.0675249151786463</v>
      </c>
      <c r="AU530" s="730">
        <f t="shared" si="453"/>
        <v>-1.5706429505485364</v>
      </c>
      <c r="AV530" s="732" t="str">
        <f t="shared" si="454"/>
        <v>-0.0508129465096396+0.0261489127312136i</v>
      </c>
      <c r="AW530" s="337">
        <f t="shared" si="455"/>
        <v>-24.860208984397694</v>
      </c>
      <c r="AX530" s="730">
        <f t="shared" si="456"/>
        <v>152.76914098214468</v>
      </c>
      <c r="AY530" s="360">
        <f t="shared" si="457"/>
        <v>-27.230859017855323</v>
      </c>
      <c r="BB530" s="337">
        <f t="shared" si="458"/>
        <v>-30.264238022838008</v>
      </c>
      <c r="BC530" s="730">
        <f t="shared" si="459"/>
        <v>-89.99121218840601</v>
      </c>
      <c r="BD530" s="351"/>
      <c r="BE530" s="337">
        <f t="shared" si="420"/>
        <v>25.556874739561838</v>
      </c>
      <c r="BF530" s="730">
        <f t="shared" si="421"/>
        <v>-89.794209177205147</v>
      </c>
      <c r="BI530" s="351"/>
      <c r="BJ530" s="351"/>
      <c r="BL530" s="405">
        <f t="shared" si="422"/>
        <v>0</v>
      </c>
      <c r="BM530" s="405">
        <f t="shared" si="410"/>
        <v>0</v>
      </c>
      <c r="BN530" s="405">
        <f t="shared" si="423"/>
        <v>0</v>
      </c>
      <c r="BO530" s="405">
        <f t="shared" si="424"/>
        <v>0</v>
      </c>
    </row>
    <row r="531" spans="4:67" ht="13.5" thickBot="1" x14ac:dyDescent="0.25">
      <c r="D531" s="345">
        <v>76741.5</v>
      </c>
      <c r="E531" s="340" t="str">
        <f t="shared" si="411"/>
        <v>1.27295801226243i</v>
      </c>
      <c r="F531" s="728" t="str">
        <f t="shared" si="425"/>
        <v>0.005-0.0339985200671864i</v>
      </c>
      <c r="G531" s="337" t="str">
        <f t="shared" si="426"/>
        <v>0.005-0.0531771724127787i</v>
      </c>
      <c r="H531" s="338" t="str">
        <f t="shared" si="427"/>
        <v>0.00727100227365506-0.052643035547635i</v>
      </c>
      <c r="I531" s="338" t="str">
        <f t="shared" si="428"/>
        <v>0.0172710022736551-0.052643035547635i</v>
      </c>
      <c r="J531" s="337" t="str">
        <f t="shared" si="429"/>
        <v>0.00446636084750695-0.0208087286624962i</v>
      </c>
      <c r="K531" s="338" t="str">
        <f t="shared" si="412"/>
        <v>0.934563801975-0.401817554375769i</v>
      </c>
      <c r="L531" s="732"/>
      <c r="M531" s="732" t="str">
        <f t="shared" si="413"/>
        <v>0.0672276710643453-18.8473531439582i</v>
      </c>
      <c r="N531" s="337">
        <f t="shared" si="414"/>
        <v>0</v>
      </c>
      <c r="O531" s="730" t="str">
        <f t="shared" si="415"/>
        <v>-0.737311217063102-7.20237894510444i</v>
      </c>
      <c r="P531" s="731" t="str">
        <f t="shared" si="416"/>
        <v>-0.391889194540959-0.0855780025271012i</v>
      </c>
      <c r="Q531" s="729" t="str">
        <f t="shared" si="417"/>
        <v>-0.384516082370327-0.0135542130760568i</v>
      </c>
      <c r="R531" s="730"/>
      <c r="S531" s="405" t="str">
        <f t="shared" si="430"/>
        <v>36.4117087410728-15.0979081128998i</v>
      </c>
      <c r="T531" s="405" t="str">
        <f t="shared" si="431"/>
        <v>13.2980075043555-7.24142057648895i</v>
      </c>
      <c r="U531" s="405" t="str">
        <f t="shared" si="432"/>
        <v>-0.284520518024231-0.752699867240646i</v>
      </c>
      <c r="V531" s="731" t="str">
        <f t="shared" si="418"/>
        <v>6000</v>
      </c>
      <c r="W531" s="733" t="str">
        <f>IMSUM(COMPLEX(1,0),IMDIV(COMPLEX(0,2*PI()*D531),COMPLEX(2*PI()*'Stability Calculations'!EA_Pole1,0)))</f>
        <v>1+487002.875903431i</v>
      </c>
      <c r="X531" s="734">
        <f t="shared" si="433"/>
        <v>487002.87590445764</v>
      </c>
      <c r="Y531" s="735">
        <f t="shared" si="434"/>
        <v>1.5707942734189322</v>
      </c>
      <c r="Z531" s="340" t="str">
        <f>IMSUM(COMPLEX(1,0),IMDIV(COMPLEX(0,2*PI()*D531),COMPLEX(2*PI()*'Stability Calculations'!EA_Zero1,0)))</f>
        <v>1+4821.81065250922i</v>
      </c>
      <c r="AA531" s="734">
        <f t="shared" si="435"/>
        <v>4821.8107562047044</v>
      </c>
      <c r="AB531" s="735">
        <f t="shared" si="436"/>
        <v>1.5705889358254601</v>
      </c>
      <c r="AC531" s="733" t="str">
        <f>IMSUM(COMPLEX(1,0),IMDIV(COMPLEX(0,2*PI()*D531),COMPLEX(2*PI()*'Stability Calculations'!EA_Pole2,0)))</f>
        <v>1+48.5722980635538i</v>
      </c>
      <c r="AD531" s="734">
        <f t="shared" si="437"/>
        <v>48.582590906359783</v>
      </c>
      <c r="AE531" s="735">
        <f t="shared" si="438"/>
        <v>1.5502113681038334</v>
      </c>
      <c r="AF531" s="732" t="str">
        <f t="shared" si="439"/>
        <v>0.0249181190425803-1.22252857837544i</v>
      </c>
      <c r="AG531" s="337">
        <f t="shared" si="440"/>
        <v>1.2227824980761275</v>
      </c>
      <c r="AH531" s="730">
        <f t="shared" si="441"/>
        <v>-1.5504167056973055</v>
      </c>
      <c r="AI531" s="731" t="str">
        <f t="shared" si="419"/>
        <v>10000</v>
      </c>
      <c r="AJ531" s="733" t="str">
        <f t="shared" si="442"/>
        <v>1+454020.726678139i</v>
      </c>
      <c r="AK531" s="734">
        <f t="shared" si="443"/>
        <v>454020.7266792403</v>
      </c>
      <c r="AL531" s="735">
        <f t="shared" si="444"/>
        <v>1.5707941242522785</v>
      </c>
      <c r="AM531" s="340" t="str">
        <f t="shared" si="445"/>
        <v>1+770.525342270973i</v>
      </c>
      <c r="AN531" s="734">
        <f t="shared" si="446"/>
        <v>770.52599117862337</v>
      </c>
      <c r="AO531" s="735">
        <f t="shared" si="447"/>
        <v>1.5694985116761735</v>
      </c>
      <c r="AP531" s="733" t="str">
        <f t="shared" si="448"/>
        <v>1+37.3717491807689i</v>
      </c>
      <c r="AQ531" s="734">
        <f t="shared" si="449"/>
        <v>37.385125876881851</v>
      </c>
      <c r="AR531" s="735">
        <f t="shared" si="450"/>
        <v>1.5440445301126864</v>
      </c>
      <c r="AS531" s="732" t="str">
        <f t="shared" si="451"/>
        <v>0.000465084498669011-3.04986717039884i</v>
      </c>
      <c r="AT531" s="337">
        <f t="shared" si="452"/>
        <v>3.0498672058599889</v>
      </c>
      <c r="AU531" s="730">
        <f t="shared" si="453"/>
        <v>-1.5706438334340127</v>
      </c>
      <c r="AV531" s="732" t="str">
        <f t="shared" si="454"/>
        <v>-0.0501365720125085+0.0259817441245951i</v>
      </c>
      <c r="AW531" s="337">
        <f t="shared" si="455"/>
        <v>-24.963826771158793</v>
      </c>
      <c r="AX531" s="730">
        <f t="shared" si="456"/>
        <v>152.6059331178393</v>
      </c>
      <c r="AY531" s="360">
        <f t="shared" si="457"/>
        <v>-27.394066882160701</v>
      </c>
      <c r="BB531" s="337">
        <f t="shared" si="458"/>
        <v>-30.314381396787297</v>
      </c>
      <c r="BC531" s="730">
        <f t="shared" si="459"/>
        <v>-89.991262774017585</v>
      </c>
      <c r="BD531" s="351"/>
      <c r="BE531" s="337">
        <f t="shared" si="420"/>
        <v>25.505062616347118</v>
      </c>
      <c r="BF531" s="730">
        <f t="shared" si="421"/>
        <v>-89.795629367518202</v>
      </c>
      <c r="BI531" s="351"/>
      <c r="BJ531" s="351"/>
      <c r="BL531" s="405">
        <f t="shared" si="422"/>
        <v>0</v>
      </c>
      <c r="BM531" s="405">
        <f t="shared" si="410"/>
        <v>0</v>
      </c>
      <c r="BN531" s="405">
        <f t="shared" si="423"/>
        <v>0</v>
      </c>
      <c r="BO531" s="405">
        <f t="shared" si="424"/>
        <v>0</v>
      </c>
    </row>
    <row r="532" spans="4:67" ht="13.5" thickBot="1" x14ac:dyDescent="0.25">
      <c r="D532" s="345">
        <v>77183.25</v>
      </c>
      <c r="E532" s="340" t="str">
        <f t="shared" si="411"/>
        <v>1.28028558863137i</v>
      </c>
      <c r="F532" s="728" t="str">
        <f t="shared" si="425"/>
        <v>0.005-0.0338039332074769i</v>
      </c>
      <c r="G532" s="337" t="str">
        <f t="shared" si="426"/>
        <v>0.005-0.0528728186065663i</v>
      </c>
      <c r="H532" s="338" t="str">
        <f t="shared" si="427"/>
        <v>0.00724489631661701-0.0523428686623879i</v>
      </c>
      <c r="I532" s="338" t="str">
        <f t="shared" si="428"/>
        <v>0.017244896316617-0.0523428686623879i</v>
      </c>
      <c r="J532" s="337" t="str">
        <f t="shared" si="429"/>
        <v>0.00446214022094186-0.0206906137249952i</v>
      </c>
      <c r="K532" s="338" t="str">
        <f t="shared" si="412"/>
        <v>0.93380828799375-0.404130551966974i</v>
      </c>
      <c r="L532" s="732"/>
      <c r="M532" s="732" t="str">
        <f t="shared" si="413"/>
        <v>0.06637246204091-18.735946321572i</v>
      </c>
      <c r="N532" s="337">
        <f t="shared" si="414"/>
        <v>0</v>
      </c>
      <c r="O532" s="730" t="str">
        <f t="shared" si="415"/>
        <v>-0.734944707500324-7.15833941041536i</v>
      </c>
      <c r="P532" s="731" t="str">
        <f t="shared" si="416"/>
        <v>-0.387362064879455-0.0849757066329595i</v>
      </c>
      <c r="Q532" s="729" t="str">
        <f t="shared" si="417"/>
        <v>-0.380012617804451-0.0133923125288064i</v>
      </c>
      <c r="R532" s="730"/>
      <c r="S532" s="405" t="str">
        <f t="shared" si="430"/>
        <v>36.3666885018862-15.1841499076266i</v>
      </c>
      <c r="T532" s="405" t="str">
        <f t="shared" si="431"/>
        <v>13.2730278433573-7.27488033635964i</v>
      </c>
      <c r="U532" s="405" t="str">
        <f t="shared" si="432"/>
        <v>-0.284626395447964-0.747454106909783i</v>
      </c>
      <c r="V532" s="731" t="str">
        <f t="shared" si="418"/>
        <v>6000</v>
      </c>
      <c r="W532" s="733" t="str">
        <f>IMSUM(COMPLEX(1,0),IMDIV(COMPLEX(0,2*PI()*D532),COMPLEX(2*PI()*'Stability Calculations'!EA_Pole1,0)))</f>
        <v>1+489806.228983973i</v>
      </c>
      <c r="X532" s="734">
        <f t="shared" si="433"/>
        <v>489806.22898499377</v>
      </c>
      <c r="Y532" s="735">
        <f t="shared" si="434"/>
        <v>1.5707942851712078</v>
      </c>
      <c r="Z532" s="340" t="str">
        <f>IMSUM(COMPLEX(1,0),IMDIV(COMPLEX(0,2*PI()*D532),COMPLEX(2*PI()*'Stability Calculations'!EA_Zero1,0)))</f>
        <v>1+4849.56662360369i</v>
      </c>
      <c r="AA532" s="734">
        <f t="shared" si="435"/>
        <v>4849.5667267056851</v>
      </c>
      <c r="AB532" s="735">
        <f t="shared" si="436"/>
        <v>1.5705901228052537</v>
      </c>
      <c r="AC532" s="733" t="str">
        <f>IMSUM(COMPLEX(1,0),IMDIV(COMPLEX(0,2*PI()*D532),COMPLEX(2*PI()*'Stability Calculations'!EA_Pole2,0)))</f>
        <v>1+48.8518966206523i</v>
      </c>
      <c r="AD532" s="734">
        <f t="shared" si="437"/>
        <v>48.862130565857434</v>
      </c>
      <c r="AE532" s="735">
        <f t="shared" si="438"/>
        <v>1.5503291508985739</v>
      </c>
      <c r="AF532" s="732" t="str">
        <f t="shared" si="439"/>
        <v>0.0246338220882313-1.2155373875828i</v>
      </c>
      <c r="AG532" s="337">
        <f t="shared" si="440"/>
        <v>1.215786973857794</v>
      </c>
      <c r="AH532" s="730">
        <f t="shared" si="441"/>
        <v>-1.550533313264528</v>
      </c>
      <c r="AI532" s="731" t="str">
        <f t="shared" si="419"/>
        <v>10000</v>
      </c>
      <c r="AJ532" s="733" t="str">
        <f t="shared" si="442"/>
        <v>1+456634.223365201i</v>
      </c>
      <c r="AK532" s="734">
        <f t="shared" si="443"/>
        <v>456634.22336629592</v>
      </c>
      <c r="AL532" s="735">
        <f t="shared" si="444"/>
        <v>1.5707941368582934</v>
      </c>
      <c r="AM532" s="340" t="str">
        <f t="shared" si="445"/>
        <v>1+774.960746451869i</v>
      </c>
      <c r="AN532" s="734">
        <f t="shared" si="446"/>
        <v>774.96139164556962</v>
      </c>
      <c r="AO532" s="735">
        <f t="shared" si="447"/>
        <v>1.5695059395726465</v>
      </c>
      <c r="AP532" s="733" t="str">
        <f t="shared" si="448"/>
        <v>1+37.5868735945555i</v>
      </c>
      <c r="AQ532" s="734">
        <f t="shared" si="449"/>
        <v>37.60017375775135</v>
      </c>
      <c r="AR532" s="735">
        <f t="shared" si="450"/>
        <v>1.5441975687191414</v>
      </c>
      <c r="AS532" s="732" t="str">
        <f t="shared" si="451"/>
        <v>0.000459776011813493-3.03241158566509i</v>
      </c>
      <c r="AT532" s="337">
        <f t="shared" si="452"/>
        <v>3.0324116205208433</v>
      </c>
      <c r="AU532" s="730">
        <f t="shared" si="453"/>
        <v>-1.5706447062132896</v>
      </c>
      <c r="AV532" s="732" t="str">
        <f t="shared" si="454"/>
        <v>-0.0494718569672224+0.0258162851279203i</v>
      </c>
      <c r="AW532" s="337">
        <f t="shared" si="455"/>
        <v>-25.066890331877634</v>
      </c>
      <c r="AX532" s="730">
        <f t="shared" si="456"/>
        <v>152.44274477056194</v>
      </c>
      <c r="AY532" s="360">
        <f t="shared" si="457"/>
        <v>-27.557255229438056</v>
      </c>
      <c r="BB532" s="337">
        <f t="shared" si="458"/>
        <v>-30.364236955341148</v>
      </c>
      <c r="BC532" s="730">
        <f t="shared" si="459"/>
        <v>-89.991312780586597</v>
      </c>
      <c r="BD532" s="351"/>
      <c r="BE532" s="337">
        <f t="shared" si="420"/>
        <v>25.453567170768416</v>
      </c>
      <c r="BF532" s="730">
        <f t="shared" si="421"/>
        <v>-89.797029411925706</v>
      </c>
      <c r="BI532" s="351"/>
      <c r="BJ532" s="351"/>
      <c r="BL532" s="405">
        <f t="shared" si="422"/>
        <v>0</v>
      </c>
      <c r="BM532" s="405">
        <f t="shared" si="410"/>
        <v>0</v>
      </c>
      <c r="BN532" s="405">
        <f t="shared" si="423"/>
        <v>0</v>
      </c>
      <c r="BO532" s="405">
        <f t="shared" si="424"/>
        <v>0</v>
      </c>
    </row>
    <row r="533" spans="4:67" ht="13.5" thickBot="1" x14ac:dyDescent="0.25">
      <c r="D533" s="345">
        <v>77625</v>
      </c>
      <c r="E533" s="340" t="str">
        <f t="shared" si="411"/>
        <v>1.28761316500031i</v>
      </c>
      <c r="F533" s="728" t="str">
        <f t="shared" si="425"/>
        <v>0.005-0.0336115610658421i</v>
      </c>
      <c r="G533" s="337" t="str">
        <f t="shared" si="426"/>
        <v>0.005-0.0525719288465735i</v>
      </c>
      <c r="H533" s="338" t="str">
        <f t="shared" si="427"/>
        <v>0.0072192336847412-0.05204609909173i</v>
      </c>
      <c r="I533" s="338" t="str">
        <f t="shared" si="428"/>
        <v>0.0172192336847412-0.05204609909173i</v>
      </c>
      <c r="J533" s="337" t="str">
        <f t="shared" si="429"/>
        <v>0.00445798687339567-0.0205738461487095i</v>
      </c>
      <c r="K533" s="338" t="str">
        <f t="shared" si="412"/>
        <v>0.9330484375-0.406443549558179i</v>
      </c>
      <c r="L533" s="732"/>
      <c r="M533" s="732" t="str">
        <f t="shared" si="413"/>
        <v>0.0655337813470272-18.6258685899763i</v>
      </c>
      <c r="N533" s="337">
        <f t="shared" si="414"/>
        <v>0</v>
      </c>
      <c r="O533" s="730" t="str">
        <f t="shared" si="415"/>
        <v>-0.732611641293147-7.11481938953796i</v>
      </c>
      <c r="P533" s="731" t="str">
        <f t="shared" si="416"/>
        <v>-0.382913606019244-0.0843821596146841i</v>
      </c>
      <c r="Q533" s="729" t="str">
        <f t="shared" si="417"/>
        <v>-0.375587489606313-0.0132339657193042i</v>
      </c>
      <c r="R533" s="730"/>
      <c r="S533" s="405" t="str">
        <f t="shared" si="430"/>
        <v>36.3214046562044-15.2702279547879i</v>
      </c>
      <c r="T533" s="405" t="str">
        <f t="shared" si="431"/>
        <v>13.2479271291831-7.30825431935481i</v>
      </c>
      <c r="U533" s="405" t="str">
        <f t="shared" si="432"/>
        <v>-0.284726246708709-0.742262923884424i</v>
      </c>
      <c r="V533" s="731" t="str">
        <f t="shared" si="418"/>
        <v>6000</v>
      </c>
      <c r="W533" s="733" t="str">
        <f>IMSUM(COMPLEX(1,0),IMDIV(COMPLEX(0,2*PI()*D533),COMPLEX(2*PI()*'Stability Calculations'!EA_Pole1,0)))</f>
        <v>1+492609.582064513i</v>
      </c>
      <c r="X533" s="734">
        <f t="shared" si="433"/>
        <v>492609.58206552808</v>
      </c>
      <c r="Y533" s="735">
        <f t="shared" si="434"/>
        <v>1.5707942967897233</v>
      </c>
      <c r="Z533" s="340" t="str">
        <f>IMSUM(COMPLEX(1,0),IMDIV(COMPLEX(0,2*PI()*D533),COMPLEX(2*PI()*'Stability Calculations'!EA_Zero1,0)))</f>
        <v>1+4877.32259469815i</v>
      </c>
      <c r="AA533" s="734">
        <f t="shared" si="435"/>
        <v>4877.3226972134107</v>
      </c>
      <c r="AB533" s="735">
        <f t="shared" si="436"/>
        <v>1.5705912962752679</v>
      </c>
      <c r="AC533" s="733" t="str">
        <f>IMSUM(COMPLEX(1,0),IMDIV(COMPLEX(0,2*PI()*D533),COMPLEX(2*PI()*'Stability Calculations'!EA_Pole2,0)))</f>
        <v>1+49.1314951777507i</v>
      </c>
      <c r="AD533" s="734">
        <f t="shared" si="437"/>
        <v>49.141670895497036</v>
      </c>
      <c r="AE533" s="735">
        <f t="shared" si="438"/>
        <v>1.5504455936899588</v>
      </c>
      <c r="AF533" s="732" t="str">
        <f t="shared" si="439"/>
        <v>0.0243543622796259-1.20862566957155i</v>
      </c>
      <c r="AG533" s="337">
        <f t="shared" si="440"/>
        <v>1.2088710204605475</v>
      </c>
      <c r="AH533" s="730">
        <f t="shared" si="441"/>
        <v>-1.5506485942044141</v>
      </c>
      <c r="AI533" s="731" t="str">
        <f t="shared" si="419"/>
        <v>10000</v>
      </c>
      <c r="AJ533" s="733" t="str">
        <f t="shared" si="442"/>
        <v>1+459247.720052261i</v>
      </c>
      <c r="AK533" s="734">
        <f t="shared" si="443"/>
        <v>459247.72005334968</v>
      </c>
      <c r="AL533" s="735">
        <f t="shared" si="444"/>
        <v>1.5707941493208313</v>
      </c>
      <c r="AM533" s="340" t="str">
        <f t="shared" si="445"/>
        <v>1+779.396150632764i</v>
      </c>
      <c r="AN533" s="734">
        <f t="shared" si="446"/>
        <v>779.39679215478566</v>
      </c>
      <c r="AO533" s="735">
        <f t="shared" si="447"/>
        <v>1.5695132829275973</v>
      </c>
      <c r="AP533" s="733" t="str">
        <f t="shared" si="448"/>
        <v>1+37.8019980083421i</v>
      </c>
      <c r="AQ533" s="734">
        <f t="shared" si="449"/>
        <v>37.815222509231653</v>
      </c>
      <c r="AR533" s="735">
        <f t="shared" si="450"/>
        <v>1.5443488667199514</v>
      </c>
      <c r="AS533" s="732" t="str">
        <f t="shared" si="451"/>
        <v>0.000454557895781463-3.015154674143i</v>
      </c>
      <c r="AT533" s="337">
        <f t="shared" si="452"/>
        <v>3.0151547084070596</v>
      </c>
      <c r="AU533" s="730">
        <f t="shared" si="453"/>
        <v>-1.5706455690589052</v>
      </c>
      <c r="AV533" s="732" t="str">
        <f t="shared" si="454"/>
        <v>-0.0488185371636596+0.0256525084786132i</v>
      </c>
      <c r="AW533" s="337">
        <f t="shared" si="455"/>
        <v>-25.169406292351411</v>
      </c>
      <c r="AX533" s="730">
        <f t="shared" si="456"/>
        <v>152.2795755618609</v>
      </c>
      <c r="AY533" s="360">
        <f t="shared" si="457"/>
        <v>-27.720424438139105</v>
      </c>
      <c r="BB533" s="337">
        <f t="shared" si="458"/>
        <v>-30.413807983685768</v>
      </c>
      <c r="BC533" s="730">
        <f t="shared" si="459"/>
        <v>-89.991362217998741</v>
      </c>
      <c r="BD533" s="351"/>
      <c r="BE533" s="337">
        <f t="shared" si="420"/>
        <v>25.402384453979423</v>
      </c>
      <c r="BF533" s="730">
        <f t="shared" si="421"/>
        <v>-89.798409745313151</v>
      </c>
      <c r="BI533" s="351"/>
      <c r="BJ533" s="351"/>
      <c r="BL533" s="405">
        <f t="shared" si="422"/>
        <v>0</v>
      </c>
      <c r="BM533" s="405">
        <f t="shared" si="410"/>
        <v>0</v>
      </c>
      <c r="BN533" s="405">
        <f t="shared" si="423"/>
        <v>0</v>
      </c>
      <c r="BO533" s="405">
        <f t="shared" si="424"/>
        <v>0</v>
      </c>
    </row>
    <row r="534" spans="4:67" ht="13.5" thickBot="1" x14ac:dyDescent="0.25">
      <c r="D534" s="345">
        <v>78077</v>
      </c>
      <c r="E534" s="340" t="str">
        <f t="shared" si="411"/>
        <v>1.29511076436366i</v>
      </c>
      <c r="F534" s="728" t="str">
        <f t="shared" si="425"/>
        <v>0.005-0.0334169784665905i</v>
      </c>
      <c r="G534" s="337" t="str">
        <f t="shared" si="426"/>
        <v>0.005-0.0522675817041543i</v>
      </c>
      <c r="H534" s="338" t="str">
        <f t="shared" si="427"/>
        <v>0.0071934240694386-0.0517459002944932i</v>
      </c>
      <c r="I534" s="338" t="str">
        <f t="shared" si="428"/>
        <v>0.0171934240694386-0.0517459002944932i</v>
      </c>
      <c r="J534" s="337" t="str">
        <f t="shared" si="429"/>
        <v>0.00445380519209301-0.0204557399681876i</v>
      </c>
      <c r="K534" s="338" t="str">
        <f t="shared" si="412"/>
        <v>0.932266467455555-0.408810216023884i</v>
      </c>
      <c r="L534" s="732"/>
      <c r="M534" s="732" t="str">
        <f t="shared" si="413"/>
        <v>0.0646923002538274-18.5145874149673i</v>
      </c>
      <c r="N534" s="337">
        <f t="shared" si="414"/>
        <v>0</v>
      </c>
      <c r="O534" s="730" t="str">
        <f t="shared" si="415"/>
        <v>-0.730258238722791-7.07081753752897i</v>
      </c>
      <c r="P534" s="731" t="str">
        <f t="shared" si="416"/>
        <v>-0.378441458876091-0.0837836944301776i</v>
      </c>
      <c r="Q534" s="729" t="str">
        <f t="shared" si="417"/>
        <v>-0.371138876488863-0.013075519054888i</v>
      </c>
      <c r="R534" s="730"/>
      <c r="S534" s="405" t="str">
        <f t="shared" si="430"/>
        <v>36.2747974477195-15.3581333300936i</v>
      </c>
      <c r="T534" s="405" t="str">
        <f t="shared" si="431"/>
        <v>13.2221190760768-7.34231308744684i</v>
      </c>
      <c r="U534" s="405" t="str">
        <f t="shared" si="432"/>
        <v>-0.284822291343142-0.737006827081185i</v>
      </c>
      <c r="V534" s="731" t="str">
        <f t="shared" si="418"/>
        <v>6000</v>
      </c>
      <c r="W534" s="733" t="str">
        <f>IMSUM(COMPLEX(1,0),IMDIV(COMPLEX(0,2*PI()*D534),COMPLEX(2*PI()*'Stability Calculations'!EA_Pole1,0)))</f>
        <v>1+495477.981820948i</v>
      </c>
      <c r="X534" s="734">
        <f t="shared" si="433"/>
        <v>495477.9818219571</v>
      </c>
      <c r="Y534" s="735">
        <f t="shared" si="434"/>
        <v>1.5707943085417417</v>
      </c>
      <c r="Z534" s="340" t="str">
        <f>IMSUM(COMPLEX(1,0),IMDIV(COMPLEX(0,2*PI()*D534),COMPLEX(2*PI()*'Stability Calculations'!EA_Zero1,0)))</f>
        <v>1+4905.72259228661i</v>
      </c>
      <c r="AA534" s="734">
        <f t="shared" si="435"/>
        <v>4905.7226942083944</v>
      </c>
      <c r="AB534" s="735">
        <f t="shared" si="436"/>
        <v>1.5705924832290739</v>
      </c>
      <c r="AC534" s="733" t="str">
        <f>IMSUM(COMPLEX(1,0),IMDIV(COMPLEX(0,2*PI()*D534),COMPLEX(2*PI()*'Stability Calculations'!EA_Pole2,0)))</f>
        <v>1+49.4175813074815i</v>
      </c>
      <c r="AD534" s="734">
        <f t="shared" si="437"/>
        <v>49.427698128494164</v>
      </c>
      <c r="AE534" s="735">
        <f t="shared" si="438"/>
        <v>1.5505633750320658</v>
      </c>
      <c r="AF534" s="732" t="str">
        <f t="shared" si="439"/>
        <v>0.0240733111389623-1.20163443325237i</v>
      </c>
      <c r="AG534" s="337">
        <f t="shared" si="440"/>
        <v>1.201875549084404</v>
      </c>
      <c r="AH534" s="730">
        <f t="shared" si="441"/>
        <v>-1.5507652003447336</v>
      </c>
      <c r="AI534" s="731" t="str">
        <f t="shared" si="419"/>
        <v>10000</v>
      </c>
      <c r="AJ534" s="733" t="str">
        <f t="shared" si="442"/>
        <v>1+461921.858145191i</v>
      </c>
      <c r="AK534" s="734">
        <f t="shared" si="443"/>
        <v>461921.85814627347</v>
      </c>
      <c r="AL534" s="735">
        <f t="shared" si="444"/>
        <v>1.5707941619265702</v>
      </c>
      <c r="AM534" s="340" t="str">
        <f t="shared" si="445"/>
        <v>1+783.9344702474i</v>
      </c>
      <c r="AN534" s="734">
        <f t="shared" si="446"/>
        <v>783.93510805555309</v>
      </c>
      <c r="AO534" s="735">
        <f t="shared" si="447"/>
        <v>1.5695207106617197</v>
      </c>
      <c r="AP534" s="733" t="str">
        <f t="shared" si="448"/>
        <v>1+38.0221139903038i</v>
      </c>
      <c r="AQ534" s="734">
        <f t="shared" si="449"/>
        <v>38.035261959025021</v>
      </c>
      <c r="AR534" s="735">
        <f t="shared" si="450"/>
        <v>1.5445019044468256</v>
      </c>
      <c r="AS534" s="732" t="str">
        <f t="shared" si="451"/>
        <v>0.000449310116186503-2.9976994715699i</v>
      </c>
      <c r="AT534" s="337">
        <f t="shared" si="452"/>
        <v>2.9976995052423181</v>
      </c>
      <c r="AU534" s="730">
        <f t="shared" si="453"/>
        <v>-1.5706464418190733</v>
      </c>
      <c r="AV534" s="732" t="str">
        <f t="shared" si="454"/>
        <v>-0.0481615854204641+0.0254866452031834i</v>
      </c>
      <c r="AW534" s="337">
        <f t="shared" si="455"/>
        <v>-25.273740934966575</v>
      </c>
      <c r="AX534" s="730">
        <f t="shared" si="456"/>
        <v>152.11263973942835</v>
      </c>
      <c r="AY534" s="360">
        <f t="shared" si="457"/>
        <v>-27.887360260571654</v>
      </c>
      <c r="BB534" s="337">
        <f t="shared" si="458"/>
        <v>-30.464238075223903</v>
      </c>
      <c r="BC534" s="730">
        <f t="shared" si="459"/>
        <v>-89.991412223472906</v>
      </c>
      <c r="BD534" s="351"/>
      <c r="BE534" s="337">
        <f t="shared" si="420"/>
        <v>25.350333793027286</v>
      </c>
      <c r="BF534" s="730">
        <f t="shared" si="421"/>
        <v>-89.799802144975388</v>
      </c>
      <c r="BI534" s="351"/>
      <c r="BJ534" s="351"/>
      <c r="BL534" s="405">
        <f t="shared" si="422"/>
        <v>0</v>
      </c>
      <c r="BM534" s="405">
        <f t="shared" si="410"/>
        <v>0</v>
      </c>
      <c r="BN534" s="405">
        <f t="shared" si="423"/>
        <v>0</v>
      </c>
      <c r="BO534" s="405">
        <f t="shared" si="424"/>
        <v>0</v>
      </c>
    </row>
    <row r="535" spans="4:67" ht="13.5" thickBot="1" x14ac:dyDescent="0.25">
      <c r="D535" s="345">
        <v>78529</v>
      </c>
      <c r="E535" s="340" t="str">
        <f t="shared" si="411"/>
        <v>1.30260836372702i</v>
      </c>
      <c r="F535" s="728" t="str">
        <f t="shared" si="425"/>
        <v>0.005-0.0332246358381742i</v>
      </c>
      <c r="G535" s="337" t="str">
        <f t="shared" si="426"/>
        <v>0.005-0.0519667381058624i</v>
      </c>
      <c r="H535" s="338" t="str">
        <f t="shared" si="427"/>
        <v>0.00716805776470297-0.0514491384296424i</v>
      </c>
      <c r="I535" s="338" t="str">
        <f t="shared" si="428"/>
        <v>0.017168057764703-0.0514491384296424i</v>
      </c>
      <c r="J535" s="337" t="str">
        <f t="shared" si="429"/>
        <v>0.0044496907420665-0.0203389965309358i</v>
      </c>
      <c r="K535" s="338" t="str">
        <f t="shared" si="412"/>
        <v>0.931479957322222-0.411176882489588i</v>
      </c>
      <c r="L535" s="732"/>
      <c r="M535" s="732" t="str">
        <f t="shared" si="413"/>
        <v>0.0638672279469315-18.404647583676i</v>
      </c>
      <c r="N535" s="337">
        <f t="shared" si="414"/>
        <v>0</v>
      </c>
      <c r="O535" s="730" t="str">
        <f t="shared" si="415"/>
        <v>-0.727938211936272-7.02734000429055i</v>
      </c>
      <c r="P535" s="731" t="str">
        <f t="shared" si="416"/>
        <v>-0.374047873944565-0.0831939852917325i</v>
      </c>
      <c r="Q535" s="729" t="str">
        <f t="shared" si="417"/>
        <v>-0.366768491825203-0.0129205852488266i</v>
      </c>
      <c r="R535" s="730"/>
      <c r="S535" s="405" t="str">
        <f t="shared" si="430"/>
        <v>36.2279147040025-15.445866309575i</v>
      </c>
      <c r="T535" s="405" t="str">
        <f t="shared" si="431"/>
        <v>13.1961850549813-7.37628041024584i</v>
      </c>
      <c r="U535" s="405" t="str">
        <f t="shared" si="432"/>
        <v>-0.284912255174784-0.731805955706199i</v>
      </c>
      <c r="V535" s="731" t="str">
        <f t="shared" si="418"/>
        <v>6000</v>
      </c>
      <c r="W535" s="733" t="str">
        <f>IMSUM(COMPLEX(1,0),IMDIV(COMPLEX(0,2*PI()*D535),COMPLEX(2*PI()*'Stability Calculations'!EA_Pole1,0)))</f>
        <v>1+498346.381577381i</v>
      </c>
      <c r="X535" s="734">
        <f t="shared" si="433"/>
        <v>498346.38157838432</v>
      </c>
      <c r="Y535" s="735">
        <f t="shared" si="434"/>
        <v>1.5707943201584746</v>
      </c>
      <c r="Z535" s="340" t="str">
        <f>IMSUM(COMPLEX(1,0),IMDIV(COMPLEX(0,2*PI()*D535),COMPLEX(2*PI()*'Stability Calculations'!EA_Zero1,0)))</f>
        <v>1+4934.12258987506i</v>
      </c>
      <c r="AA535" s="734">
        <f t="shared" si="435"/>
        <v>4934.1226912101984</v>
      </c>
      <c r="AB535" s="735">
        <f t="shared" si="436"/>
        <v>1.5705936565190586</v>
      </c>
      <c r="AC535" s="733" t="str">
        <f>IMSUM(COMPLEX(1,0),IMDIV(COMPLEX(0,2*PI()*D535),COMPLEX(2*PI()*'Stability Calculations'!EA_Pole2,0)))</f>
        <v>1+49.7036674372122i</v>
      </c>
      <c r="AD535" s="734">
        <f t="shared" si="437"/>
        <v>49.713726039284033</v>
      </c>
      <c r="AE535" s="735">
        <f t="shared" si="438"/>
        <v>1.5506798010659253</v>
      </c>
      <c r="AF535" s="732" t="str">
        <f t="shared" si="439"/>
        <v>0.0237970964522018-1.19472358043884i</v>
      </c>
      <c r="AG535" s="337">
        <f t="shared" si="440"/>
        <v>1.1949605581173617</v>
      </c>
      <c r="AH535" s="730">
        <f t="shared" si="441"/>
        <v>-1.5508804647053414</v>
      </c>
      <c r="AI535" s="731" t="str">
        <f t="shared" si="419"/>
        <v>10000</v>
      </c>
      <c r="AJ535" s="733" t="str">
        <f t="shared" si="442"/>
        <v>1+464595.996238119i</v>
      </c>
      <c r="AK535" s="734">
        <f t="shared" si="443"/>
        <v>464595.99623919523</v>
      </c>
      <c r="AL535" s="735">
        <f t="shared" si="444"/>
        <v>1.570794174387196</v>
      </c>
      <c r="AM535" s="340" t="str">
        <f t="shared" si="445"/>
        <v>1+788.472789862034i</v>
      </c>
      <c r="AN535" s="734">
        <f t="shared" si="446"/>
        <v>788.4734239990712</v>
      </c>
      <c r="AO535" s="735">
        <f t="shared" si="447"/>
        <v>1.5695280528903501</v>
      </c>
      <c r="AP535" s="733" t="str">
        <f t="shared" si="448"/>
        <v>1+38.2422299722654i</v>
      </c>
      <c r="AQ535" s="734">
        <f t="shared" si="449"/>
        <v>38.255302289377276</v>
      </c>
      <c r="AR535" s="735">
        <f t="shared" si="450"/>
        <v>1.5446531816645495</v>
      </c>
      <c r="AS535" s="732" t="str">
        <f t="shared" si="451"/>
        <v>0.000444152691617989-2.98044520752994i</v>
      </c>
      <c r="AT535" s="337">
        <f t="shared" si="452"/>
        <v>2.9804452406242592</v>
      </c>
      <c r="AU535" s="730">
        <f t="shared" si="453"/>
        <v>-1.5706473045323139</v>
      </c>
      <c r="AV535" s="732" t="str">
        <f t="shared" si="454"/>
        <v>-0.0475160278584991+0.0253224873060416i</v>
      </c>
      <c r="AW535" s="337">
        <f t="shared" si="455"/>
        <v>-25.377515948656509</v>
      </c>
      <c r="AX535" s="730">
        <f t="shared" si="456"/>
        <v>151.94572319467622</v>
      </c>
      <c r="AY535" s="360">
        <f t="shared" si="457"/>
        <v>-28.054276805323781</v>
      </c>
      <c r="BB535" s="337">
        <f t="shared" si="458"/>
        <v>-30.514377060069936</v>
      </c>
      <c r="BC535" s="730">
        <f t="shared" si="459"/>
        <v>-89.991461653300519</v>
      </c>
      <c r="BD535" s="351"/>
      <c r="BE535" s="337">
        <f t="shared" si="420"/>
        <v>25.298602415608698</v>
      </c>
      <c r="BF535" s="730">
        <f t="shared" si="421"/>
        <v>-89.801174789931579</v>
      </c>
      <c r="BI535" s="351"/>
      <c r="BJ535" s="351"/>
      <c r="BL535" s="405">
        <f t="shared" si="422"/>
        <v>0</v>
      </c>
      <c r="BM535" s="405">
        <f t="shared" si="410"/>
        <v>0</v>
      </c>
      <c r="BN535" s="405">
        <f t="shared" si="423"/>
        <v>0</v>
      </c>
      <c r="BO535" s="405">
        <f t="shared" si="424"/>
        <v>0</v>
      </c>
    </row>
    <row r="536" spans="4:67" ht="13.5" thickBot="1" x14ac:dyDescent="0.25">
      <c r="D536" s="345">
        <v>78981</v>
      </c>
      <c r="E536" s="340" t="str">
        <f t="shared" si="411"/>
        <v>1.31010596309037i</v>
      </c>
      <c r="F536" s="728" t="str">
        <f t="shared" si="425"/>
        <v>0.005-0.0330344947232371i</v>
      </c>
      <c r="G536" s="337" t="str">
        <f t="shared" si="426"/>
        <v>0.005-0.0516693379004477i</v>
      </c>
      <c r="H536" s="338" t="str">
        <f t="shared" si="427"/>
        <v>0.00714312468184488-0.0511557549162564i</v>
      </c>
      <c r="I536" s="338" t="str">
        <f t="shared" si="428"/>
        <v>0.0171431246818449-0.0511557549162564i</v>
      </c>
      <c r="J536" s="337" t="str">
        <f t="shared" si="429"/>
        <v>0.0044456419705987-0.0202235924489071i</v>
      </c>
      <c r="K536" s="338" t="str">
        <f t="shared" si="412"/>
        <v>0.9306889071-0.413543548955292i</v>
      </c>
      <c r="L536" s="732"/>
      <c r="M536" s="732" t="str">
        <f t="shared" si="413"/>
        <v>0.0630581338189595-18.2960246633788i</v>
      </c>
      <c r="N536" s="337">
        <f t="shared" si="414"/>
        <v>0</v>
      </c>
      <c r="O536" s="730" t="str">
        <f t="shared" si="415"/>
        <v>-0.72565076817818-6.98437724810387i</v>
      </c>
      <c r="P536" s="731" t="str">
        <f t="shared" si="416"/>
        <v>-0.369731012341033-0.0826128371375689i</v>
      </c>
      <c r="Q536" s="729" t="str">
        <f t="shared" si="417"/>
        <v>-0.362474504659252-0.0127690646565301i</v>
      </c>
      <c r="R536" s="730"/>
      <c r="S536" s="405" t="str">
        <f t="shared" si="430"/>
        <v>36.1807566557111-15.5334263804526i</v>
      </c>
      <c r="T536" s="405" t="str">
        <f t="shared" si="431"/>
        <v>13.1701254604854-7.4101554673941i</v>
      </c>
      <c r="U536" s="405" t="str">
        <f t="shared" si="432"/>
        <v>-0.284996248741583-0.72665937468839i</v>
      </c>
      <c r="V536" s="731" t="str">
        <f t="shared" si="418"/>
        <v>6000</v>
      </c>
      <c r="W536" s="733" t="str">
        <f>IMSUM(COMPLEX(1,0),IMDIV(COMPLEX(0,2*PI()*D536),COMPLEX(2*PI()*'Stability Calculations'!EA_Pole1,0)))</f>
        <v>1+501214.781333815i</v>
      </c>
      <c r="X536" s="734">
        <f t="shared" si="433"/>
        <v>501214.78133481264</v>
      </c>
      <c r="Y536" s="735">
        <f t="shared" si="434"/>
        <v>1.570794331642245</v>
      </c>
      <c r="Z536" s="340" t="str">
        <f>IMSUM(COMPLEX(1,0),IMDIV(COMPLEX(0,2*PI()*D536),COMPLEX(2*PI()*'Stability Calculations'!EA_Zero1,0)))</f>
        <v>1+4962.52258746351i</v>
      </c>
      <c r="AA536" s="734">
        <f t="shared" si="435"/>
        <v>4962.5226882187171</v>
      </c>
      <c r="AB536" s="735">
        <f t="shared" si="436"/>
        <v>1.5705948163798125</v>
      </c>
      <c r="AC536" s="733" t="str">
        <f>IMSUM(COMPLEX(1,0),IMDIV(COMPLEX(0,2*PI()*D536),COMPLEX(2*PI()*'Stability Calculations'!EA_Pole2,0)))</f>
        <v>1+49.9897535669428i</v>
      </c>
      <c r="AD536" s="734">
        <f t="shared" si="437"/>
        <v>49.999754616234569</v>
      </c>
      <c r="AE536" s="735">
        <f t="shared" si="438"/>
        <v>1.5507948950478814</v>
      </c>
      <c r="AF536" s="732" t="str">
        <f t="shared" si="439"/>
        <v>0.0235256078967092-1.18789173325868i</v>
      </c>
      <c r="AG536" s="337">
        <f t="shared" si="440"/>
        <v>1.1881246669315559</v>
      </c>
      <c r="AH536" s="730">
        <f t="shared" si="441"/>
        <v>-1.5509944103103142</v>
      </c>
      <c r="AI536" s="731" t="str">
        <f t="shared" si="419"/>
        <v>10000</v>
      </c>
      <c r="AJ536" s="733" t="str">
        <f t="shared" si="442"/>
        <v>1+467270.134331048i</v>
      </c>
      <c r="AK536" s="734">
        <f t="shared" si="443"/>
        <v>467270.13433211803</v>
      </c>
      <c r="AL536" s="735">
        <f t="shared" si="444"/>
        <v>1.5707941867052</v>
      </c>
      <c r="AM536" s="340" t="str">
        <f t="shared" si="445"/>
        <v>1+793.011109476669i</v>
      </c>
      <c r="AN536" s="734">
        <f t="shared" si="446"/>
        <v>793.01173998460933</v>
      </c>
      <c r="AO536" s="735">
        <f t="shared" si="447"/>
        <v>1.5695353110815022</v>
      </c>
      <c r="AP536" s="733" t="str">
        <f t="shared" si="448"/>
        <v>1+38.462345954227i</v>
      </c>
      <c r="AQ536" s="734">
        <f t="shared" si="449"/>
        <v>38.475343485180765</v>
      </c>
      <c r="AR536" s="735">
        <f t="shared" si="450"/>
        <v>1.5448027285712922</v>
      </c>
      <c r="AS536" s="732" t="str">
        <f t="shared" si="451"/>
        <v>0.000439083559636497-2.9633884321728i</v>
      </c>
      <c r="AT536" s="337">
        <f t="shared" si="452"/>
        <v>2.9633884647021791</v>
      </c>
      <c r="AU536" s="730">
        <f t="shared" si="453"/>
        <v>-1.5706481573711193</v>
      </c>
      <c r="AV536" s="732" t="str">
        <f t="shared" si="454"/>
        <v>-0.0468816048752527+0.0251600073778354i</v>
      </c>
      <c r="AW536" s="337">
        <f t="shared" si="455"/>
        <v>-25.480738075317984</v>
      </c>
      <c r="AX536" s="730">
        <f t="shared" si="456"/>
        <v>151.77882556442202</v>
      </c>
      <c r="AY536" s="360">
        <f t="shared" si="457"/>
        <v>-28.221174435577979</v>
      </c>
      <c r="BB536" s="337">
        <f t="shared" si="458"/>
        <v>-30.564228279759188</v>
      </c>
      <c r="BC536" s="730">
        <f t="shared" si="459"/>
        <v>-89.991510517364674</v>
      </c>
      <c r="BD536" s="351"/>
      <c r="BE536" s="337">
        <f t="shared" si="420"/>
        <v>25.247186328934355</v>
      </c>
      <c r="BF536" s="730">
        <f t="shared" si="421"/>
        <v>-89.802528106919269</v>
      </c>
      <c r="BI536" s="351"/>
      <c r="BJ536" s="351"/>
      <c r="BL536" s="405">
        <f t="shared" si="422"/>
        <v>0</v>
      </c>
      <c r="BM536" s="405">
        <f t="shared" si="410"/>
        <v>0</v>
      </c>
      <c r="BN536" s="405">
        <f t="shared" si="423"/>
        <v>0</v>
      </c>
      <c r="BO536" s="405">
        <f t="shared" si="424"/>
        <v>0</v>
      </c>
    </row>
    <row r="537" spans="4:67" ht="13.5" thickBot="1" x14ac:dyDescent="0.25">
      <c r="D537" s="345">
        <v>79433</v>
      </c>
      <c r="E537" s="340" t="str">
        <f t="shared" si="411"/>
        <v>1.31760356245372i</v>
      </c>
      <c r="F537" s="728" t="str">
        <f t="shared" si="425"/>
        <v>0.005-0.0328465175397629i</v>
      </c>
      <c r="G537" s="337" t="str">
        <f t="shared" si="426"/>
        <v>0.005-0.0513753223057832i</v>
      </c>
      <c r="H537" s="338" t="str">
        <f t="shared" si="427"/>
        <v>0.00711861501737561-0.0508656924948003i</v>
      </c>
      <c r="I537" s="338" t="str">
        <f t="shared" si="428"/>
        <v>0.0171186150173756-0.0508656924948003i</v>
      </c>
      <c r="J537" s="337" t="str">
        <f t="shared" si="429"/>
        <v>0.00444165736912559-0.0201095048656283i</v>
      </c>
      <c r="K537" s="338" t="str">
        <f t="shared" si="412"/>
        <v>0.929893316788889-0.415910215420997i</v>
      </c>
      <c r="L537" s="732"/>
      <c r="M537" s="732" t="str">
        <f t="shared" si="413"/>
        <v>0.0622646014460155-18.1886948182589i</v>
      </c>
      <c r="N537" s="337">
        <f t="shared" si="414"/>
        <v>0</v>
      </c>
      <c r="O537" s="730" t="str">
        <f t="shared" si="415"/>
        <v>-0.723395137439056-6.94191996096762i</v>
      </c>
      <c r="P537" s="731" t="str">
        <f t="shared" si="416"/>
        <v>-0.365489088921356-0.082040060680031i</v>
      </c>
      <c r="Q537" s="729" t="str">
        <f t="shared" si="417"/>
        <v>-0.358255137546965-0.0126208610703551i</v>
      </c>
      <c r="R537" s="730"/>
      <c r="S537" s="405" t="str">
        <f t="shared" si="430"/>
        <v>36.1333235370492-15.6208130125703i</v>
      </c>
      <c r="T537" s="405" t="str">
        <f t="shared" si="431"/>
        <v>13.1439406913139-7.4439374449988i</v>
      </c>
      <c r="U537" s="405" t="str">
        <f t="shared" si="432"/>
        <v>-0.285074379435156-0.721566170258638i</v>
      </c>
      <c r="V537" s="731" t="str">
        <f t="shared" si="418"/>
        <v>6000</v>
      </c>
      <c r="W537" s="733" t="str">
        <f>IMSUM(COMPLEX(1,0),IMDIV(COMPLEX(0,2*PI()*D537),COMPLEX(2*PI()*'Stability Calculations'!EA_Pole1,0)))</f>
        <v>1+504083.181090248i</v>
      </c>
      <c r="X537" s="734">
        <f t="shared" si="433"/>
        <v>504083.18109123991</v>
      </c>
      <c r="Y537" s="735">
        <f t="shared" si="434"/>
        <v>1.5707943429953224</v>
      </c>
      <c r="Z537" s="340" t="str">
        <f>IMSUM(COMPLEX(1,0),IMDIV(COMPLEX(0,2*PI()*D537),COMPLEX(2*PI()*'Stability Calculations'!EA_Zero1,0)))</f>
        <v>1+4990.92258505196i</v>
      </c>
      <c r="AA537" s="734">
        <f t="shared" si="435"/>
        <v>4990.922685233837</v>
      </c>
      <c r="AB537" s="735">
        <f t="shared" si="436"/>
        <v>1.5705959630405852</v>
      </c>
      <c r="AC537" s="733" t="str">
        <f>IMSUM(COMPLEX(1,0),IMDIV(COMPLEX(0,2*PI()*D537),COMPLEX(2*PI()*'Stability Calculations'!EA_Pole2,0)))</f>
        <v>1+50.2758396966735i</v>
      </c>
      <c r="AD537" s="734">
        <f t="shared" si="437"/>
        <v>50.285783847978458</v>
      </c>
      <c r="AE537" s="735">
        <f t="shared" si="438"/>
        <v>1.5509086797052858</v>
      </c>
      <c r="AF537" s="732" t="str">
        <f t="shared" si="439"/>
        <v>0.023258738277256-1.1811375451396i</v>
      </c>
      <c r="AG537" s="337">
        <f t="shared" si="440"/>
        <v>1.1813665262926027</v>
      </c>
      <c r="AH537" s="730">
        <f t="shared" si="441"/>
        <v>-1.5511070596600229</v>
      </c>
      <c r="AI537" s="731" t="str">
        <f t="shared" si="419"/>
        <v>10000</v>
      </c>
      <c r="AJ537" s="733" t="str">
        <f t="shared" si="442"/>
        <v>1+469944.272423977i</v>
      </c>
      <c r="AK537" s="734">
        <f t="shared" si="443"/>
        <v>469944.27242504089</v>
      </c>
      <c r="AL537" s="735">
        <f t="shared" si="444"/>
        <v>1.5707941988830172</v>
      </c>
      <c r="AM537" s="340" t="str">
        <f t="shared" si="445"/>
        <v>1+797.549429091303i</v>
      </c>
      <c r="AN537" s="734">
        <f t="shared" si="446"/>
        <v>797.55005601144774</v>
      </c>
      <c r="AO537" s="735">
        <f t="shared" si="447"/>
        <v>1.5695424866697762</v>
      </c>
      <c r="AP537" s="733" t="str">
        <f t="shared" si="448"/>
        <v>1+38.6824619361886i</v>
      </c>
      <c r="AQ537" s="734">
        <f t="shared" si="449"/>
        <v>38.695385531671349</v>
      </c>
      <c r="AR537" s="735">
        <f t="shared" si="450"/>
        <v>1.5449505746786456</v>
      </c>
      <c r="AS537" s="732" t="str">
        <f t="shared" si="451"/>
        <v>0.000434100716314974-2.94652577417135i</v>
      </c>
      <c r="AT537" s="337">
        <f t="shared" si="452"/>
        <v>2.946525806148574</v>
      </c>
      <c r="AU537" s="730">
        <f t="shared" si="453"/>
        <v>-1.5706490005040563</v>
      </c>
      <c r="AV537" s="732" t="str">
        <f t="shared" si="454"/>
        <v>-0.0462580642385035+0.0249991785842848i</v>
      </c>
      <c r="AW537" s="337">
        <f t="shared" si="455"/>
        <v>-25.583413942265562</v>
      </c>
      <c r="AX537" s="730">
        <f t="shared" si="456"/>
        <v>151.61194649909208</v>
      </c>
      <c r="AY537" s="360">
        <f t="shared" si="457"/>
        <v>-28.388053500907915</v>
      </c>
      <c r="BB537" s="337">
        <f t="shared" si="458"/>
        <v>-30.613795018620188</v>
      </c>
      <c r="BC537" s="730">
        <f t="shared" si="459"/>
        <v>-89.991558825323537</v>
      </c>
      <c r="BD537" s="351"/>
      <c r="BE537" s="337">
        <f t="shared" si="420"/>
        <v>25.196081616174013</v>
      </c>
      <c r="BF537" s="730">
        <f t="shared" si="421"/>
        <v>-89.803862510411847</v>
      </c>
      <c r="BI537" s="351"/>
      <c r="BJ537" s="351"/>
      <c r="BL537" s="405">
        <f t="shared" si="422"/>
        <v>0</v>
      </c>
      <c r="BM537" s="405">
        <f t="shared" si="410"/>
        <v>0</v>
      </c>
      <c r="BN537" s="405">
        <f t="shared" si="423"/>
        <v>0</v>
      </c>
      <c r="BO537" s="405">
        <f t="shared" si="424"/>
        <v>0</v>
      </c>
    </row>
    <row r="538" spans="4:67" ht="13.5" thickBot="1" x14ac:dyDescent="0.25">
      <c r="D538" s="345">
        <v>79895.5</v>
      </c>
      <c r="E538" s="340" t="str">
        <f t="shared" si="411"/>
        <v>1.32527533171378i</v>
      </c>
      <c r="F538" s="728" t="str">
        <f t="shared" si="425"/>
        <v>0.005-0.032656375236853i</v>
      </c>
      <c r="G538" s="337" t="str">
        <f t="shared" si="426"/>
        <v>0.005-0.0510779202422573i</v>
      </c>
      <c r="H538" s="338" t="str">
        <f t="shared" si="427"/>
        <v>0.00709396434071719-0.0505722712277897i</v>
      </c>
      <c r="I538" s="338" t="str">
        <f t="shared" si="428"/>
        <v>0.0170939643407172-0.0505722712277897i</v>
      </c>
      <c r="J538" s="337" t="str">
        <f t="shared" si="429"/>
        <v>0.00443764509945056-0.0199941064448522i</v>
      </c>
      <c r="K538" s="338" t="str">
        <f t="shared" si="412"/>
        <v>0.929074545330556-0.418331859758139i</v>
      </c>
      <c r="L538" s="732"/>
      <c r="M538" s="732" t="str">
        <f t="shared" si="413"/>
        <v>0.0614683233571511-18.0801859159001i</v>
      </c>
      <c r="N538" s="337">
        <f t="shared" si="414"/>
        <v>0</v>
      </c>
      <c r="O538" s="730" t="str">
        <f t="shared" si="415"/>
        <v>-0.721119258161529-6.89899013404739i</v>
      </c>
      <c r="P538" s="731" t="str">
        <f t="shared" si="416"/>
        <v>-0.361224387141306-0.0814624526270382i</v>
      </c>
      <c r="Q538" s="729" t="str">
        <f t="shared" si="417"/>
        <v>-0.354013194559691-0.0124725512865643i</v>
      </c>
      <c r="R538" s="730"/>
      <c r="S538" s="405" t="str">
        <f t="shared" si="430"/>
        <v>36.084504061557-15.7100495440148i</v>
      </c>
      <c r="T538" s="405" t="str">
        <f t="shared" si="431"/>
        <v>13.1170184977004-7.47840699055764i</v>
      </c>
      <c r="U538" s="405" t="str">
        <f t="shared" si="432"/>
        <v>-0.285148365199065-0.716408969682019i</v>
      </c>
      <c r="V538" s="731" t="str">
        <f t="shared" si="418"/>
        <v>6000</v>
      </c>
      <c r="W538" s="733" t="str">
        <f>IMSUM(COMPLEX(1,0),IMDIV(COMPLEX(0,2*PI()*D538),COMPLEX(2*PI()*'Stability Calculations'!EA_Pole1,0)))</f>
        <v>1+507018.214026865i</v>
      </c>
      <c r="X538" s="734">
        <f t="shared" si="433"/>
        <v>507018.21402785124</v>
      </c>
      <c r="Y538" s="735">
        <f t="shared" si="434"/>
        <v>1.5707943544791645</v>
      </c>
      <c r="Z538" s="340" t="str">
        <f>IMSUM(COMPLEX(1,0),IMDIV(COMPLEX(0,2*PI()*D538),COMPLEX(2*PI()*'Stability Calculations'!EA_Zero1,0)))</f>
        <v>1+5019.98231709767i</v>
      </c>
      <c r="AA538" s="734">
        <f t="shared" si="435"/>
        <v>5019.9824166996132</v>
      </c>
      <c r="AB538" s="735">
        <f t="shared" si="436"/>
        <v>1.5705971229085867</v>
      </c>
      <c r="AC538" s="733" t="str">
        <f>IMSUM(COMPLEX(1,0),IMDIV(COMPLEX(0,2*PI()*D538),COMPLEX(2*PI()*'Stability Calculations'!EA_Pole2,0)))</f>
        <v>1+50.5685716325152i</v>
      </c>
      <c r="AD538" s="734">
        <f t="shared" si="437"/>
        <v>50.578458230286351</v>
      </c>
      <c r="AE538" s="735">
        <f t="shared" si="438"/>
        <v>1.5510237754572667</v>
      </c>
      <c r="AF538" s="732" t="str">
        <f t="shared" si="439"/>
        <v>0.0229903417338623-1.17430546994632i</v>
      </c>
      <c r="AG538" s="337">
        <f t="shared" si="440"/>
        <v>1.174530498777655</v>
      </c>
      <c r="AH538" s="730">
        <f t="shared" si="441"/>
        <v>-1.5512210070278445</v>
      </c>
      <c r="AI538" s="731" t="str">
        <f t="shared" si="419"/>
        <v>10000</v>
      </c>
      <c r="AJ538" s="733" t="str">
        <f t="shared" si="442"/>
        <v>1+472680.530981455i</v>
      </c>
      <c r="AK538" s="734">
        <f t="shared" si="443"/>
        <v>472680.53098251275</v>
      </c>
      <c r="AL538" s="735">
        <f t="shared" si="444"/>
        <v>1.5707942112010982</v>
      </c>
      <c r="AM538" s="340" t="str">
        <f t="shared" si="445"/>
        <v>1+802.193174272208i</v>
      </c>
      <c r="AN538" s="734">
        <f t="shared" si="446"/>
        <v>802.19379756323303</v>
      </c>
      <c r="AO538" s="735">
        <f t="shared" si="447"/>
        <v>1.5695497449065399</v>
      </c>
      <c r="AP538" s="733" t="str">
        <f t="shared" si="448"/>
        <v>1+38.9076912318905i</v>
      </c>
      <c r="AQ538" s="734">
        <f t="shared" si="449"/>
        <v>38.920540039882916</v>
      </c>
      <c r="AR538" s="735">
        <f t="shared" si="450"/>
        <v>1.5451001248258098</v>
      </c>
      <c r="AS538" s="732" t="str">
        <f t="shared" si="451"/>
        <v>0.000429089408730247-2.92946889222044i</v>
      </c>
      <c r="AT538" s="337">
        <f t="shared" si="452"/>
        <v>2.9294689236455422</v>
      </c>
      <c r="AU538" s="730">
        <f t="shared" si="453"/>
        <v>-1.5706498533481905</v>
      </c>
      <c r="AV538" s="732" t="str">
        <f t="shared" si="454"/>
        <v>-0.0456310475358053+0.024836295434198i</v>
      </c>
      <c r="AW538" s="337">
        <f t="shared" si="455"/>
        <v>-25.687916332770342</v>
      </c>
      <c r="AX538" s="730">
        <f t="shared" si="456"/>
        <v>151.44120968444471</v>
      </c>
      <c r="AY538" s="360">
        <f t="shared" si="457"/>
        <v>-28.558790315555285</v>
      </c>
      <c r="BB538" s="337">
        <f t="shared" si="458"/>
        <v>-30.664222094183017</v>
      </c>
      <c r="BC538" s="730">
        <f t="shared" si="459"/>
        <v>-89.991607689693012</v>
      </c>
      <c r="BD538" s="351"/>
      <c r="BE538" s="337">
        <f t="shared" si="420"/>
        <v>25.14410803608973</v>
      </c>
      <c r="BF538" s="730">
        <f t="shared" si="421"/>
        <v>-89.805208754515675</v>
      </c>
      <c r="BI538" s="351"/>
      <c r="BJ538" s="351"/>
      <c r="BL538" s="405">
        <f t="shared" si="422"/>
        <v>0</v>
      </c>
      <c r="BM538" s="405">
        <f t="shared" ref="BM538:BM601" si="460">IF(BL538&gt;0,AY538,0)</f>
        <v>0</v>
      </c>
      <c r="BN538" s="405">
        <f t="shared" si="423"/>
        <v>0</v>
      </c>
      <c r="BO538" s="405">
        <f t="shared" si="424"/>
        <v>0</v>
      </c>
    </row>
    <row r="539" spans="4:67" ht="13.5" thickBot="1" x14ac:dyDescent="0.25">
      <c r="D539" s="345">
        <v>80358</v>
      </c>
      <c r="E539" s="340" t="str">
        <f t="shared" si="411"/>
        <v>1.33294710097385i</v>
      </c>
      <c r="F539" s="728" t="str">
        <f t="shared" si="425"/>
        <v>0.005-0.0324684216597724i</v>
      </c>
      <c r="G539" s="337" t="str">
        <f t="shared" si="426"/>
        <v>0.005-0.0507839415704133i</v>
      </c>
      <c r="H539" s="338" t="str">
        <f t="shared" si="427"/>
        <v>0.00706973708950818-0.0502822099280199i</v>
      </c>
      <c r="I539" s="338" t="str">
        <f t="shared" si="428"/>
        <v>0.0170697370895082-0.0502822099280199i</v>
      </c>
      <c r="J539" s="337" t="str">
        <f t="shared" si="429"/>
        <v>0.0044336969553204-0.0198800396208911i</v>
      </c>
      <c r="K539" s="338" t="str">
        <f t="shared" si="412"/>
        <v>0.9282510204-0.420753504095281i</v>
      </c>
      <c r="L539" s="732"/>
      <c r="M539" s="732" t="str">
        <f t="shared" si="413"/>
        <v>0.0606874993925783-17.97298220679i</v>
      </c>
      <c r="N539" s="337">
        <f t="shared" si="414"/>
        <v>0</v>
      </c>
      <c r="O539" s="730" t="str">
        <f t="shared" si="415"/>
        <v>-0.718875125620226-6.85657053447505i</v>
      </c>
      <c r="P539" s="731" t="str">
        <f t="shared" si="416"/>
        <v>-0.357034528395272-0.0808932263806892i</v>
      </c>
      <c r="Q539" s="729" t="str">
        <f t="shared" si="417"/>
        <v>-0.34984577713907-0.0123275210359391i</v>
      </c>
      <c r="R539" s="730"/>
      <c r="S539" s="405" t="str">
        <f t="shared" si="430"/>
        <v>36.0353970955017-15.7991033081233i</v>
      </c>
      <c r="T539" s="405" t="str">
        <f t="shared" si="431"/>
        <v>13.089966104032-7.51277737794594i</v>
      </c>
      <c r="U539" s="405" t="str">
        <f t="shared" si="432"/>
        <v>-0.285216430394275-0.711305784467677i</v>
      </c>
      <c r="V539" s="731" t="str">
        <f t="shared" si="418"/>
        <v>6000</v>
      </c>
      <c r="W539" s="733" t="str">
        <f>IMSUM(COMPLEX(1,0),IMDIV(COMPLEX(0,2*PI()*D539),COMPLEX(2*PI()*'Stability Calculations'!EA_Pole1,0)))</f>
        <v>1+509953.24696348i</v>
      </c>
      <c r="X539" s="734">
        <f t="shared" si="433"/>
        <v>509953.24696446053</v>
      </c>
      <c r="Y539" s="735">
        <f t="shared" si="434"/>
        <v>1.5707943658308161</v>
      </c>
      <c r="Z539" s="340" t="str">
        <f>IMSUM(COMPLEX(1,0),IMDIV(COMPLEX(0,2*PI()*D539),COMPLEX(2*PI()*'Stability Calculations'!EA_Zero1,0)))</f>
        <v>1+5049.04204914337i</v>
      </c>
      <c r="AA539" s="734">
        <f t="shared" si="435"/>
        <v>5049.042148172055</v>
      </c>
      <c r="AB539" s="735">
        <f t="shared" si="436"/>
        <v>1.5705982694253617</v>
      </c>
      <c r="AC539" s="733" t="str">
        <f>IMSUM(COMPLEX(1,0),IMDIV(COMPLEX(0,2*PI()*D539),COMPLEX(2*PI()*'Stability Calculations'!EA_Pole2,0)))</f>
        <v>1+50.8613035683568i</v>
      </c>
      <c r="AD539" s="734">
        <f t="shared" si="437"/>
        <v>50.871133274899073</v>
      </c>
      <c r="AE539" s="735">
        <f t="shared" si="438"/>
        <v>1.5511375468583157</v>
      </c>
      <c r="AF539" s="732" t="str">
        <f t="shared" si="439"/>
        <v>0.0227265637178205-1.16755194788461i</v>
      </c>
      <c r="AG539" s="337">
        <f t="shared" si="440"/>
        <v>1.1677731148247792</v>
      </c>
      <c r="AH539" s="730">
        <f t="shared" si="441"/>
        <v>-1.5513336432637703</v>
      </c>
      <c r="AI539" s="731" t="str">
        <f t="shared" si="419"/>
        <v>10000</v>
      </c>
      <c r="AJ539" s="733" t="str">
        <f t="shared" si="442"/>
        <v>1+475416.789538932i</v>
      </c>
      <c r="AK539" s="734">
        <f t="shared" si="443"/>
        <v>475416.78953998373</v>
      </c>
      <c r="AL539" s="735">
        <f t="shared" si="444"/>
        <v>1.5707942233773859</v>
      </c>
      <c r="AM539" s="340" t="str">
        <f t="shared" si="445"/>
        <v>1+806.83691945311i</v>
      </c>
      <c r="AN539" s="734">
        <f t="shared" si="446"/>
        <v>806.83753915678983</v>
      </c>
      <c r="AO539" s="735">
        <f t="shared" si="447"/>
        <v>1.569556919593954</v>
      </c>
      <c r="AP539" s="733" t="str">
        <f t="shared" si="448"/>
        <v>1+39.1329205275923i</v>
      </c>
      <c r="AQ539" s="734">
        <f t="shared" si="449"/>
        <v>39.145695408548498</v>
      </c>
      <c r="AR539" s="735">
        <f t="shared" si="450"/>
        <v>1.5452479546328917</v>
      </c>
      <c r="AS539" s="732" t="str">
        <f t="shared" si="451"/>
        <v>0.000424164379552098-2.91260835182599i</v>
      </c>
      <c r="AT539" s="337">
        <f t="shared" si="452"/>
        <v>2.9126083827116083</v>
      </c>
      <c r="AU539" s="730">
        <f t="shared" si="453"/>
        <v>-1.5706506963752462</v>
      </c>
      <c r="AV539" s="732" t="str">
        <f t="shared" si="454"/>
        <v>-0.045014912905182+0.0246750859598526i</v>
      </c>
      <c r="AW539" s="337">
        <f t="shared" si="455"/>
        <v>-25.79186047200232</v>
      </c>
      <c r="AX539" s="730">
        <f t="shared" si="456"/>
        <v>151.27049160910613</v>
      </c>
      <c r="AY539" s="360">
        <f t="shared" si="457"/>
        <v>-28.729508390893869</v>
      </c>
      <c r="BB539" s="337">
        <f t="shared" si="458"/>
        <v>-30.71435809777136</v>
      </c>
      <c r="BC539" s="730">
        <f t="shared" si="459"/>
        <v>-89.991655991585318</v>
      </c>
      <c r="BD539" s="351"/>
      <c r="BE539" s="337">
        <f t="shared" si="420"/>
        <v>25.092452402565002</v>
      </c>
      <c r="BF539" s="730">
        <f t="shared" si="421"/>
        <v>-89.806536036716906</v>
      </c>
      <c r="BI539" s="351"/>
      <c r="BJ539" s="351"/>
      <c r="BL539" s="405">
        <f t="shared" si="422"/>
        <v>0</v>
      </c>
      <c r="BM539" s="405">
        <f t="shared" si="460"/>
        <v>0</v>
      </c>
      <c r="BN539" s="405">
        <f t="shared" si="423"/>
        <v>0</v>
      </c>
      <c r="BO539" s="405">
        <f t="shared" si="424"/>
        <v>0</v>
      </c>
    </row>
    <row r="540" spans="4:67" ht="13.5" thickBot="1" x14ac:dyDescent="0.25">
      <c r="D540" s="345">
        <v>80820.5</v>
      </c>
      <c r="E540" s="340" t="str">
        <f t="shared" si="411"/>
        <v>1.34061887023392i</v>
      </c>
      <c r="F540" s="728" t="str">
        <f t="shared" si="425"/>
        <v>0.005-0.0322826192331894i</v>
      </c>
      <c r="G540" s="337" t="str">
        <f t="shared" si="426"/>
        <v>0.005-0.0504933275185784i</v>
      </c>
      <c r="H540" s="338" t="str">
        <f t="shared" si="427"/>
        <v>0.00704592362686292-0.0499954513109754i</v>
      </c>
      <c r="I540" s="338" t="str">
        <f t="shared" si="428"/>
        <v>0.0170459236268629-0.0499954513109754i</v>
      </c>
      <c r="J540" s="337" t="str">
        <f t="shared" si="429"/>
        <v>0.00442981145458542-0.0197672815390772i</v>
      </c>
      <c r="K540" s="338" t="str">
        <f t="shared" si="412"/>
        <v>0.927422741997222-0.423175148432423i</v>
      </c>
      <c r="L540" s="732"/>
      <c r="M540" s="732" t="str">
        <f t="shared" si="413"/>
        <v>0.0599217259762053-17.8670599786092i</v>
      </c>
      <c r="N540" s="337">
        <f t="shared" si="414"/>
        <v>0</v>
      </c>
      <c r="O540" s="730" t="str">
        <f t="shared" si="415"/>
        <v>-0.716661983909469-6.81465190425929i</v>
      </c>
      <c r="P540" s="731" t="str">
        <f t="shared" si="416"/>
        <v>-0.352917762924638-0.0803321965806867i</v>
      </c>
      <c r="Q540" s="729" t="str">
        <f t="shared" si="417"/>
        <v>-0.345751143085543-0.0121856775380942i</v>
      </c>
      <c r="R540" s="730"/>
      <c r="S540" s="405" t="str">
        <f t="shared" si="430"/>
        <v>35.986002902191-15.8879736830936i</v>
      </c>
      <c r="T540" s="405" t="str">
        <f t="shared" si="431"/>
        <v>13.062783950799-7.54704775542225i</v>
      </c>
      <c r="U540" s="405" t="str">
        <f t="shared" si="432"/>
        <v>-0.285278680526279-0.706255701090954i</v>
      </c>
      <c r="V540" s="731" t="str">
        <f t="shared" si="418"/>
        <v>6000</v>
      </c>
      <c r="W540" s="733" t="str">
        <f>IMSUM(COMPLEX(1,0),IMDIV(COMPLEX(0,2*PI()*D540),COMPLEX(2*PI()*'Stability Calculations'!EA_Pole1,0)))</f>
        <v>1+512888.279900097i</v>
      </c>
      <c r="X540" s="734">
        <f t="shared" si="433"/>
        <v>512888.27990107186</v>
      </c>
      <c r="Y540" s="735">
        <f t="shared" si="434"/>
        <v>1.570794377052547</v>
      </c>
      <c r="Z540" s="340" t="str">
        <f>IMSUM(COMPLEX(1,0),IMDIV(COMPLEX(0,2*PI()*D540),COMPLEX(2*PI()*'Stability Calculations'!EA_Zero1,0)))</f>
        <v>1+5078.10178118908i</v>
      </c>
      <c r="AA540" s="734">
        <f t="shared" si="435"/>
        <v>5078.1018796510671</v>
      </c>
      <c r="AB540" s="735">
        <f t="shared" si="436"/>
        <v>1.5705994028201196</v>
      </c>
      <c r="AC540" s="733" t="str">
        <f>IMSUM(COMPLEX(1,0),IMDIV(COMPLEX(0,2*PI()*D540),COMPLEX(2*PI()*'Stability Calculations'!EA_Pole2,0)))</f>
        <v>1+51.1540355041985i</v>
      </c>
      <c r="AD540" s="734">
        <f t="shared" si="437"/>
        <v>51.16380897045098</v>
      </c>
      <c r="AE540" s="735">
        <f t="shared" si="438"/>
        <v>1.5512500166327767</v>
      </c>
      <c r="AF540" s="732" t="str">
        <f t="shared" si="439"/>
        <v>0.0224672988805528-1.16087563243936i</v>
      </c>
      <c r="AG540" s="337">
        <f t="shared" si="440"/>
        <v>1.1610930253474407</v>
      </c>
      <c r="AH540" s="730">
        <f t="shared" si="441"/>
        <v>-1.5514449908652042</v>
      </c>
      <c r="AI540" s="731" t="str">
        <f t="shared" si="419"/>
        <v>10000</v>
      </c>
      <c r="AJ540" s="733" t="str">
        <f t="shared" si="442"/>
        <v>1+478153.048096409i</v>
      </c>
      <c r="AK540" s="734">
        <f t="shared" si="443"/>
        <v>478153.04809745471</v>
      </c>
      <c r="AL540" s="735">
        <f t="shared" si="444"/>
        <v>1.5707942354143147</v>
      </c>
      <c r="AM540" s="340" t="str">
        <f t="shared" si="445"/>
        <v>1+811.480664634015i</v>
      </c>
      <c r="AN540" s="734">
        <f t="shared" si="446"/>
        <v>811.48128079140736</v>
      </c>
      <c r="AO540" s="735">
        <f t="shared" si="447"/>
        <v>1.5695640121663637</v>
      </c>
      <c r="AP540" s="733" t="str">
        <f t="shared" si="448"/>
        <v>1+39.3581498232942i</v>
      </c>
      <c r="AQ540" s="734">
        <f t="shared" si="449"/>
        <v>39.370851622905917</v>
      </c>
      <c r="AR540" s="735">
        <f t="shared" si="450"/>
        <v>1.5453940936085038</v>
      </c>
      <c r="AS540" s="732" t="str">
        <f t="shared" si="451"/>
        <v>0.000419323659509585-2.89594078226047i</v>
      </c>
      <c r="AT540" s="337">
        <f t="shared" si="452"/>
        <v>2.8959408126188828</v>
      </c>
      <c r="AU540" s="730">
        <f t="shared" si="453"/>
        <v>-1.5706515297537598</v>
      </c>
      <c r="AV540" s="732" t="str">
        <f t="shared" si="454"/>
        <v>-0.0444094124920008+0.024515523189328i</v>
      </c>
      <c r="AW540" s="337">
        <f t="shared" si="455"/>
        <v>-25.895253104179197</v>
      </c>
      <c r="AX540" s="730">
        <f t="shared" si="456"/>
        <v>151.09979194089024</v>
      </c>
      <c r="AY540" s="360">
        <f t="shared" si="457"/>
        <v>-28.900208059109758</v>
      </c>
      <c r="BB540" s="337">
        <f t="shared" si="458"/>
        <v>-30.764206370324434</v>
      </c>
      <c r="BC540" s="730">
        <f t="shared" si="459"/>
        <v>-89.991703740656874</v>
      </c>
      <c r="BD540" s="351"/>
      <c r="BE540" s="337">
        <f t="shared" si="420"/>
        <v>25.041110753891644</v>
      </c>
      <c r="BF540" s="730">
        <f t="shared" si="421"/>
        <v>-89.807844763956084</v>
      </c>
      <c r="BI540" s="351"/>
      <c r="BJ540" s="351"/>
      <c r="BL540" s="405">
        <f t="shared" si="422"/>
        <v>0</v>
      </c>
      <c r="BM540" s="405">
        <f t="shared" si="460"/>
        <v>0</v>
      </c>
      <c r="BN540" s="405">
        <f t="shared" si="423"/>
        <v>0</v>
      </c>
      <c r="BO540" s="405">
        <f t="shared" si="424"/>
        <v>0</v>
      </c>
    </row>
    <row r="541" spans="4:67" ht="13.5" thickBot="1" x14ac:dyDescent="0.25">
      <c r="D541" s="345">
        <v>81283</v>
      </c>
      <c r="E541" s="340" t="str">
        <f t="shared" si="411"/>
        <v>1.34829063949398i</v>
      </c>
      <c r="F541" s="728" t="str">
        <f t="shared" si="425"/>
        <v>0.005-0.0320989312369867i</v>
      </c>
      <c r="G541" s="337" t="str">
        <f t="shared" si="426"/>
        <v>0.005-0.0502060206527227i</v>
      </c>
      <c r="H541" s="338" t="str">
        <f t="shared" si="427"/>
        <v>0.00702251458835234-0.0497119393847388i</v>
      </c>
      <c r="I541" s="338" t="str">
        <f t="shared" si="428"/>
        <v>0.0170225145883523-0.0497119393847388i</v>
      </c>
      <c r="J541" s="337" t="str">
        <f t="shared" si="429"/>
        <v>0.0044259871572566-0.0196558098641934i</v>
      </c>
      <c r="K541" s="338" t="str">
        <f t="shared" si="412"/>
        <v>0.926589710122222-0.425596792769565i</v>
      </c>
      <c r="L541" s="732"/>
      <c r="M541" s="732" t="str">
        <f t="shared" si="413"/>
        <v>0.0591706127616555-17.7623960966036i</v>
      </c>
      <c r="N541" s="337">
        <f t="shared" si="414"/>
        <v>0</v>
      </c>
      <c r="O541" s="730" t="str">
        <f t="shared" si="415"/>
        <v>-0.714479098834376-6.77322521147804i</v>
      </c>
      <c r="P541" s="731" t="str">
        <f t="shared" si="416"/>
        <v>-0.348872392035162-0.0797791833196636i</v>
      </c>
      <c r="Q541" s="729" t="str">
        <f t="shared" si="417"/>
        <v>-0.341727601046818-0.0120469312048836i</v>
      </c>
      <c r="R541" s="730"/>
      <c r="S541" s="405" t="str">
        <f t="shared" si="430"/>
        <v>35.9363217493973-15.9766600298298i</v>
      </c>
      <c r="T541" s="405" t="str">
        <f t="shared" si="431"/>
        <v>13.0354724829481-7.58121727779683i</v>
      </c>
      <c r="U541" s="405" t="str">
        <f t="shared" si="432"/>
        <v>-0.285335218098801-0.701257826854547i</v>
      </c>
      <c r="V541" s="731" t="str">
        <f t="shared" si="418"/>
        <v>6000</v>
      </c>
      <c r="W541" s="733" t="str">
        <f>IMSUM(COMPLEX(1,0),IMDIV(COMPLEX(0,2*PI()*D541),COMPLEX(2*PI()*'Stability Calculations'!EA_Pole1,0)))</f>
        <v>1+515823.312836713i</v>
      </c>
      <c r="X541" s="734">
        <f t="shared" si="433"/>
        <v>515823.31283768232</v>
      </c>
      <c r="Y541" s="735">
        <f t="shared" si="434"/>
        <v>1.5707943881465745</v>
      </c>
      <c r="Z541" s="340" t="str">
        <f>IMSUM(COMPLEX(1,0),IMDIV(COMPLEX(0,2*PI()*D541),COMPLEX(2*PI()*'Stability Calculations'!EA_Zero1,0)))</f>
        <v>1+5107.16151323478i</v>
      </c>
      <c r="AA541" s="734">
        <f t="shared" si="435"/>
        <v>5107.1616111365192</v>
      </c>
      <c r="AB541" s="735">
        <f t="shared" si="436"/>
        <v>1.5706005233168534</v>
      </c>
      <c r="AC541" s="733" t="str">
        <f>IMSUM(COMPLEX(1,0),IMDIV(COMPLEX(0,2*PI()*D541),COMPLEX(2*PI()*'Stability Calculations'!EA_Pole2,0)))</f>
        <v>1+51.4467674400401i</v>
      </c>
      <c r="AD541" s="734">
        <f t="shared" si="437"/>
        <v>51.456485305834583</v>
      </c>
      <c r="AE541" s="735">
        <f t="shared" si="438"/>
        <v>1.5513612069881173</v>
      </c>
      <c r="AF541" s="732" t="str">
        <f t="shared" si="439"/>
        <v>0.0222124448598181-1.15427520768407i</v>
      </c>
      <c r="AG541" s="337">
        <f t="shared" si="440"/>
        <v>1.1544889119349537</v>
      </c>
      <c r="AH541" s="730">
        <f t="shared" si="441"/>
        <v>-1.5515550718178384</v>
      </c>
      <c r="AI541" s="731" t="str">
        <f t="shared" si="419"/>
        <v>10000</v>
      </c>
      <c r="AJ541" s="733" t="str">
        <f t="shared" si="442"/>
        <v>1+480889.306653886i</v>
      </c>
      <c r="AK541" s="734">
        <f t="shared" si="443"/>
        <v>480889.30665492581</v>
      </c>
      <c r="AL541" s="735">
        <f t="shared" si="444"/>
        <v>1.5707942473142633</v>
      </c>
      <c r="AM541" s="340" t="str">
        <f t="shared" si="445"/>
        <v>1+816.124409814918i</v>
      </c>
      <c r="AN541" s="734">
        <f t="shared" si="446"/>
        <v>816.12502246637928</v>
      </c>
      <c r="AO541" s="735">
        <f t="shared" si="447"/>
        <v>1.5695710240254683</v>
      </c>
      <c r="AP541" s="733" t="str">
        <f t="shared" si="448"/>
        <v>1+39.5833791189961i</v>
      </c>
      <c r="AQ541" s="734">
        <f t="shared" si="449"/>
        <v>39.596008668528398</v>
      </c>
      <c r="AR541" s="735">
        <f t="shared" si="450"/>
        <v>1.5455385705903646</v>
      </c>
      <c r="AS541" s="732" t="str">
        <f t="shared" si="451"/>
        <v>0.000414565335197637-2.879462889514i</v>
      </c>
      <c r="AT541" s="337">
        <f t="shared" si="452"/>
        <v>2.8794629193571377</v>
      </c>
      <c r="AU541" s="730">
        <f t="shared" si="453"/>
        <v>-1.5706523536484314</v>
      </c>
      <c r="AV541" s="732" t="str">
        <f t="shared" si="454"/>
        <v>-0.0438143054779775+0.0243575807194609i</v>
      </c>
      <c r="AW541" s="337">
        <f t="shared" si="455"/>
        <v>-25.9981008589778</v>
      </c>
      <c r="AX541" s="730">
        <f t="shared" si="456"/>
        <v>150.92911036126762</v>
      </c>
      <c r="AY541" s="360">
        <f t="shared" si="457"/>
        <v>-29.070889638732382</v>
      </c>
      <c r="BB541" s="337">
        <f t="shared" si="458"/>
        <v>-30.813770195588383</v>
      </c>
      <c r="BC541" s="730">
        <f t="shared" si="459"/>
        <v>-89.991750946344325</v>
      </c>
      <c r="BD541" s="351"/>
      <c r="BE541" s="337">
        <f t="shared" si="420"/>
        <v>24.990079203416048</v>
      </c>
      <c r="BF541" s="730">
        <f t="shared" si="421"/>
        <v>-89.809135331542876</v>
      </c>
      <c r="BI541" s="351"/>
      <c r="BJ541" s="351"/>
      <c r="BL541" s="405">
        <f t="shared" si="422"/>
        <v>0</v>
      </c>
      <c r="BM541" s="405">
        <f t="shared" si="460"/>
        <v>0</v>
      </c>
      <c r="BN541" s="405">
        <f t="shared" si="423"/>
        <v>0</v>
      </c>
      <c r="BO541" s="405">
        <f t="shared" si="424"/>
        <v>0</v>
      </c>
    </row>
    <row r="542" spans="4:67" ht="13.5" thickBot="1" x14ac:dyDescent="0.25">
      <c r="D542" s="345">
        <v>81756.25</v>
      </c>
      <c r="E542" s="340" t="str">
        <f t="shared" si="411"/>
        <v>1.35614072555307i</v>
      </c>
      <c r="F542" s="728" t="str">
        <f t="shared" si="425"/>
        <v>0.005-0.0319131250239093i</v>
      </c>
      <c r="G542" s="337" t="str">
        <f t="shared" si="426"/>
        <v>0.005-0.0499154006784224i</v>
      </c>
      <c r="H542" s="338" t="str">
        <f t="shared" si="427"/>
        <v>0.00699897058907093-0.0494251413949173i</v>
      </c>
      <c r="I542" s="338" t="str">
        <f t="shared" si="428"/>
        <v>0.0169989705890709-0.0494251413949173i</v>
      </c>
      <c r="J542" s="337" t="str">
        <f t="shared" si="429"/>
        <v>0.0044221358652428-0.0195430560613406i</v>
      </c>
      <c r="K542" s="338" t="str">
        <f t="shared" si="412"/>
        <v>0.925732395399306-0.428074723975084i</v>
      </c>
      <c r="L542" s="732"/>
      <c r="M542" s="732" t="str">
        <f t="shared" si="413"/>
        <v>0.0584168226683379-17.6565784989343i</v>
      </c>
      <c r="N542" s="337">
        <f t="shared" si="414"/>
        <v>0</v>
      </c>
      <c r="O542" s="730" t="str">
        <f t="shared" si="415"/>
        <v>-0.712276052256789-6.73133565784964i</v>
      </c>
      <c r="P542" s="731" t="str">
        <f t="shared" si="416"/>
        <v>-0.344805176329478-0.0792214322779448i</v>
      </c>
      <c r="Q542" s="729" t="str">
        <f t="shared" si="417"/>
        <v>-0.33768241580691-0.0119080756994492i</v>
      </c>
      <c r="R542" s="730"/>
      <c r="S542" s="405" t="str">
        <f t="shared" si="430"/>
        <v>35.8851890878443-16.0672165564466i</v>
      </c>
      <c r="T542" s="405" t="str">
        <f t="shared" si="431"/>
        <v>13.0073928187276-7.6160757371291i</v>
      </c>
      <c r="U542" s="405" t="str">
        <f t="shared" si="432"/>
        <v>-0.285387260403234-0.696196919333142i</v>
      </c>
      <c r="V542" s="731" t="str">
        <f t="shared" si="418"/>
        <v>6000</v>
      </c>
      <c r="W542" s="733" t="str">
        <f>IMSUM(COMPLEX(1,0),IMDIV(COMPLEX(0,2*PI()*D542),COMPLEX(2*PI()*'Stability Calculations'!EA_Pole1,0)))</f>
        <v>1+518826.565457802i</v>
      </c>
      <c r="X542" s="734">
        <f t="shared" si="433"/>
        <v>518826.56545876578</v>
      </c>
      <c r="Y542" s="735">
        <f t="shared" si="434"/>
        <v>1.5707943993685338</v>
      </c>
      <c r="Z542" s="340" t="str">
        <f>IMSUM(COMPLEX(1,0),IMDIV(COMPLEX(0,2*PI()*D542),COMPLEX(2*PI()*'Stability Calculations'!EA_Zero1,0)))</f>
        <v>1+5136.89668770101i</v>
      </c>
      <c r="AA542" s="734">
        <f t="shared" si="435"/>
        <v>5136.8967850360405</v>
      </c>
      <c r="AB542" s="735">
        <f t="shared" si="436"/>
        <v>1.5706016567347099</v>
      </c>
      <c r="AC542" s="733" t="str">
        <f>IMSUM(COMPLEX(1,0),IMDIV(COMPLEX(0,2*PI()*D542),COMPLEX(2*PI()*'Stability Calculations'!EA_Pole2,0)))</f>
        <v>1+51.7463034154717i</v>
      </c>
      <c r="AD542" s="734">
        <f t="shared" si="437"/>
        <v>51.755965039462431</v>
      </c>
      <c r="AE542" s="735">
        <f t="shared" si="438"/>
        <v>1.5514736800353499</v>
      </c>
      <c r="AF542" s="732" t="str">
        <f t="shared" si="439"/>
        <v>0.0219561292427983-1.14759858322808i</v>
      </c>
      <c r="AG542" s="337">
        <f t="shared" si="440"/>
        <v>1.1478085989564735</v>
      </c>
      <c r="AH542" s="730">
        <f t="shared" si="441"/>
        <v>-1.5516664226691739</v>
      </c>
      <c r="AI542" s="731" t="str">
        <f t="shared" si="419"/>
        <v>10000</v>
      </c>
      <c r="AJ542" s="733" t="str">
        <f t="shared" si="442"/>
        <v>1+483689.164734591i</v>
      </c>
      <c r="AK542" s="734">
        <f t="shared" si="443"/>
        <v>483689.16473562468</v>
      </c>
      <c r="AL542" s="735">
        <f t="shared" si="444"/>
        <v>1.5707942593514372</v>
      </c>
      <c r="AM542" s="340" t="str">
        <f t="shared" si="445"/>
        <v>1+820.876090694621i</v>
      </c>
      <c r="AN542" s="734">
        <f t="shared" si="446"/>
        <v>820.87669979972247</v>
      </c>
      <c r="AO542" s="735">
        <f t="shared" si="447"/>
        <v>1.5695781167426643</v>
      </c>
      <c r="AP542" s="733" t="str">
        <f t="shared" si="448"/>
        <v>1+39.8138434740035i</v>
      </c>
      <c r="AQ542" s="734">
        <f t="shared" si="449"/>
        <v>39.826399939894777</v>
      </c>
      <c r="AR542" s="735">
        <f t="shared" si="450"/>
        <v>1.5456847146962487</v>
      </c>
      <c r="AS542" s="732" t="str">
        <f t="shared" si="451"/>
        <v>0.000409779763344273-2.86279498025374i</v>
      </c>
      <c r="AT542" s="337">
        <f t="shared" si="452"/>
        <v>2.8627950095816264</v>
      </c>
      <c r="AU542" s="730">
        <f t="shared" si="453"/>
        <v>-1.5706531870439286</v>
      </c>
      <c r="AV542" s="732" t="str">
        <f t="shared" si="454"/>
        <v>-0.0432158807386917+0.0241976174231681i</v>
      </c>
      <c r="AW542" s="337">
        <f t="shared" si="455"/>
        <v>-26.102781905863587</v>
      </c>
      <c r="AX542" s="730">
        <f t="shared" si="456"/>
        <v>150.75447999405714</v>
      </c>
      <c r="AY542" s="360">
        <f t="shared" si="457"/>
        <v>-29.245520005942865</v>
      </c>
      <c r="BB542" s="337">
        <f t="shared" si="458"/>
        <v>-30.864194970373656</v>
      </c>
      <c r="BC542" s="730">
        <f t="shared" si="459"/>
        <v>-89.991798696388983</v>
      </c>
      <c r="BD542" s="351"/>
      <c r="BE542" s="337">
        <f t="shared" si="420"/>
        <v>24.938178530045217</v>
      </c>
      <c r="BF542" s="730">
        <f t="shared" si="421"/>
        <v>-89.810437499014185</v>
      </c>
      <c r="BI542" s="351"/>
      <c r="BJ542" s="351"/>
      <c r="BL542" s="405">
        <f t="shared" si="422"/>
        <v>0</v>
      </c>
      <c r="BM542" s="405">
        <f t="shared" si="460"/>
        <v>0</v>
      </c>
      <c r="BN542" s="405">
        <f t="shared" si="423"/>
        <v>0</v>
      </c>
      <c r="BO542" s="405">
        <f t="shared" si="424"/>
        <v>0</v>
      </c>
    </row>
    <row r="543" spans="4:67" ht="13.5" thickBot="1" x14ac:dyDescent="0.25">
      <c r="D543" s="345">
        <v>82229.5</v>
      </c>
      <c r="E543" s="340" t="str">
        <f t="shared" si="411"/>
        <v>1.36399081161215i</v>
      </c>
      <c r="F543" s="728" t="str">
        <f t="shared" si="425"/>
        <v>0.005-0.0317294575272376i</v>
      </c>
      <c r="G543" s="337" t="str">
        <f t="shared" si="426"/>
        <v>0.005-0.0496281258759359i</v>
      </c>
      <c r="H543" s="338" t="str">
        <f t="shared" si="427"/>
        <v>0.00697583102957318-0.0491416281544042i</v>
      </c>
      <c r="I543" s="338" t="str">
        <f t="shared" si="428"/>
        <v>0.0169758310295732-0.0491416281544042i</v>
      </c>
      <c r="J543" s="337" t="str">
        <f t="shared" si="429"/>
        <v>0.00441834573347339-0.0194316034491223i</v>
      </c>
      <c r="K543" s="338" t="str">
        <f t="shared" si="412"/>
        <v>0.924870103663889-0.430552655180603i</v>
      </c>
      <c r="L543" s="732"/>
      <c r="M543" s="732" t="str">
        <f t="shared" si="413"/>
        <v>0.0576775954957985-17.5520311914598i</v>
      </c>
      <c r="N543" s="337">
        <f t="shared" si="414"/>
        <v>0</v>
      </c>
      <c r="O543" s="730" t="str">
        <f t="shared" si="415"/>
        <v>-0.710103196346392-6.68994273802659i</v>
      </c>
      <c r="P543" s="731" t="str">
        <f t="shared" si="416"/>
        <v>-0.340809270281097-0.0786717102921516i</v>
      </c>
      <c r="Q543" s="729" t="str">
        <f t="shared" si="417"/>
        <v>-0.333708238317633-0.0117722829118855i</v>
      </c>
      <c r="R543" s="730"/>
      <c r="S543" s="405" t="str">
        <f t="shared" si="430"/>
        <v>35.8337565542016-16.1575789930465i</v>
      </c>
      <c r="T543" s="405" t="str">
        <f t="shared" si="431"/>
        <v>12.9791787154317-7.65082682852203i</v>
      </c>
      <c r="U543" s="405" t="str">
        <f t="shared" si="432"/>
        <v>-0.285433529459486-0.6911888493756i</v>
      </c>
      <c r="V543" s="731" t="str">
        <f t="shared" si="418"/>
        <v>6000</v>
      </c>
      <c r="W543" s="733" t="str">
        <f>IMSUM(COMPLEX(1,0),IMDIV(COMPLEX(0,2*PI()*D543),COMPLEX(2*PI()*'Stability Calculations'!EA_Pole1,0)))</f>
        <v>1+521829.818078891i</v>
      </c>
      <c r="X543" s="734">
        <f t="shared" si="433"/>
        <v>521829.81807984924</v>
      </c>
      <c r="Y543" s="735">
        <f t="shared" si="434"/>
        <v>1.5707944104613232</v>
      </c>
      <c r="Z543" s="340" t="str">
        <f>IMSUM(COMPLEX(1,0),IMDIV(COMPLEX(0,2*PI()*D543),COMPLEX(2*PI()*'Stability Calculations'!EA_Zero1,0)))</f>
        <v>1+5166.63186216724i</v>
      </c>
      <c r="AA543" s="734">
        <f t="shared" si="435"/>
        <v>5166.6319589420837</v>
      </c>
      <c r="AB543" s="735">
        <f t="shared" si="436"/>
        <v>1.5706027771063973</v>
      </c>
      <c r="AC543" s="733" t="str">
        <f>IMSUM(COMPLEX(1,0),IMDIV(COMPLEX(0,2*PI()*D543),COMPLEX(2*PI()*'Stability Calculations'!EA_Pole2,0)))</f>
        <v>1+52.0458393909032i</v>
      </c>
      <c r="AD543" s="734">
        <f t="shared" si="437"/>
        <v>52.055445420279426</v>
      </c>
      <c r="AE543" s="735">
        <f t="shared" si="438"/>
        <v>1.5515848589457446</v>
      </c>
      <c r="AF543" s="732" t="str">
        <f t="shared" si="439"/>
        <v>0.0217042241700094-1.14099872509856i</v>
      </c>
      <c r="AG543" s="337">
        <f t="shared" si="440"/>
        <v>1.1412051366968874</v>
      </c>
      <c r="AH543" s="730">
        <f t="shared" si="441"/>
        <v>-1.5517764923006703</v>
      </c>
      <c r="AI543" s="731" t="str">
        <f t="shared" si="419"/>
        <v>10000</v>
      </c>
      <c r="AJ543" s="733" t="str">
        <f t="shared" si="442"/>
        <v>1+486489.022815297i</v>
      </c>
      <c r="AK543" s="734">
        <f t="shared" si="443"/>
        <v>486489.02281632472</v>
      </c>
      <c r="AL543" s="735">
        <f t="shared" si="444"/>
        <v>1.5707942712500578</v>
      </c>
      <c r="AM543" s="340" t="str">
        <f t="shared" si="445"/>
        <v>1+825.627771574325i</v>
      </c>
      <c r="AN543" s="734">
        <f t="shared" si="446"/>
        <v>825.62837717388686</v>
      </c>
      <c r="AO543" s="735">
        <f t="shared" si="447"/>
        <v>1.569585127819489</v>
      </c>
      <c r="AP543" s="733" t="str">
        <f t="shared" si="448"/>
        <v>1+40.0443078290109i</v>
      </c>
      <c r="AQ543" s="734">
        <f t="shared" si="449"/>
        <v>40.05679205209254</v>
      </c>
      <c r="AR543" s="735">
        <f t="shared" si="450"/>
        <v>1.5458291776696054</v>
      </c>
      <c r="AS543" s="732" t="str">
        <f t="shared" si="451"/>
        <v>0.000405076579746958-2.84631892641217i</v>
      </c>
      <c r="AT543" s="337">
        <f t="shared" si="452"/>
        <v>2.8463189552365988</v>
      </c>
      <c r="AU543" s="730">
        <f t="shared" si="453"/>
        <v>-1.5706540108466545</v>
      </c>
      <c r="AV543" s="732" t="str">
        <f t="shared" si="454"/>
        <v>-0.0426278495638933+0.0240392964545897i</v>
      </c>
      <c r="AW543" s="337">
        <f t="shared" si="455"/>
        <v>-26.20690613967875</v>
      </c>
      <c r="AX543" s="730">
        <f t="shared" si="456"/>
        <v>150.57986793386644</v>
      </c>
      <c r="AY543" s="360">
        <f t="shared" si="457"/>
        <v>-29.420132066133561</v>
      </c>
      <c r="BB543" s="337">
        <f t="shared" si="458"/>
        <v>-30.914328699667749</v>
      </c>
      <c r="BC543" s="730">
        <f t="shared" si="459"/>
        <v>-89.991845896808329</v>
      </c>
      <c r="BD543" s="351"/>
      <c r="BE543" s="337">
        <f t="shared" si="420"/>
        <v>24.886594536809781</v>
      </c>
      <c r="BF543" s="730">
        <f t="shared" si="421"/>
        <v>-89.81172145472496</v>
      </c>
      <c r="BI543" s="351"/>
      <c r="BJ543" s="351"/>
      <c r="BL543" s="405">
        <f t="shared" si="422"/>
        <v>0</v>
      </c>
      <c r="BM543" s="405">
        <f t="shared" si="460"/>
        <v>0</v>
      </c>
      <c r="BN543" s="405">
        <f t="shared" si="423"/>
        <v>0</v>
      </c>
      <c r="BO543" s="405">
        <f t="shared" si="424"/>
        <v>0</v>
      </c>
    </row>
    <row r="544" spans="4:67" ht="13.5" thickBot="1" x14ac:dyDescent="0.25">
      <c r="D544" s="345">
        <v>82702.75</v>
      </c>
      <c r="E544" s="340" t="str">
        <f t="shared" si="411"/>
        <v>1.37184089767123i</v>
      </c>
      <c r="F544" s="728" t="str">
        <f t="shared" si="425"/>
        <v>0.005-0.0315478920318368i</v>
      </c>
      <c r="G544" s="337" t="str">
        <f t="shared" si="426"/>
        <v>0.005-0.0493441388190268i</v>
      </c>
      <c r="H544" s="338" t="str">
        <f t="shared" si="427"/>
        <v>0.00695308670430142-0.0488613436460504i</v>
      </c>
      <c r="I544" s="338" t="str">
        <f t="shared" si="428"/>
        <v>0.0169530867043014-0.0488613436460504i</v>
      </c>
      <c r="J544" s="337" t="str">
        <f t="shared" si="429"/>
        <v>0.00441461534716352-0.0193214296932341i</v>
      </c>
      <c r="K544" s="338" t="str">
        <f t="shared" si="412"/>
        <v>0.924002834915972-0.433030586386122i</v>
      </c>
      <c r="L544" s="732"/>
      <c r="M544" s="732" t="str">
        <f t="shared" si="413"/>
        <v>0.0569525527445146-17.4487311533252i</v>
      </c>
      <c r="N544" s="337">
        <f t="shared" si="414"/>
        <v>0</v>
      </c>
      <c r="O544" s="730" t="str">
        <f t="shared" si="415"/>
        <v>-0.707959810397518-6.64903746622901i</v>
      </c>
      <c r="P544" s="731" t="str">
        <f t="shared" si="416"/>
        <v>-0.336883008601711-0.0781298410817031i</v>
      </c>
      <c r="Q544" s="729" t="str">
        <f t="shared" si="417"/>
        <v>-0.329803410497736-0.0116394664194128i</v>
      </c>
      <c r="R544" s="730"/>
      <c r="S544" s="405" t="str">
        <f t="shared" si="430"/>
        <v>35.7820244507716-16.2477466013571i</v>
      </c>
      <c r="T544" s="405" t="str">
        <f t="shared" si="431"/>
        <v>12.9508306641414-7.68546966699956i</v>
      </c>
      <c r="U544" s="405" t="str">
        <f t="shared" si="432"/>
        <v>-0.285474125980064-0.68623272454035i</v>
      </c>
      <c r="V544" s="731" t="str">
        <f t="shared" si="418"/>
        <v>6000</v>
      </c>
      <c r="W544" s="733" t="str">
        <f>IMSUM(COMPLEX(1,0),IMDIV(COMPLEX(0,2*PI()*D544),COMPLEX(2*PI()*'Stability Calculations'!EA_Pole1,0)))</f>
        <v>1+524833.07069998i</v>
      </c>
      <c r="X544" s="734">
        <f t="shared" si="433"/>
        <v>524833.07070093264</v>
      </c>
      <c r="Y544" s="735">
        <f t="shared" si="434"/>
        <v>1.5707944214271601</v>
      </c>
      <c r="Z544" s="340" t="str">
        <f>IMSUM(COMPLEX(1,0),IMDIV(COMPLEX(0,2*PI()*D544),COMPLEX(2*PI()*'Stability Calculations'!EA_Zero1,0)))</f>
        <v>1+5196.36703663347i</v>
      </c>
      <c r="AA544" s="734">
        <f t="shared" si="435"/>
        <v>5196.3671328545406</v>
      </c>
      <c r="AB544" s="735">
        <f t="shared" si="436"/>
        <v>1.5706038846558781</v>
      </c>
      <c r="AC544" s="733" t="str">
        <f>IMSUM(COMPLEX(1,0),IMDIV(COMPLEX(0,2*PI()*D544),COMPLEX(2*PI()*'Stability Calculations'!EA_Pole2,0)))</f>
        <v>1+52.3453753663347i</v>
      </c>
      <c r="AD544" s="734">
        <f t="shared" si="437"/>
        <v>52.354926437179522</v>
      </c>
      <c r="AE544" s="735">
        <f t="shared" si="438"/>
        <v>1.5516947659247211</v>
      </c>
      <c r="AF544" s="732" t="str">
        <f t="shared" si="439"/>
        <v>0.0214566290385784-1.13447431737743i</v>
      </c>
      <c r="AG544" s="337">
        <f t="shared" si="440"/>
        <v>1.1346772068384405</v>
      </c>
      <c r="AH544" s="730">
        <f t="shared" si="441"/>
        <v>-1.5518853026960031</v>
      </c>
      <c r="AI544" s="731" t="str">
        <f t="shared" si="419"/>
        <v>10000</v>
      </c>
      <c r="AJ544" s="733" t="str">
        <f t="shared" si="442"/>
        <v>1+489288.880896002i</v>
      </c>
      <c r="AK544" s="734">
        <f t="shared" si="443"/>
        <v>489288.88089702389</v>
      </c>
      <c r="AL544" s="735">
        <f t="shared" si="444"/>
        <v>1.5707942830125035</v>
      </c>
      <c r="AM544" s="340" t="str">
        <f t="shared" si="445"/>
        <v>1+830.379452454028i</v>
      </c>
      <c r="AN544" s="734">
        <f t="shared" si="446"/>
        <v>830.38005458816951</v>
      </c>
      <c r="AO544" s="735">
        <f t="shared" si="447"/>
        <v>1.5695920586574517</v>
      </c>
      <c r="AP544" s="733" t="str">
        <f t="shared" si="448"/>
        <v>1+40.2747721840183i</v>
      </c>
      <c r="AQ544" s="734">
        <f t="shared" si="449"/>
        <v>40.287184990696169</v>
      </c>
      <c r="AR544" s="735">
        <f t="shared" si="450"/>
        <v>1.5459719883463572</v>
      </c>
      <c r="AS544" s="732" t="str">
        <f t="shared" si="451"/>
        <v>0.000400453904010238-2.83003143442638i</v>
      </c>
      <c r="AT544" s="337">
        <f t="shared" si="452"/>
        <v>2.830031462758809</v>
      </c>
      <c r="AU544" s="730">
        <f t="shared" si="453"/>
        <v>-1.5706548252212864</v>
      </c>
      <c r="AV544" s="732" t="str">
        <f t="shared" si="454"/>
        <v>-0.0420499753046328+0.0238825912825638i</v>
      </c>
      <c r="AW544" s="337">
        <f t="shared" si="455"/>
        <v>-26.310480307550769</v>
      </c>
      <c r="AX544" s="730">
        <f t="shared" si="456"/>
        <v>150.40527388197637</v>
      </c>
      <c r="AY544" s="360">
        <f t="shared" si="457"/>
        <v>-29.59472611802363</v>
      </c>
      <c r="BB544" s="337">
        <f t="shared" si="458"/>
        <v>-30.964174723955317</v>
      </c>
      <c r="BC544" s="730">
        <f t="shared" si="459"/>
        <v>-89.991892557037673</v>
      </c>
      <c r="BD544" s="351"/>
      <c r="BE544" s="337">
        <f t="shared" si="420"/>
        <v>24.83532329144149</v>
      </c>
      <c r="BF544" s="730">
        <f t="shared" si="421"/>
        <v>-89.812987587003903</v>
      </c>
      <c r="BI544" s="351"/>
      <c r="BJ544" s="351"/>
      <c r="BL544" s="405">
        <f t="shared" si="422"/>
        <v>0</v>
      </c>
      <c r="BM544" s="405">
        <f t="shared" si="460"/>
        <v>0</v>
      </c>
      <c r="BN544" s="405">
        <f t="shared" si="423"/>
        <v>0</v>
      </c>
      <c r="BO544" s="405">
        <f t="shared" si="424"/>
        <v>0</v>
      </c>
    </row>
    <row r="545" spans="4:67" ht="13.5" thickBot="1" x14ac:dyDescent="0.25">
      <c r="D545" s="345">
        <v>83176</v>
      </c>
      <c r="E545" s="340" t="str">
        <f t="shared" si="411"/>
        <v>1.37969098373032i</v>
      </c>
      <c r="F545" s="728" t="str">
        <f t="shared" si="425"/>
        <v>0.005-0.0313683926581705i</v>
      </c>
      <c r="G545" s="337" t="str">
        <f t="shared" si="426"/>
        <v>0.005-0.0490633833884205i</v>
      </c>
      <c r="H545" s="338" t="str">
        <f t="shared" si="427"/>
        <v>0.00693072866798824-0.0485842331171458i</v>
      </c>
      <c r="I545" s="338" t="str">
        <f t="shared" si="428"/>
        <v>0.0169307286679882-0.0485842331171458i</v>
      </c>
      <c r="J545" s="337" t="str">
        <f t="shared" si="429"/>
        <v>0.00441094333178843-0.0192125129670018i</v>
      </c>
      <c r="K545" s="338" t="str">
        <f t="shared" si="412"/>
        <v>0.923130589155556-0.435508517591641i</v>
      </c>
      <c r="L545" s="732"/>
      <c r="M545" s="732" t="str">
        <f t="shared" si="413"/>
        <v>0.0562413282648324-17.3466559227851i</v>
      </c>
      <c r="N545" s="337">
        <f t="shared" si="414"/>
        <v>0</v>
      </c>
      <c r="O545" s="730" t="str">
        <f t="shared" si="415"/>
        <v>-0.705845194428281-6.60861107545129i</v>
      </c>
      <c r="P545" s="731" t="str">
        <f t="shared" si="416"/>
        <v>-0.333024774538746-0.0775956535200066i</v>
      </c>
      <c r="Q545" s="729" t="str">
        <f t="shared" si="417"/>
        <v>-0.325966322594464-0.0115095427654937i</v>
      </c>
      <c r="R545" s="730"/>
      <c r="S545" s="405" t="str">
        <f t="shared" si="430"/>
        <v>35.7299930853501-16.3377186259022i</v>
      </c>
      <c r="T545" s="405" t="str">
        <f t="shared" si="431"/>
        <v>12.9223491607517-7.72000337426395i</v>
      </c>
      <c r="U545" s="405" t="str">
        <f t="shared" si="432"/>
        <v>-0.285509147814218-0.681327672750093i</v>
      </c>
      <c r="V545" s="731" t="str">
        <f t="shared" si="418"/>
        <v>6000</v>
      </c>
      <c r="W545" s="733" t="str">
        <f>IMSUM(COMPLEX(1,0),IMDIV(COMPLEX(0,2*PI()*D545),COMPLEX(2*PI()*'Stability Calculations'!EA_Pole1,0)))</f>
        <v>1+527836.323321069i</v>
      </c>
      <c r="X545" s="734">
        <f t="shared" si="433"/>
        <v>527836.32332201628</v>
      </c>
      <c r="Y545" s="735">
        <f t="shared" si="434"/>
        <v>1.5707944322682112</v>
      </c>
      <c r="Z545" s="340" t="str">
        <f>IMSUM(COMPLEX(1,0),IMDIV(COMPLEX(0,2*PI()*D545),COMPLEX(2*PI()*'Stability Calculations'!EA_Zero1,0)))</f>
        <v>1+5226.10221109969i</v>
      </c>
      <c r="AA545" s="734">
        <f t="shared" si="435"/>
        <v>5226.1023067732867</v>
      </c>
      <c r="AB545" s="735">
        <f t="shared" si="436"/>
        <v>1.5706049796020172</v>
      </c>
      <c r="AC545" s="733" t="str">
        <f>IMSUM(COMPLEX(1,0),IMDIV(COMPLEX(0,2*PI()*D545),COMPLEX(2*PI()*'Stability Calculations'!EA_Pole2,0)))</f>
        <v>1+52.6449113417661i</v>
      </c>
      <c r="AD545" s="734">
        <f t="shared" si="437"/>
        <v>52.654408079309107</v>
      </c>
      <c r="AE545" s="735">
        <f t="shared" si="438"/>
        <v>1.5518034226726336</v>
      </c>
      <c r="AF545" s="732" t="str">
        <f t="shared" si="439"/>
        <v>0.0212132460974121-1.12802407404134i</v>
      </c>
      <c r="AG545" s="337">
        <f t="shared" si="440"/>
        <v>1.1282235210395199</v>
      </c>
      <c r="AH545" s="730">
        <f t="shared" si="441"/>
        <v>-1.5519928753388279</v>
      </c>
      <c r="AI545" s="731" t="str">
        <f t="shared" si="419"/>
        <v>10000</v>
      </c>
      <c r="AJ545" s="733" t="str">
        <f t="shared" si="442"/>
        <v>1+492088.738976707i</v>
      </c>
      <c r="AK545" s="734">
        <f t="shared" si="443"/>
        <v>492088.73897772306</v>
      </c>
      <c r="AL545" s="735">
        <f t="shared" si="444"/>
        <v>1.5707942946410984</v>
      </c>
      <c r="AM545" s="340" t="str">
        <f t="shared" si="445"/>
        <v>1+835.13113333373i</v>
      </c>
      <c r="AN545" s="734">
        <f t="shared" si="446"/>
        <v>835.13173204188581</v>
      </c>
      <c r="AO545" s="735">
        <f t="shared" si="447"/>
        <v>1.5695989106261652</v>
      </c>
      <c r="AP545" s="733" t="str">
        <f t="shared" si="448"/>
        <v>1+40.5052365390256i</v>
      </c>
      <c r="AQ545" s="734">
        <f t="shared" si="449"/>
        <v>40.517578741608126</v>
      </c>
      <c r="AR545" s="735">
        <f t="shared" si="450"/>
        <v>1.5461131749068253</v>
      </c>
      <c r="AS545" s="732" t="str">
        <f t="shared" si="451"/>
        <v>0.000395909909080869-2.81392928569158i</v>
      </c>
      <c r="AT545" s="337">
        <f t="shared" si="452"/>
        <v>2.8139293135431429</v>
      </c>
      <c r="AU545" s="730">
        <f t="shared" si="453"/>
        <v>-1.5706556303287553</v>
      </c>
      <c r="AV545" s="732" t="str">
        <f t="shared" si="454"/>
        <v>-0.0414820280299072+0.0237274759380955i</v>
      </c>
      <c r="AW545" s="337">
        <f t="shared" si="455"/>
        <v>-26.413511042097969</v>
      </c>
      <c r="AX545" s="730">
        <f t="shared" si="456"/>
        <v>150.23069755341652</v>
      </c>
      <c r="AY545" s="360">
        <f t="shared" si="457"/>
        <v>-29.769302446583481</v>
      </c>
      <c r="BB545" s="337">
        <f t="shared" si="458"/>
        <v>-31.013736326538151</v>
      </c>
      <c r="BC545" s="730">
        <f t="shared" si="459"/>
        <v>-89.991938686297701</v>
      </c>
      <c r="BD545" s="351"/>
      <c r="BE545" s="337">
        <f t="shared" si="420"/>
        <v>24.784360935870694</v>
      </c>
      <c r="BF545" s="730">
        <f t="shared" si="421"/>
        <v>-89.814236273141532</v>
      </c>
      <c r="BI545" s="351"/>
      <c r="BJ545" s="351"/>
      <c r="BL545" s="405">
        <f t="shared" si="422"/>
        <v>0</v>
      </c>
      <c r="BM545" s="405">
        <f t="shared" si="460"/>
        <v>0</v>
      </c>
      <c r="BN545" s="405">
        <f t="shared" si="423"/>
        <v>0</v>
      </c>
      <c r="BO545" s="405">
        <f t="shared" si="424"/>
        <v>0</v>
      </c>
    </row>
    <row r="546" spans="4:67" ht="13.5" thickBot="1" x14ac:dyDescent="0.25">
      <c r="D546" s="345">
        <v>83660.5</v>
      </c>
      <c r="E546" s="340" t="str">
        <f t="shared" si="411"/>
        <v>1.38772768039303i</v>
      </c>
      <c r="F546" s="728" t="str">
        <f t="shared" si="425"/>
        <v>0.005-0.0311867300307312i</v>
      </c>
      <c r="G546" s="337" t="str">
        <f t="shared" si="426"/>
        <v>0.005-0.0487792444070412i</v>
      </c>
      <c r="H546" s="338" t="str">
        <f t="shared" si="427"/>
        <v>0.00690823023733096-0.0483037673484856i</v>
      </c>
      <c r="I546" s="338" t="str">
        <f t="shared" si="428"/>
        <v>0.016908230237331-0.0483037673484856i</v>
      </c>
      <c r="J546" s="337" t="str">
        <f t="shared" si="429"/>
        <v>0.00440724310047369-0.0191022870304984i</v>
      </c>
      <c r="K546" s="338" t="str">
        <f t="shared" si="412"/>
        <v>0.922232452663889-0.438045353659415i</v>
      </c>
      <c r="L546" s="732"/>
      <c r="M546" s="732" t="str">
        <f t="shared" si="413"/>
        <v>0.0555271417556969-17.2434001245631i</v>
      </c>
      <c r="N546" s="337">
        <f t="shared" si="414"/>
        <v>0</v>
      </c>
      <c r="O546" s="730" t="str">
        <f t="shared" si="415"/>
        <v>-0.703709404370187-6.56771083776397i</v>
      </c>
      <c r="P546" s="731" t="str">
        <f t="shared" si="416"/>
        <v>-0.329143656948743-0.0770565516274881i</v>
      </c>
      <c r="Q546" s="729" t="str">
        <f t="shared" si="417"/>
        <v>-0.322106562905042-0.0113794432498482i</v>
      </c>
      <c r="R546" s="730"/>
      <c r="S546" s="405" t="str">
        <f t="shared" si="430"/>
        <v>35.6764151509641-16.4296260270381i</v>
      </c>
      <c r="T546" s="405" t="str">
        <f t="shared" si="431"/>
        <v>12.893052875451-7.75524404600005i</v>
      </c>
      <c r="U546" s="405" t="str">
        <f t="shared" si="432"/>
        <v>-0.285539326403017-0.676358037923963i</v>
      </c>
      <c r="V546" s="731" t="str">
        <f t="shared" si="418"/>
        <v>6000</v>
      </c>
      <c r="W546" s="733" t="str">
        <f>IMSUM(COMPLEX(1,0),IMDIV(COMPLEX(0,2*PI()*D546),COMPLEX(2*PI()*'Stability Calculations'!EA_Pole1,0)))</f>
        <v>1+530910.968635211i</v>
      </c>
      <c r="X546" s="734">
        <f t="shared" si="433"/>
        <v>530910.9686361528</v>
      </c>
      <c r="Y546" s="735">
        <f t="shared" si="434"/>
        <v>1.5707944432399146</v>
      </c>
      <c r="Z546" s="340" t="str">
        <f>IMSUM(COMPLEX(1,0),IMDIV(COMPLEX(0,2*PI()*D546),COMPLEX(2*PI()*'Stability Calculations'!EA_Zero1,0)))</f>
        <v>1+5256.54424391298i</v>
      </c>
      <c r="AA546" s="734">
        <f t="shared" si="435"/>
        <v>5256.5443390325054</v>
      </c>
      <c r="AB546" s="735">
        <f t="shared" si="436"/>
        <v>1.5706060877440042</v>
      </c>
      <c r="AC546" s="733" t="str">
        <f>IMSUM(COMPLEX(1,0),IMDIV(COMPLEX(0,2*PI()*D546),COMPLEX(2*PI()*'Stability Calculations'!EA_Pole2,0)))</f>
        <v>1+52.9515678237452i</v>
      </c>
      <c r="AD546" s="734">
        <f t="shared" si="437"/>
        <v>52.961009573012177</v>
      </c>
      <c r="AE546" s="735">
        <f t="shared" si="438"/>
        <v>1.5519133893643349</v>
      </c>
      <c r="AF546" s="732" t="str">
        <f t="shared" si="439"/>
        <v>0.0209683419121625-1.12149601445027i</v>
      </c>
      <c r="AG546" s="337">
        <f t="shared" si="440"/>
        <v>1.1216920173516369</v>
      </c>
      <c r="AH546" s="730">
        <f t="shared" si="441"/>
        <v>-1.5521017448602454</v>
      </c>
      <c r="AI546" s="731" t="str">
        <f t="shared" si="419"/>
        <v>10000</v>
      </c>
      <c r="AJ546" s="733" t="str">
        <f t="shared" si="442"/>
        <v>1+494955.154697999i</v>
      </c>
      <c r="AK546" s="734">
        <f t="shared" si="443"/>
        <v>494955.1546990092</v>
      </c>
      <c r="AL546" s="735">
        <f t="shared" si="444"/>
        <v>1.5707943064098364</v>
      </c>
      <c r="AM546" s="340" t="str">
        <f t="shared" si="445"/>
        <v>1+839.995770177294i</v>
      </c>
      <c r="AN546" s="734">
        <f t="shared" si="446"/>
        <v>839.99636541817574</v>
      </c>
      <c r="AO546" s="735">
        <f t="shared" si="447"/>
        <v>1.5696058451721457</v>
      </c>
      <c r="AP546" s="733" t="str">
        <f t="shared" si="448"/>
        <v>1+40.741179444469i</v>
      </c>
      <c r="AQ546" s="734">
        <f t="shared" si="449"/>
        <v>40.753450191688351</v>
      </c>
      <c r="AR546" s="735">
        <f t="shared" si="450"/>
        <v>1.5462560639926528</v>
      </c>
      <c r="AS546" s="732" t="str">
        <f t="shared" si="451"/>
        <v>0.000391337550275935-2.79763308036876i</v>
      </c>
      <c r="AT546" s="337">
        <f t="shared" si="452"/>
        <v>2.7976331077392325</v>
      </c>
      <c r="AU546" s="730">
        <f t="shared" si="453"/>
        <v>-1.5706564451390534</v>
      </c>
      <c r="AV546" s="732" t="str">
        <f t="shared" si="454"/>
        <v>-0.0409106301280032+0.0235702936502435i</v>
      </c>
      <c r="AW546" s="337">
        <f t="shared" si="455"/>
        <v>-26.518434845177225</v>
      </c>
      <c r="AX546" s="730">
        <f t="shared" si="456"/>
        <v>150.05198930979725</v>
      </c>
      <c r="AY546" s="360">
        <f t="shared" si="457"/>
        <v>-29.94801069020275</v>
      </c>
      <c r="BB546" s="337">
        <f t="shared" si="458"/>
        <v>-31.06418482284543</v>
      </c>
      <c r="BC546" s="730">
        <f t="shared" si="459"/>
        <v>-89.991985371488894</v>
      </c>
      <c r="BD546" s="351"/>
      <c r="BE546" s="337">
        <f t="shared" si="420"/>
        <v>24.732503152762455</v>
      </c>
      <c r="BF546" s="730">
        <f t="shared" si="421"/>
        <v>-89.815496952388699</v>
      </c>
      <c r="BI546" s="351"/>
      <c r="BJ546" s="351"/>
      <c r="BL546" s="405">
        <f t="shared" si="422"/>
        <v>0</v>
      </c>
      <c r="BM546" s="405">
        <f t="shared" si="460"/>
        <v>0</v>
      </c>
      <c r="BN546" s="405">
        <f t="shared" si="423"/>
        <v>0</v>
      </c>
      <c r="BO546" s="405">
        <f t="shared" si="424"/>
        <v>0</v>
      </c>
    </row>
    <row r="547" spans="4:67" ht="13.5" thickBot="1" x14ac:dyDescent="0.25">
      <c r="D547" s="345">
        <v>84145</v>
      </c>
      <c r="E547" s="340" t="str">
        <f t="shared" si="411"/>
        <v>1.39576437705573i</v>
      </c>
      <c r="F547" s="728" t="str">
        <f t="shared" si="425"/>
        <v>0.005-0.0310071594002732i</v>
      </c>
      <c r="G547" s="337" t="str">
        <f t="shared" si="426"/>
        <v>0.005-0.0484983775235043i</v>
      </c>
      <c r="H547" s="338" t="str">
        <f t="shared" si="427"/>
        <v>0.00688611850372135-0.0480265160262471i</v>
      </c>
      <c r="I547" s="338" t="str">
        <f t="shared" si="428"/>
        <v>0.0168861185037214-0.0480265160262471i</v>
      </c>
      <c r="J547" s="337" t="str">
        <f t="shared" si="429"/>
        <v>0.00440360125615708-0.0189933338691559i</v>
      </c>
      <c r="K547" s="338" t="str">
        <f t="shared" si="412"/>
        <v>0.921329099722222-0.440582189727189i</v>
      </c>
      <c r="L547" s="732"/>
      <c r="M547" s="732" t="str">
        <f t="shared" si="413"/>
        <v>0.0548266992395268-17.1413821360276i</v>
      </c>
      <c r="N547" s="337">
        <f t="shared" si="414"/>
        <v>0</v>
      </c>
      <c r="O547" s="730" t="str">
        <f t="shared" si="415"/>
        <v>-0.701602347167234-6.52729459739779i</v>
      </c>
      <c r="P547" s="731" t="str">
        <f t="shared" si="416"/>
        <v>-0.325330558966715-0.0765251537100797i</v>
      </c>
      <c r="Q547" s="729" t="str">
        <f t="shared" si="417"/>
        <v>-0.318314535495043-0.0112522077361014i</v>
      </c>
      <c r="R547" s="730"/>
      <c r="S547" s="405" t="str">
        <f t="shared" si="430"/>
        <v>35.6225242286252-16.5213267791952i</v>
      </c>
      <c r="T547" s="405" t="str">
        <f t="shared" si="431"/>
        <v>12.8636177850983-7.7903684943396i</v>
      </c>
      <c r="U547" s="405" t="str">
        <f t="shared" si="432"/>
        <v>-0.285563860889007-0.671440146351223i</v>
      </c>
      <c r="V547" s="731" t="str">
        <f t="shared" si="418"/>
        <v>6000</v>
      </c>
      <c r="W547" s="733" t="str">
        <f>IMSUM(COMPLEX(1,0),IMDIV(COMPLEX(0,2*PI()*D547),COMPLEX(2*PI()*'Stability Calculations'!EA_Pole1,0)))</f>
        <v>1+533985.613949352i</v>
      </c>
      <c r="X547" s="734">
        <f t="shared" si="433"/>
        <v>533985.61395028827</v>
      </c>
      <c r="Y547" s="735">
        <f t="shared" si="434"/>
        <v>1.5707944540852694</v>
      </c>
      <c r="Z547" s="340" t="str">
        <f>IMSUM(COMPLEX(1,0),IMDIV(COMPLEX(0,2*PI()*D547),COMPLEX(2*PI()*'Stability Calculations'!EA_Zero1,0)))</f>
        <v>1+5286.98627672626i</v>
      </c>
      <c r="AA547" s="734">
        <f t="shared" si="435"/>
        <v>5286.9863712980959</v>
      </c>
      <c r="AB547" s="735">
        <f t="shared" si="436"/>
        <v>1.5706071831248105</v>
      </c>
      <c r="AC547" s="733" t="str">
        <f>IMSUM(COMPLEX(1,0),IMDIV(COMPLEX(0,2*PI()*D547),COMPLEX(2*PI()*'Stability Calculations'!EA_Pole2,0)))</f>
        <v>1+53.2582243057242i</v>
      </c>
      <c r="AD547" s="734">
        <f t="shared" si="437"/>
        <v>53.267611699782748</v>
      </c>
      <c r="AE547" s="735">
        <f t="shared" si="438"/>
        <v>1.5520220901465727</v>
      </c>
      <c r="AF547" s="732" t="str">
        <f t="shared" si="439"/>
        <v>0.0207276539625605-1.11504305175545i</v>
      </c>
      <c r="AG547" s="337">
        <f t="shared" si="440"/>
        <v>1.11523568939794</v>
      </c>
      <c r="AH547" s="730">
        <f t="shared" si="441"/>
        <v>-1.5522093611070316</v>
      </c>
      <c r="AI547" s="731" t="str">
        <f t="shared" si="419"/>
        <v>10000</v>
      </c>
      <c r="AJ547" s="733" t="str">
        <f t="shared" si="442"/>
        <v>1+497821.570419291i</v>
      </c>
      <c r="AK547" s="734">
        <f t="shared" si="443"/>
        <v>497821.57042029535</v>
      </c>
      <c r="AL547" s="735">
        <f t="shared" si="444"/>
        <v>1.5707943180430477</v>
      </c>
      <c r="AM547" s="340" t="str">
        <f t="shared" si="445"/>
        <v>1+844.860407020856i</v>
      </c>
      <c r="AN547" s="734">
        <f t="shared" si="446"/>
        <v>844.86099883439203</v>
      </c>
      <c r="AO547" s="735">
        <f t="shared" si="447"/>
        <v>1.5696126998611464</v>
      </c>
      <c r="AP547" s="733" t="str">
        <f t="shared" si="448"/>
        <v>1+40.9771223499123i</v>
      </c>
      <c r="AQ547" s="734">
        <f t="shared" si="449"/>
        <v>40.989322464267232</v>
      </c>
      <c r="AR547" s="735">
        <f t="shared" si="450"/>
        <v>1.5463973085763107</v>
      </c>
      <c r="AS547" s="732" t="str">
        <f t="shared" si="451"/>
        <v>0.000386843945663043-2.781524539459i</v>
      </c>
      <c r="AT547" s="337">
        <f t="shared" si="452"/>
        <v>2.7815245663593986</v>
      </c>
      <c r="AU547" s="730">
        <f t="shared" si="453"/>
        <v>-1.5706572505661303</v>
      </c>
      <c r="AV547" s="732" t="str">
        <f t="shared" si="454"/>
        <v>-0.0403491696710675+0.0234147243343881i</v>
      </c>
      <c r="AW547" s="337">
        <f t="shared" si="455"/>
        <v>-26.622802783170453</v>
      </c>
      <c r="AX547" s="730">
        <f t="shared" si="456"/>
        <v>149.87329908063757</v>
      </c>
      <c r="AY547" s="360">
        <f t="shared" si="457"/>
        <v>-30.126700919362435</v>
      </c>
      <c r="BB547" s="337">
        <f t="shared" si="458"/>
        <v>-31.114342000551769</v>
      </c>
      <c r="BC547" s="730">
        <f t="shared" si="459"/>
        <v>-89.992031519061101</v>
      </c>
      <c r="BD547" s="351"/>
      <c r="BE547" s="337">
        <f t="shared" si="420"/>
        <v>24.680961166458857</v>
      </c>
      <c r="BF547" s="730">
        <f t="shared" si="421"/>
        <v>-89.816740112680847</v>
      </c>
      <c r="BI547" s="351"/>
      <c r="BJ547" s="351"/>
      <c r="BL547" s="405">
        <f t="shared" si="422"/>
        <v>0</v>
      </c>
      <c r="BM547" s="405">
        <f t="shared" si="460"/>
        <v>0</v>
      </c>
      <c r="BN547" s="405">
        <f t="shared" si="423"/>
        <v>0</v>
      </c>
      <c r="BO547" s="405">
        <f t="shared" si="424"/>
        <v>0</v>
      </c>
    </row>
    <row r="548" spans="4:67" ht="13.5" thickBot="1" x14ac:dyDescent="0.25">
      <c r="D548" s="345">
        <v>84629.5</v>
      </c>
      <c r="E548" s="340" t="str">
        <f t="shared" si="411"/>
        <v>1.40380107371844i</v>
      </c>
      <c r="F548" s="728" t="str">
        <f t="shared" si="425"/>
        <v>0.005-0.0308296448370365i</v>
      </c>
      <c r="G548" s="337" t="str">
        <f t="shared" si="426"/>
        <v>0.005-0.0482207265399804i</v>
      </c>
      <c r="H548" s="338" t="str">
        <f t="shared" si="427"/>
        <v>0.00686438466029516-0.047752424290374i</v>
      </c>
      <c r="I548" s="338" t="str">
        <f t="shared" si="428"/>
        <v>0.0168643846602952-0.047752424290374i</v>
      </c>
      <c r="J548" s="337" t="str">
        <f t="shared" si="429"/>
        <v>0.00440001644635791-0.0188856316237588i</v>
      </c>
      <c r="K548" s="338" t="str">
        <f t="shared" si="412"/>
        <v>0.920420530330556-0.443119025794962i</v>
      </c>
      <c r="L548" s="732"/>
      <c r="M548" s="732" t="str">
        <f t="shared" si="413"/>
        <v>0.0541396449715026-17.0405795670652i</v>
      </c>
      <c r="N548" s="337">
        <f t="shared" si="414"/>
        <v>0</v>
      </c>
      <c r="O548" s="730" t="str">
        <f t="shared" si="415"/>
        <v>-0.699523334723325-6.48735361688203i</v>
      </c>
      <c r="P548" s="731" t="str">
        <f t="shared" si="416"/>
        <v>-0.321583893030671-0.0760012917417307i</v>
      </c>
      <c r="Q548" s="729" t="str">
        <f t="shared" si="417"/>
        <v>-0.314588659683438-0.0111277555729098i</v>
      </c>
      <c r="R548" s="730"/>
      <c r="S548" s="405" t="str">
        <f t="shared" si="430"/>
        <v>35.5683206674384-16.6128200183623i</v>
      </c>
      <c r="T548" s="405" t="str">
        <f t="shared" si="431"/>
        <v>12.834044437382-7.82537579787741i</v>
      </c>
      <c r="U548" s="405" t="str">
        <f t="shared" si="432"/>
        <v>-0.285582847566356-0.666573124923375i</v>
      </c>
      <c r="V548" s="731" t="str">
        <f t="shared" si="418"/>
        <v>6000</v>
      </c>
      <c r="W548" s="733" t="str">
        <f>IMSUM(COMPLEX(1,0),IMDIV(COMPLEX(0,2*PI()*D548),COMPLEX(2*PI()*'Stability Calculations'!EA_Pole1,0)))</f>
        <v>1+537060.259263495i</v>
      </c>
      <c r="X548" s="734">
        <f t="shared" si="433"/>
        <v>537060.25926442596</v>
      </c>
      <c r="Y548" s="735">
        <f t="shared" si="434"/>
        <v>1.570794464806446</v>
      </c>
      <c r="Z548" s="340" t="str">
        <f>IMSUM(COMPLEX(1,0),IMDIV(COMPLEX(0,2*PI()*D548),COMPLEX(2*PI()*'Stability Calculations'!EA_Zero1,0)))</f>
        <v>1+5317.42830953955i</v>
      </c>
      <c r="AA548" s="734">
        <f t="shared" si="435"/>
        <v>5317.4284035699666</v>
      </c>
      <c r="AB548" s="735">
        <f t="shared" si="436"/>
        <v>1.5706082659636078</v>
      </c>
      <c r="AC548" s="733" t="str">
        <f>IMSUM(COMPLEX(1,0),IMDIV(COMPLEX(0,2*PI()*D548),COMPLEX(2*PI()*'Stability Calculations'!EA_Pole2,0)))</f>
        <v>1+53.5648807877032i</v>
      </c>
      <c r="AD548" s="734">
        <f t="shared" si="437"/>
        <v>53.574214448751889</v>
      </c>
      <c r="AE548" s="735">
        <f t="shared" si="438"/>
        <v>1.5521295467509795</v>
      </c>
      <c r="AF548" s="732" t="str">
        <f t="shared" si="439"/>
        <v>0.0204910860307243-1.10866389797432i</v>
      </c>
      <c r="AG548" s="337">
        <f t="shared" si="440"/>
        <v>1.1088532469530545</v>
      </c>
      <c r="AH548" s="730">
        <f t="shared" si="441"/>
        <v>-1.5523157455938179</v>
      </c>
      <c r="AI548" s="731" t="str">
        <f t="shared" si="419"/>
        <v>10000</v>
      </c>
      <c r="AJ548" s="733" t="str">
        <f t="shared" si="442"/>
        <v>1+500687.986140584i</v>
      </c>
      <c r="AK548" s="734">
        <f t="shared" si="443"/>
        <v>500687.98614158254</v>
      </c>
      <c r="AL548" s="735">
        <f t="shared" si="444"/>
        <v>1.5707943295430598</v>
      </c>
      <c r="AM548" s="340" t="str">
        <f t="shared" si="445"/>
        <v>1+849.72504386442i</v>
      </c>
      <c r="AN548" s="734">
        <f t="shared" si="446"/>
        <v>849.72563228985291</v>
      </c>
      <c r="AO548" s="735">
        <f t="shared" si="447"/>
        <v>1.5696194760646971</v>
      </c>
      <c r="AP548" s="733" t="str">
        <f t="shared" si="448"/>
        <v>1+41.2130652553557i</v>
      </c>
      <c r="AQ548" s="734">
        <f t="shared" si="449"/>
        <v>41.225195545227031</v>
      </c>
      <c r="AR548" s="735">
        <f t="shared" si="450"/>
        <v>1.5465369368795459</v>
      </c>
      <c r="AS548" s="732" t="str">
        <f t="shared" si="451"/>
        <v>0.000382427296958042-2.76560043985211i</v>
      </c>
      <c r="AT548" s="337">
        <f t="shared" si="452"/>
        <v>2.7656004662931375</v>
      </c>
      <c r="AU548" s="730">
        <f t="shared" si="453"/>
        <v>-1.5706580467711413</v>
      </c>
      <c r="AV548" s="732" t="str">
        <f t="shared" si="454"/>
        <v>-0.0397974203628429+0.0232607418636191i</v>
      </c>
      <c r="AW548" s="337">
        <f t="shared" si="455"/>
        <v>-26.726621616825707</v>
      </c>
      <c r="AX548" s="730">
        <f t="shared" si="456"/>
        <v>149.69462660313053</v>
      </c>
      <c r="AY548" s="360">
        <f t="shared" si="457"/>
        <v>-30.30537339686947</v>
      </c>
      <c r="BB548" s="337">
        <f t="shared" si="458"/>
        <v>-31.164211204831357</v>
      </c>
      <c r="BC548" s="730">
        <f t="shared" si="459"/>
        <v>-89.992077138247851</v>
      </c>
      <c r="BD548" s="351"/>
      <c r="BE548" s="337">
        <f t="shared" si="420"/>
        <v>24.629731066726826</v>
      </c>
      <c r="BF548" s="730">
        <f t="shared" si="421"/>
        <v>-89.817966125390143</v>
      </c>
      <c r="BI548" s="351"/>
      <c r="BJ548" s="351"/>
      <c r="BL548" s="405">
        <f t="shared" si="422"/>
        <v>0</v>
      </c>
      <c r="BM548" s="405">
        <f t="shared" si="460"/>
        <v>0</v>
      </c>
      <c r="BN548" s="405">
        <f t="shared" si="423"/>
        <v>0</v>
      </c>
      <c r="BO548" s="405">
        <f t="shared" si="424"/>
        <v>0</v>
      </c>
    </row>
    <row r="549" spans="4:67" ht="13.5" thickBot="1" x14ac:dyDescent="0.25">
      <c r="D549" s="345">
        <v>85114</v>
      </c>
      <c r="E549" s="340" t="str">
        <f t="shared" si="411"/>
        <v>1.41183777038115i</v>
      </c>
      <c r="F549" s="728" t="str">
        <f t="shared" si="425"/>
        <v>0.005-0.0306541512293628i</v>
      </c>
      <c r="G549" s="337" t="str">
        <f t="shared" si="426"/>
        <v>0.005-0.0479462365382343i</v>
      </c>
      <c r="H549" s="338" t="str">
        <f t="shared" si="427"/>
        <v>0.00684302014935621-0.047481438520165i</v>
      </c>
      <c r="I549" s="338" t="str">
        <f t="shared" si="428"/>
        <v>0.0168430201493562-0.047481438520165i</v>
      </c>
      <c r="J549" s="337" t="str">
        <f t="shared" si="429"/>
        <v>0.00439648735711891-0.0187791589321799i</v>
      </c>
      <c r="K549" s="338" t="str">
        <f t="shared" si="412"/>
        <v>0.919506744488889-0.445655861862736i</v>
      </c>
      <c r="L549" s="732"/>
      <c r="M549" s="732" t="str">
        <f t="shared" si="413"/>
        <v>0.0534656347670806-16.9409705701225i</v>
      </c>
      <c r="N549" s="337">
        <f t="shared" si="414"/>
        <v>0</v>
      </c>
      <c r="O549" s="730" t="str">
        <f t="shared" si="415"/>
        <v>-0.697471698764268-6.44787937097788i</v>
      </c>
      <c r="P549" s="731" t="str">
        <f t="shared" si="416"/>
        <v>-0.317902117814419-0.0754848025815678i</v>
      </c>
      <c r="Q549" s="729" t="str">
        <f t="shared" si="417"/>
        <v>-0.310927400826775-0.0110060088717892i</v>
      </c>
      <c r="R549" s="730"/>
      <c r="S549" s="405" t="str">
        <f t="shared" si="430"/>
        <v>35.5138048231694-16.7041048633933i</v>
      </c>
      <c r="T549" s="405" t="str">
        <f t="shared" si="431"/>
        <v>12.804333385213-7.86026504207369i</v>
      </c>
      <c r="U549" s="405" t="str">
        <f t="shared" si="432"/>
        <v>-0.285596379993336-0.661756120483873i</v>
      </c>
      <c r="V549" s="731" t="str">
        <f t="shared" si="418"/>
        <v>6000</v>
      </c>
      <c r="W549" s="733" t="str">
        <f>IMSUM(COMPLEX(1,0),IMDIV(COMPLEX(0,2*PI()*D549),COMPLEX(2*PI()*'Stability Calculations'!EA_Pole1,0)))</f>
        <v>1+540134.904577636i</v>
      </c>
      <c r="X549" s="734">
        <f t="shared" si="433"/>
        <v>540134.90457856166</v>
      </c>
      <c r="Y549" s="735">
        <f t="shared" si="434"/>
        <v>1.5707944754055649</v>
      </c>
      <c r="Z549" s="340" t="str">
        <f>IMSUM(COMPLEX(1,0),IMDIV(COMPLEX(0,2*PI()*D549),COMPLEX(2*PI()*'Stability Calculations'!EA_Zero1,0)))</f>
        <v>1+5347.87034235283i</v>
      </c>
      <c r="AA549" s="734">
        <f t="shared" si="435"/>
        <v>5347.8704358479908</v>
      </c>
      <c r="AB549" s="735">
        <f t="shared" si="436"/>
        <v>1.570609336474577</v>
      </c>
      <c r="AC549" s="733" t="str">
        <f>IMSUM(COMPLEX(1,0),IMDIV(COMPLEX(0,2*PI()*D549),COMPLEX(2*PI()*'Stability Calculations'!EA_Pole2,0)))</f>
        <v>1+53.8715372696822i</v>
      </c>
      <c r="AD549" s="734">
        <f t="shared" si="437"/>
        <v>53.880817809297945</v>
      </c>
      <c r="AE549" s="735">
        <f t="shared" si="438"/>
        <v>1.552235780414658</v>
      </c>
      <c r="AF549" s="732" t="str">
        <f t="shared" si="439"/>
        <v>0.0202585446275946-1.10235729440034i</v>
      </c>
      <c r="AG549" s="337">
        <f t="shared" si="440"/>
        <v>1.1025434291437533</v>
      </c>
      <c r="AH549" s="730">
        <f t="shared" si="441"/>
        <v>-1.552420919345646</v>
      </c>
      <c r="AI549" s="731" t="str">
        <f t="shared" si="419"/>
        <v>10000</v>
      </c>
      <c r="AJ549" s="733" t="str">
        <f t="shared" si="442"/>
        <v>1+503554.401861876i</v>
      </c>
      <c r="AK549" s="734">
        <f t="shared" si="443"/>
        <v>503554.40186286892</v>
      </c>
      <c r="AL549" s="735">
        <f t="shared" si="444"/>
        <v>1.5707943409121472</v>
      </c>
      <c r="AM549" s="340" t="str">
        <f t="shared" si="445"/>
        <v>1+854.589680707982i</v>
      </c>
      <c r="AN549" s="734">
        <f t="shared" si="446"/>
        <v>854.59026578388466</v>
      </c>
      <c r="AO549" s="735">
        <f t="shared" si="447"/>
        <v>1.5696261751230987</v>
      </c>
      <c r="AP549" s="733" t="str">
        <f t="shared" si="448"/>
        <v>1+41.4490081607991i</v>
      </c>
      <c r="AQ549" s="734">
        <f t="shared" si="449"/>
        <v>41.461069420770976</v>
      </c>
      <c r="AR549" s="735">
        <f t="shared" si="450"/>
        <v>1.546674976482141</v>
      </c>
      <c r="AS549" s="732" t="str">
        <f t="shared" si="451"/>
        <v>0.000378085856913133-2.74985763182637i</v>
      </c>
      <c r="AT549" s="337">
        <f t="shared" si="452"/>
        <v>2.7498576578184273</v>
      </c>
      <c r="AU549" s="730">
        <f t="shared" si="453"/>
        <v>-1.5706588339115726</v>
      </c>
      <c r="AV549" s="732" t="str">
        <f t="shared" si="454"/>
        <v>-0.039255162334109+0.0231083206674717i</v>
      </c>
      <c r="AW549" s="337">
        <f t="shared" si="455"/>
        <v>-26.829897992175376</v>
      </c>
      <c r="AX549" s="730">
        <f t="shared" si="456"/>
        <v>149.51597162838323</v>
      </c>
      <c r="AY549" s="360">
        <f t="shared" si="457"/>
        <v>-30.484028371616773</v>
      </c>
      <c r="BB549" s="337">
        <f t="shared" si="458"/>
        <v>-31.213795723568847</v>
      </c>
      <c r="BC549" s="730">
        <f t="shared" si="459"/>
        <v>-89.992122238072454</v>
      </c>
      <c r="BD549" s="351"/>
      <c r="BE549" s="337">
        <f t="shared" si="420"/>
        <v>24.578809016868046</v>
      </c>
      <c r="BF549" s="730">
        <f t="shared" si="421"/>
        <v>-89.819175351384615</v>
      </c>
      <c r="BI549" s="351"/>
      <c r="BJ549" s="351"/>
      <c r="BL549" s="405">
        <f t="shared" si="422"/>
        <v>0</v>
      </c>
      <c r="BM549" s="405">
        <f t="shared" si="460"/>
        <v>0</v>
      </c>
      <c r="BN549" s="405">
        <f t="shared" si="423"/>
        <v>0</v>
      </c>
      <c r="BO549" s="405">
        <f t="shared" si="424"/>
        <v>0</v>
      </c>
    </row>
    <row r="550" spans="4:67" ht="13.5" thickBot="1" x14ac:dyDescent="0.25">
      <c r="D550" s="345">
        <v>85609.5</v>
      </c>
      <c r="E550" s="340" t="str">
        <f t="shared" si="411"/>
        <v>1.42005693074518i</v>
      </c>
      <c r="F550" s="728" t="str">
        <f t="shared" si="425"/>
        <v>0.005-0.0304767277899765i</v>
      </c>
      <c r="G550" s="337" t="str">
        <f t="shared" si="426"/>
        <v>0.005-0.0476687280817581i</v>
      </c>
      <c r="H550" s="338" t="str">
        <f t="shared" si="427"/>
        <v>0.0068215439219687-0.0472074582623396i</v>
      </c>
      <c r="I550" s="338" t="str">
        <f t="shared" si="428"/>
        <v>0.0168215439219687-0.0472074582623396i</v>
      </c>
      <c r="J550" s="337" t="str">
        <f t="shared" si="429"/>
        <v>0.00439293444627768-0.0186715188918516i</v>
      </c>
      <c r="K550" s="338" t="str">
        <f t="shared" si="412"/>
        <v>0.918566816775-0.448250293795826i</v>
      </c>
      <c r="L550" s="732"/>
      <c r="M550" s="732" t="str">
        <f t="shared" si="413"/>
        <v>0.0527894665601287-16.84031237925i</v>
      </c>
      <c r="N550" s="337">
        <f t="shared" si="414"/>
        <v>0</v>
      </c>
      <c r="O550" s="730" t="str">
        <f t="shared" si="415"/>
        <v>-0.695401122331915-6.40798298997661i</v>
      </c>
      <c r="P550" s="731" t="str">
        <f t="shared" si="416"/>
        <v>-0.314202310067796-0.0749640478590517i</v>
      </c>
      <c r="Q550" s="729" t="str">
        <f t="shared" si="417"/>
        <v>-0.307248298844477-0.0108842179592854i</v>
      </c>
      <c r="R550" s="730"/>
      <c r="S550" s="405" t="str">
        <f t="shared" si="430"/>
        <v>35.4577286403736-16.7972457423095i</v>
      </c>
      <c r="T550" s="405" t="str">
        <f t="shared" si="431"/>
        <v>12.7738059308119-7.89582334897192i</v>
      </c>
      <c r="U550" s="405" t="str">
        <f t="shared" si="432"/>
        <v>-0.285604672985662-0.656880616105146i</v>
      </c>
      <c r="V550" s="731" t="str">
        <f t="shared" si="418"/>
        <v>6000</v>
      </c>
      <c r="W550" s="733" t="str">
        <f>IMSUM(COMPLEX(1,0),IMDIV(COMPLEX(0,2*PI()*D550),COMPLEX(2*PI()*'Stability Calculations'!EA_Pole1,0)))</f>
        <v>1+543279.356080541i</v>
      </c>
      <c r="X550" s="734">
        <f t="shared" si="433"/>
        <v>543279.35608146142</v>
      </c>
      <c r="Y550" s="735">
        <f t="shared" si="434"/>
        <v>1.570794486121238</v>
      </c>
      <c r="Z550" s="340" t="str">
        <f>IMSUM(COMPLEX(1,0),IMDIV(COMPLEX(0,2*PI()*D550),COMPLEX(2*PI()*'Stability Calculations'!EA_Zero1,0)))</f>
        <v>1+5379.00352554991i</v>
      </c>
      <c r="AA550" s="734">
        <f t="shared" si="435"/>
        <v>5379.003618503928</v>
      </c>
      <c r="AB550" s="735">
        <f t="shared" si="436"/>
        <v>1.5706104187575196</v>
      </c>
      <c r="AC550" s="733" t="str">
        <f>IMSUM(COMPLEX(1,0),IMDIV(COMPLEX(0,2*PI()*D550),COMPLEX(2*PI()*'Stability Calculations'!EA_Pole2,0)))</f>
        <v>1+54.1851560247299i</v>
      </c>
      <c r="AD550" s="734">
        <f t="shared" si="437"/>
        <v>54.194382858598203</v>
      </c>
      <c r="AE550" s="735">
        <f t="shared" si="438"/>
        <v>1.5523431827125702</v>
      </c>
      <c r="AF550" s="732" t="str">
        <f t="shared" si="439"/>
        <v>0.0200247936734919-1.09598126456275i</v>
      </c>
      <c r="AG550" s="337">
        <f t="shared" si="440"/>
        <v>1.0961641868963932</v>
      </c>
      <c r="AH550" s="730">
        <f t="shared" si="441"/>
        <v>-1.5525272500762888</v>
      </c>
      <c r="AI550" s="731" t="str">
        <f t="shared" si="419"/>
        <v>10000</v>
      </c>
      <c r="AJ550" s="733" t="str">
        <f t="shared" si="442"/>
        <v>1+506485.896165076i</v>
      </c>
      <c r="AK550" s="734">
        <f t="shared" si="443"/>
        <v>506485.8961660632</v>
      </c>
      <c r="AL550" s="735">
        <f t="shared" si="444"/>
        <v>1.570794352406256</v>
      </c>
      <c r="AM550" s="340" t="str">
        <f t="shared" si="445"/>
        <v>1+859.564763382876i</v>
      </c>
      <c r="AN550" s="734">
        <f t="shared" si="446"/>
        <v>859.56534507241486</v>
      </c>
      <c r="AO550" s="735">
        <f t="shared" si="447"/>
        <v>1.5696329478484234</v>
      </c>
      <c r="AP550" s="733" t="str">
        <f t="shared" si="448"/>
        <v>1+41.6903078711132i</v>
      </c>
      <c r="AQ550" s="734">
        <f t="shared" si="449"/>
        <v>41.702299341741373</v>
      </c>
      <c r="AR550" s="735">
        <f t="shared" si="450"/>
        <v>1.5468145349846609</v>
      </c>
      <c r="AS550" s="732" t="str">
        <f t="shared" si="451"/>
        <v>0.000373721869722314-2.73394170654355i</v>
      </c>
      <c r="AT550" s="337">
        <f t="shared" si="452"/>
        <v>2.7339417320868953</v>
      </c>
      <c r="AU550" s="730">
        <f t="shared" si="453"/>
        <v>-1.5706596297078665</v>
      </c>
      <c r="AV550" s="732" t="str">
        <f t="shared" si="454"/>
        <v>-0.0387101873076158+0.0229540276956039i</v>
      </c>
      <c r="AW550" s="337">
        <f t="shared" si="455"/>
        <v>-26.934964872284397</v>
      </c>
      <c r="AX550" s="730">
        <f t="shared" si="456"/>
        <v>149.33327836179126</v>
      </c>
      <c r="AY550" s="360">
        <f t="shared" si="457"/>
        <v>-30.666721638208742</v>
      </c>
      <c r="BB550" s="337">
        <f t="shared" si="458"/>
        <v>-31.264214913892051</v>
      </c>
      <c r="BC550" s="730">
        <f t="shared" si="459"/>
        <v>-89.992167833841449</v>
      </c>
      <c r="BD550" s="351"/>
      <c r="BE550" s="337">
        <f t="shared" si="420"/>
        <v>24.527045538898381</v>
      </c>
      <c r="BF550" s="730">
        <f t="shared" si="421"/>
        <v>-89.820395034155624</v>
      </c>
      <c r="BI550" s="351"/>
      <c r="BJ550" s="351"/>
      <c r="BL550" s="405">
        <f t="shared" si="422"/>
        <v>0</v>
      </c>
      <c r="BM550" s="405">
        <f t="shared" si="460"/>
        <v>0</v>
      </c>
      <c r="BN550" s="405">
        <f t="shared" si="423"/>
        <v>0</v>
      </c>
      <c r="BO550" s="405">
        <f t="shared" si="424"/>
        <v>0</v>
      </c>
    </row>
    <row r="551" spans="4:67" ht="13.5" thickBot="1" x14ac:dyDescent="0.25">
      <c r="D551" s="345">
        <v>86105</v>
      </c>
      <c r="E551" s="340" t="str">
        <f t="shared" si="411"/>
        <v>1.4282760911092i</v>
      </c>
      <c r="F551" s="728" t="str">
        <f t="shared" si="425"/>
        <v>0.005-0.0303013463531269i</v>
      </c>
      <c r="G551" s="337" t="str">
        <f t="shared" si="426"/>
        <v>0.005-0.0473944135266857i</v>
      </c>
      <c r="H551" s="338" t="str">
        <f t="shared" si="427"/>
        <v>0.00680043664526621-0.0469366169857624i</v>
      </c>
      <c r="I551" s="338" t="str">
        <f t="shared" si="428"/>
        <v>0.0168004366452662-0.0469366169857624i</v>
      </c>
      <c r="J551" s="337" t="str">
        <f t="shared" si="429"/>
        <v>0.00438943715283983-0.0185651212082154i</v>
      </c>
      <c r="K551" s="338" t="str">
        <f t="shared" si="412"/>
        <v>0.917621433055555-0.450844725728915i</v>
      </c>
      <c r="L551" s="732"/>
      <c r="M551" s="732" t="str">
        <f t="shared" si="413"/>
        <v>0.0521262483789177-16.7408580191203i</v>
      </c>
      <c r="N551" s="337">
        <f t="shared" si="414"/>
        <v>0</v>
      </c>
      <c r="O551" s="730" t="str">
        <f t="shared" si="415"/>
        <v>-0.693357826395887-6.36855739345318i</v>
      </c>
      <c r="P551" s="731" t="str">
        <f t="shared" si="416"/>
        <v>-0.310567253363221-0.0744506742788276i</v>
      </c>
      <c r="Q551" s="729" t="str">
        <f t="shared" si="417"/>
        <v>-0.303633675099262-0.010765100344296i</v>
      </c>
      <c r="R551" s="730"/>
      <c r="S551" s="405" t="str">
        <f t="shared" si="430"/>
        <v>35.4013266081053-16.8901667397678i</v>
      </c>
      <c r="T551" s="405" t="str">
        <f t="shared" si="431"/>
        <v>12.7431356345324-7.93125626161429i</v>
      </c>
      <c r="U551" s="405" t="str">
        <f t="shared" si="432"/>
        <v>-0.285607450822647-0.652055682200149i</v>
      </c>
      <c r="V551" s="731" t="str">
        <f t="shared" si="418"/>
        <v>6000</v>
      </c>
      <c r="W551" s="733" t="str">
        <f>IMSUM(COMPLEX(1,0),IMDIV(COMPLEX(0,2*PI()*D551),COMPLEX(2*PI()*'Stability Calculations'!EA_Pole1,0)))</f>
        <v>1+546423.807583445i</v>
      </c>
      <c r="X551" s="734">
        <f t="shared" si="433"/>
        <v>546423.80758436001</v>
      </c>
      <c r="Y551" s="735">
        <f t="shared" si="434"/>
        <v>1.5707944967135823</v>
      </c>
      <c r="Z551" s="340" t="str">
        <f>IMSUM(COMPLEX(1,0),IMDIV(COMPLEX(0,2*PI()*D551),COMPLEX(2*PI()*'Stability Calculations'!EA_Zero1,0)))</f>
        <v>1+5410.13670874698i</v>
      </c>
      <c r="AA551" s="734">
        <f t="shared" si="435"/>
        <v>5410.1368011660852</v>
      </c>
      <c r="AB551" s="735">
        <f t="shared" si="436"/>
        <v>1.5706114885842475</v>
      </c>
      <c r="AC551" s="733" t="str">
        <f>IMSUM(COMPLEX(1,0),IMDIV(COMPLEX(0,2*PI()*D551),COMPLEX(2*PI()*'Stability Calculations'!EA_Pole2,0)))</f>
        <v>1+54.4987747797775i</v>
      </c>
      <c r="AD551" s="734">
        <f t="shared" si="437"/>
        <v>54.507948525851816</v>
      </c>
      <c r="AE551" s="735">
        <f t="shared" si="438"/>
        <v>1.552449349313999</v>
      </c>
      <c r="AF551" s="732" t="str">
        <f t="shared" si="439"/>
        <v>0.0197950647170988-1.08967854395278i</v>
      </c>
      <c r="AG551" s="337">
        <f t="shared" si="440"/>
        <v>1.0898583273702158</v>
      </c>
      <c r="AH551" s="730">
        <f t="shared" si="441"/>
        <v>-1.5526323574433336</v>
      </c>
      <c r="AI551" s="731" t="str">
        <f t="shared" si="419"/>
        <v>10000</v>
      </c>
      <c r="AJ551" s="733" t="str">
        <f t="shared" si="442"/>
        <v>1+509417.390468276i</v>
      </c>
      <c r="AK551" s="734">
        <f t="shared" si="443"/>
        <v>509417.3904692576</v>
      </c>
      <c r="AL551" s="735">
        <f t="shared" si="444"/>
        <v>1.5707943637680768</v>
      </c>
      <c r="AM551" s="340" t="str">
        <f t="shared" si="445"/>
        <v>1+864.539846057767i</v>
      </c>
      <c r="AN551" s="734">
        <f t="shared" si="446"/>
        <v>864.54042439991633</v>
      </c>
      <c r="AO551" s="735">
        <f t="shared" si="447"/>
        <v>1.5696396426251766</v>
      </c>
      <c r="AP551" s="733" t="str">
        <f t="shared" si="448"/>
        <v>1+41.9316075814273i</v>
      </c>
      <c r="AQ551" s="734">
        <f t="shared" si="449"/>
        <v>41.943530065587133</v>
      </c>
      <c r="AR551" s="735">
        <f t="shared" si="450"/>
        <v>1.5469524881982257</v>
      </c>
      <c r="AS551" s="732" t="str">
        <f t="shared" si="451"/>
        <v>0.000369433004574322-2.71820896087951i</v>
      </c>
      <c r="AT551" s="337">
        <f t="shared" si="452"/>
        <v>2.718208985984413</v>
      </c>
      <c r="AU551" s="730">
        <f t="shared" si="453"/>
        <v>-1.5706604163451789</v>
      </c>
      <c r="AV551" s="732" t="str">
        <f t="shared" si="454"/>
        <v>-0.0381746939246266+0.022801315320547i</v>
      </c>
      <c r="AW551" s="337">
        <f t="shared" si="455"/>
        <v>-27.039478086889122</v>
      </c>
      <c r="AX551" s="730">
        <f t="shared" si="456"/>
        <v>149.1506029185613</v>
      </c>
      <c r="AY551" s="360">
        <f t="shared" si="457"/>
        <v>-30.849397081438696</v>
      </c>
      <c r="BB551" s="337">
        <f t="shared" si="458"/>
        <v>-31.314343122999876</v>
      </c>
      <c r="BC551" s="730">
        <f t="shared" si="459"/>
        <v>-89.992212904839462</v>
      </c>
      <c r="BD551" s="351"/>
      <c r="BE551" s="337">
        <f t="shared" si="420"/>
        <v>24.475596368002069</v>
      </c>
      <c r="BF551" s="730">
        <f t="shared" si="421"/>
        <v>-89.821597890702435</v>
      </c>
      <c r="BI551" s="351"/>
      <c r="BJ551" s="351"/>
      <c r="BL551" s="405">
        <f t="shared" si="422"/>
        <v>0</v>
      </c>
      <c r="BM551" s="405">
        <f t="shared" si="460"/>
        <v>0</v>
      </c>
      <c r="BN551" s="405">
        <f t="shared" si="423"/>
        <v>0</v>
      </c>
      <c r="BO551" s="405">
        <f t="shared" si="424"/>
        <v>0</v>
      </c>
    </row>
    <row r="552" spans="4:67" ht="13.5" thickBot="1" x14ac:dyDescent="0.25">
      <c r="D552" s="345">
        <v>86600.5</v>
      </c>
      <c r="E552" s="340" t="str">
        <f t="shared" si="411"/>
        <v>1.43649525147323i</v>
      </c>
      <c r="F552" s="728" t="str">
        <f t="shared" si="425"/>
        <v>0.005-0.0301279718677836i</v>
      </c>
      <c r="G552" s="337" t="str">
        <f t="shared" si="426"/>
        <v>0.005-0.0471232380496102i</v>
      </c>
      <c r="H552" s="338" t="str">
        <f t="shared" si="427"/>
        <v>0.00677968992036098-0.0466688611337021i</v>
      </c>
      <c r="I552" s="338" t="str">
        <f t="shared" si="428"/>
        <v>0.016779689920361-0.0466688611337021i</v>
      </c>
      <c r="J552" s="337" t="str">
        <f t="shared" si="429"/>
        <v>0.00438599418801386-0.0184599445541705i</v>
      </c>
      <c r="K552" s="338" t="str">
        <f t="shared" si="412"/>
        <v>0.916670593330556-0.453439157662005i</v>
      </c>
      <c r="L552" s="732"/>
      <c r="M552" s="732" t="str">
        <f t="shared" si="413"/>
        <v>0.0514756467125879-16.6425857755175i</v>
      </c>
      <c r="N552" s="337">
        <f t="shared" si="414"/>
        <v>0</v>
      </c>
      <c r="O552" s="730" t="str">
        <f t="shared" si="415"/>
        <v>-0.691341156162602-6.32959410967631i</v>
      </c>
      <c r="P552" s="731" t="str">
        <f t="shared" si="416"/>
        <v>-0.306995438766774-0.0739445220691461i</v>
      </c>
      <c r="Q552" s="729" t="str">
        <f t="shared" si="417"/>
        <v>-0.300082027205148-0.0106485809723831i</v>
      </c>
      <c r="R552" s="730"/>
      <c r="S552" s="405" t="str">
        <f t="shared" si="430"/>
        <v>35.3445991295019-16.9828668603113i</v>
      </c>
      <c r="T552" s="405" t="str">
        <f t="shared" si="431"/>
        <v>12.7123231046598-7.96656282335706i</v>
      </c>
      <c r="U552" s="405" t="str">
        <f t="shared" si="432"/>
        <v>-0.28560480529913-0.647280467331556i</v>
      </c>
      <c r="V552" s="731" t="str">
        <f t="shared" si="418"/>
        <v>6000</v>
      </c>
      <c r="W552" s="733" t="str">
        <f>IMSUM(COMPLEX(1,0),IMDIV(COMPLEX(0,2*PI()*D552),COMPLEX(2*PI()*'Stability Calculations'!EA_Pole1,0)))</f>
        <v>1+549568.25908635i</v>
      </c>
      <c r="X552" s="734">
        <f t="shared" si="433"/>
        <v>549568.25908725988</v>
      </c>
      <c r="Y552" s="735">
        <f t="shared" si="434"/>
        <v>1.5707945071847145</v>
      </c>
      <c r="Z552" s="340" t="str">
        <f>IMSUM(COMPLEX(1,0),IMDIV(COMPLEX(0,2*PI()*D552),COMPLEX(2*PI()*'Stability Calculations'!EA_Zero1,0)))</f>
        <v>1+5441.26989194406i</v>
      </c>
      <c r="AA552" s="734">
        <f t="shared" si="435"/>
        <v>5441.2699838343733</v>
      </c>
      <c r="AB552" s="735">
        <f t="shared" si="436"/>
        <v>1.5706125461685723</v>
      </c>
      <c r="AC552" s="733" t="str">
        <f>IMSUM(COMPLEX(1,0),IMDIV(COMPLEX(0,2*PI()*D552),COMPLEX(2*PI()*'Stability Calculations'!EA_Pole2,0)))</f>
        <v>1+54.8123935348252i</v>
      </c>
      <c r="AD552" s="734">
        <f t="shared" si="437"/>
        <v>54.821514800455375</v>
      </c>
      <c r="AE552" s="735">
        <f t="shared" si="438"/>
        <v>1.5525543014202174</v>
      </c>
      <c r="AF552" s="732" t="str">
        <f t="shared" si="439"/>
        <v>0.0195692660231917-1.08344787588913i</v>
      </c>
      <c r="AG552" s="337">
        <f t="shared" si="440"/>
        <v>1.0836245917942957</v>
      </c>
      <c r="AH552" s="730">
        <f t="shared" si="441"/>
        <v>-1.5527362624363599</v>
      </c>
      <c r="AI552" s="731" t="str">
        <f t="shared" si="419"/>
        <v>10000</v>
      </c>
      <c r="AJ552" s="733" t="str">
        <f t="shared" si="442"/>
        <v>1+512348.884771476i</v>
      </c>
      <c r="AK552" s="734">
        <f t="shared" si="443"/>
        <v>512348.88477245183</v>
      </c>
      <c r="AL552" s="735">
        <f t="shared" si="444"/>
        <v>1.5707943749998801</v>
      </c>
      <c r="AM552" s="340" t="str">
        <f t="shared" si="445"/>
        <v>1+869.514928732661i</v>
      </c>
      <c r="AN552" s="734">
        <f t="shared" si="446"/>
        <v>869.51550376572607</v>
      </c>
      <c r="AO552" s="735">
        <f t="shared" si="447"/>
        <v>1.5696462607913451</v>
      </c>
      <c r="AP552" s="733" t="str">
        <f t="shared" si="448"/>
        <v>1+42.1729072917415i</v>
      </c>
      <c r="AQ552" s="734">
        <f t="shared" si="449"/>
        <v>42.184761578534776</v>
      </c>
      <c r="AR552" s="735">
        <f t="shared" si="450"/>
        <v>1.5470888636568403</v>
      </c>
      <c r="AS552" s="732" t="str">
        <f t="shared" si="451"/>
        <v>0.000365217547101376-2.70265625055124i</v>
      </c>
      <c r="AT552" s="337">
        <f t="shared" si="452"/>
        <v>2.7026562752276777</v>
      </c>
      <c r="AU552" s="730">
        <f t="shared" si="453"/>
        <v>-1.570661193980724</v>
      </c>
      <c r="AV552" s="732" t="str">
        <f t="shared" si="454"/>
        <v>-0.0376484664670886+0.0226501579043161i</v>
      </c>
      <c r="AW552" s="337">
        <f t="shared" si="455"/>
        <v>-27.143444389494441</v>
      </c>
      <c r="AX552" s="730">
        <f t="shared" si="456"/>
        <v>148.9679450758629</v>
      </c>
      <c r="AY552" s="360">
        <f t="shared" si="457"/>
        <v>-31.0320549241371</v>
      </c>
      <c r="BB552" s="337">
        <f t="shared" si="458"/>
        <v>-31.364183690273432</v>
      </c>
      <c r="BC552" s="730">
        <f t="shared" si="459"/>
        <v>-89.992257460074185</v>
      </c>
      <c r="BD552" s="351"/>
      <c r="BE552" s="337">
        <f t="shared" si="420"/>
        <v>24.424457626909902</v>
      </c>
      <c r="BF552" s="730">
        <f t="shared" si="421"/>
        <v>-89.822784275290218</v>
      </c>
      <c r="BI552" s="351"/>
      <c r="BJ552" s="351"/>
      <c r="BL552" s="405">
        <f t="shared" si="422"/>
        <v>0</v>
      </c>
      <c r="BM552" s="405">
        <f t="shared" si="460"/>
        <v>0</v>
      </c>
      <c r="BN552" s="405">
        <f t="shared" si="423"/>
        <v>0</v>
      </c>
      <c r="BO552" s="405">
        <f t="shared" si="424"/>
        <v>0</v>
      </c>
    </row>
    <row r="553" spans="4:67" ht="13.5" thickBot="1" x14ac:dyDescent="0.25">
      <c r="D553" s="345">
        <v>87096</v>
      </c>
      <c r="E553" s="340" t="str">
        <f t="shared" si="411"/>
        <v>1.44471441183726i</v>
      </c>
      <c r="F553" s="728" t="str">
        <f t="shared" si="425"/>
        <v>0.005-0.0299565700805547i</v>
      </c>
      <c r="G553" s="337" t="str">
        <f t="shared" si="426"/>
        <v>0.005-0.0468551480747137i</v>
      </c>
      <c r="H553" s="338" t="str">
        <f t="shared" si="427"/>
        <v>0.00675929558588888-0.0464041383590811i</v>
      </c>
      <c r="I553" s="338" t="str">
        <f t="shared" si="428"/>
        <v>0.0167592955858889-0.0464041383590811i</v>
      </c>
      <c r="J553" s="337" t="str">
        <f t="shared" si="429"/>
        <v>0.00438260429971658-0.0183559680873533i</v>
      </c>
      <c r="K553" s="338" t="str">
        <f t="shared" si="412"/>
        <v>0.9157142976-0.456033589595094i</v>
      </c>
      <c r="L553" s="732"/>
      <c r="M553" s="732" t="str">
        <f t="shared" si="413"/>
        <v>0.0508373388340257-16.5454744587316i</v>
      </c>
      <c r="N553" s="337">
        <f t="shared" si="414"/>
        <v>0</v>
      </c>
      <c r="O553" s="730" t="str">
        <f t="shared" si="415"/>
        <v>-0.689350475718643-6.29108487202121i</v>
      </c>
      <c r="P553" s="731" t="str">
        <f t="shared" si="416"/>
        <v>-0.303485401214836-0.073445436072971i</v>
      </c>
      <c r="Q553" s="729" t="str">
        <f t="shared" si="417"/>
        <v>-0.29659189645765-0.0105345873527587i</v>
      </c>
      <c r="R553" s="730"/>
      <c r="S553" s="405" t="str">
        <f t="shared" si="430"/>
        <v>35.2875466156362-17.0753450915156i</v>
      </c>
      <c r="T553" s="405" t="str">
        <f t="shared" si="431"/>
        <v>12.6813689551301-8.00174208463337i</v>
      </c>
      <c r="U553" s="405" t="str">
        <f t="shared" si="432"/>
        <v>-0.285596825607572-0.642554139528497i</v>
      </c>
      <c r="V553" s="731" t="str">
        <f t="shared" si="418"/>
        <v>6000</v>
      </c>
      <c r="W553" s="733" t="str">
        <f>IMSUM(COMPLEX(1,0),IMDIV(COMPLEX(0,2*PI()*D553),COMPLEX(2*PI()*'Stability Calculations'!EA_Pole1,0)))</f>
        <v>1+552712.710589254i</v>
      </c>
      <c r="X553" s="734">
        <f t="shared" si="433"/>
        <v>552712.71059015871</v>
      </c>
      <c r="Y553" s="735">
        <f t="shared" si="434"/>
        <v>1.5707945175367037</v>
      </c>
      <c r="Z553" s="340" t="str">
        <f>IMSUM(COMPLEX(1,0),IMDIV(COMPLEX(0,2*PI()*D553),COMPLEX(2*PI()*'Stability Calculations'!EA_Zero1,0)))</f>
        <v>1+5472.40307514113i</v>
      </c>
      <c r="AA553" s="734">
        <f t="shared" si="435"/>
        <v>5472.4031665086677</v>
      </c>
      <c r="AB553" s="735">
        <f t="shared" si="436"/>
        <v>1.5706135917194393</v>
      </c>
      <c r="AC553" s="733" t="str">
        <f>IMSUM(COMPLEX(1,0),IMDIV(COMPLEX(0,2*PI()*D553),COMPLEX(2*PI()*'Stability Calculations'!EA_Pole2,0)))</f>
        <v>1+55.1260122898729i</v>
      </c>
      <c r="AD553" s="734">
        <f t="shared" si="437"/>
        <v>55.135081672046319</v>
      </c>
      <c r="AE553" s="735">
        <f t="shared" si="438"/>
        <v>1.5526580597502988</v>
      </c>
      <c r="AF553" s="732" t="str">
        <f t="shared" si="439"/>
        <v>0.0193473084568419-1.07728803224097i</v>
      </c>
      <c r="AG553" s="337">
        <f t="shared" si="440"/>
        <v>1.0774617500190644</v>
      </c>
      <c r="AH553" s="730">
        <f t="shared" si="441"/>
        <v>-1.5528389855675635</v>
      </c>
      <c r="AI553" s="731" t="str">
        <f t="shared" si="419"/>
        <v>10000</v>
      </c>
      <c r="AJ553" s="733" t="str">
        <f t="shared" si="442"/>
        <v>1+515280.379074676i</v>
      </c>
      <c r="AK553" s="734">
        <f t="shared" si="443"/>
        <v>515280.3790756464</v>
      </c>
      <c r="AL553" s="735">
        <f t="shared" si="444"/>
        <v>1.5707943861038853</v>
      </c>
      <c r="AM553" s="340" t="str">
        <f t="shared" si="445"/>
        <v>1+874.490011407552i</v>
      </c>
      <c r="AN553" s="734">
        <f t="shared" si="446"/>
        <v>874.49058316918433</v>
      </c>
      <c r="AO553" s="735">
        <f t="shared" si="447"/>
        <v>1.5696528036544679</v>
      </c>
      <c r="AP553" s="733" t="str">
        <f t="shared" si="448"/>
        <v>1+42.4142070020556i</v>
      </c>
      <c r="AQ553" s="734">
        <f t="shared" si="449"/>
        <v>42.425993867123751</v>
      </c>
      <c r="AR553" s="735">
        <f t="shared" si="450"/>
        <v>1.5472236882685189</v>
      </c>
      <c r="AS553" s="732" t="str">
        <f t="shared" si="451"/>
        <v>0.000361073831562836-2.68728050282854i</v>
      </c>
      <c r="AT553" s="337">
        <f t="shared" si="452"/>
        <v>2.687280527086207</v>
      </c>
      <c r="AU553" s="730">
        <f t="shared" si="453"/>
        <v>-1.570661962768138</v>
      </c>
      <c r="AV553" s="732" t="str">
        <f t="shared" si="454"/>
        <v>-0.037131295340105+0.0225005303570986i</v>
      </c>
      <c r="AW553" s="337">
        <f t="shared" si="455"/>
        <v>-27.246870419157901</v>
      </c>
      <c r="AX553" s="730">
        <f t="shared" si="456"/>
        <v>148.78530462493566</v>
      </c>
      <c r="AY553" s="360">
        <f t="shared" si="457"/>
        <v>-31.214695375064338</v>
      </c>
      <c r="BB553" s="337">
        <f t="shared" si="458"/>
        <v>-31.413739897936455</v>
      </c>
      <c r="BC553" s="730">
        <f t="shared" si="459"/>
        <v>-89.992301508348348</v>
      </c>
      <c r="BD553" s="351"/>
      <c r="BE553" s="337">
        <f t="shared" si="420"/>
        <v>24.373625510956593</v>
      </c>
      <c r="BF553" s="730">
        <f t="shared" si="421"/>
        <v>-89.823954532223269</v>
      </c>
      <c r="BI553" s="351"/>
      <c r="BJ553" s="351"/>
      <c r="BL553" s="405">
        <f t="shared" si="422"/>
        <v>0</v>
      </c>
      <c r="BM553" s="405">
        <f t="shared" si="460"/>
        <v>0</v>
      </c>
      <c r="BN553" s="405">
        <f t="shared" si="423"/>
        <v>0</v>
      </c>
      <c r="BO553" s="405">
        <f t="shared" si="424"/>
        <v>0</v>
      </c>
    </row>
    <row r="554" spans="4:67" ht="13.5" thickBot="1" x14ac:dyDescent="0.25">
      <c r="D554" s="345">
        <v>87603.25</v>
      </c>
      <c r="E554" s="340" t="str">
        <f t="shared" si="411"/>
        <v>1.45312847660952i</v>
      </c>
      <c r="F554" s="728" t="str">
        <f t="shared" si="425"/>
        <v>0.005-0.0297831122445342i</v>
      </c>
      <c r="G554" s="337" t="str">
        <f t="shared" si="426"/>
        <v>0.005-0.0465838422286304i</v>
      </c>
      <c r="H554" s="338" t="str">
        <f t="shared" si="427"/>
        <v>0.00673877437628618-0.0461362265013433i</v>
      </c>
      <c r="I554" s="338" t="str">
        <f t="shared" si="428"/>
        <v>0.0167387743762862-0.0461362265013433i</v>
      </c>
      <c r="J554" s="337" t="str">
        <f t="shared" si="429"/>
        <v>0.0043791877349808-0.0182507479327159i</v>
      </c>
      <c r="K554" s="338" t="str">
        <f t="shared" si="412"/>
        <v>0.914729673215972-0.458689544384317i</v>
      </c>
      <c r="L554" s="732"/>
      <c r="M554" s="732" t="str">
        <f t="shared" si="413"/>
        <v>0.0501963029720122-16.4472412591759i</v>
      </c>
      <c r="N554" s="337">
        <f t="shared" si="414"/>
        <v>0</v>
      </c>
      <c r="O554" s="730" t="str">
        <f t="shared" si="415"/>
        <v>-0.687338866222887-6.25212435103056i</v>
      </c>
      <c r="P554" s="731" t="str">
        <f t="shared" si="416"/>
        <v>-0.299954635375468-0.0729416772691498i</v>
      </c>
      <c r="Q554" s="729" t="str">
        <f t="shared" si="417"/>
        <v>-0.29308124671324-0.0104204337588436i</v>
      </c>
      <c r="R554" s="730"/>
      <c r="S554" s="405" t="str">
        <f t="shared" si="430"/>
        <v>35.2288049409781-17.1697853791825i</v>
      </c>
      <c r="T554" s="405" t="str">
        <f t="shared" si="431"/>
        <v>12.6495347268145-8.03762271812751i</v>
      </c>
      <c r="U554" s="405" t="str">
        <f t="shared" si="432"/>
        <v>-0.285583221766876-0.637765525312101i</v>
      </c>
      <c r="V554" s="731" t="str">
        <f t="shared" si="418"/>
        <v>6000</v>
      </c>
      <c r="W554" s="733" t="str">
        <f>IMSUM(COMPLEX(1,0),IMDIV(COMPLEX(0,2*PI()*D554),COMPLEX(2*PI()*'Stability Calculations'!EA_Pole1,0)))</f>
        <v>1+555931.727793792i</v>
      </c>
      <c r="X554" s="734">
        <f t="shared" si="433"/>
        <v>555931.72779469145</v>
      </c>
      <c r="Y554" s="735">
        <f t="shared" si="434"/>
        <v>1.5707945280128699</v>
      </c>
      <c r="Z554" s="340" t="str">
        <f>IMSUM(COMPLEX(1,0),IMDIV(COMPLEX(0,2*PI()*D554),COMPLEX(2*PI()*'Stability Calculations'!EA_Zero1,0)))</f>
        <v>1+5504.2745326118i</v>
      </c>
      <c r="AA554" s="734">
        <f t="shared" si="435"/>
        <v>5504.2746234502911</v>
      </c>
      <c r="AB554" s="735">
        <f t="shared" si="436"/>
        <v>1.5706146498122038</v>
      </c>
      <c r="AC554" s="733" t="str">
        <f>IMSUM(COMPLEX(1,0),IMDIV(COMPLEX(0,2*PI()*D554),COMPLEX(2*PI()*'Stability Calculations'!EA_Pole2,0)))</f>
        <v>1+55.4470680184257i</v>
      </c>
      <c r="AD554" s="734">
        <f t="shared" si="437"/>
        <v>55.45608489462564</v>
      </c>
      <c r="AE554" s="735">
        <f t="shared" si="438"/>
        <v>1.5527630631102503</v>
      </c>
      <c r="AF554" s="732" t="str">
        <f t="shared" si="439"/>
        <v>0.0191239759320434-1.0710542281084i</v>
      </c>
      <c r="AG554" s="337">
        <f t="shared" si="440"/>
        <v>1.0712249465001875</v>
      </c>
      <c r="AH554" s="730">
        <f t="shared" si="441"/>
        <v>-1.5529429413109164</v>
      </c>
      <c r="AI554" s="731" t="str">
        <f t="shared" si="419"/>
        <v>10000</v>
      </c>
      <c r="AJ554" s="733" t="str">
        <f t="shared" si="442"/>
        <v>1+518281.389135823i</v>
      </c>
      <c r="AK554" s="734">
        <f t="shared" si="443"/>
        <v>518281.38913678774</v>
      </c>
      <c r="AL554" s="735">
        <f t="shared" si="444"/>
        <v>1.5707943973410885</v>
      </c>
      <c r="AM554" s="340" t="str">
        <f t="shared" si="445"/>
        <v>1+879.583070311365i</v>
      </c>
      <c r="AN554" s="734">
        <f t="shared" si="446"/>
        <v>879.58363876232238</v>
      </c>
      <c r="AO554" s="735">
        <f t="shared" si="447"/>
        <v>1.5696594250025537</v>
      </c>
      <c r="AP554" s="733" t="str">
        <f t="shared" si="448"/>
        <v>1+42.6612287539362i</v>
      </c>
      <c r="AQ554" s="734">
        <f t="shared" si="449"/>
        <v>42.672947388195162</v>
      </c>
      <c r="AR554" s="735">
        <f t="shared" si="450"/>
        <v>1.5473601310403875</v>
      </c>
      <c r="AS554" s="732" t="str">
        <f t="shared" si="451"/>
        <v>0.000356904478564491-2.67172031543517i</v>
      </c>
      <c r="AT554" s="337">
        <f t="shared" si="452"/>
        <v>2.671720339273894</v>
      </c>
      <c r="AU554" s="730">
        <f t="shared" si="453"/>
        <v>-1.5706627407775355</v>
      </c>
      <c r="AV554" s="732" t="str">
        <f t="shared" si="454"/>
        <v>-0.036611028714961+0.0223489137116945i</v>
      </c>
      <c r="AW554" s="337">
        <f t="shared" si="455"/>
        <v>-27.352196205337421</v>
      </c>
      <c r="AX554" s="730">
        <f t="shared" si="456"/>
        <v>148.59835095597549</v>
      </c>
      <c r="AY554" s="360">
        <f t="shared" si="457"/>
        <v>-31.401649044024509</v>
      </c>
      <c r="BB554" s="337">
        <f t="shared" si="458"/>
        <v>-31.464180066643564</v>
      </c>
      <c r="BC554" s="730">
        <f t="shared" si="459"/>
        <v>-89.992346085003248</v>
      </c>
      <c r="BD554" s="351"/>
      <c r="BE554" s="337">
        <f t="shared" si="420"/>
        <v>24.321901711798183</v>
      </c>
      <c r="BF554" s="730">
        <f t="shared" si="421"/>
        <v>-89.825136183471884</v>
      </c>
      <c r="BI554" s="351"/>
      <c r="BJ554" s="351"/>
      <c r="BL554" s="405">
        <f t="shared" si="422"/>
        <v>0</v>
      </c>
      <c r="BM554" s="405">
        <f t="shared" si="460"/>
        <v>0</v>
      </c>
      <c r="BN554" s="405">
        <f t="shared" si="423"/>
        <v>0</v>
      </c>
      <c r="BO554" s="405">
        <f t="shared" si="424"/>
        <v>0</v>
      </c>
    </row>
    <row r="555" spans="4:67" ht="13.5" thickBot="1" x14ac:dyDescent="0.25">
      <c r="D555" s="345">
        <v>88110.5</v>
      </c>
      <c r="E555" s="340" t="str">
        <f t="shared" si="411"/>
        <v>1.46154254138177i</v>
      </c>
      <c r="F555" s="728" t="str">
        <f t="shared" si="425"/>
        <v>0.005-0.0296116515935784i</v>
      </c>
      <c r="G555" s="337" t="str">
        <f t="shared" si="426"/>
        <v>0.005-0.0463156601848278i</v>
      </c>
      <c r="H555" s="338" t="str">
        <f t="shared" si="427"/>
        <v>0.00671860588755935-0.0458713859953641i</v>
      </c>
      <c r="I555" s="338" t="str">
        <f t="shared" si="428"/>
        <v>0.0167186058875593-0.0458713859953641i</v>
      </c>
      <c r="J555" s="337" t="str">
        <f t="shared" si="429"/>
        <v>0.00437582425097042-0.0181467428559365i</v>
      </c>
      <c r="K555" s="338" t="str">
        <f t="shared" si="412"/>
        <v>0.913739330997222-0.461345499173539i</v>
      </c>
      <c r="L555" s="732"/>
      <c r="M555" s="732" t="str">
        <f t="shared" si="413"/>
        <v>0.0495674992542718-16.3501813746705i</v>
      </c>
      <c r="N555" s="337">
        <f t="shared" si="414"/>
        <v>0</v>
      </c>
      <c r="O555" s="730" t="str">
        <f t="shared" si="415"/>
        <v>-0.685353202962718-6.21362276525646i</v>
      </c>
      <c r="P555" s="731" t="str">
        <f t="shared" si="416"/>
        <v>-0.296485638388771-0.0724450088300273i</v>
      </c>
      <c r="Q555" s="729" t="str">
        <f t="shared" si="417"/>
        <v>-0.289632106359143-0.0103087811774632i</v>
      </c>
      <c r="R555" s="730"/>
      <c r="S555" s="405" t="str">
        <f t="shared" si="430"/>
        <v>35.1697235308456-17.26399092937i</v>
      </c>
      <c r="T555" s="405" t="str">
        <f t="shared" si="431"/>
        <v>12.6175534027655-8.07336795055188i</v>
      </c>
      <c r="U555" s="405" t="str">
        <f t="shared" si="432"/>
        <v>-0.285564208963951-0.633026439900385i</v>
      </c>
      <c r="V555" s="731" t="str">
        <f t="shared" si="418"/>
        <v>6000</v>
      </c>
      <c r="W555" s="733" t="str">
        <f>IMSUM(COMPLEX(1,0),IMDIV(COMPLEX(0,2*PI()*D555),COMPLEX(2*PI()*'Stability Calculations'!EA_Pole1,0)))</f>
        <v>1+559150.74499833i</v>
      </c>
      <c r="X555" s="734">
        <f t="shared" si="433"/>
        <v>559150.7449992242</v>
      </c>
      <c r="Y555" s="735">
        <f t="shared" si="434"/>
        <v>1.5707945383684143</v>
      </c>
      <c r="Z555" s="340" t="str">
        <f>IMSUM(COMPLEX(1,0),IMDIV(COMPLEX(0,2*PI()*D555),COMPLEX(2*PI()*'Stability Calculations'!EA_Zero1,0)))</f>
        <v>1+5536.14599008247i</v>
      </c>
      <c r="AA555" s="734">
        <f t="shared" si="435"/>
        <v>5536.1460803980062</v>
      </c>
      <c r="AB555" s="735">
        <f t="shared" si="436"/>
        <v>1.5706156957221402</v>
      </c>
      <c r="AC555" s="733" t="str">
        <f>IMSUM(COMPLEX(1,0),IMDIV(COMPLEX(0,2*PI()*D555),COMPLEX(2*PI()*'Stability Calculations'!EA_Pole2,0)))</f>
        <v>1+55.7681237469786i</v>
      </c>
      <c r="AD555" s="734">
        <f t="shared" si="437"/>
        <v>55.777088721609687</v>
      </c>
      <c r="AE555" s="735">
        <f t="shared" si="438"/>
        <v>1.5528668578575058</v>
      </c>
      <c r="AF555" s="732" t="str">
        <f t="shared" si="439"/>
        <v>0.0189044878003014-1.06489213075736i</v>
      </c>
      <c r="AG555" s="337">
        <f t="shared" si="440"/>
        <v>1.0650599184120777</v>
      </c>
      <c r="AH555" s="730">
        <f t="shared" si="441"/>
        <v>-1.5530457005037797</v>
      </c>
      <c r="AI555" s="731" t="str">
        <f t="shared" si="419"/>
        <v>10000</v>
      </c>
      <c r="AJ555" s="733" t="str">
        <f t="shared" si="442"/>
        <v>1+521282.399196969i</v>
      </c>
      <c r="AK555" s="734">
        <f t="shared" si="443"/>
        <v>521282.39919792808</v>
      </c>
      <c r="AL555" s="735">
        <f t="shared" si="444"/>
        <v>1.5707944084489069</v>
      </c>
      <c r="AM555" s="340" t="str">
        <f t="shared" si="445"/>
        <v>1+884.676129215179i</v>
      </c>
      <c r="AN555" s="734">
        <f t="shared" si="446"/>
        <v>884.67669439358019</v>
      </c>
      <c r="AO555" s="735">
        <f t="shared" si="447"/>
        <v>1.5696659701128586</v>
      </c>
      <c r="AP555" s="733" t="str">
        <f t="shared" si="448"/>
        <v>1+42.9082505058168i</v>
      </c>
      <c r="AQ555" s="734">
        <f t="shared" si="449"/>
        <v>42.919901694551072</v>
      </c>
      <c r="AR555" s="735">
        <f t="shared" si="450"/>
        <v>1.54749500367461</v>
      </c>
      <c r="AS555" s="732" t="str">
        <f t="shared" si="451"/>
        <v>0.000352806926678628-2.65633928727108i</v>
      </c>
      <c r="AT555" s="337">
        <f t="shared" si="452"/>
        <v>2.6563393107004525</v>
      </c>
      <c r="AU555" s="730">
        <f t="shared" si="453"/>
        <v>-1.5706635098289712</v>
      </c>
      <c r="AV555" s="732" t="str">
        <f t="shared" si="454"/>
        <v>-0.0360998272846355+0.0221988488405154i</v>
      </c>
      <c r="AW555" s="337">
        <f t="shared" si="455"/>
        <v>-27.456969515314942</v>
      </c>
      <c r="AX555" s="730">
        <f t="shared" si="456"/>
        <v>148.41141511469857</v>
      </c>
      <c r="AY555" s="360">
        <f t="shared" si="457"/>
        <v>-31.588584885301429</v>
      </c>
      <c r="BB555" s="337">
        <f t="shared" si="458"/>
        <v>-31.514329012640619</v>
      </c>
      <c r="BC555" s="730">
        <f t="shared" si="459"/>
        <v>-89.992390148404738</v>
      </c>
      <c r="BD555" s="351"/>
      <c r="BE555" s="337">
        <f t="shared" si="420"/>
        <v>24.270491408699474</v>
      </c>
      <c r="BF555" s="730">
        <f t="shared" si="421"/>
        <v>-89.826301632826272</v>
      </c>
      <c r="BI555" s="351"/>
      <c r="BJ555" s="351"/>
      <c r="BL555" s="405">
        <f t="shared" si="422"/>
        <v>0</v>
      </c>
      <c r="BM555" s="405">
        <f t="shared" si="460"/>
        <v>0</v>
      </c>
      <c r="BN555" s="405">
        <f t="shared" si="423"/>
        <v>0</v>
      </c>
      <c r="BO555" s="405">
        <f t="shared" si="424"/>
        <v>0</v>
      </c>
    </row>
    <row r="556" spans="4:67" ht="13.5" thickBot="1" x14ac:dyDescent="0.25">
      <c r="D556" s="345">
        <v>88617.75</v>
      </c>
      <c r="E556" s="340" t="str">
        <f t="shared" si="411"/>
        <v>1.46995660615403i</v>
      </c>
      <c r="F556" s="728" t="str">
        <f t="shared" si="425"/>
        <v>0.005-0.0294421538318902i</v>
      </c>
      <c r="G556" s="337" t="str">
        <f t="shared" si="426"/>
        <v>0.005-0.0460505483011617i</v>
      </c>
      <c r="H556" s="338" t="str">
        <f t="shared" si="427"/>
        <v>0.00669878208609498-0.0456095644025092i</v>
      </c>
      <c r="I556" s="338" t="str">
        <f t="shared" si="428"/>
        <v>0.016698782086095-0.0456095644025092i</v>
      </c>
      <c r="J556" s="337" t="str">
        <f t="shared" si="429"/>
        <v>0.00437251261599551-0.0180439319871053i</v>
      </c>
      <c r="K556" s="338" t="str">
        <f t="shared" si="412"/>
        <v>0.91274327094375-0.464001453962761i</v>
      </c>
      <c r="L556" s="732"/>
      <c r="M556" s="732" t="str">
        <f t="shared" si="413"/>
        <v>0.0489506138947057-16.254273678246i</v>
      </c>
      <c r="N556" s="337">
        <f t="shared" si="414"/>
        <v>0</v>
      </c>
      <c r="O556" s="730" t="str">
        <f t="shared" si="415"/>
        <v>-0.683392861089946-6.17557187393839i</v>
      </c>
      <c r="P556" s="731" t="str">
        <f t="shared" si="416"/>
        <v>-0.293076971573252-0.0719552782698177i</v>
      </c>
      <c r="Q556" s="729" t="str">
        <f t="shared" si="417"/>
        <v>-0.286243042962353-0.0101995595304333i</v>
      </c>
      <c r="R556" s="730"/>
      <c r="S556" s="405" t="str">
        <f t="shared" si="430"/>
        <v>35.1103028531126-17.3579606033718i</v>
      </c>
      <c r="T556" s="405" t="str">
        <f t="shared" si="431"/>
        <v>12.5854256599472-8.10897678560808i</v>
      </c>
      <c r="U556" s="405" t="str">
        <f t="shared" si="432"/>
        <v>-0.285539874984911-0.62833605059835i</v>
      </c>
      <c r="V556" s="731" t="str">
        <f t="shared" si="418"/>
        <v>6000</v>
      </c>
      <c r="W556" s="733" t="str">
        <f>IMSUM(COMPLEX(1,0),IMDIV(COMPLEX(0,2*PI()*D556),COMPLEX(2*PI()*'Stability Calculations'!EA_Pole1,0)))</f>
        <v>1+562369.762202867i</v>
      </c>
      <c r="X556" s="734">
        <f t="shared" si="433"/>
        <v>562369.76220375602</v>
      </c>
      <c r="Y556" s="735">
        <f t="shared" si="434"/>
        <v>1.5707945486054078</v>
      </c>
      <c r="Z556" s="340" t="str">
        <f>IMSUM(COMPLEX(1,0),IMDIV(COMPLEX(0,2*PI()*D556),COMPLEX(2*PI()*'Stability Calculations'!EA_Zero1,0)))</f>
        <v>1+5568.01744755314i</v>
      </c>
      <c r="AA556" s="734">
        <f t="shared" si="435"/>
        <v>5568.0175373517086</v>
      </c>
      <c r="AB556" s="735">
        <f t="shared" si="436"/>
        <v>1.570616729658453</v>
      </c>
      <c r="AC556" s="733" t="str">
        <f>IMSUM(COMPLEX(1,0),IMDIV(COMPLEX(0,2*PI()*D556),COMPLEX(2*PI()*'Stability Calculations'!EA_Pole2,0)))</f>
        <v>1+56.0891794755314i</v>
      </c>
      <c r="AD556" s="734">
        <f t="shared" si="437"/>
        <v>56.098093142622709</v>
      </c>
      <c r="AE556" s="735">
        <f t="shared" si="438"/>
        <v>1.5529694647375749</v>
      </c>
      <c r="AF556" s="732" t="str">
        <f t="shared" si="439"/>
        <v>0.0186887563392051-1.05880051039811i</v>
      </c>
      <c r="AG556" s="337">
        <f t="shared" si="440"/>
        <v>1.0589654340122743</v>
      </c>
      <c r="AH556" s="730">
        <f t="shared" si="441"/>
        <v>-1.5531472836845295</v>
      </c>
      <c r="AI556" s="731" t="str">
        <f t="shared" si="419"/>
        <v>10000</v>
      </c>
      <c r="AJ556" s="733" t="str">
        <f t="shared" si="442"/>
        <v>1+524283.409258116i</v>
      </c>
      <c r="AK556" s="734">
        <f t="shared" si="443"/>
        <v>524283.40925906965</v>
      </c>
      <c r="AL556" s="735">
        <f t="shared" si="444"/>
        <v>1.5707944194295627</v>
      </c>
      <c r="AM556" s="340" t="str">
        <f t="shared" si="445"/>
        <v>1+889.769188118992i</v>
      </c>
      <c r="AN556" s="734">
        <f t="shared" si="446"/>
        <v>889.76975006230134</v>
      </c>
      <c r="AO556" s="735">
        <f t="shared" si="447"/>
        <v>1.5696724402945406</v>
      </c>
      <c r="AP556" s="733" t="str">
        <f t="shared" si="448"/>
        <v>1+43.1552722576974i</v>
      </c>
      <c r="AQ556" s="734">
        <f t="shared" si="449"/>
        <v>43.166856772713793</v>
      </c>
      <c r="AR556" s="735">
        <f t="shared" si="450"/>
        <v>1.5476283331142349</v>
      </c>
      <c r="AS556" s="732" t="str">
        <f t="shared" si="451"/>
        <v>0.000348779536654669-2.64113434180206i</v>
      </c>
      <c r="AT556" s="337">
        <f t="shared" si="452"/>
        <v>2.6411343648314003</v>
      </c>
      <c r="AU556" s="730">
        <f t="shared" si="453"/>
        <v>-1.5706642700762712</v>
      </c>
      <c r="AV556" s="732" t="str">
        <f t="shared" si="454"/>
        <v>-0.0355974848005133+0.0220503105200799i</v>
      </c>
      <c r="AW556" s="337">
        <f t="shared" si="455"/>
        <v>-27.561197115780374</v>
      </c>
      <c r="AX556" s="730">
        <f t="shared" si="456"/>
        <v>148.22449692125403</v>
      </c>
      <c r="AY556" s="360">
        <f t="shared" si="457"/>
        <v>-31.77550307874597</v>
      </c>
      <c r="BB556" s="337">
        <f t="shared" si="458"/>
        <v>-31.564190079455095</v>
      </c>
      <c r="BC556" s="730">
        <f t="shared" si="459"/>
        <v>-89.992433707366416</v>
      </c>
      <c r="BD556" s="351"/>
      <c r="BE556" s="337">
        <f t="shared" si="420"/>
        <v>24.219390744544903</v>
      </c>
      <c r="BF556" s="730">
        <f t="shared" si="421"/>
        <v>-89.827451219452627</v>
      </c>
      <c r="BI556" s="351"/>
      <c r="BJ556" s="351"/>
      <c r="BL556" s="405">
        <f t="shared" si="422"/>
        <v>0</v>
      </c>
      <c r="BM556" s="405">
        <f t="shared" si="460"/>
        <v>0</v>
      </c>
      <c r="BN556" s="405">
        <f t="shared" si="423"/>
        <v>0</v>
      </c>
      <c r="BO556" s="405">
        <f t="shared" si="424"/>
        <v>0</v>
      </c>
    </row>
    <row r="557" spans="4:67" ht="13.5" thickBot="1" x14ac:dyDescent="0.25">
      <c r="D557" s="345">
        <v>89125</v>
      </c>
      <c r="E557" s="340" t="str">
        <f t="shared" si="411"/>
        <v>1.47837067092629i</v>
      </c>
      <c r="F557" s="728" t="str">
        <f t="shared" si="425"/>
        <v>0.005-0.0292745854444431i</v>
      </c>
      <c r="G557" s="337" t="str">
        <f t="shared" si="426"/>
        <v>0.005-0.0457884541566931i</v>
      </c>
      <c r="H557" s="338" t="str">
        <f t="shared" si="427"/>
        <v>0.00667929516559586-0.0453507104694305i</v>
      </c>
      <c r="I557" s="338" t="str">
        <f t="shared" si="428"/>
        <v>0.0166792951655959-0.0453507104694305i</v>
      </c>
      <c r="J557" s="337" t="str">
        <f t="shared" si="429"/>
        <v>0.00436925163348297-0.0179422949308758i</v>
      </c>
      <c r="K557" s="338" t="str">
        <f t="shared" si="412"/>
        <v>0.911741493055556-0.466657408751984i</v>
      </c>
      <c r="L557" s="732"/>
      <c r="M557" s="732" t="str">
        <f t="shared" si="413"/>
        <v>0.0483453432134236-16.1594975521787i</v>
      </c>
      <c r="N557" s="337">
        <f t="shared" si="414"/>
        <v>0</v>
      </c>
      <c r="O557" s="730" t="str">
        <f t="shared" si="415"/>
        <v>-0.681457233810859-6.13796363539491i</v>
      </c>
      <c r="P557" s="731" t="str">
        <f t="shared" si="416"/>
        <v>-0.28972723804615-0.0714723374825906i</v>
      </c>
      <c r="Q557" s="729" t="str">
        <f t="shared" si="417"/>
        <v>-0.282912665708041-0.0100927011286412i</v>
      </c>
      <c r="R557" s="730"/>
      <c r="S557" s="405" t="str">
        <f t="shared" si="430"/>
        <v>35.0505433850461-17.4516932456487i</v>
      </c>
      <c r="T557" s="405" t="str">
        <f t="shared" si="431"/>
        <v>12.553152181469-8.14444823437468i</v>
      </c>
      <c r="U557" s="405" t="str">
        <f t="shared" si="432"/>
        <v>-0.285510305131715-0.623693543778804i</v>
      </c>
      <c r="V557" s="731" t="str">
        <f t="shared" si="418"/>
        <v>6000</v>
      </c>
      <c r="W557" s="733" t="str">
        <f>IMSUM(COMPLEX(1,0),IMDIV(COMPLEX(0,2*PI()*D557),COMPLEX(2*PI()*'Stability Calculations'!EA_Pole1,0)))</f>
        <v>1+565588.779407405i</v>
      </c>
      <c r="X557" s="734">
        <f t="shared" si="433"/>
        <v>565588.77940828912</v>
      </c>
      <c r="Y557" s="735">
        <f t="shared" si="434"/>
        <v>1.5707945587258747</v>
      </c>
      <c r="Z557" s="340" t="str">
        <f>IMSUM(COMPLEX(1,0),IMDIV(COMPLEX(0,2*PI()*D557),COMPLEX(2*PI()*'Stability Calculations'!EA_Zero1,0)))</f>
        <v>1+5599.88890502381i</v>
      </c>
      <c r="AA557" s="734">
        <f t="shared" si="435"/>
        <v>5599.8889943112945</v>
      </c>
      <c r="AB557" s="735">
        <f t="shared" si="436"/>
        <v>1.5706177518255837</v>
      </c>
      <c r="AC557" s="733" t="str">
        <f>IMSUM(COMPLEX(1,0),IMDIV(COMPLEX(0,2*PI()*D557),COMPLEX(2*PI()*'Stability Calculations'!EA_Pole2,0)))</f>
        <v>1+56.4102352040843i</v>
      </c>
      <c r="AD557" s="734">
        <f t="shared" si="437"/>
        <v>56.419098147525467</v>
      </c>
      <c r="AE557" s="735">
        <f t="shared" si="438"/>
        <v>1.553070904023929</v>
      </c>
      <c r="AF557" s="732" t="str">
        <f t="shared" si="439"/>
        <v>0.0184766963139778-1.05277816519397i</v>
      </c>
      <c r="AG557" s="337">
        <f t="shared" si="440"/>
        <v>1.0529402895776478</v>
      </c>
      <c r="AH557" s="730">
        <f t="shared" si="441"/>
        <v>-1.5532477109242202</v>
      </c>
      <c r="AI557" s="731" t="str">
        <f t="shared" si="419"/>
        <v>10000</v>
      </c>
      <c r="AJ557" s="733" t="str">
        <f t="shared" si="442"/>
        <v>1+527284.419319263i</v>
      </c>
      <c r="AK557" s="734">
        <f t="shared" si="443"/>
        <v>527284.41932021116</v>
      </c>
      <c r="AL557" s="735">
        <f t="shared" si="444"/>
        <v>1.5707944302852268</v>
      </c>
      <c r="AM557" s="340" t="str">
        <f t="shared" si="445"/>
        <v>1+894.862247022805i</v>
      </c>
      <c r="AN557" s="734">
        <f t="shared" si="446"/>
        <v>894.86280576784725</v>
      </c>
      <c r="AO557" s="735">
        <f t="shared" si="447"/>
        <v>1.5696788368269539</v>
      </c>
      <c r="AP557" s="733" t="str">
        <f t="shared" si="448"/>
        <v>1+43.402294009578i</v>
      </c>
      <c r="AQ557" s="734">
        <f t="shared" si="449"/>
        <v>43.41381260951232</v>
      </c>
      <c r="AR557" s="735">
        <f t="shared" si="450"/>
        <v>1.5477601456894812</v>
      </c>
      <c r="AS557" s="732" t="str">
        <f t="shared" si="451"/>
        <v>0.000344820715757422-2.62610247253361i</v>
      </c>
      <c r="AT557" s="337">
        <f t="shared" si="452"/>
        <v>2.6261024951719736</v>
      </c>
      <c r="AU557" s="730">
        <f t="shared" si="453"/>
        <v>-1.5706650216697606</v>
      </c>
      <c r="AV557" s="732" t="str">
        <f t="shared" si="454"/>
        <v>-0.0351038008707595+0.0219032740687787i</v>
      </c>
      <c r="AW557" s="337">
        <f t="shared" si="455"/>
        <v>-27.664885658786382</v>
      </c>
      <c r="AX557" s="730">
        <f t="shared" si="456"/>
        <v>148.03759621012739</v>
      </c>
      <c r="AY557" s="360">
        <f t="shared" si="457"/>
        <v>-31.96240378987261</v>
      </c>
      <c r="BB557" s="337">
        <f t="shared" si="458"/>
        <v>-31.613766553362339</v>
      </c>
      <c r="BC557" s="730">
        <f t="shared" si="459"/>
        <v>-89.99247677050127</v>
      </c>
      <c r="BD557" s="351"/>
      <c r="BE557" s="337">
        <f t="shared" si="420"/>
        <v>24.16859593421713</v>
      </c>
      <c r="BF557" s="730">
        <f t="shared" si="421"/>
        <v>-89.828585273027613</v>
      </c>
      <c r="BI557" s="351"/>
      <c r="BJ557" s="351"/>
      <c r="BL557" s="405">
        <f t="shared" si="422"/>
        <v>0</v>
      </c>
      <c r="BM557" s="405">
        <f t="shared" si="460"/>
        <v>0</v>
      </c>
      <c r="BN557" s="405">
        <f t="shared" si="423"/>
        <v>0</v>
      </c>
      <c r="BO557" s="405">
        <f t="shared" si="424"/>
        <v>0</v>
      </c>
    </row>
    <row r="558" spans="4:67" ht="13.5" thickBot="1" x14ac:dyDescent="0.25">
      <c r="D558" s="345">
        <v>89644</v>
      </c>
      <c r="E558" s="340" t="str">
        <f t="shared" si="411"/>
        <v>1.48697964010677i</v>
      </c>
      <c r="F558" s="728" t="str">
        <f t="shared" si="425"/>
        <v>0.005-0.029105098252376i</v>
      </c>
      <c r="G558" s="337" t="str">
        <f t="shared" si="426"/>
        <v>0.005-0.0455233588049982i</v>
      </c>
      <c r="H558" s="338" t="str">
        <f t="shared" si="427"/>
        <v>0.00665969761276556-0.045088879734343i</v>
      </c>
      <c r="I558" s="338" t="str">
        <f t="shared" si="428"/>
        <v>0.0166596976127656-0.045088879734343i</v>
      </c>
      <c r="J558" s="337" t="str">
        <f t="shared" si="429"/>
        <v>0.00436596632676516-0.0178394976659152i</v>
      </c>
      <c r="K558" s="338" t="str">
        <f t="shared" si="412"/>
        <v>0.910710591822222-0.469374886397339i</v>
      </c>
      <c r="L558" s="732"/>
      <c r="M558" s="732" t="str">
        <f t="shared" si="413"/>
        <v>0.0477377667793123-16.0636762258151i</v>
      </c>
      <c r="N558" s="337">
        <f t="shared" si="414"/>
        <v>0</v>
      </c>
      <c r="O558" s="730" t="str">
        <f t="shared" si="415"/>
        <v>-0.67950173479544-6.09993420208311i</v>
      </c>
      <c r="P558" s="731" t="str">
        <f t="shared" si="416"/>
        <v>-0.286359493054173-0.0709850872650026i</v>
      </c>
      <c r="Q558" s="729" t="str">
        <f t="shared" si="417"/>
        <v>-0.279564475706218-0.00998574524417152i</v>
      </c>
      <c r="R558" s="730"/>
      <c r="S558" s="405" t="str">
        <f t="shared" si="430"/>
        <v>34.9890494963988-17.5473505684201i</v>
      </c>
      <c r="T558" s="405" t="str">
        <f t="shared" si="431"/>
        <v>12.5199809966556-8.18059812744554i</v>
      </c>
      <c r="U558" s="405" t="str">
        <f t="shared" si="432"/>
        <v>-0.285474717568084-0.618992227254808i</v>
      </c>
      <c r="V558" s="731" t="str">
        <f t="shared" si="418"/>
        <v>6000</v>
      </c>
      <c r="W558" s="733" t="str">
        <f>IMSUM(COMPLEX(1,0),IMDIV(COMPLEX(0,2*PI()*D558),COMPLEX(2*PI()*'Stability Calculations'!EA_Pole1,0)))</f>
        <v>1+568882.362313575i</v>
      </c>
      <c r="X558" s="734">
        <f t="shared" si="433"/>
        <v>568882.36231445393</v>
      </c>
      <c r="Y558" s="735">
        <f t="shared" si="434"/>
        <v>1.5707945689622298</v>
      </c>
      <c r="Z558" s="340" t="str">
        <f>IMSUM(COMPLEX(1,0),IMDIV(COMPLEX(0,2*PI()*D558),COMPLEX(2*PI()*'Stability Calculations'!EA_Zero1,0)))</f>
        <v>1+5632.49863676807i</v>
      </c>
      <c r="AA558" s="734">
        <f t="shared" si="435"/>
        <v>5632.4987255386186</v>
      </c>
      <c r="AB558" s="735">
        <f t="shared" si="436"/>
        <v>1.5706187856974225</v>
      </c>
      <c r="AC558" s="733" t="str">
        <f>IMSUM(COMPLEX(1,0),IMDIV(COMPLEX(0,2*PI()*D558),COMPLEX(2*PI()*'Stability Calculations'!EA_Pole2,0)))</f>
        <v>1+56.7387279061423i</v>
      </c>
      <c r="AD558" s="734">
        <f t="shared" si="437"/>
        <v>56.747539544963985</v>
      </c>
      <c r="AE558" s="735">
        <f t="shared" si="438"/>
        <v>1.5531735052499562</v>
      </c>
      <c r="AF558" s="732" t="str">
        <f t="shared" si="439"/>
        <v>0.0182634377146221-1.04668679341808i</v>
      </c>
      <c r="AG558" s="337">
        <f t="shared" si="440"/>
        <v>1.0468461189081124</v>
      </c>
      <c r="AH558" s="730">
        <f t="shared" si="441"/>
        <v>-1.5533492885147637</v>
      </c>
      <c r="AI558" s="731" t="str">
        <f t="shared" si="419"/>
        <v>10000</v>
      </c>
      <c r="AJ558" s="733" t="str">
        <f t="shared" si="442"/>
        <v>1+530354.945138356i</v>
      </c>
      <c r="AK558" s="734">
        <f t="shared" si="443"/>
        <v>530354.9451392988</v>
      </c>
      <c r="AL558" s="735">
        <f t="shared" si="444"/>
        <v>1.5707944412651977</v>
      </c>
      <c r="AM558" s="340" t="str">
        <f t="shared" si="445"/>
        <v>1+900.073282155537i</v>
      </c>
      <c r="AN558" s="734">
        <f t="shared" si="446"/>
        <v>900.07383766568898</v>
      </c>
      <c r="AO558" s="735">
        <f t="shared" si="447"/>
        <v>1.5696853066053518</v>
      </c>
      <c r="AP558" s="733" t="str">
        <f t="shared" si="448"/>
        <v>1+43.6550378030251i</v>
      </c>
      <c r="AQ558" s="734">
        <f t="shared" si="449"/>
        <v>43.666489732786523</v>
      </c>
      <c r="AR558" s="735">
        <f t="shared" si="450"/>
        <v>1.5478934684484393</v>
      </c>
      <c r="AS558" s="732" t="str">
        <f t="shared" si="451"/>
        <v>0.000340839548199592-2.61089847520355i</v>
      </c>
      <c r="AT558" s="337">
        <f t="shared" si="452"/>
        <v>2.6108984974509868</v>
      </c>
      <c r="AU558" s="730">
        <f t="shared" si="453"/>
        <v>-1.5706657818696532</v>
      </c>
      <c r="AV558" s="732" t="str">
        <f t="shared" si="454"/>
        <v>-0.034607439841156+0.0217543609142567i</v>
      </c>
      <c r="AW558" s="337">
        <f t="shared" si="455"/>
        <v>-27.770424944016906</v>
      </c>
      <c r="AX558" s="730">
        <f t="shared" si="456"/>
        <v>147.84638404503463</v>
      </c>
      <c r="AY558" s="360">
        <f t="shared" si="457"/>
        <v>-32.153615954965375</v>
      </c>
      <c r="BB558" s="337">
        <f t="shared" si="458"/>
        <v>-31.664200233811503</v>
      </c>
      <c r="BC558" s="730">
        <f t="shared" si="459"/>
        <v>-89.9925203267467</v>
      </c>
      <c r="BD558" s="351"/>
      <c r="BE558" s="337">
        <f t="shared" si="420"/>
        <v>24.116937195656142</v>
      </c>
      <c r="BF558" s="730">
        <f t="shared" si="421"/>
        <v>-89.829729853270294</v>
      </c>
      <c r="BI558" s="351"/>
      <c r="BJ558" s="351"/>
      <c r="BL558" s="405">
        <f t="shared" si="422"/>
        <v>0</v>
      </c>
      <c r="BM558" s="405">
        <f t="shared" si="460"/>
        <v>0</v>
      </c>
      <c r="BN558" s="405">
        <f t="shared" si="423"/>
        <v>0</v>
      </c>
      <c r="BO558" s="405">
        <f t="shared" si="424"/>
        <v>0</v>
      </c>
    </row>
    <row r="559" spans="4:67" ht="13.5" thickBot="1" x14ac:dyDescent="0.25">
      <c r="D559" s="345">
        <v>90163</v>
      </c>
      <c r="E559" s="340" t="str">
        <f t="shared" si="411"/>
        <v>1.49558860928726i</v>
      </c>
      <c r="F559" s="728" t="str">
        <f t="shared" si="425"/>
        <v>0.005-0.0289375622787173i</v>
      </c>
      <c r="G559" s="337" t="str">
        <f t="shared" si="426"/>
        <v>0.005-0.0452613153590194i</v>
      </c>
      <c r="H559" s="338" t="str">
        <f t="shared" si="427"/>
        <v>0.00664043689117382-0.0448300508419268i</v>
      </c>
      <c r="I559" s="338" t="str">
        <f t="shared" si="428"/>
        <v>0.0166404368911738-0.0448300508419268i</v>
      </c>
      <c r="J559" s="337" t="str">
        <f t="shared" si="429"/>
        <v>0.00436273161951728-0.0177378874911646i</v>
      </c>
      <c r="K559" s="338" t="str">
        <f t="shared" si="412"/>
        <v>0.909673704788889-0.472092364042694i</v>
      </c>
      <c r="L559" s="732"/>
      <c r="M559" s="732" t="str">
        <f t="shared" si="413"/>
        <v>0.0471417368881769-15.9689973995289i</v>
      </c>
      <c r="N559" s="337">
        <f t="shared" si="414"/>
        <v>0</v>
      </c>
      <c r="O559" s="730" t="str">
        <f t="shared" si="415"/>
        <v>-0.677570878705748-6.06235174671825i</v>
      </c>
      <c r="P559" s="731" t="str">
        <f t="shared" si="416"/>
        <v>-0.283050612473424-0.0705046447119748i</v>
      </c>
      <c r="Q559" s="729" t="str">
        <f t="shared" si="417"/>
        <v>-0.276274903686366-0.00988112724479244i</v>
      </c>
      <c r="R559" s="730"/>
      <c r="S559" s="405" t="str">
        <f t="shared" si="430"/>
        <v>34.9272019817311-17.6427572514949i</v>
      </c>
      <c r="T559" s="405" t="str">
        <f t="shared" si="431"/>
        <v>12.4866587127543-8.21660212441022i</v>
      </c>
      <c r="U559" s="405" t="str">
        <f t="shared" si="432"/>
        <v>-0.285433821821523-0.614339372805592i</v>
      </c>
      <c r="V559" s="731" t="str">
        <f t="shared" si="418"/>
        <v>6000</v>
      </c>
      <c r="W559" s="733" t="str">
        <f>IMSUM(COMPLEX(1,0),IMDIV(COMPLEX(0,2*PI()*D559),COMPLEX(2*PI()*'Stability Calculations'!EA_Pole1,0)))</f>
        <v>1+572175.945219745i</v>
      </c>
      <c r="X559" s="734">
        <f t="shared" si="433"/>
        <v>572175.94522061886</v>
      </c>
      <c r="Y559" s="735">
        <f t="shared" si="434"/>
        <v>1.5707945790807392</v>
      </c>
      <c r="Z559" s="340" t="str">
        <f>IMSUM(COMPLEX(1,0),IMDIV(COMPLEX(0,2*PI()*D559),COMPLEX(2*PI()*'Stability Calculations'!EA_Zero1,0)))</f>
        <v>1+5665.10836851233i</v>
      </c>
      <c r="AA559" s="734">
        <f t="shared" si="435"/>
        <v>5665.1084567718945</v>
      </c>
      <c r="AB559" s="735">
        <f t="shared" si="436"/>
        <v>1.5706198076668298</v>
      </c>
      <c r="AC559" s="733" t="str">
        <f>IMSUM(COMPLEX(1,0),IMDIV(COMPLEX(0,2*PI()*D559),COMPLEX(2*PI()*'Stability Calculations'!EA_Pole2,0)))</f>
        <v>1+57.0672206082002i</v>
      </c>
      <c r="AD559" s="734">
        <f t="shared" si="437"/>
        <v>57.075981532909175</v>
      </c>
      <c r="AE559" s="735">
        <f t="shared" si="438"/>
        <v>1.5532749256458145</v>
      </c>
      <c r="AF559" s="732" t="str">
        <f t="shared" si="439"/>
        <v>0.0180538497024047-1.04066548413554i</v>
      </c>
      <c r="AG559" s="337">
        <f t="shared" si="440"/>
        <v>1.040822074785184</v>
      </c>
      <c r="AH559" s="730">
        <f t="shared" si="441"/>
        <v>-1.5534496970597238</v>
      </c>
      <c r="AI559" s="731" t="str">
        <f t="shared" si="419"/>
        <v>10000</v>
      </c>
      <c r="AJ559" s="733" t="str">
        <f t="shared" si="442"/>
        <v>1+533425.470957449i</v>
      </c>
      <c r="AK559" s="734">
        <f t="shared" si="443"/>
        <v>533425.47095838643</v>
      </c>
      <c r="AL559" s="735">
        <f t="shared" si="444"/>
        <v>1.570794452118762</v>
      </c>
      <c r="AM559" s="340" t="str">
        <f t="shared" si="445"/>
        <v>1+905.28431728827i</v>
      </c>
      <c r="AN559" s="734">
        <f t="shared" si="446"/>
        <v>905.28486960077328</v>
      </c>
      <c r="AO559" s="735">
        <f t="shared" si="447"/>
        <v>1.5696917019006276</v>
      </c>
      <c r="AP559" s="733" t="str">
        <f t="shared" si="448"/>
        <v>1+43.9077815964721i</v>
      </c>
      <c r="AQ559" s="734">
        <f t="shared" si="449"/>
        <v>43.919167623299664</v>
      </c>
      <c r="AR559" s="735">
        <f t="shared" si="450"/>
        <v>1.5480252571317596</v>
      </c>
      <c r="AS559" s="732" t="str">
        <f t="shared" si="451"/>
        <v>0.000336926932264269-2.5958695136246i</v>
      </c>
      <c r="AT559" s="337">
        <f t="shared" si="452"/>
        <v>2.5958695354900594</v>
      </c>
      <c r="AU559" s="730">
        <f t="shared" si="453"/>
        <v>-1.5706665333177576</v>
      </c>
      <c r="AV559" s="732" t="str">
        <f t="shared" si="454"/>
        <v>-0.0341197366504493+0.0216069694154034i</v>
      </c>
      <c r="AW559" s="337">
        <f t="shared" si="455"/>
        <v>-27.875413641511596</v>
      </c>
      <c r="AX559" s="730">
        <f t="shared" si="456"/>
        <v>147.65518987585128</v>
      </c>
      <c r="AY559" s="360">
        <f t="shared" si="457"/>
        <v>-32.344810124148722</v>
      </c>
      <c r="BB559" s="337">
        <f t="shared" si="458"/>
        <v>-31.714342766251171</v>
      </c>
      <c r="BC559" s="730">
        <f t="shared" si="459"/>
        <v>-89.992563381551605</v>
      </c>
      <c r="BD559" s="351"/>
      <c r="BE559" s="337">
        <f t="shared" si="420"/>
        <v>24.06559085098905</v>
      </c>
      <c r="BF559" s="730">
        <f t="shared" si="421"/>
        <v>-89.830858841741232</v>
      </c>
      <c r="BI559" s="351"/>
      <c r="BJ559" s="351"/>
      <c r="BL559" s="405">
        <f t="shared" si="422"/>
        <v>0</v>
      </c>
      <c r="BM559" s="405">
        <f t="shared" si="460"/>
        <v>0</v>
      </c>
      <c r="BN559" s="405">
        <f t="shared" si="423"/>
        <v>0</v>
      </c>
      <c r="BO559" s="405">
        <f t="shared" si="424"/>
        <v>0</v>
      </c>
    </row>
    <row r="560" spans="4:67" ht="13.5" thickBot="1" x14ac:dyDescent="0.25">
      <c r="D560" s="345">
        <v>90682</v>
      </c>
      <c r="E560" s="340" t="str">
        <f t="shared" si="411"/>
        <v>1.50419757846774i</v>
      </c>
      <c r="F560" s="728" t="str">
        <f t="shared" si="425"/>
        <v>0.005-0.028771944021261i</v>
      </c>
      <c r="G560" s="337" t="str">
        <f t="shared" si="426"/>
        <v>0.005-0.0450022714178698i</v>
      </c>
      <c r="H560" s="338" t="str">
        <f t="shared" si="427"/>
        <v>0.00662150532925901-0.0445741725334675i</v>
      </c>
      <c r="I560" s="338" t="str">
        <f t="shared" si="428"/>
        <v>0.016621505329259-0.0445741725334675i</v>
      </c>
      <c r="J560" s="337" t="str">
        <f t="shared" si="429"/>
        <v>0.00435954633662874-0.0176374440174479i</v>
      </c>
      <c r="K560" s="338" t="str">
        <f t="shared" si="412"/>
        <v>0.908630831955556-0.474809841688049i</v>
      </c>
      <c r="L560" s="732"/>
      <c r="M560" s="732" t="str">
        <f t="shared" si="413"/>
        <v>0.0465569586265298-15.8754405461764i</v>
      </c>
      <c r="N560" s="337">
        <f t="shared" si="414"/>
        <v>0</v>
      </c>
      <c r="O560" s="730" t="str">
        <f t="shared" si="415"/>
        <v>-0.675664070367995-6.02520826424819i</v>
      </c>
      <c r="P560" s="731" t="str">
        <f t="shared" si="416"/>
        <v>-0.279799226667084-0.0700308644268486i</v>
      </c>
      <c r="Q560" s="729" t="str">
        <f t="shared" si="417"/>
        <v>-0.273042585963404-0.00977878178436665i</v>
      </c>
      <c r="R560" s="730"/>
      <c r="S560" s="405" t="str">
        <f t="shared" si="430"/>
        <v>34.8650013838553-17.737912005223i</v>
      </c>
      <c r="T560" s="405" t="str">
        <f t="shared" si="431"/>
        <v>12.4531860813347-8.25245918945472i</v>
      </c>
      <c r="U560" s="405" t="str">
        <f t="shared" si="432"/>
        <v>-0.285387701732343-0.609734167483258i</v>
      </c>
      <c r="V560" s="731" t="str">
        <f t="shared" si="418"/>
        <v>6000</v>
      </c>
      <c r="W560" s="733" t="str">
        <f>IMSUM(COMPLEX(1,0),IMDIV(COMPLEX(0,2*PI()*D560),COMPLEX(2*PI()*'Stability Calculations'!EA_Pole1,0)))</f>
        <v>1+575469.528125916i</v>
      </c>
      <c r="X560" s="734">
        <f t="shared" si="433"/>
        <v>575469.52812678495</v>
      </c>
      <c r="Y560" s="735">
        <f t="shared" si="434"/>
        <v>1.5707945890834261</v>
      </c>
      <c r="Z560" s="340" t="str">
        <f>IMSUM(COMPLEX(1,0),IMDIV(COMPLEX(0,2*PI()*D560),COMPLEX(2*PI()*'Stability Calculations'!EA_Zero1,0)))</f>
        <v>1+5697.71810025659i</v>
      </c>
      <c r="AA560" s="734">
        <f t="shared" si="435"/>
        <v>5697.7181880110184</v>
      </c>
      <c r="AB560" s="735">
        <f t="shared" si="436"/>
        <v>1.5706208179381691</v>
      </c>
      <c r="AC560" s="733" t="str">
        <f>IMSUM(COMPLEX(1,0),IMDIV(COMPLEX(0,2*PI()*D560),COMPLEX(2*PI()*'Stability Calculations'!EA_Pole2,0)))</f>
        <v>1+57.3957133102582i</v>
      </c>
      <c r="AD560" s="734">
        <f t="shared" si="437"/>
        <v>57.40442410122543</v>
      </c>
      <c r="AE560" s="735">
        <f t="shared" si="438"/>
        <v>1.5533751854779529</v>
      </c>
      <c r="AF560" s="732" t="str">
        <f t="shared" si="439"/>
        <v>0.0178478485294466-1.03471303584016i</v>
      </c>
      <c r="AG560" s="337">
        <f t="shared" si="440"/>
        <v>1.0348669538808792</v>
      </c>
      <c r="AH560" s="730">
        <f t="shared" si="441"/>
        <v>-1.5535489566232101</v>
      </c>
      <c r="AI560" s="731" t="str">
        <f t="shared" si="419"/>
        <v>10000</v>
      </c>
      <c r="AJ560" s="733" t="str">
        <f t="shared" si="442"/>
        <v>1+536495.996776543i</v>
      </c>
      <c r="AK560" s="734">
        <f t="shared" si="443"/>
        <v>536495.996777475</v>
      </c>
      <c r="AL560" s="735">
        <f t="shared" si="444"/>
        <v>1.5707944628480899</v>
      </c>
      <c r="AM560" s="340" t="str">
        <f t="shared" si="445"/>
        <v>1+910.495352421003i</v>
      </c>
      <c r="AN560" s="734">
        <f t="shared" si="446"/>
        <v>910.49590157245984</v>
      </c>
      <c r="AO560" s="735">
        <f t="shared" si="447"/>
        <v>1.5696980239916465</v>
      </c>
      <c r="AP560" s="733" t="str">
        <f t="shared" si="448"/>
        <v>1+44.1605253899192i</v>
      </c>
      <c r="AQ560" s="734">
        <f t="shared" si="449"/>
        <v>44.171846267885364</v>
      </c>
      <c r="AR560" s="735">
        <f t="shared" si="450"/>
        <v>1.5481555380611967</v>
      </c>
      <c r="AS560" s="732" t="str">
        <f t="shared" si="451"/>
        <v>0.000333081303086011-2.5810125824523i</v>
      </c>
      <c r="AT560" s="337">
        <f t="shared" si="452"/>
        <v>2.5810126039444761</v>
      </c>
      <c r="AU560" s="730">
        <f t="shared" si="453"/>
        <v>-1.5706672761643412</v>
      </c>
      <c r="AV560" s="732" t="str">
        <f t="shared" si="454"/>
        <v>-0.0336404944258775+0.0214610748062232i</v>
      </c>
      <c r="AW560" s="337">
        <f t="shared" si="455"/>
        <v>-27.979858520497466</v>
      </c>
      <c r="AX560" s="730">
        <f t="shared" si="456"/>
        <v>147.46401357022873</v>
      </c>
      <c r="AY560" s="360">
        <f t="shared" si="457"/>
        <v>-32.53598642977127</v>
      </c>
      <c r="BB560" s="337">
        <f t="shared" si="458"/>
        <v>-31.764197492926009</v>
      </c>
      <c r="BC560" s="730">
        <f t="shared" si="459"/>
        <v>-89.992605943525675</v>
      </c>
      <c r="BD560" s="351"/>
      <c r="BE560" s="337">
        <f t="shared" si="420"/>
        <v>24.014553068354502</v>
      </c>
      <c r="BF560" s="730">
        <f t="shared" si="421"/>
        <v>-89.831972562819573</v>
      </c>
      <c r="BI560" s="351"/>
      <c r="BJ560" s="351"/>
      <c r="BL560" s="405">
        <f t="shared" si="422"/>
        <v>0</v>
      </c>
      <c r="BM560" s="405">
        <f t="shared" si="460"/>
        <v>0</v>
      </c>
      <c r="BN560" s="405">
        <f t="shared" si="423"/>
        <v>0</v>
      </c>
      <c r="BO560" s="405">
        <f t="shared" si="424"/>
        <v>0</v>
      </c>
    </row>
    <row r="561" spans="4:67" ht="13.5" thickBot="1" x14ac:dyDescent="0.25">
      <c r="D561" s="345">
        <v>91201</v>
      </c>
      <c r="E561" s="340" t="str">
        <f t="shared" si="411"/>
        <v>1.51280654764823i</v>
      </c>
      <c r="F561" s="728" t="str">
        <f t="shared" si="425"/>
        <v>0.005-0.0286082107404084i</v>
      </c>
      <c r="G561" s="337" t="str">
        <f t="shared" si="426"/>
        <v>0.005-0.0447461757734594i</v>
      </c>
      <c r="H561" s="338" t="str">
        <f t="shared" si="427"/>
        <v>0.00660289547253178-0.0443211947090978i</v>
      </c>
      <c r="I561" s="338" t="str">
        <f t="shared" si="428"/>
        <v>0.0166028954725318-0.0443211947090978i</v>
      </c>
      <c r="J561" s="337" t="str">
        <f t="shared" si="429"/>
        <v>0.00435640933651082-0.017538147319186i</v>
      </c>
      <c r="K561" s="338" t="str">
        <f t="shared" si="412"/>
        <v>0.907581973322222-0.477527319333404i</v>
      </c>
      <c r="L561" s="732"/>
      <c r="M561" s="732" t="str">
        <f t="shared" si="413"/>
        <v>0.0459831465379425-15.7829856321433i</v>
      </c>
      <c r="N561" s="337">
        <f t="shared" si="414"/>
        <v>0</v>
      </c>
      <c r="O561" s="730" t="str">
        <f t="shared" si="415"/>
        <v>-0.673780731835706-5.98849594249927i</v>
      </c>
      <c r="P561" s="731" t="str">
        <f t="shared" si="416"/>
        <v>-0.276604005744225-0.069563605164067i</v>
      </c>
      <c r="Q561" s="729" t="str">
        <f t="shared" si="417"/>
        <v>-0.269866198425868-0.00967864573907444i</v>
      </c>
      <c r="R561" s="730"/>
      <c r="S561" s="405" t="str">
        <f t="shared" si="430"/>
        <v>34.8024482565889-17.8328135233502i</v>
      </c>
      <c r="T561" s="405" t="str">
        <f t="shared" si="431"/>
        <v>12.4195638606392-8.28816829449934i</v>
      </c>
      <c r="U561" s="405" t="str">
        <f t="shared" si="432"/>
        <v>-0.285336438776041-0.60517581697679i</v>
      </c>
      <c r="V561" s="731" t="str">
        <f t="shared" si="418"/>
        <v>6000</v>
      </c>
      <c r="W561" s="733" t="str">
        <f>IMSUM(COMPLEX(1,0),IMDIV(COMPLEX(0,2*PI()*D561),COMPLEX(2*PI()*'Stability Calculations'!EA_Pole1,0)))</f>
        <v>1+578763.111032086i</v>
      </c>
      <c r="X561" s="734">
        <f t="shared" si="433"/>
        <v>578763.11103294976</v>
      </c>
      <c r="Y561" s="735">
        <f t="shared" si="434"/>
        <v>1.5707945989722678</v>
      </c>
      <c r="Z561" s="340" t="str">
        <f>IMSUM(COMPLEX(1,0),IMDIV(COMPLEX(0,2*PI()*D561),COMPLEX(2*PI()*'Stability Calculations'!EA_Zero1,0)))</f>
        <v>1+5730.32783200085i</v>
      </c>
      <c r="AA561" s="734">
        <f t="shared" si="435"/>
        <v>5730.3279192558921</v>
      </c>
      <c r="AB561" s="735">
        <f t="shared" si="436"/>
        <v>1.5706218167111516</v>
      </c>
      <c r="AC561" s="733" t="str">
        <f>IMSUM(COMPLEX(1,0),IMDIV(COMPLEX(0,2*PI()*D561),COMPLEX(2*PI()*'Stability Calculations'!EA_Pole2,0)))</f>
        <v>1+57.7242060123162i</v>
      </c>
      <c r="AD561" s="734">
        <f t="shared" si="437"/>
        <v>57.732867240007415</v>
      </c>
      <c r="AE561" s="735">
        <f t="shared" si="438"/>
        <v>1.5534743045517316</v>
      </c>
      <c r="AF561" s="732" t="str">
        <f t="shared" si="439"/>
        <v>0.0176453528225619-1.02882827433435i</v>
      </c>
      <c r="AG561" s="337">
        <f t="shared" si="440"/>
        <v>1.0289795802376398</v>
      </c>
      <c r="AH561" s="730">
        <f t="shared" si="441"/>
        <v>-1.5536470868128478</v>
      </c>
      <c r="AI561" s="731" t="str">
        <f t="shared" si="419"/>
        <v>10000</v>
      </c>
      <c r="AJ561" s="733" t="str">
        <f t="shared" si="442"/>
        <v>1+539566.522595636i</v>
      </c>
      <c r="AK561" s="734">
        <f t="shared" si="443"/>
        <v>539566.52259656251</v>
      </c>
      <c r="AL561" s="735">
        <f t="shared" si="444"/>
        <v>1.5707944734553025</v>
      </c>
      <c r="AM561" s="340" t="str">
        <f t="shared" si="445"/>
        <v>1+915.706387553736i</v>
      </c>
      <c r="AN561" s="734">
        <f t="shared" si="446"/>
        <v>915.70693358012363</v>
      </c>
      <c r="AO561" s="735">
        <f t="shared" si="447"/>
        <v>1.5697042741281624</v>
      </c>
      <c r="AP561" s="733" t="str">
        <f t="shared" si="448"/>
        <v>1+44.4132691833663i</v>
      </c>
      <c r="AQ561" s="734">
        <f t="shared" si="449"/>
        <v>44.424525653676419</v>
      </c>
      <c r="AR561" s="735">
        <f t="shared" si="450"/>
        <v>1.5482843369598571</v>
      </c>
      <c r="AS561" s="732" t="str">
        <f t="shared" si="451"/>
        <v>0.000329301140198422-2.56632474475254i</v>
      </c>
      <c r="AT561" s="337">
        <f t="shared" si="452"/>
        <v>2.566324765879882</v>
      </c>
      <c r="AU561" s="730">
        <f t="shared" si="453"/>
        <v>-1.5706680105562505</v>
      </c>
      <c r="AV561" s="732" t="str">
        <f t="shared" si="454"/>
        <v>-0.0331695218845324+0.0213166528549425i</v>
      </c>
      <c r="AW561" s="337">
        <f t="shared" si="455"/>
        <v>-28.083766235618135</v>
      </c>
      <c r="AX561" s="730">
        <f t="shared" si="456"/>
        <v>147.2728550104386</v>
      </c>
      <c r="AY561" s="360">
        <f t="shared" si="457"/>
        <v>-32.727144989561396</v>
      </c>
      <c r="BB561" s="337">
        <f t="shared" si="458"/>
        <v>-31.813767698858015</v>
      </c>
      <c r="BC561" s="730">
        <f t="shared" si="459"/>
        <v>-89.992648021082587</v>
      </c>
      <c r="BD561" s="351"/>
      <c r="BE561" s="337">
        <f t="shared" si="420"/>
        <v>23.963820087162027</v>
      </c>
      <c r="BF561" s="730">
        <f t="shared" si="421"/>
        <v>-89.833071331857653</v>
      </c>
      <c r="BI561" s="351"/>
      <c r="BJ561" s="351"/>
      <c r="BL561" s="405">
        <f t="shared" si="422"/>
        <v>0</v>
      </c>
      <c r="BM561" s="405">
        <f t="shared" si="460"/>
        <v>0</v>
      </c>
      <c r="BN561" s="405">
        <f t="shared" si="423"/>
        <v>0</v>
      </c>
      <c r="BO561" s="405">
        <f t="shared" si="424"/>
        <v>0</v>
      </c>
    </row>
    <row r="562" spans="4:67" ht="13.5" thickBot="1" x14ac:dyDescent="0.25">
      <c r="D562" s="345">
        <v>91732</v>
      </c>
      <c r="E562" s="340" t="str">
        <f t="shared" si="411"/>
        <v>1.52161456813924i</v>
      </c>
      <c r="F562" s="728" t="str">
        <f t="shared" si="425"/>
        <v>0.005-0.0284426092065581i</v>
      </c>
      <c r="G562" s="337" t="str">
        <f t="shared" si="426"/>
        <v>0.005-0.0444871579897448i</v>
      </c>
      <c r="H562" s="338" t="str">
        <f t="shared" si="427"/>
        <v>0.00658418072418475-0.0440653184715522i</v>
      </c>
      <c r="I562" s="338" t="str">
        <f t="shared" si="428"/>
        <v>0.0165841807241848-0.0440653184715522i</v>
      </c>
      <c r="J562" s="337" t="str">
        <f t="shared" si="429"/>
        <v>0.0043532486181972-0.0174377212896424i</v>
      </c>
      <c r="K562" s="338" t="str">
        <f t="shared" si="412"/>
        <v>0.906502668622222-0.480307628831831i</v>
      </c>
      <c r="L562" s="732"/>
      <c r="M562" s="732" t="str">
        <f t="shared" si="413"/>
        <v>0.0454071283781715-15.6895130921004i</v>
      </c>
      <c r="N562" s="337">
        <f t="shared" si="414"/>
        <v>0</v>
      </c>
      <c r="O562" s="730" t="str">
        <f t="shared" si="415"/>
        <v>-0.671877552663903-5.95137305912759i</v>
      </c>
      <c r="P562" s="731" t="str">
        <f t="shared" si="416"/>
        <v>-0.273391687951374-0.0690921480375947i</v>
      </c>
      <c r="Q562" s="729" t="str">
        <f t="shared" si="417"/>
        <v>-0.266672912424736-0.00957841744631828i</v>
      </c>
      <c r="R562" s="730"/>
      <c r="S562" s="405" t="str">
        <f t="shared" si="430"/>
        <v>34.738084553486-17.9296458309222i</v>
      </c>
      <c r="T562" s="405" t="str">
        <f t="shared" si="431"/>
        <v>12.3850102280034-8.32454884830213i</v>
      </c>
      <c r="U562" s="405" t="str">
        <f t="shared" si="432"/>
        <v>-0.285278750520377-0.600559754034928i</v>
      </c>
      <c r="V562" s="731" t="str">
        <f t="shared" si="418"/>
        <v>6000</v>
      </c>
      <c r="W562" s="733" t="str">
        <f>IMSUM(COMPLEX(1,0),IMDIV(COMPLEX(0,2*PI()*D562),COMPLEX(2*PI()*'Stability Calculations'!EA_Pole1,0)))</f>
        <v>1+582132.84614418i</v>
      </c>
      <c r="X562" s="734">
        <f t="shared" si="433"/>
        <v>582132.84614503896</v>
      </c>
      <c r="Y562" s="735">
        <f t="shared" si="434"/>
        <v>1.5707946089739446</v>
      </c>
      <c r="Z562" s="340" t="str">
        <f>IMSUM(COMPLEX(1,0),IMDIV(COMPLEX(0,2*PI()*D562),COMPLEX(2*PI()*'Stability Calculations'!EA_Zero1,0)))</f>
        <v>1+5763.69154598198i</v>
      </c>
      <c r="AA562" s="734">
        <f t="shared" si="435"/>
        <v>5763.6916327319377</v>
      </c>
      <c r="AB562" s="735">
        <f t="shared" si="436"/>
        <v>1.5706228268804776</v>
      </c>
      <c r="AC562" s="733" t="str">
        <f>IMSUM(COMPLEX(1,0),IMDIV(COMPLEX(0,2*PI()*D562),COMPLEX(2*PI()*'Stability Calculations'!EA_Pole2,0)))</f>
        <v>1+58.0602939213583i</v>
      </c>
      <c r="AD562" s="734">
        <f t="shared" si="437"/>
        <v>58.068905020109653</v>
      </c>
      <c r="AE562" s="735">
        <f t="shared" si="438"/>
        <v>1.5535745549544417</v>
      </c>
      <c r="AF562" s="732" t="str">
        <f t="shared" si="439"/>
        <v>0.0174417206540518-1.02287630461148i</v>
      </c>
      <c r="AG562" s="337">
        <f t="shared" si="440"/>
        <v>1.0230249987928013</v>
      </c>
      <c r="AH562" s="730">
        <f t="shared" si="441"/>
        <v>-1.5537463370479085</v>
      </c>
      <c r="AI562" s="731" t="str">
        <f t="shared" si="419"/>
        <v>10000</v>
      </c>
      <c r="AJ562" s="733" t="str">
        <f t="shared" si="442"/>
        <v>1+542708.043231356i</v>
      </c>
      <c r="AK562" s="734">
        <f t="shared" si="443"/>
        <v>542708.04323227738</v>
      </c>
      <c r="AL562" s="735">
        <f t="shared" si="444"/>
        <v>1.5707944841835471</v>
      </c>
      <c r="AM562" s="340" t="str">
        <f t="shared" si="445"/>
        <v>1+921.03790904792i</v>
      </c>
      <c r="AN562" s="734">
        <f t="shared" si="446"/>
        <v>921.03845191358027</v>
      </c>
      <c r="AO562" s="735">
        <f t="shared" si="447"/>
        <v>1.5697105955809705</v>
      </c>
      <c r="AP562" s="733" t="str">
        <f t="shared" si="448"/>
        <v>1+44.6718567639451i</v>
      </c>
      <c r="AQ562" s="734">
        <f t="shared" si="449"/>
        <v>44.6830480914007</v>
      </c>
      <c r="AR562" s="735">
        <f t="shared" si="450"/>
        <v>1.5484146062580684</v>
      </c>
      <c r="AS562" s="732" t="str">
        <f t="shared" si="451"/>
        <v>0.000325499788252759-2.55146931376904i</v>
      </c>
      <c r="AT562" s="337">
        <f t="shared" si="452"/>
        <v>2.5514693345316082</v>
      </c>
      <c r="AU562" s="730">
        <f t="shared" si="453"/>
        <v>-1.5706687533278241</v>
      </c>
      <c r="AV562" s="732" t="str">
        <f t="shared" si="454"/>
        <v>-0.0326960246782886+0.02117039106791i</v>
      </c>
      <c r="AW562" s="337">
        <f t="shared" si="455"/>
        <v>-28.189527326697498</v>
      </c>
      <c r="AX562" s="730">
        <f t="shared" si="456"/>
        <v>147.07729485788661</v>
      </c>
      <c r="AY562" s="360">
        <f t="shared" si="457"/>
        <v>-32.922705142113387</v>
      </c>
      <c r="BB562" s="337">
        <f t="shared" si="458"/>
        <v>-31.86419293953124</v>
      </c>
      <c r="BC562" s="730">
        <f t="shared" si="459"/>
        <v>-89.992690578758896</v>
      </c>
      <c r="BD562" s="351"/>
      <c r="BE562" s="337">
        <f t="shared" si="420"/>
        <v>23.912225693994394</v>
      </c>
      <c r="BF562" s="730">
        <f t="shared" si="421"/>
        <v>-89.834180351104706</v>
      </c>
      <c r="BI562" s="351"/>
      <c r="BJ562" s="351"/>
      <c r="BL562" s="405">
        <f t="shared" si="422"/>
        <v>0</v>
      </c>
      <c r="BM562" s="405">
        <f t="shared" si="460"/>
        <v>0</v>
      </c>
      <c r="BN562" s="405">
        <f t="shared" si="423"/>
        <v>0</v>
      </c>
      <c r="BO562" s="405">
        <f t="shared" si="424"/>
        <v>0</v>
      </c>
    </row>
    <row r="563" spans="4:67" ht="13.5" thickBot="1" x14ac:dyDescent="0.25">
      <c r="D563" s="345">
        <v>92263</v>
      </c>
      <c r="E563" s="340" t="str">
        <f t="shared" si="411"/>
        <v>1.53042258863026i</v>
      </c>
      <c r="F563" s="728" t="str">
        <f t="shared" si="425"/>
        <v>0.005-0.028278913841258i</v>
      </c>
      <c r="G563" s="337" t="str">
        <f t="shared" si="426"/>
        <v>0.005-0.0442311216491472i</v>
      </c>
      <c r="H563" s="338" t="str">
        <f t="shared" si="427"/>
        <v>0.00656578760728577-0.0438123758712813i</v>
      </c>
      <c r="I563" s="338" t="str">
        <f t="shared" si="428"/>
        <v>0.0165657876072858-0.0438123758712813i</v>
      </c>
      <c r="J563" s="337" t="str">
        <f t="shared" si="429"/>
        <v>0.00435013612619771-0.0173384549111666i</v>
      </c>
      <c r="K563" s="338" t="str">
        <f t="shared" si="412"/>
        <v>0.905417098122222-0.483087938330258i</v>
      </c>
      <c r="L563" s="732"/>
      <c r="M563" s="732" t="str">
        <f t="shared" si="413"/>
        <v>0.0448420135943471-15.5971531293038i</v>
      </c>
      <c r="N563" s="337">
        <f t="shared" si="414"/>
        <v>0</v>
      </c>
      <c r="O563" s="730" t="str">
        <f t="shared" si="415"/>
        <v>-0.669997769928691-5.9146855541234i</v>
      </c>
      <c r="P563" s="731" t="str">
        <f t="shared" si="416"/>
        <v>-0.270235467411688-0.0686272305244538i</v>
      </c>
      <c r="Q563" s="729" t="str">
        <f t="shared" si="417"/>
        <v>-0.263535489712402-0.00948037498321895i</v>
      </c>
      <c r="R563" s="730"/>
      <c r="S563" s="405" t="str">
        <f t="shared" si="430"/>
        <v>34.6733530394656-18.0262102395281i</v>
      </c>
      <c r="T563" s="405" t="str">
        <f t="shared" si="431"/>
        <v>12.3503016357962-8.3607723681679i</v>
      </c>
      <c r="U563" s="405" t="str">
        <f t="shared" si="432"/>
        <v>-0.285215844141848-0.595991112993467i</v>
      </c>
      <c r="V563" s="731" t="str">
        <f t="shared" si="418"/>
        <v>6000</v>
      </c>
      <c r="W563" s="733" t="str">
        <f>IMSUM(COMPLEX(1,0),IMDIV(COMPLEX(0,2*PI()*D563),COMPLEX(2*PI()*'Stability Calculations'!EA_Pole1,0)))</f>
        <v>1+585502.581256273i</v>
      </c>
      <c r="X563" s="734">
        <f t="shared" si="433"/>
        <v>585502.58125712688</v>
      </c>
      <c r="Y563" s="735">
        <f t="shared" si="434"/>
        <v>1.5707946188604962</v>
      </c>
      <c r="Z563" s="340" t="str">
        <f>IMSUM(COMPLEX(1,0),IMDIV(COMPLEX(0,2*PI()*D563),COMPLEX(2*PI()*'Stability Calculations'!EA_Zero1,0)))</f>
        <v>1+5797.0552599631i</v>
      </c>
      <c r="AA563" s="734">
        <f t="shared" si="435"/>
        <v>5797.0553462137877</v>
      </c>
      <c r="AB563" s="735">
        <f t="shared" si="436"/>
        <v>1.570623825422176</v>
      </c>
      <c r="AC563" s="733" t="str">
        <f>IMSUM(COMPLEX(1,0),IMDIV(COMPLEX(0,2*PI()*D563),COMPLEX(2*PI()*'Stability Calculations'!EA_Pole2,0)))</f>
        <v>1+58.3963818304003i</v>
      </c>
      <c r="AD563" s="734">
        <f t="shared" si="437"/>
        <v>58.404943377097005</v>
      </c>
      <c r="AE563" s="735">
        <f t="shared" si="438"/>
        <v>1.5536736517578205</v>
      </c>
      <c r="AF563" s="732" t="str">
        <f t="shared" si="439"/>
        <v>0.0172415928684151-1.01699278546061i</v>
      </c>
      <c r="AG563" s="337">
        <f t="shared" si="440"/>
        <v>1.0171389276807621</v>
      </c>
      <c r="AH563" s="730">
        <f t="shared" si="441"/>
        <v>-1.5538444451961411</v>
      </c>
      <c r="AI563" s="731" t="str">
        <f t="shared" si="419"/>
        <v>10000</v>
      </c>
      <c r="AJ563" s="733" t="str">
        <f t="shared" si="442"/>
        <v>1+545849.563867076i</v>
      </c>
      <c r="AK563" s="734">
        <f t="shared" si="443"/>
        <v>545849.56386799202</v>
      </c>
      <c r="AL563" s="735">
        <f t="shared" si="444"/>
        <v>1.5707944947883032</v>
      </c>
      <c r="AM563" s="340" t="str">
        <f t="shared" si="445"/>
        <v>1+926.369430542103i</v>
      </c>
      <c r="AN563" s="734">
        <f t="shared" si="446"/>
        <v>926.36997028341784</v>
      </c>
      <c r="AO563" s="735">
        <f t="shared" si="447"/>
        <v>1.5697168442703198</v>
      </c>
      <c r="AP563" s="733" t="str">
        <f t="shared" si="448"/>
        <v>1+44.9304443445239i</v>
      </c>
      <c r="AQ563" s="734">
        <f t="shared" si="449"/>
        <v>44.941571278676491</v>
      </c>
      <c r="AR563" s="735">
        <f t="shared" si="450"/>
        <v>1.548543376828728</v>
      </c>
      <c r="AS563" s="732" t="str">
        <f t="shared" si="451"/>
        <v>0.000321763880861642-2.53678487730056i</v>
      </c>
      <c r="AT563" s="337">
        <f t="shared" si="452"/>
        <v>2.536784897706704</v>
      </c>
      <c r="AU563" s="730">
        <f t="shared" si="453"/>
        <v>-1.5706694875496712</v>
      </c>
      <c r="AV563" s="732" t="str">
        <f t="shared" si="454"/>
        <v>-0.032230796008143+0.0210256211615411i</v>
      </c>
      <c r="AW563" s="337">
        <f t="shared" si="455"/>
        <v>-28.29473986356172</v>
      </c>
      <c r="AX563" s="730">
        <f t="shared" si="456"/>
        <v>146.8817530777504</v>
      </c>
      <c r="AY563" s="360">
        <f t="shared" si="457"/>
        <v>-33.118246922249597</v>
      </c>
      <c r="BB563" s="337">
        <f t="shared" si="458"/>
        <v>-31.91432712934947</v>
      </c>
      <c r="BC563" s="730">
        <f t="shared" si="459"/>
        <v>-89.992732646571966</v>
      </c>
      <c r="BD563" s="351"/>
      <c r="BE563" s="337">
        <f t="shared" si="420"/>
        <v>23.860942616895873</v>
      </c>
      <c r="BF563" s="730">
        <f t="shared" si="421"/>
        <v>-89.835274359131077</v>
      </c>
      <c r="BI563" s="351"/>
      <c r="BJ563" s="351"/>
      <c r="BL563" s="405">
        <f t="shared" si="422"/>
        <v>0</v>
      </c>
      <c r="BM563" s="405">
        <f t="shared" si="460"/>
        <v>0</v>
      </c>
      <c r="BN563" s="405">
        <f t="shared" si="423"/>
        <v>0</v>
      </c>
      <c r="BO563" s="405">
        <f t="shared" si="424"/>
        <v>0</v>
      </c>
    </row>
    <row r="564" spans="4:67" ht="13.5" thickBot="1" x14ac:dyDescent="0.25">
      <c r="D564" s="345">
        <v>92794</v>
      </c>
      <c r="E564" s="340" t="str">
        <f t="shared" si="411"/>
        <v>1.53923060912128i</v>
      </c>
      <c r="F564" s="728" t="str">
        <f t="shared" si="425"/>
        <v>0.005-0.0281170919212017i</v>
      </c>
      <c r="G564" s="337" t="str">
        <f t="shared" si="426"/>
        <v>0.005-0.043978015569059i</v>
      </c>
      <c r="H564" s="338" t="str">
        <f t="shared" si="427"/>
        <v>0.00654770879691398-0.0435623168100486i</v>
      </c>
      <c r="I564" s="338" t="str">
        <f t="shared" si="428"/>
        <v>0.016547708796914-0.0435623168100486i</v>
      </c>
      <c r="J564" s="337" t="str">
        <f t="shared" si="429"/>
        <v>0.00434707073959489-0.0172403282665708i</v>
      </c>
      <c r="K564" s="338" t="str">
        <f t="shared" si="412"/>
        <v>0.904325261822222-0.485868247828685i</v>
      </c>
      <c r="L564" s="732"/>
      <c r="M564" s="732" t="str">
        <f t="shared" si="413"/>
        <v>0.044287524885872-15.505885796947i</v>
      </c>
      <c r="N564" s="337">
        <f t="shared" si="414"/>
        <v>0</v>
      </c>
      <c r="O564" s="730" t="str">
        <f t="shared" si="415"/>
        <v>-0.668140816915984-5.87842565037851i</v>
      </c>
      <c r="P564" s="731" t="str">
        <f t="shared" si="416"/>
        <v>-0.267134040199764-0.0681687139065544i</v>
      </c>
      <c r="Q564" s="729" t="str">
        <f t="shared" si="417"/>
        <v>-0.260452632030604-0.00938445740276912i</v>
      </c>
      <c r="R564" s="730"/>
      <c r="S564" s="405" t="str">
        <f t="shared" si="430"/>
        <v>34.6082543445491-18.1225052990751i</v>
      </c>
      <c r="T564" s="405" t="str">
        <f t="shared" si="431"/>
        <v>12.3154389176714-8.39683777770302i</v>
      </c>
      <c r="U564" s="405" t="str">
        <f t="shared" si="432"/>
        <v>-0.285147799735791-0.591469100369733i</v>
      </c>
      <c r="V564" s="731" t="str">
        <f t="shared" si="418"/>
        <v>6000</v>
      </c>
      <c r="W564" s="733" t="str">
        <f>IMSUM(COMPLEX(1,0),IMDIV(COMPLEX(0,2*PI()*D564),COMPLEX(2*PI()*'Stability Calculations'!EA_Pole1,0)))</f>
        <v>1+588872.316368367i</v>
      </c>
      <c r="X564" s="734">
        <f t="shared" si="433"/>
        <v>588872.31636921619</v>
      </c>
      <c r="Y564" s="735">
        <f t="shared" si="434"/>
        <v>1.5707946286338994</v>
      </c>
      <c r="Z564" s="340" t="str">
        <f>IMSUM(COMPLEX(1,0),IMDIV(COMPLEX(0,2*PI()*D564),COMPLEX(2*PI()*'Stability Calculations'!EA_Zero1,0)))</f>
        <v>1+5830.41897394423i</v>
      </c>
      <c r="AA564" s="734">
        <f t="shared" si="435"/>
        <v>5830.4190597013603</v>
      </c>
      <c r="AB564" s="735">
        <f t="shared" si="436"/>
        <v>1.5706248125358591</v>
      </c>
      <c r="AC564" s="733" t="str">
        <f>IMSUM(COMPLEX(1,0),IMDIV(COMPLEX(0,2*PI()*D564),COMPLEX(2*PI()*'Stability Calculations'!EA_Pole2,0)))</f>
        <v>1+58.7324697394423i</v>
      </c>
      <c r="AD564" s="734">
        <f t="shared" si="437"/>
        <v>58.740982301069025</v>
      </c>
      <c r="AE564" s="735">
        <f t="shared" si="438"/>
        <v>1.553771614758056</v>
      </c>
      <c r="AF564" s="732" t="str">
        <f t="shared" si="439"/>
        <v>0.0170448895211989-1.01117654314793i</v>
      </c>
      <c r="AG564" s="337">
        <f t="shared" si="440"/>
        <v>1.0113201914682548</v>
      </c>
      <c r="AH564" s="730">
        <f t="shared" si="441"/>
        <v>-1.5539414308560962</v>
      </c>
      <c r="AI564" s="731" t="str">
        <f t="shared" si="419"/>
        <v>10000</v>
      </c>
      <c r="AJ564" s="733" t="str">
        <f t="shared" si="442"/>
        <v>1+548991.084502796i</v>
      </c>
      <c r="AK564" s="734">
        <f t="shared" si="443"/>
        <v>548991.08450370678</v>
      </c>
      <c r="AL564" s="735">
        <f t="shared" si="444"/>
        <v>1.5707945052716912</v>
      </c>
      <c r="AM564" s="340" t="str">
        <f t="shared" si="445"/>
        <v>1+931.700952036288i</v>
      </c>
      <c r="AN564" s="734">
        <f t="shared" si="446"/>
        <v>931.70148868901413</v>
      </c>
      <c r="AO564" s="735">
        <f t="shared" si="447"/>
        <v>1.5697230214453426</v>
      </c>
      <c r="AP564" s="733" t="str">
        <f t="shared" si="448"/>
        <v>1+45.1890319251028i</v>
      </c>
      <c r="AQ564" s="734">
        <f t="shared" si="449"/>
        <v>45.200095202642665</v>
      </c>
      <c r="AR564" s="735">
        <f t="shared" si="450"/>
        <v>1.5486706743836423</v>
      </c>
      <c r="AS564" s="732" t="str">
        <f t="shared" si="451"/>
        <v>0.000318091924332079-2.52226849987449i</v>
      </c>
      <c r="AT564" s="337">
        <f t="shared" si="452"/>
        <v>2.5222685199323212</v>
      </c>
      <c r="AU564" s="730">
        <f t="shared" si="453"/>
        <v>-1.5706702133685657</v>
      </c>
      <c r="AV564" s="732" t="str">
        <f t="shared" si="454"/>
        <v>-0.0317736479715182+0.0208823188307117i</v>
      </c>
      <c r="AW564" s="337">
        <f t="shared" si="455"/>
        <v>-28.399410617525128</v>
      </c>
      <c r="AX564" s="730">
        <f t="shared" si="456"/>
        <v>146.68622958986282</v>
      </c>
      <c r="AY564" s="360">
        <f t="shared" si="457"/>
        <v>-33.313770410137181</v>
      </c>
      <c r="BB564" s="337">
        <f t="shared" si="458"/>
        <v>-31.964173608889375</v>
      </c>
      <c r="BC564" s="730">
        <f t="shared" si="459"/>
        <v>-89.992774232931311</v>
      </c>
      <c r="BD564" s="351"/>
      <c r="BE564" s="337">
        <f t="shared" si="420"/>
        <v>23.809967048547122</v>
      </c>
      <c r="BF564" s="730">
        <f t="shared" si="421"/>
        <v>-89.836353666327071</v>
      </c>
      <c r="BI564" s="351"/>
      <c r="BJ564" s="351"/>
      <c r="BL564" s="405">
        <f t="shared" si="422"/>
        <v>0</v>
      </c>
      <c r="BM564" s="405">
        <f t="shared" si="460"/>
        <v>0</v>
      </c>
      <c r="BN564" s="405">
        <f t="shared" si="423"/>
        <v>0</v>
      </c>
      <c r="BO564" s="405">
        <f t="shared" si="424"/>
        <v>0</v>
      </c>
    </row>
    <row r="565" spans="4:67" ht="13.5" thickBot="1" x14ac:dyDescent="0.25">
      <c r="D565" s="345">
        <v>93325</v>
      </c>
      <c r="E565" s="340" t="str">
        <f t="shared" si="411"/>
        <v>1.54803862961229i</v>
      </c>
      <c r="F565" s="728" t="str">
        <f t="shared" si="425"/>
        <v>0.005-0.0279571114678381i</v>
      </c>
      <c r="G565" s="337" t="str">
        <f t="shared" si="426"/>
        <v>0.005-0.0437277897317467i</v>
      </c>
      <c r="H565" s="338" t="str">
        <f t="shared" si="427"/>
        <v>0.00652993717540368-0.0433150923223936i</v>
      </c>
      <c r="I565" s="338" t="str">
        <f t="shared" si="428"/>
        <v>0.0165299371754037-0.0433150923223936i</v>
      </c>
      <c r="J565" s="337" t="str">
        <f t="shared" si="429"/>
        <v>0.00434405136946558-0.0171433218914808i</v>
      </c>
      <c r="K565" s="338" t="str">
        <f t="shared" si="412"/>
        <v>0.903227159722222-0.488648557327112i</v>
      </c>
      <c r="L565" s="732"/>
      <c r="M565" s="732" t="str">
        <f t="shared" si="413"/>
        <v>0.0437433938062946-15.4156916266113i</v>
      </c>
      <c r="N565" s="337">
        <f t="shared" si="414"/>
        <v>0</v>
      </c>
      <c r="O565" s="730" t="str">
        <f t="shared" si="415"/>
        <v>-0.666306143347271-5.84258575769169i</v>
      </c>
      <c r="P565" s="731" t="str">
        <f t="shared" si="416"/>
        <v>-0.264086140185034-0.0677164634024872i</v>
      </c>
      <c r="Q565" s="729" t="str">
        <f t="shared" si="417"/>
        <v>-0.257423078751562-0.00929060582556973i</v>
      </c>
      <c r="R565" s="730"/>
      <c r="S565" s="405" t="str">
        <f t="shared" si="430"/>
        <v>34.5427891115646-18.2185295431663i</v>
      </c>
      <c r="T565" s="405" t="str">
        <f t="shared" si="431"/>
        <v>12.2804229145302-8.43274400868433i</v>
      </c>
      <c r="U565" s="405" t="str">
        <f t="shared" si="432"/>
        <v>-0.285074695148005-0.58699294089389i</v>
      </c>
      <c r="V565" s="731" t="str">
        <f t="shared" si="418"/>
        <v>6000</v>
      </c>
      <c r="W565" s="733" t="str">
        <f>IMSUM(COMPLEX(1,0),IMDIV(COMPLEX(0,2*PI()*D565),COMPLEX(2*PI()*'Stability Calculations'!EA_Pole1,0)))</f>
        <v>1+592242.05148046i</v>
      </c>
      <c r="X565" s="734">
        <f t="shared" si="433"/>
        <v>592242.05148130422</v>
      </c>
      <c r="Y565" s="735">
        <f t="shared" si="434"/>
        <v>1.5707946382960851</v>
      </c>
      <c r="Z565" s="340" t="str">
        <f>IMSUM(COMPLEX(1,0),IMDIV(COMPLEX(0,2*PI()*D565),COMPLEX(2*PI()*'Stability Calculations'!EA_Zero1,0)))</f>
        <v>1+5863.78268792535i</v>
      </c>
      <c r="AA565" s="734">
        <f t="shared" si="435"/>
        <v>5863.782773194539</v>
      </c>
      <c r="AB565" s="735">
        <f t="shared" si="436"/>
        <v>1.5706257884165962</v>
      </c>
      <c r="AC565" s="733" t="str">
        <f>IMSUM(COMPLEX(1,0),IMDIV(COMPLEX(0,2*PI()*D565),COMPLEX(2*PI()*'Stability Calculations'!EA_Pole2,0)))</f>
        <v>1+59.0685576484843i</v>
      </c>
      <c r="AD565" s="734">
        <f t="shared" si="437"/>
        <v>59.077021782350478</v>
      </c>
      <c r="AE565" s="735">
        <f t="shared" si="438"/>
        <v>1.5538684633010085</v>
      </c>
      <c r="AF565" s="732" t="str">
        <f t="shared" si="439"/>
        <v>0.0168515329344866-1.00542643061449i</v>
      </c>
      <c r="AG565" s="337">
        <f t="shared" si="440"/>
        <v>1.0055676414545349</v>
      </c>
      <c r="AH565" s="730">
        <f t="shared" si="441"/>
        <v>-1.5540373131804976</v>
      </c>
      <c r="AI565" s="731" t="str">
        <f t="shared" si="419"/>
        <v>10000</v>
      </c>
      <c r="AJ565" s="733" t="str">
        <f t="shared" si="442"/>
        <v>1+552132.605138515i</v>
      </c>
      <c r="AK565" s="734">
        <f t="shared" si="443"/>
        <v>552132.60513942048</v>
      </c>
      <c r="AL565" s="735">
        <f t="shared" si="444"/>
        <v>1.5707945156357825</v>
      </c>
      <c r="AM565" s="340" t="str">
        <f t="shared" si="445"/>
        <v>1+937.032473530471i</v>
      </c>
      <c r="AN565" s="734">
        <f t="shared" si="446"/>
        <v>937.03300712975567</v>
      </c>
      <c r="AO565" s="735">
        <f t="shared" si="447"/>
        <v>1.5697291283267425</v>
      </c>
      <c r="AP565" s="733" t="str">
        <f t="shared" si="448"/>
        <v>1+45.4476195056815i</v>
      </c>
      <c r="AQ565" s="734">
        <f t="shared" si="449"/>
        <v>45.458619850730194</v>
      </c>
      <c r="AR565" s="735">
        <f t="shared" si="450"/>
        <v>1.5487965240499146</v>
      </c>
      <c r="AS565" s="732" t="str">
        <f t="shared" si="451"/>
        <v>0.000314482467343867-2.50791731282714i</v>
      </c>
      <c r="AT565" s="337">
        <f t="shared" si="452"/>
        <v>2.5079173325445407</v>
      </c>
      <c r="AU565" s="730">
        <f t="shared" si="453"/>
        <v>-1.5706709309279407</v>
      </c>
      <c r="AV565" s="732" t="str">
        <f t="shared" si="454"/>
        <v>-0.0313243980001406+0.020740460296652i</v>
      </c>
      <c r="AW565" s="337">
        <f t="shared" si="455"/>
        <v>-28.503546245382829</v>
      </c>
      <c r="AX565" s="730">
        <f t="shared" si="456"/>
        <v>146.49072432902506</v>
      </c>
      <c r="AY565" s="360">
        <f t="shared" si="457"/>
        <v>-33.509275670974944</v>
      </c>
      <c r="BB565" s="337">
        <f t="shared" si="458"/>
        <v>-32.013735661542889</v>
      </c>
      <c r="BC565" s="730">
        <f t="shared" si="459"/>
        <v>-89.992815346055053</v>
      </c>
      <c r="BD565" s="351"/>
      <c r="BE565" s="337">
        <f t="shared" si="420"/>
        <v>23.759295252197127</v>
      </c>
      <c r="BF565" s="730">
        <f t="shared" si="421"/>
        <v>-89.83741857449202</v>
      </c>
      <c r="BI565" s="351"/>
      <c r="BJ565" s="351"/>
      <c r="BL565" s="405">
        <f t="shared" si="422"/>
        <v>0</v>
      </c>
      <c r="BM565" s="405">
        <f t="shared" si="460"/>
        <v>0</v>
      </c>
      <c r="BN565" s="405">
        <f t="shared" si="423"/>
        <v>0</v>
      </c>
      <c r="BO565" s="405">
        <f t="shared" si="424"/>
        <v>0</v>
      </c>
    </row>
    <row r="566" spans="4:67" ht="13.5" thickBot="1" x14ac:dyDescent="0.25">
      <c r="D566" s="345">
        <v>93868.5</v>
      </c>
      <c r="E566" s="340" t="str">
        <f t="shared" si="411"/>
        <v>1.55705399521845i</v>
      </c>
      <c r="F566" s="728" t="str">
        <f t="shared" si="425"/>
        <v>0.005-0.027795239379941i</v>
      </c>
      <c r="G566" s="337" t="str">
        <f t="shared" si="426"/>
        <v>0.005-0.0434746051840102i</v>
      </c>
      <c r="H566" s="338" t="str">
        <f t="shared" si="427"/>
        <v>0.00651205810366718-0.0430649335488842i</v>
      </c>
      <c r="I566" s="338" t="str">
        <f t="shared" si="428"/>
        <v>0.0165120581036672-0.0430649335488842i</v>
      </c>
      <c r="J566" s="337" t="str">
        <f t="shared" si="429"/>
        <v>0.00434100747190774-0.017045172222928i</v>
      </c>
      <c r="K566" s="338" t="str">
        <f t="shared" si="412"/>
        <v>0.902096718975-0.491494316672489i</v>
      </c>
      <c r="L566" s="732"/>
      <c r="M566" s="732" t="str">
        <f t="shared" si="413"/>
        <v>0.0431969086050303-15.3244657624703i</v>
      </c>
      <c r="N566" s="337">
        <f t="shared" si="414"/>
        <v>0</v>
      </c>
      <c r="O566" s="730" t="str">
        <f t="shared" si="415"/>
        <v>-0.664450795318497-5.8063294030046i</v>
      </c>
      <c r="P566" s="731" t="str">
        <f t="shared" si="416"/>
        <v>-0.261020640042652-0.0672599191245488i</v>
      </c>
      <c r="Q566" s="729" t="str">
        <f t="shared" si="417"/>
        <v>-0.254376132089467-0.009196625094503i</v>
      </c>
      <c r="R566" s="730"/>
      <c r="S566" s="405" t="str">
        <f t="shared" si="430"/>
        <v>34.4754038971493-18.31653224466i</v>
      </c>
      <c r="T566" s="405" t="str">
        <f t="shared" si="431"/>
        <v>12.2444247626873-8.4693295401452i</v>
      </c>
      <c r="U566" s="405" t="str">
        <f t="shared" si="432"/>
        <v>-0.284994708349353-0.582458104813969i</v>
      </c>
      <c r="V566" s="731" t="str">
        <f t="shared" si="418"/>
        <v>6000</v>
      </c>
      <c r="W566" s="733" t="str">
        <f>IMSUM(COMPLEX(1,0),IMDIV(COMPLEX(0,2*PI()*D566),COMPLEX(2*PI()*'Stability Calculations'!EA_Pole1,0)))</f>
        <v>1+595691.111807057i</v>
      </c>
      <c r="X566" s="734">
        <f t="shared" si="433"/>
        <v>595691.11180789641</v>
      </c>
      <c r="Y566" s="735">
        <f t="shared" si="434"/>
        <v>1.5707946480725181</v>
      </c>
      <c r="Z566" s="340" t="str">
        <f>IMSUM(COMPLEX(1,0),IMDIV(COMPLEX(0,2*PI()*D566),COMPLEX(2*PI()*'Stability Calculations'!EA_Zero1,0)))</f>
        <v>1+5897.93180006987i</v>
      </c>
      <c r="AA566" s="734">
        <f t="shared" si="435"/>
        <v>5897.9318848453495</v>
      </c>
      <c r="AB566" s="735">
        <f t="shared" si="436"/>
        <v>1.5706267758363037</v>
      </c>
      <c r="AC566" s="733" t="str">
        <f>IMSUM(COMPLEX(1,0),IMDIV(COMPLEX(0,2*PI()*D566),COMPLEX(2*PI()*'Stability Calculations'!EA_Pole2,0)))</f>
        <v>1+59.4125572314679i</v>
      </c>
      <c r="AD566" s="734">
        <f t="shared" si="437"/>
        <v>59.420972364834689</v>
      </c>
      <c r="AE566" s="735">
        <f t="shared" si="438"/>
        <v>1.5539664573198961</v>
      </c>
      <c r="AF566" s="732" t="str">
        <f t="shared" si="439"/>
        <v>0.016657011728595-0.999608270818824i</v>
      </c>
      <c r="AG566" s="337">
        <f t="shared" si="440"/>
        <v>0.99974704357108557</v>
      </c>
      <c r="AH566" s="730">
        <f t="shared" si="441"/>
        <v>-1.5541343295561105</v>
      </c>
      <c r="AI566" s="731" t="str">
        <f t="shared" si="419"/>
        <v>10000</v>
      </c>
      <c r="AJ566" s="733" t="str">
        <f t="shared" si="442"/>
        <v>1+555348.078708221i</v>
      </c>
      <c r="AK566" s="734">
        <f t="shared" si="443"/>
        <v>555348.07870912144</v>
      </c>
      <c r="AL566" s="735">
        <f t="shared" si="444"/>
        <v>1.5707945261224205</v>
      </c>
      <c r="AM566" s="340" t="str">
        <f t="shared" si="445"/>
        <v>1+942.489501651165i</v>
      </c>
      <c r="AN566" s="734">
        <f t="shared" si="446"/>
        <v>942.49003216090375</v>
      </c>
      <c r="AO566" s="735">
        <f t="shared" si="447"/>
        <v>1.5697353074169682</v>
      </c>
      <c r="AP566" s="733" t="str">
        <f t="shared" si="448"/>
        <v>1+45.7122943645225i</v>
      </c>
      <c r="AQ566" s="734">
        <f t="shared" si="449"/>
        <v>45.723231032690101</v>
      </c>
      <c r="AR566" s="735">
        <f t="shared" si="450"/>
        <v>1.5489238624922042</v>
      </c>
      <c r="AS566" s="732" t="str">
        <f t="shared" si="451"/>
        <v>0.0003108512939437-2.49339643503505i</v>
      </c>
      <c r="AT566" s="337">
        <f t="shared" si="452"/>
        <v>2.493396454411938</v>
      </c>
      <c r="AU566" s="730">
        <f t="shared" si="453"/>
        <v>-1.5706716569718531</v>
      </c>
      <c r="AV566" s="732" t="str">
        <f t="shared" si="454"/>
        <v>-0.030872566465238+0.0205967332413937i</v>
      </c>
      <c r="AW566" s="337">
        <f t="shared" si="455"/>
        <v>-28.609585937134334</v>
      </c>
      <c r="AX566" s="730">
        <f t="shared" si="456"/>
        <v>146.29063560173824</v>
      </c>
      <c r="AY566" s="360">
        <f t="shared" si="457"/>
        <v>-33.709364398261755</v>
      </c>
      <c r="BB566" s="337">
        <f t="shared" si="458"/>
        <v>-32.064173248421064</v>
      </c>
      <c r="BC566" s="730">
        <f t="shared" si="459"/>
        <v>-89.992856945306968</v>
      </c>
      <c r="BD566" s="351"/>
      <c r="BE566" s="337">
        <f t="shared" si="420"/>
        <v>23.707741371664298</v>
      </c>
      <c r="BF566" s="730">
        <f t="shared" si="421"/>
        <v>-89.838493945940243</v>
      </c>
      <c r="BI566" s="351"/>
      <c r="BJ566" s="351"/>
      <c r="BL566" s="405">
        <f t="shared" si="422"/>
        <v>0</v>
      </c>
      <c r="BM566" s="405">
        <f t="shared" si="460"/>
        <v>0</v>
      </c>
      <c r="BN566" s="405">
        <f t="shared" si="423"/>
        <v>0</v>
      </c>
      <c r="BO566" s="405">
        <f t="shared" si="424"/>
        <v>0</v>
      </c>
    </row>
    <row r="567" spans="4:67" ht="13.5" thickBot="1" x14ac:dyDescent="0.25">
      <c r="D567" s="345">
        <v>94412</v>
      </c>
      <c r="E567" s="340" t="str">
        <f t="shared" si="411"/>
        <v>1.5660693608246i</v>
      </c>
      <c r="F567" s="728" t="str">
        <f t="shared" si="425"/>
        <v>0.005-0.0276352309847899i</v>
      </c>
      <c r="G567" s="337" t="str">
        <f t="shared" si="426"/>
        <v>0.005-0.0432243356428766i</v>
      </c>
      <c r="H567" s="338" t="str">
        <f t="shared" si="427"/>
        <v>0.00649448640004278-0.0428176440699998i</v>
      </c>
      <c r="I567" s="338" t="str">
        <f t="shared" si="428"/>
        <v>0.0164944864000428-0.0428176440699998i</v>
      </c>
      <c r="J567" s="337" t="str">
        <f t="shared" si="429"/>
        <v>0.00433800957243197-0.0169481563233305i</v>
      </c>
      <c r="K567" s="338" t="str">
        <f t="shared" si="412"/>
        <v>0.900959713955555-0.494340076017866i</v>
      </c>
      <c r="L567" s="732"/>
      <c r="M567" s="732" t="str">
        <f t="shared" si="413"/>
        <v>0.042660732297267-15.2343243825991i</v>
      </c>
      <c r="N567" s="337">
        <f t="shared" si="414"/>
        <v>0</v>
      </c>
      <c r="O567" s="730" t="str">
        <f t="shared" si="415"/>
        <v>-0.662617671826939-5.77049755169226i</v>
      </c>
      <c r="P567" s="731" t="str">
        <f t="shared" si="416"/>
        <v>-0.258008648451542-0.0668096657610907i</v>
      </c>
      <c r="Q567" s="729" t="str">
        <f t="shared" si="417"/>
        <v>-0.251382471733272-0.00910469024416808i</v>
      </c>
      <c r="R567" s="730"/>
      <c r="S567" s="405" t="str">
        <f t="shared" si="430"/>
        <v>34.4076360891999-18.4142480713357i</v>
      </c>
      <c r="T567" s="405" t="str">
        <f t="shared" si="431"/>
        <v>12.2082678299174-8.50574607194948i</v>
      </c>
      <c r="U567" s="405" t="str">
        <f t="shared" si="432"/>
        <v>-0.284909578469052-0.577969718839122i</v>
      </c>
      <c r="V567" s="731" t="str">
        <f t="shared" si="418"/>
        <v>6000</v>
      </c>
      <c r="W567" s="733" t="str">
        <f>IMSUM(COMPLEX(1,0),IMDIV(COMPLEX(0,2*PI()*D567),COMPLEX(2*PI()*'Stability Calculations'!EA_Pole1,0)))</f>
        <v>1+599140.172133653i</v>
      </c>
      <c r="X567" s="734">
        <f t="shared" si="433"/>
        <v>599140.17213448754</v>
      </c>
      <c r="Y567" s="735">
        <f t="shared" si="434"/>
        <v>1.5707946577363916</v>
      </c>
      <c r="Z567" s="340" t="str">
        <f>IMSUM(COMPLEX(1,0),IMDIV(COMPLEX(0,2*PI()*D567),COMPLEX(2*PI()*'Stability Calculations'!EA_Zero1,0)))</f>
        <v>1+5932.08091221439i</v>
      </c>
      <c r="AA567" s="734">
        <f t="shared" si="435"/>
        <v>5932.0809965018443</v>
      </c>
      <c r="AB567" s="735">
        <f t="shared" si="436"/>
        <v>1.5706277518874863</v>
      </c>
      <c r="AC567" s="733" t="str">
        <f>IMSUM(COMPLEX(1,0),IMDIV(COMPLEX(0,2*PI()*D567),COMPLEX(2*PI()*'Stability Calculations'!EA_Pole2,0)))</f>
        <v>1+59.7565568144516i</v>
      </c>
      <c r="AD567" s="734">
        <f t="shared" si="437"/>
        <v>59.764923511360593</v>
      </c>
      <c r="AE567" s="735">
        <f t="shared" si="438"/>
        <v>1.554063323415392</v>
      </c>
      <c r="AF567" s="732" t="str">
        <f t="shared" si="439"/>
        <v>0.0164658389808569-0.993857041596894i</v>
      </c>
      <c r="AG567" s="337">
        <f t="shared" si="440"/>
        <v>0.993993432063348</v>
      </c>
      <c r="AH567" s="730">
        <f t="shared" si="441"/>
        <v>-1.5542302292642973</v>
      </c>
      <c r="AI567" s="731" t="str">
        <f t="shared" si="419"/>
        <v>10000</v>
      </c>
      <c r="AJ567" s="733" t="str">
        <f t="shared" si="442"/>
        <v>1+558563.552277927i</v>
      </c>
      <c r="AK567" s="734">
        <f t="shared" si="443"/>
        <v>558563.55227882229</v>
      </c>
      <c r="AL567" s="735">
        <f t="shared" si="444"/>
        <v>1.570794536488322</v>
      </c>
      <c r="AM567" s="340" t="str">
        <f t="shared" si="445"/>
        <v>1+947.946529771859i</v>
      </c>
      <c r="AN567" s="734">
        <f t="shared" si="446"/>
        <v>947.94705722762285</v>
      </c>
      <c r="AO567" s="735">
        <f t="shared" si="447"/>
        <v>1.5697414153651406</v>
      </c>
      <c r="AP567" s="733" t="str">
        <f t="shared" si="448"/>
        <v>1+45.9769692233635i</v>
      </c>
      <c r="AQ567" s="734">
        <f t="shared" si="449"/>
        <v>45.987842947523802</v>
      </c>
      <c r="AR567" s="735">
        <f t="shared" si="450"/>
        <v>1.5490497355375363</v>
      </c>
      <c r="AS567" s="732" t="str">
        <f t="shared" si="451"/>
        <v>0.000307282650412865-2.47904274142958i</v>
      </c>
      <c r="AT567" s="337">
        <f t="shared" si="452"/>
        <v>2.4790427604737508</v>
      </c>
      <c r="AU567" s="730">
        <f t="shared" si="453"/>
        <v>-1.5706723746565556</v>
      </c>
      <c r="AV567" s="732" t="str">
        <f t="shared" si="454"/>
        <v>-0.0304286385355011+0.0204544699790603i</v>
      </c>
      <c r="AW567" s="337">
        <f t="shared" si="455"/>
        <v>-28.715078767542529</v>
      </c>
      <c r="AX567" s="730">
        <f t="shared" si="456"/>
        <v>146.09056587852314</v>
      </c>
      <c r="AY567" s="360">
        <f t="shared" si="457"/>
        <v>-33.909434121476863</v>
      </c>
      <c r="BB567" s="337">
        <f t="shared" si="458"/>
        <v>-32.114319642314953</v>
      </c>
      <c r="BC567" s="730">
        <f t="shared" si="459"/>
        <v>-89.992898065611442</v>
      </c>
      <c r="BD567" s="351"/>
      <c r="BE567" s="337">
        <f t="shared" si="420"/>
        <v>23.656498030634442</v>
      </c>
      <c r="BF567" s="730">
        <f t="shared" si="421"/>
        <v>-89.839554845944491</v>
      </c>
      <c r="BI567" s="351"/>
      <c r="BJ567" s="351"/>
      <c r="BL567" s="405">
        <f t="shared" si="422"/>
        <v>0</v>
      </c>
      <c r="BM567" s="405">
        <f t="shared" si="460"/>
        <v>0</v>
      </c>
      <c r="BN567" s="405">
        <f t="shared" si="423"/>
        <v>0</v>
      </c>
      <c r="BO567" s="405">
        <f t="shared" si="424"/>
        <v>0</v>
      </c>
    </row>
    <row r="568" spans="4:67" ht="13.5" thickBot="1" x14ac:dyDescent="0.25">
      <c r="D568" s="345">
        <v>94955.5</v>
      </c>
      <c r="E568" s="340" t="str">
        <f t="shared" si="411"/>
        <v>1.57508472643075i</v>
      </c>
      <c r="F568" s="728" t="str">
        <f t="shared" si="425"/>
        <v>0.005-0.0274770542805418i</v>
      </c>
      <c r="G568" s="337" t="str">
        <f t="shared" si="426"/>
        <v>0.005-0.0429769310541807i</v>
      </c>
      <c r="H568" s="338" t="str">
        <f t="shared" si="427"/>
        <v>0.00647721506207751-0.0425731748628436i</v>
      </c>
      <c r="I568" s="338" t="str">
        <f t="shared" si="428"/>
        <v>0.0164772150620775-0.0425731748628436i</v>
      </c>
      <c r="J568" s="337" t="str">
        <f t="shared" si="429"/>
        <v>0.00433505660059523-0.0168522547127128i</v>
      </c>
      <c r="K568" s="338" t="str">
        <f t="shared" si="412"/>
        <v>0.899816144663889-0.497185835363243i</v>
      </c>
      <c r="L568" s="732"/>
      <c r="M568" s="732" t="str">
        <f t="shared" si="413"/>
        <v>0.0421346036812704-15.14524807591i</v>
      </c>
      <c r="N568" s="337">
        <f t="shared" si="414"/>
        <v>0</v>
      </c>
      <c r="O568" s="730" t="str">
        <f t="shared" si="415"/>
        <v>-0.660806232735258-5.73508263703893i</v>
      </c>
      <c r="P568" s="731" t="str">
        <f t="shared" si="416"/>
        <v>-0.255048922370658-0.0663655707125818i</v>
      </c>
      <c r="Q568" s="729" t="str">
        <f t="shared" si="417"/>
        <v>-0.248440860043304-0.0090147443421926i</v>
      </c>
      <c r="R568" s="730"/>
      <c r="S568" s="405" t="str">
        <f t="shared" si="430"/>
        <v>34.3394864198753-18.5116754006632i</v>
      </c>
      <c r="T568" s="405" t="str">
        <f t="shared" si="431"/>
        <v>12.1719530414002-8.54199248483943i</v>
      </c>
      <c r="U568" s="405" t="str">
        <f t="shared" si="432"/>
        <v>-0.284819382159508-0.573527007636807i</v>
      </c>
      <c r="V568" s="731" t="str">
        <f t="shared" si="418"/>
        <v>6000</v>
      </c>
      <c r="W568" s="733" t="str">
        <f>IMSUM(COMPLEX(1,0),IMDIV(COMPLEX(0,2*PI()*D568),COMPLEX(2*PI()*'Stability Calculations'!EA_Pole1,0)))</f>
        <v>1+602589.23246025i</v>
      </c>
      <c r="X568" s="734">
        <f t="shared" si="433"/>
        <v>602589.23246107984</v>
      </c>
      <c r="Y568" s="735">
        <f t="shared" si="434"/>
        <v>1.570794667289638</v>
      </c>
      <c r="Z568" s="340" t="str">
        <f>IMSUM(COMPLEX(1,0),IMDIV(COMPLEX(0,2*PI()*D568),COMPLEX(2*PI()*'Stability Calculations'!EA_Zero1,0)))</f>
        <v>1+5966.23002435891i</v>
      </c>
      <c r="AA568" s="734">
        <f t="shared" si="435"/>
        <v>5966.2301081639253</v>
      </c>
      <c r="AB568" s="735">
        <f t="shared" si="436"/>
        <v>1.570628716765355</v>
      </c>
      <c r="AC568" s="733" t="str">
        <f>IMSUM(COMPLEX(1,0),IMDIV(COMPLEX(0,2*PI()*D568),COMPLEX(2*PI()*'Stability Calculations'!EA_Pole2,0)))</f>
        <v>1+60.1005563974353i</v>
      </c>
      <c r="AD568" s="734">
        <f t="shared" si="437"/>
        <v>60.108875212245493</v>
      </c>
      <c r="AE568" s="735">
        <f t="shared" si="438"/>
        <v>1.5541590809480861</v>
      </c>
      <c r="AF568" s="732" t="str">
        <f t="shared" si="439"/>
        <v>0.0162779382838307-0.988171594941672i</v>
      </c>
      <c r="AG568" s="337">
        <f t="shared" si="440"/>
        <v>0.98830565733701037</v>
      </c>
      <c r="AH568" s="730">
        <f t="shared" si="441"/>
        <v>-1.5543250314723693</v>
      </c>
      <c r="AI568" s="731" t="str">
        <f t="shared" si="419"/>
        <v>10000</v>
      </c>
      <c r="AJ568" s="733" t="str">
        <f t="shared" si="442"/>
        <v>1+561779.025847632i</v>
      </c>
      <c r="AK568" s="734">
        <f t="shared" si="443"/>
        <v>561779.02584852197</v>
      </c>
      <c r="AL568" s="735">
        <f t="shared" si="444"/>
        <v>1.5707945467355602</v>
      </c>
      <c r="AM568" s="340" t="str">
        <f t="shared" si="445"/>
        <v>1+953.403557892554i</v>
      </c>
      <c r="AN568" s="734">
        <f t="shared" si="446"/>
        <v>953.40408232930315</v>
      </c>
      <c r="AO568" s="735">
        <f t="shared" si="447"/>
        <v>1.5697474533928519</v>
      </c>
      <c r="AP568" s="733" t="str">
        <f t="shared" si="448"/>
        <v>1+46.2416440822045i</v>
      </c>
      <c r="AQ568" s="734">
        <f t="shared" si="449"/>
        <v>46.252455582652892</v>
      </c>
      <c r="AR568" s="735">
        <f t="shared" si="450"/>
        <v>1.549174168332718</v>
      </c>
      <c r="AS568" s="732" t="str">
        <f t="shared" si="451"/>
        <v>0.000303775109239112-2.46485336125761i</v>
      </c>
      <c r="AT568" s="337">
        <f t="shared" si="452"/>
        <v>2.4648533799766374</v>
      </c>
      <c r="AU568" s="730">
        <f t="shared" si="453"/>
        <v>-1.5706730841255858</v>
      </c>
      <c r="AV568" s="732" t="str">
        <f t="shared" si="454"/>
        <v>-0.0299924346491367+0.0203136466361058i</v>
      </c>
      <c r="AW568" s="337">
        <f t="shared" si="455"/>
        <v>-28.820031518669445</v>
      </c>
      <c r="AX568" s="730">
        <f t="shared" si="456"/>
        <v>145.89051513662008</v>
      </c>
      <c r="AY568" s="360">
        <f t="shared" si="457"/>
        <v>-34.109484863379919</v>
      </c>
      <c r="BB568" s="337">
        <f t="shared" si="458"/>
        <v>-32.164178186241415</v>
      </c>
      <c r="BC568" s="730">
        <f t="shared" si="459"/>
        <v>-89.992938715192565</v>
      </c>
      <c r="BD568" s="351"/>
      <c r="BE568" s="337">
        <f t="shared" si="420"/>
        <v>23.605561440579965</v>
      </c>
      <c r="BF568" s="730">
        <f t="shared" si="421"/>
        <v>-89.840601572052023</v>
      </c>
      <c r="BI568" s="351"/>
      <c r="BJ568" s="351"/>
      <c r="BL568" s="405">
        <f t="shared" si="422"/>
        <v>0</v>
      </c>
      <c r="BM568" s="405">
        <f t="shared" si="460"/>
        <v>0</v>
      </c>
      <c r="BN568" s="405">
        <f t="shared" si="423"/>
        <v>0</v>
      </c>
      <c r="BO568" s="405">
        <f t="shared" si="424"/>
        <v>0</v>
      </c>
    </row>
    <row r="569" spans="4:67" ht="13.5" thickBot="1" x14ac:dyDescent="0.25">
      <c r="D569" s="345">
        <v>95499</v>
      </c>
      <c r="E569" s="340" t="str">
        <f t="shared" si="411"/>
        <v>1.58410009203691i</v>
      </c>
      <c r="F569" s="728" t="str">
        <f t="shared" si="425"/>
        <v>0.005-0.0273206779938637i</v>
      </c>
      <c r="G569" s="337" t="str">
        <f t="shared" si="426"/>
        <v>0.005-0.0427323425032227i</v>
      </c>
      <c r="H569" s="338" t="str">
        <f t="shared" si="427"/>
        <v>0.00646023728552012-0.042331478013575i</v>
      </c>
      <c r="I569" s="338" t="str">
        <f t="shared" si="428"/>
        <v>0.0164602372855201-0.042331478013575i</v>
      </c>
      <c r="J569" s="337" t="str">
        <f t="shared" si="429"/>
        <v>0.00433214751654032-0.0167574483541009i</v>
      </c>
      <c r="K569" s="338" t="str">
        <f t="shared" si="412"/>
        <v>0.8986660111-0.500031594708619i</v>
      </c>
      <c r="L569" s="732"/>
      <c r="M569" s="732" t="str">
        <f t="shared" si="413"/>
        <v>0.041618269863818-15.0572178959303i</v>
      </c>
      <c r="N569" s="337">
        <f t="shared" si="414"/>
        <v>0</v>
      </c>
      <c r="O569" s="730" t="str">
        <f t="shared" si="415"/>
        <v>-0.65901595361167-5.70007727380304i</v>
      </c>
      <c r="P569" s="731" t="str">
        <f t="shared" si="416"/>
        <v>-0.252140254763063-0.0659275051216913i</v>
      </c>
      <c r="Q569" s="729" t="str">
        <f t="shared" si="417"/>
        <v>-0.245550095226946-0.00892673238366131i</v>
      </c>
      <c r="R569" s="730"/>
      <c r="S569" s="405" t="str">
        <f t="shared" si="430"/>
        <v>34.2709556361732-18.6088125941784i</v>
      </c>
      <c r="T569" s="405" t="str">
        <f t="shared" si="431"/>
        <v>12.1354813301991-8.57806766827287i</v>
      </c>
      <c r="U569" s="405" t="str">
        <f t="shared" si="432"/>
        <v>-0.284724193931364-0.569129213701762i</v>
      </c>
      <c r="V569" s="731" t="str">
        <f t="shared" si="418"/>
        <v>6000</v>
      </c>
      <c r="W569" s="733" t="str">
        <f>IMSUM(COMPLEX(1,0),IMDIV(COMPLEX(0,2*PI()*D569),COMPLEX(2*PI()*'Stability Calculations'!EA_Pole1,0)))</f>
        <v>1+606038.292786847i</v>
      </c>
      <c r="X569" s="734">
        <f t="shared" si="433"/>
        <v>606038.29278767202</v>
      </c>
      <c r="Y569" s="735">
        <f t="shared" si="434"/>
        <v>1.5707946767341465</v>
      </c>
      <c r="Z569" s="340" t="str">
        <f>IMSUM(COMPLEX(1,0),IMDIV(COMPLEX(0,2*PI()*D569),COMPLEX(2*PI()*'Stability Calculations'!EA_Zero1,0)))</f>
        <v>1+6000.37913650343i</v>
      </c>
      <c r="AA569" s="734">
        <f t="shared" si="435"/>
        <v>6000.3792198314977</v>
      </c>
      <c r="AB569" s="735">
        <f t="shared" si="436"/>
        <v>1.570629670660677</v>
      </c>
      <c r="AC569" s="733" t="str">
        <f>IMSUM(COMPLEX(1,0),IMDIV(COMPLEX(0,2*PI()*D569),COMPLEX(2*PI()*'Stability Calculations'!EA_Pole2,0)))</f>
        <v>1+60.4445559804189i</v>
      </c>
      <c r="AD569" s="734">
        <f t="shared" si="437"/>
        <v>60.452827458027095</v>
      </c>
      <c r="AE569" s="735">
        <f t="shared" si="438"/>
        <v>1.5542537488380352</v>
      </c>
      <c r="AF569" s="732" t="str">
        <f t="shared" si="439"/>
        <v>0.0160932353969075-0.982550808944256i</v>
      </c>
      <c r="AG569" s="337">
        <f t="shared" si="440"/>
        <v>0.98268259594975627</v>
      </c>
      <c r="AH569" s="730">
        <f t="shared" si="441"/>
        <v>-1.5544187549115047</v>
      </c>
      <c r="AI569" s="731" t="str">
        <f t="shared" si="419"/>
        <v>10000</v>
      </c>
      <c r="AJ569" s="733" t="str">
        <f t="shared" si="442"/>
        <v>1+564994.499417338i</v>
      </c>
      <c r="AK569" s="734">
        <f t="shared" si="443"/>
        <v>564994.49941822304</v>
      </c>
      <c r="AL569" s="735">
        <f t="shared" si="444"/>
        <v>1.570794556866161</v>
      </c>
      <c r="AM569" s="340" t="str">
        <f t="shared" si="445"/>
        <v>1+958.860586013248i</v>
      </c>
      <c r="AN569" s="734">
        <f t="shared" si="446"/>
        <v>958.86110746534575</v>
      </c>
      <c r="AO569" s="735">
        <f t="shared" si="447"/>
        <v>1.5697534226938863</v>
      </c>
      <c r="AP569" s="733" t="str">
        <f t="shared" si="448"/>
        <v>1+46.5063189410456i</v>
      </c>
      <c r="AQ569" s="734">
        <f t="shared" si="449"/>
        <v>46.51706892578526</v>
      </c>
      <c r="AR569" s="735">
        <f t="shared" si="450"/>
        <v>1.5492971854525441</v>
      </c>
      <c r="AS569" s="732" t="str">
        <f t="shared" si="451"/>
        <v>0.000300327283415258-2.45082548911763i</v>
      </c>
      <c r="AT569" s="337">
        <f t="shared" si="452"/>
        <v>2.4508255075188741</v>
      </c>
      <c r="AU569" s="730">
        <f t="shared" si="453"/>
        <v>-1.5706737855192139</v>
      </c>
      <c r="AV569" s="732" t="str">
        <f t="shared" si="454"/>
        <v>-0.0295637803430861+0.0201742398582098i</v>
      </c>
      <c r="AW569" s="337">
        <f t="shared" si="455"/>
        <v>-28.924450857927923</v>
      </c>
      <c r="AX569" s="730">
        <f t="shared" si="456"/>
        <v>145.69048336867306</v>
      </c>
      <c r="AY569" s="360">
        <f t="shared" si="457"/>
        <v>-34.309516631326943</v>
      </c>
      <c r="BB569" s="337">
        <f t="shared" si="458"/>
        <v>-32.213752165977084</v>
      </c>
      <c r="BC569" s="730">
        <f t="shared" si="459"/>
        <v>-89.992978902087231</v>
      </c>
      <c r="BD569" s="351"/>
      <c r="BE569" s="337">
        <f t="shared" si="420"/>
        <v>23.554927882985218</v>
      </c>
      <c r="BF569" s="730">
        <f t="shared" si="421"/>
        <v>-89.841634413615324</v>
      </c>
      <c r="BI569" s="351"/>
      <c r="BJ569" s="351"/>
      <c r="BL569" s="405">
        <f t="shared" si="422"/>
        <v>0</v>
      </c>
      <c r="BM569" s="405">
        <f t="shared" si="460"/>
        <v>0</v>
      </c>
      <c r="BN569" s="405">
        <f t="shared" si="423"/>
        <v>0</v>
      </c>
      <c r="BO569" s="405">
        <f t="shared" si="424"/>
        <v>0</v>
      </c>
    </row>
    <row r="570" spans="4:67" ht="13.5" thickBot="1" x14ac:dyDescent="0.25">
      <c r="D570" s="345">
        <v>96611.5</v>
      </c>
      <c r="E570" s="340" t="str">
        <f t="shared" si="411"/>
        <v>1.60255380728409i</v>
      </c>
      <c r="F570" s="728" t="str">
        <f t="shared" si="425"/>
        <v>0.005-0.0270060751332501i</v>
      </c>
      <c r="G570" s="337" t="str">
        <f t="shared" si="426"/>
        <v>0.005-0.042240271362263i</v>
      </c>
      <c r="H570" s="338" t="str">
        <f t="shared" si="427"/>
        <v>0.00642637299404882-0.0418451937939506i</v>
      </c>
      <c r="I570" s="338" t="str">
        <f t="shared" si="428"/>
        <v>0.0164263729940488-0.0418451937939506i</v>
      </c>
      <c r="J570" s="337" t="str">
        <f t="shared" si="429"/>
        <v>0.00432632550059197-0.0165667251197649i</v>
      </c>
      <c r="K570" s="338" t="str">
        <f t="shared" si="412"/>
        <v>0.896291311863889-0.505856631087151i</v>
      </c>
      <c r="L570" s="732"/>
      <c r="M570" s="732" t="str">
        <f t="shared" si="413"/>
        <v>0.0405908991231974-14.8802122387734i</v>
      </c>
      <c r="N570" s="337">
        <f t="shared" si="414"/>
        <v>0</v>
      </c>
      <c r="O570" s="730" t="str">
        <f t="shared" si="415"/>
        <v>-0.655415257856347-5.62967116629937i</v>
      </c>
      <c r="P570" s="731" t="str">
        <f t="shared" si="416"/>
        <v>-0.246340776441552-0.0650490999309639i</v>
      </c>
      <c r="Q570" s="729" t="str">
        <f t="shared" si="417"/>
        <v>-0.239786623862989-0.0087523882679703i</v>
      </c>
      <c r="R570" s="730"/>
      <c r="S570" s="405" t="str">
        <f t="shared" si="430"/>
        <v>34.1294934897846-18.8067327437255i</v>
      </c>
      <c r="T570" s="405" t="str">
        <f t="shared" si="431"/>
        <v>12.0603413432699-8.65137202809357i</v>
      </c>
      <c r="U570" s="405" t="str">
        <f t="shared" si="432"/>
        <v>-0.28451408719174-0.560264264293131i</v>
      </c>
      <c r="V570" s="731" t="str">
        <f t="shared" si="418"/>
        <v>6000</v>
      </c>
      <c r="W570" s="733" t="str">
        <f>IMSUM(COMPLEX(1,0),IMDIV(COMPLEX(0,2*PI()*D570),COMPLEX(2*PI()*'Stability Calculations'!EA_Pole1,0)))</f>
        <v>1+613098.236877627i</v>
      </c>
      <c r="X570" s="734">
        <f t="shared" si="433"/>
        <v>613098.23687844246</v>
      </c>
      <c r="Y570" s="735">
        <f t="shared" si="434"/>
        <v>1.5707946957349133</v>
      </c>
      <c r="Z570" s="340" t="str">
        <f>IMSUM(COMPLEX(1,0),IMDIV(COMPLEX(0,2*PI()*D570),COMPLEX(2*PI()*'Stability Calculations'!EA_Zero1,0)))</f>
        <v>1+6070.27957304581i</v>
      </c>
      <c r="AA570" s="734">
        <f t="shared" si="435"/>
        <v>6070.2796554143388</v>
      </c>
      <c r="AB570" s="735">
        <f t="shared" si="436"/>
        <v>1.570631589738074</v>
      </c>
      <c r="AC570" s="733" t="str">
        <f>IMSUM(COMPLEX(1,0),IMDIV(COMPLEX(0,2*PI()*D570),COMPLEX(2*PI()*'Stability Calculations'!EA_Pole2,0)))</f>
        <v>1+61.1486949612273i</v>
      </c>
      <c r="AD570" s="734">
        <f t="shared" si="437"/>
        <v>61.156871203988388</v>
      </c>
      <c r="AE570" s="735">
        <f t="shared" si="438"/>
        <v>1.5544442056511314</v>
      </c>
      <c r="AF570" s="732" t="str">
        <f t="shared" si="439"/>
        <v>0.0157248344788651-0.971242572111186i</v>
      </c>
      <c r="AG570" s="337">
        <f t="shared" si="440"/>
        <v>0.97136985968298406</v>
      </c>
      <c r="AH570" s="730">
        <f t="shared" si="441"/>
        <v>-1.5546073116479706</v>
      </c>
      <c r="AI570" s="731" t="str">
        <f t="shared" si="419"/>
        <v>10000</v>
      </c>
      <c r="AJ570" s="733" t="str">
        <f t="shared" si="442"/>
        <v>1+571576.310542081i</v>
      </c>
      <c r="AK570" s="734">
        <f t="shared" si="443"/>
        <v>571576.31054295576</v>
      </c>
      <c r="AL570" s="735">
        <f t="shared" si="444"/>
        <v>1.5707945772472307</v>
      </c>
      <c r="AM570" s="340" t="str">
        <f t="shared" si="445"/>
        <v>1+970.03067577272i</v>
      </c>
      <c r="AN570" s="734">
        <f t="shared" si="446"/>
        <v>970.03119122019984</v>
      </c>
      <c r="AO570" s="735">
        <f t="shared" si="447"/>
        <v>1.5697654319265923</v>
      </c>
      <c r="AP570" s="733" t="str">
        <f t="shared" si="448"/>
        <v>1+47.0480867063826i</v>
      </c>
      <c r="AQ570" s="734">
        <f t="shared" si="449"/>
        <v>47.058712931095926</v>
      </c>
      <c r="AR570" s="735">
        <f t="shared" si="450"/>
        <v>1.5495446772325263</v>
      </c>
      <c r="AS570" s="732" t="str">
        <f t="shared" si="451"/>
        <v>0.00029345045397249-2.42260376317231i</v>
      </c>
      <c r="AT570" s="337">
        <f t="shared" si="452"/>
        <v>2.4226037809451642</v>
      </c>
      <c r="AU570" s="730">
        <f t="shared" si="453"/>
        <v>-1.5706751966055532</v>
      </c>
      <c r="AV570" s="732" t="str">
        <f t="shared" si="454"/>
        <v>-0.0287091947154479+0.0198932074344091i</v>
      </c>
      <c r="AW570" s="337">
        <f t="shared" si="455"/>
        <v>-29.136552761876629</v>
      </c>
      <c r="AX570" s="730">
        <f t="shared" si="456"/>
        <v>145.28109393522399</v>
      </c>
      <c r="AY570" s="360">
        <f t="shared" si="457"/>
        <v>-34.718906064776007</v>
      </c>
      <c r="BB570" s="337">
        <f t="shared" si="458"/>
        <v>-32.314352186254808</v>
      </c>
      <c r="BC570" s="730">
        <f t="shared" si="459"/>
        <v>-89.993059751379008</v>
      </c>
      <c r="BD570" s="351"/>
      <c r="BE570" s="337">
        <f t="shared" si="420"/>
        <v>23.452214829582427</v>
      </c>
      <c r="BF570" s="730">
        <f t="shared" si="421"/>
        <v>-89.843706433717173</v>
      </c>
      <c r="BI570" s="351"/>
      <c r="BJ570" s="351"/>
      <c r="BL570" s="405">
        <f t="shared" si="422"/>
        <v>0</v>
      </c>
      <c r="BM570" s="405">
        <f t="shared" si="460"/>
        <v>0</v>
      </c>
      <c r="BN570" s="405">
        <f t="shared" si="423"/>
        <v>0</v>
      </c>
      <c r="BO570" s="405">
        <f t="shared" si="424"/>
        <v>0</v>
      </c>
    </row>
    <row r="571" spans="4:67" ht="13.5" thickBot="1" x14ac:dyDescent="0.25">
      <c r="D571" s="345">
        <v>97724</v>
      </c>
      <c r="E571" s="340" t="str">
        <f t="shared" si="411"/>
        <v>1.62100752253128i</v>
      </c>
      <c r="F571" s="728" t="str">
        <f t="shared" si="425"/>
        <v>0.005-0.0266986352148499i</v>
      </c>
      <c r="G571" s="337" t="str">
        <f t="shared" si="426"/>
        <v>0.005-0.0417594037975857i</v>
      </c>
      <c r="H571" s="338" t="str">
        <f t="shared" si="427"/>
        <v>0.00639365685062135-0.0413699421464347i</v>
      </c>
      <c r="I571" s="338" t="str">
        <f t="shared" si="428"/>
        <v>0.0163936568506214-0.0413699421464347i</v>
      </c>
      <c r="J571" s="337" t="str">
        <f t="shared" si="429"/>
        <v>0.00432067486955589-0.0163803591718747i</v>
      </c>
      <c r="K571" s="338" t="str">
        <f t="shared" si="412"/>
        <v>0.893889109155555-0.511681667465682i</v>
      </c>
      <c r="L571" s="732"/>
      <c r="M571" s="732" t="str">
        <f t="shared" si="413"/>
        <v>0.0396015479200425-14.7073597116349i</v>
      </c>
      <c r="N571" s="337">
        <f t="shared" si="414"/>
        <v>0</v>
      </c>
      <c r="O571" s="730" t="str">
        <f t="shared" si="415"/>
        <v>-0.651896922920339-5.56089138009924i</v>
      </c>
      <c r="P571" s="731" t="str">
        <f t="shared" si="416"/>
        <v>-0.240740729133645-0.064194407082272i</v>
      </c>
      <c r="Q571" s="729" t="str">
        <f t="shared" si="417"/>
        <v>-0.234221759904442-0.00858549328127933i</v>
      </c>
      <c r="R571" s="730"/>
      <c r="S571" s="405" t="str">
        <f t="shared" si="430"/>
        <v>33.9864444673793-19.0034159369838i</v>
      </c>
      <c r="T571" s="405" t="str">
        <f t="shared" si="431"/>
        <v>11.9845559933265-8.72394501323504i</v>
      </c>
      <c r="U571" s="405" t="str">
        <f t="shared" si="432"/>
        <v>-0.284283961957826-0.551578298892939i</v>
      </c>
      <c r="V571" s="731" t="str">
        <f t="shared" si="418"/>
        <v>6000</v>
      </c>
      <c r="W571" s="733" t="str">
        <f>IMSUM(COMPLEX(1,0),IMDIV(COMPLEX(0,2*PI()*D571),COMPLEX(2*PI()*'Stability Calculations'!EA_Pole1,0)))</f>
        <v>1+620158.180968406i</v>
      </c>
      <c r="X571" s="734">
        <f t="shared" si="433"/>
        <v>620158.18096921232</v>
      </c>
      <c r="Y571" s="735">
        <f t="shared" si="434"/>
        <v>1.5707947143030667</v>
      </c>
      <c r="Z571" s="340" t="str">
        <f>IMSUM(COMPLEX(1,0),IMDIV(COMPLEX(0,2*PI()*D571),COMPLEX(2*PI()*'Stability Calculations'!EA_Zero1,0)))</f>
        <v>1+6140.18000958818i</v>
      </c>
      <c r="AA571" s="734">
        <f t="shared" si="435"/>
        <v>6140.1800910190168</v>
      </c>
      <c r="AB571" s="735">
        <f t="shared" si="436"/>
        <v>1.5706334651215259</v>
      </c>
      <c r="AC571" s="733" t="str">
        <f>IMSUM(COMPLEX(1,0),IMDIV(COMPLEX(0,2*PI()*D571),COMPLEX(2*PI()*'Stability Calculations'!EA_Pole2,0)))</f>
        <v>1+61.8528339420357i</v>
      </c>
      <c r="AD571" s="734">
        <f t="shared" si="437"/>
        <v>61.860917117846256</v>
      </c>
      <c r="AE571" s="735">
        <f t="shared" si="438"/>
        <v>1.5546303272509008</v>
      </c>
      <c r="AF571" s="732" t="str">
        <f t="shared" si="439"/>
        <v>0.0153689391636905-0.96019160134197i</v>
      </c>
      <c r="AG571" s="337">
        <f t="shared" si="440"/>
        <v>0.96031459198466518</v>
      </c>
      <c r="AH571" s="730">
        <f t="shared" si="441"/>
        <v>-1.5547915764324416</v>
      </c>
      <c r="AI571" s="731" t="str">
        <f t="shared" si="419"/>
        <v>10000</v>
      </c>
      <c r="AJ571" s="733" t="str">
        <f t="shared" si="442"/>
        <v>1+578158.121666823i</v>
      </c>
      <c r="AK571" s="734">
        <f t="shared" si="443"/>
        <v>578158.12166768778</v>
      </c>
      <c r="AL571" s="735">
        <f t="shared" si="444"/>
        <v>1.5707945971642601</v>
      </c>
      <c r="AM571" s="340" t="str">
        <f t="shared" si="445"/>
        <v>1+981.200765532191i</v>
      </c>
      <c r="AN571" s="734">
        <f t="shared" si="446"/>
        <v>981.20127511176713</v>
      </c>
      <c r="AO571" s="735">
        <f t="shared" si="447"/>
        <v>1.5697771677309214</v>
      </c>
      <c r="AP571" s="733" t="str">
        <f t="shared" si="448"/>
        <v>1+47.5898544717195i</v>
      </c>
      <c r="AQ571" s="734">
        <f t="shared" si="449"/>
        <v>47.600359753256491</v>
      </c>
      <c r="AR571" s="735">
        <f t="shared" si="450"/>
        <v>1.5497865365849006</v>
      </c>
      <c r="AS571" s="732" t="str">
        <f t="shared" si="451"/>
        <v>0.00028680714469881-2.39502459522191i</v>
      </c>
      <c r="AT571" s="337">
        <f t="shared" si="452"/>
        <v>2.3950246123946641</v>
      </c>
      <c r="AU571" s="730">
        <f t="shared" si="453"/>
        <v>-1.5706765755639907</v>
      </c>
      <c r="AV571" s="732" t="str">
        <f t="shared" si="454"/>
        <v>-0.0278841429439609+0.0196178254411545i</v>
      </c>
      <c r="AW571" s="337">
        <f t="shared" si="455"/>
        <v>-29.346501888091233</v>
      </c>
      <c r="AX571" s="730">
        <f t="shared" si="456"/>
        <v>144.87178431020362</v>
      </c>
      <c r="AY571" s="360">
        <f t="shared" si="457"/>
        <v>-35.128215689796377</v>
      </c>
      <c r="BB571" s="337">
        <f t="shared" si="458"/>
        <v>-32.413800384259638</v>
      </c>
      <c r="BC571" s="730">
        <f t="shared" si="459"/>
        <v>-89.993138759877596</v>
      </c>
      <c r="BD571" s="351"/>
      <c r="BE571" s="337">
        <f t="shared" si="420"/>
        <v>23.350725777378859</v>
      </c>
      <c r="BF571" s="730">
        <f t="shared" si="421"/>
        <v>-89.845723765592084</v>
      </c>
      <c r="BI571" s="351"/>
      <c r="BJ571" s="351"/>
      <c r="BL571" s="405">
        <f t="shared" si="422"/>
        <v>0</v>
      </c>
      <c r="BM571" s="405">
        <f t="shared" si="460"/>
        <v>0</v>
      </c>
      <c r="BN571" s="405">
        <f t="shared" si="423"/>
        <v>0</v>
      </c>
      <c r="BO571" s="405">
        <f t="shared" si="424"/>
        <v>0</v>
      </c>
    </row>
    <row r="572" spans="4:67" ht="13.5" thickBot="1" x14ac:dyDescent="0.25">
      <c r="D572" s="345">
        <v>98862</v>
      </c>
      <c r="E572" s="340" t="str">
        <f t="shared" si="411"/>
        <v>1.63988422181334i</v>
      </c>
      <c r="F572" s="728" t="str">
        <f t="shared" si="425"/>
        <v>0.005-0.0263913073550605i</v>
      </c>
      <c r="G572" s="337" t="str">
        <f t="shared" si="426"/>
        <v>0.005-0.041278711504069i</v>
      </c>
      <c r="H572" s="338" t="str">
        <f t="shared" si="427"/>
        <v>0.00636132526548236-0.0408948253911595i</v>
      </c>
      <c r="I572" s="338" t="str">
        <f t="shared" si="428"/>
        <v>0.0163613252654824-0.0408948253911595i</v>
      </c>
      <c r="J572" s="337" t="str">
        <f t="shared" si="429"/>
        <v>0.00431506388029195-0.0161940762296474i</v>
      </c>
      <c r="K572" s="338" t="str">
        <f t="shared" si="412"/>
        <v>0.8914033884-0.51764022153199i</v>
      </c>
      <c r="L572" s="732"/>
      <c r="M572" s="732" t="str">
        <f t="shared" si="413"/>
        <v>0.0386269000059973-14.534690246565i</v>
      </c>
      <c r="N572" s="337">
        <f t="shared" si="414"/>
        <v>0</v>
      </c>
      <c r="O572" s="730" t="str">
        <f t="shared" si="415"/>
        <v>-0.648379051770854-5.49215852070536i</v>
      </c>
      <c r="P572" s="731" t="str">
        <f t="shared" si="416"/>
        <v>-0.235209204286163-0.0633436438573964i</v>
      </c>
      <c r="Q572" s="729" t="str">
        <f t="shared" si="417"/>
        <v>-0.228725413768454-0.00842205865034249i</v>
      </c>
      <c r="R572" s="730"/>
      <c r="S572" s="405" t="str">
        <f t="shared" si="430"/>
        <v>33.8384820244666-19.203312315828i</v>
      </c>
      <c r="T572" s="405" t="str">
        <f t="shared" si="431"/>
        <v>11.906374483124-8.79741517823834i</v>
      </c>
      <c r="U572" s="405" t="str">
        <f t="shared" si="432"/>
        <v>-0.284028436787802-0.542872324973377i</v>
      </c>
      <c r="V572" s="731" t="str">
        <f t="shared" si="418"/>
        <v>6000</v>
      </c>
      <c r="W572" s="733" t="str">
        <f>IMSUM(COMPLEX(1,0),IMDIV(COMPLEX(0,2*PI()*D572),COMPLEX(2*PI()*'Stability Calculations'!EA_Pole1,0)))</f>
        <v>1+627379.948496772i</v>
      </c>
      <c r="X572" s="734">
        <f t="shared" si="433"/>
        <v>627379.94849756896</v>
      </c>
      <c r="Y572" s="735">
        <f t="shared" si="434"/>
        <v>1.5707947328644525</v>
      </c>
      <c r="Z572" s="340" t="str">
        <f>IMSUM(COMPLEX(1,0),IMDIV(COMPLEX(0,2*PI()*D572),COMPLEX(2*PI()*'Stability Calculations'!EA_Zero1,0)))</f>
        <v>1+6211.68265838388i</v>
      </c>
      <c r="AA572" s="734">
        <f t="shared" si="435"/>
        <v>6211.6827388773672</v>
      </c>
      <c r="AB572" s="735">
        <f t="shared" si="436"/>
        <v>1.5706353398214215</v>
      </c>
      <c r="AC572" s="733" t="str">
        <f>IMSUM(COMPLEX(1,0),IMDIV(COMPLEX(0,2*PI()*D572),COMPLEX(2*PI()*'Stability Calculations'!EA_Pole2,0)))</f>
        <v>1+62.573112737685i</v>
      </c>
      <c r="AD572" s="734">
        <f t="shared" si="437"/>
        <v>62.581102880047084</v>
      </c>
      <c r="AE572" s="735">
        <f t="shared" si="438"/>
        <v>1.5548163821308225</v>
      </c>
      <c r="AF572" s="732" t="str">
        <f t="shared" si="439"/>
        <v>0.015017241850952-0.949144461076692i</v>
      </c>
      <c r="AG572" s="337">
        <f t="shared" si="440"/>
        <v>0.94926325407938028</v>
      </c>
      <c r="AH572" s="730">
        <f t="shared" si="441"/>
        <v>-1.5549757751738533</v>
      </c>
      <c r="AI572" s="731" t="str">
        <f t="shared" si="419"/>
        <v>10000</v>
      </c>
      <c r="AJ572" s="733" t="str">
        <f t="shared" si="442"/>
        <v>1+584890.796776897i</v>
      </c>
      <c r="AK572" s="734">
        <f t="shared" si="443"/>
        <v>584890.79677775188</v>
      </c>
      <c r="AL572" s="735">
        <f t="shared" si="444"/>
        <v>1.5707946170740299</v>
      </c>
      <c r="AM572" s="340" t="str">
        <f t="shared" si="445"/>
        <v>1+992.626888809744i</v>
      </c>
      <c r="AN572" s="734">
        <f t="shared" si="446"/>
        <v>992.62739252355505</v>
      </c>
      <c r="AO572" s="735">
        <f t="shared" si="447"/>
        <v>1.5697888992579541</v>
      </c>
      <c r="AP572" s="733" t="str">
        <f t="shared" si="448"/>
        <v>1+48.1440402847113i</v>
      </c>
      <c r="AQ572" s="734">
        <f t="shared" si="449"/>
        <v>48.154424666232956</v>
      </c>
      <c r="AR572" s="735">
        <f t="shared" si="450"/>
        <v>1.5500283102391108</v>
      </c>
      <c r="AS572" s="732" t="str">
        <f t="shared" si="451"/>
        <v>0.000280242276311794-2.36745547956031i</v>
      </c>
      <c r="AT572" s="337">
        <f t="shared" si="452"/>
        <v>2.3674554961468379</v>
      </c>
      <c r="AU572" s="730">
        <f t="shared" si="453"/>
        <v>-1.5706779540198128</v>
      </c>
      <c r="AV572" s="732" t="str">
        <f t="shared" si="454"/>
        <v>-0.0270693665227193+0.0193417884161787i</v>
      </c>
      <c r="AW572" s="337">
        <f t="shared" si="455"/>
        <v>-29.559091184475975</v>
      </c>
      <c r="AX572" s="730">
        <f t="shared" si="456"/>
        <v>144.45317586853014</v>
      </c>
      <c r="AY572" s="360">
        <f t="shared" si="457"/>
        <v>-35.546824131469862</v>
      </c>
      <c r="BB572" s="337">
        <f t="shared" si="458"/>
        <v>-32.51436352387087</v>
      </c>
      <c r="BC572" s="730">
        <f t="shared" si="459"/>
        <v>-89.993217739578455</v>
      </c>
      <c r="BD572" s="351"/>
      <c r="BE572" s="337">
        <f t="shared" si="420"/>
        <v>23.24814628895146</v>
      </c>
      <c r="BF572" s="730">
        <f t="shared" si="421"/>
        <v>-89.847733037427275</v>
      </c>
      <c r="BI572" s="351"/>
      <c r="BJ572" s="351"/>
      <c r="BL572" s="405">
        <f t="shared" si="422"/>
        <v>0</v>
      </c>
      <c r="BM572" s="405">
        <f t="shared" si="460"/>
        <v>0</v>
      </c>
      <c r="BN572" s="405">
        <f t="shared" si="423"/>
        <v>0</v>
      </c>
      <c r="BO572" s="405">
        <f t="shared" si="424"/>
        <v>0</v>
      </c>
    </row>
    <row r="573" spans="4:67" ht="13.5" thickBot="1" x14ac:dyDescent="0.25">
      <c r="D573" s="345">
        <v>100000</v>
      </c>
      <c r="E573" s="340" t="str">
        <f t="shared" si="411"/>
        <v>1.65876092109541i</v>
      </c>
      <c r="F573" s="728" t="str">
        <f t="shared" si="425"/>
        <v>0.005-0.0260909742773599i</v>
      </c>
      <c r="G573" s="337" t="str">
        <f t="shared" si="426"/>
        <v>0.005-0.0408089597671526i</v>
      </c>
      <c r="H573" s="338" t="str">
        <f t="shared" si="427"/>
        <v>0.00633008954740618-0.0404304856865264i</v>
      </c>
      <c r="I573" s="338" t="str">
        <f t="shared" si="428"/>
        <v>0.0163300895474062-0.0404304856865264i</v>
      </c>
      <c r="J573" s="337" t="str">
        <f t="shared" si="429"/>
        <v>0.00430961612299159-0.0160120480327387i</v>
      </c>
      <c r="K573" s="338" t="str">
        <f t="shared" si="412"/>
        <v>0.888888888888889-0.523598775598299i</v>
      </c>
      <c r="L573" s="732"/>
      <c r="M573" s="732" t="str">
        <f t="shared" si="413"/>
        <v>0.0376881869449238-14.3660652978464i</v>
      </c>
      <c r="N573" s="337">
        <f t="shared" si="414"/>
        <v>0</v>
      </c>
      <c r="O573" s="730" t="str">
        <f t="shared" si="415"/>
        <v>-0.644939265696934-5.42501002119048i</v>
      </c>
      <c r="P573" s="731" t="str">
        <f t="shared" si="416"/>
        <v>-0.229867705972473-0.062515691691178i</v>
      </c>
      <c r="Q573" s="729" t="str">
        <f t="shared" si="417"/>
        <v>-0.223418313315504-0.00826559147927317i</v>
      </c>
      <c r="R573" s="730"/>
      <c r="S573" s="405" t="str">
        <f t="shared" si="430"/>
        <v>33.6888742652817-19.4018831761479i</v>
      </c>
      <c r="T573" s="405" t="str">
        <f t="shared" si="431"/>
        <v>11.8275354221351-8.8701007698027i</v>
      </c>
      <c r="U573" s="405" t="str">
        <f t="shared" si="432"/>
        <v>-0.283753123864321-0.534341533758886i</v>
      </c>
      <c r="V573" s="731" t="str">
        <f t="shared" si="418"/>
        <v>6000</v>
      </c>
      <c r="W573" s="733" t="str">
        <f>IMSUM(COMPLEX(1,0),IMDIV(COMPLEX(0,2*PI()*D573),COMPLEX(2*PI()*'Stability Calculations'!EA_Pole1,0)))</f>
        <v>1+634601.716025139i</v>
      </c>
      <c r="X573" s="734">
        <f t="shared" si="433"/>
        <v>634601.71602592699</v>
      </c>
      <c r="Y573" s="735">
        <f t="shared" si="434"/>
        <v>1.5707947510033808</v>
      </c>
      <c r="Z573" s="340" t="str">
        <f>IMSUM(COMPLEX(1,0),IMDIV(COMPLEX(0,2*PI()*D573),COMPLEX(2*PI()*'Stability Calculations'!EA_Zero1,0)))</f>
        <v>1+6283.18530717959i</v>
      </c>
      <c r="AA573" s="734">
        <f t="shared" si="435"/>
        <v>6283.1853867570608</v>
      </c>
      <c r="AB573" s="735">
        <f t="shared" si="436"/>
        <v>1.5706371718531484</v>
      </c>
      <c r="AC573" s="733" t="str">
        <f>IMSUM(COMPLEX(1,0),IMDIV(COMPLEX(0,2*PI()*D573),COMPLEX(2*PI()*'Stability Calculations'!EA_Pole2,0)))</f>
        <v>1+63.2933915333344i</v>
      </c>
      <c r="AD573" s="734">
        <f t="shared" si="437"/>
        <v>63.301290759288364</v>
      </c>
      <c r="AE573" s="735">
        <f t="shared" si="438"/>
        <v>1.5549982034707222</v>
      </c>
      <c r="AF573" s="732" t="str">
        <f t="shared" si="439"/>
        <v>0.0146774790375869-0.938348565165666i</v>
      </c>
      <c r="AG573" s="337">
        <f t="shared" si="440"/>
        <v>0.9384633493852399</v>
      </c>
      <c r="AH573" s="730">
        <f t="shared" si="441"/>
        <v>-1.5551557826209546</v>
      </c>
      <c r="AI573" s="731" t="str">
        <f t="shared" si="419"/>
        <v>10000</v>
      </c>
      <c r="AJ573" s="733" t="str">
        <f t="shared" si="442"/>
        <v>1+591623.471886971i</v>
      </c>
      <c r="AK573" s="734">
        <f t="shared" si="443"/>
        <v>591623.47188781621</v>
      </c>
      <c r="AL573" s="735">
        <f t="shared" si="444"/>
        <v>1.5707946365306533</v>
      </c>
      <c r="AM573" s="340" t="str">
        <f t="shared" si="445"/>
        <v>1+1004.0530120873i</v>
      </c>
      <c r="AN573" s="734">
        <f t="shared" si="446"/>
        <v>1004.0535100688508</v>
      </c>
      <c r="AO573" s="735">
        <f t="shared" si="447"/>
        <v>1.5698003637756994</v>
      </c>
      <c r="AP573" s="733" t="str">
        <f t="shared" si="448"/>
        <v>1+48.6982260977032i</v>
      </c>
      <c r="AQ573" s="734">
        <f t="shared" si="449"/>
        <v>48.708492330013875</v>
      </c>
      <c r="AR573" s="735">
        <f t="shared" si="450"/>
        <v>1.550264583471225</v>
      </c>
      <c r="AS573" s="732" t="str">
        <f t="shared" si="451"/>
        <v>0.00027390025479764-2.34051383694509i</v>
      </c>
      <c r="AT573" s="337">
        <f t="shared" si="452"/>
        <v>2.3405138529717737</v>
      </c>
      <c r="AU573" s="730">
        <f t="shared" si="453"/>
        <v>-1.5706793011019808</v>
      </c>
      <c r="AV573" s="732" t="str">
        <f t="shared" si="454"/>
        <v>-0.0262827891997078+0.0190712882389533i</v>
      </c>
      <c r="AW573" s="337">
        <f t="shared" si="455"/>
        <v>-29.76953809977616</v>
      </c>
      <c r="AX573" s="730">
        <f t="shared" si="456"/>
        <v>144.0346522945961</v>
      </c>
      <c r="AY573" s="360">
        <f t="shared" si="457"/>
        <v>-35.9653477054039</v>
      </c>
      <c r="BB573" s="337">
        <f t="shared" si="458"/>
        <v>-32.613775680763737</v>
      </c>
      <c r="BC573" s="730">
        <f t="shared" si="459"/>
        <v>-89.993294921701334</v>
      </c>
      <c r="BD573" s="351"/>
      <c r="BE573" s="337">
        <f t="shared" si="420"/>
        <v>23.146786611300495</v>
      </c>
      <c r="BF573" s="730">
        <f t="shared" si="421"/>
        <v>-89.849689594829115</v>
      </c>
      <c r="BI573" s="351"/>
      <c r="BJ573" s="351"/>
      <c r="BL573" s="405">
        <f t="shared" si="422"/>
        <v>0</v>
      </c>
      <c r="BM573" s="405">
        <f t="shared" si="460"/>
        <v>0</v>
      </c>
      <c r="BN573" s="405">
        <f t="shared" si="423"/>
        <v>0</v>
      </c>
      <c r="BO573" s="405">
        <f t="shared" si="424"/>
        <v>0</v>
      </c>
    </row>
    <row r="574" spans="4:67" ht="13.5" thickBot="1" x14ac:dyDescent="0.25">
      <c r="D574" s="345">
        <v>101165</v>
      </c>
      <c r="E574" s="340" t="str">
        <f t="shared" si="411"/>
        <v>1.67808548582617i</v>
      </c>
      <c r="F574" s="728" t="str">
        <f t="shared" si="425"/>
        <v>0.005-0.0257905147801709i</v>
      </c>
      <c r="G574" s="337" t="str">
        <f t="shared" si="426"/>
        <v>0.005-0.0403390102971904i</v>
      </c>
      <c r="H574" s="338" t="str">
        <f t="shared" si="427"/>
        <v>0.00629919681789967-0.0399659147309253i</v>
      </c>
      <c r="I574" s="338" t="str">
        <f t="shared" si="428"/>
        <v>0.0162991968178997-0.0399659147309253i</v>
      </c>
      <c r="J574" s="337" t="str">
        <f t="shared" si="429"/>
        <v>0.0043042004120145-0.0158299583773023i</v>
      </c>
      <c r="K574" s="338" t="str">
        <f t="shared" si="412"/>
        <v>0.886284919722222-0.529698701334019i</v>
      </c>
      <c r="L574" s="732"/>
      <c r="M574" s="732" t="str">
        <f t="shared" si="413"/>
        <v>0.0367625818360464-14.1974812998214i</v>
      </c>
      <c r="N574" s="337">
        <f t="shared" si="414"/>
        <v>0</v>
      </c>
      <c r="O574" s="730" t="str">
        <f t="shared" si="415"/>
        <v>-0.641494845388988-5.35785194002975i</v>
      </c>
      <c r="P574" s="731" t="str">
        <f t="shared" si="416"/>
        <v>-0.224587304518815-0.0616907550005662i</v>
      </c>
      <c r="Q574" s="729" t="str">
        <f t="shared" si="417"/>
        <v>-0.218172356064925-0.00811223560026859i</v>
      </c>
      <c r="R574" s="730"/>
      <c r="S574" s="405" t="str">
        <f t="shared" si="430"/>
        <v>33.5340210808978-19.6037753787058i</v>
      </c>
      <c r="T574" s="405" t="str">
        <f t="shared" si="431"/>
        <v>11.7461542971609-8.94368824232743i</v>
      </c>
      <c r="U574" s="405" t="str">
        <f t="shared" si="432"/>
        <v>-0.283451343901602-0.525783853572981i</v>
      </c>
      <c r="V574" s="731" t="str">
        <f t="shared" si="418"/>
        <v>6000</v>
      </c>
      <c r="W574" s="733" t="str">
        <f>IMSUM(COMPLEX(1,0),IMDIV(COMPLEX(0,2*PI()*D574),COMPLEX(2*PI()*'Stability Calculations'!EA_Pole1,0)))</f>
        <v>1+641994.826016831i</v>
      </c>
      <c r="X574" s="734">
        <f t="shared" si="433"/>
        <v>641994.82601760991</v>
      </c>
      <c r="Y574" s="735">
        <f t="shared" si="434"/>
        <v>1.5707947691499446</v>
      </c>
      <c r="Z574" s="340" t="str">
        <f>IMSUM(COMPLEX(1,0),IMDIV(COMPLEX(0,2*PI()*D574),COMPLEX(2*PI()*'Stability Calculations'!EA_Zero1,0)))</f>
        <v>1+6356.38441600823i</v>
      </c>
      <c r="AA574" s="734">
        <f t="shared" si="435"/>
        <v>6356.3844946692998</v>
      </c>
      <c r="AB574" s="735">
        <f t="shared" si="436"/>
        <v>1.5706390046560355</v>
      </c>
      <c r="AC574" s="733" t="str">
        <f>IMSUM(COMPLEX(1,0),IMDIV(COMPLEX(0,2*PI()*D574),COMPLEX(2*PI()*'Stability Calculations'!EA_Pole2,0)))</f>
        <v>1+64.0307595446977i</v>
      </c>
      <c r="AD574" s="734">
        <f t="shared" si="437"/>
        <v>64.038567815582013</v>
      </c>
      <c r="AE574" s="735">
        <f t="shared" si="438"/>
        <v>1.5551801023901426</v>
      </c>
      <c r="AF574" s="732" t="str">
        <f t="shared" si="439"/>
        <v>0.0143414604283742-0.927547940557932i</v>
      </c>
      <c r="AG574" s="337">
        <f t="shared" si="440"/>
        <v>0.92765880555324842</v>
      </c>
      <c r="AH574" s="730">
        <f t="shared" si="441"/>
        <v>-1.5553358668840518</v>
      </c>
      <c r="AI574" s="731" t="str">
        <f t="shared" si="419"/>
        <v>10000</v>
      </c>
      <c r="AJ574" s="733" t="str">
        <f t="shared" si="442"/>
        <v>1+598515.885334454i</v>
      </c>
      <c r="AK574" s="734">
        <f t="shared" si="443"/>
        <v>598515.88533528941</v>
      </c>
      <c r="AL574" s="735">
        <f t="shared" si="444"/>
        <v>1.5707946559954666</v>
      </c>
      <c r="AM574" s="340" t="str">
        <f t="shared" si="445"/>
        <v>1+1015.75022967811i</v>
      </c>
      <c r="AN574" s="734">
        <f t="shared" si="446"/>
        <v>1015.7507219249875</v>
      </c>
      <c r="AO574" s="735">
        <f t="shared" si="447"/>
        <v>1.569811833119477</v>
      </c>
      <c r="AP574" s="733" t="str">
        <f t="shared" si="448"/>
        <v>1+49.2655604317415i</v>
      </c>
      <c r="AQ574" s="734">
        <f t="shared" si="449"/>
        <v>49.275708464248112</v>
      </c>
      <c r="AR574" s="735">
        <f t="shared" si="450"/>
        <v>1.5505009584522149</v>
      </c>
      <c r="AS574" s="732" t="str">
        <f t="shared" si="451"/>
        <v>0.000267628194777552-2.31356085373309i</v>
      </c>
      <c r="AT574" s="337">
        <f t="shared" si="452"/>
        <v>2.3135608692124427</v>
      </c>
      <c r="AU574" s="730">
        <f t="shared" si="453"/>
        <v>-1.570680648751178</v>
      </c>
      <c r="AV574" s="732" t="str">
        <f t="shared" si="454"/>
        <v>-0.0255054512062994+0.0187999201662771i</v>
      </c>
      <c r="AW574" s="337">
        <f t="shared" si="455"/>
        <v>-29.982814101179166</v>
      </c>
      <c r="AX574" s="730">
        <f t="shared" si="456"/>
        <v>143.60628794253884</v>
      </c>
      <c r="AY574" s="360">
        <f t="shared" si="457"/>
        <v>-36.393712057461158</v>
      </c>
      <c r="BB574" s="337">
        <f t="shared" si="458"/>
        <v>-32.714381396674156</v>
      </c>
      <c r="BC574" s="730">
        <f t="shared" si="459"/>
        <v>-89.993372136312601</v>
      </c>
      <c r="BD574" s="351"/>
      <c r="BE574" s="337">
        <f t="shared" si="420"/>
        <v>23.044255225236853</v>
      </c>
      <c r="BF574" s="730">
        <f t="shared" si="421"/>
        <v>-89.851640158477608</v>
      </c>
      <c r="BI574" s="351"/>
      <c r="BJ574" s="351"/>
      <c r="BL574" s="405">
        <f t="shared" si="422"/>
        <v>0</v>
      </c>
      <c r="BM574" s="405">
        <f t="shared" si="460"/>
        <v>0</v>
      </c>
      <c r="BN574" s="405">
        <f t="shared" si="423"/>
        <v>0</v>
      </c>
      <c r="BO574" s="405">
        <f t="shared" si="424"/>
        <v>0</v>
      </c>
    </row>
    <row r="575" spans="4:67" ht="13.5" thickBot="1" x14ac:dyDescent="0.25">
      <c r="D575" s="345">
        <v>102330</v>
      </c>
      <c r="E575" s="340" t="str">
        <f t="shared" si="411"/>
        <v>1.69741005055693i</v>
      </c>
      <c r="F575" s="728" t="str">
        <f t="shared" si="425"/>
        <v>0.005-0.0254968965868855i</v>
      </c>
      <c r="G575" s="337" t="str">
        <f t="shared" si="426"/>
        <v>0.005-0.0398797613282055i</v>
      </c>
      <c r="H575" s="338" t="str">
        <f t="shared" si="427"/>
        <v>0.00626935168973275-0.0395118876127538i</v>
      </c>
      <c r="I575" s="338" t="str">
        <f t="shared" si="428"/>
        <v>0.0162693516897328-0.0395118876127538i</v>
      </c>
      <c r="J575" s="337" t="str">
        <f t="shared" si="429"/>
        <v>0.00429894039805774-0.015652029825094i</v>
      </c>
      <c r="K575" s="338" t="str">
        <f t="shared" si="412"/>
        <v>0.88365079-0.535798627069739i</v>
      </c>
      <c r="L575" s="732"/>
      <c r="M575" s="732" t="str">
        <f t="shared" si="413"/>
        <v>0.0358710074286831-14.032842716818i</v>
      </c>
      <c r="N575" s="337">
        <f t="shared" si="414"/>
        <v>0</v>
      </c>
      <c r="O575" s="730" t="str">
        <f t="shared" si="415"/>
        <v>-0.638124549830739-5.29224001490095i</v>
      </c>
      <c r="P575" s="731" t="str">
        <f t="shared" si="416"/>
        <v>-0.219488265411534-0.0608878085330493i</v>
      </c>
      <c r="Q575" s="729" t="str">
        <f t="shared" si="417"/>
        <v>-0.213107019913227-0.00796540838403951i</v>
      </c>
      <c r="R575" s="730"/>
      <c r="S575" s="405" t="str">
        <f t="shared" si="430"/>
        <v>33.3774611473577-19.8042439494454i</v>
      </c>
      <c r="T575" s="405" t="str">
        <f t="shared" si="431"/>
        <v>11.6641037012808-9.01643347446236i</v>
      </c>
      <c r="U575" s="405" t="str">
        <f t="shared" si="432"/>
        <v>-0.283129937861985-0.517397946986996i</v>
      </c>
      <c r="V575" s="731" t="str">
        <f t="shared" si="418"/>
        <v>6000</v>
      </c>
      <c r="W575" s="733" t="str">
        <f>IMSUM(COMPLEX(1,0),IMDIV(COMPLEX(0,2*PI()*D575),COMPLEX(2*PI()*'Stability Calculations'!EA_Pole1,0)))</f>
        <v>1+649387.936008524i</v>
      </c>
      <c r="X575" s="734">
        <f t="shared" si="433"/>
        <v>649387.936009294</v>
      </c>
      <c r="Y575" s="735">
        <f t="shared" si="434"/>
        <v>1.5707947868833205</v>
      </c>
      <c r="Z575" s="340" t="str">
        <f>IMSUM(COMPLEX(1,0),IMDIV(COMPLEX(0,2*PI()*D575),COMPLEX(2*PI()*'Stability Calculations'!EA_Zero1,0)))</f>
        <v>1+6429.58352483687i</v>
      </c>
      <c r="AA575" s="734">
        <f t="shared" si="435"/>
        <v>6429.5836026024035</v>
      </c>
      <c r="AB575" s="735">
        <f t="shared" si="436"/>
        <v>1.5706407957269708</v>
      </c>
      <c r="AC575" s="733" t="str">
        <f>IMSUM(COMPLEX(1,0),IMDIV(COMPLEX(0,2*PI()*D575),COMPLEX(2*PI()*'Stability Calculations'!EA_Pole2,0)))</f>
        <v>1+64.768127556061i</v>
      </c>
      <c r="AD575" s="734">
        <f t="shared" si="437"/>
        <v>64.775846942500024</v>
      </c>
      <c r="AE575" s="735">
        <f t="shared" si="438"/>
        <v>1.5553578605658775</v>
      </c>
      <c r="AF575" s="732" t="str">
        <f t="shared" si="439"/>
        <v>0.014016849166903-0.916993064336652i</v>
      </c>
      <c r="AG575" s="337">
        <f t="shared" si="440"/>
        <v>0.91710018651295167</v>
      </c>
      <c r="AH575" s="730">
        <f t="shared" si="441"/>
        <v>-1.5555118517222275</v>
      </c>
      <c r="AI575" s="731" t="str">
        <f t="shared" si="419"/>
        <v>10000</v>
      </c>
      <c r="AJ575" s="733" t="str">
        <f t="shared" si="442"/>
        <v>1+605408.298781937i</v>
      </c>
      <c r="AK575" s="734">
        <f t="shared" si="443"/>
        <v>605408.29878276295</v>
      </c>
      <c r="AL575" s="735">
        <f t="shared" si="444"/>
        <v>1.5707946750170765</v>
      </c>
      <c r="AM575" s="340" t="str">
        <f t="shared" si="445"/>
        <v>1+1027.44744726893i</v>
      </c>
      <c r="AN575" s="734">
        <f t="shared" si="446"/>
        <v>1027.4479339117095</v>
      </c>
      <c r="AO575" s="735">
        <f t="shared" si="447"/>
        <v>1.5698230413126109</v>
      </c>
      <c r="AP575" s="733" t="str">
        <f t="shared" si="448"/>
        <v>1+49.8328947657797i</v>
      </c>
      <c r="AQ575" s="734">
        <f t="shared" si="449"/>
        <v>49.842927289007349</v>
      </c>
      <c r="AR575" s="735">
        <f t="shared" si="450"/>
        <v>1.5507319534914303</v>
      </c>
      <c r="AS575" s="732" t="str">
        <f t="shared" si="451"/>
        <v>0.000261569130232565-2.28722157567493i</v>
      </c>
      <c r="AT575" s="337">
        <f t="shared" si="452"/>
        <v>2.287221590631594</v>
      </c>
      <c r="AU575" s="730">
        <f t="shared" si="453"/>
        <v>-1.5706819657151159</v>
      </c>
      <c r="AV575" s="732" t="str">
        <f t="shared" si="454"/>
        <v>-0.0247550817737133+0.0185339861701864i</v>
      </c>
      <c r="AW575" s="337">
        <f t="shared" si="455"/>
        <v>-30.193955276475663</v>
      </c>
      <c r="AX575" s="730">
        <f t="shared" si="456"/>
        <v>143.17801510636409</v>
      </c>
      <c r="AY575" s="360">
        <f t="shared" si="457"/>
        <v>-36.821984893635914</v>
      </c>
      <c r="BB575" s="337">
        <f t="shared" si="458"/>
        <v>-32.813835160627235</v>
      </c>
      <c r="BC575" s="730">
        <f t="shared" si="459"/>
        <v>-89.993447592788002</v>
      </c>
      <c r="BD575" s="351"/>
      <c r="BE575" s="337">
        <f t="shared" si="420"/>
        <v>22.942941529189085</v>
      </c>
      <c r="BF575" s="730">
        <f t="shared" si="421"/>
        <v>-89.853539806757922</v>
      </c>
      <c r="BI575" s="351"/>
      <c r="BJ575" s="351"/>
      <c r="BL575" s="405">
        <f t="shared" si="422"/>
        <v>0</v>
      </c>
      <c r="BM575" s="405">
        <f t="shared" si="460"/>
        <v>0</v>
      </c>
      <c r="BN575" s="405">
        <f t="shared" si="423"/>
        <v>0</v>
      </c>
      <c r="BO575" s="405">
        <f t="shared" si="424"/>
        <v>0</v>
      </c>
    </row>
    <row r="576" spans="4:67" ht="13.5" thickBot="1" x14ac:dyDescent="0.25">
      <c r="D576" s="345">
        <v>103520</v>
      </c>
      <c r="E576" s="340" t="str">
        <f t="shared" si="411"/>
        <v>1.71714930551797i</v>
      </c>
      <c r="F576" s="728" t="str">
        <f t="shared" si="425"/>
        <v>0.005-0.025203800499768i</v>
      </c>
      <c r="G576" s="337" t="str">
        <f t="shared" si="426"/>
        <v>0.005-0.0394213289868167i</v>
      </c>
      <c r="H576" s="338" t="str">
        <f t="shared" si="427"/>
        <v>0.00623989900191366-0.0390586345068715i</v>
      </c>
      <c r="I576" s="338" t="str">
        <f t="shared" si="428"/>
        <v>0.0162398990019137-0.0390586345068715i</v>
      </c>
      <c r="J576" s="337" t="str">
        <f t="shared" si="429"/>
        <v>0.00429372084445464-0.0154744328295506i</v>
      </c>
      <c r="K576" s="338" t="str">
        <f t="shared" si="412"/>
        <v>0.880928995555555-0.542029452499359i</v>
      </c>
      <c r="L576" s="732"/>
      <c r="M576" s="732" t="str">
        <f t="shared" si="413"/>
        <v>0.0349937005682525-13.8686009446292i</v>
      </c>
      <c r="N576" s="337">
        <f t="shared" si="414"/>
        <v>0</v>
      </c>
      <c r="O576" s="730" t="str">
        <f t="shared" si="415"/>
        <v>-0.634754750388578-5.22676048756239i</v>
      </c>
      <c r="P576" s="731" t="str">
        <f t="shared" si="416"/>
        <v>-0.214458480575952-0.060089408628279i</v>
      </c>
      <c r="Q576" s="729" t="str">
        <f t="shared" si="417"/>
        <v>-0.208110933072066-0.00782180375265484i</v>
      </c>
      <c r="R576" s="730"/>
      <c r="S576" s="405" t="str">
        <f t="shared" si="430"/>
        <v>33.2157892699971-20.0075261510235i</v>
      </c>
      <c r="T576" s="405" t="str">
        <f t="shared" si="431"/>
        <v>11.5796117758913-9.08985997488663i</v>
      </c>
      <c r="U576" s="405" t="str">
        <f t="shared" si="432"/>
        <v>-0.282781910514804-0.509003632270833i</v>
      </c>
      <c r="V576" s="731" t="str">
        <f t="shared" si="418"/>
        <v>6000</v>
      </c>
      <c r="W576" s="733" t="str">
        <f>IMSUM(COMPLEX(1,0),IMDIV(COMPLEX(0,2*PI()*D576),COMPLEX(2*PI()*'Stability Calculations'!EA_Pole1,0)))</f>
        <v>1+656939.696429223i</v>
      </c>
      <c r="X576" s="734">
        <f t="shared" si="433"/>
        <v>656939.69642998418</v>
      </c>
      <c r="Y576" s="735">
        <f t="shared" si="434"/>
        <v>1.5707948045851634</v>
      </c>
      <c r="Z576" s="340" t="str">
        <f>IMSUM(COMPLEX(1,0),IMDIV(COMPLEX(0,2*PI()*D576),COMPLEX(2*PI()*'Stability Calculations'!EA_Zero1,0)))</f>
        <v>1+6504.35342999231i</v>
      </c>
      <c r="AA576" s="734">
        <f t="shared" si="435"/>
        <v>6504.3535068639012</v>
      </c>
      <c r="AB576" s="735">
        <f t="shared" si="436"/>
        <v>1.5706425836130593</v>
      </c>
      <c r="AC576" s="733" t="str">
        <f>IMSUM(COMPLEX(1,0),IMDIV(COMPLEX(0,2*PI()*D576),COMPLEX(2*PI()*'Stability Calculations'!EA_Pole2,0)))</f>
        <v>1+65.5213189153077i</v>
      </c>
      <c r="AD576" s="734">
        <f t="shared" si="437"/>
        <v>65.528949574989056</v>
      </c>
      <c r="AE576" s="735">
        <f t="shared" si="438"/>
        <v>1.5555353036286139</v>
      </c>
      <c r="AF576" s="732" t="str">
        <f t="shared" si="439"/>
        <v>0.0136965184722161-0.906456784945404i</v>
      </c>
      <c r="AG576" s="337">
        <f t="shared" si="440"/>
        <v>0.90656025590791167</v>
      </c>
      <c r="AH576" s="730">
        <f t="shared" si="441"/>
        <v>-1.5556875246007182</v>
      </c>
      <c r="AI576" s="731" t="str">
        <f t="shared" si="419"/>
        <v>10000</v>
      </c>
      <c r="AJ576" s="733" t="str">
        <f t="shared" si="442"/>
        <v>1+612448.618097392i</v>
      </c>
      <c r="AK576" s="734">
        <f t="shared" si="443"/>
        <v>612448.61809820856</v>
      </c>
      <c r="AL576" s="735">
        <f t="shared" si="444"/>
        <v>1.5707946940048625</v>
      </c>
      <c r="AM576" s="340" t="str">
        <f t="shared" si="445"/>
        <v>1+1039.39567811277i</v>
      </c>
      <c r="AN576" s="734">
        <f t="shared" si="446"/>
        <v>1039.3961591614166</v>
      </c>
      <c r="AO576" s="735">
        <f t="shared" si="447"/>
        <v>1.5698342295757972</v>
      </c>
      <c r="AP576" s="733" t="str">
        <f t="shared" si="448"/>
        <v>1+50.4124036563424i</v>
      </c>
      <c r="AQ576" s="734">
        <f t="shared" si="449"/>
        <v>50.422320874886402</v>
      </c>
      <c r="AR576" s="735">
        <f t="shared" si="450"/>
        <v>1.5509625399155851</v>
      </c>
      <c r="AS576" s="732" t="str">
        <f t="shared" si="451"/>
        <v>0.00025559003062113-2.26092913358565i</v>
      </c>
      <c r="AT576" s="337">
        <f t="shared" si="452"/>
        <v>2.2609291480324236</v>
      </c>
      <c r="AU576" s="730">
        <f t="shared" si="453"/>
        <v>-1.5706832803372541</v>
      </c>
      <c r="AV576" s="732" t="str">
        <f t="shared" si="454"/>
        <v>-0.0240152063025888+0.0182677743283314i</v>
      </c>
      <c r="AW576" s="337">
        <f t="shared" si="455"/>
        <v>-30.407478529195711</v>
      </c>
      <c r="AX576" s="730">
        <f t="shared" si="456"/>
        <v>142.74064813039865</v>
      </c>
      <c r="AY576" s="360">
        <f t="shared" si="457"/>
        <v>-37.259351869601346</v>
      </c>
      <c r="BB576" s="337">
        <f t="shared" si="458"/>
        <v>-32.914260943280198</v>
      </c>
      <c r="BC576" s="730">
        <f t="shared" si="459"/>
        <v>-89.993522915088178</v>
      </c>
      <c r="BD576" s="351"/>
      <c r="BE576" s="337">
        <f t="shared" si="420"/>
        <v>22.840680688949355</v>
      </c>
      <c r="BF576" s="730">
        <f t="shared" si="421"/>
        <v>-89.855429750623969</v>
      </c>
      <c r="BI576" s="351"/>
      <c r="BJ576" s="351"/>
      <c r="BL576" s="405">
        <f t="shared" si="422"/>
        <v>0</v>
      </c>
      <c r="BM576" s="405">
        <f t="shared" si="460"/>
        <v>0</v>
      </c>
      <c r="BN576" s="405">
        <f t="shared" si="423"/>
        <v>0</v>
      </c>
      <c r="BO576" s="405">
        <f t="shared" si="424"/>
        <v>0</v>
      </c>
    </row>
    <row r="577" spans="4:67" ht="13.5" thickBot="1" x14ac:dyDescent="0.25">
      <c r="D577" s="345">
        <v>104710</v>
      </c>
      <c r="E577" s="340" t="str">
        <f t="shared" si="411"/>
        <v>1.736888560479i</v>
      </c>
      <c r="F577" s="728" t="str">
        <f t="shared" si="425"/>
        <v>0.005-0.024917366323522i</v>
      </c>
      <c r="G577" s="337" t="str">
        <f t="shared" si="426"/>
        <v>0.005-0.0389733165573037i</v>
      </c>
      <c r="H577" s="338" t="str">
        <f t="shared" si="427"/>
        <v>0.00621144340054741-0.0386156517829131i</v>
      </c>
      <c r="I577" s="338" t="str">
        <f t="shared" si="428"/>
        <v>0.0162114434005474-0.0386156517829131i</v>
      </c>
      <c r="J577" s="337" t="str">
        <f t="shared" si="429"/>
        <v>0.00428864914057951-0.015300887503492i</v>
      </c>
      <c r="K577" s="338" t="str">
        <f t="shared" si="412"/>
        <v>0.878175732222222-0.548260277928979i</v>
      </c>
      <c r="L577" s="732"/>
      <c r="M577" s="732" t="str">
        <f t="shared" si="413"/>
        <v>0.0341484925383715-13.708191525505i</v>
      </c>
      <c r="N577" s="337">
        <f t="shared" si="414"/>
        <v>0</v>
      </c>
      <c r="O577" s="730" t="str">
        <f t="shared" si="415"/>
        <v>-0.631454988704719-5.16278346967417i</v>
      </c>
      <c r="P577" s="731" t="str">
        <f t="shared" si="416"/>
        <v>-0.209601045504898-0.0593121260474997i</v>
      </c>
      <c r="Q577" s="729" t="str">
        <f t="shared" si="417"/>
        <v>-0.203286495617851-0.00768429135075783i</v>
      </c>
      <c r="R577" s="730"/>
      <c r="S577" s="405" t="str">
        <f t="shared" si="430"/>
        <v>33.0523568586001-20.2092852507394i</v>
      </c>
      <c r="T577" s="405" t="str">
        <f t="shared" si="431"/>
        <v>11.4944429856078-9.16238711139244i</v>
      </c>
      <c r="U577" s="405" t="str">
        <f t="shared" si="432"/>
        <v>-0.282414468167861-0.500777056727099i</v>
      </c>
      <c r="V577" s="731" t="str">
        <f t="shared" si="418"/>
        <v>6000</v>
      </c>
      <c r="W577" s="733" t="str">
        <f>IMSUM(COMPLEX(1,0),IMDIV(COMPLEX(0,2*PI()*D577),COMPLEX(2*PI()*'Stability Calculations'!EA_Pole1,0)))</f>
        <v>1+664491.456849922i</v>
      </c>
      <c r="X577" s="734">
        <f t="shared" si="433"/>
        <v>664491.45685067447</v>
      </c>
      <c r="Y577" s="735">
        <f t="shared" si="434"/>
        <v>1.5707948218846532</v>
      </c>
      <c r="Z577" s="340" t="str">
        <f>IMSUM(COMPLEX(1,0),IMDIV(COMPLEX(0,2*PI()*D577),COMPLEX(2*PI()*'Stability Calculations'!EA_Zero1,0)))</f>
        <v>1+6579.12333514774i</v>
      </c>
      <c r="AA577" s="734">
        <f t="shared" si="435"/>
        <v>6579.1234111457079</v>
      </c>
      <c r="AB577" s="735">
        <f t="shared" si="436"/>
        <v>1.5706443308614937</v>
      </c>
      <c r="AC577" s="733" t="str">
        <f>IMSUM(COMPLEX(1,0),IMDIV(COMPLEX(0,2*PI()*D577),COMPLEX(2*PI()*'Stability Calculations'!EA_Pole2,0)))</f>
        <v>1+66.2745102745543i</v>
      </c>
      <c r="AD577" s="734">
        <f t="shared" si="437"/>
        <v>66.282054223839523</v>
      </c>
      <c r="AE577" s="735">
        <f t="shared" si="438"/>
        <v>1.5557087144379909</v>
      </c>
      <c r="AF577" s="732" t="str">
        <f t="shared" si="439"/>
        <v>0.0133870436913006-0.896159825516292i</v>
      </c>
      <c r="AG577" s="337">
        <f t="shared" si="440"/>
        <v>0.89625980932326965</v>
      </c>
      <c r="AH577" s="730">
        <f t="shared" si="441"/>
        <v>-1.5558592054611506</v>
      </c>
      <c r="AI577" s="731" t="str">
        <f t="shared" si="419"/>
        <v>10000</v>
      </c>
      <c r="AJ577" s="733" t="str">
        <f t="shared" si="442"/>
        <v>1+619488.937412847i</v>
      </c>
      <c r="AK577" s="734">
        <f t="shared" si="443"/>
        <v>619488.93741365417</v>
      </c>
      <c r="AL577" s="735">
        <f t="shared" si="444"/>
        <v>1.5707947125610668</v>
      </c>
      <c r="AM577" s="340" t="str">
        <f t="shared" si="445"/>
        <v>1+1051.34390895661i</v>
      </c>
      <c r="AN577" s="734">
        <f t="shared" si="446"/>
        <v>1051.3443845382753</v>
      </c>
      <c r="AO577" s="735">
        <f t="shared" si="447"/>
        <v>1.5698451635362234</v>
      </c>
      <c r="AP577" s="733" t="str">
        <f t="shared" si="448"/>
        <v>1+50.991912546905i</v>
      </c>
      <c r="AQ577" s="734">
        <f t="shared" si="449"/>
        <v>51.00171708081217</v>
      </c>
      <c r="AR577" s="735">
        <f t="shared" si="450"/>
        <v>1.5511878872769336</v>
      </c>
      <c r="AS577" s="732" t="str">
        <f t="shared" si="451"/>
        <v>0.000249813622818962-2.2352343040434i</v>
      </c>
      <c r="AT577" s="337">
        <f t="shared" si="452"/>
        <v>2.2352343180031995</v>
      </c>
      <c r="AU577" s="730">
        <f t="shared" si="453"/>
        <v>-1.5706845650787638</v>
      </c>
      <c r="AV577" s="732" t="str">
        <f t="shared" si="454"/>
        <v>-0.0233010117304988+0.0180068724778423i</v>
      </c>
      <c r="AW577" s="337">
        <f t="shared" si="455"/>
        <v>-30.618884411546109</v>
      </c>
      <c r="AX577" s="730">
        <f t="shared" si="456"/>
        <v>142.30338053927539</v>
      </c>
      <c r="AY577" s="360">
        <f t="shared" si="457"/>
        <v>-37.696619460724605</v>
      </c>
      <c r="BB577" s="337">
        <f t="shared" si="458"/>
        <v>-33.013538867359088</v>
      </c>
      <c r="BC577" s="730">
        <f t="shared" si="459"/>
        <v>-89.993596525354448</v>
      </c>
      <c r="BD577" s="351"/>
      <c r="BE577" s="337">
        <f t="shared" si="420"/>
        <v>22.739630222297087</v>
      </c>
      <c r="BF577" s="730">
        <f t="shared" si="421"/>
        <v>-89.857270709389482</v>
      </c>
      <c r="BI577" s="351"/>
      <c r="BJ577" s="351"/>
      <c r="BL577" s="405">
        <f t="shared" si="422"/>
        <v>0</v>
      </c>
      <c r="BM577" s="405">
        <f t="shared" si="460"/>
        <v>0</v>
      </c>
      <c r="BN577" s="405">
        <f t="shared" si="423"/>
        <v>0</v>
      </c>
      <c r="BO577" s="405">
        <f t="shared" si="424"/>
        <v>0</v>
      </c>
    </row>
    <row r="578" spans="4:67" ht="13.5" thickBot="1" x14ac:dyDescent="0.25">
      <c r="D578" s="345">
        <v>105930</v>
      </c>
      <c r="E578" s="340" t="str">
        <f t="shared" si="411"/>
        <v>1.75712544371637i</v>
      </c>
      <c r="F578" s="728" t="str">
        <f t="shared" si="425"/>
        <v>0.005-0.0246303920299819i</v>
      </c>
      <c r="G578" s="337" t="str">
        <f t="shared" si="426"/>
        <v>0.005-0.0385244593289462i</v>
      </c>
      <c r="H578" s="338" t="str">
        <f t="shared" si="427"/>
        <v>0.00618325898144409-0.0381718025711326i</v>
      </c>
      <c r="I578" s="338" t="str">
        <f t="shared" si="428"/>
        <v>0.0161832589814441-0.0381718025711326i</v>
      </c>
      <c r="J578" s="337" t="str">
        <f t="shared" si="429"/>
        <v>0.00428359599015702-0.0151270301328826i</v>
      </c>
      <c r="K578" s="338" t="str">
        <f t="shared" si="412"/>
        <v>0.87532039-0.554648182991278i</v>
      </c>
      <c r="L578" s="732"/>
      <c r="M578" s="732" t="str">
        <f t="shared" si="413"/>
        <v>0.0333136616053813-13.5475768024295i</v>
      </c>
      <c r="N578" s="337">
        <f t="shared" si="414"/>
        <v>0</v>
      </c>
      <c r="O578" s="730" t="str">
        <f t="shared" si="415"/>
        <v>-0.628141217393009-5.0986989123699i</v>
      </c>
      <c r="P578" s="731" t="str">
        <f t="shared" si="416"/>
        <v>-0.204791900250622-0.0585362824301728i</v>
      </c>
      <c r="Q578" s="729" t="str">
        <f t="shared" si="417"/>
        <v>-0.198510488076692-0.00754929330647384i</v>
      </c>
      <c r="R578" s="730"/>
      <c r="S578" s="405" t="str">
        <f t="shared" si="430"/>
        <v>32.8829879758598-20.4145292535444i</v>
      </c>
      <c r="T578" s="405" t="str">
        <f t="shared" si="431"/>
        <v>11.4064361295528-9.23579841460444i</v>
      </c>
      <c r="U578" s="405" t="str">
        <f t="shared" si="432"/>
        <v>-0.282018125024732-0.492511561475429i</v>
      </c>
      <c r="V578" s="731" t="str">
        <f t="shared" si="418"/>
        <v>6000</v>
      </c>
      <c r="W578" s="733" t="str">
        <f>IMSUM(COMPLEX(1,0),IMDIV(COMPLEX(0,2*PI()*D578),COMPLEX(2*PI()*'Stability Calculations'!EA_Pole1,0)))</f>
        <v>1+672233.597785429i</v>
      </c>
      <c r="X578" s="734">
        <f t="shared" si="433"/>
        <v>672233.59778617276</v>
      </c>
      <c r="Y578" s="735">
        <f t="shared" si="434"/>
        <v>1.5707948392167641</v>
      </c>
      <c r="Z578" s="340" t="str">
        <f>IMSUM(COMPLEX(1,0),IMDIV(COMPLEX(0,2*PI()*D578),COMPLEX(2*PI()*'Stability Calculations'!EA_Zero1,0)))</f>
        <v>1+6655.77819589534i</v>
      </c>
      <c r="AA578" s="734">
        <f t="shared" si="435"/>
        <v>6655.7782710180354</v>
      </c>
      <c r="AB578" s="735">
        <f t="shared" si="436"/>
        <v>1.5706460814046443</v>
      </c>
      <c r="AC578" s="733" t="str">
        <f>IMSUM(COMPLEX(1,0),IMDIV(COMPLEX(0,2*PI()*D578),COMPLEX(2*PI()*'Stability Calculations'!EA_Pole2,0)))</f>
        <v>1+67.0466896512611i</v>
      </c>
      <c r="AD578" s="734">
        <f t="shared" si="437"/>
        <v>67.054146726302633</v>
      </c>
      <c r="AE578" s="735">
        <f t="shared" si="438"/>
        <v>1.5558824531511326</v>
      </c>
      <c r="AF578" s="732" t="str">
        <f t="shared" si="439"/>
        <v>0.0130805293408852-0.88584328900938i</v>
      </c>
      <c r="AG578" s="337">
        <f t="shared" si="440"/>
        <v>0.88593985852923096</v>
      </c>
      <c r="AH578" s="730">
        <f t="shared" si="441"/>
        <v>-1.5560312109632524</v>
      </c>
      <c r="AI578" s="731" t="str">
        <f t="shared" si="419"/>
        <v>10000</v>
      </c>
      <c r="AJ578" s="733" t="str">
        <f t="shared" si="442"/>
        <v>1+626706.743769868i</v>
      </c>
      <c r="AK578" s="734">
        <f t="shared" si="443"/>
        <v>626706.74377066595</v>
      </c>
      <c r="AL578" s="735">
        <f t="shared" si="444"/>
        <v>1.5707947311522616</v>
      </c>
      <c r="AM578" s="340" t="str">
        <f t="shared" si="445"/>
        <v>1+1063.59335570408i</v>
      </c>
      <c r="AN578" s="734">
        <f t="shared" si="446"/>
        <v>1063.593825808455</v>
      </c>
      <c r="AO578" s="735">
        <f t="shared" si="447"/>
        <v>1.5698561181146027</v>
      </c>
      <c r="AP578" s="733" t="str">
        <f t="shared" si="448"/>
        <v>1+51.586030905297i</v>
      </c>
      <c r="AQ578" s="734">
        <f t="shared" si="449"/>
        <v>51.59572254133338</v>
      </c>
      <c r="AR578" s="735">
        <f t="shared" si="450"/>
        <v>1.5514136615640348</v>
      </c>
      <c r="AS578" s="732" t="str">
        <f t="shared" si="451"/>
        <v>0.000244092531966852-2.20949102278237i</v>
      </c>
      <c r="AT578" s="337">
        <f t="shared" si="452"/>
        <v>2.2094910362653768</v>
      </c>
      <c r="AU578" s="730">
        <f t="shared" si="453"/>
        <v>-1.5706858522428586</v>
      </c>
      <c r="AV578" s="732" t="str">
        <f t="shared" si="454"/>
        <v>-0.022594280365562+0.0177447277683336i</v>
      </c>
      <c r="AW578" s="337">
        <f t="shared" si="455"/>
        <v>-30.833477063926825</v>
      </c>
      <c r="AX578" s="730">
        <f t="shared" si="456"/>
        <v>141.85519507896015</v>
      </c>
      <c r="AY578" s="360">
        <f t="shared" si="457"/>
        <v>-38.144804921039849</v>
      </c>
      <c r="BB578" s="337">
        <f t="shared" si="458"/>
        <v>-33.114155119946219</v>
      </c>
      <c r="BC578" s="730">
        <f t="shared" si="459"/>
        <v>-89.99367027442463</v>
      </c>
      <c r="BD578" s="351"/>
      <c r="BE578" s="337">
        <f t="shared" si="420"/>
        <v>22.637258695507452</v>
      </c>
      <c r="BF578" s="730">
        <f t="shared" si="421"/>
        <v>-89.859109242135261</v>
      </c>
      <c r="BI578" s="351"/>
      <c r="BJ578" s="351"/>
      <c r="BL578" s="405">
        <f t="shared" si="422"/>
        <v>0</v>
      </c>
      <c r="BM578" s="405">
        <f t="shared" si="460"/>
        <v>0</v>
      </c>
      <c r="BN578" s="405">
        <f t="shared" si="423"/>
        <v>0</v>
      </c>
      <c r="BO578" s="405">
        <f t="shared" si="424"/>
        <v>0</v>
      </c>
    </row>
    <row r="579" spans="4:67" ht="13.5" thickBot="1" x14ac:dyDescent="0.25">
      <c r="D579" s="345">
        <v>107150</v>
      </c>
      <c r="E579" s="340" t="str">
        <f t="shared" si="411"/>
        <v>1.77736232695373i</v>
      </c>
      <c r="F579" s="728" t="str">
        <f t="shared" si="425"/>
        <v>0.005-0.0243499526620251i</v>
      </c>
      <c r="G579" s="337" t="str">
        <f t="shared" si="426"/>
        <v>0.005-0.0380858233944495i</v>
      </c>
      <c r="H579" s="338" t="str">
        <f t="shared" si="427"/>
        <v>0.00615603054021885-0.0377380308086887i</v>
      </c>
      <c r="I579" s="338" t="str">
        <f t="shared" si="428"/>
        <v>0.0161560305402189-0.0377380308086887i</v>
      </c>
      <c r="J579" s="337" t="str">
        <f t="shared" si="429"/>
        <v>0.00427868425853735-0.0149571468419832i</v>
      </c>
      <c r="K579" s="338" t="str">
        <f t="shared" si="412"/>
        <v>0.872431972222222-0.561036088053577i</v>
      </c>
      <c r="L579" s="732"/>
      <c r="M579" s="732" t="str">
        <f t="shared" si="413"/>
        <v>0.0325093406510003-13.3907124020706i</v>
      </c>
      <c r="N579" s="337">
        <f t="shared" si="414"/>
        <v>0</v>
      </c>
      <c r="O579" s="730" t="str">
        <f t="shared" si="415"/>
        <v>-0.624894089652884-5.03608541418238i</v>
      </c>
      <c r="P579" s="731" t="str">
        <f t="shared" si="416"/>
        <v>-0.200147754512437-0.0577808773471932i</v>
      </c>
      <c r="Q579" s="729" t="str">
        <f t="shared" si="417"/>
        <v>-0.193898813615908-0.00742002320536916i</v>
      </c>
      <c r="R579" s="730"/>
      <c r="S579" s="405" t="str">
        <f t="shared" si="430"/>
        <v>32.7117921803418-20.6181309586411i</v>
      </c>
      <c r="T579" s="405" t="str">
        <f t="shared" si="431"/>
        <v>11.3177418720266-9.30824311413092i</v>
      </c>
      <c r="U579" s="405" t="str">
        <f t="shared" si="432"/>
        <v>-0.281602400805329-0.4844111203377i</v>
      </c>
      <c r="V579" s="731" t="str">
        <f t="shared" si="418"/>
        <v>6000</v>
      </c>
      <c r="W579" s="733" t="str">
        <f>IMSUM(COMPLEX(1,0),IMDIV(COMPLEX(0,2*PI()*D579),COMPLEX(2*PI()*'Stability Calculations'!EA_Pole1,0)))</f>
        <v>1+679975.738720936i</v>
      </c>
      <c r="X579" s="734">
        <f t="shared" si="433"/>
        <v>679975.73872167128</v>
      </c>
      <c r="Y579" s="735">
        <f t="shared" si="434"/>
        <v>1.5707948561541913</v>
      </c>
      <c r="Z579" s="340" t="str">
        <f>IMSUM(COMPLEX(1,0),IMDIV(COMPLEX(0,2*PI()*D579),COMPLEX(2*PI()*'Stability Calculations'!EA_Zero1,0)))</f>
        <v>1+6732.43305664293i</v>
      </c>
      <c r="AA579" s="734">
        <f t="shared" si="435"/>
        <v>6732.4331309102845</v>
      </c>
      <c r="AB579" s="735">
        <f t="shared" si="436"/>
        <v>1.5706477920847506</v>
      </c>
      <c r="AC579" s="733" t="str">
        <f>IMSUM(COMPLEX(1,0),IMDIV(COMPLEX(0,2*PI()*D579),COMPLEX(2*PI()*'Stability Calculations'!EA_Pole2,0)))</f>
        <v>1+67.8188690279678i</v>
      </c>
      <c r="AD579" s="734">
        <f t="shared" si="437"/>
        <v>67.826241206723608</v>
      </c>
      <c r="AE579" s="735">
        <f t="shared" si="438"/>
        <v>1.5560522363883833</v>
      </c>
      <c r="AF579" s="732" t="str">
        <f t="shared" si="439"/>
        <v>0.0127844220686788-0.875761525311576i</v>
      </c>
      <c r="AG579" s="337">
        <f t="shared" si="440"/>
        <v>0.8758548342412048</v>
      </c>
      <c r="AH579" s="730">
        <f t="shared" si="441"/>
        <v>-1.5561993004578241</v>
      </c>
      <c r="AI579" s="731" t="str">
        <f t="shared" si="419"/>
        <v>10000</v>
      </c>
      <c r="AJ579" s="733" t="str">
        <f t="shared" si="442"/>
        <v>1+633924.550126889i</v>
      </c>
      <c r="AK579" s="734">
        <f t="shared" si="443"/>
        <v>633924.55012767785</v>
      </c>
      <c r="AL579" s="735">
        <f t="shared" si="444"/>
        <v>1.5707947493201013</v>
      </c>
      <c r="AM579" s="340" t="str">
        <f t="shared" si="445"/>
        <v>1+1075.84280245154i</v>
      </c>
      <c r="AN579" s="734">
        <f t="shared" si="446"/>
        <v>1075.8432672033521</v>
      </c>
      <c r="AO579" s="735">
        <f t="shared" si="447"/>
        <v>1.5698668232375657</v>
      </c>
      <c r="AP579" s="733" t="str">
        <f t="shared" si="448"/>
        <v>1+52.180149263689i</v>
      </c>
      <c r="AQ579" s="734">
        <f t="shared" si="449"/>
        <v>52.189730572027898</v>
      </c>
      <c r="AR579" s="735">
        <f t="shared" si="450"/>
        <v>1.5516342964702559</v>
      </c>
      <c r="AS579" s="732" t="str">
        <f t="shared" si="451"/>
        <v>0.000238565745885514-2.18433396274395i</v>
      </c>
      <c r="AT579" s="337">
        <f t="shared" si="452"/>
        <v>2.1843339757716316</v>
      </c>
      <c r="AU579" s="730">
        <f t="shared" si="453"/>
        <v>-1.570687110095891</v>
      </c>
      <c r="AV579" s="732" t="str">
        <f t="shared" si="454"/>
        <v>-0.0219121852551169+0.0174878102192796i</v>
      </c>
      <c r="AW579" s="337">
        <f t="shared" si="455"/>
        <v>-31.045954842304567</v>
      </c>
      <c r="AX579" s="730">
        <f t="shared" si="456"/>
        <v>141.40711947778306</v>
      </c>
      <c r="AY579" s="360">
        <f t="shared" si="457"/>
        <v>-38.592880522216944</v>
      </c>
      <c r="BB579" s="337">
        <f t="shared" si="458"/>
        <v>-33.213619180647868</v>
      </c>
      <c r="BC579" s="730">
        <f t="shared" si="459"/>
        <v>-89.993742344094628</v>
      </c>
      <c r="BD579" s="351"/>
      <c r="BE579" s="337">
        <f t="shared" si="420"/>
        <v>22.53609924952282</v>
      </c>
      <c r="BF579" s="730">
        <f t="shared" si="421"/>
        <v>-89.860900279337812</v>
      </c>
      <c r="BI579" s="351"/>
      <c r="BJ579" s="351"/>
      <c r="BL579" s="405">
        <f t="shared" si="422"/>
        <v>0</v>
      </c>
      <c r="BM579" s="405">
        <f t="shared" si="460"/>
        <v>0</v>
      </c>
      <c r="BN579" s="405">
        <f t="shared" si="423"/>
        <v>0</v>
      </c>
      <c r="BO579" s="405">
        <f t="shared" si="424"/>
        <v>0</v>
      </c>
    </row>
    <row r="580" spans="4:67" ht="13.5" thickBot="1" x14ac:dyDescent="0.25">
      <c r="D580" s="345">
        <v>108400</v>
      </c>
      <c r="E580" s="340" t="str">
        <f t="shared" si="411"/>
        <v>1.79809683846743i</v>
      </c>
      <c r="F580" s="728" t="str">
        <f t="shared" si="425"/>
        <v>0.005-0.0240691644625091i</v>
      </c>
      <c r="G580" s="337" t="str">
        <f t="shared" si="426"/>
        <v>0.005-0.0376466418516169i</v>
      </c>
      <c r="H580" s="338" t="str">
        <f t="shared" si="427"/>
        <v>0.00612907940151735-0.0373036903102523i</v>
      </c>
      <c r="I580" s="338" t="str">
        <f t="shared" si="428"/>
        <v>0.0161290794015174-0.0373036903102523i</v>
      </c>
      <c r="J580" s="337" t="str">
        <f t="shared" si="429"/>
        <v>0.0042737916459475-0.0147870674506073i</v>
      </c>
      <c r="K580" s="338" t="str">
        <f t="shared" si="412"/>
        <v>0.869438222222222-0.567581072748556i</v>
      </c>
      <c r="L580" s="732"/>
      <c r="M580" s="732" t="str">
        <f t="shared" si="413"/>
        <v>0.0317153330329323-13.2337437044481i</v>
      </c>
      <c r="N580" s="337">
        <f t="shared" si="414"/>
        <v>0</v>
      </c>
      <c r="O580" s="730" t="str">
        <f t="shared" si="415"/>
        <v>-0.621632865258296-4.97340474014782i</v>
      </c>
      <c r="P580" s="731" t="str">
        <f t="shared" si="416"/>
        <v>-0.195552716056359-0.0570272400574571i</v>
      </c>
      <c r="Q580" s="729" t="str">
        <f t="shared" si="417"/>
        <v>-0.189336387403776-0.00729319265597873i</v>
      </c>
      <c r="R580" s="730"/>
      <c r="S580" s="405" t="str">
        <f t="shared" si="430"/>
        <v>32.5345049603267-20.8250136637559i</v>
      </c>
      <c r="T580" s="405" t="str">
        <f t="shared" si="431"/>
        <v>11.2261666539744-9.38145573875657i</v>
      </c>
      <c r="U580" s="405" t="str">
        <f t="shared" si="432"/>
        <v>-0.281156852741039-0.476277131355804i</v>
      </c>
      <c r="V580" s="731" t="str">
        <f t="shared" si="418"/>
        <v>6000</v>
      </c>
      <c r="W580" s="733" t="str">
        <f>IMSUM(COMPLEX(1,0),IMDIV(COMPLEX(0,2*PI()*D580),COMPLEX(2*PI()*'Stability Calculations'!EA_Pole1,0)))</f>
        <v>1+687908.26017125i</v>
      </c>
      <c r="X580" s="734">
        <f t="shared" si="433"/>
        <v>687908.26017197676</v>
      </c>
      <c r="Y580" s="735">
        <f t="shared" si="434"/>
        <v>1.5707948731126866</v>
      </c>
      <c r="Z580" s="340" t="str">
        <f>IMSUM(COMPLEX(1,0),IMDIV(COMPLEX(0,2*PI()*D580),COMPLEX(2*PI()*'Stability Calculations'!EA_Zero1,0)))</f>
        <v>1+6810.97287298267i</v>
      </c>
      <c r="AA580" s="734">
        <f t="shared" si="435"/>
        <v>6810.972946393621</v>
      </c>
      <c r="AB580" s="735">
        <f t="shared" si="436"/>
        <v>1.5706495048927303</v>
      </c>
      <c r="AC580" s="733" t="str">
        <f>IMSUM(COMPLEX(1,0),IMDIV(COMPLEX(0,2*PI()*D580),COMPLEX(2*PI()*'Stability Calculations'!EA_Pole2,0)))</f>
        <v>1+68.6100364221344i</v>
      </c>
      <c r="AD580" s="734">
        <f t="shared" si="437"/>
        <v>68.617323598684678</v>
      </c>
      <c r="AE580" s="735">
        <f t="shared" si="438"/>
        <v>1.556222231666468</v>
      </c>
      <c r="AF580" s="732" t="str">
        <f t="shared" si="439"/>
        <v>0.0124913406218872-0.865667070930606i</v>
      </c>
      <c r="AG580" s="337">
        <f t="shared" si="440"/>
        <v>0.86575718956535774</v>
      </c>
      <c r="AH580" s="730">
        <f t="shared" si="441"/>
        <v>-1.5563675998864241</v>
      </c>
      <c r="AI580" s="731" t="str">
        <f t="shared" si="419"/>
        <v>10000</v>
      </c>
      <c r="AJ580" s="733" t="str">
        <f t="shared" si="442"/>
        <v>1+641319.843525476i</v>
      </c>
      <c r="AK580" s="734">
        <f t="shared" si="443"/>
        <v>641319.84352625569</v>
      </c>
      <c r="AL580" s="735">
        <f t="shared" si="444"/>
        <v>1.5707947675105394</v>
      </c>
      <c r="AM580" s="340" t="str">
        <f t="shared" si="445"/>
        <v>1+1088.39346510263i</v>
      </c>
      <c r="AN580" s="734">
        <f t="shared" si="446"/>
        <v>1088.3939244952214</v>
      </c>
      <c r="AO580" s="735">
        <f t="shared" si="447"/>
        <v>1.5698775416765782</v>
      </c>
      <c r="AP580" s="733" t="str">
        <f t="shared" si="448"/>
        <v>1+52.7888770899103i</v>
      </c>
      <c r="AQ580" s="734">
        <f t="shared" si="449"/>
        <v>52.798347932616764</v>
      </c>
      <c r="AR580" s="735">
        <f t="shared" si="450"/>
        <v>1.5518552076880767</v>
      </c>
      <c r="AS580" s="732" t="str">
        <f t="shared" si="451"/>
        <v>0.000233095491071456-2.15914561044308i</v>
      </c>
      <c r="AT580" s="337">
        <f t="shared" si="452"/>
        <v>2.1591456230252577</v>
      </c>
      <c r="AU580" s="730">
        <f t="shared" si="453"/>
        <v>-1.5706883695135356</v>
      </c>
      <c r="AV580" s="732" t="str">
        <f t="shared" si="454"/>
        <v>-0.0212377262370942+0.0172298214293033i</v>
      </c>
      <c r="AW580" s="337">
        <f t="shared" si="455"/>
        <v>-31.261519594007595</v>
      </c>
      <c r="AX580" s="730">
        <f t="shared" si="456"/>
        <v>140.94814289551655</v>
      </c>
      <c r="AY580" s="360">
        <f t="shared" si="457"/>
        <v>-39.051857104483446</v>
      </c>
      <c r="BB580" s="337">
        <f t="shared" si="458"/>
        <v>-33.314361315950421</v>
      </c>
      <c r="BC580" s="730">
        <f t="shared" si="459"/>
        <v>-89.993814503410306</v>
      </c>
      <c r="BD580" s="351"/>
      <c r="BE580" s="337">
        <f t="shared" si="420"/>
        <v>22.433679333136602</v>
      </c>
      <c r="BF580" s="730">
        <f t="shared" si="421"/>
        <v>-89.862688042755011</v>
      </c>
      <c r="BI580" s="351"/>
      <c r="BJ580" s="351"/>
      <c r="BL580" s="405">
        <f t="shared" si="422"/>
        <v>0</v>
      </c>
      <c r="BM580" s="405">
        <f t="shared" si="460"/>
        <v>0</v>
      </c>
      <c r="BN580" s="405">
        <f t="shared" si="423"/>
        <v>0</v>
      </c>
      <c r="BO580" s="405">
        <f t="shared" si="424"/>
        <v>0</v>
      </c>
    </row>
    <row r="581" spans="4:67" ht="13.5" thickBot="1" x14ac:dyDescent="0.25">
      <c r="D581" s="345">
        <v>109650</v>
      </c>
      <c r="E581" s="340" t="str">
        <f t="shared" si="411"/>
        <v>1.81883134998112i</v>
      </c>
      <c r="F581" s="728" t="str">
        <f t="shared" si="425"/>
        <v>0.005-0.0237947781827268i</v>
      </c>
      <c r="G581" s="337" t="str">
        <f t="shared" si="426"/>
        <v>0.005-0.0372174735678547i</v>
      </c>
      <c r="H581" s="338" t="str">
        <f t="shared" si="427"/>
        <v>0.00610304358085846-0.0368792248112435i</v>
      </c>
      <c r="I581" s="338" t="str">
        <f t="shared" si="428"/>
        <v>0.0161030435808585-0.0368792248112435i</v>
      </c>
      <c r="J581" s="337" t="str">
        <f t="shared" si="429"/>
        <v>0.00426903410763123-0.0146208808563337i</v>
      </c>
      <c r="K581" s="338" t="str">
        <f t="shared" si="412"/>
        <v>0.86640975-0.574126057443535i</v>
      </c>
      <c r="L581" s="732"/>
      <c r="M581" s="732" t="str">
        <f t="shared" si="413"/>
        <v>0.0309502954460403-13.0804406004701i</v>
      </c>
      <c r="N581" s="337">
        <f t="shared" si="414"/>
        <v>0</v>
      </c>
      <c r="O581" s="730" t="str">
        <f t="shared" si="415"/>
        <v>-0.61843495135139-4.91216265131895i</v>
      </c>
      <c r="P581" s="731" t="str">
        <f t="shared" si="416"/>
        <v>-0.191115435700923-0.056293367648436i</v>
      </c>
      <c r="Q581" s="729" t="str">
        <f t="shared" si="417"/>
        <v>-0.184931086187409-0.00717174113524632i</v>
      </c>
      <c r="R581" s="730"/>
      <c r="S581" s="405" t="str">
        <f t="shared" si="430"/>
        <v>32.3553271274178-21.0301269545539i</v>
      </c>
      <c r="T581" s="405" t="str">
        <f t="shared" si="431"/>
        <v>11.1338964568121-9.45363160909262i</v>
      </c>
      <c r="U581" s="405" t="str">
        <f t="shared" si="432"/>
        <v>-0.280691950093714-0.468305396163556i</v>
      </c>
      <c r="V581" s="731" t="str">
        <f t="shared" si="418"/>
        <v>6000</v>
      </c>
      <c r="W581" s="733" t="str">
        <f>IMSUM(COMPLEX(1,0),IMDIV(COMPLEX(0,2*PI()*D581),COMPLEX(2*PI()*'Stability Calculations'!EA_Pole1,0)))</f>
        <v>1+695840.781621564i</v>
      </c>
      <c r="X581" s="734">
        <f t="shared" si="433"/>
        <v>695840.78162228246</v>
      </c>
      <c r="Y581" s="735">
        <f t="shared" si="434"/>
        <v>1.5707948896845312</v>
      </c>
      <c r="Z581" s="340" t="str">
        <f>IMSUM(COMPLEX(1,0),IMDIV(COMPLEX(0,2*PI()*D581),COMPLEX(2*PI()*'Stability Calculations'!EA_Zero1,0)))</f>
        <v>1+6889.51268932242i</v>
      </c>
      <c r="AA581" s="734">
        <f t="shared" si="435"/>
        <v>6889.5127618964916</v>
      </c>
      <c r="AB581" s="735">
        <f t="shared" si="436"/>
        <v>1.5706511786490014</v>
      </c>
      <c r="AC581" s="733" t="str">
        <f>IMSUM(COMPLEX(1,0),IMDIV(COMPLEX(0,2*PI()*D581),COMPLEX(2*PI()*'Stability Calculations'!EA_Pole2,0)))</f>
        <v>1+69.4012038163011i</v>
      </c>
      <c r="AD581" s="734">
        <f t="shared" si="437"/>
        <v>69.408407928375411</v>
      </c>
      <c r="AE581" s="735">
        <f t="shared" si="438"/>
        <v>1.5563883518971</v>
      </c>
      <c r="AF581" s="732" t="str">
        <f t="shared" si="439"/>
        <v>0.0122082224632647-0.855802624707708i</v>
      </c>
      <c r="AG581" s="337">
        <f t="shared" si="440"/>
        <v>0.85588969683734051</v>
      </c>
      <c r="AH581" s="730">
        <f t="shared" si="441"/>
        <v>-1.5565320629326298</v>
      </c>
      <c r="AI581" s="731" t="str">
        <f t="shared" si="419"/>
        <v>10000</v>
      </c>
      <c r="AJ581" s="733" t="str">
        <f t="shared" si="442"/>
        <v>1+648715.136924064i</v>
      </c>
      <c r="AK581" s="734">
        <f t="shared" si="443"/>
        <v>648715.13692483481</v>
      </c>
      <c r="AL581" s="735">
        <f t="shared" si="444"/>
        <v>1.5707947852862389</v>
      </c>
      <c r="AM581" s="340" t="str">
        <f t="shared" si="445"/>
        <v>1+1100.94412775372i</v>
      </c>
      <c r="AN581" s="734">
        <f t="shared" si="446"/>
        <v>1100.94458190928</v>
      </c>
      <c r="AO581" s="735">
        <f t="shared" si="447"/>
        <v>1.5698880157373403</v>
      </c>
      <c r="AP581" s="733" t="str">
        <f t="shared" si="448"/>
        <v>1+53.3976049161316i</v>
      </c>
      <c r="AQ581" s="734">
        <f t="shared" si="449"/>
        <v>53.406967811131921</v>
      </c>
      <c r="AR581" s="735">
        <f t="shared" si="450"/>
        <v>1.5520710839567866</v>
      </c>
      <c r="AS581" s="732" t="str">
        <f t="shared" si="451"/>
        <v>0.000227811249056832-2.1345315479605i</v>
      </c>
      <c r="AT581" s="337">
        <f t="shared" si="452"/>
        <v>2.1345315601172574</v>
      </c>
      <c r="AU581" s="730">
        <f t="shared" si="453"/>
        <v>-1.5706896002166881</v>
      </c>
      <c r="AV581" s="732" t="str">
        <f t="shared" si="454"/>
        <v>-0.0205868711838877+0.016976971919562i</v>
      </c>
      <c r="AW581" s="337">
        <f t="shared" si="455"/>
        <v>-31.474975354381165</v>
      </c>
      <c r="AX581" s="730">
        <f t="shared" si="456"/>
        <v>140.48928871793299</v>
      </c>
      <c r="AY581" s="360">
        <f t="shared" si="457"/>
        <v>-39.510711282067007</v>
      </c>
      <c r="BB581" s="337">
        <f t="shared" si="458"/>
        <v>-33.413948391026452</v>
      </c>
      <c r="BC581" s="730">
        <f t="shared" si="459"/>
        <v>-89.993885017506784</v>
      </c>
      <c r="BD581" s="351"/>
      <c r="BE581" s="337">
        <f t="shared" si="420"/>
        <v>22.332471774120478</v>
      </c>
      <c r="BF581" s="730">
        <f t="shared" si="421"/>
        <v>-89.864429796479868</v>
      </c>
      <c r="BI581" s="351"/>
      <c r="BJ581" s="351"/>
      <c r="BL581" s="405">
        <f t="shared" si="422"/>
        <v>0</v>
      </c>
      <c r="BM581" s="405">
        <f t="shared" si="460"/>
        <v>0</v>
      </c>
      <c r="BN581" s="405">
        <f t="shared" si="423"/>
        <v>0</v>
      </c>
      <c r="BO581" s="405">
        <f t="shared" si="424"/>
        <v>0</v>
      </c>
    </row>
    <row r="582" spans="4:67" ht="13.5" thickBot="1" x14ac:dyDescent="0.25">
      <c r="D582" s="345">
        <v>110925</v>
      </c>
      <c r="E582" s="340" t="str">
        <f t="shared" si="411"/>
        <v>1.83998055172508i</v>
      </c>
      <c r="F582" s="728" t="str">
        <f t="shared" si="425"/>
        <v>0.005-0.0235212749852242i</v>
      </c>
      <c r="G582" s="337" t="str">
        <f t="shared" si="426"/>
        <v>0.005-0.0367896865153506i</v>
      </c>
      <c r="H582" s="338" t="str">
        <f t="shared" si="427"/>
        <v>0.00607738752607339-0.0364560982906631i</v>
      </c>
      <c r="I582" s="338" t="str">
        <f t="shared" si="428"/>
        <v>0.0160773875260734-0.0364560982906631i</v>
      </c>
      <c r="J582" s="337" t="str">
        <f t="shared" si="429"/>
        <v>0.00426431413848428-0.0144552441934129i</v>
      </c>
      <c r="K582" s="338" t="str">
        <f t="shared" si="412"/>
        <v>0.8632849375-0.580801941832413i</v>
      </c>
      <c r="L582" s="732"/>
      <c r="M582" s="732" t="str">
        <f t="shared" si="413"/>
        <v>0.0301983425710674-12.927715177332i</v>
      </c>
      <c r="N582" s="337">
        <f t="shared" si="414"/>
        <v>0</v>
      </c>
      <c r="O582" s="730" t="str">
        <f t="shared" si="415"/>
        <v>-0.61523511380303-4.85112613472064i</v>
      </c>
      <c r="P582" s="731" t="str">
        <f t="shared" si="416"/>
        <v>-0.186744504532039-0.0555643630250957i</v>
      </c>
      <c r="Q582" s="729" t="str">
        <f t="shared" si="417"/>
        <v>-0.180592153394009-0.00705310167788951i</v>
      </c>
      <c r="R582" s="730"/>
      <c r="S582" s="405" t="str">
        <f t="shared" si="430"/>
        <v>32.1706331373145-21.2374956046104i</v>
      </c>
      <c r="T582" s="405" t="str">
        <f t="shared" si="431"/>
        <v>11.0390791878174-9.52617174099052i</v>
      </c>
      <c r="U582" s="405" t="str">
        <f t="shared" si="432"/>
        <v>-0.280198291167909-0.460335993219415i</v>
      </c>
      <c r="V582" s="731" t="str">
        <f t="shared" si="418"/>
        <v>6000</v>
      </c>
      <c r="W582" s="733" t="str">
        <f>IMSUM(COMPLEX(1,0),IMDIV(COMPLEX(0,2*PI()*D582),COMPLEX(2*PI()*'Stability Calculations'!EA_Pole1,0)))</f>
        <v>1+703931.953500885i</v>
      </c>
      <c r="X582" s="734">
        <f t="shared" si="433"/>
        <v>703931.9535015953</v>
      </c>
      <c r="Y582" s="735">
        <f t="shared" si="434"/>
        <v>1.5707949062030411</v>
      </c>
      <c r="Z582" s="340" t="str">
        <f>IMSUM(COMPLEX(1,0),IMDIV(COMPLEX(0,2*PI()*D582),COMPLEX(2*PI()*'Stability Calculations'!EA_Zero1,0)))</f>
        <v>1+6969.62330198896i</v>
      </c>
      <c r="AA582" s="734">
        <f t="shared" si="435"/>
        <v>6969.6233737288476</v>
      </c>
      <c r="AB582" s="735">
        <f t="shared" si="436"/>
        <v>1.5706528470184713</v>
      </c>
      <c r="AC582" s="733" t="str">
        <f>IMSUM(COMPLEX(1,0),IMDIV(COMPLEX(0,2*PI()*D582),COMPLEX(2*PI()*'Stability Calculations'!EA_Pole2,0)))</f>
        <v>1+70.2081945583512i</v>
      </c>
      <c r="AD582" s="734">
        <f t="shared" si="437"/>
        <v>70.215315872986665</v>
      </c>
      <c r="AE582" s="735">
        <f t="shared" si="438"/>
        <v>1.5565539382793459</v>
      </c>
      <c r="AF582" s="732" t="str">
        <f t="shared" si="439"/>
        <v>0.0119292431924219-0.845969786525304i</v>
      </c>
      <c r="AG582" s="337">
        <f t="shared" si="440"/>
        <v>0.84605389104761652</v>
      </c>
      <c r="AH582" s="730">
        <f t="shared" si="441"/>
        <v>-1.5566959974639156</v>
      </c>
      <c r="AI582" s="731" t="str">
        <f t="shared" si="419"/>
        <v>10000</v>
      </c>
      <c r="AJ582" s="733" t="str">
        <f t="shared" si="442"/>
        <v>1+656258.336190623i</v>
      </c>
      <c r="AK582" s="734">
        <f t="shared" si="443"/>
        <v>656258.33619138482</v>
      </c>
      <c r="AL582" s="735">
        <f t="shared" si="444"/>
        <v>1.5707948030047292</v>
      </c>
      <c r="AM582" s="340" t="str">
        <f t="shared" si="445"/>
        <v>1+1113.74580365784i</v>
      </c>
      <c r="AN582" s="734">
        <f t="shared" si="446"/>
        <v>1113.7462525932233</v>
      </c>
      <c r="AO582" s="735">
        <f t="shared" si="447"/>
        <v>1.5698984560886799</v>
      </c>
      <c r="AP582" s="733" t="str">
        <f t="shared" si="448"/>
        <v>1+54.0185072988773i</v>
      </c>
      <c r="AQ582" s="734">
        <f t="shared" si="449"/>
        <v>54.027762592937911</v>
      </c>
      <c r="AR582" s="735">
        <f t="shared" si="450"/>
        <v>1.552286267188409</v>
      </c>
      <c r="AS582" s="732" t="str">
        <f t="shared" si="451"/>
        <v>0.000222604306838814-2.10999670313098i</v>
      </c>
      <c r="AT582" s="337">
        <f t="shared" si="452"/>
        <v>2.109996714873339</v>
      </c>
      <c r="AU582" s="730">
        <f t="shared" si="453"/>
        <v>-1.5706908269589572</v>
      </c>
      <c r="AV582" s="732" t="str">
        <f t="shared" si="454"/>
        <v>-0.0199462288478468+0.0167241891727427i</v>
      </c>
      <c r="AW582" s="337">
        <f t="shared" si="455"/>
        <v>-31.690582986552634</v>
      </c>
      <c r="AX582" s="730">
        <f t="shared" si="456"/>
        <v>140.02138776030506</v>
      </c>
      <c r="AY582" s="360">
        <f t="shared" si="457"/>
        <v>-39.978612239694939</v>
      </c>
      <c r="BB582" s="337">
        <f t="shared" si="458"/>
        <v>-33.514364417396777</v>
      </c>
      <c r="BC582" s="730">
        <f t="shared" si="459"/>
        <v>-89.993955304661355</v>
      </c>
      <c r="BD582" s="351"/>
      <c r="BE582" s="337">
        <f t="shared" si="420"/>
        <v>22.23045920138139</v>
      </c>
      <c r="BF582" s="730">
        <f t="shared" si="421"/>
        <v>-89.866160848470642</v>
      </c>
      <c r="BI582" s="351"/>
      <c r="BJ582" s="351"/>
      <c r="BL582" s="405">
        <f t="shared" si="422"/>
        <v>0</v>
      </c>
      <c r="BM582" s="405">
        <f t="shared" si="460"/>
        <v>0</v>
      </c>
      <c r="BN582" s="405">
        <f t="shared" si="423"/>
        <v>0</v>
      </c>
      <c r="BO582" s="405">
        <f t="shared" si="424"/>
        <v>0</v>
      </c>
    </row>
    <row r="583" spans="4:67" ht="13.5" thickBot="1" x14ac:dyDescent="0.25">
      <c r="D583" s="345">
        <v>112200</v>
      </c>
      <c r="E583" s="340" t="str">
        <f t="shared" si="411"/>
        <v>1.86112975346905i</v>
      </c>
      <c r="F583" s="728" t="str">
        <f t="shared" si="425"/>
        <v>0.005-0.023253987769483i</v>
      </c>
      <c r="G583" s="337" t="str">
        <f t="shared" si="426"/>
        <v>0.005-0.036371621895858i</v>
      </c>
      <c r="H583" s="338" t="str">
        <f t="shared" si="427"/>
        <v>0.00605260009757427-0.0360425624210571i</v>
      </c>
      <c r="I583" s="338" t="str">
        <f t="shared" si="428"/>
        <v>0.0160526000975743-0.0360425624210571i</v>
      </c>
      <c r="J583" s="337" t="str">
        <f t="shared" si="429"/>
        <v>0.00425972203428412-0.0142933868331861i</v>
      </c>
      <c r="K583" s="338" t="str">
        <f t="shared" si="412"/>
        <v>0.860124-0.587477826221291i</v>
      </c>
      <c r="L583" s="732"/>
      <c r="M583" s="732" t="str">
        <f t="shared" si="413"/>
        <v>0.0294736632612835-12.7785411186027i</v>
      </c>
      <c r="N583" s="337">
        <f t="shared" si="414"/>
        <v>0</v>
      </c>
      <c r="O583" s="730" t="str">
        <f t="shared" si="415"/>
        <v>-0.61209487441557-4.79148417642679i</v>
      </c>
      <c r="P583" s="731" t="str">
        <f t="shared" si="416"/>
        <v>-0.182523081759138-0.0548543116393021i</v>
      </c>
      <c r="Q583" s="729" t="str">
        <f t="shared" si="417"/>
        <v>-0.176402133014982-0.00693946987503407i</v>
      </c>
      <c r="R583" s="730"/>
      <c r="S583" s="405" t="str">
        <f t="shared" si="430"/>
        <v>31.9840033362934-21.4429744654915i</v>
      </c>
      <c r="T583" s="405" t="str">
        <f t="shared" si="431"/>
        <v>10.9435680548334-9.59761081126428i</v>
      </c>
      <c r="U583" s="405" t="str">
        <f t="shared" si="432"/>
        <v>-0.279685445681511-0.452524734858158i</v>
      </c>
      <c r="V583" s="731" t="str">
        <f t="shared" si="418"/>
        <v>6000</v>
      </c>
      <c r="W583" s="733" t="str">
        <f>IMSUM(COMPLEX(1,0),IMDIV(COMPLEX(0,2*PI()*D583),COMPLEX(2*PI()*'Stability Calculations'!EA_Pole1,0)))</f>
        <v>1+712023.125380206i</v>
      </c>
      <c r="X583" s="734">
        <f t="shared" si="433"/>
        <v>712023.12538090837</v>
      </c>
      <c r="Y583" s="735">
        <f t="shared" si="434"/>
        <v>1.5707949223461304</v>
      </c>
      <c r="Z583" s="340" t="str">
        <f>IMSUM(COMPLEX(1,0),IMDIV(COMPLEX(0,2*PI()*D583),COMPLEX(2*PI()*'Stability Calculations'!EA_Zero1,0)))</f>
        <v>1+7049.7339146555i</v>
      </c>
      <c r="AA583" s="734">
        <f t="shared" si="435"/>
        <v>7049.733985580162</v>
      </c>
      <c r="AB583" s="735">
        <f t="shared" si="436"/>
        <v>1.5706544774704541</v>
      </c>
      <c r="AC583" s="733" t="str">
        <f>IMSUM(COMPLEX(1,0),IMDIV(COMPLEX(0,2*PI()*D583),COMPLEX(2*PI()*'Stability Calculations'!EA_Pole2,0)))</f>
        <v>1+71.0151853004012i</v>
      </c>
      <c r="AD583" s="734">
        <f t="shared" si="437"/>
        <v>71.022225699074781</v>
      </c>
      <c r="AE583" s="735">
        <f t="shared" si="438"/>
        <v>1.5567157620894394</v>
      </c>
      <c r="AF583" s="732" t="str">
        <f t="shared" si="439"/>
        <v>0.0116597179224608-0.836360288811624i</v>
      </c>
      <c r="AG583" s="337">
        <f t="shared" si="440"/>
        <v>0.83644155906022177</v>
      </c>
      <c r="AH583" s="730">
        <f t="shared" si="441"/>
        <v>-1.5568562069651155</v>
      </c>
      <c r="AI583" s="731" t="str">
        <f t="shared" si="419"/>
        <v>10000</v>
      </c>
      <c r="AJ583" s="733" t="str">
        <f t="shared" si="442"/>
        <v>1+663801.535457182i</v>
      </c>
      <c r="AK583" s="734">
        <f t="shared" si="443"/>
        <v>663801.53545793518</v>
      </c>
      <c r="AL583" s="735">
        <f t="shared" si="444"/>
        <v>1.5707948203205264</v>
      </c>
      <c r="AM583" s="340" t="str">
        <f t="shared" si="445"/>
        <v>1+1126.54747956195i</v>
      </c>
      <c r="AN583" s="734">
        <f t="shared" si="446"/>
        <v>1126.5479233957967</v>
      </c>
      <c r="AO583" s="735">
        <f t="shared" si="447"/>
        <v>1.5699086591594964</v>
      </c>
      <c r="AP583" s="733" t="str">
        <f t="shared" si="448"/>
        <v>1+54.639409681623i</v>
      </c>
      <c r="AQ583" s="734">
        <f t="shared" si="449"/>
        <v>54.648559819598511</v>
      </c>
      <c r="AR583" s="735">
        <f t="shared" si="450"/>
        <v>1.5524965615485662</v>
      </c>
      <c r="AS583" s="732" t="str">
        <f t="shared" si="451"/>
        <v>0.000217573863492609-2.0860194683928i</v>
      </c>
      <c r="AT583" s="337">
        <f t="shared" si="452"/>
        <v>2.0860194797393827</v>
      </c>
      <c r="AU583" s="730">
        <f t="shared" si="453"/>
        <v>-1.5706920258207206</v>
      </c>
      <c r="AV583" s="732" t="str">
        <f t="shared" si="454"/>
        <v>-0.019328003153106+0.0164764150068473i</v>
      </c>
      <c r="AW583" s="337">
        <f t="shared" si="455"/>
        <v>-31.904106887906472</v>
      </c>
      <c r="AX583" s="730">
        <f t="shared" si="456"/>
        <v>139.55362299471037</v>
      </c>
      <c r="AY583" s="360">
        <f t="shared" si="457"/>
        <v>-40.446377005289634</v>
      </c>
      <c r="BB583" s="337">
        <f t="shared" si="458"/>
        <v>-33.613632806935485</v>
      </c>
      <c r="BC583" s="730">
        <f t="shared" si="459"/>
        <v>-89.994023994380612</v>
      </c>
      <c r="BD583" s="351"/>
      <c r="BE583" s="337">
        <f t="shared" si="420"/>
        <v>22.129648599462257</v>
      </c>
      <c r="BF583" s="730">
        <f t="shared" si="421"/>
        <v>-89.867847706449353</v>
      </c>
      <c r="BI583" s="351"/>
      <c r="BJ583" s="351"/>
      <c r="BL583" s="405">
        <f t="shared" si="422"/>
        <v>0</v>
      </c>
      <c r="BM583" s="405">
        <f t="shared" si="460"/>
        <v>0</v>
      </c>
      <c r="BN583" s="405">
        <f t="shared" si="423"/>
        <v>0</v>
      </c>
      <c r="BO583" s="405">
        <f t="shared" si="424"/>
        <v>0</v>
      </c>
    </row>
    <row r="584" spans="4:67" ht="13.5" thickBot="1" x14ac:dyDescent="0.25">
      <c r="D584" s="345">
        <v>113510</v>
      </c>
      <c r="E584" s="340" t="str">
        <f t="shared" si="411"/>
        <v>1.8828595215354i</v>
      </c>
      <c r="F584" s="728" t="str">
        <f t="shared" si="425"/>
        <v>0.005-0.0229856173705928i</v>
      </c>
      <c r="G584" s="337" t="str">
        <f t="shared" si="426"/>
        <v>0.005-0.0359518630668247i</v>
      </c>
      <c r="H584" s="338" t="str">
        <f t="shared" si="427"/>
        <v>0.00602799622332483-0.0356273252686344i</v>
      </c>
      <c r="I584" s="338" t="str">
        <f t="shared" si="428"/>
        <v>0.0160279962233248-0.0356273252686344i</v>
      </c>
      <c r="J584" s="337" t="str">
        <f t="shared" si="429"/>
        <v>0.00425513089449593-0.0141308885807544i</v>
      </c>
      <c r="K584" s="338" t="str">
        <f t="shared" si="412"/>
        <v>0.856838665555555-0.594336970181629i</v>
      </c>
      <c r="L584" s="732"/>
      <c r="M584" s="732" t="str">
        <f t="shared" si="413"/>
        <v>0.0287561139237599-12.6288414608693i</v>
      </c>
      <c r="N584" s="337">
        <f t="shared" si="414"/>
        <v>0</v>
      </c>
      <c r="O584" s="730" t="str">
        <f t="shared" si="415"/>
        <v>-0.60892746918988-4.73160704911938i</v>
      </c>
      <c r="P584" s="731" t="str">
        <f t="shared" si="416"/>
        <v>-0.178334390558793-0.0541437229037081i</v>
      </c>
      <c r="Q584" s="729" t="str">
        <f t="shared" si="417"/>
        <v>-0.172245115866894-0.00682765241251469i</v>
      </c>
      <c r="R584" s="730"/>
      <c r="S584" s="405" t="str">
        <f t="shared" si="430"/>
        <v>31.7902515740127-21.6520994581277i</v>
      </c>
      <c r="T584" s="405" t="str">
        <f t="shared" si="431"/>
        <v>10.8447281846913-9.66985265257491i</v>
      </c>
      <c r="U584" s="405" t="str">
        <f t="shared" si="432"/>
        <v>-0.279139005212748-0.444658493755754i</v>
      </c>
      <c r="V584" s="731" t="str">
        <f t="shared" si="418"/>
        <v>6000</v>
      </c>
      <c r="W584" s="733" t="str">
        <f>IMSUM(COMPLEX(1,0),IMDIV(COMPLEX(0,2*PI()*D584),COMPLEX(2*PI()*'Stability Calculations'!EA_Pole1,0)))</f>
        <v>1+720336.407860135i</v>
      </c>
      <c r="X584" s="734">
        <f t="shared" si="433"/>
        <v>720336.40786082915</v>
      </c>
      <c r="Y584" s="735">
        <f t="shared" si="434"/>
        <v>1.5707949385546396</v>
      </c>
      <c r="Z584" s="340" t="str">
        <f>IMSUM(COMPLEX(1,0),IMDIV(COMPLEX(0,2*PI()*D584),COMPLEX(2*PI()*'Stability Calculations'!EA_Zero1,0)))</f>
        <v>1+7132.04364217955i</v>
      </c>
      <c r="AA584" s="734">
        <f t="shared" si="435"/>
        <v>7132.0437122856829</v>
      </c>
      <c r="AB584" s="735">
        <f t="shared" si="436"/>
        <v>1.5706561145298548</v>
      </c>
      <c r="AC584" s="733" t="str">
        <f>IMSUM(COMPLEX(1,0),IMDIV(COMPLEX(0,2*PI()*D584),COMPLEX(2*PI()*'Stability Calculations'!EA_Pole2,0)))</f>
        <v>1+71.8443287294878i</v>
      </c>
      <c r="AD584" s="734">
        <f t="shared" si="437"/>
        <v>71.851287884008769</v>
      </c>
      <c r="AE584" s="735">
        <f t="shared" si="438"/>
        <v>1.5568782424335406</v>
      </c>
      <c r="AF584" s="732" t="str">
        <f t="shared" si="439"/>
        <v>0.0113921969947515-0.826711717665972i</v>
      </c>
      <c r="AG584" s="337">
        <f t="shared" si="440"/>
        <v>0.82679020693195748</v>
      </c>
      <c r="AH584" s="730">
        <f t="shared" si="441"/>
        <v>-1.5570170664583254</v>
      </c>
      <c r="AI584" s="731" t="str">
        <f t="shared" si="419"/>
        <v>10000</v>
      </c>
      <c r="AJ584" s="733" t="str">
        <f t="shared" si="442"/>
        <v>1+671551.802938901i</v>
      </c>
      <c r="AK584" s="734">
        <f t="shared" si="443"/>
        <v>671551.80293964548</v>
      </c>
      <c r="AL584" s="735">
        <f t="shared" si="444"/>
        <v>1.5707948377064962</v>
      </c>
      <c r="AM584" s="340" t="str">
        <f t="shared" si="445"/>
        <v>1+1139.70057402029i</v>
      </c>
      <c r="AN584" s="734">
        <f t="shared" si="446"/>
        <v>1139.7010127319265</v>
      </c>
      <c r="AO584" s="735">
        <f t="shared" si="447"/>
        <v>1.5699189035785086</v>
      </c>
      <c r="AP584" s="733" t="str">
        <f t="shared" si="448"/>
        <v>1+55.2773564435029i</v>
      </c>
      <c r="AQ584" s="734">
        <f t="shared" si="449"/>
        <v>55.286400998636829</v>
      </c>
      <c r="AR584" s="735">
        <f t="shared" si="450"/>
        <v>1.5527077097565496</v>
      </c>
      <c r="AS584" s="732" t="str">
        <f t="shared" si="451"/>
        <v>0.000212580874965929-2.06194506573962i</v>
      </c>
      <c r="AT584" s="337">
        <f t="shared" si="452"/>
        <v>2.0619450766978722</v>
      </c>
      <c r="AU584" s="730">
        <f t="shared" si="453"/>
        <v>-1.5706932295408791</v>
      </c>
      <c r="AV584" s="732" t="str">
        <f t="shared" si="454"/>
        <v>-0.0187151127801728+0.0162268881439359i</v>
      </c>
      <c r="AW584" s="337">
        <f t="shared" si="455"/>
        <v>-32.121377621169515</v>
      </c>
      <c r="AX584" s="730">
        <f t="shared" si="456"/>
        <v>139.07316468606939</v>
      </c>
      <c r="AY584" s="360">
        <f t="shared" si="457"/>
        <v>-40.92683531393061</v>
      </c>
      <c r="BB584" s="337">
        <f t="shared" si="458"/>
        <v>-33.714458140940643</v>
      </c>
      <c r="BC584" s="730">
        <f t="shared" si="459"/>
        <v>-89.994092962465416</v>
      </c>
      <c r="BD584" s="351"/>
      <c r="BE584" s="337">
        <f t="shared" si="420"/>
        <v>22.027292742624006</v>
      </c>
      <c r="BF584" s="730">
        <f t="shared" si="421"/>
        <v>-89.869536637969944</v>
      </c>
      <c r="BI584" s="351"/>
      <c r="BJ584" s="351"/>
      <c r="BL584" s="405">
        <f t="shared" si="422"/>
        <v>0</v>
      </c>
      <c r="BM584" s="405">
        <f t="shared" si="460"/>
        <v>0</v>
      </c>
      <c r="BN584" s="405">
        <f t="shared" si="423"/>
        <v>0</v>
      </c>
      <c r="BO584" s="405">
        <f t="shared" si="424"/>
        <v>0</v>
      </c>
    </row>
    <row r="585" spans="4:67" ht="13.5" thickBot="1" x14ac:dyDescent="0.25">
      <c r="D585" s="345">
        <v>114820</v>
      </c>
      <c r="E585" s="340" t="str">
        <f t="shared" si="411"/>
        <v>1.90458928960175i</v>
      </c>
      <c r="F585" s="728" t="str">
        <f t="shared" si="425"/>
        <v>0.005-0.0227233707345061i</v>
      </c>
      <c r="G585" s="337" t="str">
        <f t="shared" si="426"/>
        <v>0.005-0.0355416824308942i</v>
      </c>
      <c r="H585" s="338" t="str">
        <f t="shared" si="427"/>
        <v>0.00600422871494496-0.0352215388000209i</v>
      </c>
      <c r="I585" s="338" t="str">
        <f t="shared" si="428"/>
        <v>0.016004228714945-0.0352215388000209i</v>
      </c>
      <c r="J585" s="337" t="str">
        <f t="shared" si="429"/>
        <v>0.00425066255894506-0.0139721130898248i</v>
      </c>
      <c r="K585" s="338" t="str">
        <f t="shared" si="412"/>
        <v>0.853515195555556-0.601196114141967i</v>
      </c>
      <c r="L585" s="732"/>
      <c r="M585" s="732" t="str">
        <f t="shared" si="413"/>
        <v>0.0280646247022752-12.4826331845196i</v>
      </c>
      <c r="N585" s="337">
        <f t="shared" si="414"/>
        <v>0</v>
      </c>
      <c r="O585" s="730" t="str">
        <f t="shared" si="415"/>
        <v>-0.605816976405738-4.67310178434233i</v>
      </c>
      <c r="P585" s="731" t="str">
        <f t="shared" si="416"/>
        <v>-0.174289469263455-0.053451583624646i</v>
      </c>
      <c r="Q585" s="729" t="str">
        <f t="shared" si="417"/>
        <v>-0.168231299499397-0.00672056578122222i</v>
      </c>
      <c r="R585" s="730"/>
      <c r="S585" s="405" t="str">
        <f t="shared" si="430"/>
        <v>31.5944924557525-21.8591761363724i</v>
      </c>
      <c r="T585" s="405" t="str">
        <f t="shared" si="431"/>
        <v>10.7451883058021-9.7409090516017i</v>
      </c>
      <c r="U585" s="405" t="str">
        <f t="shared" si="432"/>
        <v>-0.278573237935278-0.436948712663635i</v>
      </c>
      <c r="V585" s="731" t="str">
        <f t="shared" si="418"/>
        <v>6000</v>
      </c>
      <c r="W585" s="733" t="str">
        <f>IMSUM(COMPLEX(1,0),IMDIV(COMPLEX(0,2*PI()*D585),COMPLEX(2*PI()*'Stability Calculations'!EA_Pole1,0)))</f>
        <v>1+728649.690340064i</v>
      </c>
      <c r="X585" s="734">
        <f t="shared" si="433"/>
        <v>728649.69034075015</v>
      </c>
      <c r="Y585" s="735">
        <f t="shared" si="434"/>
        <v>1.5707949543932977</v>
      </c>
      <c r="Z585" s="340" t="str">
        <f>IMSUM(COMPLEX(1,0),IMDIV(COMPLEX(0,2*PI()*D585),COMPLEX(2*PI()*'Stability Calculations'!EA_Zero1,0)))</f>
        <v>1+7214.3533697036i</v>
      </c>
      <c r="AA585" s="734">
        <f t="shared" si="435"/>
        <v>7214.3534390098803</v>
      </c>
      <c r="AB585" s="735">
        <f t="shared" si="436"/>
        <v>1.5706577142343039</v>
      </c>
      <c r="AC585" s="733" t="str">
        <f>IMSUM(COMPLEX(1,0),IMDIV(COMPLEX(0,2*PI()*D585),COMPLEX(2*PI()*'Stability Calculations'!EA_Pole2,0)))</f>
        <v>1+72.6734721585745i</v>
      </c>
      <c r="AD585" s="734">
        <f t="shared" si="437"/>
        <v>72.680351922532012</v>
      </c>
      <c r="AE585" s="735">
        <f t="shared" si="438"/>
        <v>1.5570370159584739</v>
      </c>
      <c r="AF585" s="732" t="str">
        <f t="shared" si="439"/>
        <v>0.0111337779891891-0.817283185502118i</v>
      </c>
      <c r="AG585" s="337">
        <f t="shared" si="440"/>
        <v>0.81735901923010679</v>
      </c>
      <c r="AH585" s="730">
        <f t="shared" si="441"/>
        <v>-1.5571742561174677</v>
      </c>
      <c r="AI585" s="731" t="str">
        <f t="shared" si="419"/>
        <v>10000</v>
      </c>
      <c r="AJ585" s="733" t="str">
        <f t="shared" si="442"/>
        <v>1+679302.07042062i</v>
      </c>
      <c r="AK585" s="734">
        <f t="shared" si="443"/>
        <v>679302.07042135613</v>
      </c>
      <c r="AL585" s="735">
        <f t="shared" si="444"/>
        <v>1.5707948546957473</v>
      </c>
      <c r="AM585" s="340" t="str">
        <f t="shared" si="445"/>
        <v>1+1152.85366847863i</v>
      </c>
      <c r="AN585" s="734">
        <f t="shared" si="446"/>
        <v>1152.854102184936</v>
      </c>
      <c r="AO585" s="735">
        <f t="shared" si="447"/>
        <v>1.569928914237223</v>
      </c>
      <c r="AP585" s="733" t="str">
        <f t="shared" si="448"/>
        <v>1+55.9153032053828i</v>
      </c>
      <c r="AQ585" s="734">
        <f t="shared" si="449"/>
        <v>55.924244586314188</v>
      </c>
      <c r="AR585" s="735">
        <f t="shared" si="450"/>
        <v>1.5529140414746849</v>
      </c>
      <c r="AS585" s="732" t="str">
        <f t="shared" si="451"/>
        <v>0.000207757807099856-2.03842000059699i</v>
      </c>
      <c r="AT585" s="337">
        <f t="shared" si="452"/>
        <v>2.0384200111844319</v>
      </c>
      <c r="AU585" s="730">
        <f t="shared" si="453"/>
        <v>-1.570694405794161</v>
      </c>
      <c r="AV585" s="732" t="str">
        <f t="shared" si="454"/>
        <v>-0.0181238247158146+0.0159823146288703i</v>
      </c>
      <c r="AW585" s="337">
        <f t="shared" si="455"/>
        <v>-32.336560183953658</v>
      </c>
      <c r="AX585" s="730">
        <f t="shared" si="456"/>
        <v>138.59286109882643</v>
      </c>
      <c r="AY585" s="360">
        <f t="shared" si="457"/>
        <v>-41.407138901173568</v>
      </c>
      <c r="BB585" s="337">
        <f t="shared" si="458"/>
        <v>-33.814126517033067</v>
      </c>
      <c r="BC585" s="730">
        <f t="shared" si="459"/>
        <v>-89.994160356814106</v>
      </c>
      <c r="BD585" s="351"/>
      <c r="BE585" s="337">
        <f t="shared" si="420"/>
        <v>21.926146122645132</v>
      </c>
      <c r="BF585" s="730">
        <f t="shared" si="421"/>
        <v>-89.871182480816515</v>
      </c>
      <c r="BI585" s="351"/>
      <c r="BJ585" s="351"/>
      <c r="BL585" s="405">
        <f t="shared" si="422"/>
        <v>0</v>
      </c>
      <c r="BM585" s="405">
        <f t="shared" si="460"/>
        <v>0</v>
      </c>
      <c r="BN585" s="405">
        <f t="shared" si="423"/>
        <v>0</v>
      </c>
      <c r="BO585" s="405">
        <f t="shared" si="424"/>
        <v>0</v>
      </c>
    </row>
    <row r="586" spans="4:67" ht="13.5" thickBot="1" x14ac:dyDescent="0.25">
      <c r="D586" s="345">
        <v>116155</v>
      </c>
      <c r="E586" s="340" t="str">
        <f t="shared" si="411"/>
        <v>1.92673374789837i</v>
      </c>
      <c r="F586" s="728" t="str">
        <f t="shared" si="425"/>
        <v>0.005-0.0224622050513193i</v>
      </c>
      <c r="G586" s="337" t="str">
        <f t="shared" si="426"/>
        <v>0.005-0.0351331925161661i</v>
      </c>
      <c r="H586" s="338" t="str">
        <f t="shared" si="427"/>
        <v>0.00598082930134853-0.0348174013103014i</v>
      </c>
      <c r="I586" s="338" t="str">
        <f t="shared" si="428"/>
        <v>0.0159808293013485-0.0348174013103014i</v>
      </c>
      <c r="J586" s="337" t="str">
        <f t="shared" si="429"/>
        <v>0.00424622944201767-0.0138140068767446i</v>
      </c>
      <c r="K586" s="338" t="str">
        <f t="shared" si="412"/>
        <v>0.850089066388889-0.608186157796204i</v>
      </c>
      <c r="L586" s="732"/>
      <c r="M586" s="732" t="str">
        <f t="shared" si="413"/>
        <v>0.0273854462520559-12.3371008249974i</v>
      </c>
      <c r="N586" s="337">
        <f t="shared" si="414"/>
        <v>0</v>
      </c>
      <c r="O586" s="730" t="str">
        <f t="shared" si="415"/>
        <v>-0.602702801356259-4.61484240961974i</v>
      </c>
      <c r="P586" s="731" t="str">
        <f t="shared" si="416"/>
        <v>-0.170308510747448-0.0527644634950932i</v>
      </c>
      <c r="Q586" s="729" t="str">
        <f t="shared" si="417"/>
        <v>-0.164281482733886-0.00661603939889593i</v>
      </c>
      <c r="R586" s="730"/>
      <c r="S586" s="405" t="str">
        <f t="shared" si="430"/>
        <v>31.3929522994649-22.0680692125693i</v>
      </c>
      <c r="T586" s="405" t="str">
        <f t="shared" si="431"/>
        <v>10.6430460359003-9.81209023713389i</v>
      </c>
      <c r="U586" s="405" t="str">
        <f t="shared" si="432"/>
        <v>-0.277977241892068-0.429247641793683i</v>
      </c>
      <c r="V586" s="731" t="str">
        <f t="shared" si="418"/>
        <v>6000</v>
      </c>
      <c r="W586" s="733" t="str">
        <f>IMSUM(COMPLEX(1,0),IMDIV(COMPLEX(0,2*PI()*D586),COMPLEX(2*PI()*'Stability Calculations'!EA_Pole1,0)))</f>
        <v>1+737121.623249i</v>
      </c>
      <c r="X586" s="734">
        <f t="shared" si="433"/>
        <v>737121.62324967829</v>
      </c>
      <c r="Y586" s="735">
        <f t="shared" si="434"/>
        <v>1.5707949701666708</v>
      </c>
      <c r="Z586" s="340" t="str">
        <f>IMSUM(COMPLEX(1,0),IMDIV(COMPLEX(0,2*PI()*D586),COMPLEX(2*PI()*'Stability Calculations'!EA_Zero1,0)))</f>
        <v>1+7298.23389355445i</v>
      </c>
      <c r="AA586" s="734">
        <f t="shared" si="435"/>
        <v>7298.2339620641751</v>
      </c>
      <c r="AB586" s="735">
        <f t="shared" si="436"/>
        <v>1.5706593073449411</v>
      </c>
      <c r="AC586" s="733" t="str">
        <f>IMSUM(COMPLEX(1,0),IMDIV(COMPLEX(0,2*PI()*D586),COMPLEX(2*PI()*'Stability Calculations'!EA_Pole2,0)))</f>
        <v>1+73.5184389355445i</v>
      </c>
      <c r="AD586" s="734">
        <f t="shared" si="437"/>
        <v>73.525239635919476</v>
      </c>
      <c r="AE586" s="735">
        <f t="shared" si="438"/>
        <v>1.5571951357252205</v>
      </c>
      <c r="AF586" s="732" t="str">
        <f t="shared" si="439"/>
        <v>0.0108793688920568-0.807893395127364i</v>
      </c>
      <c r="AG586" s="337">
        <f t="shared" si="440"/>
        <v>0.80796664445873534</v>
      </c>
      <c r="AH586" s="730">
        <f t="shared" si="441"/>
        <v>-1.5573307985469502</v>
      </c>
      <c r="AI586" s="731" t="str">
        <f t="shared" si="419"/>
        <v>10000</v>
      </c>
      <c r="AJ586" s="733" t="str">
        <f t="shared" si="442"/>
        <v>1+687200.243770311i</v>
      </c>
      <c r="AK586" s="734">
        <f t="shared" si="443"/>
        <v>687200.2437710386</v>
      </c>
      <c r="AL586" s="735">
        <f t="shared" si="444"/>
        <v>1.5707948716149704</v>
      </c>
      <c r="AM586" s="340" t="str">
        <f t="shared" si="445"/>
        <v>1+1166.25777619i</v>
      </c>
      <c r="AN586" s="734">
        <f t="shared" si="446"/>
        <v>1166.2582049116072</v>
      </c>
      <c r="AO586" s="735">
        <f t="shared" si="447"/>
        <v>1.5699388836332335</v>
      </c>
      <c r="AP586" s="733" t="str">
        <f t="shared" si="448"/>
        <v>1+56.5654245237872i</v>
      </c>
      <c r="AQ586" s="734">
        <f t="shared" si="449"/>
        <v>56.574263155221622</v>
      </c>
      <c r="AR586" s="735">
        <f t="shared" si="450"/>
        <v>1.5531195242286915</v>
      </c>
      <c r="AS586" s="732" t="str">
        <f t="shared" si="451"/>
        <v>0.000203009620572455-2.01499190326815i</v>
      </c>
      <c r="AT586" s="337">
        <f t="shared" si="452"/>
        <v>2.0149919134947183</v>
      </c>
      <c r="AU586" s="730">
        <f t="shared" si="453"/>
        <v>-1.5706955771990514</v>
      </c>
      <c r="AV586" s="732" t="str">
        <f t="shared" si="454"/>
        <v>-0.0175424851228167+0.0157380060562973i</v>
      </c>
      <c r="AW586" s="337">
        <f t="shared" si="455"/>
        <v>-32.5537565619329</v>
      </c>
      <c r="AX586" s="730">
        <f t="shared" si="456"/>
        <v>138.10355687495866</v>
      </c>
      <c r="AY586" s="360">
        <f t="shared" si="457"/>
        <v>-41.896443125041344</v>
      </c>
      <c r="BB586" s="337">
        <f t="shared" si="458"/>
        <v>-33.91453384834</v>
      </c>
      <c r="BC586" s="730">
        <f t="shared" si="459"/>
        <v>-89.994227473370429</v>
      </c>
      <c r="BD586" s="351"/>
      <c r="BE586" s="337">
        <f t="shared" si="420"/>
        <v>21.824283679591161</v>
      </c>
      <c r="BF586" s="730">
        <f t="shared" si="421"/>
        <v>-89.87281712815107</v>
      </c>
      <c r="BI586" s="351"/>
      <c r="BJ586" s="351"/>
      <c r="BL586" s="405">
        <f t="shared" si="422"/>
        <v>0</v>
      </c>
      <c r="BM586" s="405">
        <f t="shared" si="460"/>
        <v>0</v>
      </c>
      <c r="BN586" s="405">
        <f t="shared" si="423"/>
        <v>0</v>
      </c>
      <c r="BO586" s="405">
        <f t="shared" si="424"/>
        <v>0</v>
      </c>
    </row>
    <row r="587" spans="4:67" ht="13.5" thickBot="1" x14ac:dyDescent="0.25">
      <c r="D587" s="345">
        <v>117490</v>
      </c>
      <c r="E587" s="340" t="str">
        <f t="shared" si="411"/>
        <v>1.948878206195i</v>
      </c>
      <c r="F587" s="728" t="str">
        <f t="shared" si="425"/>
        <v>0.005-0.0222069744466422i</v>
      </c>
      <c r="G587" s="337" t="str">
        <f t="shared" si="426"/>
        <v>0.005-0.0347339856729531i</v>
      </c>
      <c r="H587" s="338" t="str">
        <f t="shared" si="427"/>
        <v>0.00595822212768464-0.0344224254570862i</v>
      </c>
      <c r="I587" s="338" t="str">
        <f t="shared" si="428"/>
        <v>0.0159582221276846-0.0344224254570862i</v>
      </c>
      <c r="J587" s="337" t="str">
        <f t="shared" si="429"/>
        <v>0.00424191235238815-0.0136595082151864i</v>
      </c>
      <c r="K587" s="338" t="str">
        <f t="shared" si="412"/>
        <v>0.846623332222222-0.615176201450441i</v>
      </c>
      <c r="L587" s="732"/>
      <c r="M587" s="732" t="str">
        <f t="shared" si="413"/>
        <v>0.0267307721521103-12.1949455299515i</v>
      </c>
      <c r="N587" s="337">
        <f t="shared" si="414"/>
        <v>0</v>
      </c>
      <c r="O587" s="730" t="str">
        <f t="shared" si="415"/>
        <v>-0.5996420847458-4.55791087898958i</v>
      </c>
      <c r="P587" s="731" t="str">
        <f t="shared" si="416"/>
        <v>-0.166463569057542-0.0520950192820117i</v>
      </c>
      <c r="Q587" s="729" t="str">
        <f t="shared" si="417"/>
        <v>-0.160467148210084-0.00651591049211612i</v>
      </c>
      <c r="R587" s="730"/>
      <c r="S587" s="405" t="str">
        <f t="shared" si="430"/>
        <v>31.1893686685076-22.2747780346575i</v>
      </c>
      <c r="T587" s="405" t="str">
        <f t="shared" si="431"/>
        <v>10.5402122677953-9.88201701254975i</v>
      </c>
      <c r="U587" s="405" t="str">
        <f t="shared" si="432"/>
        <v>-0.277362068015679-0.421698923520377i</v>
      </c>
      <c r="V587" s="731" t="str">
        <f t="shared" si="418"/>
        <v>6000</v>
      </c>
      <c r="W587" s="733" t="str">
        <f>IMSUM(COMPLEX(1,0),IMDIV(COMPLEX(0,2*PI()*D587),COMPLEX(2*PI()*'Stability Calculations'!EA_Pole1,0)))</f>
        <v>1+745593.556157935i</v>
      </c>
      <c r="X587" s="734">
        <f t="shared" si="433"/>
        <v>745593.5561586055</v>
      </c>
      <c r="Y587" s="735">
        <f t="shared" si="434"/>
        <v>1.5707949855815884</v>
      </c>
      <c r="Z587" s="340" t="str">
        <f>IMSUM(COMPLEX(1,0),IMDIV(COMPLEX(0,2*PI()*D587),COMPLEX(2*PI()*'Stability Calculations'!EA_Zero1,0)))</f>
        <v>1+7382.1144174053i</v>
      </c>
      <c r="AA587" s="734">
        <f t="shared" si="435"/>
        <v>7382.1144851365707</v>
      </c>
      <c r="AB587" s="735">
        <f t="shared" si="436"/>
        <v>1.5706608642516007</v>
      </c>
      <c r="AC587" s="733" t="str">
        <f>IMSUM(COMPLEX(1,0),IMDIV(COMPLEX(0,2*PI()*D587),COMPLEX(2*PI()*'Stability Calculations'!EA_Pole2,0)))</f>
        <v>1+74.3634057125146i</v>
      </c>
      <c r="AD587" s="734">
        <f t="shared" si="437"/>
        <v>74.370129145807255</v>
      </c>
      <c r="AE587" s="735">
        <f t="shared" si="438"/>
        <v>1.5573496628239751</v>
      </c>
      <c r="AF587" s="732" t="str">
        <f t="shared" si="439"/>
        <v>0.0106335806382157-0.798716874987234i</v>
      </c>
      <c r="AG587" s="337">
        <f t="shared" si="440"/>
        <v>0.79878765603041357</v>
      </c>
      <c r="AH587" s="730">
        <f t="shared" si="441"/>
        <v>-1.5574837841539628</v>
      </c>
      <c r="AI587" s="731" t="str">
        <f t="shared" si="419"/>
        <v>10000</v>
      </c>
      <c r="AJ587" s="733" t="str">
        <f t="shared" si="442"/>
        <v>1+695098.417120002i</v>
      </c>
      <c r="AK587" s="734">
        <f t="shared" si="443"/>
        <v>695098.41712072119</v>
      </c>
      <c r="AL587" s="735">
        <f t="shared" si="444"/>
        <v>1.5707948881496985</v>
      </c>
      <c r="AM587" s="340" t="str">
        <f t="shared" si="445"/>
        <v>1+1179.66188390137i</v>
      </c>
      <c r="AN587" s="734">
        <f t="shared" si="446"/>
        <v>1179.6623077515569</v>
      </c>
      <c r="AO587" s="735">
        <f t="shared" si="447"/>
        <v>1.5699486264715117</v>
      </c>
      <c r="AP587" s="733" t="str">
        <f t="shared" si="448"/>
        <v>1+57.2155458421915i</v>
      </c>
      <c r="AQ587" s="734">
        <f t="shared" si="449"/>
        <v>57.224284058605029</v>
      </c>
      <c r="AR587" s="735">
        <f t="shared" si="450"/>
        <v>1.5533203387601222</v>
      </c>
      <c r="AS587" s="732" t="str">
        <f t="shared" si="451"/>
        <v>0.000198422368929858-1.99209621736143i</v>
      </c>
      <c r="AT587" s="337">
        <f t="shared" si="452"/>
        <v>1.9920962272433416</v>
      </c>
      <c r="AU587" s="730">
        <f t="shared" si="453"/>
        <v>-1.5706967219833698</v>
      </c>
      <c r="AV587" s="732" t="str">
        <f t="shared" si="454"/>
        <v>-0.0169816274708608+0.0154985176262523i</v>
      </c>
      <c r="AW587" s="337">
        <f t="shared" si="455"/>
        <v>-32.768895033062108</v>
      </c>
      <c r="AX587" s="730">
        <f t="shared" si="456"/>
        <v>137.61442642151206</v>
      </c>
      <c r="AY587" s="360">
        <f t="shared" si="457"/>
        <v>-42.385573578487936</v>
      </c>
      <c r="BB587" s="337">
        <f t="shared" si="458"/>
        <v>-34.013793740420809</v>
      </c>
      <c r="BC587" s="730">
        <f t="shared" si="459"/>
        <v>-89.994293064680321</v>
      </c>
      <c r="BD587" s="351"/>
      <c r="BE587" s="337">
        <f t="shared" si="420"/>
        <v>21.723618162965156</v>
      </c>
      <c r="BF587" s="730">
        <f t="shared" si="421"/>
        <v>-89.874410429238253</v>
      </c>
      <c r="BI587" s="351"/>
      <c r="BJ587" s="351"/>
      <c r="BL587" s="405">
        <f t="shared" si="422"/>
        <v>0</v>
      </c>
      <c r="BM587" s="405">
        <f t="shared" si="460"/>
        <v>0</v>
      </c>
      <c r="BN587" s="405">
        <f t="shared" si="423"/>
        <v>0</v>
      </c>
      <c r="BO587" s="405">
        <f t="shared" si="424"/>
        <v>0</v>
      </c>
    </row>
    <row r="588" spans="4:67" ht="13.5" thickBot="1" x14ac:dyDescent="0.25">
      <c r="D588" s="345">
        <v>118860</v>
      </c>
      <c r="E588" s="340" t="str">
        <f t="shared" si="411"/>
        <v>1.97160323081401i</v>
      </c>
      <c r="F588" s="728" t="str">
        <f t="shared" si="425"/>
        <v>0.005-0.0219510131897694i</v>
      </c>
      <c r="G588" s="337" t="str">
        <f t="shared" si="426"/>
        <v>0.005-0.0343336360147675i</v>
      </c>
      <c r="H588" s="338" t="str">
        <f t="shared" si="427"/>
        <v>0.00593580885871984-0.0340262967944i</v>
      </c>
      <c r="I588" s="338" t="str">
        <f t="shared" si="428"/>
        <v>0.0159358088587198-0.0340262967944i</v>
      </c>
      <c r="J588" s="337" t="str">
        <f t="shared" si="429"/>
        <v>0.00423759713400281-0.0135045819327655i</v>
      </c>
      <c r="K588" s="338" t="str">
        <f t="shared" si="412"/>
        <v>0.84302556-0.622349504676138i</v>
      </c>
      <c r="L588" s="732"/>
      <c r="M588" s="732" t="str">
        <f t="shared" si="413"/>
        <v>0.0260831776708873-12.0524517411239i</v>
      </c>
      <c r="N588" s="337">
        <f t="shared" si="414"/>
        <v>0</v>
      </c>
      <c r="O588" s="730" t="str">
        <f t="shared" si="415"/>
        <v>-0.59655397795604-4.50081955108185i</v>
      </c>
      <c r="P588" s="731" t="str">
        <f t="shared" si="416"/>
        <v>-0.162652792029766-0.051425677365817i</v>
      </c>
      <c r="Q588" s="729" t="str">
        <f t="shared" si="417"/>
        <v>-0.156687252250205-0.00641748185499867i</v>
      </c>
      <c r="R588" s="730"/>
      <c r="S588" s="405" t="str">
        <f t="shared" si="430"/>
        <v>30.9783460608175-22.4846050539733i</v>
      </c>
      <c r="T588" s="405" t="str">
        <f t="shared" si="431"/>
        <v>10.4339827209565-9.9524610925591i</v>
      </c>
      <c r="U588" s="405" t="str">
        <f t="shared" si="432"/>
        <v>-0.276711267903351-0.414105699530182i</v>
      </c>
      <c r="V588" s="731" t="str">
        <f t="shared" si="418"/>
        <v>6000</v>
      </c>
      <c r="W588" s="733" t="str">
        <f>IMSUM(COMPLEX(1,0),IMDIV(COMPLEX(0,2*PI()*D588),COMPLEX(2*PI()*'Stability Calculations'!EA_Pole1,0)))</f>
        <v>1+754287.59966748i</v>
      </c>
      <c r="X588" s="734">
        <f t="shared" si="433"/>
        <v>754287.59966814285</v>
      </c>
      <c r="Y588" s="735">
        <f t="shared" si="434"/>
        <v>1.5707950010406346</v>
      </c>
      <c r="Z588" s="340" t="str">
        <f>IMSUM(COMPLEX(1,0),IMDIV(COMPLEX(0,2*PI()*D588),COMPLEX(2*PI()*'Stability Calculations'!EA_Zero1,0)))</f>
        <v>1+7468.19405611366i</v>
      </c>
      <c r="AA588" s="734">
        <f t="shared" si="435"/>
        <v>7468.1941230642487</v>
      </c>
      <c r="AB588" s="735">
        <f t="shared" si="436"/>
        <v>1.5706624256152393</v>
      </c>
      <c r="AC588" s="733" t="str">
        <f>IMSUM(COMPLEX(1,0),IMDIV(COMPLEX(0,2*PI()*D588),COMPLEX(2*PI()*'Stability Calculations'!EA_Pole2,0)))</f>
        <v>1+75.2305251765212i</v>
      </c>
      <c r="AD588" s="734">
        <f t="shared" si="437"/>
        <v>75.237171121296086</v>
      </c>
      <c r="AE588" s="735">
        <f t="shared" si="438"/>
        <v>1.5575046329345712</v>
      </c>
      <c r="AF588" s="732" t="str">
        <f t="shared" si="439"/>
        <v>0.0103899075753815-0.789513971324262i</v>
      </c>
      <c r="AG588" s="337">
        <f t="shared" si="440"/>
        <v>0.7895823333228984</v>
      </c>
      <c r="AH588" s="730">
        <f t="shared" si="441"/>
        <v>-1.5576372083599666</v>
      </c>
      <c r="AI588" s="731" t="str">
        <f t="shared" si="419"/>
        <v>10000</v>
      </c>
      <c r="AJ588" s="733" t="str">
        <f t="shared" si="442"/>
        <v>1+703203.658684854i</v>
      </c>
      <c r="AK588" s="734">
        <f t="shared" si="443"/>
        <v>703203.65868556511</v>
      </c>
      <c r="AL588" s="735">
        <f t="shared" si="444"/>
        <v>1.5707949047317609</v>
      </c>
      <c r="AM588" s="340" t="str">
        <f t="shared" si="445"/>
        <v>1+1193.41741016696i</v>
      </c>
      <c r="AN588" s="734">
        <f t="shared" si="446"/>
        <v>1193.4178291317814</v>
      </c>
      <c r="AO588" s="735">
        <f t="shared" si="447"/>
        <v>1.5699583972009099</v>
      </c>
      <c r="AP588" s="733" t="str">
        <f t="shared" si="448"/>
        <v>1+57.8827115397301i</v>
      </c>
      <c r="AQ588" s="734">
        <f t="shared" si="449"/>
        <v>57.891349053132323</v>
      </c>
      <c r="AR588" s="735">
        <f t="shared" si="450"/>
        <v>1.5535217295817871</v>
      </c>
      <c r="AS588" s="732" t="str">
        <f t="shared" si="451"/>
        <v>0.000193874631856974-1.96913498764104i</v>
      </c>
      <c r="AT588" s="337">
        <f t="shared" si="452"/>
        <v>1.969134997185173</v>
      </c>
      <c r="AU588" s="730">
        <f t="shared" si="453"/>
        <v>-1.5706978700448784</v>
      </c>
      <c r="AV588" s="732" t="str">
        <f t="shared" si="454"/>
        <v>-0.0164264123117924+0.0152576016659453i</v>
      </c>
      <c r="AW588" s="337">
        <f t="shared" si="455"/>
        <v>-32.987589985389945</v>
      </c>
      <c r="AX588" s="730">
        <f t="shared" si="456"/>
        <v>137.11266048182196</v>
      </c>
      <c r="AY588" s="360">
        <f t="shared" si="457"/>
        <v>-42.887339518178038</v>
      </c>
      <c r="BB588" s="337">
        <f t="shared" si="458"/>
        <v>-34.11449018183022</v>
      </c>
      <c r="BC588" s="730">
        <f t="shared" si="459"/>
        <v>-89.994358843759386</v>
      </c>
      <c r="BD588" s="351"/>
      <c r="BE588" s="337">
        <f t="shared" si="420"/>
        <v>21.621528364368196</v>
      </c>
      <c r="BF588" s="730">
        <f t="shared" si="421"/>
        <v>-89.87600417775198</v>
      </c>
      <c r="BI588" s="351"/>
      <c r="BJ588" s="351"/>
      <c r="BL588" s="405">
        <f t="shared" si="422"/>
        <v>0</v>
      </c>
      <c r="BM588" s="405">
        <f t="shared" si="460"/>
        <v>0</v>
      </c>
      <c r="BN588" s="405">
        <f t="shared" si="423"/>
        <v>0</v>
      </c>
      <c r="BO588" s="405">
        <f t="shared" si="424"/>
        <v>0</v>
      </c>
    </row>
    <row r="589" spans="4:67" ht="13.5" thickBot="1" x14ac:dyDescent="0.25">
      <c r="D589" s="345">
        <v>120230</v>
      </c>
      <c r="E589" s="340" t="str">
        <f t="shared" ref="E589:E613" si="461">COMPLEX(0,2*PI()*D589*L)</f>
        <v>1.99432825543301i</v>
      </c>
      <c r="F589" s="728" t="str">
        <f t="shared" si="425"/>
        <v>0.005-0.0217008852011643i</v>
      </c>
      <c r="G589" s="337" t="str">
        <f t="shared" si="426"/>
        <v>0.005-0.0339424101864365i</v>
      </c>
      <c r="H589" s="338" t="str">
        <f t="shared" si="427"/>
        <v>0.00591415661394502-0.0336391746224833i</v>
      </c>
      <c r="I589" s="338" t="str">
        <f t="shared" si="428"/>
        <v>0.015914156613945-0.0336391746224833i</v>
      </c>
      <c r="J589" s="337" t="str">
        <f t="shared" si="429"/>
        <v>0.0042333930850322-0.0133532007738757i</v>
      </c>
      <c r="K589" s="338" t="str">
        <f t="shared" ref="K589:K613" si="462">IMSUM(COMPLEX(1,0),COMPLEX(0,2*PI()*D589/(Fsw*PI()*(-2)/PI())),IMPRODUCT(COMPLEX(0,2*PI()*D589/(Fsw*PI())),COMPLEX(0,2*PI()*D589/(Fsw*PI()))))</f>
        <v>0.839386078888889-0.629522807901835i</v>
      </c>
      <c r="L589" s="732"/>
      <c r="M589" s="732" t="str">
        <f t="shared" ref="M589:M613" si="463">IF(Vin&gt;=Vout,IMDIV(COMPLEX(Vin,0),IMSUM(E589,J589)),IMDIV(IMSUM(COMPLEX(Vout,0),IMPRODUCT(J589,COMPLEX($B$4,0))),IMSUM(E589,IMPRODUCT(J589,COMPLEX((1-$B$11)^2,0)))))</f>
        <v>0.0254589566865861-11.9132707737653i</v>
      </c>
      <c r="N589" s="337">
        <f t="shared" ref="N589:N613" si="464">IF(Vin&gt;=Vout,0,IMSUB(IMPRODUCT(M589,COMPLEX(1-$B$11,0)),COMPLEX($B$4/(1-$B$11),0)))</f>
        <v>0</v>
      </c>
      <c r="O589" s="730" t="str">
        <f t="shared" ref="O589:O613" si="465">IMDIV(IF(Vin&gt;=Vout,M589,N589),IMPRODUCT(I589,IMSUM(IMDIV(COMPLEX(1,0),F589),IMDIV(COMPLEX(1,0),I589))))</f>
        <v>-0.593516789444861-4.44503176080528i</v>
      </c>
      <c r="P589" s="731" t="str">
        <f t="shared" ref="P589:P613" si="466">IF(Vin&gt;=Vout,IMDIV(IMPRODUCT(COMPLEX(Vin,0),J589),IMSUM(J589,E589)),IMPRODUCT(N589,J589))</f>
        <v>-0.158972518744445-0.0507735166739038i</v>
      </c>
      <c r="Q589" s="729" t="str">
        <f t="shared" ref="Q589:Q613" si="467">IF(Vin&gt;=Vout,IMDIV(IMPRODUCT(P589,H589),IMSUM(COMPLEX($B$15,0),H589)),IMPRODUCT(O589,H589))</f>
        <v>-0.153037350849996-0.00632319906585106i</v>
      </c>
      <c r="R589" s="730"/>
      <c r="S589" s="405" t="str">
        <f t="shared" si="430"/>
        <v>30.7652189356432-22.6920702806347i</v>
      </c>
      <c r="T589" s="405" t="str">
        <f t="shared" si="431"/>
        <v>10.3270642009937-10.0215604624889i</v>
      </c>
      <c r="U589" s="405" t="str">
        <f t="shared" si="432"/>
        <v>-0.276041147340496-0.406662994086103i</v>
      </c>
      <c r="V589" s="731" t="str">
        <f t="shared" ref="V589:V613" si="468">COMPLEX(AEA,0)</f>
        <v>6000</v>
      </c>
      <c r="W589" s="733" t="str">
        <f>IMSUM(COMPLEX(1,0),IMDIV(COMPLEX(0,2*PI()*D589),COMPLEX(2*PI()*'Stability Calculations'!EA_Pole1,0)))</f>
        <v>1+762981.643177024i</v>
      </c>
      <c r="X589" s="734">
        <f t="shared" si="433"/>
        <v>762981.64317767927</v>
      </c>
      <c r="Y589" s="735">
        <f t="shared" si="434"/>
        <v>1.5707950161473745</v>
      </c>
      <c r="Z589" s="340" t="str">
        <f>IMSUM(COMPLEX(1,0),IMDIV(COMPLEX(0,2*PI()*D589),COMPLEX(2*PI()*'Stability Calculations'!EA_Zero1,0)))</f>
        <v>1+7554.27369482202i</v>
      </c>
      <c r="AA589" s="734">
        <f t="shared" si="435"/>
        <v>7554.2737610097192</v>
      </c>
      <c r="AB589" s="735">
        <f t="shared" si="436"/>
        <v>1.5706639513959428</v>
      </c>
      <c r="AC589" s="733" t="str">
        <f>IMSUM(COMPLEX(1,0),IMDIV(COMPLEX(0,2*PI()*D589),COMPLEX(2*PI()*'Stability Calculations'!EA_Pole2,0)))</f>
        <v>1+76.0976446405279i</v>
      </c>
      <c r="AD589" s="734">
        <f t="shared" si="437"/>
        <v>76.104214862490139</v>
      </c>
      <c r="AE589" s="735">
        <f t="shared" si="438"/>
        <v>1.5576560719469505</v>
      </c>
      <c r="AF589" s="732" t="str">
        <f t="shared" si="439"/>
        <v>0.0101545148814839-0.78052068983157i</v>
      </c>
      <c r="AG589" s="337">
        <f t="shared" si="440"/>
        <v>0.78058674177033538</v>
      </c>
      <c r="AH589" s="730">
        <f t="shared" si="441"/>
        <v>-1.5577871366983824</v>
      </c>
      <c r="AI589" s="731" t="str">
        <f t="shared" ref="AI589:AI613" si="469">COMPLEX(AIL,0)</f>
        <v>10000</v>
      </c>
      <c r="AJ589" s="733" t="str">
        <f t="shared" si="442"/>
        <v>1+711308.900249705i</v>
      </c>
      <c r="AK589" s="734">
        <f t="shared" si="443"/>
        <v>711308.90025040775</v>
      </c>
      <c r="AL589" s="735">
        <f t="shared" si="444"/>
        <v>1.5707949209359235</v>
      </c>
      <c r="AM589" s="340" t="str">
        <f t="shared" si="445"/>
        <v>1+1207.17293643256i</v>
      </c>
      <c r="AN589" s="734">
        <f t="shared" si="446"/>
        <v>1207.1733506233516</v>
      </c>
      <c r="AO589" s="735">
        <f t="shared" si="447"/>
        <v>1.5699679452589284</v>
      </c>
      <c r="AP589" s="733" t="str">
        <f t="shared" si="448"/>
        <v>1+58.5498772372686i</v>
      </c>
      <c r="AQ589" s="734">
        <f t="shared" si="449"/>
        <v>58.558416342138429</v>
      </c>
      <c r="AR589" s="735">
        <f t="shared" si="450"/>
        <v>1.5537185321304576</v>
      </c>
      <c r="AS589" s="732" t="str">
        <f t="shared" si="451"/>
        <v>0.000189481469365199-1.94669703636718i</v>
      </c>
      <c r="AT589" s="337">
        <f t="shared" si="452"/>
        <v>1.9466970455887556</v>
      </c>
      <c r="AU589" s="730">
        <f t="shared" si="453"/>
        <v>-1.5706989919424634</v>
      </c>
      <c r="AV589" s="732" t="str">
        <f t="shared" si="454"/>
        <v>-0.0158908927910588+0.0150214433448079i</v>
      </c>
      <c r="AW589" s="337">
        <f t="shared" si="455"/>
        <v>-33.204229117395577</v>
      </c>
      <c r="AX589" s="730">
        <f t="shared" si="456"/>
        <v>136.61109317501433</v>
      </c>
      <c r="AY589" s="360">
        <f t="shared" si="457"/>
        <v>-43.388906824985668</v>
      </c>
      <c r="BB589" s="337">
        <f t="shared" si="458"/>
        <v>-34.21403260459094</v>
      </c>
      <c r="BC589" s="730">
        <f t="shared" si="459"/>
        <v>-89.99442312375605</v>
      </c>
      <c r="BD589" s="351"/>
      <c r="BE589" s="337">
        <f t="shared" ref="BE589:BE613" si="470">20*LOG10(IMABS(M589))</f>
        <v>21.520640090980795</v>
      </c>
      <c r="BF589" s="730">
        <f t="shared" ref="BF589:BF613" si="471">180/PI()*IMARGUMENT(IMPRODUCT(COMPLEX(1,0),M589))</f>
        <v>-89.87755767697206</v>
      </c>
      <c r="BI589" s="351"/>
      <c r="BJ589" s="351"/>
      <c r="BL589" s="405">
        <f t="shared" ref="BL589:BL613" si="472">SUM((AW590&lt;0)*(AW589&gt;0))*D589</f>
        <v>0</v>
      </c>
      <c r="BM589" s="405">
        <f t="shared" si="460"/>
        <v>0</v>
      </c>
      <c r="BN589" s="405">
        <f t="shared" ref="BN589:BN613" si="473">SUM((BB590&lt;0)*(BB589&gt;0))*D589</f>
        <v>0</v>
      </c>
      <c r="BO589" s="405">
        <f t="shared" ref="BO589:BO613" si="474">IF(BN589&gt;0,BC589,0)</f>
        <v>0</v>
      </c>
    </row>
    <row r="590" spans="4:67" ht="13.5" thickBot="1" x14ac:dyDescent="0.25">
      <c r="D590" s="345">
        <v>126030</v>
      </c>
      <c r="E590" s="340" t="str">
        <f t="shared" si="461"/>
        <v>2.09053638885655i</v>
      </c>
      <c r="F590" s="728" t="str">
        <f t="shared" ref="F590:F613" si="475">IMSUM(COMPLEX($B$8,0),IMDIV(COMPLEX(1,0),COMPLEX(0,2*PI()*D590*$B$6)))</f>
        <v>0.005-0.0207021933486947i</v>
      </c>
      <c r="G590" s="337" t="str">
        <f t="shared" ref="G590:G613" si="476">IMSUM(COMPLEX($B$9,0),IMDIV(COMPLEX(1,0),COMPLEX(0,2*PI()*D590*$B$7)))</f>
        <v>0.005-0.0323803536992404i</v>
      </c>
      <c r="H590" s="338" t="str">
        <f t="shared" ref="H590:H613" si="477">IMDIV(COMPLEX(1,0),IMSUM(IMDIV(COMPLEX(1,0),COMPLEX($B$5,0)), IMDIV(COMPLEX(1,0),G590)))</f>
        <v>0.00583017111860561-0.0320932993160668i</v>
      </c>
      <c r="I590" s="338" t="str">
        <f t="shared" ref="I590:I613" si="478">IMSUM(H590,COMPLEX($B$15,0))</f>
        <v>0.0158301711186056-0.0320932993160668i</v>
      </c>
      <c r="J590" s="337" t="str">
        <f t="shared" ref="J590:J613" si="479">IMDIV(COMPLEX(1,0),IMSUM(IMDIV(COMPLEX(1,0),F590),IMDIV(COMPLEX(1,0),IMSUM(COMPLEX($B$15,0),H590))))</f>
        <v>0.00421671408346309-0.0127489237052189i</v>
      </c>
      <c r="K590" s="338" t="str">
        <f t="shared" si="462"/>
        <v>0.82351599-0.659891536886536i</v>
      </c>
      <c r="L590" s="732"/>
      <c r="M590" s="732" t="str">
        <f t="shared" si="463"/>
        <v>0.0230505941857596-11.3581890342745i</v>
      </c>
      <c r="N590" s="337">
        <f t="shared" si="464"/>
        <v>0</v>
      </c>
      <c r="O590" s="730" t="str">
        <f t="shared" si="465"/>
        <v>-0.581168195615095-4.22229869052969i</v>
      </c>
      <c r="P590" s="731" t="str">
        <f t="shared" si="466"/>
        <v>-0.144707487662284-0.0481881059300956i</v>
      </c>
      <c r="Q590" s="729" t="str">
        <f t="shared" si="467"/>
        <v>-0.138895805706133-0.00596511902479895i</v>
      </c>
      <c r="R590" s="730"/>
      <c r="S590" s="405" t="str">
        <f t="shared" ref="S590:S613" si="480">IMDIV(IMPRODUCT(COMPLEX($B$34,0),M590),IMSUM(COMPLEX(1,0),IMPRODUCT(M590,COMPLEX($B$29,0),K590,COMPLEX($B$34,0))))</f>
        <v>29.8402113422099-23.5435109177752i</v>
      </c>
      <c r="T590" s="405" t="str">
        <f t="shared" ref="T590:T613" si="481">IMDIV(IMPRODUCT(COMPLEX($B$34,0),O590),IMSUM(COMPLEX(1,0),IMPRODUCT(M590,COMPLEX($B$29,0),K590,COMPLEX($B$34,0))))</f>
        <v>9.86725510368332-10.2989449146558i</v>
      </c>
      <c r="U590" s="405" t="str">
        <f t="shared" ref="U590:U613" si="482">IMDIV(IMPRODUCT(COMPLEX($B$34,0),Q590),IMSUM(COMPLEX(1,0),IMPRODUCT(M590,COMPLEX($B$29,0),K590,COMPLEX($B$34,0))))</f>
        <v>-0.272999336060324-0.376717382664032i</v>
      </c>
      <c r="V590" s="731" t="str">
        <f t="shared" si="468"/>
        <v>6000</v>
      </c>
      <c r="W590" s="733" t="str">
        <f>IMSUM(COMPLEX(1,0),IMDIV(COMPLEX(0,2*PI()*D590),COMPLEX(2*PI()*'Stability Calculations'!EA_Pole1,0)))</f>
        <v>1+799788.542706482i</v>
      </c>
      <c r="X590" s="734">
        <f t="shared" ref="X590:X613" si="483">IMABS(W590)</f>
        <v>799788.54270710715</v>
      </c>
      <c r="Y590" s="735">
        <f t="shared" ref="Y590:Y613" si="484">IMARGUMENT(W590)</f>
        <v>1.5707950764644072</v>
      </c>
      <c r="Z590" s="340" t="str">
        <f>IMSUM(COMPLEX(1,0),IMDIV(COMPLEX(0,2*PI()*D590),COMPLEX(2*PI()*'Stability Calculations'!EA_Zero1,0)))</f>
        <v>1+7918.69844263843i</v>
      </c>
      <c r="AA590" s="734">
        <f t="shared" ref="AA590:AA613" si="485">IMABS(Z590)</f>
        <v>7918.6985057801185</v>
      </c>
      <c r="AB590" s="735">
        <f t="shared" ref="AB590:AB613" si="486">IMARGUMENT(Z590)</f>
        <v>1.5706700434161409</v>
      </c>
      <c r="AC590" s="733" t="str">
        <f>IMSUM(COMPLEX(1,0),IMDIV(COMPLEX(0,2*PI()*D590),COMPLEX(2*PI()*'Stability Calculations'!EA_Pole2,0)))</f>
        <v>1+79.7686613494613i</v>
      </c>
      <c r="AD590" s="734">
        <f t="shared" ref="AD590:AD613" si="487">IMABS(AC590)</f>
        <v>79.774929228956637</v>
      </c>
      <c r="AE590" s="735">
        <f t="shared" ref="AE590:AE613" si="488">IMARGUMENT(AC590)</f>
        <v>1.5582607319615915</v>
      </c>
      <c r="AF590" s="732" t="str">
        <f t="shared" ref="AF590:AF613" si="489">IMPRODUCT(V590,IMDIV(Z590,IMPRODUCT(W590,AC590)))</f>
        <v>0.00924152717585352-0.744611957519976i</v>
      </c>
      <c r="AG590" s="337">
        <f t="shared" ref="AG590:AG613" si="490">IMABS(AF590)</f>
        <v>0.74466930452803848</v>
      </c>
      <c r="AH590" s="730">
        <f t="shared" ref="AH590:AH613" si="491">IMARGUMENT(AF590)</f>
        <v>-1.5583857650098578</v>
      </c>
      <c r="AI590" s="731" t="str">
        <f t="shared" si="469"/>
        <v>10000</v>
      </c>
      <c r="AJ590" s="733" t="str">
        <f t="shared" ref="AJ590:AJ613" si="492">IMSUM(COMPLEX(1,0),IMDIV(COMPLEX(0,2*PI()*D590),COMPLEX(2*PI()*IL_Pole1,0)))</f>
        <v>1+745623.061619149i</v>
      </c>
      <c r="AK590" s="734">
        <f t="shared" ref="AK590:AK613" si="493">IMABS(AJ590)</f>
        <v>745623.06161981961</v>
      </c>
      <c r="AL590" s="735">
        <f t="shared" ref="AL590:AL613" si="494">IMARGUMENT(AJ590)</f>
        <v>1.5707949856346624</v>
      </c>
      <c r="AM590" s="340" t="str">
        <f t="shared" ref="AM590:AM613" si="495">IMSUM(COMPLEX(1,0),IMDIV(COMPLEX(0,2*PI()*D590),COMPLEX(2*PI()*IL_Zero1,0)))</f>
        <v>1+1265.40801113362i</v>
      </c>
      <c r="AN590" s="734">
        <f t="shared" ref="AN590:AN613" si="496">IMABS(AM590)</f>
        <v>1265.4084062630307</v>
      </c>
      <c r="AO590" s="735">
        <f t="shared" ref="AO590:AO613" si="497">IMARGUMENT(AM590)</f>
        <v>1.5700060680143042</v>
      </c>
      <c r="AP590" s="733" t="str">
        <f t="shared" ref="AP590:AP613" si="498">IMSUM(COMPLEX(1,0),IMDIV(COMPLEX(0,2*PI()*D590),COMPLEX(2*PI()*IL_Pole2,0)))</f>
        <v>1+61.3743743509353i</v>
      </c>
      <c r="AQ590" s="734">
        <f t="shared" ref="AQ590:AQ613" si="499">IMABS(AP590)</f>
        <v>61.382520532874381</v>
      </c>
      <c r="AR590" s="735">
        <f t="shared" ref="AR590:AR613" si="500">IMARGUMENT(AP590)</f>
        <v>1.5545043232909992</v>
      </c>
      <c r="AS590" s="732" t="str">
        <f t="shared" ref="AS590:AS613" si="501">_xlfn.SWITCH(IMONLIM_select,0,COMPLEX(1,0),1,IMPRODUCT(gm_IL,IMDIV(COMPLEX(1,0),IMSUM(COMPLEX(1/20000000,0),COMPLEX(0,2*PI()*D590*CISET),COMPLEX(1/RISET,0)))),2,IMPRODUCT(gm_IL,IMDIV(COMPLEX(1,0),IMSUM(COMPLEX(1/20000000,0),COMPLEX(0,2*PI()*D590*CcIL)))),3,IMPRODUCT(AI590,IMDIV(AM590,IMPRODUCT(AJ590,AP590))))</f>
        <v>0.000172442601449089-1.85710850497361i</v>
      </c>
      <c r="AT590" s="337">
        <f t="shared" ref="AT590:AT613" si="502">IMABS(AS590)</f>
        <v>1.8571085129797256</v>
      </c>
      <c r="AU590" s="730">
        <f t="shared" ref="AU590:AU613" si="503">IMARGUMENT(AS590)</f>
        <v>-1.5707034713691141</v>
      </c>
      <c r="AV590" s="732" t="str">
        <f t="shared" ref="AV590:AV613" si="504">IMPRODUCT(T590,AS590,COMPLEX($B$15,0),IMPRODUCT(COMPLEX(0.1,0),AF590))</f>
        <v>-0.0138227515281434+0.0140710102067636i</v>
      </c>
      <c r="AW590" s="337">
        <f t="shared" ref="AW590:AW613" si="505">20*LOG10(IMABS(AV590))</f>
        <v>-34.099814216120471</v>
      </c>
      <c r="AX590" s="730">
        <f t="shared" ref="AX590:AX613" si="506">(180/PI())*IMARGUMENT(AV590)</f>
        <v>134.49007240087823</v>
      </c>
      <c r="AY590" s="360">
        <f t="shared" ref="AY590:AY613" si="507">IF(AX590&gt;0,AX590-180,AX590+180)</f>
        <v>-45.509927599121767</v>
      </c>
      <c r="BB590" s="337">
        <f t="shared" ref="BB590:BB613" si="508">20*LOG10(IMPRODUCT(COMPLEX($B$15,0),IMABS(AS590)))</f>
        <v>-34.623254383885552</v>
      </c>
      <c r="BC590" s="730">
        <f t="shared" ref="BC590:BC613" si="509">(180/PI())*IMARGUMENT(AS590)</f>
        <v>-89.994679775997781</v>
      </c>
      <c r="BD590" s="351"/>
      <c r="BE590" s="337">
        <f t="shared" si="470"/>
        <v>21.106199734032334</v>
      </c>
      <c r="BF590" s="730">
        <f t="shared" si="471"/>
        <v>-89.883722665206633</v>
      </c>
      <c r="BI590" s="351"/>
      <c r="BJ590" s="351"/>
      <c r="BL590" s="405">
        <f t="shared" si="472"/>
        <v>0</v>
      </c>
      <c r="BM590" s="405">
        <f t="shared" si="460"/>
        <v>0</v>
      </c>
      <c r="BN590" s="405">
        <f t="shared" si="473"/>
        <v>0</v>
      </c>
      <c r="BO590" s="405">
        <f t="shared" si="474"/>
        <v>0</v>
      </c>
    </row>
    <row r="591" spans="4:67" ht="13.5" thickBot="1" x14ac:dyDescent="0.25">
      <c r="D591" s="345">
        <v>131830</v>
      </c>
      <c r="E591" s="340" t="str">
        <f t="shared" si="461"/>
        <v>2.18674452228008i</v>
      </c>
      <c r="F591" s="728" t="str">
        <f t="shared" si="475"/>
        <v>0.005-0.0197913785006143i</v>
      </c>
      <c r="G591" s="337" t="str">
        <f t="shared" si="476"/>
        <v>0.005-0.0309557458599353i</v>
      </c>
      <c r="H591" s="338" t="str">
        <f t="shared" si="477"/>
        <v>0.00575701545675385-0.0306831744247178i</v>
      </c>
      <c r="I591" s="338" t="str">
        <f t="shared" si="478"/>
        <v>0.0157570154567538-0.0306831744247178i</v>
      </c>
      <c r="J591" s="337" t="str">
        <f t="shared" si="479"/>
        <v>0.00420160728251744-0.0121980291647836i</v>
      </c>
      <c r="K591" s="338" t="str">
        <f t="shared" si="462"/>
        <v>0.806898345555556-0.690260265871237i</v>
      </c>
      <c r="L591" s="732"/>
      <c r="M591" s="732" t="str">
        <f t="shared" si="463"/>
        <v>0.0209695177886993-10.8527971092086i</v>
      </c>
      <c r="N591" s="337">
        <f t="shared" si="464"/>
        <v>0</v>
      </c>
      <c r="O591" s="730" t="str">
        <f t="shared" si="465"/>
        <v>-0.569529326744486-4.01915870461634i</v>
      </c>
      <c r="P591" s="731" t="str">
        <f t="shared" si="466"/>
        <v>-0.132294629978953-0.0458549781592929i</v>
      </c>
      <c r="Q591" s="729" t="str">
        <f t="shared" si="467"/>
        <v>-0.126599336711508-0.00566339111312972i</v>
      </c>
      <c r="R591" s="730"/>
      <c r="S591" s="405" t="str">
        <f t="shared" si="480"/>
        <v>28.8800392322726-24.3497295167703i</v>
      </c>
      <c r="T591" s="405" t="str">
        <f t="shared" si="481"/>
        <v>9.39705409498736-10.5512438114719i</v>
      </c>
      <c r="U591" s="405" t="str">
        <f t="shared" si="482"/>
        <v>-0.269646668592321-0.349075123585626i</v>
      </c>
      <c r="V591" s="731" t="str">
        <f t="shared" si="468"/>
        <v>6000</v>
      </c>
      <c r="W591" s="733" t="str">
        <f>IMSUM(COMPLEX(1,0),IMDIV(COMPLEX(0,2*PI()*D591),COMPLEX(2*PI()*'Stability Calculations'!EA_Pole1,0)))</f>
        <v>1+836595.44223594i</v>
      </c>
      <c r="X591" s="734">
        <f t="shared" si="483"/>
        <v>836595.44223653781</v>
      </c>
      <c r="Y591" s="735">
        <f t="shared" si="484"/>
        <v>1.5707951314740169</v>
      </c>
      <c r="Z591" s="340" t="str">
        <f>IMSUM(COMPLEX(1,0),IMDIV(COMPLEX(0,2*PI()*D591),COMPLEX(2*PI()*'Stability Calculations'!EA_Zero1,0)))</f>
        <v>1+8283.12319045485i</v>
      </c>
      <c r="AA591" s="734">
        <f t="shared" si="485"/>
        <v>8283.1232508185549</v>
      </c>
      <c r="AB591" s="735">
        <f t="shared" si="486"/>
        <v>1.5706755993866295</v>
      </c>
      <c r="AC591" s="733" t="str">
        <f>IMSUM(COMPLEX(1,0),IMDIV(COMPLEX(0,2*PI()*D591),COMPLEX(2*PI()*'Stability Calculations'!EA_Pole2,0)))</f>
        <v>1+83.4396780583947i</v>
      </c>
      <c r="AD591" s="734">
        <f t="shared" si="487"/>
        <v>83.445670196173481</v>
      </c>
      <c r="AE591" s="735">
        <f t="shared" si="488"/>
        <v>1.5588121946689208</v>
      </c>
      <c r="AF591" s="732" t="str">
        <f t="shared" si="489"/>
        <v>0.008446348293153-0.711861498467016i</v>
      </c>
      <c r="AG591" s="337">
        <f t="shared" si="490"/>
        <v>0.71191160532694975</v>
      </c>
      <c r="AH591" s="730">
        <f t="shared" si="491"/>
        <v>-1.5589317267563083</v>
      </c>
      <c r="AI591" s="731" t="str">
        <f t="shared" si="469"/>
        <v>10000</v>
      </c>
      <c r="AJ591" s="733" t="str">
        <f t="shared" si="492"/>
        <v>1+779937.222988594i</v>
      </c>
      <c r="AK591" s="734">
        <f t="shared" si="493"/>
        <v>779937.22298923507</v>
      </c>
      <c r="AL591" s="735">
        <f t="shared" si="494"/>
        <v>1.5707950446404224</v>
      </c>
      <c r="AM591" s="340" t="str">
        <f t="shared" si="495"/>
        <v>1+1323.64308583468i</v>
      </c>
      <c r="AN591" s="734">
        <f t="shared" si="496"/>
        <v>1323.6434635799606</v>
      </c>
      <c r="AO591" s="735">
        <f t="shared" si="497"/>
        <v>1.5700408362699609</v>
      </c>
      <c r="AP591" s="733" t="str">
        <f t="shared" si="498"/>
        <v>1+64.1988714646021i</v>
      </c>
      <c r="AQ591" s="734">
        <f t="shared" si="499"/>
        <v>64.206659291139744</v>
      </c>
      <c r="AR591" s="735">
        <f t="shared" si="500"/>
        <v>1.5552209885971913</v>
      </c>
      <c r="AS591" s="732" t="str">
        <f t="shared" si="501"/>
        <v>0.000157602802051103-1.77540305738821i</v>
      </c>
      <c r="AT591" s="337">
        <f t="shared" si="502"/>
        <v>1.7754030643834224</v>
      </c>
      <c r="AU591" s="730">
        <f t="shared" si="503"/>
        <v>-1.5707075566415609</v>
      </c>
      <c r="AV591" s="732" t="str">
        <f t="shared" si="504"/>
        <v>-0.0120357772508391+0.0131931119223562i</v>
      </c>
      <c r="AW591" s="337">
        <f t="shared" si="505"/>
        <v>-34.963207826083419</v>
      </c>
      <c r="AX591" s="730">
        <f t="shared" si="506"/>
        <v>132.37348971141859</v>
      </c>
      <c r="AY591" s="360">
        <f t="shared" si="507"/>
        <v>-47.626510288581414</v>
      </c>
      <c r="BB591" s="337">
        <f t="shared" si="508"/>
        <v>-35.014060697071422</v>
      </c>
      <c r="BC591" s="730">
        <f t="shared" si="509"/>
        <v>-89.994913844867142</v>
      </c>
      <c r="BD591" s="351"/>
      <c r="BE591" s="337">
        <f t="shared" si="470"/>
        <v>20.710849894322486</v>
      </c>
      <c r="BF591" s="730">
        <f t="shared" si="471"/>
        <v>-89.889294588253591</v>
      </c>
      <c r="BI591" s="351"/>
      <c r="BJ591" s="351"/>
      <c r="BL591" s="405">
        <f t="shared" si="472"/>
        <v>0</v>
      </c>
      <c r="BM591" s="405">
        <f t="shared" si="460"/>
        <v>0</v>
      </c>
      <c r="BN591" s="405">
        <f t="shared" si="473"/>
        <v>0</v>
      </c>
      <c r="BO591" s="405">
        <f t="shared" si="474"/>
        <v>0</v>
      </c>
    </row>
    <row r="592" spans="4:67" ht="13.5" thickBot="1" x14ac:dyDescent="0.25">
      <c r="D592" s="345">
        <v>144540</v>
      </c>
      <c r="E592" s="340" t="str">
        <f t="shared" si="461"/>
        <v>2.39757303535131i</v>
      </c>
      <c r="F592" s="728" t="str">
        <f t="shared" si="475"/>
        <v>0.005-0.0180510407343018i</v>
      </c>
      <c r="G592" s="337" t="str">
        <f t="shared" si="476"/>
        <v>0.005-0.0282336790972413i</v>
      </c>
      <c r="H592" s="338" t="str">
        <f t="shared" si="477"/>
        <v>0.00562636308827723-0.0279880954748086i</v>
      </c>
      <c r="I592" s="338" t="str">
        <f t="shared" si="478"/>
        <v>0.0156263630882772-0.0279880954748086i</v>
      </c>
      <c r="J592" s="337" t="str">
        <f t="shared" si="479"/>
        <v>0.00417278341154522-0.011145990651398i</v>
      </c>
      <c r="K592" s="338" t="str">
        <f t="shared" si="462"/>
        <v>0.76786876-0.756809670249781i</v>
      </c>
      <c r="L592" s="732"/>
      <c r="M592" s="732" t="str">
        <f t="shared" si="463"/>
        <v>0.0172917996169116-9.88923080530755i</v>
      </c>
      <c r="N592" s="337">
        <f t="shared" si="464"/>
        <v>0</v>
      </c>
      <c r="O592" s="730" t="str">
        <f t="shared" si="465"/>
        <v>-0.545930106305143-3.63090861971654i</v>
      </c>
      <c r="P592" s="731" t="str">
        <f t="shared" si="466"/>
        <v>-0.110153119170878-0.0414583524942053i</v>
      </c>
      <c r="Q592" s="729" t="str">
        <f t="shared" si="467"/>
        <v>-0.104693818107827-0.00514926629704006i</v>
      </c>
      <c r="R592" s="730"/>
      <c r="S592" s="405" t="str">
        <f t="shared" si="480"/>
        <v>26.6648205362286-25.9474157471348i</v>
      </c>
      <c r="T592" s="405" t="str">
        <f t="shared" si="481"/>
        <v>8.33852616882787-11.0133956900621i</v>
      </c>
      <c r="U592" s="405" t="str">
        <f t="shared" si="482"/>
        <v>-0.261328394228377-0.295344829519503i</v>
      </c>
      <c r="V592" s="731" t="str">
        <f t="shared" si="468"/>
        <v>6000</v>
      </c>
      <c r="W592" s="733" t="str">
        <f>IMSUM(COMPLEX(1,0),IMDIV(COMPLEX(0,2*PI()*D592),COMPLEX(2*PI()*'Stability Calculations'!EA_Pole1,0)))</f>
        <v>1+917253.320342734i</v>
      </c>
      <c r="X592" s="734">
        <f t="shared" si="483"/>
        <v>917253.32034327905</v>
      </c>
      <c r="Y592" s="735">
        <f t="shared" si="484"/>
        <v>1.5707952365835256</v>
      </c>
      <c r="Z592" s="340" t="str">
        <f>IMSUM(COMPLEX(1,0),IMDIV(COMPLEX(0,2*PI()*D592),COMPLEX(2*PI()*'Stability Calculations'!EA_Zero1,0)))</f>
        <v>1+9081.71604299737i</v>
      </c>
      <c r="AA592" s="734">
        <f t="shared" si="485"/>
        <v>9081.7160980530443</v>
      </c>
      <c r="AB592" s="735">
        <f t="shared" si="486"/>
        <v>1.5706862154468624</v>
      </c>
      <c r="AC592" s="733" t="str">
        <f>IMSUM(COMPLEX(1,0),IMDIV(COMPLEX(0,2*PI()*D592),COMPLEX(2*PI()*'Stability Calculations'!EA_Pole2,0)))</f>
        <v>1+91.4842681222814i</v>
      </c>
      <c r="AD592" s="734">
        <f t="shared" si="487"/>
        <v>91.489733379595506</v>
      </c>
      <c r="AE592" s="735">
        <f t="shared" si="488"/>
        <v>1.5598659209927113</v>
      </c>
      <c r="AF592" s="732" t="str">
        <f t="shared" si="489"/>
        <v>0.00702638392503858-0.64928009412285i</v>
      </c>
      <c r="AG592" s="337">
        <f t="shared" si="490"/>
        <v>0.64931811209548063</v>
      </c>
      <c r="AH592" s="730">
        <f t="shared" si="491"/>
        <v>-1.5599749421293743</v>
      </c>
      <c r="AI592" s="731" t="str">
        <f t="shared" si="469"/>
        <v>10000</v>
      </c>
      <c r="AJ592" s="733" t="str">
        <f t="shared" si="492"/>
        <v>1+855132.566265427i</v>
      </c>
      <c r="AK592" s="734">
        <f t="shared" si="493"/>
        <v>855132.56626601191</v>
      </c>
      <c r="AL592" s="735">
        <f t="shared" si="494"/>
        <v>1.5707951573855683</v>
      </c>
      <c r="AM592" s="340" t="str">
        <f t="shared" si="495"/>
        <v>1+1451.25822367098i</v>
      </c>
      <c r="AN592" s="734">
        <f t="shared" si="496"/>
        <v>1451.2585681995638</v>
      </c>
      <c r="AO592" s="735">
        <f t="shared" si="497"/>
        <v>1.5701072696543941</v>
      </c>
      <c r="AP592" s="733" t="str">
        <f t="shared" si="498"/>
        <v>1+70.3884160016202i</v>
      </c>
      <c r="AQ592" s="734">
        <f t="shared" si="499"/>
        <v>70.395519084790777</v>
      </c>
      <c r="AR592" s="735">
        <f t="shared" si="500"/>
        <v>1.5565903993648222</v>
      </c>
      <c r="AS592" s="732" t="str">
        <f t="shared" si="501"/>
        <v>0.000131104119641417-1.61928452584469i</v>
      </c>
      <c r="AT592" s="337">
        <f t="shared" si="502"/>
        <v>1.6192845311520616</v>
      </c>
      <c r="AU592" s="730">
        <f t="shared" si="503"/>
        <v>-1.5707153625682506</v>
      </c>
      <c r="AV592" s="732" t="str">
        <f t="shared" si="504"/>
        <v>-0.00889310675519269+0.0114835517984236i</v>
      </c>
      <c r="AW592" s="337">
        <f t="shared" si="505"/>
        <v>-36.75801304377844</v>
      </c>
      <c r="AX592" s="730">
        <f t="shared" si="506"/>
        <v>127.75496231153217</v>
      </c>
      <c r="AY592" s="360">
        <f t="shared" si="507"/>
        <v>-52.245037688467832</v>
      </c>
      <c r="BB592" s="337">
        <f t="shared" si="508"/>
        <v>-35.813536657395659</v>
      </c>
      <c r="BC592" s="730">
        <f t="shared" si="509"/>
        <v>-89.995361091521644</v>
      </c>
      <c r="BD592" s="351"/>
      <c r="BE592" s="337">
        <f t="shared" si="470"/>
        <v>19.903263538849917</v>
      </c>
      <c r="BF592" s="730">
        <f t="shared" si="471"/>
        <v>-89.899815653205877</v>
      </c>
      <c r="BI592" s="351"/>
      <c r="BJ592" s="351"/>
      <c r="BL592" s="405">
        <f t="shared" si="472"/>
        <v>0</v>
      </c>
      <c r="BM592" s="405">
        <f t="shared" si="460"/>
        <v>0</v>
      </c>
      <c r="BN592" s="405">
        <f t="shared" si="473"/>
        <v>0</v>
      </c>
      <c r="BO592" s="405">
        <f t="shared" si="474"/>
        <v>0</v>
      </c>
    </row>
    <row r="593" spans="4:67" ht="13.5" thickBot="1" x14ac:dyDescent="0.25">
      <c r="D593" s="345">
        <v>158490</v>
      </c>
      <c r="E593" s="340" t="str">
        <f t="shared" si="461"/>
        <v>2.62897018384412i</v>
      </c>
      <c r="F593" s="728" t="str">
        <f t="shared" si="475"/>
        <v>0.005-0.0164622211353144i</v>
      </c>
      <c r="G593" s="337" t="str">
        <f t="shared" si="476"/>
        <v>0.005-0.0257486022885688i</v>
      </c>
      <c r="H593" s="338" t="str">
        <f t="shared" si="477"/>
        <v>0.00551755747073268-0.0255269277420249i</v>
      </c>
      <c r="I593" s="338" t="str">
        <f t="shared" si="478"/>
        <v>0.0155175574707327-0.0255269277420249i</v>
      </c>
      <c r="J593" s="337" t="str">
        <f t="shared" si="479"/>
        <v>0.00414611709446853-0.0101862111817588i</v>
      </c>
      <c r="K593" s="338" t="str">
        <f t="shared" si="462"/>
        <v>0.72089911-0.829851699445744i</v>
      </c>
      <c r="L593" s="732"/>
      <c r="M593" s="732" t="str">
        <f t="shared" si="463"/>
        <v>0.0142676724019138-9.01179367634777i</v>
      </c>
      <c r="N593" s="337">
        <f t="shared" si="464"/>
        <v>0</v>
      </c>
      <c r="O593" s="730" t="str">
        <f t="shared" si="465"/>
        <v>-0.522216195021517-3.27627982106103i</v>
      </c>
      <c r="P593" s="731" t="str">
        <f t="shared" si="466"/>
        <v>-0.0917368780732732-0.0375092853374869i</v>
      </c>
      <c r="Q593" s="729" t="str">
        <f t="shared" si="467"/>
        <v>-0.0865147161230579-0.00474648712687634i</v>
      </c>
      <c r="R593" s="730"/>
      <c r="S593" s="405" t="str">
        <f t="shared" si="480"/>
        <v>24.0871425982733-27.4131361687173i</v>
      </c>
      <c r="T593" s="405" t="str">
        <f t="shared" si="481"/>
        <v>7.15044833390026-11.373298674329i</v>
      </c>
      <c r="U593" s="405" t="str">
        <f t="shared" si="482"/>
        <v>-0.250872363824266-0.245281807009972i</v>
      </c>
      <c r="V593" s="731" t="str">
        <f t="shared" si="468"/>
        <v>6000</v>
      </c>
      <c r="W593" s="733" t="str">
        <f>IMSUM(COMPLEX(1,0),IMDIV(COMPLEX(0,2*PI()*D593),COMPLEX(2*PI()*'Stability Calculations'!EA_Pole1,0)))</f>
        <v>1+1005780.25972824i</v>
      </c>
      <c r="X593" s="734">
        <f t="shared" si="483"/>
        <v>1005780.2597287371</v>
      </c>
      <c r="Y593" s="735">
        <f t="shared" si="484"/>
        <v>1.570795332541937</v>
      </c>
      <c r="Z593" s="340" t="str">
        <f>IMSUM(COMPLEX(1,0),IMDIV(COMPLEX(0,2*PI()*D593),COMPLEX(2*PI()*'Stability Calculations'!EA_Zero1,0)))</f>
        <v>1+9958.22039334893i</v>
      </c>
      <c r="AA593" s="734">
        <f t="shared" si="485"/>
        <v>9958.2204435587046</v>
      </c>
      <c r="AB593" s="735">
        <f t="shared" si="486"/>
        <v>1.5706959072463087</v>
      </c>
      <c r="AC593" s="733" t="str">
        <f>IMSUM(COMPLEX(1,0),IMDIV(COMPLEX(0,2*PI()*D593),COMPLEX(2*PI()*'Stability Calculations'!EA_Pole2,0)))</f>
        <v>1+100.313696241182i</v>
      </c>
      <c r="AD593" s="734">
        <f t="shared" si="487"/>
        <v>100.31868048159392</v>
      </c>
      <c r="AE593" s="735">
        <f t="shared" si="488"/>
        <v>1.5608279285176734</v>
      </c>
      <c r="AF593" s="732" t="str">
        <f t="shared" si="489"/>
        <v>0.00584403728177546-0.592143433931851i</v>
      </c>
      <c r="AG593" s="337">
        <f t="shared" si="490"/>
        <v>0.5921722714889267</v>
      </c>
      <c r="AH593" s="730">
        <f t="shared" si="491"/>
        <v>-1.5609273538133015</v>
      </c>
      <c r="AI593" s="731" t="str">
        <f t="shared" si="469"/>
        <v>10000</v>
      </c>
      <c r="AJ593" s="733" t="str">
        <f t="shared" si="492"/>
        <v>1+937664.04059366i</v>
      </c>
      <c r="AK593" s="734">
        <f t="shared" si="493"/>
        <v>937664.04059419315</v>
      </c>
      <c r="AL593" s="735">
        <f t="shared" si="494"/>
        <v>1.570795260314839</v>
      </c>
      <c r="AM593" s="340" t="str">
        <f t="shared" si="495"/>
        <v>1+1591.32361885716i</v>
      </c>
      <c r="AN593" s="734">
        <f t="shared" si="496"/>
        <v>1591.3239330609742</v>
      </c>
      <c r="AO593" s="735">
        <f t="shared" si="497"/>
        <v>1.5701679191872184</v>
      </c>
      <c r="AP593" s="733" t="str">
        <f t="shared" si="498"/>
        <v>1+77.1818185422498i</v>
      </c>
      <c r="AQ593" s="734">
        <f t="shared" si="499"/>
        <v>77.18829648002847</v>
      </c>
      <c r="AR593" s="735">
        <f t="shared" si="500"/>
        <v>1.5578406324583958</v>
      </c>
      <c r="AS593" s="732" t="str">
        <f t="shared" si="501"/>
        <v>0.000109040719630252-1.47675806438128i</v>
      </c>
      <c r="AT593" s="337">
        <f t="shared" si="502"/>
        <v>1.476758068406949</v>
      </c>
      <c r="AU593" s="730">
        <f t="shared" si="503"/>
        <v>-1.5707224888914091</v>
      </c>
      <c r="AV593" s="732" t="str">
        <f t="shared" si="504"/>
        <v>-0.00635161204061161+0.00988323155400469i</v>
      </c>
      <c r="AW593" s="337">
        <f t="shared" si="505"/>
        <v>-38.600540705485962</v>
      </c>
      <c r="AX593" s="730">
        <f t="shared" si="506"/>
        <v>122.72745650048279</v>
      </c>
      <c r="AY593" s="360">
        <f t="shared" si="507"/>
        <v>-57.272543499517212</v>
      </c>
      <c r="BB593" s="337">
        <f t="shared" si="508"/>
        <v>-36.613812953096968</v>
      </c>
      <c r="BC593" s="730">
        <f t="shared" si="509"/>
        <v>-89.995769399762068</v>
      </c>
      <c r="BD593" s="351"/>
      <c r="BE593" s="337">
        <f t="shared" si="470"/>
        <v>19.096235687164008</v>
      </c>
      <c r="BF593" s="730">
        <f t="shared" si="471"/>
        <v>-89.909288121939156</v>
      </c>
      <c r="BI593" s="351"/>
      <c r="BJ593" s="351"/>
      <c r="BL593" s="405">
        <f t="shared" si="472"/>
        <v>0</v>
      </c>
      <c r="BM593" s="405">
        <f t="shared" si="460"/>
        <v>0</v>
      </c>
      <c r="BN593" s="405">
        <f t="shared" si="473"/>
        <v>0</v>
      </c>
      <c r="BO593" s="405">
        <f t="shared" si="474"/>
        <v>0</v>
      </c>
    </row>
    <row r="594" spans="4:67" ht="13.5" thickBot="1" x14ac:dyDescent="0.25">
      <c r="D594" s="345">
        <v>173780</v>
      </c>
      <c r="E594" s="340" t="str">
        <f t="shared" si="461"/>
        <v>2.88259472867961i</v>
      </c>
      <c r="F594" s="728" t="str">
        <f t="shared" si="475"/>
        <v>0.005-0.0150137957632408i</v>
      </c>
      <c r="G594" s="337" t="str">
        <f t="shared" si="476"/>
        <v>0.005-0.0234831164501972i</v>
      </c>
      <c r="H594" s="338" t="str">
        <f t="shared" si="477"/>
        <v>0.00542708049489133-0.0232826850623415i</v>
      </c>
      <c r="I594" s="338" t="str">
        <f t="shared" si="478"/>
        <v>0.0154270804948913-0.0232826850623415i</v>
      </c>
      <c r="J594" s="337" t="str">
        <f t="shared" si="479"/>
        <v>0.0041210290005943-0.00931173463724901i</v>
      </c>
      <c r="K594" s="338" t="str">
        <f t="shared" si="462"/>
        <v>0.664450128888888-0.909909952234724i</v>
      </c>
      <c r="L594" s="732"/>
      <c r="M594" s="732" t="str">
        <f t="shared" si="463"/>
        <v>0.0117803983304592-8.2135840784115i</v>
      </c>
      <c r="N594" s="337">
        <f t="shared" si="464"/>
        <v>0</v>
      </c>
      <c r="O594" s="730" t="str">
        <f t="shared" si="465"/>
        <v>-0.498052589557725-2.95286692328916i</v>
      </c>
      <c r="P594" s="731" t="str">
        <f t="shared" si="466"/>
        <v>-0.0764341679957431-0.0339581141291277i</v>
      </c>
      <c r="Q594" s="729" t="str">
        <f t="shared" si="467"/>
        <v>-0.0714536421001659-0.00442944489623595i</v>
      </c>
      <c r="R594" s="730"/>
      <c r="S594" s="405" t="str">
        <f t="shared" si="480"/>
        <v>21.1388225204725-28.648686959372i</v>
      </c>
      <c r="T594" s="405" t="str">
        <f t="shared" si="481"/>
        <v>5.84580927141156-11.5896873359466i</v>
      </c>
      <c r="U594" s="405" t="str">
        <f t="shared" si="482"/>
        <v>-0.238113362740121-0.199004302283596i</v>
      </c>
      <c r="V594" s="731" t="str">
        <f t="shared" si="468"/>
        <v>6000</v>
      </c>
      <c r="W594" s="733" t="str">
        <f>IMSUM(COMPLEX(1,0),IMDIV(COMPLEX(0,2*PI()*D594),COMPLEX(2*PI()*'Stability Calculations'!EA_Pole1,0)))</f>
        <v>1+1102810.86210849i</v>
      </c>
      <c r="X594" s="734">
        <f t="shared" si="483"/>
        <v>1102810.8621089435</v>
      </c>
      <c r="Y594" s="735">
        <f t="shared" si="484"/>
        <v>1.5707954200210932</v>
      </c>
      <c r="Z594" s="340" t="str">
        <f>IMSUM(COMPLEX(1,0),IMDIV(COMPLEX(0,2*PI()*D594),COMPLEX(2*PI()*'Stability Calculations'!EA_Zero1,0)))</f>
        <v>1+10918.9194268167i</v>
      </c>
      <c r="AA594" s="734">
        <f t="shared" si="485"/>
        <v>10918.919472608775</v>
      </c>
      <c r="AB594" s="735">
        <f t="shared" si="486"/>
        <v>1.5707047426409968</v>
      </c>
      <c r="AC594" s="733" t="str">
        <f>IMSUM(COMPLEX(1,0),IMDIV(COMPLEX(0,2*PI()*D594),COMPLEX(2*PI()*'Stability Calculations'!EA_Pole2,0)))</f>
        <v>1+109.991255806629i</v>
      </c>
      <c r="AD594" s="734">
        <f t="shared" si="487"/>
        <v>109.99580152860061</v>
      </c>
      <c r="AE594" s="735">
        <f t="shared" si="488"/>
        <v>1.5617049454715055</v>
      </c>
      <c r="AF594" s="732" t="str">
        <f t="shared" si="489"/>
        <v>0.00486098613842935-0.540052744894884i</v>
      </c>
      <c r="AG594" s="337">
        <f t="shared" si="490"/>
        <v>0.54007462119112448</v>
      </c>
      <c r="AH594" s="730">
        <f t="shared" si="491"/>
        <v>-1.5617956228516017</v>
      </c>
      <c r="AI594" s="731" t="str">
        <f t="shared" si="469"/>
        <v>10000</v>
      </c>
      <c r="AJ594" s="733" t="str">
        <f t="shared" si="492"/>
        <v>1+1028123.26944518i</v>
      </c>
      <c r="AK594" s="734">
        <f t="shared" si="493"/>
        <v>1028123.2694456662</v>
      </c>
      <c r="AL594" s="735">
        <f t="shared" si="494"/>
        <v>1.5707953541488826</v>
      </c>
      <c r="AM594" s="340" t="str">
        <f t="shared" si="495"/>
        <v>1+1744.84332440531i</v>
      </c>
      <c r="AN594" s="734">
        <f t="shared" si="496"/>
        <v>1744.8436109639667</v>
      </c>
      <c r="AO594" s="735">
        <f t="shared" si="497"/>
        <v>1.5702232094974722</v>
      </c>
      <c r="AP594" s="733" t="str">
        <f t="shared" si="498"/>
        <v>1+84.6277773125887i</v>
      </c>
      <c r="AQ594" s="734">
        <f t="shared" si="499"/>
        <v>84.633685331959299</v>
      </c>
      <c r="AR594" s="735">
        <f t="shared" si="500"/>
        <v>1.5589804255292194</v>
      </c>
      <c r="AS594" s="732" t="str">
        <f t="shared" si="501"/>
        <v>0.0000906969858822544-1.34682579030071i</v>
      </c>
      <c r="AT594" s="337">
        <f t="shared" si="502"/>
        <v>1.346825793354536</v>
      </c>
      <c r="AU594" s="730">
        <f t="shared" si="503"/>
        <v>-1.570728985505178</v>
      </c>
      <c r="AV594" s="732" t="str">
        <f t="shared" si="504"/>
        <v>-0.00432843172969311+0.00839127642376583i</v>
      </c>
      <c r="AW594" s="337">
        <f t="shared" si="505"/>
        <v>-40.49884297337077</v>
      </c>
      <c r="AX594" s="730">
        <f t="shared" si="506"/>
        <v>117.28582350578415</v>
      </c>
      <c r="AY594" s="360">
        <f t="shared" si="507"/>
        <v>-62.714176494215849</v>
      </c>
      <c r="BB594" s="337">
        <f t="shared" si="508"/>
        <v>-37.413771498719065</v>
      </c>
      <c r="BC594" s="730">
        <f t="shared" si="509"/>
        <v>-89.996141628312159</v>
      </c>
      <c r="BD594" s="351"/>
      <c r="BE594" s="337">
        <f t="shared" si="470"/>
        <v>18.290663077014155</v>
      </c>
      <c r="BF594" s="730">
        <f t="shared" si="471"/>
        <v>-89.917823128606088</v>
      </c>
      <c r="BI594" s="351"/>
      <c r="BJ594" s="351"/>
      <c r="BL594" s="405">
        <f t="shared" si="472"/>
        <v>0</v>
      </c>
      <c r="BM594" s="405">
        <f t="shared" si="460"/>
        <v>0</v>
      </c>
      <c r="BN594" s="405">
        <f t="shared" si="473"/>
        <v>0</v>
      </c>
      <c r="BO594" s="405">
        <f t="shared" si="474"/>
        <v>0</v>
      </c>
    </row>
    <row r="595" spans="4:67" ht="13.5" thickBot="1" x14ac:dyDescent="0.25">
      <c r="D595" s="345">
        <v>190550</v>
      </c>
      <c r="E595" s="340" t="str">
        <f t="shared" si="461"/>
        <v>3.16076893514731i</v>
      </c>
      <c r="F595" s="728" t="str">
        <f t="shared" si="475"/>
        <v>0.005-0.0136924556690422i</v>
      </c>
      <c r="G595" s="337" t="str">
        <f t="shared" si="476"/>
        <v>0.005-0.0214164050208096i</v>
      </c>
      <c r="H595" s="338" t="str">
        <f t="shared" si="477"/>
        <v>0.00535179475630655-0.0212349330733116i</v>
      </c>
      <c r="I595" s="338" t="str">
        <f t="shared" si="478"/>
        <v>0.0153517947563066-0.0212349330733116i</v>
      </c>
      <c r="J595" s="337" t="str">
        <f t="shared" si="479"/>
        <v>0.00409701162566677-0.00851426219902392i</v>
      </c>
      <c r="K595" s="338" t="str">
        <f t="shared" si="462"/>
        <v>0.596563305555555-0.997717466902558i</v>
      </c>
      <c r="L595" s="732"/>
      <c r="M595" s="732" t="str">
        <f t="shared" si="463"/>
        <v>0.00973051600322081-7.48669209264424i</v>
      </c>
      <c r="N595" s="337">
        <f t="shared" si="464"/>
        <v>0</v>
      </c>
      <c r="O595" s="730" t="str">
        <f t="shared" si="465"/>
        <v>-0.473154415052377-2.65788565380286i</v>
      </c>
      <c r="P595" s="731" t="str">
        <f t="shared" si="466"/>
        <v>-0.0637037934429433-0.0307559127059341i</v>
      </c>
      <c r="Q595" s="729" t="str">
        <f t="shared" si="467"/>
        <v>-0.0589722492924195-0.00417705616790528i</v>
      </c>
      <c r="R595" s="730"/>
      <c r="S595" s="405" t="str">
        <f t="shared" si="480"/>
        <v>17.8355056098946-29.540069279064i</v>
      </c>
      <c r="T595" s="405" t="str">
        <f t="shared" si="481"/>
        <v>4.44984914102003-11.6201351444563i</v>
      </c>
      <c r="U595" s="405" t="str">
        <f t="shared" si="482"/>
        <v>-0.222938112796101-0.156680827029568i</v>
      </c>
      <c r="V595" s="731" t="str">
        <f t="shared" si="468"/>
        <v>6000</v>
      </c>
      <c r="W595" s="733" t="str">
        <f>IMSUM(COMPLEX(1,0),IMDIV(COMPLEX(0,2*PI()*D595),COMPLEX(2*PI()*'Stability Calculations'!EA_Pole1,0)))</f>
        <v>1+1209233.5698859i</v>
      </c>
      <c r="X595" s="734">
        <f t="shared" si="483"/>
        <v>1209233.5698863135</v>
      </c>
      <c r="Y595" s="735">
        <f t="shared" si="484"/>
        <v>1.5707954998248017</v>
      </c>
      <c r="Z595" s="340" t="str">
        <f>IMSUM(COMPLEX(1,0),IMDIV(COMPLEX(0,2*PI()*D595),COMPLEX(2*PI()*'Stability Calculations'!EA_Zero1,0)))</f>
        <v>1+11972.6096028307i</v>
      </c>
      <c r="AA595" s="734">
        <f t="shared" si="485"/>
        <v>11972.609644592691</v>
      </c>
      <c r="AB595" s="735">
        <f t="shared" si="486"/>
        <v>1.5707128028155097</v>
      </c>
      <c r="AC595" s="733" t="str">
        <f>IMSUM(COMPLEX(1,0),IMDIV(COMPLEX(0,2*PI()*D595),COMPLEX(2*PI()*'Stability Calculations'!EA_Pole2,0)))</f>
        <v>1+120.605557566769i</v>
      </c>
      <c r="AD595" s="734">
        <f t="shared" si="487"/>
        <v>120.60970324145246</v>
      </c>
      <c r="AE595" s="735">
        <f t="shared" si="488"/>
        <v>1.5625050249275469</v>
      </c>
      <c r="AF595" s="732" t="str">
        <f t="shared" si="489"/>
        <v>0.00404307783601682-0.492530350331497i</v>
      </c>
      <c r="AG595" s="337">
        <f t="shared" si="490"/>
        <v>0.49254694443885783</v>
      </c>
      <c r="AH595" s="730">
        <f t="shared" si="491"/>
        <v>-1.5625877219368389</v>
      </c>
      <c r="AI595" s="731" t="str">
        <f t="shared" si="469"/>
        <v>10000</v>
      </c>
      <c r="AJ595" s="733" t="str">
        <f t="shared" si="492"/>
        <v>1+1127338.52568062i</v>
      </c>
      <c r="AK595" s="734">
        <f t="shared" si="493"/>
        <v>1127338.5256810635</v>
      </c>
      <c r="AL595" s="735">
        <f t="shared" si="494"/>
        <v>1.5707954397498989</v>
      </c>
      <c r="AM595" s="340" t="str">
        <f t="shared" si="495"/>
        <v>1+1913.22301453235i</v>
      </c>
      <c r="AN595" s="734">
        <f t="shared" si="496"/>
        <v>1913.2232758714422</v>
      </c>
      <c r="AO595" s="735">
        <f t="shared" si="497"/>
        <v>1.5702736486223365</v>
      </c>
      <c r="AP595" s="733" t="str">
        <f t="shared" si="498"/>
        <v>1+92.7944698291735i</v>
      </c>
      <c r="AQ595" s="734">
        <f t="shared" si="499"/>
        <v>92.799857924877173</v>
      </c>
      <c r="AR595" s="735">
        <f t="shared" si="500"/>
        <v>1.56002023966898</v>
      </c>
      <c r="AS595" s="732" t="str">
        <f t="shared" si="501"/>
        <v>0.0000754352848049394-1.22829381273713i</v>
      </c>
      <c r="AT595" s="337">
        <f t="shared" si="502"/>
        <v>1.2282938150535472</v>
      </c>
      <c r="AU595" s="730">
        <f t="shared" si="503"/>
        <v>-1.5707349121041054</v>
      </c>
      <c r="AV595" s="732" t="str">
        <f t="shared" si="504"/>
        <v>-0.00275017104104695+0.00700758897363162i</v>
      </c>
      <c r="AW595" s="337">
        <f t="shared" si="505"/>
        <v>-42.466487494024321</v>
      </c>
      <c r="AX595" s="730">
        <f t="shared" si="506"/>
        <v>111.42782776718239</v>
      </c>
      <c r="AY595" s="360">
        <f t="shared" si="507"/>
        <v>-68.572172232817607</v>
      </c>
      <c r="BB595" s="337">
        <f t="shared" si="508"/>
        <v>-38.21395469983127</v>
      </c>
      <c r="BC595" s="730">
        <f t="shared" si="509"/>
        <v>-89.996481197417566</v>
      </c>
      <c r="BD595" s="351"/>
      <c r="BE595" s="337">
        <f t="shared" si="470"/>
        <v>17.485806779083035</v>
      </c>
      <c r="BF595" s="730">
        <f t="shared" si="471"/>
        <v>-89.925532240588623</v>
      </c>
      <c r="BI595" s="351"/>
      <c r="BJ595" s="351"/>
      <c r="BL595" s="405">
        <f t="shared" si="472"/>
        <v>0</v>
      </c>
      <c r="BM595" s="405">
        <f t="shared" si="460"/>
        <v>0</v>
      </c>
      <c r="BN595" s="405">
        <f t="shared" si="473"/>
        <v>0</v>
      </c>
      <c r="BO595" s="405">
        <f t="shared" si="474"/>
        <v>0</v>
      </c>
    </row>
    <row r="596" spans="4:67" ht="13.5" thickBot="1" x14ac:dyDescent="0.25">
      <c r="D596" s="345">
        <v>208930</v>
      </c>
      <c r="E596" s="340" t="str">
        <f t="shared" si="461"/>
        <v>3.46564919244464i</v>
      </c>
      <c r="F596" s="728" t="str">
        <f t="shared" si="475"/>
        <v>0.005-0.0124879023009428i</v>
      </c>
      <c r="G596" s="337" t="str">
        <f t="shared" si="476"/>
        <v>0.005-0.019532360009167i</v>
      </c>
      <c r="H596" s="338" t="str">
        <f t="shared" si="477"/>
        <v>0.00528919499445645-0.019367853383653i</v>
      </c>
      <c r="I596" s="338" t="str">
        <f t="shared" si="478"/>
        <v>0.0152891949944565-0.019367853383653i</v>
      </c>
      <c r="J596" s="337" t="str">
        <f t="shared" si="479"/>
        <v>0.00407371386822426-0.00778729794834977i</v>
      </c>
      <c r="K596" s="338" t="str">
        <f t="shared" si="462"/>
        <v>0.514980612222223-1.09395492185753i</v>
      </c>
      <c r="L596" s="732"/>
      <c r="M596" s="732" t="str">
        <f t="shared" si="463"/>
        <v>0.00804056624215269-6.82501729828965i</v>
      </c>
      <c r="N596" s="337">
        <f t="shared" si="464"/>
        <v>0</v>
      </c>
      <c r="O596" s="730" t="str">
        <f t="shared" si="465"/>
        <v>-0.447376767044385-2.38930235035445i</v>
      </c>
      <c r="P596" s="731" t="str">
        <f t="shared" si="466"/>
        <v>-0.0531156882382137-0.0278657819039141i</v>
      </c>
      <c r="Q596" s="729" t="str">
        <f t="shared" si="467"/>
        <v>-0.0486419205677698-0.00397275840036943i</v>
      </c>
      <c r="R596" s="730"/>
      <c r="S596" s="405" t="str">
        <f t="shared" si="480"/>
        <v>14.2393447947798-29.9625651104808i</v>
      </c>
      <c r="T596" s="405" t="str">
        <f t="shared" si="481"/>
        <v>3.00741672655201-11.4262216790556i</v>
      </c>
      <c r="U596" s="405" t="str">
        <f t="shared" si="482"/>
        <v>-0.205394572712743-0.118682720733815i</v>
      </c>
      <c r="V596" s="731" t="str">
        <f t="shared" si="468"/>
        <v>6000</v>
      </c>
      <c r="W596" s="733" t="str">
        <f>IMSUM(COMPLEX(1,0),IMDIV(COMPLEX(0,2*PI()*D596),COMPLEX(2*PI()*'Stability Calculations'!EA_Pole1,0)))</f>
        <v>1+1325873.36529132i</v>
      </c>
      <c r="X596" s="734">
        <f t="shared" si="483"/>
        <v>1325873.3652916972</v>
      </c>
      <c r="Y596" s="735">
        <f t="shared" si="484"/>
        <v>1.5707955725750546</v>
      </c>
      <c r="Z596" s="340" t="str">
        <f>IMSUM(COMPLEX(1,0),IMDIV(COMPLEX(0,2*PI()*D596),COMPLEX(2*PI()*'Stability Calculations'!EA_Zero1,0)))</f>
        <v>1+13127.4590622903i</v>
      </c>
      <c r="AA596" s="734">
        <f t="shared" si="485"/>
        <v>13127.459100378401</v>
      </c>
      <c r="AB596" s="735">
        <f t="shared" si="486"/>
        <v>1.5707201505910082</v>
      </c>
      <c r="AC596" s="733" t="str">
        <f>IMSUM(COMPLEX(1,0),IMDIV(COMPLEX(0,2*PI()*D596),COMPLEX(2*PI()*'Stability Calculations'!EA_Pole2,0)))</f>
        <v>1+132.238882930595i</v>
      </c>
      <c r="AD596" s="734">
        <f t="shared" si="487"/>
        <v>132.24266391271618</v>
      </c>
      <c r="AE596" s="735">
        <f t="shared" si="488"/>
        <v>1.5632343985870429</v>
      </c>
      <c r="AF596" s="732" t="str">
        <f t="shared" si="489"/>
        <v>0.00336305075575708-0.449206589092711i</v>
      </c>
      <c r="AG596" s="337">
        <f t="shared" si="490"/>
        <v>0.44921917790171595</v>
      </c>
      <c r="AH596" s="730">
        <f t="shared" si="491"/>
        <v>-1.5633098205710894</v>
      </c>
      <c r="AI596" s="731" t="str">
        <f t="shared" si="469"/>
        <v>10000</v>
      </c>
      <c r="AJ596" s="733" t="str">
        <f t="shared" si="492"/>
        <v>1+1236078.91981345i</v>
      </c>
      <c r="AK596" s="734">
        <f t="shared" si="493"/>
        <v>1236078.9198138546</v>
      </c>
      <c r="AL596" s="735">
        <f t="shared" si="494"/>
        <v>1.5707955177850641</v>
      </c>
      <c r="AM596" s="340" t="str">
        <f t="shared" si="495"/>
        <v>1+2097.76795815399i</v>
      </c>
      <c r="AN596" s="734">
        <f t="shared" si="496"/>
        <v>2097.7681965025495</v>
      </c>
      <c r="AO596" s="735">
        <f t="shared" si="497"/>
        <v>1.570319629684348</v>
      </c>
      <c r="AP596" s="733" t="str">
        <f t="shared" si="498"/>
        <v>1+101.745203785931i</v>
      </c>
      <c r="AQ596" s="734">
        <f t="shared" si="499"/>
        <v>101.75011790381684</v>
      </c>
      <c r="AR596" s="735">
        <f t="shared" si="500"/>
        <v>1.5609681701346365</v>
      </c>
      <c r="AS596" s="732" t="str">
        <f t="shared" si="501"/>
        <v>0.0000627466916424206-1.12023829112884i</v>
      </c>
      <c r="AT596" s="337">
        <f t="shared" si="502"/>
        <v>1.120238292886121</v>
      </c>
      <c r="AU596" s="730">
        <f t="shared" si="503"/>
        <v>-1.570740314880223</v>
      </c>
      <c r="AV596" s="732" t="str">
        <f t="shared" si="504"/>
        <v>-0.00155675628194484+0.00573846786415841i</v>
      </c>
      <c r="AW596" s="337">
        <f t="shared" si="505"/>
        <v>-44.515675409405034</v>
      </c>
      <c r="AX596" s="730">
        <f t="shared" si="506"/>
        <v>105.17813845725045</v>
      </c>
      <c r="AY596" s="360">
        <f t="shared" si="507"/>
        <v>-74.821861542749545</v>
      </c>
      <c r="BB596" s="337">
        <f t="shared" si="508"/>
        <v>-39.013791720206868</v>
      </c>
      <c r="BC596" s="730">
        <f t="shared" si="509"/>
        <v>-89.996790753686753</v>
      </c>
      <c r="BD596" s="351"/>
      <c r="BE596" s="337">
        <f t="shared" si="470"/>
        <v>16.682081156705742</v>
      </c>
      <c r="BF596" s="730">
        <f t="shared" si="471"/>
        <v>-89.932499761201811</v>
      </c>
      <c r="BI596" s="351"/>
      <c r="BJ596" s="351"/>
      <c r="BL596" s="405">
        <f t="shared" si="472"/>
        <v>0</v>
      </c>
      <c r="BM596" s="405">
        <f t="shared" si="460"/>
        <v>0</v>
      </c>
      <c r="BN596" s="405">
        <f t="shared" si="473"/>
        <v>0</v>
      </c>
      <c r="BO596" s="405">
        <f t="shared" si="474"/>
        <v>0</v>
      </c>
    </row>
    <row r="597" spans="4:67" ht="13.5" thickBot="1" x14ac:dyDescent="0.25">
      <c r="D597" s="345">
        <v>229090</v>
      </c>
      <c r="E597" s="340" t="str">
        <f t="shared" si="461"/>
        <v>3.80005539413748i</v>
      </c>
      <c r="F597" s="728" t="str">
        <f t="shared" si="475"/>
        <v>0.005-0.0113889625375878i</v>
      </c>
      <c r="G597" s="337" t="str">
        <f t="shared" si="476"/>
        <v>0.005-0.0178135055075091i</v>
      </c>
      <c r="H597" s="338" t="str">
        <f t="shared" si="477"/>
        <v>0.00523710391448603-0.0176642350788911i</v>
      </c>
      <c r="I597" s="338" t="str">
        <f t="shared" si="478"/>
        <v>0.015237103914486-0.0176642350788911i</v>
      </c>
      <c r="J597" s="337" t="str">
        <f t="shared" si="479"/>
        <v>0.00405086595177204-0.00712381438828188i</v>
      </c>
      <c r="K597" s="338" t="str">
        <f t="shared" si="462"/>
        <v>0.416864132222223-1.19951243501814i</v>
      </c>
      <c r="L597" s="732"/>
      <c r="M597" s="732" t="str">
        <f t="shared" si="463"/>
        <v>0.0066452199848921-6.22209301298947i</v>
      </c>
      <c r="N597" s="337">
        <f t="shared" si="464"/>
        <v>0</v>
      </c>
      <c r="O597" s="730" t="str">
        <f t="shared" si="465"/>
        <v>-0.42064762774882-2.14493665030931i</v>
      </c>
      <c r="P597" s="731" t="str">
        <f t="shared" si="466"/>
        <v>-0.0442981168357836-0.0252522040488194i</v>
      </c>
      <c r="Q597" s="729" t="str">
        <f t="shared" si="467"/>
        <v>-0.0400916405582954-0.0038028375457264i</v>
      </c>
      <c r="R597" s="730"/>
      <c r="S597" s="405" t="str">
        <f t="shared" si="480"/>
        <v>10.4595491897358-29.8013312902679i</v>
      </c>
      <c r="T597" s="405" t="str">
        <f t="shared" si="481"/>
        <v>1.57924864849806-10.9821962768022i</v>
      </c>
      <c r="U597" s="405" t="str">
        <f t="shared" si="482"/>
        <v>-0.185721407436961-0.0854111224859855i</v>
      </c>
      <c r="V597" s="731" t="str">
        <f t="shared" si="468"/>
        <v>6000</v>
      </c>
      <c r="W597" s="733" t="str">
        <f>IMSUM(COMPLEX(1,0),IMDIV(COMPLEX(0,2*PI()*D597),COMPLEX(2*PI()*'Stability Calculations'!EA_Pole1,0)))</f>
        <v>1+1453809.07124199i</v>
      </c>
      <c r="X597" s="734">
        <f t="shared" si="483"/>
        <v>1453809.0712423341</v>
      </c>
      <c r="Y597" s="735">
        <f t="shared" si="484"/>
        <v>1.5707956389466642</v>
      </c>
      <c r="Z597" s="340" t="str">
        <f>IMSUM(COMPLEX(1,0),IMDIV(COMPLEX(0,2*PI()*D597),COMPLEX(2*PI()*'Stability Calculations'!EA_Zero1,0)))</f>
        <v>1+14394.1492202177i</v>
      </c>
      <c r="AA597" s="734">
        <f t="shared" si="485"/>
        <v>14394.149254954036</v>
      </c>
      <c r="AB597" s="735">
        <f t="shared" si="486"/>
        <v>1.5707268541235291</v>
      </c>
      <c r="AC597" s="733" t="str">
        <f>IMSUM(COMPLEX(1,0),IMDIV(COMPLEX(0,2*PI()*D597),COMPLEX(2*PI()*'Stability Calculations'!EA_Pole2,0)))</f>
        <v>1+144.998830663715i</v>
      </c>
      <c r="AD597" s="734">
        <f t="shared" si="487"/>
        <v>145.00227892638344</v>
      </c>
      <c r="AE597" s="735">
        <f t="shared" si="488"/>
        <v>1.5638998287922747</v>
      </c>
      <c r="AF597" s="732" t="str">
        <f t="shared" si="489"/>
        <v>0.00279722205827753-0.409680154680565i</v>
      </c>
      <c r="AG597" s="337">
        <f t="shared" si="490"/>
        <v>0.40968970403261901</v>
      </c>
      <c r="AH597" s="730">
        <f t="shared" si="491"/>
        <v>-1.5639686136154098</v>
      </c>
      <c r="AI597" s="731" t="str">
        <f t="shared" si="469"/>
        <v>10000</v>
      </c>
      <c r="AJ597" s="733" t="str">
        <f t="shared" si="492"/>
        <v>1+1355350.21174586i</v>
      </c>
      <c r="AK597" s="734">
        <f t="shared" si="493"/>
        <v>1355350.2117462291</v>
      </c>
      <c r="AL597" s="735">
        <f t="shared" si="494"/>
        <v>1.5707955889782117</v>
      </c>
      <c r="AM597" s="340" t="str">
        <f t="shared" si="495"/>
        <v>1+2300.18504539079i</v>
      </c>
      <c r="AN597" s="734">
        <f t="shared" si="496"/>
        <v>2300.1852627645953</v>
      </c>
      <c r="AO597" s="735">
        <f t="shared" si="497"/>
        <v>1.5703615791910019</v>
      </c>
      <c r="AP597" s="733" t="str">
        <f t="shared" si="498"/>
        <v>1+111.562766167228i</v>
      </c>
      <c r="AQ597" s="734">
        <f t="shared" si="499"/>
        <v>111.56724785923329</v>
      </c>
      <c r="AR597" s="735">
        <f t="shared" si="500"/>
        <v>1.5618330027951559</v>
      </c>
      <c r="AS597" s="732" t="str">
        <f t="shared" si="501"/>
        <v>0.0000521891443541773-1.02165693085294i</v>
      </c>
      <c r="AT597" s="337">
        <f t="shared" si="502"/>
        <v>1.021656932185925</v>
      </c>
      <c r="AU597" s="730">
        <f t="shared" si="503"/>
        <v>-1.5707452439482652</v>
      </c>
      <c r="AV597" s="732" t="str">
        <f t="shared" si="504"/>
        <v>-0.000692618092697265+0.0045920779222286i</v>
      </c>
      <c r="AW597" s="337">
        <f t="shared" si="505"/>
        <v>-46.662122861227211</v>
      </c>
      <c r="AX597" s="730">
        <f t="shared" si="506"/>
        <v>98.577207735390132</v>
      </c>
      <c r="AY597" s="360">
        <f t="shared" si="507"/>
        <v>-81.422792264609868</v>
      </c>
      <c r="BB597" s="337">
        <f t="shared" si="508"/>
        <v>-39.813898277201645</v>
      </c>
      <c r="BC597" s="730">
        <f t="shared" si="509"/>
        <v>-89.997073168482515</v>
      </c>
      <c r="BD597" s="351"/>
      <c r="BE597" s="337">
        <f t="shared" si="470"/>
        <v>15.878734933983187</v>
      </c>
      <c r="BF597" s="730">
        <f t="shared" si="471"/>
        <v>-89.938807903785275</v>
      </c>
      <c r="BI597" s="351"/>
      <c r="BJ597" s="351"/>
      <c r="BL597" s="405">
        <f t="shared" si="472"/>
        <v>0</v>
      </c>
      <c r="BM597" s="405">
        <f t="shared" si="460"/>
        <v>0</v>
      </c>
      <c r="BN597" s="405">
        <f t="shared" si="473"/>
        <v>0</v>
      </c>
      <c r="BO597" s="405">
        <f t="shared" si="474"/>
        <v>0</v>
      </c>
    </row>
    <row r="598" spans="4:67" ht="13.5" thickBot="1" x14ac:dyDescent="0.25">
      <c r="D598" s="345">
        <v>251190</v>
      </c>
      <c r="E598" s="340" t="str">
        <f t="shared" si="461"/>
        <v>4.16664155769956i</v>
      </c>
      <c r="F598" s="728" t="str">
        <f t="shared" si="475"/>
        <v>0.005-0.0103869478392292i</v>
      </c>
      <c r="G598" s="337" t="str">
        <f t="shared" si="476"/>
        <v>0.005-0.016246251748538i</v>
      </c>
      <c r="H598" s="338" t="str">
        <f t="shared" si="477"/>
        <v>0.00519378308235329-0.0161106904119275i</v>
      </c>
      <c r="I598" s="338" t="str">
        <f t="shared" si="478"/>
        <v>0.0151937830823533-0.0161106904119275i</v>
      </c>
      <c r="J598" s="337" t="str">
        <f t="shared" si="479"/>
        <v>0.00402833911979977-0.00651829382985667i</v>
      </c>
      <c r="K598" s="338" t="str">
        <f t="shared" si="462"/>
        <v>0.29892871-1.31522776442537i</v>
      </c>
      <c r="L598" s="732"/>
      <c r="M598" s="732" t="str">
        <f t="shared" si="463"/>
        <v>0.00549319760218756-5.67290351141778i</v>
      </c>
      <c r="N598" s="337">
        <f t="shared" si="464"/>
        <v>0</v>
      </c>
      <c r="O598" s="730" t="str">
        <f t="shared" si="465"/>
        <v>-0.393041639268945-1.92317854117099i</v>
      </c>
      <c r="P598" s="731" t="str">
        <f t="shared" si="466"/>
        <v>-0.036955523493053-0.0228881854139302i</v>
      </c>
      <c r="Q598" s="729" t="str">
        <f t="shared" si="467"/>
        <v>-0.0330251071003635-0.00365640000222032i</v>
      </c>
      <c r="R598" s="730"/>
      <c r="S598" s="405" t="str">
        <f t="shared" si="480"/>
        <v>6.6627231097724-28.9764389414228i</v>
      </c>
      <c r="T598" s="405" t="str">
        <f t="shared" si="481"/>
        <v>0.241174636286267-10.2851948543203i</v>
      </c>
      <c r="U598" s="405" t="str">
        <f t="shared" si="482"/>
        <v>-0.164448981378467-0.0573045609334928i</v>
      </c>
      <c r="V598" s="731" t="str">
        <f t="shared" si="468"/>
        <v>6000</v>
      </c>
      <c r="W598" s="733" t="str">
        <f>IMSUM(COMPLEX(1,0),IMDIV(COMPLEX(0,2*PI()*D598),COMPLEX(2*PI()*'Stability Calculations'!EA_Pole1,0)))</f>
        <v>1+1594056.05048354i</v>
      </c>
      <c r="X598" s="734">
        <f t="shared" si="483"/>
        <v>1594056.0504838536</v>
      </c>
      <c r="Y598" s="735">
        <f t="shared" si="484"/>
        <v>1.5707956994643835</v>
      </c>
      <c r="Z598" s="340" t="str">
        <f>IMSUM(COMPLEX(1,0),IMDIV(COMPLEX(0,2*PI()*D598),COMPLEX(2*PI()*'Stability Calculations'!EA_Zero1,0)))</f>
        <v>1+15782.7331731044i</v>
      </c>
      <c r="AA598" s="734">
        <f t="shared" si="485"/>
        <v>15782.73320478459</v>
      </c>
      <c r="AB598" s="735">
        <f t="shared" si="486"/>
        <v>1.5707329664131622</v>
      </c>
      <c r="AC598" s="733" t="str">
        <f>IMSUM(COMPLEX(1,0),IMDIV(COMPLEX(0,2*PI()*D598),COMPLEX(2*PI()*'Stability Calculations'!EA_Pole2,0)))</f>
        <v>1+158.986670192582i</v>
      </c>
      <c r="AD598" s="734">
        <f t="shared" si="487"/>
        <v>158.98981507922088</v>
      </c>
      <c r="AE598" s="735">
        <f t="shared" si="488"/>
        <v>1.5645065742530122</v>
      </c>
      <c r="AF598" s="732" t="str">
        <f t="shared" si="489"/>
        <v>0.00232668715184659-0.373638958771132i</v>
      </c>
      <c r="AG598" s="337">
        <f t="shared" si="490"/>
        <v>0.37364620295766188</v>
      </c>
      <c r="AH598" s="730">
        <f t="shared" si="491"/>
        <v>-1.5645693073042335</v>
      </c>
      <c r="AI598" s="731" t="str">
        <f t="shared" si="469"/>
        <v>10000</v>
      </c>
      <c r="AJ598" s="733" t="str">
        <f t="shared" si="492"/>
        <v>1+1486098.99903288i</v>
      </c>
      <c r="AK598" s="734">
        <f t="shared" si="493"/>
        <v>1486098.9990332166</v>
      </c>
      <c r="AL598" s="735">
        <f t="shared" si="494"/>
        <v>1.5707956538922161</v>
      </c>
      <c r="AM598" s="340" t="str">
        <f t="shared" si="495"/>
        <v>1+2522.08076106208i</v>
      </c>
      <c r="AN598" s="734">
        <f t="shared" si="496"/>
        <v>2522.0809593110766</v>
      </c>
      <c r="AO598" s="735">
        <f t="shared" si="497"/>
        <v>1.5703998288067929</v>
      </c>
      <c r="AP598" s="733" t="str">
        <f t="shared" si="498"/>
        <v>1+122.325074134821i</v>
      </c>
      <c r="AQ598" s="734">
        <f t="shared" si="499"/>
        <v>122.3291615359537</v>
      </c>
      <c r="AR598" s="735">
        <f t="shared" si="500"/>
        <v>1.5626215700541046</v>
      </c>
      <c r="AS598" s="732" t="str">
        <f t="shared" si="501"/>
        <v>0.000043409796448678-0.931770318849635i</v>
      </c>
      <c r="AT598" s="337">
        <f t="shared" si="502"/>
        <v>0.93177031986083392</v>
      </c>
      <c r="AU598" s="730">
        <f t="shared" si="503"/>
        <v>-1.5707497382788866</v>
      </c>
      <c r="AV598" s="732" t="str">
        <f t="shared" si="504"/>
        <v>-0.000106428372942507+0.00358021847509394i</v>
      </c>
      <c r="AW598" s="337">
        <f t="shared" si="505"/>
        <v>-48.917973327795458</v>
      </c>
      <c r="AX598" s="730">
        <f t="shared" si="506"/>
        <v>91.702717692970751</v>
      </c>
      <c r="AY598" s="360">
        <f t="shared" si="507"/>
        <v>-88.297282307029249</v>
      </c>
      <c r="BB598" s="337">
        <f t="shared" si="508"/>
        <v>-40.613822549272463</v>
      </c>
      <c r="BC598" s="730">
        <f t="shared" si="509"/>
        <v>-89.997330674658855</v>
      </c>
      <c r="BD598" s="351"/>
      <c r="BE598" s="337">
        <f t="shared" si="470"/>
        <v>15.076112009210949</v>
      </c>
      <c r="BF598" s="730">
        <f t="shared" si="471"/>
        <v>-89.944519250215961</v>
      </c>
      <c r="BI598" s="351"/>
      <c r="BJ598" s="351"/>
      <c r="BL598" s="405">
        <f t="shared" si="472"/>
        <v>0</v>
      </c>
      <c r="BM598" s="405">
        <f t="shared" si="460"/>
        <v>0</v>
      </c>
      <c r="BN598" s="405">
        <f t="shared" si="473"/>
        <v>0</v>
      </c>
      <c r="BO598" s="405">
        <f t="shared" si="474"/>
        <v>0</v>
      </c>
    </row>
    <row r="599" spans="4:67" ht="13.5" thickBot="1" x14ac:dyDescent="0.25">
      <c r="D599" s="345">
        <v>275420</v>
      </c>
      <c r="E599" s="340" t="str">
        <f t="shared" si="461"/>
        <v>4.56855932888098i</v>
      </c>
      <c r="F599" s="728" t="str">
        <f t="shared" si="475"/>
        <v>0.005-0.00947315891270052i</v>
      </c>
      <c r="G599" s="337" t="str">
        <f t="shared" si="476"/>
        <v>0.005-0.014816992145506i</v>
      </c>
      <c r="H599" s="338" t="str">
        <f t="shared" si="477"/>
        <v>0.0051577499269781-0.0146937938091753i</v>
      </c>
      <c r="I599" s="338" t="str">
        <f t="shared" si="478"/>
        <v>0.0151577499269781-0.0146937938091753i</v>
      </c>
      <c r="J599" s="337" t="str">
        <f t="shared" si="479"/>
        <v>0.00400608888947183-0.00596523830820451i</v>
      </c>
      <c r="K599" s="338" t="str">
        <f t="shared" si="462"/>
        <v>0.157153595555555-1.44209574775283i</v>
      </c>
      <c r="L599" s="732"/>
      <c r="M599" s="732" t="str">
        <f t="shared" si="463"/>
        <v>0.00454159687415505-5.1724920818009i</v>
      </c>
      <c r="N599" s="337">
        <f t="shared" si="464"/>
        <v>0</v>
      </c>
      <c r="O599" s="730" t="str">
        <f t="shared" si="465"/>
        <v>-0.364722077281787-1.72239982150671i</v>
      </c>
      <c r="P599" s="731" t="str">
        <f t="shared" si="466"/>
        <v>-0.0308369538744651-0.0207485547674377i</v>
      </c>
      <c r="Q599" s="729" t="str">
        <f t="shared" si="467"/>
        <v>-0.0271897331016473-0.00352455655237065i</v>
      </c>
      <c r="R599" s="730"/>
      <c r="S599" s="405" t="str">
        <f t="shared" si="480"/>
        <v>3.0498660501991-27.4714385955949i</v>
      </c>
      <c r="T599" s="405" t="str">
        <f t="shared" si="481"/>
        <v>-0.929700774338472-9.36201183547377i</v>
      </c>
      <c r="U599" s="405" t="str">
        <f t="shared" si="482"/>
        <v>-0.142358635650466-0.0346260843784228i</v>
      </c>
      <c r="V599" s="731" t="str">
        <f t="shared" si="468"/>
        <v>6000</v>
      </c>
      <c r="W599" s="733" t="str">
        <f>IMSUM(COMPLEX(1,0),IMDIV(COMPLEX(0,2*PI()*D599),COMPLEX(2*PI()*'Stability Calculations'!EA_Pole1,0)))</f>
        <v>1+1747820.04627643i</v>
      </c>
      <c r="X599" s="734">
        <f t="shared" si="483"/>
        <v>1747820.0462767158</v>
      </c>
      <c r="Y599" s="735">
        <f t="shared" si="484"/>
        <v>1.5707957546536158</v>
      </c>
      <c r="Z599" s="340" t="str">
        <f>IMSUM(COMPLEX(1,0),IMDIV(COMPLEX(0,2*PI()*D599),COMPLEX(2*PI()*'Stability Calculations'!EA_Zero1,0)))</f>
        <v>1+17305.148973034i</v>
      </c>
      <c r="AA599" s="734">
        <f t="shared" si="485"/>
        <v>17305.149001927133</v>
      </c>
      <c r="AB599" s="735">
        <f t="shared" si="486"/>
        <v>1.5707385405255934</v>
      </c>
      <c r="AC599" s="733" t="str">
        <f>IMSUM(COMPLEX(1,0),IMDIV(COMPLEX(0,2*PI()*D599),COMPLEX(2*PI()*'Stability Calculations'!EA_Pole2,0)))</f>
        <v>1+174.322658961109i</v>
      </c>
      <c r="AD599" s="734">
        <f t="shared" si="487"/>
        <v>174.32552718196814</v>
      </c>
      <c r="AE599" s="735">
        <f t="shared" si="488"/>
        <v>1.5650599008071655</v>
      </c>
      <c r="AF599" s="732" t="str">
        <f t="shared" si="489"/>
        <v>0.00193532820335249-0.340770417465085i</v>
      </c>
      <c r="AG599" s="337">
        <f t="shared" si="490"/>
        <v>0.34077591304929844</v>
      </c>
      <c r="AH599" s="730">
        <f t="shared" si="491"/>
        <v>-1.5651171149351877</v>
      </c>
      <c r="AI599" s="731" t="str">
        <f t="shared" si="469"/>
        <v>10000</v>
      </c>
      <c r="AJ599" s="733" t="str">
        <f t="shared" si="492"/>
        <v>1+1629449.36627109i</v>
      </c>
      <c r="AK599" s="734">
        <f t="shared" si="493"/>
        <v>1629449.3662713969</v>
      </c>
      <c r="AL599" s="735">
        <f t="shared" si="494"/>
        <v>1.5707957130906474</v>
      </c>
      <c r="AM599" s="340" t="str">
        <f t="shared" si="495"/>
        <v>1+2765.36280589083i</v>
      </c>
      <c r="AN599" s="734">
        <f t="shared" si="496"/>
        <v>2765.3629866989259</v>
      </c>
      <c r="AO599" s="735">
        <f t="shared" si="497"/>
        <v>1.5704347106068575</v>
      </c>
      <c r="AP599" s="733" t="str">
        <f t="shared" si="498"/>
        <v>1+134.124654318294i</v>
      </c>
      <c r="AQ599" s="734">
        <f t="shared" si="499"/>
        <v>134.12838214189367</v>
      </c>
      <c r="AR599" s="735">
        <f t="shared" si="500"/>
        <v>1.5633407141314843</v>
      </c>
      <c r="AS599" s="732" t="str">
        <f t="shared" si="501"/>
        <v>0.000036107838682759-0.849798077399216i</v>
      </c>
      <c r="AT599" s="337">
        <f t="shared" si="502"/>
        <v>0.84979807816632524</v>
      </c>
      <c r="AU599" s="730">
        <f t="shared" si="503"/>
        <v>-1.5707538368909755</v>
      </c>
      <c r="AV599" s="732" t="str">
        <f t="shared" si="504"/>
        <v>0.000253715988977014+0.00271264779292187i</v>
      </c>
      <c r="AW599" s="337">
        <f t="shared" si="505"/>
        <v>-51.294304943710323</v>
      </c>
      <c r="AX599" s="730">
        <f t="shared" si="506"/>
        <v>84.65662772879277</v>
      </c>
      <c r="AY599" s="360">
        <f t="shared" si="507"/>
        <v>-95.34337227120723</v>
      </c>
      <c r="BB599" s="337">
        <f t="shared" si="508"/>
        <v>-41.413685108203893</v>
      </c>
      <c r="BC599" s="730">
        <f t="shared" si="509"/>
        <v>-89.9975655078334</v>
      </c>
      <c r="BD599" s="351"/>
      <c r="BE599" s="337">
        <f t="shared" si="470"/>
        <v>14.274000038281676</v>
      </c>
      <c r="BF599" s="730">
        <f t="shared" si="471"/>
        <v>-89.949692669963653</v>
      </c>
      <c r="BI599" s="351"/>
      <c r="BJ599" s="351"/>
      <c r="BL599" s="405">
        <f t="shared" si="472"/>
        <v>0</v>
      </c>
      <c r="BM599" s="405">
        <f t="shared" si="460"/>
        <v>0</v>
      </c>
      <c r="BN599" s="405">
        <f t="shared" si="473"/>
        <v>0</v>
      </c>
      <c r="BO599" s="405">
        <f t="shared" si="474"/>
        <v>0</v>
      </c>
    </row>
    <row r="600" spans="4:67" ht="13.5" thickBot="1" x14ac:dyDescent="0.25">
      <c r="D600" s="345">
        <v>302000</v>
      </c>
      <c r="E600" s="340" t="str">
        <f t="shared" si="461"/>
        <v>5.00945798170814i</v>
      </c>
      <c r="F600" s="728" t="str">
        <f t="shared" si="475"/>
        <v>0.005-0.00863939545607946i</v>
      </c>
      <c r="G600" s="337" t="str">
        <f t="shared" si="476"/>
        <v>0.005-0.0135129005851499i</v>
      </c>
      <c r="H600" s="338" t="str">
        <f t="shared" si="477"/>
        <v>0.00512776375346952-0.0134008770123664i</v>
      </c>
      <c r="I600" s="338" t="str">
        <f t="shared" si="478"/>
        <v>0.0151277637534695-0.0134008770123664i</v>
      </c>
      <c r="J600" s="337" t="str">
        <f t="shared" si="479"/>
        <v>0.00398415013500041-0.00545949193907117i</v>
      </c>
      <c r="K600" s="338" t="str">
        <f t="shared" si="462"/>
        <v>-0.0133777777777799-1.58126830230686i</v>
      </c>
      <c r="L600" s="732"/>
      <c r="M600" s="732" t="str">
        <f t="shared" si="463"/>
        <v>0.00375502716674406-4.71622545203788i</v>
      </c>
      <c r="N600" s="337">
        <f t="shared" si="464"/>
        <v>0</v>
      </c>
      <c r="O600" s="730" t="str">
        <f t="shared" si="465"/>
        <v>-0.335935532347396-1.54103950491041i</v>
      </c>
      <c r="P600" s="731" t="str">
        <f t="shared" si="466"/>
        <v>-0.0257332342462499-0.0188106508119769i</v>
      </c>
      <c r="Q600" s="729" t="str">
        <f t="shared" si="467"/>
        <v>-0.0223738789227759-0.00340025576287283i</v>
      </c>
      <c r="R600" s="730"/>
      <c r="S600" s="405" t="str">
        <f t="shared" si="480"/>
        <v>-0.174523788600566-25.3502061812824i</v>
      </c>
      <c r="T600" s="405" t="str">
        <f t="shared" si="481"/>
        <v>-1.86929880836268-8.26932926976368i</v>
      </c>
      <c r="U600" s="405" t="str">
        <f t="shared" si="482"/>
        <v>-0.120401587192791-0.0173529234647668i</v>
      </c>
      <c r="V600" s="731" t="str">
        <f t="shared" si="468"/>
        <v>6000</v>
      </c>
      <c r="W600" s="733" t="str">
        <f>IMSUM(COMPLEX(1,0),IMDIV(COMPLEX(0,2*PI()*D600),COMPLEX(2*PI()*'Stability Calculations'!EA_Pole1,0)))</f>
        <v>1+1916497.18239592i</v>
      </c>
      <c r="X600" s="734">
        <f t="shared" si="483"/>
        <v>1916497.1823961807</v>
      </c>
      <c r="Y600" s="735">
        <f t="shared" si="484"/>
        <v>1.5707958050096265</v>
      </c>
      <c r="Z600" s="340" t="str">
        <f>IMSUM(COMPLEX(1,0),IMDIV(COMPLEX(0,2*PI()*D600),COMPLEX(2*PI()*'Stability Calculations'!EA_Zero1,0)))</f>
        <v>1+18975.2196276824i</v>
      </c>
      <c r="AA600" s="734">
        <f t="shared" si="485"/>
        <v>18975.219654032557</v>
      </c>
      <c r="AB600" s="735">
        <f t="shared" si="486"/>
        <v>1.5707436264826633</v>
      </c>
      <c r="AC600" s="733" t="str">
        <f>IMSUM(COMPLEX(1,0),IMDIV(COMPLEX(0,2*PI()*D600),COMPLEX(2*PI()*'Stability Calculations'!EA_Pole2,0)))</f>
        <v>1+191.14604243067i</v>
      </c>
      <c r="AD600" s="734">
        <f t="shared" si="487"/>
        <v>191.1486582137251</v>
      </c>
      <c r="AE600" s="735">
        <f t="shared" si="488"/>
        <v>1.5655647726166666</v>
      </c>
      <c r="AF600" s="732" t="str">
        <f t="shared" si="489"/>
        <v>0.00160965977945459-0.310779810978529i</v>
      </c>
      <c r="AG600" s="337">
        <f t="shared" si="490"/>
        <v>0.31078397950418196</v>
      </c>
      <c r="AH600" s="730">
        <f t="shared" si="491"/>
        <v>-1.5656169511436298</v>
      </c>
      <c r="AI600" s="731" t="str">
        <f t="shared" si="469"/>
        <v>10000</v>
      </c>
      <c r="AJ600" s="733" t="str">
        <f t="shared" si="492"/>
        <v>1+1786702.88509866i</v>
      </c>
      <c r="AK600" s="734">
        <f t="shared" si="493"/>
        <v>1786702.88509894</v>
      </c>
      <c r="AL600" s="735">
        <f t="shared" si="494"/>
        <v>1.5707957671047499</v>
      </c>
      <c r="AM600" s="340" t="str">
        <f t="shared" si="495"/>
        <v>1+3032.24009650365i</v>
      </c>
      <c r="AN600" s="734">
        <f t="shared" si="496"/>
        <v>3032.2402613982395</v>
      </c>
      <c r="AO600" s="735">
        <f t="shared" si="497"/>
        <v>1.5704665376186044</v>
      </c>
      <c r="AP600" s="733" t="str">
        <f t="shared" si="498"/>
        <v>1+147.068642815064i</v>
      </c>
      <c r="AQ600" s="734">
        <f t="shared" si="499"/>
        <v>147.07204254876206</v>
      </c>
      <c r="AR600" s="735">
        <f t="shared" si="500"/>
        <v>1.5639968855951178</v>
      </c>
      <c r="AS600" s="732" t="str">
        <f t="shared" si="501"/>
        <v>0.0000300316058656883-0.775004591219865i</v>
      </c>
      <c r="AT600" s="337">
        <f t="shared" si="502"/>
        <v>0.77500459180173076</v>
      </c>
      <c r="AU600" s="730">
        <f t="shared" si="503"/>
        <v>-1.5707575765652968</v>
      </c>
      <c r="AV600" s="732" t="str">
        <f t="shared" si="504"/>
        <v>0.000439838217093445+0.00199406473972817i</v>
      </c>
      <c r="AW600" s="337">
        <f t="shared" si="505"/>
        <v>-53.798897906449994</v>
      </c>
      <c r="AX600" s="730">
        <f t="shared" si="506"/>
        <v>77.561232715169467</v>
      </c>
      <c r="AY600" s="360">
        <f t="shared" si="507"/>
        <v>-102.43876728483053</v>
      </c>
      <c r="BB600" s="337">
        <f t="shared" si="508"/>
        <v>-42.21391448695131</v>
      </c>
      <c r="BC600" s="730">
        <f t="shared" si="509"/>
        <v>-89.997779775388764</v>
      </c>
      <c r="BD600" s="351"/>
      <c r="BE600" s="337">
        <f t="shared" si="470"/>
        <v>13.471893907322388</v>
      </c>
      <c r="BF600" s="730">
        <f t="shared" si="471"/>
        <v>-89.954381493137461</v>
      </c>
      <c r="BI600" s="351"/>
      <c r="BJ600" s="351"/>
      <c r="BL600" s="405">
        <f t="shared" si="472"/>
        <v>0</v>
      </c>
      <c r="BM600" s="405">
        <f t="shared" si="460"/>
        <v>0</v>
      </c>
      <c r="BN600" s="405">
        <f t="shared" si="473"/>
        <v>0</v>
      </c>
      <c r="BO600" s="405">
        <f t="shared" si="474"/>
        <v>0</v>
      </c>
    </row>
    <row r="601" spans="4:67" ht="13.5" thickBot="1" x14ac:dyDescent="0.25">
      <c r="D601" s="345">
        <v>331130</v>
      </c>
      <c r="E601" s="340" t="str">
        <f t="shared" si="461"/>
        <v>5.49265503802323i</v>
      </c>
      <c r="F601" s="728" t="str">
        <f t="shared" si="475"/>
        <v>0.005-0.00787937495163829i</v>
      </c>
      <c r="G601" s="337" t="str">
        <f t="shared" si="476"/>
        <v>0.005-0.012324150565383i</v>
      </c>
      <c r="H601" s="338" t="str">
        <f t="shared" si="477"/>
        <v>0.00510283381521109-0.0122222333661396i</v>
      </c>
      <c r="I601" s="338" t="str">
        <f t="shared" si="478"/>
        <v>0.0151028338152111-0.0122222333661396i</v>
      </c>
      <c r="J601" s="337" t="str">
        <f t="shared" si="479"/>
        <v>0.00396266020679301-0.00499711706533724i</v>
      </c>
      <c r="K601" s="338" t="str">
        <f t="shared" si="462"/>
        <v>-0.21830085444445-1.73379262563865i</v>
      </c>
      <c r="L601" s="732"/>
      <c r="M601" s="732" t="str">
        <f t="shared" si="463"/>
        <v>0.00310545004568565-4.30055736601694i</v>
      </c>
      <c r="N601" s="337">
        <f t="shared" si="464"/>
        <v>0</v>
      </c>
      <c r="O601" s="730" t="str">
        <f t="shared" si="465"/>
        <v>-0.307045909372256-1.37788396878683i</v>
      </c>
      <c r="P601" s="731" t="str">
        <f t="shared" si="466"/>
        <v>-0.0214780827608648-0.0170571658387647i</v>
      </c>
      <c r="Q601" s="729" t="str">
        <f t="shared" si="467"/>
        <v>-0.0184076236671422-0.0032783261508964i</v>
      </c>
      <c r="R601" s="730"/>
      <c r="S601" s="405" t="str">
        <f t="shared" si="480"/>
        <v>-2.83789754604814-22.7589980004317i</v>
      </c>
      <c r="T601" s="405" t="str">
        <f t="shared" si="481"/>
        <v>-2.53928958042189-7.08745528233722i</v>
      </c>
      <c r="U601" s="405" t="str">
        <f t="shared" si="482"/>
        <v>-0.0995821051703942-0.00513031664238368i</v>
      </c>
      <c r="V601" s="731" t="str">
        <f t="shared" si="468"/>
        <v>6000</v>
      </c>
      <c r="W601" s="733" t="str">
        <f>IMSUM(COMPLEX(1,0),IMDIV(COMPLEX(0,2*PI()*D601),COMPLEX(2*PI()*'Stability Calculations'!EA_Pole1,0)))</f>
        <v>1+2101356.66227404i</v>
      </c>
      <c r="X601" s="734">
        <f t="shared" si="483"/>
        <v>2101356.6622742778</v>
      </c>
      <c r="Y601" s="735">
        <f t="shared" si="484"/>
        <v>1.5707958509118549</v>
      </c>
      <c r="Z601" s="340" t="str">
        <f>IMSUM(COMPLEX(1,0),IMDIV(COMPLEX(0,2*PI()*D601),COMPLEX(2*PI()*'Stability Calculations'!EA_Zero1,0)))</f>
        <v>1+20805.5115076638i</v>
      </c>
      <c r="AA601" s="734">
        <f t="shared" si="485"/>
        <v>20805.511531695891</v>
      </c>
      <c r="AB601" s="735">
        <f t="shared" si="486"/>
        <v>1.5707482626077287</v>
      </c>
      <c r="AC601" s="733" t="str">
        <f>IMSUM(COMPLEX(1,0),IMDIV(COMPLEX(0,2*PI()*D601),COMPLEX(2*PI()*'Stability Calculations'!EA_Pole2,0)))</f>
        <v>1+209.58340738433i</v>
      </c>
      <c r="AD601" s="734">
        <f t="shared" si="487"/>
        <v>209.58579305579383</v>
      </c>
      <c r="AE601" s="735">
        <f t="shared" si="488"/>
        <v>1.5660249929191552</v>
      </c>
      <c r="AF601" s="732" t="str">
        <f t="shared" si="489"/>
        <v>0.00133891473001537-0.283441339283791i</v>
      </c>
      <c r="AG601" s="337">
        <f t="shared" si="490"/>
        <v>0.28344450163593471</v>
      </c>
      <c r="AH601" s="730">
        <f t="shared" si="491"/>
        <v>-1.5660725812232816</v>
      </c>
      <c r="AI601" s="731" t="str">
        <f t="shared" si="469"/>
        <v>10000</v>
      </c>
      <c r="AJ601" s="733" t="str">
        <f t="shared" si="492"/>
        <v>1+1959042.80245933i</v>
      </c>
      <c r="AK601" s="734">
        <f t="shared" si="493"/>
        <v>1959042.802459585</v>
      </c>
      <c r="AL601" s="735">
        <f t="shared" si="494"/>
        <v>1.5707958163415268</v>
      </c>
      <c r="AM601" s="340" t="str">
        <f t="shared" si="495"/>
        <v>1+3324.72073892467i</v>
      </c>
      <c r="AN601" s="734">
        <f t="shared" si="496"/>
        <v>3324.7208893132374</v>
      </c>
      <c r="AO601" s="735">
        <f t="shared" si="497"/>
        <v>1.5704955496625088</v>
      </c>
      <c r="AP601" s="733" t="str">
        <f t="shared" si="498"/>
        <v>1+161.254436077325i</v>
      </c>
      <c r="AQ601" s="734">
        <f t="shared" si="499"/>
        <v>161.25753673740678</v>
      </c>
      <c r="AR601" s="735">
        <f t="shared" si="500"/>
        <v>1.5645950265045951</v>
      </c>
      <c r="AS601" s="732" t="str">
        <f t="shared" si="501"/>
        <v>0.000024980169645234-0.706826281543543i</v>
      </c>
      <c r="AT601" s="337">
        <f t="shared" si="502"/>
        <v>0.706826281984959</v>
      </c>
      <c r="AU601" s="730">
        <f t="shared" si="503"/>
        <v>-1.57076098548079</v>
      </c>
      <c r="AV601" s="732" t="str">
        <f t="shared" si="504"/>
        <v>0.000501973199251624+0.00142234851305214i</v>
      </c>
      <c r="AW601" s="337">
        <f t="shared" si="505"/>
        <v>-56.430085988284624</v>
      </c>
      <c r="AX601" s="730">
        <f t="shared" si="506"/>
        <v>70.561117104780692</v>
      </c>
      <c r="AY601" s="360">
        <f t="shared" si="507"/>
        <v>-109.43888289521931</v>
      </c>
      <c r="BB601" s="337">
        <f t="shared" si="508"/>
        <v>-43.013746209088374</v>
      </c>
      <c r="BC601" s="730">
        <f t="shared" si="509"/>
        <v>-89.997975091859246</v>
      </c>
      <c r="BD601" s="351"/>
      <c r="BE601" s="337">
        <f t="shared" si="470"/>
        <v>12.670497168239672</v>
      </c>
      <c r="BF601" s="730">
        <f t="shared" si="471"/>
        <v>-89.958626490699459</v>
      </c>
      <c r="BI601" s="351"/>
      <c r="BJ601" s="351"/>
      <c r="BL601" s="405">
        <f t="shared" si="472"/>
        <v>0</v>
      </c>
      <c r="BM601" s="405">
        <f t="shared" si="460"/>
        <v>0</v>
      </c>
      <c r="BN601" s="405">
        <f t="shared" si="473"/>
        <v>0</v>
      </c>
      <c r="BO601" s="405">
        <f t="shared" si="474"/>
        <v>0</v>
      </c>
    </row>
    <row r="602" spans="4:67" ht="13.5" thickBot="1" x14ac:dyDescent="0.25">
      <c r="D602" s="345">
        <v>363080</v>
      </c>
      <c r="E602" s="340" t="str">
        <f t="shared" si="461"/>
        <v>6.02262915231322i</v>
      </c>
      <c r="F602" s="728" t="str">
        <f t="shared" si="475"/>
        <v>0.005-0.00718601252543787i</v>
      </c>
      <c r="G602" s="337" t="str">
        <f t="shared" si="476"/>
        <v>0.005-0.0112396606167105i</v>
      </c>
      <c r="H602" s="338" t="str">
        <f t="shared" si="477"/>
        <v>0.00508209064371432-0.0111469026818055i</v>
      </c>
      <c r="I602" s="338" t="str">
        <f t="shared" si="478"/>
        <v>0.0150820906437143-0.0111469026818055i</v>
      </c>
      <c r="J602" s="337" t="str">
        <f t="shared" si="479"/>
        <v>0.00394176639070184-0.00457375371452169i</v>
      </c>
      <c r="K602" s="338" t="str">
        <f t="shared" si="462"/>
        <v>-0.46474540444445-1.9010824344423i</v>
      </c>
      <c r="L602" s="732"/>
      <c r="M602" s="732" t="str">
        <f t="shared" si="463"/>
        <v>0.00256856367429816-3.92153084546501i</v>
      </c>
      <c r="N602" s="337">
        <f t="shared" si="464"/>
        <v>0</v>
      </c>
      <c r="O602" s="730" t="str">
        <f t="shared" si="465"/>
        <v>-0.278413340911895-1.23145744974041i</v>
      </c>
      <c r="P602" s="731" t="str">
        <f t="shared" si="466"/>
        <v>-0.0179259915930933-0.0154695064644009i</v>
      </c>
      <c r="Q602" s="729" t="str">
        <f t="shared" si="467"/>
        <v>-0.0151418581839744-0.00315493196699679i</v>
      </c>
      <c r="R602" s="730"/>
      <c r="S602" s="405" t="str">
        <f t="shared" si="480"/>
        <v>-4.84441226196808-19.8929180895137i</v>
      </c>
      <c r="T602" s="405" t="str">
        <f t="shared" si="481"/>
        <v>-2.93744941102499-5.90100883095367i</v>
      </c>
      <c r="U602" s="405" t="str">
        <f t="shared" si="482"/>
        <v>-0.0807063553312701+0.00275400094915738i</v>
      </c>
      <c r="V602" s="731" t="str">
        <f t="shared" si="468"/>
        <v>6000</v>
      </c>
      <c r="W602" s="733" t="str">
        <f>IMSUM(COMPLEX(1,0),IMDIV(COMPLEX(0,2*PI()*D602),COMPLEX(2*PI()*'Stability Calculations'!EA_Pole1,0)))</f>
        <v>1+2304111.91054407i</v>
      </c>
      <c r="X602" s="734">
        <f t="shared" si="483"/>
        <v>2304111.9105442869</v>
      </c>
      <c r="Y602" s="735">
        <f t="shared" si="484"/>
        <v>1.5707958927881995</v>
      </c>
      <c r="Z602" s="340" t="str">
        <f>IMSUM(COMPLEX(1,0),IMDIV(COMPLEX(0,2*PI()*D602),COMPLEX(2*PI()*'Stability Calculations'!EA_Zero1,0)))</f>
        <v>1+22812.9892133076i</v>
      </c>
      <c r="AA602" s="734">
        <f t="shared" si="485"/>
        <v>22812.989235224934</v>
      </c>
      <c r="AB602" s="735">
        <f t="shared" si="486"/>
        <v>1.5707524921185194</v>
      </c>
      <c r="AC602" s="733" t="str">
        <f>IMSUM(COMPLEX(1,0),IMDIV(COMPLEX(0,2*PI()*D602),COMPLEX(2*PI()*'Stability Calculations'!EA_Pole2,0)))</f>
        <v>1+229.80564597923i</v>
      </c>
      <c r="AD602" s="734">
        <f t="shared" si="487"/>
        <v>229.80782172052193</v>
      </c>
      <c r="AE602" s="735">
        <f t="shared" si="488"/>
        <v>1.5664448510774458</v>
      </c>
      <c r="AF602" s="732" t="str">
        <f t="shared" si="489"/>
        <v>0.00111364555415009-0.258500293569781i</v>
      </c>
      <c r="AG602" s="337">
        <f t="shared" si="490"/>
        <v>0.25850269240780305</v>
      </c>
      <c r="AH602" s="730">
        <f t="shared" si="491"/>
        <v>-1.5664882517471259</v>
      </c>
      <c r="AI602" s="731" t="str">
        <f t="shared" si="469"/>
        <v>10000</v>
      </c>
      <c r="AJ602" s="733" t="str">
        <f t="shared" si="492"/>
        <v>1+2148066.50172721i</v>
      </c>
      <c r="AK602" s="734">
        <f t="shared" si="493"/>
        <v>2148066.5017274427</v>
      </c>
      <c r="AL602" s="735">
        <f t="shared" si="494"/>
        <v>1.5707958612599613</v>
      </c>
      <c r="AM602" s="340" t="str">
        <f t="shared" si="495"/>
        <v>1+3645.51567628655i</v>
      </c>
      <c r="AN602" s="734">
        <f t="shared" si="496"/>
        <v>3645.515813441355</v>
      </c>
      <c r="AO602" s="735">
        <f t="shared" si="497"/>
        <v>1.5705220171872263</v>
      </c>
      <c r="AP602" s="733" t="str">
        <f t="shared" si="498"/>
        <v>1+176.81351931554i</v>
      </c>
      <c r="AQ602" s="734">
        <f t="shared" si="499"/>
        <v>176.81634713099021</v>
      </c>
      <c r="AR602" s="735">
        <f t="shared" si="500"/>
        <v>1.5651407109695259</v>
      </c>
      <c r="AS602" s="732" t="str">
        <f t="shared" si="501"/>
        <v>0.0000207772367382127-0.644627593524014i</v>
      </c>
      <c r="AT602" s="337">
        <f t="shared" si="502"/>
        <v>0.64462759385885349</v>
      </c>
      <c r="AU602" s="730">
        <f t="shared" si="503"/>
        <v>-1.570764095415198</v>
      </c>
      <c r="AV602" s="732" t="str">
        <f t="shared" si="504"/>
        <v>0.000485218042848412+0.000985447394777153i</v>
      </c>
      <c r="AW602" s="337">
        <f t="shared" si="505"/>
        <v>-59.184571535468692</v>
      </c>
      <c r="AX602" s="730">
        <f t="shared" si="506"/>
        <v>63.785125710106605</v>
      </c>
      <c r="AY602" s="360">
        <f t="shared" si="507"/>
        <v>-116.2148742898934</v>
      </c>
      <c r="BB602" s="337">
        <f t="shared" si="508"/>
        <v>-43.813822161266096</v>
      </c>
      <c r="BC602" s="730">
        <f t="shared" si="509"/>
        <v>-89.998153277975391</v>
      </c>
      <c r="BD602" s="351"/>
      <c r="BE602" s="337">
        <f t="shared" si="470"/>
        <v>11.86911457070174</v>
      </c>
      <c r="BF602" s="730">
        <f t="shared" si="471"/>
        <v>-89.962471840028371</v>
      </c>
      <c r="BI602" s="351"/>
      <c r="BJ602" s="351"/>
      <c r="BL602" s="405">
        <f t="shared" si="472"/>
        <v>0</v>
      </c>
      <c r="BM602" s="405">
        <f t="shared" ref="BM602:BM613" si="510">IF(BL602&gt;0,AY602,0)</f>
        <v>0</v>
      </c>
      <c r="BN602" s="405">
        <f t="shared" si="473"/>
        <v>0</v>
      </c>
      <c r="BO602" s="405">
        <f t="shared" si="474"/>
        <v>0</v>
      </c>
    </row>
    <row r="603" spans="4:67" ht="13.5" thickBot="1" x14ac:dyDescent="0.25">
      <c r="D603" s="345">
        <v>398110</v>
      </c>
      <c r="E603" s="340" t="str">
        <f t="shared" si="461"/>
        <v>6.60369310297294i</v>
      </c>
      <c r="F603" s="728" t="str">
        <f t="shared" si="475"/>
        <v>0.005-0.00655370984837354i</v>
      </c>
      <c r="G603" s="337" t="str">
        <f t="shared" si="476"/>
        <v>0.005-0.0102506743782253i</v>
      </c>
      <c r="H603" s="338" t="str">
        <f t="shared" si="477"/>
        <v>0.00506483817906411-0.0101662230449294i</v>
      </c>
      <c r="I603" s="338" t="str">
        <f t="shared" si="478"/>
        <v>0.0150648381790641-0.0101662230449294i</v>
      </c>
      <c r="J603" s="337" t="str">
        <f t="shared" si="479"/>
        <v>0.00392166602056647-0.00418601436600439i</v>
      </c>
      <c r="K603" s="338" t="str">
        <f t="shared" si="462"/>
        <v>-0.76101746777777-2.08449908553439i</v>
      </c>
      <c r="L603" s="732"/>
      <c r="M603" s="732" t="str">
        <f t="shared" si="463"/>
        <v>0.00212500254978969-3.57602338319957i</v>
      </c>
      <c r="N603" s="337">
        <f t="shared" si="464"/>
        <v>0</v>
      </c>
      <c r="O603" s="730" t="str">
        <f t="shared" si="465"/>
        <v>-0.250447240056088-1.10050748558875i</v>
      </c>
      <c r="P603" s="731" t="str">
        <f t="shared" si="466"/>
        <v>-0.0149609517049479-0.0140328646818461i</v>
      </c>
      <c r="Q603" s="729" t="str">
        <f t="shared" si="467"/>
        <v>-0.012456479304387-0.00302778982595858i</v>
      </c>
      <c r="R603" s="730"/>
      <c r="S603" s="405" t="str">
        <f t="shared" si="480"/>
        <v>-6.18018035889836-16.9618210381499i</v>
      </c>
      <c r="T603" s="405" t="str">
        <f t="shared" si="481"/>
        <v>-3.09269362472459-4.78526790577547i</v>
      </c>
      <c r="U603" s="405" t="str">
        <f t="shared" si="482"/>
        <v>-0.0643120936065091+0.00720440561235963i</v>
      </c>
      <c r="V603" s="731" t="str">
        <f t="shared" si="468"/>
        <v>6000</v>
      </c>
      <c r="W603" s="733" t="str">
        <f>IMSUM(COMPLEX(1,0),IMDIV(COMPLEX(0,2*PI()*D603),COMPLEX(2*PI()*'Stability Calculations'!EA_Pole1,0)))</f>
        <v>1+2526412.89166768i</v>
      </c>
      <c r="X603" s="734">
        <f t="shared" si="483"/>
        <v>2526412.8916678778</v>
      </c>
      <c r="Y603" s="735">
        <f t="shared" si="484"/>
        <v>1.5707959309767772</v>
      </c>
      <c r="Z603" s="340" t="str">
        <f>IMSUM(COMPLEX(1,0),IMDIV(COMPLEX(0,2*PI()*D603),COMPLEX(2*PI()*'Stability Calculations'!EA_Zero1,0)))</f>
        <v>1+25013.9890264127i</v>
      </c>
      <c r="AA603" s="734">
        <f t="shared" si="485"/>
        <v>25013.989046401515</v>
      </c>
      <c r="AB603" s="735">
        <f t="shared" si="486"/>
        <v>1.5707563491648429</v>
      </c>
      <c r="AC603" s="733" t="str">
        <f>IMSUM(COMPLEX(1,0),IMDIV(COMPLEX(0,2*PI()*D603),COMPLEX(2*PI()*'Stability Calculations'!EA_Pole2,0)))</f>
        <v>1+251.977321033358i</v>
      </c>
      <c r="AD603" s="734">
        <f t="shared" si="487"/>
        <v>251.97930533110843</v>
      </c>
      <c r="AE603" s="735">
        <f t="shared" si="488"/>
        <v>1.5668277365027603</v>
      </c>
      <c r="AF603" s="732" t="str">
        <f t="shared" si="489"/>
        <v>0.00092628973529646-0.235755400770336i</v>
      </c>
      <c r="AG603" s="337">
        <f t="shared" si="490"/>
        <v>0.23575722047278944</v>
      </c>
      <c r="AH603" s="730">
        <f t="shared" si="491"/>
        <v>-1.5668673183146944</v>
      </c>
      <c r="AI603" s="731" t="str">
        <f t="shared" si="469"/>
        <v>10000</v>
      </c>
      <c r="AJ603" s="733" t="str">
        <f t="shared" si="492"/>
        <v>1+2355312.20392922i</v>
      </c>
      <c r="AK603" s="734">
        <f t="shared" si="493"/>
        <v>2355312.2039294322</v>
      </c>
      <c r="AL603" s="735">
        <f t="shared" si="494"/>
        <v>1.5707959022227322</v>
      </c>
      <c r="AM603" s="340" t="str">
        <f t="shared" si="495"/>
        <v>1+3997.23544642075i</v>
      </c>
      <c r="AN603" s="734">
        <f t="shared" si="496"/>
        <v>3997.2355715071999</v>
      </c>
      <c r="AO603" s="735">
        <f t="shared" si="497"/>
        <v>1.5705461538960164</v>
      </c>
      <c r="AP603" s="733" t="str">
        <f t="shared" si="498"/>
        <v>1+193.872507917567i</v>
      </c>
      <c r="AQ603" s="734">
        <f t="shared" si="499"/>
        <v>193.87508691486661</v>
      </c>
      <c r="AR603" s="735">
        <f t="shared" si="500"/>
        <v>1.5656383436313115</v>
      </c>
      <c r="AS603" s="732" t="str">
        <f t="shared" si="501"/>
        <v>0.0000172816923122712-0.587906324125508i</v>
      </c>
      <c r="AT603" s="337">
        <f t="shared" si="502"/>
        <v>0.5879063243795084</v>
      </c>
      <c r="AU603" s="730">
        <f t="shared" si="503"/>
        <v>-1.5707669314786734</v>
      </c>
      <c r="AV603" s="732" t="str">
        <f t="shared" si="504"/>
        <v>0.00042602833652938+0.000664944854928193i</v>
      </c>
      <c r="AW603" s="337">
        <f t="shared" si="505"/>
        <v>-62.050578173245668</v>
      </c>
      <c r="AX603" s="730">
        <f t="shared" si="506"/>
        <v>57.352425103317508</v>
      </c>
      <c r="AY603" s="360">
        <f t="shared" si="507"/>
        <v>-122.6475748966825</v>
      </c>
      <c r="BB603" s="337">
        <f t="shared" si="508"/>
        <v>-44.613837357594512</v>
      </c>
      <c r="BC603" s="730">
        <f t="shared" si="509"/>
        <v>-89.998315772442965</v>
      </c>
      <c r="BD603" s="351"/>
      <c r="BE603" s="337">
        <f t="shared" si="470"/>
        <v>11.068008532247877</v>
      </c>
      <c r="BF603" s="730">
        <f t="shared" si="471"/>
        <v>-89.965952777658444</v>
      </c>
      <c r="BI603" s="351"/>
      <c r="BJ603" s="351"/>
      <c r="BL603" s="405">
        <f t="shared" si="472"/>
        <v>0</v>
      </c>
      <c r="BM603" s="405">
        <f t="shared" si="510"/>
        <v>0</v>
      </c>
      <c r="BN603" s="405">
        <f t="shared" si="473"/>
        <v>0</v>
      </c>
      <c r="BO603" s="405">
        <f t="shared" si="474"/>
        <v>0</v>
      </c>
    </row>
    <row r="604" spans="4:67" ht="13.5" thickBot="1" x14ac:dyDescent="0.25">
      <c r="D604" s="345">
        <v>436520</v>
      </c>
      <c r="E604" s="340" t="str">
        <f t="shared" si="461"/>
        <v>7.24082317276569i</v>
      </c>
      <c r="F604" s="728" t="str">
        <f t="shared" si="475"/>
        <v>0.005-0.00597703983262162i</v>
      </c>
      <c r="G604" s="337" t="str">
        <f t="shared" si="476"/>
        <v>0.005-0.00934870332794666i</v>
      </c>
      <c r="H604" s="338" t="str">
        <f t="shared" si="477"/>
        <v>0.00505048778188542-0.0092717927997824i</v>
      </c>
      <c r="I604" s="338" t="str">
        <f t="shared" si="478"/>
        <v>0.0150504877818854-0.0092717927997824i</v>
      </c>
      <c r="J604" s="337" t="str">
        <f t="shared" si="479"/>
        <v>0.00390254769487331-0.00383068148605943i</v>
      </c>
      <c r="K604" s="338" t="str">
        <f t="shared" si="462"/>
        <v>-1.11721900444445-2.28561337524169i</v>
      </c>
      <c r="L604" s="732"/>
      <c r="M604" s="732" t="str">
        <f t="shared" si="463"/>
        <v>0.00175850599049414-3.26102219475615i</v>
      </c>
      <c r="N604" s="337">
        <f t="shared" si="464"/>
        <v>0</v>
      </c>
      <c r="O604" s="730" t="str">
        <f t="shared" si="465"/>
        <v>-0.223526934942771-0.983724020506285i</v>
      </c>
      <c r="P604" s="731" t="str">
        <f t="shared" si="466"/>
        <v>-0.0124850746935817-0.0127330309254172i</v>
      </c>
      <c r="Q604" s="729" t="str">
        <f t="shared" si="467"/>
        <v>-0.010249805344154-0.00289579072035435i</v>
      </c>
      <c r="R604" s="730"/>
      <c r="S604" s="405" t="str">
        <f t="shared" si="480"/>
        <v>-6.9071511300668-14.1469373493241i</v>
      </c>
      <c r="T604" s="405" t="str">
        <f t="shared" si="481"/>
        <v>-3.05536746928582-3.7924841185462i</v>
      </c>
      <c r="U604" s="405" t="str">
        <f t="shared" si="482"/>
        <v>-0.0505942230164243+0.00917483939870178i</v>
      </c>
      <c r="V604" s="731" t="str">
        <f t="shared" si="468"/>
        <v>6000</v>
      </c>
      <c r="W604" s="733" t="str">
        <f>IMSUM(COMPLEX(1,0),IMDIV(COMPLEX(0,2*PI()*D604),COMPLEX(2*PI()*'Stability Calculations'!EA_Pole1,0)))</f>
        <v>1+2770163.41079293i</v>
      </c>
      <c r="X604" s="734">
        <f t="shared" si="483"/>
        <v>2770163.4107931107</v>
      </c>
      <c r="Y604" s="735">
        <f t="shared" si="484"/>
        <v>1.5707959658053621</v>
      </c>
      <c r="Z604" s="340" t="str">
        <f>IMSUM(COMPLEX(1,0),IMDIV(COMPLEX(0,2*PI()*D604),COMPLEX(2*PI()*'Stability Calculations'!EA_Zero1,0)))</f>
        <v>1+27427.3605029003i</v>
      </c>
      <c r="AA604" s="734">
        <f t="shared" si="485"/>
        <v>27427.360521130271</v>
      </c>
      <c r="AB604" s="735">
        <f t="shared" si="486"/>
        <v>1.5707598668519338</v>
      </c>
      <c r="AC604" s="733" t="str">
        <f>IMSUM(COMPLEX(1,0),IMDIV(COMPLEX(0,2*PI()*D604),COMPLEX(2*PI()*'Stability Calculations'!EA_Pole2,0)))</f>
        <v>1+276.288312721311i</v>
      </c>
      <c r="AD604" s="734">
        <f t="shared" si="487"/>
        <v>276.29012241915007</v>
      </c>
      <c r="AE604" s="735">
        <f t="shared" si="488"/>
        <v>1.5671769350678952</v>
      </c>
      <c r="AF604" s="732" t="str">
        <f t="shared" si="489"/>
        <v>0.000770452524241494-0.215011520238392i</v>
      </c>
      <c r="AG604" s="337">
        <f t="shared" si="490"/>
        <v>0.21501290061835027</v>
      </c>
      <c r="AH604" s="730">
        <f t="shared" si="491"/>
        <v>-1.5672130340213235</v>
      </c>
      <c r="AI604" s="731" t="str">
        <f t="shared" si="469"/>
        <v>10000</v>
      </c>
      <c r="AJ604" s="733" t="str">
        <f t="shared" si="492"/>
        <v>1+2582554.779481i</v>
      </c>
      <c r="AK604" s="734">
        <f t="shared" si="493"/>
        <v>2582554.7794811935</v>
      </c>
      <c r="AL604" s="735">
        <f t="shared" si="494"/>
        <v>1.5707959395814257</v>
      </c>
      <c r="AM604" s="340" t="str">
        <f t="shared" si="495"/>
        <v>1+4382.89220836347i</v>
      </c>
      <c r="AN604" s="734">
        <f t="shared" si="496"/>
        <v>4382.8923224433902</v>
      </c>
      <c r="AO604" s="735">
        <f t="shared" si="497"/>
        <v>1.5705681669554328</v>
      </c>
      <c r="AP604" s="733" t="str">
        <f t="shared" si="498"/>
        <v>1+212.577496561694i</v>
      </c>
      <c r="AQ604" s="734">
        <f t="shared" si="499"/>
        <v>212.57984863207761</v>
      </c>
      <c r="AR604" s="735">
        <f t="shared" si="500"/>
        <v>1.5660921947024733</v>
      </c>
      <c r="AS604" s="732" t="str">
        <f t="shared" si="501"/>
        <v>0.0000143742154095582-0.536175631658644i</v>
      </c>
      <c r="AT604" s="337">
        <f t="shared" si="502"/>
        <v>0.53617563185132167</v>
      </c>
      <c r="AU604" s="730">
        <f t="shared" si="503"/>
        <v>-1.5707695180133008</v>
      </c>
      <c r="AV604" s="732" t="str">
        <f t="shared" si="504"/>
        <v>0.000350656370832995+0.000438484069541476i</v>
      </c>
      <c r="AW604" s="337">
        <f t="shared" si="505"/>
        <v>-65.013749797110748</v>
      </c>
      <c r="AX604" s="730">
        <f t="shared" si="506"/>
        <v>51.350621580358023</v>
      </c>
      <c r="AY604" s="360">
        <f t="shared" si="507"/>
        <v>-128.64937841964198</v>
      </c>
      <c r="BB604" s="337">
        <f t="shared" si="508"/>
        <v>-45.413858555029549</v>
      </c>
      <c r="BC604" s="730">
        <f t="shared" si="509"/>
        <v>-89.998463969960667</v>
      </c>
      <c r="BD604" s="351"/>
      <c r="BE604" s="337">
        <f t="shared" si="470"/>
        <v>10.267076356008884</v>
      </c>
      <c r="BF604" s="730">
        <f t="shared" si="471"/>
        <v>-89.969103257898837</v>
      </c>
      <c r="BI604" s="351"/>
      <c r="BJ604" s="351"/>
      <c r="BL604" s="405">
        <f t="shared" si="472"/>
        <v>0</v>
      </c>
      <c r="BM604" s="405">
        <f t="shared" si="510"/>
        <v>0</v>
      </c>
      <c r="BN604" s="405">
        <f t="shared" si="473"/>
        <v>0</v>
      </c>
      <c r="BO604" s="405">
        <f t="shared" si="474"/>
        <v>0</v>
      </c>
    </row>
    <row r="605" spans="4:67" ht="13.5" thickBot="1" x14ac:dyDescent="0.25">
      <c r="D605" s="345">
        <v>478630</v>
      </c>
      <c r="E605" s="340" t="str">
        <f t="shared" si="461"/>
        <v>7.93932739663897i</v>
      </c>
      <c r="F605" s="728" t="str">
        <f t="shared" si="475"/>
        <v>0.005-0.00545117821226416i</v>
      </c>
      <c r="G605" s="337" t="str">
        <f t="shared" si="476"/>
        <v>0.005-0.0085262018191824i</v>
      </c>
      <c r="H605" s="338" t="str">
        <f t="shared" si="477"/>
        <v>0.00503855287840367-0.00845614119614246i</v>
      </c>
      <c r="I605" s="338" t="str">
        <f t="shared" si="478"/>
        <v>0.0150385528784037-0.00845614119614246i</v>
      </c>
      <c r="J605" s="337" t="str">
        <f t="shared" si="479"/>
        <v>0.00388458502503174-0.00350496233382769i</v>
      </c>
      <c r="K605" s="338" t="str">
        <f t="shared" si="462"/>
        <v>-1.5454075211111-2.50610081964614i</v>
      </c>
      <c r="L605" s="732"/>
      <c r="M605" s="732" t="str">
        <f t="shared" si="463"/>
        <v>0.00145570256383686-2.97385614919773i</v>
      </c>
      <c r="N605" s="337">
        <f t="shared" si="464"/>
        <v>0</v>
      </c>
      <c r="O605" s="730" t="str">
        <f t="shared" si="465"/>
        <v>-0.197992973486122-0.879842355381922i</v>
      </c>
      <c r="P605" s="731" t="str">
        <f t="shared" si="466"/>
        <v>-0.0104175989887795-0.0115572992464276i</v>
      </c>
      <c r="Q605" s="729" t="str">
        <f t="shared" si="467"/>
        <v>-0.0084376692539183-0.00275887569260834i</v>
      </c>
      <c r="R605" s="730"/>
      <c r="S605" s="405" t="str">
        <f t="shared" si="480"/>
        <v>-7.13491561659679-11.5784509065641i</v>
      </c>
      <c r="T605" s="405" t="str">
        <f t="shared" si="481"/>
        <v>-2.88324167061094-2.94915112786364i</v>
      </c>
      <c r="U605" s="405" t="str">
        <f t="shared" si="482"/>
        <v>-0.039465803964568+0.00952164476514291i</v>
      </c>
      <c r="V605" s="731" t="str">
        <f t="shared" si="468"/>
        <v>6000</v>
      </c>
      <c r="W605" s="733" t="str">
        <f>IMSUM(COMPLEX(1,0),IMDIV(COMPLEX(0,2*PI()*D605),COMPLEX(2*PI()*'Stability Calculations'!EA_Pole1,0)))</f>
        <v>1+3037394.19341112i</v>
      </c>
      <c r="X605" s="734">
        <f t="shared" si="483"/>
        <v>3037394.1934112846</v>
      </c>
      <c r="Y605" s="735">
        <f t="shared" si="484"/>
        <v>1.5707959975653214</v>
      </c>
      <c r="Z605" s="340" t="str">
        <f>IMSUM(COMPLEX(1,0),IMDIV(COMPLEX(0,2*PI()*D605),COMPLEX(2*PI()*'Stability Calculations'!EA_Zero1,0)))</f>
        <v>1+30073.2098357537i</v>
      </c>
      <c r="AA605" s="734">
        <f t="shared" si="485"/>
        <v>30073.209852379794</v>
      </c>
      <c r="AB605" s="735">
        <f t="shared" si="486"/>
        <v>1.5707630746078141</v>
      </c>
      <c r="AC605" s="733" t="str">
        <f>IMSUM(COMPLEX(1,0),IMDIV(COMPLEX(0,2*PI()*D605),COMPLEX(2*PI()*'Stability Calculations'!EA_Pole2,0)))</f>
        <v>1+302.941159895999i</v>
      </c>
      <c r="AD605" s="734">
        <f t="shared" si="487"/>
        <v>302.94281037703013</v>
      </c>
      <c r="AE605" s="735">
        <f t="shared" si="488"/>
        <v>1.5674953677300063</v>
      </c>
      <c r="AF605" s="732" t="str">
        <f t="shared" si="489"/>
        <v>0.000640848393621996-0.196095174939925i</v>
      </c>
      <c r="AG605" s="337">
        <f t="shared" si="490"/>
        <v>0.19609622209870184</v>
      </c>
      <c r="AH605" s="730">
        <f t="shared" si="491"/>
        <v>-1.5675282906875136</v>
      </c>
      <c r="AI605" s="731" t="str">
        <f t="shared" si="469"/>
        <v>10000</v>
      </c>
      <c r="AJ605" s="733" t="str">
        <f t="shared" si="492"/>
        <v>1+2831687.42349261i</v>
      </c>
      <c r="AK605" s="734">
        <f t="shared" si="493"/>
        <v>2831687.4234927865</v>
      </c>
      <c r="AL605" s="735">
        <f t="shared" si="494"/>
        <v>1.5707959736485742</v>
      </c>
      <c r="AM605" s="340" t="str">
        <f t="shared" si="495"/>
        <v>1+4805.69893175344i</v>
      </c>
      <c r="AN605" s="734">
        <f t="shared" si="496"/>
        <v>4805.6990357965778</v>
      </c>
      <c r="AO605" s="735">
        <f t="shared" si="497"/>
        <v>1.570588240520711</v>
      </c>
      <c r="AP605" s="733" t="str">
        <f t="shared" si="498"/>
        <v>1+233.084319571437i</v>
      </c>
      <c r="AQ605" s="734">
        <f t="shared" si="499"/>
        <v>233.08646470801293</v>
      </c>
      <c r="AR605" s="735">
        <f t="shared" si="500"/>
        <v>1.5665060602236889</v>
      </c>
      <c r="AS605" s="732" t="str">
        <f t="shared" si="501"/>
        <v>0.0000119561845364115-0.489002751101953i</v>
      </c>
      <c r="AT605" s="337">
        <f t="shared" si="502"/>
        <v>0.48900275124811809</v>
      </c>
      <c r="AU605" s="730">
        <f t="shared" si="503"/>
        <v>-1.5707718766573318</v>
      </c>
      <c r="AV605" s="732" t="str">
        <f t="shared" si="504"/>
        <v>0.000275546026204721+0.000283707564662106i</v>
      </c>
      <c r="AW605" s="337">
        <f t="shared" si="505"/>
        <v>-68.057199494886746</v>
      </c>
      <c r="AX605" s="730">
        <f t="shared" si="506"/>
        <v>45.836093898613505</v>
      </c>
      <c r="AY605" s="360">
        <f t="shared" si="507"/>
        <v>-134.16390610138649</v>
      </c>
      <c r="BB605" s="337">
        <f t="shared" si="508"/>
        <v>-46.213773948467683</v>
      </c>
      <c r="BC605" s="730">
        <f t="shared" si="509"/>
        <v>-89.998599110309016</v>
      </c>
      <c r="BD605" s="351"/>
      <c r="BE605" s="337">
        <f t="shared" si="470"/>
        <v>9.4664001822976793</v>
      </c>
      <c r="BF605" s="730">
        <f t="shared" si="471"/>
        <v>-89.971953718576771</v>
      </c>
      <c r="BI605" s="351"/>
      <c r="BJ605" s="351"/>
      <c r="BL605" s="405">
        <f t="shared" si="472"/>
        <v>0</v>
      </c>
      <c r="BM605" s="405">
        <f t="shared" si="510"/>
        <v>0</v>
      </c>
      <c r="BN605" s="405">
        <f t="shared" si="473"/>
        <v>0</v>
      </c>
      <c r="BO605" s="405">
        <f t="shared" si="474"/>
        <v>0</v>
      </c>
    </row>
    <row r="606" spans="4:67" ht="13.5" thickBot="1" x14ac:dyDescent="0.25">
      <c r="D606" s="345">
        <v>524810</v>
      </c>
      <c r="E606" s="340" t="str">
        <f t="shared" si="461"/>
        <v>8.70534319000082i</v>
      </c>
      <c r="F606" s="728" t="str">
        <f t="shared" si="475"/>
        <v>0.005-0.00497150859879955i</v>
      </c>
      <c r="G606" s="337" t="str">
        <f t="shared" si="476"/>
        <v>0.005-0.0077759493468403i</v>
      </c>
      <c r="H606" s="338" t="str">
        <f t="shared" si="477"/>
        <v>0.0050286240352538-0.0077121168181773i</v>
      </c>
      <c r="I606" s="338" t="str">
        <f t="shared" si="478"/>
        <v>0.0150286240352538-0.0077121168181773i</v>
      </c>
      <c r="J606" s="337" t="str">
        <f t="shared" si="479"/>
        <v>0.0038679094103172-0.00320623141609635i</v>
      </c>
      <c r="K606" s="338" t="str">
        <f t="shared" si="462"/>
        <v>-2.06028373444446-2.74789873421743i</v>
      </c>
      <c r="L606" s="732"/>
      <c r="M606" s="732" t="str">
        <f t="shared" si="463"/>
        <v>0.00120541442099199-2.71197700632425i</v>
      </c>
      <c r="N606" s="337">
        <f t="shared" si="464"/>
        <v>0</v>
      </c>
      <c r="O606" s="730" t="str">
        <f t="shared" si="465"/>
        <v>-0.174109493804633-0.787583676890257i</v>
      </c>
      <c r="P606" s="731" t="str">
        <f t="shared" si="466"/>
        <v>-0.00869056344362546-0.0104935462209114i</v>
      </c>
      <c r="Q606" s="729" t="str">
        <f t="shared" si="467"/>
        <v>-0.00694946850557913-0.00261770945200885i</v>
      </c>
      <c r="R606" s="730"/>
      <c r="S606" s="405" t="str">
        <f t="shared" si="480"/>
        <v>-6.99081845525492-9.32817583028395i</v>
      </c>
      <c r="T606" s="405" t="str">
        <f t="shared" si="481"/>
        <v>-2.63007448106919-2.25900913340158i</v>
      </c>
      <c r="U606" s="405" t="str">
        <f t="shared" si="482"/>
        <v>-0.0306473980801348+0.0089237340144317i</v>
      </c>
      <c r="V606" s="731" t="str">
        <f t="shared" si="468"/>
        <v>6000</v>
      </c>
      <c r="W606" s="733" t="str">
        <f>IMSUM(COMPLEX(1,0),IMDIV(COMPLEX(0,2*PI()*D606),COMPLEX(2*PI()*'Stability Calculations'!EA_Pole1,0)))</f>
        <v>1+3330453.26587153i</v>
      </c>
      <c r="X606" s="734">
        <f t="shared" si="483"/>
        <v>3330453.2658716799</v>
      </c>
      <c r="Y606" s="735">
        <f t="shared" si="484"/>
        <v>1.5707960265354663</v>
      </c>
      <c r="Z606" s="340" t="str">
        <f>IMSUM(COMPLEX(1,0),IMDIV(COMPLEX(0,2*PI()*D606),COMPLEX(2*PI()*'Stability Calculations'!EA_Zero1,0)))</f>
        <v>1+32974.7848106092i</v>
      </c>
      <c r="AA606" s="734">
        <f t="shared" si="485"/>
        <v>32974.784825772302</v>
      </c>
      <c r="AB606" s="735">
        <f t="shared" si="486"/>
        <v>1.5707660005924533</v>
      </c>
      <c r="AC606" s="733" t="str">
        <f>IMSUM(COMPLEX(1,0),IMDIV(COMPLEX(0,2*PI()*D606),COMPLEX(2*PI()*'Stability Calculations'!EA_Pole2,0)))</f>
        <v>1+332.170048106092i</v>
      </c>
      <c r="AD606" s="734">
        <f t="shared" si="487"/>
        <v>332.17155335579753</v>
      </c>
      <c r="AE606" s="735">
        <f t="shared" si="488"/>
        <v>1.5677858296574552</v>
      </c>
      <c r="AF606" s="732" t="str">
        <f t="shared" si="489"/>
        <v>0.00053303008903449-0.178840349704054i</v>
      </c>
      <c r="AG606" s="337">
        <f t="shared" si="490"/>
        <v>0.17884114404505508</v>
      </c>
      <c r="AH606" s="730">
        <f t="shared" si="491"/>
        <v>-1.5678158556004684</v>
      </c>
      <c r="AI606" s="731" t="str">
        <f t="shared" si="469"/>
        <v>10000</v>
      </c>
      <c r="AJ606" s="733" t="str">
        <f t="shared" si="492"/>
        <v>1+3104899.14281001i</v>
      </c>
      <c r="AK606" s="734">
        <f t="shared" si="493"/>
        <v>3104899.142810171</v>
      </c>
      <c r="AL606" s="735">
        <f t="shared" si="494"/>
        <v>1.5707960047232434</v>
      </c>
      <c r="AM606" s="340" t="str">
        <f t="shared" si="495"/>
        <v>1+5269.37061273535i</v>
      </c>
      <c r="AN606" s="734">
        <f t="shared" si="496"/>
        <v>5269.3707076233422</v>
      </c>
      <c r="AO606" s="735">
        <f t="shared" si="497"/>
        <v>1.5706065508118641</v>
      </c>
      <c r="AP606" s="733" t="str">
        <f t="shared" si="498"/>
        <v>1+255.573160383356i</v>
      </c>
      <c r="AQ606" s="734">
        <f t="shared" si="499"/>
        <v>255.57511676283474</v>
      </c>
      <c r="AR606" s="735">
        <f t="shared" si="500"/>
        <v>1.5668835728293382</v>
      </c>
      <c r="AS606" s="732" t="str">
        <f t="shared" si="501"/>
        <v>9.94462105042687E-06-0.445973565258796i</v>
      </c>
      <c r="AT606" s="337">
        <f t="shared" si="502"/>
        <v>0.44597356536967198</v>
      </c>
      <c r="AU606" s="730">
        <f t="shared" si="503"/>
        <v>-1.5707740281166263</v>
      </c>
      <c r="AV606" s="732" t="str">
        <f t="shared" si="504"/>
        <v>0.000209228623072475+0.000180804084802379i</v>
      </c>
      <c r="AW606" s="337">
        <f t="shared" si="505"/>
        <v>-71.165274599029246</v>
      </c>
      <c r="AX606" s="730">
        <f t="shared" si="506"/>
        <v>40.831805984692735</v>
      </c>
      <c r="AY606" s="360">
        <f t="shared" si="507"/>
        <v>-139.16819401530728</v>
      </c>
      <c r="BB606" s="337">
        <f t="shared" si="508"/>
        <v>-47.013817657789481</v>
      </c>
      <c r="BC606" s="730">
        <f t="shared" si="509"/>
        <v>-89.998722379846384</v>
      </c>
      <c r="BD606" s="351"/>
      <c r="BE606" s="337">
        <f t="shared" si="470"/>
        <v>8.6657209183206056</v>
      </c>
      <c r="BF606" s="730">
        <f t="shared" si="471"/>
        <v>-89.974533281743248</v>
      </c>
      <c r="BI606" s="351"/>
      <c r="BJ606" s="351"/>
      <c r="BL606" s="405">
        <f t="shared" si="472"/>
        <v>0</v>
      </c>
      <c r="BM606" s="405">
        <f t="shared" si="510"/>
        <v>0</v>
      </c>
      <c r="BN606" s="405">
        <f t="shared" si="473"/>
        <v>0</v>
      </c>
      <c r="BO606" s="405">
        <f t="shared" si="474"/>
        <v>0</v>
      </c>
    </row>
    <row r="607" spans="4:67" ht="13.5" thickBot="1" x14ac:dyDescent="0.25">
      <c r="D607" s="345">
        <v>575440</v>
      </c>
      <c r="E607" s="340" t="str">
        <f t="shared" si="461"/>
        <v>9.54517384435143i</v>
      </c>
      <c r="F607" s="728" t="str">
        <f t="shared" si="475"/>
        <v>0.005-0.00453409117846515i</v>
      </c>
      <c r="G607" s="337" t="str">
        <f t="shared" si="476"/>
        <v>0.005-0.00709178363811219i</v>
      </c>
      <c r="H607" s="338" t="str">
        <f t="shared" si="477"/>
        <v>0.00502036633958227-0.00703361534065931i</v>
      </c>
      <c r="I607" s="338" t="str">
        <f t="shared" si="478"/>
        <v>0.0150203663395823-0.00703361534065931i</v>
      </c>
      <c r="J607" s="337" t="str">
        <f t="shared" si="479"/>
        <v>0.00385261821034005-0.00293230550518929i</v>
      </c>
      <c r="K607" s="338" t="str">
        <f t="shared" si="462"/>
        <v>-2.67923548444443-3.01299679430285i</v>
      </c>
      <c r="L607" s="732"/>
      <c r="M607" s="732" t="str">
        <f t="shared" si="463"/>
        <v>0.00099854374218955-2.47321303458073i</v>
      </c>
      <c r="N607" s="337">
        <f t="shared" si="464"/>
        <v>0</v>
      </c>
      <c r="O607" s="730" t="str">
        <f t="shared" si="465"/>
        <v>-0.152077102292555-0.705770099767834i</v>
      </c>
      <c r="P607" s="731" t="str">
        <f t="shared" si="466"/>
        <v>-0.007248369189002-0.00953127361038849i</v>
      </c>
      <c r="Q607" s="729" t="str">
        <f t="shared" si="467"/>
        <v>-0.00572759816607647-0.00247357261271014i</v>
      </c>
      <c r="R607" s="730"/>
      <c r="S607" s="405" t="str">
        <f t="shared" si="480"/>
        <v>-6.59624979249491-7.42014501410798i</v>
      </c>
      <c r="T607" s="405" t="str">
        <f t="shared" si="481"/>
        <v>-2.33929643864045-1.7109088394222i</v>
      </c>
      <c r="U607" s="405" t="str">
        <f t="shared" si="482"/>
        <v>-0.0237779997582849+0.0078643221696422i</v>
      </c>
      <c r="V607" s="731" t="str">
        <f t="shared" si="468"/>
        <v>6000</v>
      </c>
      <c r="W607" s="733" t="str">
        <f>IMSUM(COMPLEX(1,0),IMDIV(COMPLEX(0,2*PI()*D607),COMPLEX(2*PI()*'Stability Calculations'!EA_Pole1,0)))</f>
        <v>1+3651752.11469505i</v>
      </c>
      <c r="X607" s="734">
        <f t="shared" si="483"/>
        <v>3651752.1146951867</v>
      </c>
      <c r="Y607" s="735">
        <f t="shared" si="484"/>
        <v>1.5707960529537461</v>
      </c>
      <c r="Z607" s="340" t="str">
        <f>IMSUM(COMPLEX(1,0),IMDIV(COMPLEX(0,2*PI()*D607),COMPLEX(2*PI()*'Stability Calculations'!EA_Zero1,0)))</f>
        <v>1+36155.9615316342i</v>
      </c>
      <c r="AA607" s="734">
        <f t="shared" si="485"/>
        <v>36155.961545463178</v>
      </c>
      <c r="AB607" s="735">
        <f t="shared" si="486"/>
        <v>1.570768668838715</v>
      </c>
      <c r="AC607" s="733" t="str">
        <f>IMSUM(COMPLEX(1,0),IMDIV(COMPLEX(0,2*PI()*D607),COMPLEX(2*PI()*'Stability Calculations'!EA_Pole2,0)))</f>
        <v>1+364.215492239419i</v>
      </c>
      <c r="AD607" s="734">
        <f t="shared" si="487"/>
        <v>364.21686505048376</v>
      </c>
      <c r="AE607" s="735">
        <f t="shared" si="488"/>
        <v>1.56805070639023</v>
      </c>
      <c r="AF607" s="732" t="str">
        <f t="shared" si="489"/>
        <v>0.000443359987532267-0.163105355209511i</v>
      </c>
      <c r="AG607" s="337">
        <f t="shared" si="490"/>
        <v>0.16310595778848574</v>
      </c>
      <c r="AH607" s="730">
        <f t="shared" si="491"/>
        <v>-1.5680780905052611</v>
      </c>
      <c r="AI607" s="731" t="str">
        <f t="shared" si="469"/>
        <v>10000</v>
      </c>
      <c r="AJ607" s="733" t="str">
        <f t="shared" si="492"/>
        <v>1+3404438.10662638i</v>
      </c>
      <c r="AK607" s="734">
        <f t="shared" si="493"/>
        <v>3404438.1066265265</v>
      </c>
      <c r="AL607" s="735">
        <f t="shared" si="494"/>
        <v>1.5707960330606683</v>
      </c>
      <c r="AM607" s="340" t="str">
        <f t="shared" si="495"/>
        <v>1+5777.72265275514i</v>
      </c>
      <c r="AN607" s="734">
        <f t="shared" si="496"/>
        <v>5777.7227392944269</v>
      </c>
      <c r="AO607" s="735">
        <f t="shared" si="497"/>
        <v>1.570623248222228</v>
      </c>
      <c r="AP607" s="733" t="str">
        <f t="shared" si="498"/>
        <v>1+280.229072256623i</v>
      </c>
      <c r="AQ607" s="734">
        <f t="shared" si="499"/>
        <v>280.23085650550269</v>
      </c>
      <c r="AR607" s="735">
        <f t="shared" si="500"/>
        <v>1.5672278328223503</v>
      </c>
      <c r="AS607" s="732" t="str">
        <f t="shared" si="501"/>
        <v>0.0000082716537653137-0.406734649664685i</v>
      </c>
      <c r="AT607" s="337">
        <f t="shared" si="502"/>
        <v>0.40673464974879425</v>
      </c>
      <c r="AU607" s="730">
        <f t="shared" si="503"/>
        <v>-1.5707759900624079</v>
      </c>
      <c r="AV607" s="732" t="str">
        <f t="shared" si="504"/>
        <v>0.000154879483349422+0.000113927712924048i</v>
      </c>
      <c r="AW607" s="337">
        <f t="shared" si="505"/>
        <v>-74.321836997462626</v>
      </c>
      <c r="AX607" s="730">
        <f t="shared" si="506"/>
        <v>36.337807318884614</v>
      </c>
      <c r="AY607" s="360">
        <f t="shared" si="507"/>
        <v>-143.66219268111539</v>
      </c>
      <c r="BB607" s="337">
        <f t="shared" si="508"/>
        <v>-47.813776568937804</v>
      </c>
      <c r="BC607" s="730">
        <f t="shared" si="509"/>
        <v>-89.998834791059309</v>
      </c>
      <c r="BD607" s="351"/>
      <c r="BE607" s="337">
        <f t="shared" si="470"/>
        <v>7.8652312418611796</v>
      </c>
      <c r="BF607" s="730">
        <f t="shared" si="471"/>
        <v>-89.976867201418571</v>
      </c>
      <c r="BI607" s="351"/>
      <c r="BJ607" s="351"/>
      <c r="BL607" s="405">
        <f t="shared" si="472"/>
        <v>0</v>
      </c>
      <c r="BM607" s="405">
        <f t="shared" si="510"/>
        <v>0</v>
      </c>
      <c r="BN607" s="405">
        <f t="shared" si="473"/>
        <v>0</v>
      </c>
      <c r="BO607" s="405">
        <f t="shared" si="474"/>
        <v>0</v>
      </c>
    </row>
    <row r="608" spans="4:67" ht="13.5" thickBot="1" x14ac:dyDescent="0.25">
      <c r="D608" s="345">
        <v>630960</v>
      </c>
      <c r="E608" s="340" t="str">
        <f t="shared" si="461"/>
        <v>10.4661179077436i</v>
      </c>
      <c r="F608" s="728" t="str">
        <f t="shared" si="475"/>
        <v>0.005-0.00413512334812982i</v>
      </c>
      <c r="G608" s="337" t="str">
        <f t="shared" si="476"/>
        <v>0.005-0.00646775703169024i</v>
      </c>
      <c r="H608" s="338" t="str">
        <f t="shared" si="477"/>
        <v>0.00501349713699987-0.00641474349838631i</v>
      </c>
      <c r="I608" s="338" t="str">
        <f t="shared" si="478"/>
        <v>0.0150134971369999-0.00641474349838631i</v>
      </c>
      <c r="J608" s="337" t="str">
        <f t="shared" si="479"/>
        <v>0.00383875425226352-0.00268109233758761i</v>
      </c>
      <c r="K608" s="338" t="str">
        <f t="shared" si="462"/>
        <v>-3.42345024-3.30369883451503i</v>
      </c>
      <c r="L608" s="732"/>
      <c r="M608" s="732" t="str">
        <f t="shared" si="463"/>
        <v>0.000827472449212094-2.25547277055172i</v>
      </c>
      <c r="N608" s="337">
        <f t="shared" si="464"/>
        <v>0</v>
      </c>
      <c r="O608" s="730" t="str">
        <f t="shared" si="465"/>
        <v>-0.132005096908718-0.633243738567895i</v>
      </c>
      <c r="P608" s="731" t="str">
        <f t="shared" si="466"/>
        <v>-0.00604395429938067-0.00866042421886314i</v>
      </c>
      <c r="Q608" s="729" t="str">
        <f t="shared" si="467"/>
        <v>-0.00472390333029349-0.00232798683318418i</v>
      </c>
      <c r="R608" s="730"/>
      <c r="S608" s="405" t="str">
        <f t="shared" si="480"/>
        <v>-6.05312835390029-5.84253464571712i</v>
      </c>
      <c r="T608" s="405" t="str">
        <f t="shared" si="481"/>
        <v>-2.04188390653371-1.28532479841136i</v>
      </c>
      <c r="U608" s="405" t="str">
        <f t="shared" si="482"/>
        <v>-0.0184820080134168+0.00665418931694648i</v>
      </c>
      <c r="V608" s="731" t="str">
        <f t="shared" si="468"/>
        <v>6000</v>
      </c>
      <c r="W608" s="733" t="str">
        <f>IMSUM(COMPLEX(1,0),IMDIV(COMPLEX(0,2*PI()*D608),COMPLEX(2*PI()*'Stability Calculations'!EA_Pole1,0)))</f>
        <v>1+4004082.98743221i</v>
      </c>
      <c r="X608" s="734">
        <f t="shared" si="483"/>
        <v>4004082.9874323341</v>
      </c>
      <c r="Y608" s="735">
        <f t="shared" si="484"/>
        <v>1.570796077049823</v>
      </c>
      <c r="Z608" s="340" t="str">
        <f>IMSUM(COMPLEX(1,0),IMDIV(COMPLEX(0,2*PI()*D608),COMPLEX(2*PI()*'Stability Calculations'!EA_Zero1,0)))</f>
        <v>1+39644.3860141803i</v>
      </c>
      <c r="AA608" s="734">
        <f t="shared" si="485"/>
        <v>39644.386026792425</v>
      </c>
      <c r="AB608" s="735">
        <f t="shared" si="486"/>
        <v>1.5707711025424784</v>
      </c>
      <c r="AC608" s="733" t="str">
        <f>IMSUM(COMPLEX(1,0),IMDIV(COMPLEX(0,2*PI()*D608),COMPLEX(2*PI()*'Stability Calculations'!EA_Pole2,0)))</f>
        <v>1+399.355983218726i</v>
      </c>
      <c r="AD608" s="734">
        <f t="shared" si="487"/>
        <v>399.35723523256138</v>
      </c>
      <c r="AE608" s="735">
        <f t="shared" si="488"/>
        <v>1.5682923004325269</v>
      </c>
      <c r="AF608" s="732" t="str">
        <f t="shared" si="489"/>
        <v>0.000368768219120319-0.148753428826618i</v>
      </c>
      <c r="AG608" s="337">
        <f t="shared" si="490"/>
        <v>0.14875388592462094</v>
      </c>
      <c r="AH608" s="730">
        <f t="shared" si="491"/>
        <v>-1.5683172749398715</v>
      </c>
      <c r="AI608" s="731" t="str">
        <f t="shared" si="469"/>
        <v>10000</v>
      </c>
      <c r="AJ608" s="733" t="str">
        <f t="shared" si="492"/>
        <v>1+3732907.45821803i</v>
      </c>
      <c r="AK608" s="734">
        <f t="shared" si="493"/>
        <v>3732907.4582181643</v>
      </c>
      <c r="AL608" s="735">
        <f t="shared" si="494"/>
        <v>1.5707960589071948</v>
      </c>
      <c r="AM608" s="340" t="str">
        <f t="shared" si="495"/>
        <v>1+6335.17288506601i</v>
      </c>
      <c r="AN608" s="734">
        <f t="shared" si="496"/>
        <v>6335.1729639904543</v>
      </c>
      <c r="AO608" s="735">
        <f t="shared" si="497"/>
        <v>1.5706384779074491</v>
      </c>
      <c r="AP608" s="733" t="str">
        <f t="shared" si="498"/>
        <v>1+307.266327386068i</v>
      </c>
      <c r="AQ608" s="734">
        <f t="shared" si="499"/>
        <v>307.26795463458654</v>
      </c>
      <c r="AR608" s="735">
        <f t="shared" si="500"/>
        <v>1.5675418326304136</v>
      </c>
      <c r="AS608" s="732" t="str">
        <f t="shared" si="501"/>
        <v>6.88000551589757E-06-0.370944888454629i</v>
      </c>
      <c r="AT608" s="337">
        <f t="shared" si="502"/>
        <v>0.37094488851843155</v>
      </c>
      <c r="AU608" s="730">
        <f t="shared" si="503"/>
        <v>-1.5707777795504696</v>
      </c>
      <c r="AV608" s="732" t="str">
        <f t="shared" si="504"/>
        <v>0.000112492630133597+0.0000712047548148658i</v>
      </c>
      <c r="AW608" s="337">
        <f t="shared" si="505"/>
        <v>-77.514208876344384</v>
      </c>
      <c r="AX608" s="730">
        <f t="shared" si="506"/>
        <v>32.332690402976887</v>
      </c>
      <c r="AY608" s="360">
        <f t="shared" si="507"/>
        <v>-147.66730959702312</v>
      </c>
      <c r="BB608" s="337">
        <f t="shared" si="508"/>
        <v>-48.613812179140353</v>
      </c>
      <c r="BC608" s="730">
        <f t="shared" si="509"/>
        <v>-89.998937321172733</v>
      </c>
      <c r="BD608" s="351"/>
      <c r="BE608" s="337">
        <f t="shared" si="470"/>
        <v>7.0647523524722295</v>
      </c>
      <c r="BF608" s="730">
        <f t="shared" si="471"/>
        <v>-89.978979716583098</v>
      </c>
      <c r="BI608" s="351"/>
      <c r="BJ608" s="351"/>
      <c r="BL608" s="405">
        <f t="shared" si="472"/>
        <v>0</v>
      </c>
      <c r="BM608" s="405">
        <f t="shared" si="510"/>
        <v>0</v>
      </c>
      <c r="BN608" s="405">
        <f t="shared" si="473"/>
        <v>0</v>
      </c>
      <c r="BO608" s="405">
        <f t="shared" si="474"/>
        <v>0</v>
      </c>
    </row>
    <row r="609" spans="4:67" ht="13.5" thickBot="1" x14ac:dyDescent="0.25">
      <c r="D609" s="345">
        <v>691830</v>
      </c>
      <c r="E609" s="340" t="str">
        <f t="shared" si="461"/>
        <v>11.4758056804144i</v>
      </c>
      <c r="F609" s="728" t="str">
        <f t="shared" si="475"/>
        <v>0.005-0.00377129848045906i</v>
      </c>
      <c r="G609" s="337" t="str">
        <f t="shared" si="476"/>
        <v>0.005-0.00589869762328212i</v>
      </c>
      <c r="H609" s="338" t="str">
        <f t="shared" si="477"/>
        <v>0.00500778411933637-0.00585037601968126i</v>
      </c>
      <c r="I609" s="338" t="str">
        <f t="shared" si="478"/>
        <v>0.0150077841193364-0.00585037601968126i</v>
      </c>
      <c r="J609" s="337" t="str">
        <f t="shared" si="479"/>
        <v>0.00382632148068134-0.00245080081983276i</v>
      </c>
      <c r="K609" s="338" t="str">
        <f t="shared" si="462"/>
        <v>-4.31809721-3.62241340922171i</v>
      </c>
      <c r="L609" s="732"/>
      <c r="M609" s="732" t="str">
        <f t="shared" si="463"/>
        <v>0.000685981742156445-2.05693954583293i</v>
      </c>
      <c r="N609" s="337">
        <f t="shared" si="464"/>
        <v>0</v>
      </c>
      <c r="O609" s="730" t="str">
        <f t="shared" si="465"/>
        <v>-0.113935636609212-0.568955378196281i</v>
      </c>
      <c r="P609" s="731" t="str">
        <f t="shared" si="466"/>
        <v>-0.00503852433859839-0.00787219317329952i</v>
      </c>
      <c r="Q609" s="729" t="str">
        <f t="shared" si="467"/>
        <v>-0.00389916797250628-0.0021826393913367i</v>
      </c>
      <c r="R609" s="730"/>
      <c r="S609" s="405" t="str">
        <f t="shared" si="480"/>
        <v>-5.43951546438374-4.56376522357915i</v>
      </c>
      <c r="T609" s="405" t="str">
        <f t="shared" si="481"/>
        <v>-1.75769674081044-0.960464962439064i</v>
      </c>
      <c r="U609" s="405" t="str">
        <f t="shared" si="482"/>
        <v>-0.0144212470092373+0.00547338567622791i</v>
      </c>
      <c r="V609" s="731" t="str">
        <f t="shared" si="468"/>
        <v>6000</v>
      </c>
      <c r="W609" s="733" t="str">
        <f>IMSUM(COMPLEX(1,0),IMDIV(COMPLEX(0,2*PI()*D609),COMPLEX(2*PI()*'Stability Calculations'!EA_Pole1,0)))</f>
        <v>1+4390365.05197671i</v>
      </c>
      <c r="X609" s="734">
        <f t="shared" si="483"/>
        <v>4390365.0519768232</v>
      </c>
      <c r="Y609" s="735">
        <f t="shared" si="484"/>
        <v>1.5707960990234042</v>
      </c>
      <c r="Z609" s="340" t="str">
        <f>IMSUM(COMPLEX(1,0),IMDIV(COMPLEX(0,2*PI()*D609),COMPLEX(2*PI()*'Stability Calculations'!EA_Zero1,0)))</f>
        <v>1+43468.9609106605i</v>
      </c>
      <c r="AA609" s="734">
        <f t="shared" si="485"/>
        <v>43468.960922162958</v>
      </c>
      <c r="AB609" s="735">
        <f t="shared" si="486"/>
        <v>1.57077332187417</v>
      </c>
      <c r="AC609" s="733" t="str">
        <f>IMSUM(COMPLEX(1,0),IMDIV(COMPLEX(0,2*PI()*D609),COMPLEX(2*PI()*'Stability Calculations'!EA_Pole2,0)))</f>
        <v>1+437.882670645067i</v>
      </c>
      <c r="AD609" s="734">
        <f t="shared" si="487"/>
        <v>437.88381250196517</v>
      </c>
      <c r="AE609" s="735">
        <f t="shared" si="488"/>
        <v>1.5685126139910119</v>
      </c>
      <c r="AF609" s="732" t="str">
        <f t="shared" si="489"/>
        <v>0.000306731810944096-0.135665642522558i</v>
      </c>
      <c r="AG609" s="337">
        <f t="shared" si="490"/>
        <v>0.13566598927314963</v>
      </c>
      <c r="AH609" s="730">
        <f t="shared" si="491"/>
        <v>-1.5685353911402464</v>
      </c>
      <c r="AI609" s="731" t="str">
        <f t="shared" si="469"/>
        <v>10000</v>
      </c>
      <c r="AJ609" s="733" t="str">
        <f t="shared" si="492"/>
        <v>1+4093028.66555563i</v>
      </c>
      <c r="AK609" s="734">
        <f t="shared" si="493"/>
        <v>4093028.6655557519</v>
      </c>
      <c r="AL609" s="735">
        <f t="shared" si="494"/>
        <v>1.5707960824770377</v>
      </c>
      <c r="AM609" s="340" t="str">
        <f t="shared" si="495"/>
        <v>1+6946.33995352355i</v>
      </c>
      <c r="AN609" s="734">
        <f t="shared" si="496"/>
        <v>6946.3400255039023</v>
      </c>
      <c r="AO609" s="735">
        <f t="shared" si="497"/>
        <v>1.5706523660904419</v>
      </c>
      <c r="AP609" s="733" t="str">
        <f t="shared" si="498"/>
        <v>1+336.90893761174i</v>
      </c>
      <c r="AQ609" s="734">
        <f t="shared" si="499"/>
        <v>336.91042168901708</v>
      </c>
      <c r="AR609" s="735">
        <f t="shared" si="500"/>
        <v>1.5678281744198241</v>
      </c>
      <c r="AS609" s="732" t="str">
        <f t="shared" si="501"/>
        <v>0.0000057226035648678-0.338307657709086i</v>
      </c>
      <c r="AT609" s="337">
        <f t="shared" si="502"/>
        <v>0.338307657757486</v>
      </c>
      <c r="AU609" s="730">
        <f t="shared" si="503"/>
        <v>-1.5707794114120079</v>
      </c>
      <c r="AV609" s="732" t="str">
        <f t="shared" si="504"/>
        <v>0.0000805721093373891+0.0000442659555970922i</v>
      </c>
      <c r="AW609" s="337">
        <f t="shared" si="505"/>
        <v>-80.730744452591225</v>
      </c>
      <c r="AX609" s="730">
        <f t="shared" si="506"/>
        <v>28.784196266283377</v>
      </c>
      <c r="AY609" s="360">
        <f t="shared" si="507"/>
        <v>-151.21580373371663</v>
      </c>
      <c r="BB609" s="337">
        <f t="shared" si="508"/>
        <v>-49.413763432701515</v>
      </c>
      <c r="BC609" s="730">
        <f t="shared" si="509"/>
        <v>-89.999030819951628</v>
      </c>
      <c r="BD609" s="351"/>
      <c r="BE609" s="337">
        <f t="shared" si="470"/>
        <v>6.2644310393564586</v>
      </c>
      <c r="BF609" s="730">
        <f t="shared" si="471"/>
        <v>-89.980892069836912</v>
      </c>
      <c r="BI609" s="351"/>
      <c r="BJ609" s="351"/>
      <c r="BL609" s="405">
        <f t="shared" si="472"/>
        <v>0</v>
      </c>
      <c r="BM609" s="405">
        <f t="shared" si="510"/>
        <v>0</v>
      </c>
      <c r="BN609" s="405">
        <f t="shared" si="473"/>
        <v>0</v>
      </c>
      <c r="BO609" s="405">
        <f t="shared" si="474"/>
        <v>0</v>
      </c>
    </row>
    <row r="610" spans="4:67" ht="13.5" thickBot="1" x14ac:dyDescent="0.25">
      <c r="D610" s="345">
        <v>758580</v>
      </c>
      <c r="E610" s="340" t="str">
        <f t="shared" si="461"/>
        <v>12.5830285952456i</v>
      </c>
      <c r="F610" s="728" t="str">
        <f t="shared" si="475"/>
        <v>0.005-0.00343944927065832i</v>
      </c>
      <c r="G610" s="337" t="str">
        <f t="shared" si="476"/>
        <v>0.005-0.00537965142333738i</v>
      </c>
      <c r="H610" s="338" t="str">
        <f t="shared" si="477"/>
        <v>0.00500303166396195-0.00533560272740664i</v>
      </c>
      <c r="I610" s="338" t="str">
        <f t="shared" si="478"/>
        <v>0.015003031663962-0.00533560272740664i</v>
      </c>
      <c r="J610" s="337" t="str">
        <f t="shared" si="479"/>
        <v>0.00381527952961619-0.00223970568283859i</v>
      </c>
      <c r="K610" s="338" t="str">
        <f t="shared" si="462"/>
        <v>-5.39381796-3.97191559193358i</v>
      </c>
      <c r="L610" s="732"/>
      <c r="M610" s="732" t="str">
        <f t="shared" si="463"/>
        <v>0.000568882502203111-1.87587583232822i</v>
      </c>
      <c r="N610" s="337">
        <f t="shared" si="464"/>
        <v>0</v>
      </c>
      <c r="O610" s="730" t="str">
        <f t="shared" si="465"/>
        <v>-0.09783759617485-0.511915692079654i</v>
      </c>
      <c r="P610" s="731" t="str">
        <f t="shared" si="466"/>
        <v>-0.00419923931619967-0.00715826479255664i</v>
      </c>
      <c r="Q610" s="729" t="str">
        <f t="shared" si="467"/>
        <v>-0.00322086335445116-0.00203910787176006i</v>
      </c>
      <c r="R610" s="730"/>
      <c r="S610" s="405" t="str">
        <f t="shared" si="480"/>
        <v>-4.8103033093136-3.54254630158909i</v>
      </c>
      <c r="T610" s="405" t="str">
        <f t="shared" si="481"/>
        <v>-1.49768491773585-0.715401573588111i</v>
      </c>
      <c r="U610" s="405" t="str">
        <f t="shared" si="482"/>
        <v>-0.0113100636532984+0.00441187500675771i</v>
      </c>
      <c r="V610" s="731" t="str">
        <f t="shared" si="468"/>
        <v>6000</v>
      </c>
      <c r="W610" s="733" t="str">
        <f>IMSUM(COMPLEX(1,0),IMDIV(COMPLEX(0,2*PI()*D610),COMPLEX(2*PI()*'Stability Calculations'!EA_Pole1,0)))</f>
        <v>1+4813961.69742349i</v>
      </c>
      <c r="X610" s="734">
        <f t="shared" si="483"/>
        <v>4813961.6974235931</v>
      </c>
      <c r="Y610" s="735">
        <f t="shared" si="484"/>
        <v>1.5707961190657822</v>
      </c>
      <c r="Z610" s="340" t="str">
        <f>IMSUM(COMPLEX(1,0),IMDIV(COMPLEX(0,2*PI()*D610),COMPLEX(2*PI()*'Stability Calculations'!EA_Zero1,0)))</f>
        <v>1+47662.9871032029i</v>
      </c>
      <c r="AA610" s="734">
        <f t="shared" si="485"/>
        <v>47662.98711369322</v>
      </c>
      <c r="AB610" s="735">
        <f t="shared" si="486"/>
        <v>1.5707753461543488</v>
      </c>
      <c r="AC610" s="733" t="str">
        <f>IMSUM(COMPLEX(1,0),IMDIV(COMPLEX(0,2*PI()*D610),COMPLEX(2*PI()*'Stability Calculations'!EA_Pole2,0)))</f>
        <v>1+480.131009493568i</v>
      </c>
      <c r="AD610" s="734">
        <f t="shared" si="487"/>
        <v>480.13205087487404</v>
      </c>
      <c r="AE610" s="735">
        <f t="shared" si="488"/>
        <v>1.5687135649356101</v>
      </c>
      <c r="AF610" s="732" t="str">
        <f t="shared" si="489"/>
        <v>0.000255126284408535-0.123728074824184i</v>
      </c>
      <c r="AG610" s="337">
        <f t="shared" si="490"/>
        <v>0.12372833785806658</v>
      </c>
      <c r="AH610" s="730">
        <f t="shared" si="491"/>
        <v>-1.5687343378470437</v>
      </c>
      <c r="AI610" s="731" t="str">
        <f t="shared" si="469"/>
        <v>10000</v>
      </c>
      <c r="AJ610" s="733" t="str">
        <f t="shared" si="492"/>
        <v>1+4487937.33304018i</v>
      </c>
      <c r="AK610" s="734">
        <f t="shared" si="493"/>
        <v>4487937.3330402914</v>
      </c>
      <c r="AL610" s="735">
        <f t="shared" si="494"/>
        <v>1.5707961039753862</v>
      </c>
      <c r="AM610" s="340" t="str">
        <f t="shared" si="495"/>
        <v>1+7616.54533909182i</v>
      </c>
      <c r="AN610" s="734">
        <f t="shared" si="496"/>
        <v>7616.5454047383791</v>
      </c>
      <c r="AO610" s="735">
        <f t="shared" si="497"/>
        <v>1.5706650336758075</v>
      </c>
      <c r="AP610" s="733" t="str">
        <f t="shared" si="498"/>
        <v>1+369.415003531957i</v>
      </c>
      <c r="AQ610" s="734">
        <f t="shared" si="499"/>
        <v>369.41635702079537</v>
      </c>
      <c r="AR610" s="735">
        <f t="shared" si="500"/>
        <v>1.5680893507710081</v>
      </c>
      <c r="AS610" s="732" t="str">
        <f t="shared" si="501"/>
        <v>4.75981053012722E-06-0.308538831559155i</v>
      </c>
      <c r="AT610" s="337">
        <f t="shared" si="502"/>
        <v>0.30853883159586964</v>
      </c>
      <c r="AU610" s="730">
        <f t="shared" si="503"/>
        <v>-1.5707808998533161</v>
      </c>
      <c r="AV610" s="732" t="str">
        <f t="shared" si="504"/>
        <v>0.0000571172584393843+0.0000274291681833422i</v>
      </c>
      <c r="AW610" s="337">
        <f t="shared" si="505"/>
        <v>-83.963425231726418</v>
      </c>
      <c r="AX610" s="730">
        <f t="shared" si="506"/>
        <v>25.651509127820884</v>
      </c>
      <c r="AY610" s="360">
        <f t="shared" si="507"/>
        <v>-154.34849087217913</v>
      </c>
      <c r="BB610" s="337">
        <f t="shared" si="508"/>
        <v>-50.213803388755991</v>
      </c>
      <c r="BC610" s="730">
        <f t="shared" si="509"/>
        <v>-89.999116101356648</v>
      </c>
      <c r="BD610" s="351"/>
      <c r="BE610" s="337">
        <f t="shared" si="470"/>
        <v>5.4640821642884756</v>
      </c>
      <c r="BF610" s="730">
        <f t="shared" si="471"/>
        <v>-89.982624348128937</v>
      </c>
      <c r="BI610" s="351"/>
      <c r="BJ610" s="351"/>
      <c r="BL610" s="405">
        <f t="shared" si="472"/>
        <v>0</v>
      </c>
      <c r="BM610" s="405">
        <f t="shared" si="510"/>
        <v>0</v>
      </c>
      <c r="BN610" s="405">
        <f t="shared" si="473"/>
        <v>0</v>
      </c>
      <c r="BO610" s="405">
        <f t="shared" si="474"/>
        <v>0</v>
      </c>
    </row>
    <row r="611" spans="4:67" ht="13.5" thickBot="1" x14ac:dyDescent="0.25">
      <c r="D611" s="345">
        <v>831760</v>
      </c>
      <c r="E611" s="340" t="str">
        <f t="shared" si="461"/>
        <v>13.7969098373032i</v>
      </c>
      <c r="F611" s="728" t="str">
        <f t="shared" si="475"/>
        <v>0.005-0.00313683926581705i</v>
      </c>
      <c r="G611" s="337" t="str">
        <f t="shared" si="476"/>
        <v>0.005-0.00490633833884205i</v>
      </c>
      <c r="H611" s="338" t="str">
        <f t="shared" si="477"/>
        <v>0.00499907923367279-0.00486618101349642i</v>
      </c>
      <c r="I611" s="338" t="str">
        <f t="shared" si="478"/>
        <v>0.0149990792336728-0.00486618101349642i</v>
      </c>
      <c r="J611" s="337" t="str">
        <f t="shared" si="479"/>
        <v>0.00380556256165747-0.00204632477952892i</v>
      </c>
      <c r="K611" s="338" t="str">
        <f t="shared" si="462"/>
        <v>-6.68694108444443-4.35508517591641i</v>
      </c>
      <c r="L611" s="732"/>
      <c r="M611" s="732" t="str">
        <f t="shared" si="463"/>
        <v>0.000471950032211516-1.71078156609084i</v>
      </c>
      <c r="N611" s="337">
        <f t="shared" si="464"/>
        <v>0</v>
      </c>
      <c r="O611" s="730" t="str">
        <f t="shared" si="465"/>
        <v>-0.0836355471523001-0.461257497607502i</v>
      </c>
      <c r="P611" s="731" t="str">
        <f t="shared" si="466"/>
        <v>-0.00349901867567941-0.00651145204213464i</v>
      </c>
      <c r="Q611" s="729" t="str">
        <f t="shared" si="467"/>
        <v>-0.00266266320415641-0.00189887706605963i</v>
      </c>
      <c r="R611" s="730"/>
      <c r="S611" s="405" t="str">
        <f t="shared" si="480"/>
        <v>-4.20156414679007-2.73657510131023i</v>
      </c>
      <c r="T611" s="405" t="str">
        <f t="shared" si="481"/>
        <v>-1.26674794556018-0.532077176444767i</v>
      </c>
      <c r="U611" s="405" t="str">
        <f t="shared" si="482"/>
        <v>-0.00892175720267782+0.00350432883809422i</v>
      </c>
      <c r="V611" s="731" t="str">
        <f t="shared" si="468"/>
        <v>6000</v>
      </c>
      <c r="W611" s="733" t="str">
        <f>IMSUM(COMPLEX(1,0),IMDIV(COMPLEX(0,2*PI()*D611),COMPLEX(2*PI()*'Stability Calculations'!EA_Pole1,0)))</f>
        <v>1+5278363.23321069i</v>
      </c>
      <c r="X611" s="734">
        <f t="shared" si="483"/>
        <v>5278363.2332107853</v>
      </c>
      <c r="Y611" s="735">
        <f t="shared" si="484"/>
        <v>1.5707961373422281</v>
      </c>
      <c r="Z611" s="340" t="str">
        <f>IMSUM(COMPLEX(1,0),IMDIV(COMPLEX(0,2*PI()*D611),COMPLEX(2*PI()*'Stability Calculations'!EA_Zero1,0)))</f>
        <v>1+52261.0221109969i</v>
      </c>
      <c r="AA611" s="734">
        <f t="shared" si="485"/>
        <v>52261.022120564252</v>
      </c>
      <c r="AB611" s="735">
        <f t="shared" si="486"/>
        <v>1.5707771920753775</v>
      </c>
      <c r="AC611" s="733" t="str">
        <f>IMSUM(COMPLEX(1,0),IMDIV(COMPLEX(0,2*PI()*D611),COMPLEX(2*PI()*'Stability Calculations'!EA_Pole2,0)))</f>
        <v>1+526.449113417661i</v>
      </c>
      <c r="AD611" s="734">
        <f t="shared" si="487"/>
        <v>526.45006317621551</v>
      </c>
      <c r="AE611" s="735">
        <f t="shared" si="488"/>
        <v>1.5688968102570364</v>
      </c>
      <c r="AF611" s="732" t="str">
        <f t="shared" si="489"/>
        <v>0.000212208236249624-0.112842299230745i</v>
      </c>
      <c r="AG611" s="337">
        <f t="shared" si="490"/>
        <v>0.11284249876716008</v>
      </c>
      <c r="AH611" s="730">
        <f t="shared" si="491"/>
        <v>-1.5689157555238871</v>
      </c>
      <c r="AI611" s="731" t="str">
        <f t="shared" si="469"/>
        <v>10000</v>
      </c>
      <c r="AJ611" s="733" t="str">
        <f t="shared" si="492"/>
        <v>1+4920887.38976706i</v>
      </c>
      <c r="AK611" s="734">
        <f t="shared" si="493"/>
        <v>4920887.3897671616</v>
      </c>
      <c r="AL611" s="735">
        <f t="shared" si="494"/>
        <v>1.5707961235795167</v>
      </c>
      <c r="AM611" s="340" t="str">
        <f t="shared" si="495"/>
        <v>1+8351.3113333373i</v>
      </c>
      <c r="AN611" s="734">
        <f t="shared" si="496"/>
        <v>8351.3113932081378</v>
      </c>
      <c r="AO611" s="735">
        <f t="shared" si="497"/>
        <v>1.5706765851213671</v>
      </c>
      <c r="AP611" s="733" t="str">
        <f t="shared" si="498"/>
        <v>1+405.052365390256i</v>
      </c>
      <c r="AQ611" s="734">
        <f t="shared" si="499"/>
        <v>405.05359979667071</v>
      </c>
      <c r="AR611" s="735">
        <f t="shared" si="500"/>
        <v>1.5683275152194875</v>
      </c>
      <c r="AS611" s="732" t="str">
        <f t="shared" si="501"/>
        <v>0.0000039590991683973-0.281392934083768i</v>
      </c>
      <c r="AT611" s="337">
        <f t="shared" si="502"/>
        <v>0.28139293411161953</v>
      </c>
      <c r="AU611" s="730">
        <f t="shared" si="503"/>
        <v>-1.5707822571481906</v>
      </c>
      <c r="AV611" s="732" t="str">
        <f t="shared" si="504"/>
        <v>0.000040191068857744+0.0000169712681771079i</v>
      </c>
      <c r="AW611" s="337">
        <f t="shared" si="505"/>
        <v>-87.2048226550599</v>
      </c>
      <c r="AX611" s="730">
        <f t="shared" si="506"/>
        <v>22.892615427982403</v>
      </c>
      <c r="AY611" s="360">
        <f t="shared" si="507"/>
        <v>-157.10738457201759</v>
      </c>
      <c r="BB611" s="337">
        <f t="shared" si="508"/>
        <v>-51.013736241427083</v>
      </c>
      <c r="BC611" s="730">
        <f t="shared" si="509"/>
        <v>-89.999193868624516</v>
      </c>
      <c r="BD611" s="351"/>
      <c r="BE611" s="337">
        <f t="shared" si="470"/>
        <v>4.6638915710435587</v>
      </c>
      <c r="BF611" s="730">
        <f t="shared" si="471"/>
        <v>-89.984193923504449</v>
      </c>
      <c r="BI611" s="351"/>
      <c r="BJ611" s="351"/>
      <c r="BL611" s="405">
        <f t="shared" si="472"/>
        <v>0</v>
      </c>
      <c r="BM611" s="405">
        <f t="shared" si="510"/>
        <v>0</v>
      </c>
      <c r="BN611" s="405">
        <f t="shared" si="473"/>
        <v>0</v>
      </c>
      <c r="BO611" s="405">
        <f t="shared" si="474"/>
        <v>0</v>
      </c>
    </row>
    <row r="612" spans="4:67" ht="13.5" thickBot="1" x14ac:dyDescent="0.25">
      <c r="D612" s="345">
        <v>912010</v>
      </c>
      <c r="E612" s="340" t="str">
        <f t="shared" si="461"/>
        <v>15.1280654764823i</v>
      </c>
      <c r="F612" s="728" t="str">
        <f t="shared" si="475"/>
        <v>0.005-0.00286082107404084i</v>
      </c>
      <c r="G612" s="337" t="str">
        <f t="shared" si="476"/>
        <v>0.005-0.00447461757734594i</v>
      </c>
      <c r="H612" s="338" t="str">
        <f t="shared" si="477"/>
        <v>0.00499579130607701-0.00443800583643653i</v>
      </c>
      <c r="I612" s="338" t="str">
        <f t="shared" si="478"/>
        <v>0.014995791306077-0.00443800583643653i</v>
      </c>
      <c r="J612" s="337" t="str">
        <f t="shared" si="479"/>
        <v>0.00379707747613749-0.00186919802954571i</v>
      </c>
      <c r="K612" s="338" t="str">
        <f t="shared" si="462"/>
        <v>-8.24180266777776-4.77527319333405i</v>
      </c>
      <c r="L612" s="732"/>
      <c r="M612" s="732" t="str">
        <f t="shared" si="463"/>
        <v>0.000391653463233191-1.56020707905791i</v>
      </c>
      <c r="N612" s="337">
        <f t="shared" si="464"/>
        <v>0</v>
      </c>
      <c r="O612" s="730" t="str">
        <f t="shared" si="465"/>
        <v>-0.0712085956753149-0.416182332209781i</v>
      </c>
      <c r="P612" s="731" t="str">
        <f t="shared" si="466"/>
        <v>-0.00291484885931462-0.00592495923588279i</v>
      </c>
      <c r="Q612" s="729" t="str">
        <f t="shared" si="467"/>
        <v>-0.00220276290256147-0.00176313591378498i</v>
      </c>
      <c r="R612" s="730"/>
      <c r="S612" s="405" t="str">
        <f t="shared" si="480"/>
        <v>-3.63450663330292-2.10591324239357i</v>
      </c>
      <c r="T612" s="405" t="str">
        <f t="shared" si="481"/>
        <v>-1.06571206619227-0.395600295488889i</v>
      </c>
      <c r="U612" s="405" t="str">
        <f t="shared" si="482"/>
        <v>-0.0070797514953404+0.00275329985283723i</v>
      </c>
      <c r="V612" s="731" t="str">
        <f t="shared" si="468"/>
        <v>6000</v>
      </c>
      <c r="W612" s="733" t="str">
        <f>IMSUM(COMPLEX(1,0),IMDIV(COMPLEX(0,2*PI()*D612),COMPLEX(2*PI()*'Stability Calculations'!EA_Pole1,0)))</f>
        <v>1+5787631.11032086i</v>
      </c>
      <c r="X612" s="734">
        <f t="shared" si="483"/>
        <v>5787631.1103209453</v>
      </c>
      <c r="Y612" s="735">
        <f t="shared" si="484"/>
        <v>1.5707961540126338</v>
      </c>
      <c r="Z612" s="340" t="str">
        <f>IMSUM(COMPLEX(1,0),IMDIV(COMPLEX(0,2*PI()*D612),COMPLEX(2*PI()*'Stability Calculations'!EA_Zero1,0)))</f>
        <v>1+57303.2783200085i</v>
      </c>
      <c r="AA612" s="734">
        <f t="shared" si="485"/>
        <v>57303.278328734006</v>
      </c>
      <c r="AB612" s="735">
        <f t="shared" si="486"/>
        <v>1.5707788757863468</v>
      </c>
      <c r="AC612" s="733" t="str">
        <f>IMSUM(COMPLEX(1,0),IMDIV(COMPLEX(0,2*PI()*D612),COMPLEX(2*PI()*'Stability Calculations'!EA_Pole2,0)))</f>
        <v>1+577.242060123162i</v>
      </c>
      <c r="AD612" s="734">
        <f t="shared" si="487"/>
        <v>577.24292631025992</v>
      </c>
      <c r="AE612" s="735">
        <f t="shared" si="488"/>
        <v>1.5690639530322961</v>
      </c>
      <c r="AF612" s="732" t="str">
        <f t="shared" si="489"/>
        <v>0.000176505954363495-0.10291309000527i</v>
      </c>
      <c r="AG612" s="337">
        <f t="shared" si="490"/>
        <v>0.10291324136759433</v>
      </c>
      <c r="AH612" s="730">
        <f t="shared" si="491"/>
        <v>-1.5690812312585831</v>
      </c>
      <c r="AI612" s="731" t="str">
        <f t="shared" si="469"/>
        <v>10000</v>
      </c>
      <c r="AJ612" s="733" t="str">
        <f t="shared" si="492"/>
        <v>1+5395665.22595636i</v>
      </c>
      <c r="AK612" s="734">
        <f t="shared" si="493"/>
        <v>5395665.225956453</v>
      </c>
      <c r="AL612" s="735">
        <f t="shared" si="494"/>
        <v>1.5707961414609373</v>
      </c>
      <c r="AM612" s="340" t="str">
        <f t="shared" si="495"/>
        <v>1+9157.06387553736i</v>
      </c>
      <c r="AN612" s="734">
        <f t="shared" si="496"/>
        <v>9157.0639301400133</v>
      </c>
      <c r="AO612" s="735">
        <f t="shared" si="497"/>
        <v>1.5706871214852454</v>
      </c>
      <c r="AP612" s="733" t="str">
        <f t="shared" si="498"/>
        <v>1+444.132691833663i</v>
      </c>
      <c r="AQ612" s="734">
        <f t="shared" si="499"/>
        <v>444.13381762191386</v>
      </c>
      <c r="AR612" s="735">
        <f t="shared" si="500"/>
        <v>1.5685447512443407</v>
      </c>
      <c r="AS612" s="732" t="str">
        <f t="shared" si="501"/>
        <v>3.29301145566165E-06-0.256632478658468i</v>
      </c>
      <c r="AT612" s="337">
        <f t="shared" si="502"/>
        <v>0.25663247867959532</v>
      </c>
      <c r="AU612" s="730">
        <f t="shared" si="503"/>
        <v>-1.5707834951709623</v>
      </c>
      <c r="AV612" s="732" t="str">
        <f t="shared" si="504"/>
        <v>0.0000281282980749506+0.0000104967713158952i</v>
      </c>
      <c r="AW612" s="337">
        <f t="shared" si="505"/>
        <v>-90.45090463176453</v>
      </c>
      <c r="AX612" s="730">
        <f t="shared" si="506"/>
        <v>20.464305717061333</v>
      </c>
      <c r="AY612" s="360">
        <f t="shared" si="507"/>
        <v>-159.53569428293866</v>
      </c>
      <c r="BB612" s="337">
        <f t="shared" si="508"/>
        <v>-51.813767628066245</v>
      </c>
      <c r="BC612" s="730">
        <f t="shared" si="509"/>
        <v>-89.999264802104264</v>
      </c>
      <c r="BD612" s="351"/>
      <c r="BE612" s="337">
        <f t="shared" si="470"/>
        <v>3.8636451551633364</v>
      </c>
      <c r="BF612" s="730">
        <f t="shared" si="471"/>
        <v>-89.985617236131787</v>
      </c>
      <c r="BI612" s="351"/>
      <c r="BJ612" s="351"/>
      <c r="BL612" s="405">
        <f t="shared" si="472"/>
        <v>0</v>
      </c>
      <c r="BM612" s="405">
        <f t="shared" si="510"/>
        <v>0</v>
      </c>
      <c r="BN612" s="405">
        <f t="shared" si="473"/>
        <v>0</v>
      </c>
      <c r="BO612" s="405">
        <f t="shared" si="474"/>
        <v>0</v>
      </c>
    </row>
    <row r="613" spans="4:67" x14ac:dyDescent="0.2">
      <c r="D613" s="345">
        <v>1000000</v>
      </c>
      <c r="E613" s="340" t="str">
        <f t="shared" si="461"/>
        <v>16.5876092109541i</v>
      </c>
      <c r="F613" s="728" t="str">
        <f t="shared" si="475"/>
        <v>0.005-0.00260909742773599i</v>
      </c>
      <c r="G613" s="337" t="str">
        <f t="shared" si="476"/>
        <v>0.005-0.00408089597671526i</v>
      </c>
      <c r="H613" s="338" t="str">
        <f t="shared" si="477"/>
        <v>0.00499305660601745-0.00404751483797155i</v>
      </c>
      <c r="I613" s="338" t="str">
        <f t="shared" si="478"/>
        <v>0.0149930566060174-0.00404751483797155i</v>
      </c>
      <c r="J613" s="337" t="str">
        <f t="shared" si="479"/>
        <v>0.00378972140340587-0.00170705331903678i</v>
      </c>
      <c r="K613" s="338" t="str">
        <f t="shared" si="462"/>
        <v>-10.1111111111111-5.23598775598299i</v>
      </c>
      <c r="L613" s="732"/>
      <c r="M613" s="732" t="str">
        <f t="shared" si="463"/>
        <v>0.000325118038906717-1.42289509148161i</v>
      </c>
      <c r="N613" s="337">
        <f t="shared" si="464"/>
        <v>0</v>
      </c>
      <c r="O613" s="730" t="str">
        <f t="shared" si="465"/>
        <v>-0.0604171801489784-0.376005410909688i</v>
      </c>
      <c r="P613" s="731" t="str">
        <f t="shared" si="466"/>
        <v>-0.00242772568176414-0.0053929309768164i</v>
      </c>
      <c r="Q613" s="729" t="str">
        <f t="shared" si="467"/>
        <v>-0.00182355388027436-0.00163287686771953i</v>
      </c>
      <c r="R613" s="730"/>
      <c r="S613" s="405" t="str">
        <f t="shared" si="480"/>
        <v>-3.12020419086872-1.61583173610455i</v>
      </c>
      <c r="T613" s="405" t="str">
        <f t="shared" si="481"/>
        <v>-0.893202419240744-0.294299378416344i</v>
      </c>
      <c r="U613" s="405" t="str">
        <f t="shared" si="482"/>
        <v>-0.0056509913408467+0.00214579658964046i</v>
      </c>
      <c r="V613" s="731" t="str">
        <f t="shared" si="468"/>
        <v>6000</v>
      </c>
      <c r="W613" s="733" t="str">
        <f>IMSUM(COMPLEX(1,0),IMDIV(COMPLEX(0,2*PI()*D613),COMPLEX(2*PI()*'Stability Calculations'!EA_Pole1,0)))</f>
        <v>1+6346017.16025139i</v>
      </c>
      <c r="X613" s="734">
        <f t="shared" si="483"/>
        <v>6346017.1602514694</v>
      </c>
      <c r="Y613" s="735">
        <f t="shared" si="484"/>
        <v>1.5707961692157451</v>
      </c>
      <c r="Z613" s="340" t="str">
        <f>IMSUM(COMPLEX(1,0),IMDIV(COMPLEX(0,2*PI()*D613),COMPLEX(2*PI()*'Stability Calculations'!EA_Zero1,0)))</f>
        <v>1+62831.8530717959i</v>
      </c>
      <c r="AA613" s="734">
        <f t="shared" si="485"/>
        <v>62831.853079753651</v>
      </c>
      <c r="AB613" s="735">
        <f t="shared" si="486"/>
        <v>1.5707804113005888</v>
      </c>
      <c r="AC613" s="733" t="str">
        <f>IMSUM(COMPLEX(1,0),IMDIV(COMPLEX(0,2*PI()*D613),COMPLEX(2*PI()*'Stability Calculations'!EA_Pole2,0)))</f>
        <v>1+632.933915333344i</v>
      </c>
      <c r="AD613" s="734">
        <f t="shared" si="487"/>
        <v>632.93470530473883</v>
      </c>
      <c r="AE613" s="735">
        <f t="shared" si="488"/>
        <v>1.5692163843337623</v>
      </c>
      <c r="AF613" s="732" t="str">
        <f t="shared" si="489"/>
        <v>0.000146811062117348-0.093857814131919i</v>
      </c>
      <c r="AG613" s="337">
        <f t="shared" si="490"/>
        <v>9.385792895173968E-2</v>
      </c>
      <c r="AH613" s="730">
        <f t="shared" si="491"/>
        <v>-1.5692321422489186</v>
      </c>
      <c r="AI613" s="731" t="str">
        <f t="shared" si="469"/>
        <v>10000</v>
      </c>
      <c r="AJ613" s="733" t="str">
        <f t="shared" si="492"/>
        <v>1+5916234.71886971i</v>
      </c>
      <c r="AK613" s="734">
        <f t="shared" si="493"/>
        <v>5916234.7188697942</v>
      </c>
      <c r="AL613" s="735">
        <f t="shared" si="494"/>
        <v>1.5707961577684724</v>
      </c>
      <c r="AM613" s="340" t="str">
        <f t="shared" si="495"/>
        <v>1+10040.530120873i</v>
      </c>
      <c r="AN613" s="734">
        <f t="shared" si="496"/>
        <v>10040.530170671167</v>
      </c>
      <c r="AO613" s="735">
        <f t="shared" si="497"/>
        <v>1.5706967304603749</v>
      </c>
      <c r="AP613" s="733" t="str">
        <f t="shared" si="498"/>
        <v>1+486.982260977032i</v>
      </c>
      <c r="AQ613" s="734">
        <f t="shared" si="499"/>
        <v>486.98328770739363</v>
      </c>
      <c r="AR613" s="735">
        <f t="shared" si="500"/>
        <v>1.5687428667932379</v>
      </c>
      <c r="AS613" s="732" t="str">
        <f t="shared" si="501"/>
        <v>2.73900258511196E-06-0.234051386867793i</v>
      </c>
      <c r="AT613" s="337">
        <f t="shared" si="502"/>
        <v>0.23405138688381968</v>
      </c>
      <c r="AU613" s="730">
        <f t="shared" si="503"/>
        <v>-1.5707846242255521</v>
      </c>
      <c r="AV613" s="732" t="str">
        <f t="shared" si="504"/>
        <v>0.0000196112816679409+6.49595789995534E-06i</v>
      </c>
      <c r="AW613" s="337">
        <f t="shared" si="505"/>
        <v>-93.697757544002798</v>
      </c>
      <c r="AX613" s="730">
        <f t="shared" si="506"/>
        <v>18.326717250125593</v>
      </c>
      <c r="AY613" s="360">
        <f t="shared" si="507"/>
        <v>-161.6732827498744</v>
      </c>
      <c r="BB613" s="337">
        <f t="shared" si="508"/>
        <v>-52.613775621881771</v>
      </c>
      <c r="BC613" s="730">
        <f t="shared" si="509"/>
        <v>-89.999329492167107</v>
      </c>
      <c r="BD613" s="351"/>
      <c r="BE613" s="337">
        <f t="shared" si="470"/>
        <v>3.0634578507662846</v>
      </c>
      <c r="BF613" s="730">
        <f t="shared" si="471"/>
        <v>-89.986908457791259</v>
      </c>
      <c r="BI613" s="351"/>
      <c r="BJ613" s="351"/>
      <c r="BL613" s="405">
        <f t="shared" si="472"/>
        <v>0</v>
      </c>
      <c r="BM613" s="405">
        <f t="shared" si="510"/>
        <v>0</v>
      </c>
      <c r="BN613" s="405">
        <f t="shared" si="473"/>
        <v>0</v>
      </c>
      <c r="BO613" s="405">
        <f t="shared" si="474"/>
        <v>0</v>
      </c>
    </row>
    <row r="614" spans="4:67" x14ac:dyDescent="0.2">
      <c r="D614" s="348"/>
      <c r="E614" s="348"/>
      <c r="F614" s="348"/>
      <c r="G614" s="349"/>
      <c r="H614" s="349"/>
      <c r="I614" s="349"/>
      <c r="J614" s="349"/>
      <c r="K614" s="349"/>
      <c r="L614" s="349"/>
      <c r="M614" s="349"/>
      <c r="N614" s="338"/>
      <c r="O614" s="339"/>
      <c r="P614" s="349"/>
      <c r="Q614" s="349"/>
      <c r="R614" s="349"/>
      <c r="S614" s="349"/>
      <c r="T614" s="349"/>
      <c r="U614" s="349"/>
      <c r="V614" s="349"/>
      <c r="W614" s="349"/>
      <c r="X614" s="349"/>
      <c r="Y614" s="349"/>
      <c r="Z614" s="349"/>
      <c r="AA614" s="349"/>
      <c r="AB614" s="349"/>
      <c r="AC614" s="349"/>
      <c r="AD614" s="349"/>
      <c r="AE614" s="349"/>
      <c r="AF614" s="349"/>
      <c r="AG614" s="349"/>
      <c r="AH614" s="731"/>
      <c r="AI614" s="349"/>
      <c r="AJ614" s="349"/>
      <c r="AK614" s="349"/>
      <c r="AL614" s="349"/>
      <c r="AM614" s="349"/>
      <c r="AN614" s="349"/>
      <c r="AO614" s="349"/>
      <c r="AP614" s="349"/>
      <c r="AQ614" s="349"/>
      <c r="AR614" s="349"/>
      <c r="AS614" s="349"/>
      <c r="AT614" s="349"/>
      <c r="AU614" s="349"/>
      <c r="AV614" s="350"/>
      <c r="AW614" s="424"/>
      <c r="AX614" s="342"/>
      <c r="AY614" s="351"/>
      <c r="BE614" s="343"/>
      <c r="BF614" s="344"/>
      <c r="BI614" s="351"/>
      <c r="BJ614" s="351"/>
    </row>
    <row r="615" spans="4:67" x14ac:dyDescent="0.2">
      <c r="D615" s="348"/>
      <c r="E615" s="348"/>
      <c r="F615" s="348"/>
      <c r="G615" s="349"/>
      <c r="H615" s="349"/>
      <c r="I615" s="349"/>
      <c r="J615" s="349"/>
      <c r="K615" s="349"/>
      <c r="L615" s="349"/>
      <c r="M615" s="349"/>
      <c r="N615" s="338"/>
      <c r="O615" s="339"/>
      <c r="P615" s="349"/>
      <c r="Q615" s="349"/>
      <c r="R615" s="349"/>
      <c r="S615" s="349"/>
      <c r="T615" s="349"/>
      <c r="U615" s="349"/>
      <c r="V615" s="349"/>
      <c r="W615" s="349"/>
      <c r="X615" s="349"/>
      <c r="Y615" s="349"/>
      <c r="Z615" s="349"/>
      <c r="AA615" s="349"/>
      <c r="AB615" s="349"/>
      <c r="AC615" s="349"/>
      <c r="AD615" s="349"/>
      <c r="AE615" s="349"/>
      <c r="AF615" s="349"/>
      <c r="AG615" s="349"/>
      <c r="AH615" s="731"/>
      <c r="AI615" s="349"/>
      <c r="AJ615" s="349"/>
      <c r="AK615" s="349"/>
      <c r="AL615" s="349"/>
      <c r="AM615" s="349"/>
      <c r="AN615" s="349"/>
      <c r="AO615" s="349"/>
      <c r="AP615" s="349"/>
      <c r="AQ615" s="349"/>
      <c r="AR615" s="349"/>
      <c r="AS615" s="349"/>
      <c r="AT615" s="349"/>
      <c r="AU615" s="349"/>
      <c r="AV615" s="350"/>
      <c r="AW615" s="351"/>
      <c r="AX615" s="342"/>
      <c r="AY615" s="351"/>
      <c r="BE615" s="343"/>
      <c r="BF615" s="344"/>
      <c r="BI615" s="351"/>
      <c r="BJ615" s="351"/>
    </row>
    <row r="616" spans="4:67" ht="13.5" thickBot="1" x14ac:dyDescent="0.25">
      <c r="D616" s="405" t="s">
        <v>476</v>
      </c>
      <c r="N616" s="338"/>
      <c r="O616" s="339"/>
      <c r="P616" s="349"/>
      <c r="Q616" s="349"/>
      <c r="R616" s="349"/>
      <c r="S616" s="349"/>
      <c r="T616" s="349"/>
      <c r="U616" s="349"/>
      <c r="V616" s="349"/>
      <c r="W616" s="349"/>
      <c r="X616" s="349"/>
      <c r="Y616" s="349"/>
      <c r="Z616" s="349"/>
      <c r="AA616" s="349"/>
      <c r="AB616" s="349"/>
      <c r="AC616" s="349"/>
      <c r="AD616" s="349"/>
      <c r="AE616" s="349"/>
      <c r="AF616" s="349"/>
      <c r="AG616" s="349"/>
      <c r="AH616" s="731"/>
      <c r="AI616" s="349"/>
      <c r="AJ616" s="349"/>
      <c r="AW616" s="341"/>
      <c r="AX616" s="342"/>
      <c r="AY616" s="351"/>
      <c r="BE616" s="343"/>
      <c r="BF616" s="344"/>
      <c r="BI616" s="351"/>
      <c r="BJ616" s="351"/>
    </row>
    <row r="617" spans="4:67" x14ac:dyDescent="0.2">
      <c r="D617" s="352">
        <f>U4*1000</f>
        <v>18515</v>
      </c>
      <c r="E617" s="340" t="str">
        <f>COMPLEX(0,2*PI()*D617*L)</f>
        <v>0.307119584540815i</v>
      </c>
      <c r="F617" s="728" t="str">
        <f t="shared" ref="F617" si="511">IMSUM(COMPLEX($B$8,0),IMDIV(COMPLEX(1,0),COMPLEX(0,2*PI()*D617*$B$6)))</f>
        <v>0.005-0.140918035524493i</v>
      </c>
      <c r="G617" s="337" t="str">
        <f t="shared" ref="G617" si="512">IMSUM(COMPLEX($B$9,0),IMDIV(COMPLEX(1,0),COMPLEX(0,2*PI()*D617*$B$7)))</f>
        <v>0.005-0.220410260692156i</v>
      </c>
      <c r="H617" s="338" t="str">
        <f t="shared" ref="H617" si="513">IMDIV(COMPLEX(1,0),IMSUM(IMDIV(COMPLEX(1,0),COMPLEX($B$5,0)), IMDIV(COMPLEX(1,0),G617)))</f>
        <v>0.0431772478014526-0.211718233613835i</v>
      </c>
      <c r="I617" s="338" t="str">
        <f t="shared" ref="I617" si="514">IMSUM(H617,COMPLEX($B$15,0))</f>
        <v>0.0531772478014526-0.211718233613835i</v>
      </c>
      <c r="J617" s="337" t="str">
        <f t="shared" ref="J617" si="515">IMDIV(COMPLEX(1,0),IMSUM(IMDIV(COMPLEX(1,0),F617),IMDIV(COMPLEX(1,0),IMSUM(COMPLEX($B$15,0),H617))))</f>
        <v>0.0101425614336811-0.085524661743198i</v>
      </c>
      <c r="K617" s="338" t="str">
        <f>IMSUM(COMPLEX(1,0),COMPLEX(0,2*PI()*D617/(Fsw*PI()*(-2)/PI())),IMPRODUCT(COMPLEX(0,2*PI()*D617/(Fsw*PI())),COMPLEX(0,2*PI()*D617/(Fsw*PI()))))</f>
        <v>0.996191053055556-0.096944313302025i</v>
      </c>
      <c r="L617" s="732"/>
      <c r="M617" s="732" t="str">
        <f>IF(Vin&gt;=Vout,IMDIV(COMPLEX(Vin,0),IMSUM(E617,J617)),IMDIV(IMSUM(COMPLEX(Vout,0),IMPRODUCT(J617,COMPLEX($B$4,0))),IMSUM(E617,IMPRODUCT(J617,COMPLEX((1-$B$11)^2,0)))))</f>
        <v>4.86442107044052-106.277986937285i</v>
      </c>
      <c r="N617" s="337">
        <f>IF(Vin&gt;=Vout,0,IMSUB(IMPRODUCT(M617,COMPLEX(1-$B$11,0)),COMPLEX($B$4/(1-$B$11),0)))</f>
        <v>0</v>
      </c>
      <c r="O617" s="730" t="str">
        <f>IMDIV(IF(Vin&gt;=Vout,M617,N617),IMPRODUCT(I617,IMSUM(IMDIV(COMPLEX(1,0),F617),IMDIV(COMPLEX(1,0),I617))))</f>
        <v>-3.4505414747208-41.8318287650021i</v>
      </c>
      <c r="P617" s="731" t="str">
        <f>IF(Vin&gt;=Vout,IMDIV(IMPRODUCT(COMPLEX(Vin,0),J617),IMSUM(J617,E617)),IMPRODUCT(N617,J617))</f>
        <v>-9.04005119401305-1.49395897818528i</v>
      </c>
      <c r="Q617" s="729" t="str">
        <f>IF(Vin&gt;=Vout,IMDIV(IMPRODUCT(P617,H617),IMSUM(COMPLEX($B$15,0),H617)),IMPRODUCT(O617,H617))</f>
        <v>-9.00554577926583-1.07564069053526i</v>
      </c>
      <c r="R617" s="730"/>
      <c r="S617" s="405" t="str">
        <f t="shared" ref="S617" si="516">IMDIV(IMPRODUCT(COMPLEX($B$34,0),M617),IMSUM(COMPLEX(1,0),IMPRODUCT(M617,COMPLEX($B$29,0),K617,COMPLEX($B$34,0))))</f>
        <v>39.8234133988866-1.70604839175458i</v>
      </c>
      <c r="T617" s="405" t="str">
        <f t="shared" ref="T617" si="517">IMDIV(IMPRODUCT(COMPLEX($B$34,0),O617),IMSUM(COMPLEX(1,0),IMPRODUCT(M617,COMPLEX($B$29,0),K617,COMPLEX($B$34,0))))</f>
        <v>15.4970290105899-2.67377606994497i</v>
      </c>
      <c r="U617" s="405" t="str">
        <f t="shared" ref="U617" si="518">IMDIV(IMPRODUCT(COMPLEX($B$34,0),Q617),IMSUM(COMPLEX(1,0),IMPRODUCT(M617,COMPLEX($B$29,0),K617,COMPLEX($B$34,0))))</f>
        <v>0.103031915168851-3.39644990032206i</v>
      </c>
      <c r="V617" s="731" t="str">
        <f t="shared" ref="V617" si="519">COMPLEX(AEA,0)</f>
        <v>6000</v>
      </c>
      <c r="W617" s="733" t="str">
        <f>IMSUM(COMPLEX(1,0),IMDIV(COMPLEX(0,2*PI()*D617),COMPLEX(2*PI()*'Stability Calculations'!EA_Pole1,0)))</f>
        <v>1+117496.507722054i</v>
      </c>
      <c r="X617" s="734">
        <f t="shared" ref="X617" si="520">IMABS(W617)</f>
        <v>117496.50772630944</v>
      </c>
      <c r="Y617" s="735">
        <f t="shared" ref="Y617" si="521">IMARGUMENT(W617)</f>
        <v>1.5707878159036424</v>
      </c>
      <c r="Z617" s="340" t="str">
        <f>IMSUM(COMPLEX(1,0),IMDIV(COMPLEX(0,2*PI()*D617),COMPLEX(2*PI()*'Stability Calculations'!EA_Zero1,0)))</f>
        <v>1+1163.3317596243i</v>
      </c>
      <c r="AA617" s="734">
        <f t="shared" ref="AA617" si="522">IMABS(Z617)</f>
        <v>1163.3321894242292</v>
      </c>
      <c r="AB617" s="735">
        <f t="shared" ref="AB617" si="523">IMARGUMENT(Z617)</f>
        <v>1.56993672698992</v>
      </c>
      <c r="AC617" s="733" t="str">
        <f>IMSUM(COMPLEX(1,0),IMDIV(COMPLEX(0,2*PI()*D617),COMPLEX(2*PI()*'Stability Calculations'!EA_Pole2,0)))</f>
        <v>1+11.7187714423969i</v>
      </c>
      <c r="AD617" s="734">
        <f t="shared" ref="AD617" si="524">IMABS(AC617)</f>
        <v>11.761360640637507</v>
      </c>
      <c r="AE617" s="735">
        <f t="shared" ref="AE617" si="525">IMARGUMENT(AC617)</f>
        <v>1.4856693743272953</v>
      </c>
      <c r="AF617" s="732" t="str">
        <f t="shared" ref="AF617" si="526">IMPRODUCT(V617,IMDIV(Z617,IMPRODUCT(W617,AC617)))</f>
        <v>0.425168880111977-5.03301668047488i</v>
      </c>
      <c r="AG617" s="337">
        <f t="shared" ref="AG617" si="527">IMABS(AF617)</f>
        <v>5.0509430290346824</v>
      </c>
      <c r="AH617" s="730">
        <f t="shared" ref="AH617" si="528">IMARGUMENT(AF617)</f>
        <v>-1.4865204632410176</v>
      </c>
      <c r="AI617" s="731" t="str">
        <f t="shared" ref="AI617" si="529">COMPLEX(AIL,0)</f>
        <v>10000</v>
      </c>
      <c r="AJ617" s="733" t="str">
        <f t="shared" ref="AJ617" si="530">IMSUM(COMPLEX(1,0),IMDIV(COMPLEX(0,2*PI()*D617),COMPLEX(2*PI()*IL_Pole1,0)))</f>
        <v>1+109539.085819873i</v>
      </c>
      <c r="AK617" s="734">
        <f t="shared" ref="AK617" si="531">IMABS(AJ617)</f>
        <v>109539.08582443757</v>
      </c>
      <c r="AL617" s="735">
        <f t="shared" ref="AL617" si="532">IMARGUMENT(AJ617)</f>
        <v>1.5707871976334427</v>
      </c>
      <c r="AM617" s="340" t="str">
        <f t="shared" ref="AM617" si="533">IMSUM(COMPLEX(1,0),IMDIV(COMPLEX(0,2*PI()*D617),COMPLEX(2*PI()*IL_Zero1,0)))</f>
        <v>1+185.900415187963i</v>
      </c>
      <c r="AN617" s="734">
        <f t="shared" ref="AN617" si="534">IMABS(AM617)</f>
        <v>185.90310478057387</v>
      </c>
      <c r="AO617" s="735">
        <f t="shared" ref="AO617" si="535">IMARGUMENT(AM617)</f>
        <v>1.5654171545439599</v>
      </c>
      <c r="AP617" s="733" t="str">
        <f t="shared" ref="AP617" si="536">IMSUM(COMPLEX(1,0),IMDIV(COMPLEX(0,2*PI()*D617),COMPLEX(2*PI()*IL_Pole2,0)))</f>
        <v>1+9.01647656198975i</v>
      </c>
      <c r="AQ617" s="734">
        <f t="shared" ref="AQ617" si="537">IMABS(AP617)</f>
        <v>9.0717611075750071</v>
      </c>
      <c r="AR617" s="735">
        <f t="shared" ref="AR617" si="538">IMARGUMENT(AP617)</f>
        <v>1.4603396765879408</v>
      </c>
      <c r="AS617" s="732" t="str">
        <f>_xlfn.SWITCH(IMONLIM_select,0,COMPLEX(1,0),1,IMPRODUCT(gm_IL,IMDIV(COMPLEX(1,0),IMSUM(COMPLEX(1/20000000,0),COMPLEX(0,2*PI()*D617*CISET),COMPLEX(1/RISET,0)))),2,IMPRODUCT(gm_IL,IMDIV(COMPLEX(1,0),IMSUM(COMPLEX(1/20000000,0),COMPLEX(0,2*PI()*D617*CcIL)))),3,IMPRODUCT(AI617,IMDIV(AM617,IMPRODUCT(AJ617,AP617))))</f>
        <v>0.00798996424649139-12.6411716660403i</v>
      </c>
      <c r="AT617" s="337">
        <f t="shared" ref="AT617" si="539">IMABS(AS617)</f>
        <v>12.641174191103799</v>
      </c>
      <c r="AU617" s="730">
        <f t="shared" ref="AU617" si="540">IMARGUMENT(AS617)</f>
        <v>-1.570164268043257</v>
      </c>
      <c r="AV617" s="732" t="str">
        <f t="shared" ref="AV617" si="541">IMPRODUCT(T617,AS617,COMPLEX($B$15,0),IMPRODUCT(COMPLEX(0.1,0),AF617))</f>
        <v>-1.00039644990964+0.0861911489727269i</v>
      </c>
      <c r="AW617" s="337">
        <f t="shared" ref="AW617" si="542">20*LOG10(IMABS(AV617))</f>
        <v>3.5561573419262284E-2</v>
      </c>
      <c r="AX617" s="730">
        <f t="shared" ref="AX617" si="543">(180/PI())*IMARGUMENT(AV617)</f>
        <v>175.0757282896744</v>
      </c>
      <c r="AY617" s="360">
        <f>IF(AX617&gt;0,AX617-180,AX617+180)</f>
        <v>-4.9242717103255984</v>
      </c>
      <c r="AZ617" s="405" t="s">
        <v>477</v>
      </c>
      <c r="BB617" s="337">
        <f>20*LOG10(IMABS(AS617))</f>
        <v>22.035748316004735</v>
      </c>
      <c r="BC617" s="730">
        <f>(180/PI())*IMARGUMENT(AS617)</f>
        <v>-89.963785701126753</v>
      </c>
      <c r="BD617" s="351"/>
      <c r="BE617" s="337">
        <f>20*LOG10(IMABS(IMPRODUCT(COMPLEX(Am/Afb,0),S617)))</f>
        <v>85.282664118164718</v>
      </c>
      <c r="BF617" s="730">
        <f>180/PI()*IMARGUMENT(IMPRODUCT(COMPLEX(Am/Afb,0),S617))</f>
        <v>-2.4530704501458129</v>
      </c>
      <c r="BI617" s="351"/>
      <c r="BJ617" s="351"/>
    </row>
    <row r="618" spans="4:67" x14ac:dyDescent="0.2">
      <c r="D618" s="352">
        <f>D617</f>
        <v>18515</v>
      </c>
      <c r="E618" s="728"/>
      <c r="F618" s="728"/>
      <c r="G618" s="337"/>
      <c r="H618" s="338"/>
      <c r="I618" s="338"/>
      <c r="J618" s="337"/>
      <c r="K618" s="338"/>
      <c r="L618" s="340"/>
      <c r="M618" s="340"/>
      <c r="N618" s="338"/>
      <c r="O618" s="339"/>
      <c r="P618" s="731"/>
      <c r="Q618" s="338"/>
      <c r="R618" s="339"/>
      <c r="S618" s="732"/>
      <c r="T618" s="337"/>
      <c r="U618" s="339"/>
      <c r="V618" s="741"/>
      <c r="W618" s="741"/>
      <c r="X618" s="741"/>
      <c r="Y618" s="741"/>
      <c r="Z618" s="741"/>
      <c r="AA618" s="741"/>
      <c r="AB618" s="741"/>
      <c r="AC618" s="741"/>
      <c r="AD618" s="741"/>
      <c r="AE618" s="741"/>
      <c r="AF618" s="741"/>
      <c r="AG618" s="741"/>
      <c r="AH618" s="740"/>
      <c r="AI618" s="731"/>
      <c r="AJ618" s="337"/>
      <c r="AK618" s="346"/>
      <c r="AL618" s="347"/>
      <c r="AM618" s="340"/>
      <c r="AN618" s="337"/>
      <c r="AO618" s="339"/>
      <c r="AP618" s="337"/>
      <c r="AQ618" s="346"/>
      <c r="AR618" s="347"/>
      <c r="AS618" s="732"/>
      <c r="AT618" s="337"/>
      <c r="AU618" s="339"/>
      <c r="AV618" s="736"/>
      <c r="AW618" s="337"/>
      <c r="AX618" s="342">
        <v>0</v>
      </c>
      <c r="AY618" s="360">
        <f>IF(AY617&lt;0,0,-180)</f>
        <v>0</v>
      </c>
      <c r="BB618" s="343"/>
      <c r="BC618" s="344"/>
      <c r="BD618" s="351"/>
      <c r="BE618" s="343"/>
      <c r="BF618" s="344"/>
      <c r="BI618" s="351"/>
      <c r="BJ618" s="351"/>
    </row>
    <row r="619" spans="4:67" x14ac:dyDescent="0.2">
      <c r="D619" s="405">
        <f>D618</f>
        <v>18515</v>
      </c>
      <c r="E619" s="728"/>
      <c r="F619" s="728"/>
      <c r="G619" s="337"/>
      <c r="H619" s="338"/>
      <c r="I619" s="338"/>
      <c r="J619" s="337"/>
      <c r="K619" s="338"/>
      <c r="L619" s="340"/>
      <c r="M619" s="340"/>
      <c r="N619" s="338"/>
      <c r="O619" s="339"/>
      <c r="P619" s="731"/>
      <c r="Q619" s="338"/>
      <c r="R619" s="339"/>
      <c r="S619" s="732"/>
      <c r="T619" s="337"/>
      <c r="U619" s="339"/>
      <c r="V619" s="741"/>
      <c r="W619" s="741"/>
      <c r="X619" s="741"/>
      <c r="Y619" s="741"/>
      <c r="Z619" s="741"/>
      <c r="AA619" s="741"/>
      <c r="AB619" s="741"/>
      <c r="AC619" s="741"/>
      <c r="AD619" s="741"/>
      <c r="AE619" s="741"/>
      <c r="AF619" s="741"/>
      <c r="AG619" s="741"/>
      <c r="AH619" s="740"/>
      <c r="AI619" s="731"/>
      <c r="AJ619" s="337"/>
      <c r="AK619" s="346"/>
      <c r="AL619" s="347"/>
      <c r="AM619" s="340"/>
      <c r="AN619" s="337"/>
      <c r="AO619" s="339"/>
      <c r="AP619" s="337"/>
      <c r="AQ619" s="346"/>
      <c r="AR619" s="347"/>
      <c r="AS619" s="732"/>
      <c r="AT619" s="337"/>
      <c r="AU619" s="339"/>
      <c r="AV619" s="736"/>
      <c r="AW619" s="337"/>
      <c r="AX619" s="342">
        <f>AX617</f>
        <v>175.0757282896744</v>
      </c>
      <c r="AY619" s="360">
        <f t="shared" ref="AY619:AY620" si="544">IF(AX619&gt;0,AX619-180,AX619+180)</f>
        <v>-4.9242717103255984</v>
      </c>
      <c r="BB619" s="343"/>
      <c r="BC619" s="344"/>
      <c r="BD619" s="351"/>
      <c r="BE619" s="343"/>
      <c r="BF619" s="344"/>
      <c r="BI619" s="351"/>
      <c r="BJ619" s="351"/>
    </row>
    <row r="620" spans="4:67" ht="13.5" thickBot="1" x14ac:dyDescent="0.25">
      <c r="D620" s="352">
        <v>1000000</v>
      </c>
      <c r="E620" s="728"/>
      <c r="F620" s="728"/>
      <c r="G620" s="337"/>
      <c r="H620" s="338"/>
      <c r="I620" s="338"/>
      <c r="J620" s="337"/>
      <c r="K620" s="338"/>
      <c r="L620" s="340"/>
      <c r="M620" s="340"/>
      <c r="N620" s="338"/>
      <c r="O620" s="339"/>
      <c r="P620" s="731"/>
      <c r="Q620" s="338"/>
      <c r="R620" s="339"/>
      <c r="S620" s="732"/>
      <c r="T620" s="337"/>
      <c r="U620" s="339"/>
      <c r="V620" s="741"/>
      <c r="W620" s="741"/>
      <c r="X620" s="741"/>
      <c r="Y620" s="741"/>
      <c r="Z620" s="741"/>
      <c r="AA620" s="741"/>
      <c r="AB620" s="741"/>
      <c r="AC620" s="741"/>
      <c r="AD620" s="741"/>
      <c r="AE620" s="741"/>
      <c r="AF620" s="741"/>
      <c r="AG620" s="741"/>
      <c r="AH620" s="740"/>
      <c r="AI620" s="731"/>
      <c r="AJ620" s="337"/>
      <c r="AK620" s="346"/>
      <c r="AL620" s="347"/>
      <c r="AM620" s="340"/>
      <c r="AN620" s="337"/>
      <c r="AO620" s="339"/>
      <c r="AP620" s="337"/>
      <c r="AQ620" s="346"/>
      <c r="AR620" s="347"/>
      <c r="AS620" s="732"/>
      <c r="AT620" s="337"/>
      <c r="AU620" s="339"/>
      <c r="AV620" s="736"/>
      <c r="AW620" s="337"/>
      <c r="AX620" s="342">
        <f>AX617</f>
        <v>175.0757282896744</v>
      </c>
      <c r="AY620" s="360">
        <f t="shared" si="544"/>
        <v>-4.9242717103255984</v>
      </c>
      <c r="BB620" s="343"/>
      <c r="BC620" s="344"/>
      <c r="BD620" s="351"/>
      <c r="BE620" s="343"/>
      <c r="BF620" s="344"/>
      <c r="BI620" s="351"/>
      <c r="BJ620" s="351"/>
    </row>
    <row r="621" spans="4:67" ht="13.5" thickBot="1" x14ac:dyDescent="0.25">
      <c r="D621" s="352"/>
      <c r="E621" s="728"/>
      <c r="F621" s="728"/>
      <c r="G621" s="337"/>
      <c r="H621" s="338"/>
      <c r="I621" s="338"/>
      <c r="J621" s="337"/>
      <c r="K621" s="338"/>
      <c r="L621" s="340"/>
      <c r="M621" s="340"/>
      <c r="N621" s="338"/>
      <c r="O621" s="339"/>
      <c r="P621" s="731"/>
      <c r="Q621" s="338"/>
      <c r="R621" s="339"/>
      <c r="S621" s="732"/>
      <c r="T621" s="337"/>
      <c r="U621" s="339"/>
      <c r="V621" s="741"/>
      <c r="W621" s="741"/>
      <c r="X621" s="741"/>
      <c r="Y621" s="741"/>
      <c r="Z621" s="741"/>
      <c r="AA621" s="741"/>
      <c r="AB621" s="741"/>
      <c r="AC621" s="741"/>
      <c r="AD621" s="741"/>
      <c r="AE621" s="741"/>
      <c r="AF621" s="741"/>
      <c r="AG621" s="741"/>
      <c r="AH621" s="740"/>
      <c r="AI621" s="731"/>
      <c r="AJ621" s="337"/>
      <c r="AK621" s="346"/>
      <c r="AL621" s="347"/>
      <c r="AM621" s="340"/>
      <c r="AN621" s="337"/>
      <c r="AO621" s="339"/>
      <c r="AP621" s="337"/>
      <c r="AQ621" s="346"/>
      <c r="AR621" s="347"/>
      <c r="AS621" s="732"/>
      <c r="AT621" s="337"/>
      <c r="AU621" s="339"/>
      <c r="AV621" s="736"/>
      <c r="AW621" s="337"/>
      <c r="AX621" s="730"/>
      <c r="AY621" s="360"/>
      <c r="BB621" s="343"/>
      <c r="BC621" s="344"/>
      <c r="BD621" s="351"/>
      <c r="BE621" s="343"/>
      <c r="BF621" s="344"/>
      <c r="BI621" s="351"/>
      <c r="BJ621" s="351"/>
    </row>
    <row r="622" spans="4:67" ht="13.5" thickBot="1" x14ac:dyDescent="0.25">
      <c r="D622" s="425">
        <f>PS_Pole1</f>
        <v>1308.1228199333864</v>
      </c>
      <c r="E622" s="340" t="str">
        <f t="shared" ref="E622:E629" si="545">COMPLEX(0,2*PI()*D622*L)</f>
        <v>0.0216986301369863i</v>
      </c>
      <c r="F622" s="728" t="str">
        <f t="shared" ref="F622:F629" si="546">IMSUM(COMPLEX($B$8,0),IMDIV(COMPLEX(1,0),COMPLEX(0,2*PI()*D622*$B$6)))</f>
        <v>0.005-1.99453551912568i</v>
      </c>
      <c r="G622" s="337" t="str">
        <f t="shared" ref="G622:G629" si="547">IMSUM(COMPLEX($B$9,0),IMDIV(COMPLEX(1,0),COMPLEX(0,2*PI()*D622*$B$7)))</f>
        <v>0.005-3.11965811965812i</v>
      </c>
      <c r="H622" s="338" t="str">
        <f t="shared" ref="H622:H629" si="548">IMDIV(COMPLEX(1,0),IMSUM(IMDIV(COMPLEX(1,0),COMPLEX($B$5,0)), IMDIV(COMPLEX(1,0),G622)))</f>
        <v>1.05555766759651-0.41140927456961i</v>
      </c>
      <c r="I622" s="338" t="str">
        <f t="shared" ref="I622:I629" si="549">IMSUM(H622,COMPLEX($B$15,0))</f>
        <v>1.06555766759651-0.41140927456961i</v>
      </c>
      <c r="J622" s="337" t="str">
        <f t="shared" ref="J622:J629" si="550">IMDIV(COMPLEX(1,0),IMSUM(IMDIV(COMPLEX(1,0),F622),IMDIV(COMPLEX(1,0),IMSUM(COMPLEX($B$15,0),H622))))</f>
        <v>0.612217341795861-0.611259491920912i</v>
      </c>
      <c r="K622" s="338" t="str">
        <f t="shared" ref="K622:K629" si="551">IMSUM(COMPLEX(1,0),COMPLEX(0,2*PI()*D622/(Fsw*PI()*(-2)/PI())),IMPRODUCT(COMPLEX(0,2*PI()*D622/(Fsw*PI())),COMPLEX(0,2*PI()*D622/(Fsw*PI()))))</f>
        <v>0.999980986829866-0.00684931506849315i</v>
      </c>
      <c r="L622" s="732"/>
      <c r="M622" s="732" t="str">
        <f t="shared" ref="M622:M629" si="552">IF(Vin&gt;=Vout,IMDIV(COMPLEX(Vin,0),IMSUM(E622,J622)),IMDIV(IMSUM(COMPLEX(Vout,0),IMPRODUCT(J622,COMPLEX($B$4,0))),IMSUM(E622,IMPRODUCT(J622,COMPLEX((1-$B$11)^2,0)))))</f>
        <v>20.0006749790504+19.2605050068003i</v>
      </c>
      <c r="N622" s="337">
        <f t="shared" ref="N622:N629" si="553">IF(Vin&gt;=Vout,0,IMSUB(IMPRODUCT(M622,COMPLEX(1-$B$11,0)),COMPLEX($B$4/(1-$B$11),0)))</f>
        <v>0</v>
      </c>
      <c r="O622" s="730" t="str">
        <f t="shared" ref="O622:O629" si="554">IMDIV(IF(Vin&gt;=Vout,M622,N622),IMPRODUCT(I622,IMSUM(IMDIV(COMPLEX(1,0),F622),IMDIV(COMPLEX(1,0),I622))))</f>
        <v>19.7529012687066+7.21926158167928i</v>
      </c>
      <c r="P622" s="731" t="str">
        <f t="shared" ref="P622:P629" si="555">IF(Vin&gt;=Vout,IMDIV(IMPRODUCT(COMPLEX(Vin,0),J622),IMSUM(J622,E622)),IMPRODUCT(N622,J622))</f>
        <v>24.0179265743941-0.43398724886048i</v>
      </c>
      <c r="Q622" s="729" t="str">
        <f t="shared" ref="Q622:Q629" si="556">IF(Vin&gt;=Vout,IMDIV(IMPRODUCT(P622,H622),IMSUM(COMPLEX($B$15,0),H622)),IMPRODUCT(O622,H622))</f>
        <v>23.820397561707-0.506179864677254i</v>
      </c>
      <c r="R622" s="730"/>
      <c r="S622" s="405" t="str">
        <f t="shared" ref="S622:S629" si="557">IMDIV(IMPRODUCT(COMPLEX($B$34,0),M622),IMSUM(COMPLEX(1,0),IMPRODUCT(M622,COMPLEX($B$29,0),K622,COMPLEX($B$34,0))))</f>
        <v>26.8436827500155+7.33872782990468i</v>
      </c>
      <c r="T622" s="405" t="str">
        <f t="shared" ref="T622:T629" si="558">IMDIV(IMPRODUCT(COMPLEX($B$34,0),O622),IMSUM(COMPLEX(1,0),IMPRODUCT(M622,COMPLEX($B$29,0),K622,COMPLEX($B$34,0))))</f>
        <v>20.8433245283096-3.13490532952282i</v>
      </c>
      <c r="U622" s="405" t="str">
        <f t="shared" ref="U622:U629" si="559">IMDIV(IMPRODUCT(COMPLEX($B$34,0),Q622),IMSUM(COMPLEX(1,0),IMPRODUCT(M622,COMPLEX($B$29,0),K622,COMPLEX($B$34,0))))</f>
        <v>20.7116018965961-11.8842103815778i</v>
      </c>
      <c r="V622" s="731" t="str">
        <f t="shared" ref="V622:V629" si="560">COMPLEX(AEA,0)</f>
        <v>6000</v>
      </c>
      <c r="W622" s="733" t="str">
        <f>IMSUM(COMPLEX(1,0),IMDIV(COMPLEX(0,2*PI()*D622),COMPLEX(2*PI()*'Stability Calculations'!EA_Pole1,0)))</f>
        <v>1+8301.3698630137i</v>
      </c>
      <c r="X622" s="734">
        <f t="shared" ref="X622:X629" si="561">IMABS(W622)</f>
        <v>8301.3699232447234</v>
      </c>
      <c r="Y622" s="735">
        <f t="shared" ref="Y622:Y629" si="562">IMARGUMENT(W622)</f>
        <v>1.5706758647492747</v>
      </c>
      <c r="Z622" s="340" t="str">
        <f>IMSUM(COMPLEX(1,0),IMDIV(COMPLEX(0,2*PI()*D622),COMPLEX(2*PI()*'Stability Calculations'!EA_Zero1,0)))</f>
        <v>1+82.1917808219178i</v>
      </c>
      <c r="AA622" s="734">
        <f t="shared" ref="AA622:AA629" si="563">IMABS(Z622)</f>
        <v>82.197863930142219</v>
      </c>
      <c r="AB622" s="735">
        <f t="shared" ref="AB622:AB629" si="564">IMARGUMENT(Z622)</f>
        <v>1.5586302604097924</v>
      </c>
      <c r="AC622" s="733" t="str">
        <f>IMSUM(COMPLEX(1,0),IMDIV(COMPLEX(0,2*PI()*D622),COMPLEX(2*PI()*'Stability Calculations'!EA_Pole2,0)))</f>
        <v>1+0.827955298157332i</v>
      </c>
      <c r="AD622" s="734">
        <f t="shared" ref="AD622:AD629" si="565">IMABS(AC622)</f>
        <v>1.2982719190319094</v>
      </c>
      <c r="AE622" s="735">
        <f t="shared" ref="AE622:AE629" si="566">IMARGUMENT(AC622)</f>
        <v>0.69155594745837212</v>
      </c>
      <c r="AF622" s="732" t="str">
        <f t="shared" ref="AF622:AF629" si="567">IMPRODUCT(V622,IMDIV(Z622,IMPRODUCT(W622,AC622)))</f>
        <v>34.8936105385165-29.6059658228859i</v>
      </c>
      <c r="AG622" s="337">
        <f t="shared" ref="AG622:AG629" si="568">IMABS(AF622)</f>
        <v>45.761089024623942</v>
      </c>
      <c r="AH622" s="730">
        <f t="shared" ref="AH622:AH629" si="569">IMARGUMENT(AF622)</f>
        <v>-0.703601551797854</v>
      </c>
      <c r="AI622" s="731" t="str">
        <f t="shared" ref="AI622:AI629" si="570">COMPLEX(AIL,0)</f>
        <v>10000</v>
      </c>
      <c r="AJ622" s="733" t="str">
        <f t="shared" ref="AJ622:AJ629" si="571">IMSUM(COMPLEX(1,0),IMDIV(COMPLEX(0,2*PI()*D622),COMPLEX(2*PI()*IL_Pole1,0)))</f>
        <v>1+7739.16164383565i</v>
      </c>
      <c r="AK622" s="734">
        <f t="shared" ref="AK622:AK629" si="572">IMABS(AJ622)</f>
        <v>7739.1617084421305</v>
      </c>
      <c r="AL622" s="735">
        <f t="shared" ref="AL622:AL629" si="573">IMARGUMENT(AJ622)</f>
        <v>1.5706671138335377</v>
      </c>
      <c r="AM622" s="340" t="str">
        <f t="shared" ref="AM622:AM629" si="574">IMSUM(COMPLEX(1,0),IMDIV(COMPLEX(0,2*PI()*D622),COMPLEX(2*PI()*IL_Zero1,0)))</f>
        <v>1+13.1342465753425i</v>
      </c>
      <c r="AN622" s="734">
        <f t="shared" ref="AN622:AN629" si="575">IMABS(AM622)</f>
        <v>13.172259984600068</v>
      </c>
      <c r="AO622" s="735">
        <f t="shared" ref="AO622:AO629" si="576">IMARGUMENT(AM622)</f>
        <v>1.4948060966354038</v>
      </c>
      <c r="AP622" s="733" t="str">
        <f t="shared" ref="AP622:AP629" si="577">IMSUM(COMPLEX(1,0),IMDIV(COMPLEX(0,2*PI()*D622),COMPLEX(2*PI()*IL_Pole2,0)))</f>
        <v>1+0.637032608486811i</v>
      </c>
      <c r="AQ622" s="734">
        <f t="shared" ref="AQ622:AQ629" si="578">IMABS(AP622)</f>
        <v>1.1856688172822589</v>
      </c>
      <c r="AR622" s="735">
        <f t="shared" ref="AR622:AR629" si="579">IMARGUMENT(AP622)</f>
        <v>0.56720522400168616</v>
      </c>
      <c r="AS622" s="732" t="str">
        <f t="shared" ref="AS622:AS629" si="580">_xlfn.SWITCH(IMONLIM_select,0,COMPLEX(1,0),1,IMPRODUCT(gm_IL,IMDIV(COMPLEX(1,0),IMSUM(COMPLEX(1/20000000,0),COMPLEX(0,2*PI()*D622*CISET),COMPLEX(1/RISET,0)))),2,IMPRODUCT(gm_IL,IMDIV(COMPLEX(1,0),IMSUM(COMPLEX(1/20000000,0),COMPLEX(0,2*PI()*D622*CcIL)))),3,IMPRODUCT(AI622,IMDIV(AM622,IMPRODUCT(AJ622,AP622))))</f>
        <v>1.60051829281433-178.907250265273i</v>
      </c>
      <c r="AT622" s="337">
        <f t="shared" ref="AT622:AT629" si="581">IMABS(AS622)</f>
        <v>178.91440930312646</v>
      </c>
      <c r="AU622" s="730">
        <f t="shared" ref="AU622:AU629" si="582">IMARGUMENT(AS622)</f>
        <v>-1.561850487010533</v>
      </c>
      <c r="AV622" s="732" t="str">
        <f t="shared" ref="AV622:AV629" si="583">IMPRODUCT(T622,AS622,COMPLEX($B$15,0),IMPRODUCT(COMPLEX(0.1,0),AF622))</f>
        <v>-128.956122224772-114.677051660512i</v>
      </c>
      <c r="AW622" s="337">
        <f t="shared" ref="AW622:AW629" si="584">20*LOG10(IMABS(AV622))</f>
        <v>44.739320964376887</v>
      </c>
      <c r="AX622" s="730">
        <f t="shared" ref="AX622:AX629" si="585">(180/PI())*IMARGUMENT(AV622)</f>
        <v>-138.35420514201826</v>
      </c>
      <c r="AY622" s="360">
        <f t="shared" ref="AY622:AY629" si="586">IF(AX622&gt;0,AX622-180,AX622+180)</f>
        <v>41.645794857981741</v>
      </c>
      <c r="AZ622" s="405" t="s">
        <v>454</v>
      </c>
      <c r="BB622" s="337">
        <f t="shared" ref="BB622:BB628" si="587">20*LOG10(IMABS(AS622))</f>
        <v>45.052906378572992</v>
      </c>
      <c r="BC622" s="730">
        <f t="shared" ref="BC622:BC628" si="588">(180/PI())*IMARGUMENT(AS622)</f>
        <v>-89.487441136155738</v>
      </c>
      <c r="BD622" s="351"/>
      <c r="BE622" s="337">
        <f t="shared" ref="BE622:BE628" si="589">20*LOG10(IMABS(IMPRODUCT(COMPLEX(Am/Afb,0),S622)))</f>
        <v>82.161810249986786</v>
      </c>
      <c r="BF622" s="730">
        <f t="shared" ref="BF622:BF628" si="590">180/PI()*IMARGUMENT(IMPRODUCT(COMPLEX(Am/Afb,0),S622))</f>
        <v>15.290323174011135</v>
      </c>
      <c r="BI622" s="351"/>
      <c r="BJ622" s="351"/>
    </row>
    <row r="623" spans="4:67" ht="13.5" thickBot="1" x14ac:dyDescent="0.25">
      <c r="D623" s="425">
        <f>PS_Zero1</f>
        <v>318309.88618379069</v>
      </c>
      <c r="E623" s="340" t="str">
        <f t="shared" si="545"/>
        <v>5.28i</v>
      </c>
      <c r="F623" s="728" t="str">
        <f t="shared" si="546"/>
        <v>0.005-0.00819672131147541i</v>
      </c>
      <c r="G623" s="337" t="str">
        <f t="shared" si="547"/>
        <v>0.005-0.0128205128205128i</v>
      </c>
      <c r="H623" s="338" t="str">
        <f t="shared" si="548"/>
        <v>0.00511296447196426-0.0127143845334736i</v>
      </c>
      <c r="I623" s="338" t="str">
        <f t="shared" si="549"/>
        <v>0.0151129644719643-0.0127143845334736i</v>
      </c>
      <c r="J623" s="337" t="str">
        <f t="shared" si="550"/>
        <v>0.00397181174873696-0.005190368874054i</v>
      </c>
      <c r="K623" s="338" t="str">
        <f t="shared" si="551"/>
        <v>-0.12579092935931-1.66666666666667i</v>
      </c>
      <c r="L623" s="732"/>
      <c r="M623" s="732" t="str">
        <f t="shared" si="552"/>
        <v>0.00336889000888057-4.47409257770038i</v>
      </c>
      <c r="N623" s="337">
        <f t="shared" si="553"/>
        <v>0</v>
      </c>
      <c r="O623" s="730" t="str">
        <f t="shared" si="554"/>
        <v>-0.319424294685435-1.44571388355906i</v>
      </c>
      <c r="P623" s="731" t="str">
        <f t="shared" si="555"/>
        <v>-0.0232088102580145-0.0177877392468894i</v>
      </c>
      <c r="Q623" s="729" t="str">
        <f t="shared" si="556"/>
        <v>-0.0200145673111602-0.00333060041129879i</v>
      </c>
      <c r="R623" s="730"/>
      <c r="S623" s="405" t="str">
        <f t="shared" si="557"/>
        <v>-1.77254635983166-23.9159044334049i</v>
      </c>
      <c r="T623" s="405" t="str">
        <f t="shared" si="558"/>
        <v>-2.2859424757614-7.59967725906278i</v>
      </c>
      <c r="U623" s="405" t="str">
        <f t="shared" si="559"/>
        <v>-0.108313161665541-0.00979252816575199i</v>
      </c>
      <c r="V623" s="731" t="str">
        <f t="shared" si="560"/>
        <v>6000</v>
      </c>
      <c r="W623" s="733" t="str">
        <f>IMSUM(COMPLEX(1,0),IMDIV(COMPLEX(0,2*PI()*D623),COMPLEX(2*PI()*'Stability Calculations'!EA_Pole1,0)))</f>
        <v>1+2020000i</v>
      </c>
      <c r="X623" s="734">
        <f t="shared" si="561"/>
        <v>2020000.0000002475</v>
      </c>
      <c r="Y623" s="735">
        <f t="shared" si="562"/>
        <v>1.5707958317453916</v>
      </c>
      <c r="Z623" s="340" t="str">
        <f>IMSUM(COMPLEX(1,0),IMDIV(COMPLEX(0,2*PI()*D623),COMPLEX(2*PI()*'Stability Calculations'!EA_Zero1,0)))</f>
        <v>1+20000i</v>
      </c>
      <c r="AA623" s="734">
        <f t="shared" si="563"/>
        <v>20000.000024999998</v>
      </c>
      <c r="AB623" s="735">
        <f t="shared" si="564"/>
        <v>1.5707463267949382</v>
      </c>
      <c r="AC623" s="733" t="str">
        <f>IMSUM(COMPLEX(1,0),IMDIV(COMPLEX(0,2*PI()*D623),COMPLEX(2*PI()*'Stability Calculations'!EA_Pole2,0)))</f>
        <v>1+201.469122551618i</v>
      </c>
      <c r="AD623" s="734">
        <f t="shared" si="565"/>
        <v>201.47160430621201</v>
      </c>
      <c r="AE623" s="735">
        <f t="shared" si="566"/>
        <v>1.5658328277970646</v>
      </c>
      <c r="AF623" s="732" t="str">
        <f t="shared" si="567"/>
        <v>0.0014489350247617-0.294856556221268i</v>
      </c>
      <c r="AG623" s="337">
        <f t="shared" si="568"/>
        <v>0.2948601162574751</v>
      </c>
      <c r="AH623" s="730">
        <f t="shared" si="569"/>
        <v>-1.565882332747518</v>
      </c>
      <c r="AI623" s="731" t="str">
        <f t="shared" si="570"/>
        <v>10000</v>
      </c>
      <c r="AJ623" s="733" t="str">
        <f t="shared" si="571"/>
        <v>1+1883196.00000001i</v>
      </c>
      <c r="AK623" s="734">
        <f t="shared" si="572"/>
        <v>1883196.0000002754</v>
      </c>
      <c r="AL623" s="735">
        <f t="shared" si="573"/>
        <v>1.5707957957827237</v>
      </c>
      <c r="AM623" s="340" t="str">
        <f t="shared" si="574"/>
        <v>1+3196i</v>
      </c>
      <c r="AN623" s="734">
        <f t="shared" si="575"/>
        <v>3196.0001564455533</v>
      </c>
      <c r="AO623" s="735">
        <f t="shared" si="576"/>
        <v>1.570483435691215</v>
      </c>
      <c r="AP623" s="733" t="str">
        <f t="shared" si="577"/>
        <v>1+155.011268065124i</v>
      </c>
      <c r="AQ623" s="734">
        <f t="shared" si="578"/>
        <v>155.01449360352643</v>
      </c>
      <c r="AR623" s="735">
        <f t="shared" si="579"/>
        <v>1.5643452723624733</v>
      </c>
      <c r="AS623" s="732" t="str">
        <f t="shared" si="580"/>
        <v>0.0000270328719357795-0.735294116653203i</v>
      </c>
      <c r="AT623" s="337">
        <f t="shared" si="581"/>
        <v>0.73529411715013082</v>
      </c>
      <c r="AU623" s="730">
        <f t="shared" si="582"/>
        <v>-1.5707595620890309</v>
      </c>
      <c r="AV623" s="732" t="str">
        <f t="shared" si="583"/>
        <v>0.000487449398533707+0.00165011119087352i</v>
      </c>
      <c r="AW623" s="337">
        <f t="shared" si="584"/>
        <v>-55.286387694790548</v>
      </c>
      <c r="AX623" s="730">
        <f t="shared" si="585"/>
        <v>73.542650280158327</v>
      </c>
      <c r="AY623" s="360">
        <f t="shared" si="586"/>
        <v>-106.45734971984167</v>
      </c>
      <c r="AZ623" s="405" t="s">
        <v>449</v>
      </c>
      <c r="BB623" s="337">
        <f t="shared" si="587"/>
        <v>-2.6707781732744662</v>
      </c>
      <c r="BC623" s="730">
        <f t="shared" si="588"/>
        <v>-89.997893537518863</v>
      </c>
      <c r="BD623" s="351"/>
      <c r="BE623" s="337">
        <f t="shared" si="589"/>
        <v>80.869458555243682</v>
      </c>
      <c r="BF623" s="730">
        <f t="shared" si="590"/>
        <v>-94.238772393566265</v>
      </c>
      <c r="BI623" s="351"/>
      <c r="BJ623" s="351"/>
    </row>
    <row r="624" spans="4:67" ht="13.5" thickBot="1" x14ac:dyDescent="0.25">
      <c r="D624" s="425">
        <f>IL_Pole1</f>
        <v>0.16902642432534409</v>
      </c>
      <c r="E624" s="340" t="str">
        <f t="shared" si="545"/>
        <v>2.80374427303372E-06i</v>
      </c>
      <c r="F624" s="728" t="str">
        <f t="shared" si="546"/>
        <v>0.005-15436.0327868852i</v>
      </c>
      <c r="G624" s="337" t="str">
        <f t="shared" si="547"/>
        <v>0.005-24143.5384615384i</v>
      </c>
      <c r="H624" s="338" t="str">
        <f t="shared" si="548"/>
        <v>1.2166666635643-0.0000613115503490037i</v>
      </c>
      <c r="I624" s="338" t="str">
        <f t="shared" si="549"/>
        <v>1.2266666635643-0.0000613115503490037i</v>
      </c>
      <c r="J624" s="337" t="str">
        <f t="shared" si="550"/>
        <v>1.22666664604159-0.000158791977668417i</v>
      </c>
      <c r="K624" s="338" t="str">
        <f t="shared" si="551"/>
        <v>0.999999999999683-8.85020288205087E-07i</v>
      </c>
      <c r="L624" s="732"/>
      <c r="M624" s="732" t="str">
        <f t="shared" si="552"/>
        <v>19.2391304471564+0.00244653099536017i</v>
      </c>
      <c r="N624" s="337">
        <f t="shared" si="553"/>
        <v>0</v>
      </c>
      <c r="O624" s="730" t="str">
        <f t="shared" si="554"/>
        <v>19.2391304431666+0.000917640746637029i</v>
      </c>
      <c r="P624" s="731" t="str">
        <f t="shared" si="555"/>
        <v>23.6000000068594-0.000053941601809371i</v>
      </c>
      <c r="Q624" s="729" t="str">
        <f t="shared" si="556"/>
        <v>23.4076087024277-0.0000631180092757436i</v>
      </c>
      <c r="R624" s="730"/>
      <c r="S624" s="405" t="str">
        <f t="shared" si="557"/>
        <v>22.5426945918919+0.00126233293648989i</v>
      </c>
      <c r="T624" s="405" t="str">
        <f t="shared" si="558"/>
        <v>22.5426944597274-0.000529084077800041i</v>
      </c>
      <c r="U624" s="405" t="str">
        <f t="shared" si="559"/>
        <v>27.4269448236269-0.00202584650605176i</v>
      </c>
      <c r="V624" s="731" t="str">
        <f t="shared" si="560"/>
        <v>6000</v>
      </c>
      <c r="W624" s="733" t="str">
        <f>IMSUM(COMPLEX(1,0),IMDIV(COMPLEX(0,2*PI()*D624),COMPLEX(2*PI()*'Stability Calculations'!EA_Pole1,0)))</f>
        <v>1+1.07264458930456i</v>
      </c>
      <c r="X624" s="734">
        <f t="shared" si="561"/>
        <v>1.4664809630419169</v>
      </c>
      <c r="Y624" s="735">
        <f t="shared" si="562"/>
        <v>0.82043304823917995</v>
      </c>
      <c r="Z624" s="340" t="str">
        <f>IMSUM(COMPLEX(1,0),IMDIV(COMPLEX(0,2*PI()*D624),COMPLEX(2*PI()*'Stability Calculations'!EA_Zero1,0)))</f>
        <v>1+0.010620243458461i</v>
      </c>
      <c r="AA624" s="734">
        <f t="shared" si="563"/>
        <v>1.0000563931954622</v>
      </c>
      <c r="AB624" s="735">
        <f t="shared" si="564"/>
        <v>1.0619844201244935E-2</v>
      </c>
      <c r="AC624" s="733" t="str">
        <f>IMSUM(COMPLEX(1,0),IMDIV(COMPLEX(0,2*PI()*D624),COMPLEX(2*PI()*'Stability Calculations'!EA_Pole2,0)))</f>
        <v>1+0.000106982556543035i</v>
      </c>
      <c r="AD624" s="734">
        <f t="shared" si="565"/>
        <v>1.0000000057226337</v>
      </c>
      <c r="AE624" s="735">
        <f t="shared" si="566"/>
        <v>1.0698255613488702E-4</v>
      </c>
      <c r="AF624" s="732" t="str">
        <f t="shared" si="567"/>
        <v>2821.42818745434-2963.31011469472i</v>
      </c>
      <c r="AG624" s="337">
        <f t="shared" si="568"/>
        <v>4091.6578367226548</v>
      </c>
      <c r="AH624" s="730">
        <f t="shared" si="569"/>
        <v>-0.80992018659406928</v>
      </c>
      <c r="AI624" s="731" t="str">
        <f t="shared" si="570"/>
        <v>10000</v>
      </c>
      <c r="AJ624" s="733" t="str">
        <f t="shared" si="571"/>
        <v>1+i</v>
      </c>
      <c r="AK624" s="734">
        <f t="shared" si="572"/>
        <v>1.4142135623730951</v>
      </c>
      <c r="AL624" s="735">
        <f t="shared" si="573"/>
        <v>0.78539816339744828</v>
      </c>
      <c r="AM624" s="340" t="str">
        <f t="shared" si="574"/>
        <v>1+0.00169711490466207i</v>
      </c>
      <c r="AN624" s="734">
        <f t="shared" si="575"/>
        <v>1.0000014400984629</v>
      </c>
      <c r="AO624" s="735">
        <f t="shared" si="576"/>
        <v>1.6971132753220023E-3</v>
      </c>
      <c r="AP624" s="733" t="str">
        <f t="shared" si="577"/>
        <v>1+0.0000823128702828189i</v>
      </c>
      <c r="AQ624" s="734">
        <f t="shared" si="578"/>
        <v>1.0000000033877043</v>
      </c>
      <c r="AR624" s="735">
        <f t="shared" si="579"/>
        <v>8.2312870096917781E-5</v>
      </c>
      <c r="AS624" s="732" t="str">
        <f t="shared" si="580"/>
        <v>19995.828558413-288.810371723832i</v>
      </c>
      <c r="AT624" s="337">
        <f t="shared" si="581"/>
        <v>19997.914170439377</v>
      </c>
      <c r="AU624" s="730">
        <f t="shared" si="582"/>
        <v>-1.4442526847281622E-2</v>
      </c>
      <c r="AV624" s="732" t="str">
        <f t="shared" si="583"/>
        <v>1252461.95544647-1354139.71876372i</v>
      </c>
      <c r="AW624" s="337">
        <f t="shared" si="584"/>
        <v>125.31779667546172</v>
      </c>
      <c r="AX624" s="730">
        <f t="shared" si="585"/>
        <v>-47.233849017977121</v>
      </c>
      <c r="AY624" s="360">
        <f t="shared" si="586"/>
        <v>132.76615098202288</v>
      </c>
      <c r="AZ624" s="405" t="s">
        <v>457</v>
      </c>
      <c r="BA624" s="405">
        <f>IL_Pole1</f>
        <v>0.16902642432534409</v>
      </c>
      <c r="BB624" s="337">
        <f t="shared" si="587"/>
        <v>86.019694001771001</v>
      </c>
      <c r="BC624" s="730">
        <f t="shared" si="588"/>
        <v>-0.8274958338536198</v>
      </c>
      <c r="BD624" s="351"/>
      <c r="BE624" s="337">
        <f t="shared" si="589"/>
        <v>80.332047757513649</v>
      </c>
      <c r="BF624" s="730">
        <f t="shared" si="590"/>
        <v>3.2084163333181322E-3</v>
      </c>
      <c r="BI624" s="351"/>
      <c r="BJ624" s="351"/>
    </row>
    <row r="625" spans="3:62" ht="13.5" thickBot="1" x14ac:dyDescent="0.25">
      <c r="D625" s="425">
        <f>IL_Zero1</f>
        <v>99.596334850998332</v>
      </c>
      <c r="E625" s="340" t="str">
        <f t="shared" si="545"/>
        <v>0.00165206508135169i</v>
      </c>
      <c r="F625" s="728" t="str">
        <f t="shared" si="546"/>
        <v>0.005-26.1967213114754i</v>
      </c>
      <c r="G625" s="337" t="str">
        <f t="shared" si="547"/>
        <v>0.005-40.974358974359i</v>
      </c>
      <c r="H625" s="338" t="str">
        <f t="shared" si="548"/>
        <v>1.21559048470127-0.036094842705627i</v>
      </c>
      <c r="I625" s="338" t="str">
        <f t="shared" si="549"/>
        <v>1.22559048470127-0.036094842705627i</v>
      </c>
      <c r="J625" s="337" t="str">
        <f t="shared" si="550"/>
        <v>1.21954737670864-0.0930209690715372i</v>
      </c>
      <c r="K625" s="338" t="str">
        <f t="shared" si="551"/>
        <v>0.999999889784112-0.000521485189820609i</v>
      </c>
      <c r="L625" s="732"/>
      <c r="M625" s="732" t="str">
        <f t="shared" si="552"/>
        <v>19.243427271649+1.44172411208054i</v>
      </c>
      <c r="N625" s="337">
        <f t="shared" si="553"/>
        <v>0</v>
      </c>
      <c r="O625" s="730" t="str">
        <f t="shared" si="554"/>
        <v>19.2420417460496+0.540757360791107i</v>
      </c>
      <c r="P625" s="731" t="str">
        <f t="shared" si="555"/>
        <v>23.6023818220625-0.0317913942410243i</v>
      </c>
      <c r="Q625" s="729" t="str">
        <f t="shared" si="556"/>
        <v>23.409961404602-0.0371989678489347i</v>
      </c>
      <c r="R625" s="730"/>
      <c r="S625" s="405" t="str">
        <f t="shared" si="557"/>
        <v>22.5755266645974+0.742398503729306i</v>
      </c>
      <c r="T625" s="405" t="str">
        <f t="shared" si="558"/>
        <v>22.5297241695305-0.311197234807417i</v>
      </c>
      <c r="U625" s="405" t="str">
        <f t="shared" si="559"/>
        <v>27.3756857081844-1.19149524759761i</v>
      </c>
      <c r="V625" s="731" t="str">
        <f t="shared" si="560"/>
        <v>6000</v>
      </c>
      <c r="W625" s="733" t="str">
        <f>IMSUM(COMPLEX(1,0),IMDIV(COMPLEX(0,2*PI()*D625),COMPLEX(2*PI()*'Stability Calculations'!EA_Pole1,0)))</f>
        <v>1+632.040050062578i</v>
      </c>
      <c r="X625" s="734">
        <f t="shared" si="561"/>
        <v>632.04084115119178</v>
      </c>
      <c r="Y625" s="735">
        <f t="shared" si="562"/>
        <v>1.5692141498972887</v>
      </c>
      <c r="Z625" s="340" t="str">
        <f>IMSUM(COMPLEX(1,0),IMDIV(COMPLEX(0,2*PI()*D625),COMPLEX(2*PI()*'Stability Calculations'!EA_Zero1,0)))</f>
        <v>1+6.25782227784731i</v>
      </c>
      <c r="AA625" s="734">
        <f t="shared" si="563"/>
        <v>6.3372186060701816</v>
      </c>
      <c r="AB625" s="735">
        <f t="shared" si="564"/>
        <v>1.4123360784910117</v>
      </c>
      <c r="AC625" s="733" t="str">
        <f>IMSUM(COMPLEX(1,0),IMDIV(COMPLEX(0,2*PI()*D625),COMPLEX(2*PI()*'Stability Calculations'!EA_Pole2,0)))</f>
        <v>1+0.0630378981700931i</v>
      </c>
      <c r="AD625" s="734">
        <f t="shared" si="565"/>
        <v>1.0019849183524188</v>
      </c>
      <c r="AE625" s="735">
        <f t="shared" si="566"/>
        <v>6.2954597183443997E-2</v>
      </c>
      <c r="AF625" s="732" t="str">
        <f t="shared" si="567"/>
        <v>58.5954695963011-13.0927902388132i</v>
      </c>
      <c r="AG625" s="337">
        <f t="shared" si="568"/>
        <v>60.040404840812073</v>
      </c>
      <c r="AH625" s="730">
        <f t="shared" si="569"/>
        <v>-0.21983266858972056</v>
      </c>
      <c r="AI625" s="731" t="str">
        <f t="shared" si="570"/>
        <v>10000</v>
      </c>
      <c r="AJ625" s="733" t="str">
        <f t="shared" si="571"/>
        <v>1+589.235294117649i</v>
      </c>
      <c r="AK625" s="734">
        <f t="shared" si="572"/>
        <v>589.23614267449034</v>
      </c>
      <c r="AL625" s="735">
        <f t="shared" si="573"/>
        <v>1.5690992135195747</v>
      </c>
      <c r="AM625" s="340" t="str">
        <f t="shared" si="574"/>
        <v>1+i</v>
      </c>
      <c r="AN625" s="734">
        <f t="shared" si="575"/>
        <v>1.4142135623730951</v>
      </c>
      <c r="AO625" s="735">
        <f t="shared" si="576"/>
        <v>0.78539816339744828</v>
      </c>
      <c r="AP625" s="733" t="str">
        <f t="shared" si="577"/>
        <v>1+0.0485016483307648i</v>
      </c>
      <c r="AQ625" s="734">
        <f t="shared" si="578"/>
        <v>1.0011755140287846</v>
      </c>
      <c r="AR625" s="735">
        <f t="shared" si="579"/>
        <v>4.846367000164449E-2</v>
      </c>
      <c r="AS625" s="732" t="str">
        <f t="shared" si="580"/>
        <v>272.364665339161-2317.99715182265i</v>
      </c>
      <c r="AT625" s="337">
        <f t="shared" si="581"/>
        <v>2333.9437239966242</v>
      </c>
      <c r="AU625" s="730">
        <f t="shared" si="582"/>
        <v>-1.4538326358968729</v>
      </c>
      <c r="AV625" s="732" t="str">
        <f t="shared" si="583"/>
        <v>-367.574137892317-3135.94348075812i</v>
      </c>
      <c r="AW625" s="337">
        <f t="shared" si="584"/>
        <v>69.986625854987324</v>
      </c>
      <c r="AX625" s="730">
        <f t="shared" si="585"/>
        <v>-96.685319676205822</v>
      </c>
      <c r="AY625" s="360">
        <f t="shared" si="586"/>
        <v>83.314680323794178</v>
      </c>
      <c r="AZ625" s="405" t="s">
        <v>452</v>
      </c>
      <c r="BA625" s="405">
        <f>IL_Zero1</f>
        <v>99.596334850998332</v>
      </c>
      <c r="BB625" s="337">
        <f t="shared" si="587"/>
        <v>67.361807602718471</v>
      </c>
      <c r="BC625" s="730">
        <f t="shared" si="588"/>
        <v>-83.298474155270526</v>
      </c>
      <c r="BD625" s="351"/>
      <c r="BE625" s="337">
        <f t="shared" si="589"/>
        <v>80.349383066909439</v>
      </c>
      <c r="BF625" s="730">
        <f t="shared" si="590"/>
        <v>1.8834988087058842</v>
      </c>
      <c r="BI625" s="351"/>
      <c r="BJ625" s="351"/>
    </row>
    <row r="626" spans="3:62" ht="13.5" thickBot="1" x14ac:dyDescent="0.25">
      <c r="D626" s="425">
        <f>PS_Pole2</f>
        <v>300000</v>
      </c>
      <c r="E626" s="340" t="str">
        <f t="shared" si="545"/>
        <v>4.97628276328623i</v>
      </c>
      <c r="F626" s="728" t="str">
        <f t="shared" si="546"/>
        <v>0.005-0.00869699142578666i</v>
      </c>
      <c r="G626" s="337" t="str">
        <f t="shared" si="547"/>
        <v>0.005-0.0136029865890509i</v>
      </c>
      <c r="H626" s="338" t="str">
        <f t="shared" si="548"/>
        <v>0.00512974646354896-0.0134901941154131i</v>
      </c>
      <c r="I626" s="338" t="str">
        <f t="shared" si="549"/>
        <v>0.015129746463549-0.0134901941154131i</v>
      </c>
      <c r="J626" s="337" t="str">
        <f t="shared" si="550"/>
        <v>0.00398571945359972-0.00549447301847395i</v>
      </c>
      <c r="K626" s="338" t="str">
        <f t="shared" si="551"/>
        <v>-1.5707963267949i</v>
      </c>
      <c r="L626" s="732"/>
      <c r="M626" s="732" t="str">
        <f t="shared" si="552"/>
        <v>0.00380686886477365-4.74773485587685i</v>
      </c>
      <c r="N626" s="337">
        <f t="shared" si="553"/>
        <v>0</v>
      </c>
      <c r="O626" s="730" t="str">
        <f t="shared" si="554"/>
        <v>-0.338019959524558-1.55349667222521i</v>
      </c>
      <c r="P626" s="731" t="str">
        <f t="shared" si="555"/>
        <v>-0.026071127953192-0.0189440559138642i</v>
      </c>
      <c r="Q626" s="729" t="str">
        <f t="shared" si="556"/>
        <v>-0.0226909283579464-0.00340908919161204i</v>
      </c>
      <c r="R626" s="730"/>
      <c r="S626" s="405" t="str">
        <f t="shared" si="557"/>
        <v>0.0409723488427608-25.5210825492752i</v>
      </c>
      <c r="T626" s="405" t="str">
        <f t="shared" si="558"/>
        <v>-1.81029074884011-8.35216707500186i</v>
      </c>
      <c r="U626" s="405" t="str">
        <f t="shared" si="559"/>
        <v>-0.121958687692995-0.0184233259087715i</v>
      </c>
      <c r="V626" s="731" t="str">
        <f t="shared" si="560"/>
        <v>6000</v>
      </c>
      <c r="W626" s="733" t="str">
        <f>IMSUM(COMPLEX(1,0),IMDIV(COMPLEX(0,2*PI()*D626),COMPLEX(2*PI()*'Stability Calculations'!EA_Pole1,0)))</f>
        <v>1+1903805.14807542i</v>
      </c>
      <c r="X626" s="734">
        <f t="shared" si="561"/>
        <v>1903805.1480756828</v>
      </c>
      <c r="Y626" s="735">
        <f t="shared" si="562"/>
        <v>1.5707958015310581</v>
      </c>
      <c r="Z626" s="340" t="str">
        <f>IMSUM(COMPLEX(1,0),IMDIV(COMPLEX(0,2*PI()*D626),COMPLEX(2*PI()*'Stability Calculations'!EA_Zero1,0)))</f>
        <v>1+18849.5559215388i</v>
      </c>
      <c r="AA626" s="734">
        <f t="shared" si="563"/>
        <v>18849.555948064619</v>
      </c>
      <c r="AB626" s="735">
        <f t="shared" si="564"/>
        <v>1.570743275147249</v>
      </c>
      <c r="AC626" s="733" t="str">
        <f>IMSUM(COMPLEX(1,0),IMDIV(COMPLEX(0,2*PI()*D626),COMPLEX(2*PI()*'Stability Calculations'!EA_Pole2,0)))</f>
        <v>1+189.880174600003i</v>
      </c>
      <c r="AD626" s="734">
        <f t="shared" si="565"/>
        <v>189.88280782137076</v>
      </c>
      <c r="AE626" s="735">
        <f t="shared" si="566"/>
        <v>1.5655298962315558</v>
      </c>
      <c r="AF626" s="732" t="str">
        <f t="shared" si="567"/>
        <v>0.00163119285304547-0.312851562981681i</v>
      </c>
      <c r="AG626" s="337">
        <f t="shared" si="568"/>
        <v>0.31285581543293156</v>
      </c>
      <c r="AH626" s="730">
        <f t="shared" si="569"/>
        <v>-1.5655824226153647</v>
      </c>
      <c r="AI626" s="731" t="str">
        <f t="shared" si="570"/>
        <v>10000</v>
      </c>
      <c r="AJ626" s="733" t="str">
        <f t="shared" si="571"/>
        <v>1+1774870.41566092i</v>
      </c>
      <c r="AK626" s="734">
        <f t="shared" si="572"/>
        <v>1774870.4156612018</v>
      </c>
      <c r="AL626" s="735">
        <f t="shared" si="573"/>
        <v>1.5707957633734821</v>
      </c>
      <c r="AM626" s="340" t="str">
        <f t="shared" si="574"/>
        <v>1+3012.1590362619i</v>
      </c>
      <c r="AN626" s="734">
        <f t="shared" si="575"/>
        <v>3012.1592022557866</v>
      </c>
      <c r="AO626" s="735">
        <f t="shared" si="576"/>
        <v>1.5704643390242568</v>
      </c>
      <c r="AP626" s="733" t="str">
        <f t="shared" si="577"/>
        <v>1+146.09467829311i</v>
      </c>
      <c r="AQ626" s="734">
        <f t="shared" si="578"/>
        <v>146.0981006911702</v>
      </c>
      <c r="AR626" s="735">
        <f t="shared" si="579"/>
        <v>1.5639515573982392</v>
      </c>
      <c r="AS626" s="732" t="str">
        <f t="shared" si="580"/>
        <v>0.0000304333620146578-0.780171288478989i</v>
      </c>
      <c r="AT626" s="337">
        <f t="shared" si="581"/>
        <v>0.78017128907256983</v>
      </c>
      <c r="AU626" s="730">
        <f t="shared" si="582"/>
        <v>-1.5707573182304331</v>
      </c>
      <c r="AV626" s="732" t="str">
        <f t="shared" si="583"/>
        <v>0.000431143134184434+0.00204089923849692i</v>
      </c>
      <c r="AW626" s="337">
        <f t="shared" si="584"/>
        <v>-53.613955351243703</v>
      </c>
      <c r="AX626" s="730">
        <f t="shared" si="585"/>
        <v>78.071558261384027</v>
      </c>
      <c r="AY626" s="360">
        <f t="shared" si="586"/>
        <v>-101.92844173861597</v>
      </c>
      <c r="AZ626" s="405" t="s">
        <v>450</v>
      </c>
      <c r="BB626" s="337">
        <f t="shared" si="587"/>
        <v>-2.1562007222888289</v>
      </c>
      <c r="BC626" s="730">
        <f t="shared" si="588"/>
        <v>-89.997764973891378</v>
      </c>
      <c r="BD626" s="351"/>
      <c r="BE626" s="337">
        <f t="shared" si="589"/>
        <v>81.409924237775883</v>
      </c>
      <c r="BF626" s="730">
        <f t="shared" si="590"/>
        <v>-89.908015632015676</v>
      </c>
      <c r="BI626" s="351"/>
      <c r="BJ626" s="351"/>
    </row>
    <row r="627" spans="3:62" ht="13.5" thickBot="1" x14ac:dyDescent="0.25">
      <c r="D627" s="404">
        <f>IL_Pole2</f>
        <v>2053.4628879370248</v>
      </c>
      <c r="E627" s="340" t="str">
        <f t="shared" si="545"/>
        <v>0.0340620399142966i</v>
      </c>
      <c r="F627" s="728" t="str">
        <f t="shared" si="546"/>
        <v>0.005-1.27058416446823i</v>
      </c>
      <c r="G627" s="337" t="str">
        <f t="shared" si="547"/>
        <v>0.005-1.98732394955288i</v>
      </c>
      <c r="H627" s="338" t="str">
        <f t="shared" si="548"/>
        <v>0.884356737521844-0.540579111211785i</v>
      </c>
      <c r="I627" s="338" t="str">
        <f t="shared" si="549"/>
        <v>0.894356737521844-0.540579111211785i</v>
      </c>
      <c r="J627" s="337" t="str">
        <f t="shared" si="550"/>
        <v>0.354429750957191-0.552759805040796i</v>
      </c>
      <c r="K627" s="338" t="str">
        <f t="shared" si="551"/>
        <v>0.999953147668532-0.0107519065386037i</v>
      </c>
      <c r="L627" s="732"/>
      <c r="M627" s="732" t="str">
        <f t="shared" si="552"/>
        <v>21.1938792589682+31.0166338358978i</v>
      </c>
      <c r="N627" s="337">
        <f t="shared" si="553"/>
        <v>0</v>
      </c>
      <c r="O627" s="730" t="str">
        <f t="shared" si="554"/>
        <v>20.5493550575555+11.6135373011345i</v>
      </c>
      <c r="P627" s="731" t="str">
        <f t="shared" si="555"/>
        <v>24.6564898197255-0.721906761257774i</v>
      </c>
      <c r="Q627" s="729" t="str">
        <f t="shared" si="556"/>
        <v>24.4509962691499-0.838042134269099i</v>
      </c>
      <c r="R627" s="730"/>
      <c r="S627" s="405" t="str">
        <f t="shared" si="557"/>
        <v>30.367778829245+8.39314199509553i</v>
      </c>
      <c r="T627" s="405" t="str">
        <f t="shared" si="558"/>
        <v>19.4501975541852-3.68637886097424i</v>
      </c>
      <c r="U627" s="405" t="str">
        <f t="shared" si="559"/>
        <v>15.2081338449192-13.7744444894957i</v>
      </c>
      <c r="V627" s="731" t="str">
        <f t="shared" si="560"/>
        <v>6000</v>
      </c>
      <c r="W627" s="733" t="str">
        <f>IMSUM(COMPLEX(1,0),IMDIV(COMPLEX(0,2*PI()*D627),COMPLEX(2*PI()*'Stability Calculations'!EA_Pole1,0)))</f>
        <v>1+13031.3107247877i</v>
      </c>
      <c r="X627" s="734">
        <f t="shared" si="561"/>
        <v>13031.310763156825</v>
      </c>
      <c r="Y627" s="735">
        <f t="shared" si="562"/>
        <v>1.5707195885435299</v>
      </c>
      <c r="Z627" s="340" t="str">
        <f>IMSUM(COMPLEX(1,0),IMDIV(COMPLEX(0,2*PI()*D627),COMPLEX(2*PI()*'Stability Calculations'!EA_Zero1,0)))</f>
        <v>1+129.022878463245i</v>
      </c>
      <c r="AA627" s="734">
        <f t="shared" si="563"/>
        <v>129.02675368675014</v>
      </c>
      <c r="AB627" s="735">
        <f t="shared" si="564"/>
        <v>1.5630459185813472</v>
      </c>
      <c r="AC627" s="733" t="str">
        <f>IMSUM(COMPLEX(1,0),IMDIV(COMPLEX(0,2*PI()*D627),COMPLEX(2*PI()*'Stability Calculations'!EA_Pole2,0)))</f>
        <v>1+1.2997063056537i</v>
      </c>
      <c r="AD627" s="734">
        <f t="shared" si="565"/>
        <v>1.6398891672780782</v>
      </c>
      <c r="AE627" s="735">
        <f t="shared" si="566"/>
        <v>0.91499150500083848</v>
      </c>
      <c r="AF627" s="732" t="str">
        <f t="shared" si="567"/>
        <v>21.8699537366921-28.8803875743422i</v>
      </c>
      <c r="AG627" s="337">
        <f t="shared" si="568"/>
        <v>36.22667060177173</v>
      </c>
      <c r="AH627" s="730">
        <f t="shared" si="569"/>
        <v>-0.92266517496301936</v>
      </c>
      <c r="AI627" s="731" t="str">
        <f t="shared" si="570"/>
        <v>10000</v>
      </c>
      <c r="AJ627" s="733" t="str">
        <f t="shared" si="571"/>
        <v>1+12148.7684315235i</v>
      </c>
      <c r="AK627" s="734">
        <f t="shared" si="572"/>
        <v>12148.768472679936</v>
      </c>
      <c r="AL627" s="735">
        <f t="shared" si="573"/>
        <v>1.5707140139247997</v>
      </c>
      <c r="AM627" s="340" t="str">
        <f t="shared" si="574"/>
        <v>1+20.6178559784265i</v>
      </c>
      <c r="AN627" s="734">
        <f t="shared" si="575"/>
        <v>20.642092557372603</v>
      </c>
      <c r="AO627" s="735">
        <f t="shared" si="576"/>
        <v>1.522332656793252</v>
      </c>
      <c r="AP627" s="733" t="str">
        <f t="shared" si="577"/>
        <v>1+i</v>
      </c>
      <c r="AQ627" s="734">
        <f t="shared" si="578"/>
        <v>1.4142135623730951</v>
      </c>
      <c r="AR627" s="735">
        <f t="shared" si="579"/>
        <v>0.78539816339744828</v>
      </c>
      <c r="AS627" s="732" t="str">
        <f t="shared" si="580"/>
        <v>0.649538085426134-113.975171896331i</v>
      </c>
      <c r="AT627" s="337">
        <f t="shared" si="581"/>
        <v>113.97702272178641</v>
      </c>
      <c r="AU627" s="730">
        <f t="shared" si="582"/>
        <v>-1.565097444811516</v>
      </c>
      <c r="AV627" s="732" t="str">
        <f t="shared" si="583"/>
        <v>-73.0048273024576-36.7651521821067i</v>
      </c>
      <c r="AW627" s="337">
        <f t="shared" si="584"/>
        <v>38.248662523172555</v>
      </c>
      <c r="AX627" s="730">
        <f t="shared" si="585"/>
        <v>-153.27022406984136</v>
      </c>
      <c r="AY627" s="360">
        <f t="shared" si="586"/>
        <v>26.729775930158638</v>
      </c>
      <c r="AZ627" s="405" t="s">
        <v>462</v>
      </c>
      <c r="BB627" s="337">
        <f t="shared" si="587"/>
        <v>41.136346165164206</v>
      </c>
      <c r="BC627" s="730">
        <f t="shared" si="588"/>
        <v>-89.67347811440915</v>
      </c>
      <c r="BD627" s="351"/>
      <c r="BE627" s="337">
        <f t="shared" si="589"/>
        <v>83.239878770733782</v>
      </c>
      <c r="BF627" s="730">
        <f t="shared" si="590"/>
        <v>15.449901350088716</v>
      </c>
      <c r="BI627" s="351"/>
      <c r="BJ627" s="351"/>
    </row>
    <row r="628" spans="3:62" ht="13.5" thickBot="1" x14ac:dyDescent="0.25">
      <c r="D628" s="404">
        <f>PS_RHPZ</f>
        <v>10000000</v>
      </c>
      <c r="E628" s="340" t="str">
        <f t="shared" si="545"/>
        <v>165.876092109541i</v>
      </c>
      <c r="F628" s="728" t="str">
        <f t="shared" si="546"/>
        <v>0.005-0.000260909742773599i</v>
      </c>
      <c r="G628" s="337" t="str">
        <f t="shared" si="547"/>
        <v>0.005-0.000408089597671526i</v>
      </c>
      <c r="H628" s="338" t="str">
        <f t="shared" si="548"/>
        <v>0.00497967135882253-0.000404755955049658i</v>
      </c>
      <c r="I628" s="338" t="str">
        <f t="shared" si="549"/>
        <v>0.0149796713588225-0.000404755955049658i</v>
      </c>
      <c r="J628" s="337" t="str">
        <f t="shared" si="550"/>
        <v>0.00374917297686601-0.000171996128899719i</v>
      </c>
      <c r="K628" s="338" t="str">
        <f t="shared" si="551"/>
        <v>-1110.11111111111-52.3598775598299i</v>
      </c>
      <c r="L628" s="732"/>
      <c r="M628" s="732" t="str">
        <f t="shared" si="552"/>
        <v>3.21573898720695E-06-0.142275020821635i</v>
      </c>
      <c r="N628" s="337">
        <f t="shared" si="553"/>
        <v>0</v>
      </c>
      <c r="O628" s="730" t="str">
        <f t="shared" si="554"/>
        <v>-0.000670130118436259-0.0356273140320902i</v>
      </c>
      <c r="P628" s="731" t="str">
        <f t="shared" si="555"/>
        <v>-0.0000244586964587367-0.000533414216442182i</v>
      </c>
      <c r="Q628" s="729" t="str">
        <f t="shared" si="556"/>
        <v>-0.0000177573952743741-0.000177141076121281i</v>
      </c>
      <c r="R628" s="730"/>
      <c r="S628" s="405" t="str">
        <f t="shared" si="557"/>
        <v>-0.0359525237326975-0.00169574903952722i</v>
      </c>
      <c r="T628" s="405" t="str">
        <f t="shared" si="558"/>
        <v>-0.00901092151439824-0.000255091424921676i</v>
      </c>
      <c r="U628" s="405" t="str">
        <f t="shared" si="559"/>
        <v>-0.0000449746775551659+2.37695268087406E-06i</v>
      </c>
      <c r="V628" s="731" t="str">
        <f t="shared" si="560"/>
        <v>6000</v>
      </c>
      <c r="W628" s="733" t="str">
        <f>IMSUM(COMPLEX(1,0),IMDIV(COMPLEX(0,2*PI()*D628),COMPLEX(2*PI()*'Stability Calculations'!EA_Pole1,0)))</f>
        <v>1+63460171.6025139i</v>
      </c>
      <c r="X628" s="734">
        <f t="shared" si="561"/>
        <v>63460171.602513902</v>
      </c>
      <c r="Y628" s="735">
        <f t="shared" si="562"/>
        <v>1.5707963110369814</v>
      </c>
      <c r="Z628" s="340" t="str">
        <f>IMSUM(COMPLEX(1,0),IMDIV(COMPLEX(0,2*PI()*D628),COMPLEX(2*PI()*'Stability Calculations'!EA_Zero1,0)))</f>
        <v>1+628318.530717959i</v>
      </c>
      <c r="AA628" s="734">
        <f t="shared" si="563"/>
        <v>628318.53071875486</v>
      </c>
      <c r="AB628" s="735">
        <f t="shared" si="564"/>
        <v>1.5707947352454656</v>
      </c>
      <c r="AC628" s="733" t="str">
        <f>IMSUM(COMPLEX(1,0),IMDIV(COMPLEX(0,2*PI()*D628),COMPLEX(2*PI()*'Stability Calculations'!EA_Pole2,0)))</f>
        <v>1+6329.33915333344i</v>
      </c>
      <c r="AD628" s="734">
        <f t="shared" si="565"/>
        <v>6329.3392323306289</v>
      </c>
      <c r="AE628" s="735">
        <f t="shared" si="566"/>
        <v>1.570638332418635</v>
      </c>
      <c r="AF628" s="732" t="str">
        <f t="shared" si="567"/>
        <v>1.46811424925296E-06-0.0093858043765374i</v>
      </c>
      <c r="AG628" s="337">
        <f t="shared" si="568"/>
        <v>9.3858044913575772E-3</v>
      </c>
      <c r="AH628" s="730">
        <f t="shared" si="569"/>
        <v>-1.5706399082101508</v>
      </c>
      <c r="AI628" s="731" t="str">
        <f t="shared" si="570"/>
        <v>10000</v>
      </c>
      <c r="AJ628" s="733" t="str">
        <f t="shared" si="571"/>
        <v>1+59162347.1886971i</v>
      </c>
      <c r="AK628" s="734">
        <f t="shared" si="572"/>
        <v>59162347.1886971</v>
      </c>
      <c r="AL628" s="735">
        <f t="shared" si="573"/>
        <v>1.5707963098922542</v>
      </c>
      <c r="AM628" s="340" t="str">
        <f t="shared" si="574"/>
        <v>1+100405.30120873i</v>
      </c>
      <c r="AN628" s="734">
        <f t="shared" si="575"/>
        <v>100405.30121370983</v>
      </c>
      <c r="AO628" s="735">
        <f t="shared" si="576"/>
        <v>1.570786367161412</v>
      </c>
      <c r="AP628" s="733" t="str">
        <f t="shared" si="577"/>
        <v>1+4869.82260977032i</v>
      </c>
      <c r="AQ628" s="734">
        <f t="shared" si="578"/>
        <v>4869.8227124434634</v>
      </c>
      <c r="AR628" s="735">
        <f t="shared" si="579"/>
        <v>1.5705909805089893</v>
      </c>
      <c r="AS628" s="732" t="str">
        <f t="shared" si="580"/>
        <v>2.73900258548332E-08-0.0234051386899525i</v>
      </c>
      <c r="AT628" s="337">
        <f t="shared" si="581"/>
        <v>2.3405138689968529E-2</v>
      </c>
      <c r="AU628" s="730">
        <f t="shared" si="582"/>
        <v>-1.5707951565379621</v>
      </c>
      <c r="AV628" s="732" t="str">
        <f t="shared" si="583"/>
        <v>1.97947484228044E-09+5.63494219506101E-11i</v>
      </c>
      <c r="AW628" s="337">
        <f t="shared" si="584"/>
        <v>-174.06548233767262</v>
      </c>
      <c r="AX628" s="730">
        <f t="shared" si="585"/>
        <v>1.6305902472521767</v>
      </c>
      <c r="AY628" s="360">
        <f t="shared" si="586"/>
        <v>-178.36940975274783</v>
      </c>
      <c r="AZ628" s="405" t="s">
        <v>578</v>
      </c>
      <c r="BB628" s="337">
        <f t="shared" si="587"/>
        <v>-32.613775621292994</v>
      </c>
      <c r="BC628" s="730">
        <f t="shared" si="588"/>
        <v>-89.999932949216713</v>
      </c>
      <c r="BD628" s="351"/>
      <c r="BE628" s="337">
        <f t="shared" si="589"/>
        <v>24.396169692806986</v>
      </c>
      <c r="BF628" s="730">
        <f t="shared" si="590"/>
        <v>-177.29956898385046</v>
      </c>
      <c r="BI628" s="351"/>
      <c r="BJ628" s="351"/>
    </row>
    <row r="629" spans="3:62" x14ac:dyDescent="0.2">
      <c r="D629" s="404">
        <f>IL_Pole2</f>
        <v>2053.4628879370248</v>
      </c>
      <c r="E629" s="340" t="str">
        <f t="shared" si="545"/>
        <v>0.0340620399142966i</v>
      </c>
      <c r="F629" s="728" t="str">
        <f t="shared" si="546"/>
        <v>0.005-1.27058416446823i</v>
      </c>
      <c r="G629" s="337" t="str">
        <f t="shared" si="547"/>
        <v>0.005-1.98732394955288i</v>
      </c>
      <c r="H629" s="338" t="str">
        <f t="shared" si="548"/>
        <v>0.884356737521844-0.540579111211785i</v>
      </c>
      <c r="I629" s="338" t="str">
        <f t="shared" si="549"/>
        <v>0.894356737521844-0.540579111211785i</v>
      </c>
      <c r="J629" s="337" t="str">
        <f t="shared" si="550"/>
        <v>0.354429750957191-0.552759805040796i</v>
      </c>
      <c r="K629" s="338" t="str">
        <f t="shared" si="551"/>
        <v>0.999953147668532-0.0107519065386037i</v>
      </c>
      <c r="L629" s="732"/>
      <c r="M629" s="732" t="str">
        <f t="shared" si="552"/>
        <v>21.1938792589682+31.0166338358978i</v>
      </c>
      <c r="N629" s="337">
        <f t="shared" si="553"/>
        <v>0</v>
      </c>
      <c r="O629" s="730" t="str">
        <f t="shared" si="554"/>
        <v>20.5493550575555+11.6135373011345i</v>
      </c>
      <c r="P629" s="731" t="str">
        <f t="shared" si="555"/>
        <v>24.6564898197255-0.721906761257774i</v>
      </c>
      <c r="Q629" s="729" t="str">
        <f t="shared" si="556"/>
        <v>24.4509962691499-0.838042134269099i</v>
      </c>
      <c r="R629" s="730"/>
      <c r="S629" s="405" t="str">
        <f t="shared" si="557"/>
        <v>30.367778829245+8.39314199509553i</v>
      </c>
      <c r="T629" s="405" t="str">
        <f t="shared" si="558"/>
        <v>19.4501975541852-3.68637886097424i</v>
      </c>
      <c r="U629" s="405" t="str">
        <f t="shared" si="559"/>
        <v>15.2081338449192-13.7744444894957i</v>
      </c>
      <c r="V629" s="731" t="str">
        <f t="shared" si="560"/>
        <v>6000</v>
      </c>
      <c r="W629" s="733" t="str">
        <f>IMSUM(COMPLEX(1,0),IMDIV(COMPLEX(0,2*PI()*D629),COMPLEX(2*PI()*'Stability Calculations'!EA_Pole1,0)))</f>
        <v>1+13031.3107247877i</v>
      </c>
      <c r="X629" s="734">
        <f t="shared" si="561"/>
        <v>13031.310763156825</v>
      </c>
      <c r="Y629" s="735">
        <f t="shared" si="562"/>
        <v>1.5707195885435299</v>
      </c>
      <c r="Z629" s="340" t="str">
        <f>IMSUM(COMPLEX(1,0),IMDIV(COMPLEX(0,2*PI()*D629),COMPLEX(2*PI()*'Stability Calculations'!EA_Zero1,0)))</f>
        <v>1+129.022878463245i</v>
      </c>
      <c r="AA629" s="734">
        <f t="shared" si="563"/>
        <v>129.02675368675014</v>
      </c>
      <c r="AB629" s="735">
        <f t="shared" si="564"/>
        <v>1.5630459185813472</v>
      </c>
      <c r="AC629" s="733" t="str">
        <f>IMSUM(COMPLEX(1,0),IMDIV(COMPLEX(0,2*PI()*D629),COMPLEX(2*PI()*'Stability Calculations'!EA_Pole2,0)))</f>
        <v>1+1.2997063056537i</v>
      </c>
      <c r="AD629" s="734">
        <f t="shared" si="565"/>
        <v>1.6398891672780782</v>
      </c>
      <c r="AE629" s="735">
        <f t="shared" si="566"/>
        <v>0.91499150500083848</v>
      </c>
      <c r="AF629" s="732" t="str">
        <f t="shared" si="567"/>
        <v>21.8699537366921-28.8803875743422i</v>
      </c>
      <c r="AG629" s="337">
        <f t="shared" si="568"/>
        <v>36.22667060177173</v>
      </c>
      <c r="AH629" s="730">
        <f t="shared" si="569"/>
        <v>-0.92266517496301936</v>
      </c>
      <c r="AI629" s="731" t="str">
        <f t="shared" si="570"/>
        <v>10000</v>
      </c>
      <c r="AJ629" s="733" t="str">
        <f t="shared" si="571"/>
        <v>1+12148.7684315235i</v>
      </c>
      <c r="AK629" s="734">
        <f t="shared" si="572"/>
        <v>12148.768472679936</v>
      </c>
      <c r="AL629" s="735">
        <f t="shared" si="573"/>
        <v>1.5707140139247997</v>
      </c>
      <c r="AM629" s="340" t="str">
        <f t="shared" si="574"/>
        <v>1+20.6178559784265i</v>
      </c>
      <c r="AN629" s="734">
        <f t="shared" si="575"/>
        <v>20.642092557372603</v>
      </c>
      <c r="AO629" s="735">
        <f t="shared" si="576"/>
        <v>1.522332656793252</v>
      </c>
      <c r="AP629" s="733" t="str">
        <f t="shared" si="577"/>
        <v>1+i</v>
      </c>
      <c r="AQ629" s="734">
        <f t="shared" si="578"/>
        <v>1.4142135623730951</v>
      </c>
      <c r="AR629" s="735">
        <f t="shared" si="579"/>
        <v>0.78539816339744828</v>
      </c>
      <c r="AS629" s="732" t="str">
        <f t="shared" si="580"/>
        <v>0.649538085426134-113.975171896331i</v>
      </c>
      <c r="AT629" s="337">
        <f t="shared" si="581"/>
        <v>113.97702272178641</v>
      </c>
      <c r="AU629" s="730">
        <f t="shared" si="582"/>
        <v>-1.565097444811516</v>
      </c>
      <c r="AV629" s="732" t="str">
        <f t="shared" si="583"/>
        <v>-73.0048273024576-36.7651521821067i</v>
      </c>
      <c r="AW629" s="337">
        <f t="shared" si="584"/>
        <v>38.248662523172555</v>
      </c>
      <c r="AX629" s="730">
        <f t="shared" si="585"/>
        <v>-153.27022406984136</v>
      </c>
      <c r="AY629" s="360">
        <f t="shared" si="586"/>
        <v>26.729775930158638</v>
      </c>
    </row>
    <row r="631" spans="3:62" x14ac:dyDescent="0.2">
      <c r="H631" s="405" t="s">
        <v>478</v>
      </c>
      <c r="J631" s="405" t="s">
        <v>479</v>
      </c>
    </row>
    <row r="632" spans="3:62" x14ac:dyDescent="0.2">
      <c r="C632" s="405" t="s">
        <v>454</v>
      </c>
      <c r="D632" s="405" t="s">
        <v>575</v>
      </c>
      <c r="G632" s="353">
        <f>PS_Pole1</f>
        <v>1308.1228199333864</v>
      </c>
      <c r="H632" s="353">
        <f>AW622</f>
        <v>44.739320964376887</v>
      </c>
      <c r="I632" s="353"/>
      <c r="J632" s="353">
        <f>BE622</f>
        <v>82.161810249986786</v>
      </c>
    </row>
    <row r="633" spans="3:62" x14ac:dyDescent="0.2">
      <c r="C633" s="405" t="s">
        <v>449</v>
      </c>
      <c r="D633" s="405" t="s">
        <v>586</v>
      </c>
      <c r="G633" s="353">
        <f>PS_Zero1</f>
        <v>318309.88618379069</v>
      </c>
      <c r="H633" s="353">
        <f>AW623</f>
        <v>-55.286387694790548</v>
      </c>
      <c r="I633" s="353"/>
      <c r="J633" s="353">
        <f>BE623</f>
        <v>80.869458555243682</v>
      </c>
    </row>
    <row r="634" spans="3:62" x14ac:dyDescent="0.2">
      <c r="C634" s="405" t="s">
        <v>457</v>
      </c>
      <c r="D634" s="405" t="s">
        <v>587</v>
      </c>
      <c r="G634" s="353">
        <f>IL_Pole1</f>
        <v>0.16902642432534409</v>
      </c>
      <c r="H634" s="353">
        <f>AW624</f>
        <v>125.31779667546172</v>
      </c>
      <c r="I634" s="353"/>
      <c r="J634" s="353">
        <f>BE624</f>
        <v>80.332047757513649</v>
      </c>
    </row>
    <row r="635" spans="3:62" x14ac:dyDescent="0.2">
      <c r="C635" s="405" t="s">
        <v>452</v>
      </c>
      <c r="D635" s="405" t="s">
        <v>588</v>
      </c>
      <c r="G635" s="353">
        <f>IL_Zero1</f>
        <v>99.596334850998332</v>
      </c>
      <c r="H635" s="353">
        <f>AW625</f>
        <v>69.986625854987324</v>
      </c>
      <c r="I635" s="353"/>
      <c r="J635" s="353">
        <f>BE625</f>
        <v>80.349383066909439</v>
      </c>
    </row>
    <row r="636" spans="3:62" x14ac:dyDescent="0.2">
      <c r="C636" s="405" t="s">
        <v>450</v>
      </c>
      <c r="D636" s="405" t="s">
        <v>585</v>
      </c>
      <c r="G636" s="405">
        <f>PS_Pole2</f>
        <v>300000</v>
      </c>
      <c r="H636" s="353">
        <f>AW626</f>
        <v>-53.613955351243703</v>
      </c>
      <c r="I636" s="353"/>
      <c r="J636" s="353">
        <f>BE626</f>
        <v>81.409924237775883</v>
      </c>
    </row>
    <row r="637" spans="3:62" x14ac:dyDescent="0.2">
      <c r="C637" s="405" t="s">
        <v>574</v>
      </c>
      <c r="D637" s="405" t="s">
        <v>589</v>
      </c>
      <c r="G637" s="404">
        <f>PS_RHPZ</f>
        <v>10000000</v>
      </c>
      <c r="H637" s="353">
        <f>AW628</f>
        <v>-174.06548233767262</v>
      </c>
      <c r="I637" s="353"/>
      <c r="J637" s="353">
        <f>BE628</f>
        <v>24.396169692806986</v>
      </c>
    </row>
    <row r="639" spans="3:62" x14ac:dyDescent="0.2">
      <c r="C639" s="353">
        <f>U4*1000</f>
        <v>18515</v>
      </c>
    </row>
    <row r="640" spans="3:62" x14ac:dyDescent="0.2">
      <c r="C640" s="353">
        <f>U4*1000</f>
        <v>18515</v>
      </c>
    </row>
    <row r="687" spans="64:65" x14ac:dyDescent="0.2">
      <c r="BL687" s="405" t="s">
        <v>48</v>
      </c>
      <c r="BM687" s="353">
        <f>SUM(BM689:BM1306)</f>
        <v>0</v>
      </c>
    </row>
  </sheetData>
  <mergeCells count="21">
    <mergeCell ref="D2:F2"/>
    <mergeCell ref="G2:I2"/>
    <mergeCell ref="D10:D12"/>
    <mergeCell ref="E10:U10"/>
    <mergeCell ref="AI10:AU10"/>
    <mergeCell ref="AP11:AR11"/>
    <mergeCell ref="AS11:AU11"/>
    <mergeCell ref="T2:V2"/>
    <mergeCell ref="AW10:AY10"/>
    <mergeCell ref="BB10:BC10"/>
    <mergeCell ref="BE10:BF10"/>
    <mergeCell ref="F11:H11"/>
    <mergeCell ref="I11:K11"/>
    <mergeCell ref="P11:R11"/>
    <mergeCell ref="AJ11:AL11"/>
    <mergeCell ref="AM11:AO11"/>
    <mergeCell ref="V10:AH10"/>
    <mergeCell ref="W11:Y11"/>
    <mergeCell ref="Z11:AB11"/>
    <mergeCell ref="AC11:AE11"/>
    <mergeCell ref="AF11:AH11"/>
  </mergeCells>
  <pageMargins left="0.75" right="0.75" top="1" bottom="1" header="0.5" footer="0.5"/>
  <pageSetup scale="48" orientation="portrait" horizontalDpi="300" verticalDpi="300" r:id="rId1"/>
  <headerFooter alignWithMargins="0"/>
  <colBreaks count="1" manualBreakCount="1">
    <brk id="51" max="1048575"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B12"/>
  <sheetViews>
    <sheetView showGridLines="0" topLeftCell="A4" zoomScale="85" zoomScaleNormal="85" workbookViewId="0">
      <selection activeCell="B31" sqref="B31"/>
    </sheetView>
  </sheetViews>
  <sheetFormatPr defaultRowHeight="12.75" x14ac:dyDescent="0.2"/>
  <cols>
    <col min="1" max="1" width="10.5703125" customWidth="1"/>
    <col min="2" max="2" width="132.7109375" customWidth="1"/>
  </cols>
  <sheetData>
    <row r="2" spans="1:2" x14ac:dyDescent="0.2">
      <c r="A2" t="str">
        <f>IF(PLOT_TYPE=1, "EFF_IOUT", "EFF_VIN")</f>
        <v>EFF_IOUT</v>
      </c>
    </row>
    <row r="5" spans="1:2" ht="409.5" customHeight="1" x14ac:dyDescent="0.2">
      <c r="B5" s="545"/>
    </row>
    <row r="7" spans="1:2" ht="409.5" customHeight="1" x14ac:dyDescent="0.2">
      <c r="B7" s="545"/>
    </row>
    <row r="9" spans="1:2" x14ac:dyDescent="0.2">
      <c r="A9" t="str">
        <f>IF(OR(BODEPLOT_TYPE=FALSE,IMONLIM_select = 0), "BodePlot", "BodePlot_ILim")</f>
        <v>BodePlot</v>
      </c>
    </row>
    <row r="10" spans="1:2" ht="409.5" customHeight="1" x14ac:dyDescent="0.2"/>
    <row r="12" spans="1:2" ht="409.5" customHeight="1"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Check Box 1">
              <controlPr defaultSize="0" autoFill="0" autoLine="0" autoPict="0">
                <anchor moveWithCells="1">
                  <from>
                    <xdr:col>2</xdr:col>
                    <xdr:colOff>276225</xdr:colOff>
                    <xdr:row>9</xdr:row>
                    <xdr:rowOff>161925</xdr:rowOff>
                  </from>
                  <to>
                    <xdr:col>4</xdr:col>
                    <xdr:colOff>276225</xdr:colOff>
                    <xdr:row>9</xdr:row>
                    <xdr:rowOff>381000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92D050"/>
  </sheetPr>
  <dimension ref="A1:CN235"/>
  <sheetViews>
    <sheetView topLeftCell="E1" zoomScaleNormal="100" workbookViewId="0">
      <pane ySplit="8" topLeftCell="A9" activePane="bottomLeft" state="frozen"/>
      <selection activeCell="D24" sqref="D24"/>
      <selection pane="bottomLeft" activeCell="D24" sqref="D24"/>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554"/>
    <col min="9" max="9" width="11" customWidth="1"/>
    <col min="10" max="10" width="12.140625" customWidth="1"/>
    <col min="11" max="11" width="6.28515625" customWidth="1"/>
    <col min="12" max="12" width="7.140625" customWidth="1"/>
    <col min="13" max="15" width="11.5703125" bestFit="1" customWidth="1"/>
    <col min="16" max="18" width="7.140625" customWidth="1"/>
    <col min="19" max="19" width="8.28515625" customWidth="1"/>
    <col min="20" max="20" width="28" style="354" customWidth="1"/>
    <col min="21" max="21" width="29.28515625" style="354" customWidth="1"/>
    <col min="22" max="22" width="21.140625" style="4" customWidth="1"/>
    <col min="23" max="23" width="8.85546875" style="4" customWidth="1"/>
    <col min="24" max="24" width="13.28515625" style="311" customWidth="1"/>
    <col min="25" max="25" width="11.85546875" customWidth="1"/>
    <col min="26" max="26" width="19.85546875" customWidth="1"/>
    <col min="27" max="27" width="11.42578125" style="4" customWidth="1"/>
    <col min="28" max="28" width="16.28515625" customWidth="1"/>
    <col min="29" max="29" width="16.7109375" customWidth="1"/>
    <col min="30" max="30" width="10.140625" style="311" customWidth="1"/>
    <col min="31" max="31" width="14.85546875" customWidth="1"/>
    <col min="32" max="32" width="15.42578125" customWidth="1"/>
    <col min="33" max="33" width="8.5703125" customWidth="1"/>
    <col min="34" max="34" width="15.140625" customWidth="1"/>
    <col min="35" max="35" width="16.42578125" customWidth="1"/>
    <col min="36" max="36" width="17.28515625" customWidth="1"/>
    <col min="37" max="37" width="27.28515625" customWidth="1"/>
    <col min="38" max="38" width="8.85546875" customWidth="1"/>
    <col min="39" max="39" width="16.140625" customWidth="1"/>
    <col min="40" max="40" width="15.7109375" customWidth="1"/>
    <col min="41" max="41" width="25" customWidth="1"/>
    <col min="42" max="42" width="8.5703125" customWidth="1"/>
    <col min="43" max="43" width="16.140625" customWidth="1"/>
    <col min="44" max="44" width="17.42578125" customWidth="1"/>
    <col min="45" max="45" width="18.28515625" customWidth="1"/>
    <col min="46" max="46" width="28.28515625" customWidth="1"/>
    <col min="47" max="47" width="8.85546875" customWidth="1"/>
    <col min="48" max="48" width="17.140625" customWidth="1"/>
    <col min="49" max="49" width="17.7109375" customWidth="1"/>
    <col min="50" max="50" width="27" customWidth="1"/>
    <col min="51" max="51" width="32.42578125" style="311" customWidth="1"/>
    <col min="52" max="52" width="17.7109375" customWidth="1"/>
    <col min="53" max="54" width="23.5703125" style="311" customWidth="1"/>
    <col min="55" max="55" width="19" customWidth="1"/>
    <col min="56" max="56" width="16.7109375" customWidth="1"/>
    <col min="57" max="57" width="9.5703125" customWidth="1"/>
    <col min="58" max="58" width="23.5703125" customWidth="1"/>
    <col min="59" max="59" width="23.140625" customWidth="1"/>
    <col min="60" max="60" width="14.28515625" customWidth="1"/>
    <col min="61" max="61" width="12" style="4" customWidth="1"/>
    <col min="62" max="62" width="7.28515625" customWidth="1"/>
    <col min="63" max="63" width="10.140625" style="9" customWidth="1"/>
    <col min="64" max="64" width="23.140625" style="371" customWidth="1"/>
    <col min="65" max="65" width="20.85546875" style="371" customWidth="1"/>
    <col min="66" max="66" width="11.5703125" customWidth="1"/>
    <col min="67" max="67" width="9.28515625" style="354" customWidth="1"/>
    <col min="68" max="68" width="24.7109375" style="311" customWidth="1"/>
    <col min="69" max="69" width="20.140625" style="311" customWidth="1"/>
    <col min="70" max="73" width="27" style="311" customWidth="1"/>
    <col min="74" max="74" width="20.28515625" customWidth="1"/>
    <col min="78" max="78" width="28.42578125" customWidth="1"/>
    <col min="81" max="81" width="12.42578125" bestFit="1" customWidth="1"/>
  </cols>
  <sheetData>
    <row r="1" spans="1:92" ht="12.75" customHeight="1" x14ac:dyDescent="0.2">
      <c r="A1" s="925" t="s">
        <v>817</v>
      </c>
      <c r="B1" s="925"/>
      <c r="C1" s="925"/>
      <c r="D1" s="925"/>
    </row>
    <row r="2" spans="1:92" ht="12.75" customHeight="1" x14ac:dyDescent="0.2">
      <c r="A2" s="925"/>
      <c r="B2" s="925"/>
      <c r="C2" s="925"/>
      <c r="D2" s="925"/>
      <c r="H2" s="560">
        <f>BK9</f>
        <v>0.95549377136149716</v>
      </c>
      <c r="I2" s="114" t="s">
        <v>843</v>
      </c>
      <c r="AO2" s="114"/>
      <c r="AP2" s="114"/>
    </row>
    <row r="3" spans="1:92" ht="12.75" customHeight="1" x14ac:dyDescent="0.2">
      <c r="A3" s="925"/>
      <c r="B3" s="925"/>
      <c r="C3" s="925"/>
      <c r="D3" s="925"/>
      <c r="H3" s="560">
        <f>BK109</f>
        <v>0.94687435994378677</v>
      </c>
      <c r="I3" s="114" t="s">
        <v>845</v>
      </c>
      <c r="AO3" s="114"/>
      <c r="AP3" s="114"/>
    </row>
    <row r="4" spans="1:92" ht="12.75" customHeight="1" x14ac:dyDescent="0.2">
      <c r="A4" s="925"/>
      <c r="B4" s="925"/>
      <c r="C4" s="925"/>
      <c r="D4" s="925"/>
      <c r="H4" s="560">
        <f>BK209</f>
        <v>0.93886429750287148</v>
      </c>
      <c r="I4" s="114" t="s">
        <v>844</v>
      </c>
      <c r="AO4" s="114"/>
      <c r="AP4" s="114"/>
    </row>
    <row r="5" spans="1:92" x14ac:dyDescent="0.2">
      <c r="A5" s="10"/>
      <c r="B5" s="11"/>
      <c r="C5" s="6"/>
      <c r="D5" s="6"/>
    </row>
    <row r="6" spans="1:92" ht="13.5" customHeight="1" thickBot="1" x14ac:dyDescent="0.25">
      <c r="A6" s="926" t="s">
        <v>646</v>
      </c>
      <c r="B6" s="926"/>
      <c r="C6" s="926"/>
      <c r="D6" s="926"/>
      <c r="CE6">
        <v>80</v>
      </c>
      <c r="CF6">
        <v>100</v>
      </c>
      <c r="CG6">
        <v>120</v>
      </c>
      <c r="CH6">
        <v>140</v>
      </c>
      <c r="CI6">
        <v>160</v>
      </c>
      <c r="CJ6">
        <v>180</v>
      </c>
      <c r="CK6">
        <v>20</v>
      </c>
      <c r="CL6">
        <v>30</v>
      </c>
      <c r="CM6">
        <v>40</v>
      </c>
      <c r="CN6">
        <v>50</v>
      </c>
    </row>
    <row r="7" spans="1:92" ht="13.5" thickBot="1" x14ac:dyDescent="0.25">
      <c r="A7" s="926"/>
      <c r="B7" s="926"/>
      <c r="C7" s="926"/>
      <c r="D7" s="926"/>
      <c r="G7" s="922" t="s">
        <v>829</v>
      </c>
      <c r="H7" s="923"/>
      <c r="I7" s="923"/>
      <c r="J7" s="923"/>
      <c r="K7" s="923"/>
      <c r="L7" s="923"/>
      <c r="M7" s="923"/>
      <c r="N7" s="923"/>
      <c r="O7" s="923"/>
      <c r="P7" s="923"/>
      <c r="Q7" s="923"/>
      <c r="R7" s="923"/>
      <c r="S7" s="923"/>
      <c r="T7" s="923"/>
      <c r="U7" s="923"/>
      <c r="V7" s="924"/>
      <c r="W7" s="922" t="s">
        <v>658</v>
      </c>
      <c r="X7" s="923"/>
      <c r="Y7" s="923"/>
      <c r="Z7" s="924"/>
      <c r="AA7" s="927" t="s">
        <v>27</v>
      </c>
      <c r="AB7" s="928"/>
      <c r="AC7" s="929"/>
      <c r="AD7" s="922" t="s">
        <v>61</v>
      </c>
      <c r="AE7" s="923"/>
      <c r="AF7" s="924"/>
      <c r="AG7" s="922" t="s">
        <v>824</v>
      </c>
      <c r="AH7" s="923"/>
      <c r="AI7" s="923"/>
      <c r="AJ7" s="923"/>
      <c r="AK7" s="924"/>
      <c r="AL7" s="922" t="s">
        <v>825</v>
      </c>
      <c r="AM7" s="923"/>
      <c r="AN7" s="923"/>
      <c r="AO7" s="924"/>
      <c r="AP7" s="922" t="s">
        <v>826</v>
      </c>
      <c r="AQ7" s="923"/>
      <c r="AR7" s="923"/>
      <c r="AS7" s="923"/>
      <c r="AT7" s="924"/>
      <c r="AU7" s="922" t="s">
        <v>827</v>
      </c>
      <c r="AV7" s="923"/>
      <c r="AW7" s="923"/>
      <c r="AX7" s="924"/>
      <c r="AY7" s="468" t="s">
        <v>819</v>
      </c>
      <c r="AZ7" s="466" t="s">
        <v>234</v>
      </c>
      <c r="BA7" s="469" t="s">
        <v>621</v>
      </c>
      <c r="BB7" s="469" t="s">
        <v>621</v>
      </c>
      <c r="BC7" s="467" t="s">
        <v>676</v>
      </c>
      <c r="BD7" s="467" t="s">
        <v>673</v>
      </c>
      <c r="BE7" s="930" t="s">
        <v>664</v>
      </c>
      <c r="BF7" s="931"/>
      <c r="BG7" s="931"/>
      <c r="BH7" s="932"/>
      <c r="BI7" s="922" t="s">
        <v>671</v>
      </c>
      <c r="BJ7" s="923"/>
      <c r="BK7" s="923"/>
      <c r="BL7" s="923"/>
      <c r="BM7" s="923"/>
      <c r="BN7" s="551"/>
      <c r="BO7" s="933" t="s">
        <v>672</v>
      </c>
      <c r="BP7" s="933"/>
      <c r="BQ7" s="933"/>
      <c r="BR7" s="933"/>
      <c r="BS7" s="933"/>
      <c r="BT7" s="933"/>
      <c r="BU7" s="933"/>
      <c r="BV7" s="933"/>
    </row>
    <row r="8" spans="1:92" ht="30.75" thickBot="1" x14ac:dyDescent="0.45">
      <c r="A8" s="13" t="s">
        <v>110</v>
      </c>
      <c r="B8" s="13"/>
      <c r="C8" s="13"/>
      <c r="D8" s="6"/>
      <c r="G8" s="451" t="s">
        <v>57</v>
      </c>
      <c r="H8" s="553" t="s">
        <v>4</v>
      </c>
      <c r="I8" s="546" t="s">
        <v>828</v>
      </c>
      <c r="J8" s="546" t="s">
        <v>830</v>
      </c>
      <c r="K8" s="452" t="s">
        <v>6</v>
      </c>
      <c r="L8" s="452" t="s">
        <v>402</v>
      </c>
      <c r="M8" s="452" t="s">
        <v>1183</v>
      </c>
      <c r="N8" s="452" t="s">
        <v>1184</v>
      </c>
      <c r="O8" s="452" t="s">
        <v>1185</v>
      </c>
      <c r="P8" s="452" t="s">
        <v>1139</v>
      </c>
      <c r="Q8" s="452" t="s">
        <v>1141</v>
      </c>
      <c r="R8" s="452" t="s">
        <v>1142</v>
      </c>
      <c r="S8" s="452" t="s">
        <v>833</v>
      </c>
      <c r="T8" s="463" t="s">
        <v>832</v>
      </c>
      <c r="U8" s="556" t="s">
        <v>831</v>
      </c>
      <c r="V8" s="548" t="s">
        <v>659</v>
      </c>
      <c r="W8" s="547" t="s">
        <v>823</v>
      </c>
      <c r="X8" s="465" t="s">
        <v>90</v>
      </c>
      <c r="Y8" s="452" t="s">
        <v>822</v>
      </c>
      <c r="Z8" s="453" t="s">
        <v>706</v>
      </c>
      <c r="AA8" s="547" t="s">
        <v>661</v>
      </c>
      <c r="AB8" s="454" t="s">
        <v>660</v>
      </c>
      <c r="AC8" s="453" t="s">
        <v>705</v>
      </c>
      <c r="AD8" s="464" t="s">
        <v>662</v>
      </c>
      <c r="AE8" s="452" t="s">
        <v>663</v>
      </c>
      <c r="AF8" s="453" t="s">
        <v>703</v>
      </c>
      <c r="AG8" s="451" t="s">
        <v>1043</v>
      </c>
      <c r="AH8" s="452" t="s">
        <v>1044</v>
      </c>
      <c r="AI8" s="452" t="s">
        <v>1045</v>
      </c>
      <c r="AJ8" s="455" t="s">
        <v>1046</v>
      </c>
      <c r="AK8" s="453" t="s">
        <v>1047</v>
      </c>
      <c r="AL8" s="451" t="s">
        <v>1048</v>
      </c>
      <c r="AM8" s="452" t="s">
        <v>1049</v>
      </c>
      <c r="AN8" s="452" t="s">
        <v>1050</v>
      </c>
      <c r="AO8" s="456" t="s">
        <v>1051</v>
      </c>
      <c r="AP8" s="451" t="s">
        <v>1057</v>
      </c>
      <c r="AQ8" s="452" t="s">
        <v>1058</v>
      </c>
      <c r="AR8" s="452" t="s">
        <v>1059</v>
      </c>
      <c r="AS8" s="455" t="s">
        <v>1060</v>
      </c>
      <c r="AT8" s="453" t="s">
        <v>1056</v>
      </c>
      <c r="AU8" s="451" t="s">
        <v>1052</v>
      </c>
      <c r="AV8" s="452" t="s">
        <v>1053</v>
      </c>
      <c r="AW8" s="452" t="s">
        <v>1054</v>
      </c>
      <c r="AX8" s="456" t="s">
        <v>1055</v>
      </c>
      <c r="AY8" s="465" t="s">
        <v>818</v>
      </c>
      <c r="AZ8" s="453" t="s">
        <v>1061</v>
      </c>
      <c r="BA8" s="470" t="s">
        <v>1271</v>
      </c>
      <c r="BB8" s="470" t="s">
        <v>1272</v>
      </c>
      <c r="BC8" s="471" t="s">
        <v>675</v>
      </c>
      <c r="BD8" s="471" t="s">
        <v>674</v>
      </c>
      <c r="BE8" s="457" t="s">
        <v>666</v>
      </c>
      <c r="BF8" s="458" t="s">
        <v>164</v>
      </c>
      <c r="BG8" s="459" t="s">
        <v>236</v>
      </c>
      <c r="BH8" s="460" t="s">
        <v>665</v>
      </c>
      <c r="BI8" s="461" t="s">
        <v>58</v>
      </c>
      <c r="BJ8" s="452" t="s">
        <v>384</v>
      </c>
      <c r="BK8" s="462" t="s">
        <v>668</v>
      </c>
      <c r="BL8" s="558" t="s">
        <v>820</v>
      </c>
      <c r="BM8" s="558" t="s">
        <v>821</v>
      </c>
      <c r="BN8" t="s">
        <v>952</v>
      </c>
      <c r="BO8" s="670" t="s">
        <v>667</v>
      </c>
      <c r="BP8" s="671" t="s">
        <v>704</v>
      </c>
      <c r="BQ8" s="671" t="s">
        <v>834</v>
      </c>
      <c r="BR8" s="671" t="s">
        <v>953</v>
      </c>
      <c r="BS8" s="671" t="s">
        <v>954</v>
      </c>
      <c r="BT8" s="671" t="s">
        <v>1186</v>
      </c>
      <c r="BU8" s="671" t="s">
        <v>1187</v>
      </c>
      <c r="BV8" s="671" t="s">
        <v>799</v>
      </c>
      <c r="BW8" s="552"/>
      <c r="CC8" t="s">
        <v>130</v>
      </c>
      <c r="CE8" t="s">
        <v>122</v>
      </c>
      <c r="CF8" t="s">
        <v>123</v>
      </c>
      <c r="CG8" t="s">
        <v>124</v>
      </c>
      <c r="CH8" t="s">
        <v>125</v>
      </c>
      <c r="CI8" t="s">
        <v>126</v>
      </c>
      <c r="CJ8" t="s">
        <v>127</v>
      </c>
      <c r="CK8" t="s">
        <v>131</v>
      </c>
      <c r="CL8" t="s">
        <v>132</v>
      </c>
      <c r="CM8" t="s">
        <v>133</v>
      </c>
      <c r="CN8" t="s">
        <v>134</v>
      </c>
    </row>
    <row r="9" spans="1:92" x14ac:dyDescent="0.2">
      <c r="A9" s="14" t="s">
        <v>59</v>
      </c>
      <c r="B9" s="15" t="s">
        <v>113</v>
      </c>
      <c r="C9" s="16" t="s">
        <v>80</v>
      </c>
      <c r="D9" s="17" t="s">
        <v>109</v>
      </c>
      <c r="G9">
        <v>0</v>
      </c>
      <c r="H9" s="555">
        <f>VIN_min+(VIN_max-VIN_min)*(Table1[[#This Row],[Step]]/200)</f>
        <v>20</v>
      </c>
      <c r="I9" s="4" t="str">
        <f>IF(Mode = 2,IF(Table1[[#This Row],[Vin]]&gt;Vout, "BUCK","BOOST"),IF(Table1[[#This Row],[Vin]]&gt;VIN_BB_to_buck, "BUCK", IF(Table1[[#This Row],[Vin]]&lt;=VIN_boost_to_BB,"BOOST","BUCK-BST")))</f>
        <v>BUCK</v>
      </c>
      <c r="J9">
        <f>IF(Table1[[#This Row],[Mode]]="BOOST",2, IF(Table1[[#This Row],[Mode]]="BUCK", 1,3))</f>
        <v>1</v>
      </c>
      <c r="K9">
        <f t="shared" ref="K9:K72" si="0">Iout</f>
        <v>12</v>
      </c>
      <c r="L9" s="4">
        <f>Vout*Table1[[#This Row],[Iout]]/(Table1[[#This Row],[Vin]]*Efficiency)</f>
        <v>9.2210526315789476</v>
      </c>
      <c r="M9" s="711">
        <f>MIN(1/Fsw,CHOOSE(Table1[[#This Row],[Mode Digit]],(Vout+(Rdson2+Rs+Rdcr)*Table1[[#This Row],[Iout]])/(Table1[[#This Row],[Vin]]+(Rs+Rdson2-Rdson1)*Table1[[#This Row],[Iout]])/Fsw,(Vout+(Rdson3+Rdcr)*Table1[[#This Row],[Iin]]-Table1[[#This Row],[Vin]])/(Vout+(Rdson3-Rdson4-Rs)*Table1[[#This Row],[Iin]])/Fsw,t1_Ph_II))</f>
        <v>1.2273256781494423E-6</v>
      </c>
      <c r="N9" s="602">
        <f>CHOOSE(Table1[[#This Row],[Mode Digit]],1/Fsw-Table1[[#This Row],[t1_Ph_II]],1/Fsw-Table1[[#This Row],[t1_Ph_II]],(Vout/Fsw-Table1[[#This Row],[Vin]]*t1_Ph_II)/(Table1[[#This Row],[Vin]]+Vout))</f>
        <v>4.3934098851722436E-7</v>
      </c>
      <c r="O9" s="602">
        <f>1/Fsw-(Table1[[#This Row],[t1_Ph_II]]+Table1[[#This Row],[t2_Ph_I]])</f>
        <v>0</v>
      </c>
      <c r="P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10.744780556438069</v>
      </c>
      <c r="Q9" s="4">
        <f>CHOOSE(Table1[[#This Row],[Mode Digit]],Table1[[#This Row],[I_0]]+1/Lf*(Table1[[#This Row],[Vin]]-Vout)*Table1[[#This Row],[t1_Ph_II]],Table1[[#This Row],[I_0]]+1/Lf*Table1[[#This Row],[Vin]]*Table1[[#This Row],[t1_Ph_II]],Table1[[#This Row],[I_0]]+(Table1[[#This Row],[Vin]]-Vout)/L*Table1[[#This Row],[t1_Ph_II]])</f>
        <v>13.255219443561929</v>
      </c>
      <c r="R9" s="4">
        <f>CHOOSE(Table1[[#This Row],[Mode Digit]],0,0,Table1[[#This Row],[I_1]]+Table1[[#This Row],[Vin]]/L*Table1[[#This Row],[t2_Ph_I]])</f>
        <v>0</v>
      </c>
      <c r="S9" s="409">
        <f>Fsw*(Table1[[#This Row],[I_0]]*Table1[[#This Row],[t1_Ph_II]]+Table1[[#This Row],[I_1]]*Table1[[#This Row],[t2_Ph_I]]+Table1[[#This Row],[I_2]]*Table1[[#This Row],[t3_Ph_III]])</f>
        <v>11.406543777806716</v>
      </c>
      <c r="T9" s="354">
        <f>MIN(1,CHOOSE(Table1[[#This Row],[Mode Digit]],(Vout+(Rdson2+Rs+Rdcr)*Table1[[#This Row],[Iout]])/(Table1[[#This Row],[Vin]]+(Rs+Rdson2-Rdson1)*Table1[[#This Row],[Iout]]),1,Fsw*Table1[[#This Row],[t2_Ph_I]]+Table1[[#This Row],[t1_Ph_II]]))</f>
        <v>0.73639540688966543</v>
      </c>
      <c r="U9" s="354">
        <f>MIN(1,CHOOSE(Table1[[#This Row],[Mode Digit]],0,(Vout+(Rdson3+Rdcr)*Table1[[#This Row],[Iin]]-Table1[[#This Row],[Vin]])/(Vout+(Rdson3-Rdson4-Rs)*Table1[[#This Row],[Iin]]),Fsw*Table1[[#This Row],[t1_Ph_II]]+Table1[[#This Row],[t3_Ph_III]]))</f>
        <v>0</v>
      </c>
      <c r="V9" s="4">
        <f>MAX(Table1[[#This Row],[I_0]:[I_2]])-MIN(Table1[[#This Row],[I_0]:[I_1]])</f>
        <v>2.5104388871238594</v>
      </c>
      <c r="W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12.021863081506901</v>
      </c>
      <c r="X9" s="354">
        <f>(Table1[[#This Row],[Irms Lf]]^2*Rdcr*(1+Ltc*Ta-Ltc*25))/(1-Table1[[#This Row],[Irms Lf]]^2*Rdcr*Ltc*ThetaCa)</f>
        <v>0.89849918959212216</v>
      </c>
      <c r="Y9" s="354">
        <f>ABS(7.759*10^-3*Fsw^0.9458*(0.00787*Table1[[#This Row],[Ripple Current pk-pk]])^2.304)</f>
        <v>0.26799715872171348</v>
      </c>
      <c r="Z9" s="354">
        <f>Table1[[#This Row],[DCR    Loss]]+Table1[[#This Row],[Core Loss]]</f>
        <v>1.1664963483138355</v>
      </c>
      <c r="AA9" s="4">
        <f>IF(Table1[[#This Row],[Vin]]&gt;Vout, Table1[[#This Row],[Ripple Current pk-pk]]/SQRT(12), SQRT(Table1[[#This Row],[Duty Cycle BOOST Leg]]/(1-Table1[[#This Row],[Duty Cycle BOOST Leg]]))*SQRT(Table1[[#This Row],[Iout]]^2+(Table1[[#This Row],[Ripple Current pk-pk]]^2)/12))</f>
        <v>0.72470128363253239</v>
      </c>
      <c r="AB9" s="354">
        <f>RCoutEsr*Table1[[#This Row],[Irms Cout]]^2</f>
        <v>2.6259597524932012E-3</v>
      </c>
      <c r="AC9" s="354">
        <f>Table1[[#This Row],[Cout ESR Loss]]</f>
        <v>2.6259597524932012E-3</v>
      </c>
      <c r="AD9" s="354">
        <f>IF(Table1[[#This Row],[Vin]]&gt;Vout, SQRT(Table1[[#This Row],[Duty Cycle BUCK Leg]]*(1-Table1[[#This Row],[Duty Cycle BUCK Leg]]))*SQRT(Table1[[#This Row],[Iout]]^2+(Table1[[#This Row],[Ripple Current pk-pk]]^2)/12), Table1[[#This Row],[Ripple Current pk-pk]]/SQRT(12))</f>
        <v>5.2966807783363672</v>
      </c>
      <c r="AE9" s="354">
        <f>RCinEsr*Table1[[#This Row],[Irms Cin]]^2</f>
        <v>5.6109654535195889E-2</v>
      </c>
      <c r="AF9" s="549">
        <f>Table1[[#This Row],[Cin ESR Loss]]</f>
        <v>5.6109654535195889E-2</v>
      </c>
      <c r="AG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10.316379574840896</v>
      </c>
      <c r="AH9" s="354">
        <f>Rdson1*Table1[[#This Row],[Irms BuCtrl]]^2</f>
        <v>0.44699628763521665</v>
      </c>
      <c r="AI9" s="354">
        <f>CHOOSE(Table1[[#This Row],[Mode Digit]], (Table1[[#This Row],[Vin]]*Table1[[#This Row],[Iout]]/2)*(Fsw)*(Tr_buck+Tf_buck), 0, (Table1[[#This Row],[Vin]]*Table1[[#This Row],[Avg IL]]/2)*(Fsw/1)*(Tr_buck+Tf_buck))</f>
        <v>2.3799280662760158</v>
      </c>
      <c r="AJ9">
        <f>IF(Table1[[#This Row],[Vin]]&gt;Vout, IF(Table1[[#This Row],[Iout]]&gt;Table1[[#This Row],[Ripple Current pk-pk]]/2,0,ABS(Table1[[#This Row],[Iout]]-Table1[[#This Row],[Ripple Current pk-pk]]/2)*Vsd_Q1*Deadtime*Fsw),0)</f>
        <v>0</v>
      </c>
      <c r="AK9" s="354">
        <f>(Table1[[#This Row],[Dead Time Loss BuCtrl]]+Table1[[#This Row],[Transition Loss BuCtrl]]+Table1[[#This Row],[RDS(on) Loss BuCtrl]]*(1+RdsonTopTc*Ta-RdsonTopTc*25))/(1-Table1[[#This Row],[RDS(on) Loss BuCtrl]]*RdsonTopTc*ThetaJA_Q1)</f>
        <v>3.1666385121192331</v>
      </c>
      <c r="AL9" s="354">
        <f>CHOOSE(Table1[[#This Row],[Mode Digit]],SQRT((Fsw*(Table1[[#This Row],[t2_Ph_I]]+0))*((Table1[[#This Row],[I_0]]*Table1[[#This Row],[I_1]]+((Table1[[#This Row],[I_0]]-Table1[[#This Row],[I_1]])^2)/3))),0,SQRT((Fsw*(Table1[[#This Row],[t3_Ph_III]]+0))*((Table1[[#This Row],[I_0]]*Table1[[#This Row],[I_2]]+((Table1[[#This Row],[I_0]]-Table1[[#This Row],[I_2]])^2)/3))))</f>
        <v>6.1723175889048507</v>
      </c>
      <c r="AM9" s="354">
        <f>Rdson2*Table1[[#This Row],[Irms BuSync]]^2</f>
        <v>0.16000951855687762</v>
      </c>
      <c r="AN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 s="354">
        <f>(Table1[[#This Row],[Deadtime Loss BuSync]]+Table1[[#This Row],[RDS(on) Loss BuSync]]*(1+RdsonBotTc*Ta-RdsonBotTc*25))/(1-Table1[[#This Row],[RDS(on) Loss BuSync]]*RdsonBotTc*ThetaJA_Q2)</f>
        <v>0.76682892981848416</v>
      </c>
      <c r="AP9" s="354">
        <f>CHOOSE(Table1[[#This Row],[Mode Digit]],0,SQRT((Fsw*(Table1[[#This Row],[t1_Ph_II]]+0))*((Table1[[#This Row],[I_0]]*Table1[[#This Row],[I_1]]+((Table1[[#This Row],[I_0]]-Table1[[#This Row],[I_1]])^2)/3))),SQRT((Fsw*(Table1[[#This Row],[t2_Ph_I]]+0))*((Table1[[#This Row],[I_1]]*Table1[[#This Row],[I_2]]+((Table1[[#This Row],[I_1]]-Table1[[#This Row],[I_2]])^2)/3))))</f>
        <v>0</v>
      </c>
      <c r="AQ9" s="354">
        <f>Rdson4*Table1[[#This Row],[Irms BoCtlr]]^2</f>
        <v>0</v>
      </c>
      <c r="AR9" s="354">
        <f>CHOOSE(Table1[[#This Row],[Mode Digit]], 0, (Vout*Table1[[#This Row],[Iin]]/2)*(Fsw)*(Tr_boost+Tf_boost), (Vout*Iout/2)*(Fsw/1)*(Tr_boost+Tf_boost))</f>
        <v>0</v>
      </c>
      <c r="AS9">
        <f>IF(Table1[[#This Row],[Vin]]&gt;Vout, 0, IF(Table1[[#This Row],[Iin]]&gt;Table1[[#This Row],[Ripple Current pk-pk]]/2,0,ABS(Table1[[#This Row],[Iin]]-Table1[[#This Row],[Ripple Current pk-pk]]/2)*Vsd_Q4*Deadtime*Fsw))</f>
        <v>0</v>
      </c>
      <c r="AT9" s="354">
        <f>(Table1[[#This Row],[Dead Time Loss BoCtlr]]+Table1[[#This Row],[Transition Loss BoCtlr]]+Table1[[#This Row],[RDS(on) Loss BoCtlr]]*(1+RdsonTopTc*Ta-RdsonTopTc*25))/(1-Table1[[#This Row],[RDS(on) Loss BoCtlr]]*RdsonTopTc*ThetaJA_Q4)</f>
        <v>0</v>
      </c>
      <c r="AU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12.021863081506901</v>
      </c>
      <c r="AV9" s="354">
        <f>Rdson3*Table1[[#This Row],[Irms BoSync]]^2</f>
        <v>0.60700580619209421</v>
      </c>
      <c r="AW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 s="354">
        <f>(Table1[[#This Row],[Deadtime Loss BoSync]]+Table1[[#This Row],[RDS(on) Loss BoSync]]*(1+RdsonBotTc*Ta-RdsonBotTc*25))/(1-Table1[[#This Row],[RDS(on) Loss BoSync]]*RdsonBotTc*ThetaJA_Q3)</f>
        <v>0.71051455693915033</v>
      </c>
      <c r="AY9" s="354">
        <f>CHOOSE(Table1[[#This Row],[Mode Digit]], Rdson3*Table1[[#This Row],[Irms Lf]]^2, Rdson1*Table1[[#This Row],[Irms Lf]]^2, 0)</f>
        <v>0.60700580619209421</v>
      </c>
      <c r="AZ9" s="354">
        <f>CHOOSE(Table1[[#This Row],[Mode Digit]], 2*Deadtime*Fsw*IF(VfdSky_Q2&gt;0,VfdSky_Q2,0)*Table1[[#This Row],[Iout]], 2*Deadtime*Fsw*IF(VfdSky_Q3&gt;0,VfdSky_Q3,0)*Table1[[#This Row],[Iin]], 2*Deadtime*Fsw*IF(VfdSky_Q2&gt;0,VfdSky_Q2,0)*Table1[[#This Row],[Iout]]+2*Deadtime*Fsw*IF(VfdSky_Q3&gt;0,VfdSky_Q3,0)*Table1[[#This Row],[Iin]])</f>
        <v>0</v>
      </c>
      <c r="BA9" s="354">
        <f>CHOOSE(Table1[[#This Row],[Mode Digit]], IF(QrrSky_Q2&gt;0,QrrSky_Q2,Qrr_Q2)*Fsw*(Table1[[#This Row],[Vin]]-Table1[[#This Row],[Iout]]*Rdson1),0,  IF(QrrSky_Q2&gt;0,QrrSky_Q2,Qrr_Q2)*Fsw*(Table1[[#This Row],[Vin]]-Table1[[#This Row],[Iout]]*Rdson1)+IF(QrrSky_Q3&gt;0,QrrSky_Q3,Qrr_Q3)*Fsw*Vout)</f>
        <v>0.2393952</v>
      </c>
      <c r="BB9" s="354">
        <f>CHOOSE(Table1[[#This Row],[Mode Digit]],0, IF(QrrSky_Q3&gt;0,QrrSky_Q3,Qrr_Q3)*Fsw*Vout,  IF(QrrSky_Q2&gt;0,QrrSky_Q2,Qrr_Q2)*Fsw*(Table1[[#This Row],[Vin]]-Table1[[#This Row],[Iout]]*Rdson1)+IF(QrrSky_Q3&gt;0,QrrSky_Q3,Qrr_Q3)*Fsw*Vout)</f>
        <v>0</v>
      </c>
      <c r="BC9" s="354">
        <f>CHOOSE(Table1[[#This Row],[Mode Digit]], Rs*Table1[[#This Row],[Irms BuSync]]^2, Rs*Table1[[#This Row],[Irms BoCtlr]]^2, Rs*(Table1[[#This Row],[Irms BuSync]]^2+Table1[[#This Row],[Irms BoCtlr]]^2))</f>
        <v>9.5243761045760475E-2</v>
      </c>
      <c r="BD9" s="354">
        <f t="shared" ref="BD9:BD72" si="1">Rshunt/1000*Iout^2</f>
        <v>1.44</v>
      </c>
      <c r="BE9" s="354">
        <f>IF(Vout&gt;8, Iq*Vout, Iq*Table1[[#This Row],[Vin]])</f>
        <v>4.3799999999999999E-2</v>
      </c>
      <c r="BF9" s="354">
        <f>CHOOSE(Table1[[#This Row],[Mode Digit]], (Qg_Q1+Qg_Q2)*Fsw, (Qg_Q3+Qg_Q4)*Fsw, (Qg_Q1+Qg_Q2+Qg_Q3+Qg_Q4)*Fsw)*IF(Vout&gt;8, Vout, Table1[[#This Row],[Vin]])</f>
        <v>0.47303999999999996</v>
      </c>
      <c r="BG9" s="354">
        <f t="shared" ref="BG9:BG72" si="2">(Vin-Vdd)*Fsw*(Qg_Q1+Qg_Q2)+(RdsonDRT+RdsonDRT2)*Fsw*Qg_Q1*Vdd/(RdsonDRT+2*Rgate1+RdsonDRT2)+(RdsonDRB+RdsonDRB2)*Fsw*Qg_Q2*Vdd/(RdsonDRB+2*Rgate2+RdsonDRB2)</f>
        <v>0.57269042016806726</v>
      </c>
      <c r="BH9" s="354">
        <f>Table1[[#This Row],[IQ Loss]]+Table1[[#This Row],[Switching Current Loss]]</f>
        <v>0.51683999999999997</v>
      </c>
      <c r="BI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8.1606929225241522</v>
      </c>
      <c r="BJ9">
        <f>Vout*Table1[[#This Row],[Iout]]</f>
        <v>175.2</v>
      </c>
      <c r="BK9" s="550">
        <f>Table1[[#This Row],[Pout]]/(Table1[[#This Row],[Pout]]+Table1[[#This Row],[Total Loss]])</f>
        <v>0.95549377136149716</v>
      </c>
      <c r="BL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189.99831072715398</v>
      </c>
      <c r="BM9" s="559">
        <f>IF(Table1[[#This Row],[Vin]]&gt;Vout, Table1[[#This Row],[Total Sync Bu MOSFET Loss]]*ThetaJA_Q2, ThetaJA_Q3*Table1[[#This Row],[Total Sync Bo MOSFET Loss]])</f>
        <v>46.009735789109051</v>
      </c>
      <c r="BO9" s="4">
        <f>Table1[[#This Row],[EFF, h]]*100</f>
        <v>95.549377136149715</v>
      </c>
      <c r="BP9" s="354">
        <f>Table1[[#This Row],[Total Inductor Loss]]</f>
        <v>1.1664963483138355</v>
      </c>
      <c r="BQ9" s="354">
        <f>Table1[[#This Row],[Total Control Bu MOSFET Loss]]+Table1[[#This Row],[Total Sync Bu MOSFET Loss]]+Table1[[#This Row],[Total Control Bo MOSFET Loss]]+Table1[[#This Row],[Total Sync Bo MOSFET Loss]]+Table1[[#This Row],[Reverse Recovery Loss MOSFET D BUCK]]+Table1[[#This Row],[Reverse Recovery Loss MOSFET D BOOST]]</f>
        <v>4.8833771988768673</v>
      </c>
      <c r="BR9" s="354">
        <f>Table1[[#This Row],[Total Control Bu MOSFET Loss]]+Table1[[#This Row],[Reverse Recovery Loss MOSFET D BUCK]]*0.66</f>
        <v>3.324639344119233</v>
      </c>
      <c r="BS9" s="354">
        <f>Table1[[#This Row],[Total Sync Bu MOSFET Loss]]+Table1[[#This Row],[Reverse Recovery Loss MOSFET D BUCK]]*0.33</f>
        <v>0.84582934581848412</v>
      </c>
      <c r="BT9" s="354">
        <f xml:space="preserve"> Table1[[#This Row],[Total Control Bo MOSFET Loss]]+Table1[[#This Row],[Reverse Recovery Loss MOSFET D BOOST]]*0.66</f>
        <v>0</v>
      </c>
      <c r="BU9" s="354">
        <f xml:space="preserve"> Table1[[#This Row],[Total Sync Bo MOSFET Loss]]+Table1[[#This Row],[Reverse Recovery Loss MOSFET D BOOST]]*0.33</f>
        <v>0.71051455693915033</v>
      </c>
      <c r="BV9" s="354">
        <f>Table1[[#This Row],[Isense Shunt Loss]]</f>
        <v>9.5243761045760475E-2</v>
      </c>
      <c r="BZ9" t="s">
        <v>135</v>
      </c>
      <c r="CA9" s="18">
        <v>70</v>
      </c>
      <c r="CB9" s="18">
        <v>70</v>
      </c>
      <c r="CC9" s="18">
        <v>70</v>
      </c>
      <c r="CD9" s="19">
        <f>250000*(5-Vdd)*CC9/1000000000+((250000*CC9/1000000000*Vdd)*2.5/(2*4))</f>
        <v>-2.7343749999999972E-3</v>
      </c>
      <c r="CE9">
        <f t="shared" ref="CE9:CN17" si="3">CE$6*$CD9</f>
        <v>-0.21874999999999978</v>
      </c>
      <c r="CF9">
        <f t="shared" si="3"/>
        <v>-0.27343749999999972</v>
      </c>
      <c r="CG9">
        <f t="shared" si="3"/>
        <v>-0.32812499999999967</v>
      </c>
      <c r="CH9">
        <f t="shared" si="3"/>
        <v>-0.38281249999999961</v>
      </c>
      <c r="CI9">
        <f t="shared" si="3"/>
        <v>-0.43749999999999956</v>
      </c>
      <c r="CJ9">
        <f t="shared" si="3"/>
        <v>-0.4921874999999995</v>
      </c>
      <c r="CK9">
        <f t="shared" si="3"/>
        <v>-5.4687499999999944E-2</v>
      </c>
      <c r="CL9">
        <f t="shared" si="3"/>
        <v>-8.2031249999999917E-2</v>
      </c>
      <c r="CM9">
        <f t="shared" si="3"/>
        <v>-0.10937499999999989</v>
      </c>
      <c r="CN9">
        <f t="shared" si="3"/>
        <v>-0.13671874999999986</v>
      </c>
    </row>
    <row r="10" spans="1:92" x14ac:dyDescent="0.2">
      <c r="A10" s="502"/>
      <c r="B10" s="24"/>
      <c r="C10" s="16"/>
      <c r="D10" s="17"/>
      <c r="G10">
        <v>1</v>
      </c>
      <c r="H10" s="555">
        <f>VIN_min+(VIN_max-VIN_min)*(Table1[[#This Row],[Step]]/200)</f>
        <v>20.07</v>
      </c>
      <c r="I10" s="4" t="str">
        <f>IF(Mode = 2,IF(Table1[[#This Row],[Vin]]&gt;Vout, "BUCK","BOOST"),IF(Table1[[#This Row],[Vin]]&gt;VIN_BB_to_buck, "BUCK", IF(Table1[[#This Row],[Vin]]&lt;=VIN_boost_to_BB,"BOOST","BUCK-BST")))</f>
        <v>BUCK</v>
      </c>
      <c r="J10">
        <f>IF(Table1[[#This Row],[Mode]]="BOOST",2, IF(Table1[[#This Row],[Mode]]="BUCK", 1,3))</f>
        <v>1</v>
      </c>
      <c r="K10">
        <f t="shared" si="0"/>
        <v>12</v>
      </c>
      <c r="L10" s="4">
        <f>Vout*Table1[[#This Row],[Iout]]/(Table1[[#This Row],[Vin]]*Efficiency)</f>
        <v>9.1888915112894356</v>
      </c>
      <c r="M10" s="711">
        <f>MIN(1/Fsw,CHOOSE(Table1[[#This Row],[Mode Digit]],(Vout+(Rdson2+Rs+Rdcr)*Table1[[#This Row],[Iout]])/(Table1[[#This Row],[Vin]]+(Rs+Rdson2-Rdson1)*Table1[[#This Row],[Iout]])/Fsw,(Vout+(Rdson3+Rdcr)*Table1[[#This Row],[Iin]]-Table1[[#This Row],[Vin]])/(Vout+(Rdson3-Rdson4-Rs)*Table1[[#This Row],[Iin]])/Fsw,t1_Ph_II))</f>
        <v>1.2230514096185738E-6</v>
      </c>
      <c r="N10" s="602">
        <f>CHOOSE(Table1[[#This Row],[Mode Digit]],1/Fsw-Table1[[#This Row],[t1_Ph_II]],1/Fsw-Table1[[#This Row],[t1_Ph_II]],(Vout/Fsw-Table1[[#This Row],[Vin]]*t1_Ph_II)/(Table1[[#This Row],[Vin]]+Vout))</f>
        <v>4.4361525704809289E-7</v>
      </c>
      <c r="O10" s="602">
        <f>1/Fsw-(Table1[[#This Row],[t1_Ph_II]]+Table1[[#This Row],[t2_Ph_I]])</f>
        <v>0</v>
      </c>
      <c r="P1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10.732937270717121</v>
      </c>
      <c r="Q10" s="4">
        <f>CHOOSE(Table1[[#This Row],[Mode Digit]],Table1[[#This Row],[I_0]]+1/Lf*(Table1[[#This Row],[Vin]]-Vout)*Table1[[#This Row],[t1_Ph_II]],Table1[[#This Row],[I_0]]+1/Lf*Table1[[#This Row],[Vin]]*Table1[[#This Row],[t1_Ph_II]],Table1[[#This Row],[I_0]]+(Table1[[#This Row],[Vin]]-Vout)/L*Table1[[#This Row],[t1_Ph_II]])</f>
        <v>13.267062729282879</v>
      </c>
      <c r="R10" s="4">
        <f>CHOOSE(Table1[[#This Row],[Mode Digit]],0,0,Table1[[#This Row],[I_1]]+Table1[[#This Row],[Vin]]/L*Table1[[#This Row],[t2_Ph_I]])</f>
        <v>0</v>
      </c>
      <c r="S10" s="4">
        <f>Fsw*(Table1[[#This Row],[I_0]]*Table1[[#This Row],[t1_Ph_II]]+Table1[[#This Row],[I_1]]*Table1[[#This Row],[t2_Ph_I]]+Table1[[#This Row],[I_2]]*Table1[[#This Row],[t3_Ph_III]])</f>
        <v>11.407443300733382</v>
      </c>
      <c r="T10" s="354">
        <f>MIN(1,CHOOSE(Table1[[#This Row],[Mode Digit]],(Vout+(Rdson2+Rs+Rdcr)*Table1[[#This Row],[Iout]])/(Table1[[#This Row],[Vin]]+(Rs+Rdson2-Rdson1)*Table1[[#This Row],[Iout]]),1,Fsw*Table1[[#This Row],[t2_Ph_I]]+Table1[[#This Row],[t1_Ph_II]]))</f>
        <v>0.73383084577114421</v>
      </c>
      <c r="U10" s="354">
        <f>MIN(1,CHOOSE(Table1[[#This Row],[Mode Digit]],0,(Vout+(Rdson3+Rdcr)*Table1[[#This Row],[Iin]]-Table1[[#This Row],[Vin]])/(Vout+(Rdson3-Rdson4-Rs)*Table1[[#This Row],[Iin]]),Fsw*Table1[[#This Row],[t1_Ph_II]]+Table1[[#This Row],[t3_Ph_III]]))</f>
        <v>0</v>
      </c>
      <c r="V10" s="4">
        <f>MAX(Table1[[#This Row],[I_0]:[I_2]])-MIN(Table1[[#This Row],[I_0]:[I_1]])</f>
        <v>2.5341254585657573</v>
      </c>
      <c r="W1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12.022277210245123</v>
      </c>
      <c r="X10" s="354">
        <f>(Table1[[#This Row],[Irms Lf]]^2*Rdcr*(1+Ltc*Ta-Ltc*25))/(1-Table1[[#This Row],[Irms Lf]]^2*Rdcr*Ltc*ThetaCa)</f>
        <v>0.89856554358310536</v>
      </c>
      <c r="Y10" s="354">
        <f>ABS(7.759*10^-3*Fsw^0.9458*(0.00787*Table1[[#This Row],[Ripple Current pk-pk]])^2.304)</f>
        <v>0.27385896205927035</v>
      </c>
      <c r="Z10" s="354">
        <f>Table1[[#This Row],[DCR    Loss]]+Table1[[#This Row],[Core Loss]]</f>
        <v>1.1724245056423757</v>
      </c>
      <c r="AA10" s="4">
        <f>IF(Table1[[#This Row],[Vin]]&gt;Vout, Table1[[#This Row],[Ripple Current pk-pk]]/SQRT(12), SQRT(Table1[[#This Row],[Duty Cycle BOOST Leg]]/(1-Table1[[#This Row],[Duty Cycle BOOST Leg]]))*SQRT(Table1[[#This Row],[Iout]]^2+(Table1[[#This Row],[Ripple Current pk-pk]]^2)/12))</f>
        <v>0.73153900783161196</v>
      </c>
      <c r="AB10" s="354">
        <f>RCoutEsr*Table1[[#This Row],[Irms Cout]]^2</f>
        <v>2.6757465998962959E-3</v>
      </c>
      <c r="AC10" s="354">
        <f>Table1[[#This Row],[Cout ESR Loss]]</f>
        <v>2.6757465998962959E-3</v>
      </c>
      <c r="AD10" s="354">
        <f>IF(Table1[[#This Row],[Vin]]&gt;Vout, SQRT(Table1[[#This Row],[Duty Cycle BUCK Leg]]*(1-Table1[[#This Row],[Duty Cycle BUCK Leg]]))*SQRT(Table1[[#This Row],[Iout]]^2+(Table1[[#This Row],[Ripple Current pk-pk]]^2)/12), Table1[[#This Row],[Ripple Current pk-pk]]/SQRT(12))</f>
        <v>5.313290747236719</v>
      </c>
      <c r="AE10" s="354">
        <f>RCinEsr*Table1[[#This Row],[Irms Cin]]^2</f>
        <v>5.6462117129342668E-2</v>
      </c>
      <c r="AF10" s="549">
        <f>Table1[[#This Row],[Cin ESR Loss]]</f>
        <v>5.6462117129342668E-2</v>
      </c>
      <c r="AG1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10.298754821294612</v>
      </c>
      <c r="AH10" s="354">
        <f>Rdson1*Table1[[#This Row],[Irms BuCtrl]]^2</f>
        <v>0.44547027365038389</v>
      </c>
      <c r="AI10" s="354">
        <f>CHOOSE(Table1[[#This Row],[Mode Digit]], (Table1[[#This Row],[Vin]]*Table1[[#This Row],[Iout]]/2)*(Fsw)*(Tr_buck+Tf_buck), 0, (Table1[[#This Row],[Vin]]*Table1[[#This Row],[Avg IL]]/2)*(Fsw/1)*(Tr_buck+Tf_buck))</f>
        <v>2.3882578145079818</v>
      </c>
      <c r="AJ10">
        <f>IF(Table1[[#This Row],[Vin]]&gt;Vout, IF(Table1[[#This Row],[Iout]]&gt;Table1[[#This Row],[Ripple Current pk-pk]]/2,0,ABS(Table1[[#This Row],[Iout]]-Table1[[#This Row],[Ripple Current pk-pk]]/2)*Vsd_Q1*Deadtime*Fsw),0)</f>
        <v>0</v>
      </c>
      <c r="AK10" s="354">
        <f>(Table1[[#This Row],[Dead Time Loss BuCtrl]]+Table1[[#This Row],[Transition Loss BuCtrl]]+Table1[[#This Row],[RDS(on) Loss BuCtrl]]*(1+RdsonTopTc*Ta-RdsonTopTc*25))/(1-Table1[[#This Row],[RDS(on) Loss BuCtrl]]*RdsonTopTc*ThetaJA_Q1)</f>
        <v>3.1729581350464509</v>
      </c>
      <c r="AL10" s="354">
        <f>CHOOSE(Table1[[#This Row],[Mode Digit]],SQRT((Fsw*(Table1[[#This Row],[t2_Ph_I]]+0))*((Table1[[#This Row],[I_0]]*Table1[[#This Row],[I_1]]+((Table1[[#This Row],[I_0]]-Table1[[#This Row],[I_1]])^2)/3))),0,SQRT((Fsw*(Table1[[#This Row],[t3_Ph_III]]+0))*((Table1[[#This Row],[I_0]]*Table1[[#This Row],[I_2]]+((Table1[[#This Row],[I_0]]-Table1[[#This Row],[I_2]])^2)/3))))</f>
        <v>6.2024832487351595</v>
      </c>
      <c r="AM10" s="354">
        <f>Rdson2*Table1[[#This Row],[Irms BuSync]]^2</f>
        <v>0.16157735349352909</v>
      </c>
      <c r="AN1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 s="354">
        <f>(Table1[[#This Row],[Deadtime Loss BuSync]]+Table1[[#This Row],[RDS(on) Loss BuSync]]*(1+RdsonBotTc*Ta-RdsonBotTc*25))/(1-Table1[[#This Row],[RDS(on) Loss BuSync]]*RdsonBotTc*ThetaJA_Q2)</f>
        <v>0.76876019929867889</v>
      </c>
      <c r="AP10" s="354">
        <f>CHOOSE(Table1[[#This Row],[Mode Digit]],0,SQRT((Fsw*(Table1[[#This Row],[t1_Ph_II]]+0))*((Table1[[#This Row],[I_0]]*Table1[[#This Row],[I_1]]+((Table1[[#This Row],[I_0]]-Table1[[#This Row],[I_1]])^2)/3))),SQRT((Fsw*(Table1[[#This Row],[t2_Ph_I]]+0))*((Table1[[#This Row],[I_1]]*Table1[[#This Row],[I_2]]+((Table1[[#This Row],[I_1]]-Table1[[#This Row],[I_2]])^2)/3))))</f>
        <v>0</v>
      </c>
      <c r="AQ10" s="354">
        <f>Rdson4*Table1[[#This Row],[Irms BoCtlr]]^2</f>
        <v>0</v>
      </c>
      <c r="AR10" s="354">
        <f>CHOOSE(Table1[[#This Row],[Mode Digit]], 0, (Vout*Table1[[#This Row],[Iin]]/2)*(Fsw)*(Tr_boost+Tf_boost), (Vout*Iout/2)*(Fsw/1)*(Tr_boost+Tf_boost))</f>
        <v>0</v>
      </c>
      <c r="AS10">
        <f>IF(Table1[[#This Row],[Vin]]&gt;Vout, 0, IF(Table1[[#This Row],[Iin]]&gt;Table1[[#This Row],[Ripple Current pk-pk]]/2,0,ABS(Table1[[#This Row],[Iin]]-Table1[[#This Row],[Ripple Current pk-pk]]/2)*Vsd_Q4*Deadtime*Fsw))</f>
        <v>0</v>
      </c>
      <c r="AT10" s="354">
        <f>(Table1[[#This Row],[Dead Time Loss BoCtlr]]+Table1[[#This Row],[Transition Loss BoCtlr]]+Table1[[#This Row],[RDS(on) Loss BoCtlr]]*(1+RdsonTopTc*Ta-RdsonTopTc*25))/(1-Table1[[#This Row],[RDS(on) Loss BoCtlr]]*RdsonTopTc*ThetaJA_Q4)</f>
        <v>0</v>
      </c>
      <c r="AU1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12.022277210245123</v>
      </c>
      <c r="AV10" s="354">
        <f>Rdson3*Table1[[#This Row],[Irms BoSync]]^2</f>
        <v>0.60704762714391303</v>
      </c>
      <c r="AW1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 s="354">
        <f>(Table1[[#This Row],[Deadtime Loss BoSync]]+Table1[[#This Row],[RDS(on) Loss BoSync]]*(1+RdsonBotTc*Ta-RdsonBotTc*25))/(1-Table1[[#This Row],[RDS(on) Loss BoSync]]*RdsonBotTc*ThetaJA_Q3)</f>
        <v>0.71057185755438468</v>
      </c>
      <c r="AY10" s="354">
        <f>CHOOSE(Table1[[#This Row],[Mode Digit]], Rdson3*Table1[[#This Row],[Irms Lf]]^2, Rdson1*Table1[[#This Row],[Irms Lf]]^2, 0)</f>
        <v>0.60704762714391303</v>
      </c>
      <c r="AZ10" s="354">
        <f>CHOOSE(Table1[[#This Row],[Mode Digit]], 2*Deadtime*Fsw*IF(VfdSky_Q2&gt;0,VfdSky_Q2,0)*Table1[[#This Row],[Iout]], 2*Deadtime*Fsw*IF(VfdSky_Q3&gt;0,VfdSky_Q3,0)*Table1[[#This Row],[Iin]], 2*Deadtime*Fsw*IF(VfdSky_Q2&gt;0,VfdSky_Q2,0)*Table1[[#This Row],[Iout]]+2*Deadtime*Fsw*IF(VfdSky_Q3&gt;0,VfdSky_Q3,0)*Table1[[#This Row],[Iin]])</f>
        <v>0</v>
      </c>
      <c r="BA10" s="354">
        <f>CHOOSE(Table1[[#This Row],[Mode Digit]], IF(QrrSky_Q2&gt;0,QrrSky_Q2,Qrr_Q2)*Fsw*(Table1[[#This Row],[Vin]]-Table1[[#This Row],[Iout]]*Rdson1),0,  IF(QrrSky_Q2&gt;0,QrrSky_Q2,Qrr_Q2)*Fsw*(Table1[[#This Row],[Vin]]-Table1[[#This Row],[Iout]]*Rdson1)+IF(QrrSky_Q3&gt;0,QrrSky_Q3,Qrr_Q3)*Fsw*Vout)</f>
        <v>0.24023520000000001</v>
      </c>
      <c r="BB10" s="354">
        <f>CHOOSE(Table1[[#This Row],[Mode Digit]],0, IF(QrrSky_Q3&gt;0,QrrSky_Q3,Qrr_Q3)*Fsw*Vout,  IF(QrrSky_Q2&gt;0,QrrSky_Q2,Qrr_Q2)*Fsw*(Table1[[#This Row],[Vin]]-Table1[[#This Row],[Iout]]*Rdson1)+IF(QrrSky_Q3&gt;0,QrrSky_Q3,Qrr_Q3)*Fsw*Vout)</f>
        <v>0</v>
      </c>
      <c r="BC10" s="354">
        <f>CHOOSE(Table1[[#This Row],[Mode Digit]], Rs*Table1[[#This Row],[Irms BuSync]]^2, Rs*Table1[[#This Row],[Irms BoCtlr]]^2, Rs*(Table1[[#This Row],[Irms BuSync]]^2+Table1[[#This Row],[Irms BoCtlr]]^2))</f>
        <v>9.6176996127100636E-2</v>
      </c>
      <c r="BD10" s="354">
        <f t="shared" si="1"/>
        <v>1.44</v>
      </c>
      <c r="BE10" s="354">
        <f>IF(Vout&gt;8, Iq*Vout, Iq*Table1[[#This Row],[Vin]])</f>
        <v>4.3799999999999999E-2</v>
      </c>
      <c r="BF10" s="354">
        <f>CHOOSE(Table1[[#This Row],[Mode Digit]], (Qg_Q1+Qg_Q2)*Fsw, (Qg_Q3+Qg_Q4)*Fsw, (Qg_Q1+Qg_Q2+Qg_Q3+Qg_Q4)*Fsw)*IF(Vout&gt;8, Vout, Table1[[#This Row],[Vin]])</f>
        <v>0.47303999999999996</v>
      </c>
      <c r="BG10" s="354">
        <f t="shared" si="2"/>
        <v>0.57269042016806726</v>
      </c>
      <c r="BH10" s="354">
        <f>Table1[[#This Row],[IQ Loss]]+Table1[[#This Row],[Switching Current Loss]]</f>
        <v>0.51683999999999997</v>
      </c>
      <c r="BI1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8.1771047573982294</v>
      </c>
      <c r="BJ10">
        <f>Vout*Table1[[#This Row],[Iout]]</f>
        <v>175.2</v>
      </c>
      <c r="BK10" s="550">
        <f>Table1[[#This Row],[Pout]]/(Table1[[#This Row],[Pout]]+Table1[[#This Row],[Total Loss]])</f>
        <v>0.95540825683655395</v>
      </c>
      <c r="BL1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190.37748810278705</v>
      </c>
      <c r="BM10" s="559">
        <f>IF(Table1[[#This Row],[Vin]]&gt;Vout, Table1[[#This Row],[Total Sync Bu MOSFET Loss]]*ThetaJA_Q2, ThetaJA_Q3*Table1[[#This Row],[Total Sync Bo MOSFET Loss]])</f>
        <v>46.125611957920732</v>
      </c>
      <c r="BN10" s="9"/>
      <c r="BO10" s="4">
        <f>Table1[[#This Row],[EFF, h]]*100</f>
        <v>95.540825683655399</v>
      </c>
      <c r="BP10" s="354">
        <f>Table1[[#This Row],[Total Inductor Loss]]</f>
        <v>1.1724245056423757</v>
      </c>
      <c r="BQ10" s="354">
        <f>Table1[[#This Row],[Total Control Bu MOSFET Loss]]+Table1[[#This Row],[Total Sync Bu MOSFET Loss]]+Table1[[#This Row],[Total Control Bo MOSFET Loss]]+Table1[[#This Row],[Total Sync Bo MOSFET Loss]]+Table1[[#This Row],[Reverse Recovery Loss MOSFET D BUCK]]+Table1[[#This Row],[Reverse Recovery Loss MOSFET D BOOST]]</f>
        <v>4.8925253918995137</v>
      </c>
      <c r="BR10" s="354">
        <f>Table1[[#This Row],[Total Control Bu MOSFET Loss]]+Table1[[#This Row],[Reverse Recovery Loss MOSFET D BUCK]]*0.66</f>
        <v>3.3315133670464507</v>
      </c>
      <c r="BS10" s="354">
        <f>Table1[[#This Row],[Total Sync Bu MOSFET Loss]]+Table1[[#This Row],[Reverse Recovery Loss MOSFET D BUCK]]*0.33</f>
        <v>0.84803781529867894</v>
      </c>
      <c r="BT10" s="354">
        <f xml:space="preserve"> Table1[[#This Row],[Total Control Bo MOSFET Loss]]+Table1[[#This Row],[Reverse Recovery Loss MOSFET D BOOST]]*0.66</f>
        <v>0</v>
      </c>
      <c r="BU10" s="354">
        <f xml:space="preserve"> Table1[[#This Row],[Total Sync Bo MOSFET Loss]]+Table1[[#This Row],[Reverse Recovery Loss MOSFET D BOOST]]*0.33</f>
        <v>0.71057185755438468</v>
      </c>
      <c r="BV10" s="354">
        <f>Table1[[#This Row],[Isense Shunt Loss]]</f>
        <v>9.6176996127100636E-2</v>
      </c>
      <c r="CA10" s="18"/>
      <c r="CB10" s="18"/>
      <c r="CC10" s="18"/>
      <c r="CD10" s="19"/>
    </row>
    <row r="11" spans="1:92" x14ac:dyDescent="0.2">
      <c r="A11" s="20" t="s">
        <v>4</v>
      </c>
      <c r="B11" s="5">
        <f>Vin</f>
        <v>23.6</v>
      </c>
      <c r="C11" s="440" t="s">
        <v>0</v>
      </c>
      <c r="D11" s="21" t="s">
        <v>4</v>
      </c>
      <c r="G11">
        <v>2</v>
      </c>
      <c r="H11" s="555">
        <f>VIN_min+(VIN_max-VIN_min)*(Table1[[#This Row],[Step]]/200)</f>
        <v>20.14</v>
      </c>
      <c r="I11" s="4" t="str">
        <f>IF(Mode = 2,IF(Table1[[#This Row],[Vin]]&gt;Vout, "BUCK","BOOST"),IF(Table1[[#This Row],[Vin]]&gt;VIN_BB_to_buck, "BUCK", IF(Table1[[#This Row],[Vin]]&lt;=VIN_boost_to_BB,"BOOST","BUCK-BST")))</f>
        <v>BUCK</v>
      </c>
      <c r="J11">
        <f>IF(Table1[[#This Row],[Mode]]="BOOST",2, IF(Table1[[#This Row],[Mode]]="BUCK", 1,3))</f>
        <v>1</v>
      </c>
      <c r="K11">
        <f t="shared" si="0"/>
        <v>12</v>
      </c>
      <c r="L11" s="4">
        <f>Vout*Table1[[#This Row],[Iout]]/(Table1[[#This Row],[Vin]]*Efficiency)</f>
        <v>9.1569539539016365</v>
      </c>
      <c r="M11" s="711">
        <f>MIN(1/Fsw,CHOOSE(Table1[[#This Row],[Mode Digit]],(Vout+(Rdson2+Rs+Rdcr)*Table1[[#This Row],[Iout]])/(Table1[[#This Row],[Vin]]+(Rs+Rdson2-Rdson1)*Table1[[#This Row],[Iout]])/Fsw,(Vout+(Rdson3+Rdcr)*Table1[[#This Row],[Iin]]-Table1[[#This Row],[Vin]])/(Vout+(Rdson3-Rdson4-Rs)*Table1[[#This Row],[Iin]])/Fsw,t1_Ph_II))</f>
        <v>1.2188068087919352E-6</v>
      </c>
      <c r="N11" s="602">
        <f>CHOOSE(Table1[[#This Row],[Mode Digit]],1/Fsw-Table1[[#This Row],[t1_Ph_II]],1/Fsw-Table1[[#This Row],[t1_Ph_II]],(Vout/Fsw-Table1[[#This Row],[Vin]]*t1_Ph_II)/(Table1[[#This Row],[Vin]]+Vout))</f>
        <v>4.4785985787473151E-7</v>
      </c>
      <c r="O11" s="602">
        <f>1/Fsw-(Table1[[#This Row],[t1_Ph_II]]+Table1[[#This Row],[t2_Ph_I]])</f>
        <v>0</v>
      </c>
      <c r="P1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10.721176189259976</v>
      </c>
      <c r="Q11" s="4">
        <f>CHOOSE(Table1[[#This Row],[Mode Digit]],Table1[[#This Row],[I_0]]+1/Lf*(Table1[[#This Row],[Vin]]-Vout)*Table1[[#This Row],[t1_Ph_II]],Table1[[#This Row],[I_0]]+1/Lf*Table1[[#This Row],[Vin]]*Table1[[#This Row],[t1_Ph_II]],Table1[[#This Row],[I_0]]+(Table1[[#This Row],[Vin]]-Vout)/L*Table1[[#This Row],[t1_Ph_II]])</f>
        <v>13.278823810740022</v>
      </c>
      <c r="R11" s="4">
        <f>CHOOSE(Table1[[#This Row],[Mode Digit]],0,0,Table1[[#This Row],[I_1]]+Table1[[#This Row],[Vin]]/L*Table1[[#This Row],[t2_Ph_I]])</f>
        <v>0</v>
      </c>
      <c r="S11" s="4">
        <f>Fsw*(Table1[[#This Row],[I_0]]*Table1[[#This Row],[t1_Ph_II]]+Table1[[#This Row],[I_1]]*Table1[[#This Row],[t2_Ph_I]]+Table1[[#This Row],[I_2]]*Table1[[#This Row],[t3_Ph_III]])</f>
        <v>11.408456809409795</v>
      </c>
      <c r="T11" s="354">
        <f>MIN(1,CHOOSE(Table1[[#This Row],[Mode Digit]],(Vout+(Rdson2+Rs+Rdcr)*Table1[[#This Row],[Iout]])/(Table1[[#This Row],[Vin]]+(Rs+Rdson2-Rdson1)*Table1[[#This Row],[Iout]]),1,Fsw*Table1[[#This Row],[t2_Ph_I]]+Table1[[#This Row],[t1_Ph_II]]))</f>
        <v>0.73128408527516109</v>
      </c>
      <c r="U11" s="354">
        <f>MIN(1,CHOOSE(Table1[[#This Row],[Mode Digit]],0,(Vout+(Rdson3+Rdcr)*Table1[[#This Row],[Iin]]-Table1[[#This Row],[Vin]])/(Vout+(Rdson3-Rdson4-Rs)*Table1[[#This Row],[Iin]]),Fsw*Table1[[#This Row],[t1_Ph_II]]+Table1[[#This Row],[t3_Ph_III]]))</f>
        <v>0</v>
      </c>
      <c r="V11" s="4">
        <f>MAX(Table1[[#This Row],[I_0]:[I_2]])-MIN(Table1[[#This Row],[I_0]:[I_1]])</f>
        <v>2.5576476214800454</v>
      </c>
      <c r="W1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12.02269229885602</v>
      </c>
      <c r="X11" s="354">
        <f>(Table1[[#This Row],[Irms Lf]]^2*Rdcr*(1+Ltc*Ta-Ltc*25))/(1-Table1[[#This Row],[Irms Lf]]^2*Rdcr*Ltc*ThetaCa)</f>
        <v>0.89863205432339699</v>
      </c>
      <c r="Y11" s="354">
        <f>ABS(7.759*10^-3*Fsw^0.9458*(0.00787*Table1[[#This Row],[Ripple Current pk-pk]])^2.304)</f>
        <v>0.27975121583219742</v>
      </c>
      <c r="Z11" s="354">
        <f>Table1[[#This Row],[DCR    Loss]]+Table1[[#This Row],[Core Loss]]</f>
        <v>1.1783832701555945</v>
      </c>
      <c r="AA11" s="4">
        <f>IF(Table1[[#This Row],[Vin]]&gt;Vout, Table1[[#This Row],[Ripple Current pk-pk]]/SQRT(12), SQRT(Table1[[#This Row],[Duty Cycle BOOST Leg]]/(1-Table1[[#This Row],[Duty Cycle BOOST Leg]]))*SQRT(Table1[[#This Row],[Iout]]^2+(Table1[[#This Row],[Ripple Current pk-pk]]^2)/12))</f>
        <v>0.73832927137685522</v>
      </c>
      <c r="AB11" s="354">
        <f>RCoutEsr*Table1[[#This Row],[Irms Cout]]^2</f>
        <v>2.7256505648593898E-3</v>
      </c>
      <c r="AC11" s="354">
        <f>Table1[[#This Row],[Cout ESR Loss]]</f>
        <v>2.7256505648593898E-3</v>
      </c>
      <c r="AD11" s="354">
        <f>IF(Table1[[#This Row],[Vin]]&gt;Vout, SQRT(Table1[[#This Row],[Duty Cycle BUCK Leg]]*(1-Table1[[#This Row],[Duty Cycle BUCK Leg]]))*SQRT(Table1[[#This Row],[Iout]]^2+(Table1[[#This Row],[Ripple Current pk-pk]]^2)/12), Table1[[#This Row],[Ripple Current pk-pk]]/SQRT(12))</f>
        <v>5.3295616145003937</v>
      </c>
      <c r="AE11" s="354">
        <f>RCinEsr*Table1[[#This Row],[Irms Cin]]^2</f>
        <v>5.6808454005512085E-2</v>
      </c>
      <c r="AF11" s="549">
        <f>Table1[[#This Row],[Cin ESR Loss]]</f>
        <v>5.6808454005512085E-2</v>
      </c>
      <c r="AG1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10.281223334586393</v>
      </c>
      <c r="AH11" s="354">
        <f>Rdson1*Table1[[#This Row],[Irms BuCtrl]]^2</f>
        <v>0.44395492367370382</v>
      </c>
      <c r="AI11" s="354">
        <f>CHOOSE(Table1[[#This Row],[Mode Digit]], (Table1[[#This Row],[Vin]]*Table1[[#This Row],[Iout]]/2)*(Fsw)*(Tr_buck+Tf_buck), 0, (Table1[[#This Row],[Vin]]*Table1[[#This Row],[Avg IL]]/2)*(Fsw/1)*(Tr_buck+Tf_buck))</f>
        <v>2.3965875627399478</v>
      </c>
      <c r="AJ11">
        <f>IF(Table1[[#This Row],[Vin]]&gt;Vout, IF(Table1[[#This Row],[Iout]]&gt;Table1[[#This Row],[Ripple Current pk-pk]]/2,0,ABS(Table1[[#This Row],[Iout]]-Table1[[#This Row],[Ripple Current pk-pk]]/2)*Vsd_Q1*Deadtime*Fsw),0)</f>
        <v>0</v>
      </c>
      <c r="AK11" s="354">
        <f>(Table1[[#This Row],[Dead Time Loss BuCtrl]]+Table1[[#This Row],[Transition Loss BuCtrl]]+Table1[[#This Row],[RDS(on) Loss BuCtrl]]*(1+RdsonTopTc*Ta-RdsonTopTc*25))/(1-Table1[[#This Row],[RDS(on) Loss BuCtrl]]*RdsonTopTc*ThetaJA_Q1)</f>
        <v>3.1792936199445592</v>
      </c>
      <c r="AL11" s="354">
        <f>CHOOSE(Table1[[#This Row],[Mode Digit]],SQRT((Fsw*(Table1[[#This Row],[t2_Ph_I]]+0))*((Table1[[#This Row],[I_0]]*Table1[[#This Row],[I_1]]+((Table1[[#This Row],[I_0]]-Table1[[#This Row],[I_1]])^2)/3))),0,SQRT((Fsw*(Table1[[#This Row],[t3_Ph_III]]+0))*((Table1[[#This Row],[I_0]]*Table1[[#This Row],[I_2]]+((Table1[[#This Row],[I_0]]-Table1[[#This Row],[I_2]])^2)/3))))</f>
        <v>6.232301088468696</v>
      </c>
      <c r="AM11" s="354">
        <f>Rdson2*Table1[[#This Row],[Irms BuSync]]^2</f>
        <v>0.16313462280077801</v>
      </c>
      <c r="AN1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 s="354">
        <f>(Table1[[#This Row],[Deadtime Loss BuSync]]+Table1[[#This Row],[RDS(on) Loss BuSync]]*(1+RdsonBotTc*Ta-RdsonBotTc*25))/(1-Table1[[#This Row],[RDS(on) Loss BuSync]]*RdsonBotTc*ThetaJA_Q2)</f>
        <v>0.77067995133071665</v>
      </c>
      <c r="AP11" s="354">
        <f>CHOOSE(Table1[[#This Row],[Mode Digit]],0,SQRT((Fsw*(Table1[[#This Row],[t1_Ph_II]]+0))*((Table1[[#This Row],[I_0]]*Table1[[#This Row],[I_1]]+((Table1[[#This Row],[I_0]]-Table1[[#This Row],[I_1]])^2)/3))),SQRT((Fsw*(Table1[[#This Row],[t2_Ph_I]]+0))*((Table1[[#This Row],[I_1]]*Table1[[#This Row],[I_2]]+((Table1[[#This Row],[I_1]]-Table1[[#This Row],[I_2]])^2)/3))))</f>
        <v>0</v>
      </c>
      <c r="AQ11" s="354">
        <f>Rdson4*Table1[[#This Row],[Irms BoCtlr]]^2</f>
        <v>0</v>
      </c>
      <c r="AR11" s="354">
        <f>CHOOSE(Table1[[#This Row],[Mode Digit]], 0, (Vout*Table1[[#This Row],[Iin]]/2)*(Fsw)*(Tr_boost+Tf_boost), (Vout*Iout/2)*(Fsw/1)*(Tr_boost+Tf_boost))</f>
        <v>0</v>
      </c>
      <c r="AS11">
        <f>IF(Table1[[#This Row],[Vin]]&gt;Vout, 0, IF(Table1[[#This Row],[Iin]]&gt;Table1[[#This Row],[Ripple Current pk-pk]]/2,0,ABS(Table1[[#This Row],[Iin]]-Table1[[#This Row],[Ripple Current pk-pk]]/2)*Vsd_Q4*Deadtime*Fsw))</f>
        <v>0</v>
      </c>
      <c r="AT11" s="354">
        <f>(Table1[[#This Row],[Dead Time Loss BoCtlr]]+Table1[[#This Row],[Transition Loss BoCtlr]]+Table1[[#This Row],[RDS(on) Loss BoCtlr]]*(1+RdsonTopTc*Ta-RdsonTopTc*25))/(1-Table1[[#This Row],[RDS(on) Loss BoCtlr]]*RdsonTopTc*ThetaJA_Q4)</f>
        <v>0</v>
      </c>
      <c r="AU1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12.02269229885602</v>
      </c>
      <c r="AV11" s="354">
        <f>Rdson3*Table1[[#This Row],[Irms BoSync]]^2</f>
        <v>0.60708954647448188</v>
      </c>
      <c r="AW1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 s="354">
        <f>(Table1[[#This Row],[Deadtime Loss BoSync]]+Table1[[#This Row],[RDS(on) Loss BoSync]]*(1+RdsonBotTc*Ta-RdsonBotTc*25))/(1-Table1[[#This Row],[RDS(on) Loss BoSync]]*RdsonBotTc*ThetaJA_Q3)</f>
        <v>0.71062929431359978</v>
      </c>
      <c r="AY11" s="354">
        <f>CHOOSE(Table1[[#This Row],[Mode Digit]], Rdson3*Table1[[#This Row],[Irms Lf]]^2, Rdson1*Table1[[#This Row],[Irms Lf]]^2, 0)</f>
        <v>0.60708954647448188</v>
      </c>
      <c r="AZ11" s="354">
        <f>CHOOSE(Table1[[#This Row],[Mode Digit]], 2*Deadtime*Fsw*IF(VfdSky_Q2&gt;0,VfdSky_Q2,0)*Table1[[#This Row],[Iout]], 2*Deadtime*Fsw*IF(VfdSky_Q3&gt;0,VfdSky_Q3,0)*Table1[[#This Row],[Iin]], 2*Deadtime*Fsw*IF(VfdSky_Q2&gt;0,VfdSky_Q2,0)*Table1[[#This Row],[Iout]]+2*Deadtime*Fsw*IF(VfdSky_Q3&gt;0,VfdSky_Q3,0)*Table1[[#This Row],[Iin]])</f>
        <v>0</v>
      </c>
      <c r="BA11" s="354">
        <f>CHOOSE(Table1[[#This Row],[Mode Digit]], IF(QrrSky_Q2&gt;0,QrrSky_Q2,Qrr_Q2)*Fsw*(Table1[[#This Row],[Vin]]-Table1[[#This Row],[Iout]]*Rdson1),0,  IF(QrrSky_Q2&gt;0,QrrSky_Q2,Qrr_Q2)*Fsw*(Table1[[#This Row],[Vin]]-Table1[[#This Row],[Iout]]*Rdson1)+IF(QrrSky_Q3&gt;0,QrrSky_Q3,Qrr_Q3)*Fsw*Vout)</f>
        <v>0.24107520000000002</v>
      </c>
      <c r="BB11" s="354">
        <f>CHOOSE(Table1[[#This Row],[Mode Digit]],0, IF(QrrSky_Q3&gt;0,QrrSky_Q3,Qrr_Q3)*Fsw*Vout,  IF(QrrSky_Q2&gt;0,QrrSky_Q2,Qrr_Q2)*Fsw*(Table1[[#This Row],[Vin]]-Table1[[#This Row],[Iout]]*Rdson1)+IF(QrrSky_Q3&gt;0,QrrSky_Q3,Qrr_Q3)*Fsw*Vout)</f>
        <v>0</v>
      </c>
      <c r="BC11" s="354">
        <f>CHOOSE(Table1[[#This Row],[Mode Digit]], Rs*Table1[[#This Row],[Irms BuSync]]^2, Rs*Table1[[#This Row],[Irms BoCtlr]]^2, Rs*(Table1[[#This Row],[Irms BuSync]]^2+Table1[[#This Row],[Irms BoCtlr]]^2))</f>
        <v>9.7103942143320229E-2</v>
      </c>
      <c r="BD11" s="354">
        <f t="shared" si="1"/>
        <v>1.44</v>
      </c>
      <c r="BE11" s="354">
        <f>IF(Vout&gt;8, Iq*Vout, Iq*Table1[[#This Row],[Vin]])</f>
        <v>4.3799999999999999E-2</v>
      </c>
      <c r="BF11" s="354">
        <f>CHOOSE(Table1[[#This Row],[Mode Digit]], (Qg_Q1+Qg_Q2)*Fsw, (Qg_Q3+Qg_Q4)*Fsw, (Qg_Q1+Qg_Q2+Qg_Q3+Qg_Q4)*Fsw)*IF(Vout&gt;8, Vout, Table1[[#This Row],[Vin]])</f>
        <v>0.47303999999999996</v>
      </c>
      <c r="BG11" s="354">
        <f t="shared" si="2"/>
        <v>0.57269042016806726</v>
      </c>
      <c r="BH11" s="354">
        <f>Table1[[#This Row],[IQ Loss]]+Table1[[#This Row],[Switching Current Loss]]</f>
        <v>0.51683999999999997</v>
      </c>
      <c r="BI1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8.1935393824581624</v>
      </c>
      <c r="BJ11">
        <f>Vout*Table1[[#This Row],[Iout]]</f>
        <v>175.2</v>
      </c>
      <c r="BK11" s="550">
        <f>Table1[[#This Row],[Pout]]/(Table1[[#This Row],[Pout]]+Table1[[#This Row],[Total Loss]])</f>
        <v>0.95532263889966729</v>
      </c>
      <c r="BL1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190.75761719667355</v>
      </c>
      <c r="BM11" s="559">
        <f>IF(Table1[[#This Row],[Vin]]&gt;Vout, Table1[[#This Row],[Total Sync Bu MOSFET Loss]]*ThetaJA_Q2, ThetaJA_Q3*Table1[[#This Row],[Total Sync Bo MOSFET Loss]])</f>
        <v>46.240797079842999</v>
      </c>
      <c r="BN11" s="9"/>
      <c r="BO11" s="4">
        <f>Table1[[#This Row],[EFF, h]]*100</f>
        <v>95.532263889966728</v>
      </c>
      <c r="BP11" s="354">
        <f>Table1[[#This Row],[Total Inductor Loss]]</f>
        <v>1.1783832701555945</v>
      </c>
      <c r="BQ11" s="354">
        <f>Table1[[#This Row],[Total Control Bu MOSFET Loss]]+Table1[[#This Row],[Total Sync Bu MOSFET Loss]]+Table1[[#This Row],[Total Control Bo MOSFET Loss]]+Table1[[#This Row],[Total Sync Bo MOSFET Loss]]+Table1[[#This Row],[Reverse Recovery Loss MOSFET D BUCK]]+Table1[[#This Row],[Reverse Recovery Loss MOSFET D BOOST]]</f>
        <v>4.9016780655888761</v>
      </c>
      <c r="BR11" s="354">
        <f>Table1[[#This Row],[Total Control Bu MOSFET Loss]]+Table1[[#This Row],[Reverse Recovery Loss MOSFET D BUCK]]*0.66</f>
        <v>3.338403251944559</v>
      </c>
      <c r="BS11" s="354">
        <f>Table1[[#This Row],[Total Sync Bu MOSFET Loss]]+Table1[[#This Row],[Reverse Recovery Loss MOSFET D BUCK]]*0.33</f>
        <v>0.85023476733071668</v>
      </c>
      <c r="BT11" s="354">
        <f xml:space="preserve"> Table1[[#This Row],[Total Control Bo MOSFET Loss]]+Table1[[#This Row],[Reverse Recovery Loss MOSFET D BOOST]]*0.66</f>
        <v>0</v>
      </c>
      <c r="BU11" s="354">
        <f xml:space="preserve"> Table1[[#This Row],[Total Sync Bo MOSFET Loss]]+Table1[[#This Row],[Reverse Recovery Loss MOSFET D BOOST]]*0.33</f>
        <v>0.71062929431359978</v>
      </c>
      <c r="BV11" s="354">
        <f>Table1[[#This Row],[Isense Shunt Loss]]</f>
        <v>9.7103942143320229E-2</v>
      </c>
      <c r="BZ11" t="s">
        <v>136</v>
      </c>
      <c r="CA11" s="18">
        <v>90</v>
      </c>
      <c r="CB11" s="18">
        <v>90</v>
      </c>
      <c r="CC11" s="18">
        <v>90</v>
      </c>
      <c r="CD11" s="19">
        <f>250000*(12-Vdd)*CC11/1000000000+((250000*CC9/1000000000*Vdd)*2.5/(2*4))</f>
        <v>0.14226562500000001</v>
      </c>
      <c r="CE11">
        <f t="shared" si="3"/>
        <v>11.381250000000001</v>
      </c>
      <c r="CF11">
        <f t="shared" si="3"/>
        <v>14.2265625</v>
      </c>
      <c r="CG11">
        <f t="shared" si="3"/>
        <v>17.071875000000002</v>
      </c>
      <c r="CH11">
        <f t="shared" si="3"/>
        <v>19.917187500000001</v>
      </c>
      <c r="CI11">
        <f t="shared" si="3"/>
        <v>22.762500000000003</v>
      </c>
      <c r="CJ11">
        <f t="shared" si="3"/>
        <v>25.607812500000001</v>
      </c>
      <c r="CK11">
        <f t="shared" si="3"/>
        <v>2.8453125000000004</v>
      </c>
      <c r="CL11">
        <f t="shared" si="3"/>
        <v>4.2679687500000005</v>
      </c>
      <c r="CM11">
        <f t="shared" si="3"/>
        <v>5.6906250000000007</v>
      </c>
      <c r="CN11">
        <f t="shared" si="3"/>
        <v>7.11328125</v>
      </c>
    </row>
    <row r="12" spans="1:92" x14ac:dyDescent="0.2">
      <c r="A12" s="22" t="s">
        <v>5</v>
      </c>
      <c r="B12" s="5">
        <f>Vout</f>
        <v>14.6</v>
      </c>
      <c r="C12" s="440" t="s">
        <v>0</v>
      </c>
      <c r="D12" s="21" t="s">
        <v>5</v>
      </c>
      <c r="G12">
        <v>3</v>
      </c>
      <c r="H12" s="555">
        <f>VIN_min+(VIN_max-VIN_min)*(Table1[[#This Row],[Step]]/200)</f>
        <v>20.21</v>
      </c>
      <c r="I12" s="4" t="str">
        <f>IF(Mode = 2,IF(Table1[[#This Row],[Vin]]&gt;Vout, "BUCK","BOOST"),IF(Table1[[#This Row],[Vin]]&gt;VIN_BB_to_buck, "BUCK", IF(Table1[[#This Row],[Vin]]&lt;=VIN_boost_to_BB,"BOOST","BUCK-BST")))</f>
        <v>BUCK</v>
      </c>
      <c r="J12">
        <f>IF(Table1[[#This Row],[Mode]]="BOOST",2, IF(Table1[[#This Row],[Mode]]="BUCK", 1,3))</f>
        <v>1</v>
      </c>
      <c r="K12">
        <f t="shared" si="0"/>
        <v>12</v>
      </c>
      <c r="L12" s="4">
        <f>Vout*Table1[[#This Row],[Iout]]/(Table1[[#This Row],[Vin]]*Efficiency)</f>
        <v>9.1252376363967809</v>
      </c>
      <c r="M12" s="711">
        <f>MIN(1/Fsw,CHOOSE(Table1[[#This Row],[Mode Digit]],(Vout+(Rdson2+Rs+Rdcr)*Table1[[#This Row],[Iout]])/(Table1[[#This Row],[Vin]]+(Rs+Rdson2-Rdson1)*Table1[[#This Row],[Iout]])/Fsw,(Vout+(Rdson3+Rdcr)*Table1[[#This Row],[Iin]]-Table1[[#This Row],[Vin]])/(Vout+(Rdson3-Rdson4-Rs)*Table1[[#This Row],[Iin]])/Fsw,t1_Ph_II))</f>
        <v>1.2145915678524374E-6</v>
      </c>
      <c r="N12" s="602">
        <f>CHOOSE(Table1[[#This Row],[Mode Digit]],1/Fsw-Table1[[#This Row],[t1_Ph_II]],1/Fsw-Table1[[#This Row],[t1_Ph_II]],(Vout/Fsw-Table1[[#This Row],[Vin]]*t1_Ph_II)/(Table1[[#This Row],[Vin]]+Vout))</f>
        <v>4.5207509881422923E-7</v>
      </c>
      <c r="O12" s="602">
        <f>1/Fsw-(Table1[[#This Row],[t1_Ph_II]]+Table1[[#This Row],[t2_Ph_I]])</f>
        <v>0</v>
      </c>
      <c r="P1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10.709496459156785</v>
      </c>
      <c r="Q12" s="4">
        <f>CHOOSE(Table1[[#This Row],[Mode Digit]],Table1[[#This Row],[I_0]]+1/Lf*(Table1[[#This Row],[Vin]]-Vout)*Table1[[#This Row],[t1_Ph_II]],Table1[[#This Row],[I_0]]+1/Lf*Table1[[#This Row],[Vin]]*Table1[[#This Row],[t1_Ph_II]],Table1[[#This Row],[I_0]]+(Table1[[#This Row],[Vin]]-Vout)/L*Table1[[#This Row],[t1_Ph_II]])</f>
        <v>13.290503540843215</v>
      </c>
      <c r="R12" s="4">
        <f>CHOOSE(Table1[[#This Row],[Mode Digit]],0,0,Table1[[#This Row],[I_1]]+Table1[[#This Row],[Vin]]/L*Table1[[#This Row],[t2_Ph_I]])</f>
        <v>0</v>
      </c>
      <c r="S12" s="4">
        <f>Fsw*(Table1[[#This Row],[I_0]]*Table1[[#This Row],[t1_Ph_II]]+Table1[[#This Row],[I_1]]*Table1[[#This Row],[t2_Ph_I]]+Table1[[#This Row],[I_2]]*Table1[[#This Row],[t3_Ph_III]])</f>
        <v>11.409581878052956</v>
      </c>
      <c r="T12" s="354">
        <f>MIN(1,CHOOSE(Table1[[#This Row],[Mode Digit]],(Vout+(Rdson2+Rs+Rdcr)*Table1[[#This Row],[Iout]])/(Table1[[#This Row],[Vin]]+(Rs+Rdson2-Rdson1)*Table1[[#This Row],[Iout]]),1,Fsw*Table1[[#This Row],[t2_Ph_I]]+Table1[[#This Row],[t1_Ph_II]]))</f>
        <v>0.72875494071146241</v>
      </c>
      <c r="U12" s="354">
        <f>MIN(1,CHOOSE(Table1[[#This Row],[Mode Digit]],0,(Vout+(Rdson3+Rdcr)*Table1[[#This Row],[Iin]]-Table1[[#This Row],[Vin]])/(Vout+(Rdson3-Rdson4-Rs)*Table1[[#This Row],[Iin]]),Fsw*Table1[[#This Row],[t1_Ph_II]]+Table1[[#This Row],[t3_Ph_III]]))</f>
        <v>0</v>
      </c>
      <c r="V12" s="4">
        <f>MAX(Table1[[#This Row],[I_0]:[I_2]])-MIN(Table1[[#This Row],[I_0]:[I_1]])</f>
        <v>2.5810070816864297</v>
      </c>
      <c r="W1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12.023108297343203</v>
      </c>
      <c r="X12" s="354">
        <f>(Table1[[#This Row],[Irms Lf]]^2*Rdcr*(1+Ltc*Ta-Ltc*25))/(1-Table1[[#This Row],[Irms Lf]]^2*Rdcr*Ltc*ThetaCa)</f>
        <v>0.89869871382199906</v>
      </c>
      <c r="Y12" s="354">
        <f>ABS(7.759*10^-3*Fsw^0.9458*(0.00787*Table1[[#This Row],[Ripple Current pk-pk]])^2.304)</f>
        <v>0.28567306591099251</v>
      </c>
      <c r="Z12" s="354">
        <f>Table1[[#This Row],[DCR    Loss]]+Table1[[#This Row],[Core Loss]]</f>
        <v>1.1843717797329916</v>
      </c>
      <c r="AA12" s="4">
        <f>IF(Table1[[#This Row],[Vin]]&gt;Vout, Table1[[#This Row],[Ripple Current pk-pk]]/SQRT(12), SQRT(Table1[[#This Row],[Duty Cycle BOOST Leg]]/(1-Table1[[#This Row],[Duty Cycle BOOST Leg]]))*SQRT(Table1[[#This Row],[Iout]]^2+(Table1[[#This Row],[Ripple Current pk-pk]]^2)/12))</f>
        <v>0.74507256669599531</v>
      </c>
      <c r="AB12" s="354">
        <f>RCoutEsr*Table1[[#This Row],[Irms Cout]]^2</f>
        <v>2.7756656482147918E-3</v>
      </c>
      <c r="AC12" s="354">
        <f>Table1[[#This Row],[Cout ESR Loss]]</f>
        <v>2.7756656482147918E-3</v>
      </c>
      <c r="AD12" s="354">
        <f>IF(Table1[[#This Row],[Vin]]&gt;Vout, SQRT(Table1[[#This Row],[Duty Cycle BUCK Leg]]*(1-Table1[[#This Row],[Duty Cycle BUCK Leg]]))*SQRT(Table1[[#This Row],[Iout]]^2+(Table1[[#This Row],[Ripple Current pk-pk]]^2)/12), Table1[[#This Row],[Ripple Current pk-pk]]/SQRT(12))</f>
        <v>5.3455012226729037</v>
      </c>
      <c r="AE12" s="354">
        <f>RCinEsr*Table1[[#This Row],[Irms Cin]]^2</f>
        <v>5.7148766643195022E-2</v>
      </c>
      <c r="AF12" s="549">
        <f>Table1[[#This Row],[Cin ESR Loss]]</f>
        <v>5.7148766643195022E-2</v>
      </c>
      <c r="AG1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10.26378426670351</v>
      </c>
      <c r="AH12" s="354">
        <f>Rdson1*Table1[[#This Row],[Irms BuCtrl]]^2</f>
        <v>0.44245012338840822</v>
      </c>
      <c r="AI12" s="354">
        <f>CHOOSE(Table1[[#This Row],[Mode Digit]], (Table1[[#This Row],[Vin]]*Table1[[#This Row],[Iout]]/2)*(Fsw)*(Tr_buck+Tf_buck), 0, (Table1[[#This Row],[Vin]]*Table1[[#This Row],[Avg IL]]/2)*(Fsw/1)*(Tr_buck+Tf_buck))</f>
        <v>2.4049173109719137</v>
      </c>
      <c r="AJ12">
        <f>IF(Table1[[#This Row],[Vin]]&gt;Vout, IF(Table1[[#This Row],[Iout]]&gt;Table1[[#This Row],[Ripple Current pk-pk]]/2,0,ABS(Table1[[#This Row],[Iout]]-Table1[[#This Row],[Ripple Current pk-pk]]/2)*Vsd_Q1*Deadtime*Fsw),0)</f>
        <v>0</v>
      </c>
      <c r="AK12" s="354">
        <f>(Table1[[#This Row],[Dead Time Loss BuCtrl]]+Table1[[#This Row],[Transition Loss BuCtrl]]+Table1[[#This Row],[RDS(on) Loss BuCtrl]]*(1+RdsonTopTc*Ta-RdsonTopTc*25))/(1-Table1[[#This Row],[RDS(on) Loss BuCtrl]]*RdsonTopTc*ThetaJA_Q1)</f>
        <v>3.1856447761917663</v>
      </c>
      <c r="AL12" s="354">
        <f>CHOOSE(Table1[[#This Row],[Mode Digit]],SQRT((Fsw*(Table1[[#This Row],[t2_Ph_I]]+0))*((Table1[[#This Row],[I_0]]*Table1[[#This Row],[I_1]]+((Table1[[#This Row],[I_0]]-Table1[[#This Row],[I_1]])^2)/3))),0,SQRT((Fsw*(Table1[[#This Row],[t3_Ph_III]]+0))*((Table1[[#This Row],[I_0]]*Table1[[#This Row],[I_2]]+((Table1[[#This Row],[I_0]]-Table1[[#This Row],[I_2]])^2)/3))))</f>
        <v>6.2617781545031157</v>
      </c>
      <c r="AM12" s="354">
        <f>Rdson2*Table1[[#This Row],[Irms BuSync]]^2</f>
        <v>0.16468143575609229</v>
      </c>
      <c r="AN1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 s="354">
        <f>(Table1[[#This Row],[Deadtime Loss BuSync]]+Table1[[#This Row],[RDS(on) Loss BuSync]]*(1+RdsonBotTc*Ta-RdsonBotTc*25))/(1-Table1[[#This Row],[RDS(on) Loss BuSync]]*RdsonBotTc*ThetaJA_Q2)</f>
        <v>0.77258829213482738</v>
      </c>
      <c r="AP12" s="354">
        <f>CHOOSE(Table1[[#This Row],[Mode Digit]],0,SQRT((Fsw*(Table1[[#This Row],[t1_Ph_II]]+0))*((Table1[[#This Row],[I_0]]*Table1[[#This Row],[I_1]]+((Table1[[#This Row],[I_0]]-Table1[[#This Row],[I_1]])^2)/3))),SQRT((Fsw*(Table1[[#This Row],[t2_Ph_I]]+0))*((Table1[[#This Row],[I_1]]*Table1[[#This Row],[I_2]]+((Table1[[#This Row],[I_1]]-Table1[[#This Row],[I_2]])^2)/3))))</f>
        <v>0</v>
      </c>
      <c r="AQ12" s="354">
        <f>Rdson4*Table1[[#This Row],[Irms BoCtlr]]^2</f>
        <v>0</v>
      </c>
      <c r="AR12" s="354">
        <f>CHOOSE(Table1[[#This Row],[Mode Digit]], 0, (Vout*Table1[[#This Row],[Iin]]/2)*(Fsw)*(Tr_boost+Tf_boost), (Vout*Iout/2)*(Fsw/1)*(Tr_boost+Tf_boost))</f>
        <v>0</v>
      </c>
      <c r="AS12">
        <f>IF(Table1[[#This Row],[Vin]]&gt;Vout, 0, IF(Table1[[#This Row],[Iin]]&gt;Table1[[#This Row],[Ripple Current pk-pk]]/2,0,ABS(Table1[[#This Row],[Iin]]-Table1[[#This Row],[Ripple Current pk-pk]]/2)*Vsd_Q4*Deadtime*Fsw))</f>
        <v>0</v>
      </c>
      <c r="AT12" s="354">
        <f>(Table1[[#This Row],[Dead Time Loss BoCtlr]]+Table1[[#This Row],[Transition Loss BoCtlr]]+Table1[[#This Row],[RDS(on) Loss BoCtlr]]*(1+RdsonTopTc*Ta-RdsonTopTc*25))/(1-Table1[[#This Row],[RDS(on) Loss BoCtlr]]*RdsonTopTc*ThetaJA_Q4)</f>
        <v>0</v>
      </c>
      <c r="AU1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12.023108297343203</v>
      </c>
      <c r="AV12" s="354">
        <f>Rdson3*Table1[[#This Row],[Irms BoSync]]^2</f>
        <v>0.60713155914450057</v>
      </c>
      <c r="AW1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 s="354">
        <f>(Table1[[#This Row],[Deadtime Loss BoSync]]+Table1[[#This Row],[RDS(on) Loss BoSync]]*(1+RdsonBotTc*Ta-RdsonBotTc*25))/(1-Table1[[#This Row],[RDS(on) Loss BoSync]]*RdsonBotTc*ThetaJA_Q3)</f>
        <v>0.71068686032140771</v>
      </c>
      <c r="AY12" s="354">
        <f>CHOOSE(Table1[[#This Row],[Mode Digit]], Rdson3*Table1[[#This Row],[Irms Lf]]^2, Rdson1*Table1[[#This Row],[Irms Lf]]^2, 0)</f>
        <v>0.60713155914450057</v>
      </c>
      <c r="AZ12" s="354">
        <f>CHOOSE(Table1[[#This Row],[Mode Digit]], 2*Deadtime*Fsw*IF(VfdSky_Q2&gt;0,VfdSky_Q2,0)*Table1[[#This Row],[Iout]], 2*Deadtime*Fsw*IF(VfdSky_Q3&gt;0,VfdSky_Q3,0)*Table1[[#This Row],[Iin]], 2*Deadtime*Fsw*IF(VfdSky_Q2&gt;0,VfdSky_Q2,0)*Table1[[#This Row],[Iout]]+2*Deadtime*Fsw*IF(VfdSky_Q3&gt;0,VfdSky_Q3,0)*Table1[[#This Row],[Iin]])</f>
        <v>0</v>
      </c>
      <c r="BA12" s="354">
        <f>CHOOSE(Table1[[#This Row],[Mode Digit]], IF(QrrSky_Q2&gt;0,QrrSky_Q2,Qrr_Q2)*Fsw*(Table1[[#This Row],[Vin]]-Table1[[#This Row],[Iout]]*Rdson1),0,  IF(QrrSky_Q2&gt;0,QrrSky_Q2,Qrr_Q2)*Fsw*(Table1[[#This Row],[Vin]]-Table1[[#This Row],[Iout]]*Rdson1)+IF(QrrSky_Q3&gt;0,QrrSky_Q3,Qrr_Q3)*Fsw*Vout)</f>
        <v>0.24191520000000002</v>
      </c>
      <c r="BB12" s="354">
        <f>CHOOSE(Table1[[#This Row],[Mode Digit]],0, IF(QrrSky_Q3&gt;0,QrrSky_Q3,Qrr_Q3)*Fsw*Vout,  IF(QrrSky_Q2&gt;0,QrrSky_Q2,Qrr_Q2)*Fsw*(Table1[[#This Row],[Vin]]-Table1[[#This Row],[Iout]]*Rdson1)+IF(QrrSky_Q3&gt;0,QrrSky_Q3,Qrr_Q3)*Fsw*Vout)</f>
        <v>0</v>
      </c>
      <c r="BC12" s="354">
        <f>CHOOSE(Table1[[#This Row],[Mode Digit]], Rs*Table1[[#This Row],[Irms BuSync]]^2, Rs*Table1[[#This Row],[Irms BoCtlr]]^2, Rs*(Table1[[#This Row],[Irms BuSync]]^2+Table1[[#This Row],[Irms BoCtlr]]^2))</f>
        <v>9.8024664140531112E-2</v>
      </c>
      <c r="BD12" s="354">
        <f t="shared" si="1"/>
        <v>1.44</v>
      </c>
      <c r="BE12" s="354">
        <f>IF(Vout&gt;8, Iq*Vout, Iq*Table1[[#This Row],[Vin]])</f>
        <v>4.3799999999999999E-2</v>
      </c>
      <c r="BF12" s="354">
        <f>CHOOSE(Table1[[#This Row],[Mode Digit]], (Qg_Q1+Qg_Q2)*Fsw, (Qg_Q3+Qg_Q4)*Fsw, (Qg_Q1+Qg_Q2+Qg_Q3+Qg_Q4)*Fsw)*IF(Vout&gt;8, Vout, Table1[[#This Row],[Vin]])</f>
        <v>0.47303999999999996</v>
      </c>
      <c r="BG12" s="354">
        <f t="shared" si="2"/>
        <v>0.57269042016806726</v>
      </c>
      <c r="BH12" s="354">
        <f>Table1[[#This Row],[IQ Loss]]+Table1[[#This Row],[Switching Current Loss]]</f>
        <v>0.51683999999999997</v>
      </c>
      <c r="BI1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8.2099960048129343</v>
      </c>
      <c r="BJ12">
        <f>Vout*Table1[[#This Row],[Iout]]</f>
        <v>175.2</v>
      </c>
      <c r="BK12" s="550">
        <f>Table1[[#This Row],[Pout]]/(Table1[[#This Row],[Pout]]+Table1[[#This Row],[Total Loss]])</f>
        <v>0.95523692174009167</v>
      </c>
      <c r="BL1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191.13868657150599</v>
      </c>
      <c r="BM12" s="559">
        <f>IF(Table1[[#This Row],[Vin]]&gt;Vout, Table1[[#This Row],[Total Sync Bu MOSFET Loss]]*ThetaJA_Q2, ThetaJA_Q3*Table1[[#This Row],[Total Sync Bo MOSFET Loss]])</f>
        <v>46.355297528089643</v>
      </c>
      <c r="BN12" s="9"/>
      <c r="BO12" s="4">
        <f>Table1[[#This Row],[EFF, h]]*100</f>
        <v>95.52369217400917</v>
      </c>
      <c r="BP12" s="354">
        <f>Table1[[#This Row],[Total Inductor Loss]]</f>
        <v>1.1843717797329916</v>
      </c>
      <c r="BQ12" s="354">
        <f>Table1[[#This Row],[Total Control Bu MOSFET Loss]]+Table1[[#This Row],[Total Sync Bu MOSFET Loss]]+Table1[[#This Row],[Total Control Bo MOSFET Loss]]+Table1[[#This Row],[Total Sync Bo MOSFET Loss]]+Table1[[#This Row],[Reverse Recovery Loss MOSFET D BUCK]]+Table1[[#This Row],[Reverse Recovery Loss MOSFET D BOOST]]</f>
        <v>4.9108351286480012</v>
      </c>
      <c r="BR12" s="354">
        <f>Table1[[#This Row],[Total Control Bu MOSFET Loss]]+Table1[[#This Row],[Reverse Recovery Loss MOSFET D BUCK]]*0.66</f>
        <v>3.3453088081917661</v>
      </c>
      <c r="BS12" s="354">
        <f>Table1[[#This Row],[Total Sync Bu MOSFET Loss]]+Table1[[#This Row],[Reverse Recovery Loss MOSFET D BUCK]]*0.33</f>
        <v>0.85242030813482739</v>
      </c>
      <c r="BT12" s="354">
        <f xml:space="preserve"> Table1[[#This Row],[Total Control Bo MOSFET Loss]]+Table1[[#This Row],[Reverse Recovery Loss MOSFET D BOOST]]*0.66</f>
        <v>0</v>
      </c>
      <c r="BU12" s="354">
        <f xml:space="preserve"> Table1[[#This Row],[Total Sync Bo MOSFET Loss]]+Table1[[#This Row],[Reverse Recovery Loss MOSFET D BOOST]]*0.33</f>
        <v>0.71068686032140771</v>
      </c>
      <c r="BV12" s="354">
        <f>Table1[[#This Row],[Isense Shunt Loss]]</f>
        <v>9.8024664140531112E-2</v>
      </c>
      <c r="BZ12" t="s">
        <v>141</v>
      </c>
      <c r="CA12" s="18">
        <v>60</v>
      </c>
      <c r="CB12" s="18">
        <v>60</v>
      </c>
      <c r="CC12" s="18">
        <v>60</v>
      </c>
      <c r="CD12" s="19">
        <f>250000*(18-Vdd)*CC12/1000000000+((250000*CC9/1000000000*Vdd)*2.5/(2*4))</f>
        <v>0.198515625</v>
      </c>
      <c r="CE12">
        <f t="shared" si="3"/>
        <v>15.88125</v>
      </c>
      <c r="CF12">
        <f t="shared" si="3"/>
        <v>19.8515625</v>
      </c>
      <c r="CG12">
        <f t="shared" si="3"/>
        <v>23.821874999999999</v>
      </c>
      <c r="CH12">
        <f t="shared" si="3"/>
        <v>27.792187500000001</v>
      </c>
      <c r="CI12">
        <f t="shared" si="3"/>
        <v>31.762499999999999</v>
      </c>
      <c r="CJ12">
        <f t="shared" si="3"/>
        <v>35.732812500000001</v>
      </c>
      <c r="CK12">
        <f t="shared" si="3"/>
        <v>3.9703124999999999</v>
      </c>
      <c r="CL12">
        <f t="shared" si="3"/>
        <v>5.9554687499999996</v>
      </c>
      <c r="CM12">
        <f t="shared" si="3"/>
        <v>7.9406249999999998</v>
      </c>
      <c r="CN12">
        <f t="shared" si="3"/>
        <v>9.92578125</v>
      </c>
    </row>
    <row r="13" spans="1:92" x14ac:dyDescent="0.2">
      <c r="A13" s="22" t="s">
        <v>7</v>
      </c>
      <c r="B13" s="5">
        <f>Fsw/1000</f>
        <v>600</v>
      </c>
      <c r="C13" s="440" t="s">
        <v>3</v>
      </c>
      <c r="D13" s="21" t="s">
        <v>96</v>
      </c>
      <c r="G13">
        <v>4</v>
      </c>
      <c r="H13" s="555">
        <f>VIN_min+(VIN_max-VIN_min)*(Table1[[#This Row],[Step]]/200)</f>
        <v>20.28</v>
      </c>
      <c r="I13" s="4" t="str">
        <f>IF(Mode = 2,IF(Table1[[#This Row],[Vin]]&gt;Vout, "BUCK","BOOST"),IF(Table1[[#This Row],[Vin]]&gt;VIN_BB_to_buck, "BUCK", IF(Table1[[#This Row],[Vin]]&lt;=VIN_boost_to_BB,"BOOST","BUCK-BST")))</f>
        <v>BUCK</v>
      </c>
      <c r="J13">
        <f>IF(Table1[[#This Row],[Mode]]="BOOST",2, IF(Table1[[#This Row],[Mode]]="BUCK", 1,3))</f>
        <v>1</v>
      </c>
      <c r="K13">
        <f t="shared" si="0"/>
        <v>12</v>
      </c>
      <c r="L13" s="4">
        <f>Vout*Table1[[#This Row],[Iout]]/(Table1[[#This Row],[Vin]]*Efficiency)</f>
        <v>9.093740267829336</v>
      </c>
      <c r="M13" s="711">
        <f>MIN(1/Fsw,CHOOSE(Table1[[#This Row],[Mode Digit]],(Vout+(Rdson2+Rs+Rdcr)*Table1[[#This Row],[Iout]])/(Table1[[#This Row],[Vin]]+(Rs+Rdson2-Rdson1)*Table1[[#This Row],[Iout]])/Fsw,(Vout+(Rdson3+Rdcr)*Table1[[#This Row],[Iin]]-Table1[[#This Row],[Vin]])/(Vout+(Rdson3-Rdson4-Rs)*Table1[[#This Row],[Iin]])/Fsw,t1_Ph_II))</f>
        <v>1.2104053832266533E-6</v>
      </c>
      <c r="N13" s="602">
        <f>CHOOSE(Table1[[#This Row],[Mode Digit]],1/Fsw-Table1[[#This Row],[t1_Ph_II]],1/Fsw-Table1[[#This Row],[t1_Ph_II]],(Vout/Fsw-Table1[[#This Row],[Vin]]*t1_Ph_II)/(Table1[[#This Row],[Vin]]+Vout))</f>
        <v>4.5626128344001332E-7</v>
      </c>
      <c r="O13" s="602">
        <f>1/Fsw-(Table1[[#This Row],[t1_Ph_II]]+Table1[[#This Row],[t2_Ph_I]])</f>
        <v>0</v>
      </c>
      <c r="P1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10.697897239256175</v>
      </c>
      <c r="Q13" s="4">
        <f>CHOOSE(Table1[[#This Row],[Mode Digit]],Table1[[#This Row],[I_0]]+1/Lf*(Table1[[#This Row],[Vin]]-Vout)*Table1[[#This Row],[t1_Ph_II]],Table1[[#This Row],[I_0]]+1/Lf*Table1[[#This Row],[Vin]]*Table1[[#This Row],[t1_Ph_II]],Table1[[#This Row],[I_0]]+(Table1[[#This Row],[Vin]]-Vout)/L*Table1[[#This Row],[t1_Ph_II]])</f>
        <v>13.302102760743823</v>
      </c>
      <c r="R13" s="4">
        <f>CHOOSE(Table1[[#This Row],[Mode Digit]],0,0,Table1[[#This Row],[I_1]]+Table1[[#This Row],[Vin]]/L*Table1[[#This Row],[t2_Ph_I]])</f>
        <v>0</v>
      </c>
      <c r="S13" s="4">
        <f>Fsw*(Table1[[#This Row],[I_0]]*Table1[[#This Row],[t1_Ph_II]]+Table1[[#This Row],[I_1]]*Table1[[#This Row],[t2_Ph_I]]+Table1[[#This Row],[I_2]]*Table1[[#This Row],[t3_Ph_III]])</f>
        <v>11.410816131401489</v>
      </c>
      <c r="T13" s="354">
        <f>MIN(1,CHOOSE(Table1[[#This Row],[Mode Digit]],(Vout+(Rdson2+Rs+Rdcr)*Table1[[#This Row],[Iout]])/(Table1[[#This Row],[Vin]]+(Rs+Rdson2-Rdson1)*Table1[[#This Row],[Iout]]),1,Fsw*Table1[[#This Row],[t2_Ph_I]]+Table1[[#This Row],[t1_Ph_II]]))</f>
        <v>0.726243229935992</v>
      </c>
      <c r="U13" s="354">
        <f>MIN(1,CHOOSE(Table1[[#This Row],[Mode Digit]],0,(Vout+(Rdson3+Rdcr)*Table1[[#This Row],[Iin]]-Table1[[#This Row],[Vin]])/(Vout+(Rdson3-Rdson4-Rs)*Table1[[#This Row],[Iin]]),Fsw*Table1[[#This Row],[t1_Ph_II]]+Table1[[#This Row],[t3_Ph_III]]))</f>
        <v>0</v>
      </c>
      <c r="V13" s="4">
        <f>MAX(Table1[[#This Row],[I_0]:[I_2]])-MIN(Table1[[#This Row],[I_0]:[I_1]])</f>
        <v>2.6042055214876481</v>
      </c>
      <c r="W1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12.023525156951498</v>
      </c>
      <c r="X13" s="354">
        <f>(Table1[[#This Row],[Irms Lf]]^2*Rdcr*(1+Ltc*Ta-Ltc*25))/(1-Table1[[#This Row],[Irms Lf]]^2*Rdcr*Ltc*ThetaCa)</f>
        <v>0.89876551428543616</v>
      </c>
      <c r="Y13" s="354">
        <f>ABS(7.759*10^-3*Fsw^0.9458*(0.00787*Table1[[#This Row],[Ripple Current pk-pk]])^2.304)</f>
        <v>0.29162367340451267</v>
      </c>
      <c r="Z13" s="354">
        <f>Table1[[#This Row],[DCR    Loss]]+Table1[[#This Row],[Core Loss]]</f>
        <v>1.1903891876899488</v>
      </c>
      <c r="AA13" s="4">
        <f>IF(Table1[[#This Row],[Vin]]&gt;Vout, Table1[[#This Row],[Ripple Current pk-pk]]/SQRT(12), SQRT(Table1[[#This Row],[Duty Cycle BOOST Leg]]/(1-Table1[[#This Row],[Duty Cycle BOOST Leg]]))*SQRT(Table1[[#This Row],[Iout]]^2+(Table1[[#This Row],[Ripple Current pk-pk]]^2)/12))</f>
        <v>0.75176937942800171</v>
      </c>
      <c r="AB13" s="354">
        <f>RCoutEsr*Table1[[#This Row],[Irms Cout]]^2</f>
        <v>2.8257859992278141E-3</v>
      </c>
      <c r="AC13" s="354">
        <f>Table1[[#This Row],[Cout ESR Loss]]</f>
        <v>2.8257859992278141E-3</v>
      </c>
      <c r="AD13" s="354">
        <f>IF(Table1[[#This Row],[Vin]]&gt;Vout, SQRT(Table1[[#This Row],[Duty Cycle BUCK Leg]]*(1-Table1[[#This Row],[Duty Cycle BUCK Leg]]))*SQRT(Table1[[#This Row],[Iout]]^2+(Table1[[#This Row],[Ripple Current pk-pk]]^2)/12), Table1[[#This Row],[Ripple Current pk-pk]]/SQRT(12))</f>
        <v>5.3611171685399706</v>
      </c>
      <c r="AE13" s="354">
        <f>RCinEsr*Table1[[#This Row],[Irms Cin]]^2</f>
        <v>5.7483154589628063E-2</v>
      </c>
      <c r="AF13" s="549">
        <f>Table1[[#This Row],[Cin ESR Loss]]</f>
        <v>5.7483154589628063E-2</v>
      </c>
      <c r="AG1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10.246436780706757</v>
      </c>
      <c r="AH13" s="354">
        <f>Rdson1*Table1[[#This Row],[Irms BuCtrl]]^2</f>
        <v>0.44095576014428511</v>
      </c>
      <c r="AI13" s="354">
        <f>CHOOSE(Table1[[#This Row],[Mode Digit]], (Table1[[#This Row],[Vin]]*Table1[[#This Row],[Iout]]/2)*(Fsw)*(Tr_buck+Tf_buck), 0, (Table1[[#This Row],[Vin]]*Table1[[#This Row],[Avg IL]]/2)*(Fsw/1)*(Tr_buck+Tf_buck))</f>
        <v>2.4132470592038802</v>
      </c>
      <c r="AJ13">
        <f>IF(Table1[[#This Row],[Vin]]&gt;Vout, IF(Table1[[#This Row],[Iout]]&gt;Table1[[#This Row],[Ripple Current pk-pk]]/2,0,ABS(Table1[[#This Row],[Iout]]-Table1[[#This Row],[Ripple Current pk-pk]]/2)*Vsd_Q1*Deadtime*Fsw),0)</f>
        <v>0</v>
      </c>
      <c r="AK13" s="354">
        <f>(Table1[[#This Row],[Dead Time Loss BuCtrl]]+Table1[[#This Row],[Transition Loss BuCtrl]]+Table1[[#This Row],[RDS(on) Loss BuCtrl]]*(1+RdsonTopTc*Ta-RdsonTopTc*25))/(1-Table1[[#This Row],[RDS(on) Loss BuCtrl]]*RdsonTopTc*ThetaJA_Q1)</f>
        <v>3.1920114162546822</v>
      </c>
      <c r="AL13" s="354">
        <f>CHOOSE(Table1[[#This Row],[Mode Digit]],SQRT((Fsw*(Table1[[#This Row],[t2_Ph_I]]+0))*((Table1[[#This Row],[I_0]]*Table1[[#This Row],[I_1]]+((Table1[[#This Row],[I_0]]-Table1[[#This Row],[I_1]])^2)/3))),0,SQRT((Fsw*(Table1[[#This Row],[t3_Ph_III]]+0))*((Table1[[#This Row],[I_0]]*Table1[[#This Row],[I_2]]+((Table1[[#This Row],[I_0]]-Table1[[#This Row],[I_2]])^2)/3))))</f>
        <v>6.2909212758407085</v>
      </c>
      <c r="AM13" s="354">
        <f>Rdson2*Table1[[#This Row],[Irms BuSync]]^2</f>
        <v>0.16621790009506623</v>
      </c>
      <c r="AN1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 s="354">
        <f>(Table1[[#This Row],[Deadtime Loss BuSync]]+Table1[[#This Row],[RDS(on) Loss BuSync]]*(1+RdsonBotTc*Ta-RdsonBotTc*25))/(1-Table1[[#This Row],[RDS(on) Loss BuSync]]*RdsonBotTc*ThetaJA_Q2)</f>
        <v>0.77448532657974101</v>
      </c>
      <c r="AP13" s="354">
        <f>CHOOSE(Table1[[#This Row],[Mode Digit]],0,SQRT((Fsw*(Table1[[#This Row],[t1_Ph_II]]+0))*((Table1[[#This Row],[I_0]]*Table1[[#This Row],[I_1]]+((Table1[[#This Row],[I_0]]-Table1[[#This Row],[I_1]])^2)/3))),SQRT((Fsw*(Table1[[#This Row],[t2_Ph_I]]+0))*((Table1[[#This Row],[I_1]]*Table1[[#This Row],[I_2]]+((Table1[[#This Row],[I_1]]-Table1[[#This Row],[I_2]])^2)/3))))</f>
        <v>0</v>
      </c>
      <c r="AQ13" s="354">
        <f>Rdson4*Table1[[#This Row],[Irms BoCtlr]]^2</f>
        <v>0</v>
      </c>
      <c r="AR13" s="354">
        <f>CHOOSE(Table1[[#This Row],[Mode Digit]], 0, (Vout*Table1[[#This Row],[Iin]]/2)*(Fsw)*(Tr_boost+Tf_boost), (Vout*Iout/2)*(Fsw/1)*(Tr_boost+Tf_boost))</f>
        <v>0</v>
      </c>
      <c r="AS13">
        <f>IF(Table1[[#This Row],[Vin]]&gt;Vout, 0, IF(Table1[[#This Row],[Iin]]&gt;Table1[[#This Row],[Ripple Current pk-pk]]/2,0,ABS(Table1[[#This Row],[Iin]]-Table1[[#This Row],[Ripple Current pk-pk]]/2)*Vsd_Q4*Deadtime*Fsw))</f>
        <v>0</v>
      </c>
      <c r="AT13" s="354">
        <f>(Table1[[#This Row],[Dead Time Loss BoCtlr]]+Table1[[#This Row],[Transition Loss BoCtlr]]+Table1[[#This Row],[RDS(on) Loss BoCtlr]]*(1+RdsonTopTc*Ta-RdsonTopTc*25))/(1-Table1[[#This Row],[RDS(on) Loss BoCtlr]]*RdsonTopTc*ThetaJA_Q4)</f>
        <v>0</v>
      </c>
      <c r="AU1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12.023525156951498</v>
      </c>
      <c r="AV13" s="354">
        <f>Rdson3*Table1[[#This Row],[Irms BoSync]]^2</f>
        <v>0.60717366023935138</v>
      </c>
      <c r="AW1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 s="354">
        <f>(Table1[[#This Row],[Deadtime Loss BoSync]]+Table1[[#This Row],[RDS(on) Loss BoSync]]*(1+RdsonBotTc*Ta-RdsonBotTc*25))/(1-Table1[[#This Row],[RDS(on) Loss BoSync]]*RdsonBotTc*ThetaJA_Q3)</f>
        <v>0.7107445488526366</v>
      </c>
      <c r="AY13" s="354">
        <f>CHOOSE(Table1[[#This Row],[Mode Digit]], Rdson3*Table1[[#This Row],[Irms Lf]]^2, Rdson1*Table1[[#This Row],[Irms Lf]]^2, 0)</f>
        <v>0.60717366023935138</v>
      </c>
      <c r="AZ13" s="354">
        <f>CHOOSE(Table1[[#This Row],[Mode Digit]], 2*Deadtime*Fsw*IF(VfdSky_Q2&gt;0,VfdSky_Q2,0)*Table1[[#This Row],[Iout]], 2*Deadtime*Fsw*IF(VfdSky_Q3&gt;0,VfdSky_Q3,0)*Table1[[#This Row],[Iin]], 2*Deadtime*Fsw*IF(VfdSky_Q2&gt;0,VfdSky_Q2,0)*Table1[[#This Row],[Iout]]+2*Deadtime*Fsw*IF(VfdSky_Q3&gt;0,VfdSky_Q3,0)*Table1[[#This Row],[Iin]])</f>
        <v>0</v>
      </c>
      <c r="BA13" s="354">
        <f>CHOOSE(Table1[[#This Row],[Mode Digit]], IF(QrrSky_Q2&gt;0,QrrSky_Q2,Qrr_Q2)*Fsw*(Table1[[#This Row],[Vin]]-Table1[[#This Row],[Iout]]*Rdson1),0,  IF(QrrSky_Q2&gt;0,QrrSky_Q2,Qrr_Q2)*Fsw*(Table1[[#This Row],[Vin]]-Table1[[#This Row],[Iout]]*Rdson1)+IF(QrrSky_Q3&gt;0,QrrSky_Q3,Qrr_Q3)*Fsw*Vout)</f>
        <v>0.24275520000000003</v>
      </c>
      <c r="BB13" s="354">
        <f>CHOOSE(Table1[[#This Row],[Mode Digit]],0, IF(QrrSky_Q3&gt;0,QrrSky_Q3,Qrr_Q3)*Fsw*Vout,  IF(QrrSky_Q2&gt;0,QrrSky_Q2,Qrr_Q2)*Fsw*(Table1[[#This Row],[Vin]]-Table1[[#This Row],[Iout]]*Rdson1)+IF(QrrSky_Q3&gt;0,QrrSky_Q3,Qrr_Q3)*Fsw*Vout)</f>
        <v>0</v>
      </c>
      <c r="BC13" s="354">
        <f>CHOOSE(Table1[[#This Row],[Mode Digit]], Rs*Table1[[#This Row],[Irms BuSync]]^2, Rs*Table1[[#This Row],[Irms BoCtlr]]^2, Rs*(Table1[[#This Row],[Irms BuSync]]^2+Table1[[#This Row],[Irms BoCtlr]]^2))</f>
        <v>9.8939226247063222E-2</v>
      </c>
      <c r="BD13" s="354">
        <f t="shared" si="1"/>
        <v>1.44</v>
      </c>
      <c r="BE13" s="354">
        <f>IF(Vout&gt;8, Iq*Vout, Iq*Table1[[#This Row],[Vin]])</f>
        <v>4.3799999999999999E-2</v>
      </c>
      <c r="BF13" s="354">
        <f>CHOOSE(Table1[[#This Row],[Mode Digit]], (Qg_Q1+Qg_Q2)*Fsw, (Qg_Q3+Qg_Q4)*Fsw, (Qg_Q1+Qg_Q2+Qg_Q3+Qg_Q4)*Fsw)*IF(Vout&gt;8, Vout, Table1[[#This Row],[Vin]])</f>
        <v>0.47303999999999996</v>
      </c>
      <c r="BG13" s="354">
        <f t="shared" si="2"/>
        <v>0.57269042016806726</v>
      </c>
      <c r="BH13" s="354">
        <f>Table1[[#This Row],[IQ Loss]]+Table1[[#This Row],[Switching Current Loss]]</f>
        <v>0.51683999999999997</v>
      </c>
      <c r="BI1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8.2264738462129294</v>
      </c>
      <c r="BJ13">
        <f>Vout*Table1[[#This Row],[Iout]]</f>
        <v>175.2</v>
      </c>
      <c r="BK13" s="550">
        <f>Table1[[#This Row],[Pout]]/(Table1[[#This Row],[Pout]]+Table1[[#This Row],[Total Loss]])</f>
        <v>0.95515110946792703</v>
      </c>
      <c r="BL1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191.52068497528094</v>
      </c>
      <c r="BM13" s="559">
        <f>IF(Table1[[#This Row],[Vin]]&gt;Vout, Table1[[#This Row],[Total Sync Bu MOSFET Loss]]*ThetaJA_Q2, ThetaJA_Q3*Table1[[#This Row],[Total Sync Bo MOSFET Loss]])</f>
        <v>46.469119594784459</v>
      </c>
      <c r="BN13" s="9"/>
      <c r="BO13" s="4">
        <f>Table1[[#This Row],[EFF, h]]*100</f>
        <v>95.515110946792703</v>
      </c>
      <c r="BP13" s="354">
        <f>Table1[[#This Row],[Total Inductor Loss]]</f>
        <v>1.1903891876899488</v>
      </c>
      <c r="BQ13" s="354">
        <f>Table1[[#This Row],[Total Control Bu MOSFET Loss]]+Table1[[#This Row],[Total Sync Bu MOSFET Loss]]+Table1[[#This Row],[Total Control Bo MOSFET Loss]]+Table1[[#This Row],[Total Sync Bo MOSFET Loss]]+Table1[[#This Row],[Reverse Recovery Loss MOSFET D BUCK]]+Table1[[#This Row],[Reverse Recovery Loss MOSFET D BOOST]]</f>
        <v>4.9199964916870602</v>
      </c>
      <c r="BR13" s="354">
        <f>Table1[[#This Row],[Total Control Bu MOSFET Loss]]+Table1[[#This Row],[Reverse Recovery Loss MOSFET D BUCK]]*0.66</f>
        <v>3.3522298482546824</v>
      </c>
      <c r="BS13" s="354">
        <f>Table1[[#This Row],[Total Sync Bu MOSFET Loss]]+Table1[[#This Row],[Reverse Recovery Loss MOSFET D BUCK]]*0.33</f>
        <v>0.85459454257974099</v>
      </c>
      <c r="BT13" s="354">
        <f xml:space="preserve"> Table1[[#This Row],[Total Control Bo MOSFET Loss]]+Table1[[#This Row],[Reverse Recovery Loss MOSFET D BOOST]]*0.66</f>
        <v>0</v>
      </c>
      <c r="BU13" s="354">
        <f xml:space="preserve"> Table1[[#This Row],[Total Sync Bo MOSFET Loss]]+Table1[[#This Row],[Reverse Recovery Loss MOSFET D BOOST]]*0.33</f>
        <v>0.7107445488526366</v>
      </c>
      <c r="BV13" s="354">
        <f>Table1[[#This Row],[Isense Shunt Loss]]</f>
        <v>9.8939226247063222E-2</v>
      </c>
      <c r="BZ13" t="s">
        <v>137</v>
      </c>
      <c r="CA13" s="18">
        <v>30</v>
      </c>
      <c r="CB13" s="18">
        <v>30</v>
      </c>
      <c r="CC13" s="18">
        <v>30</v>
      </c>
      <c r="CD13" s="19">
        <f>500000*(5-Vdd)*CC13/1000000000+((500000*CC9/1000000000*Vdd)*2.5/(2*4))</f>
        <v>4.4531250000000001E-2</v>
      </c>
      <c r="CE13">
        <f t="shared" si="3"/>
        <v>3.5625</v>
      </c>
      <c r="CF13">
        <f t="shared" si="3"/>
        <v>4.453125</v>
      </c>
      <c r="CG13">
        <f t="shared" si="3"/>
        <v>5.34375</v>
      </c>
      <c r="CH13">
        <f t="shared" si="3"/>
        <v>6.234375</v>
      </c>
      <c r="CI13">
        <f t="shared" si="3"/>
        <v>7.125</v>
      </c>
      <c r="CJ13">
        <f t="shared" si="3"/>
        <v>8.015625</v>
      </c>
      <c r="CK13">
        <f t="shared" si="3"/>
        <v>0.890625</v>
      </c>
      <c r="CL13">
        <f t="shared" si="3"/>
        <v>1.3359375</v>
      </c>
      <c r="CM13">
        <f t="shared" si="3"/>
        <v>1.78125</v>
      </c>
      <c r="CN13">
        <f t="shared" si="3"/>
        <v>2.2265625</v>
      </c>
    </row>
    <row r="14" spans="1:92" x14ac:dyDescent="0.2">
      <c r="A14" s="22" t="s">
        <v>6</v>
      </c>
      <c r="B14" s="5">
        <f>Iout</f>
        <v>12</v>
      </c>
      <c r="C14" s="440" t="s">
        <v>2</v>
      </c>
      <c r="D14" s="21" t="s">
        <v>97</v>
      </c>
      <c r="G14">
        <v>5</v>
      </c>
      <c r="H14" s="555">
        <f>VIN_min+(VIN_max-VIN_min)*(Table1[[#This Row],[Step]]/200)</f>
        <v>20.350000000000001</v>
      </c>
      <c r="I14" s="4" t="str">
        <f>IF(Mode = 2,IF(Table1[[#This Row],[Vin]]&gt;Vout, "BUCK","BOOST"),IF(Table1[[#This Row],[Vin]]&gt;VIN_BB_to_buck, "BUCK", IF(Table1[[#This Row],[Vin]]&lt;=VIN_boost_to_BB,"BOOST","BUCK-BST")))</f>
        <v>BUCK</v>
      </c>
      <c r="J14">
        <f>IF(Table1[[#This Row],[Mode]]="BOOST",2, IF(Table1[[#This Row],[Mode]]="BUCK", 1,3))</f>
        <v>1</v>
      </c>
      <c r="K14">
        <f t="shared" si="0"/>
        <v>12</v>
      </c>
      <c r="L14" s="4">
        <f>Vout*Table1[[#This Row],[Iout]]/(Table1[[#This Row],[Vin]]*Efficiency)</f>
        <v>9.0624595887753774</v>
      </c>
      <c r="M14" s="711">
        <f>MIN(1/Fsw,CHOOSE(Table1[[#This Row],[Mode Digit]],(Vout+(Rdson2+Rs+Rdcr)*Table1[[#This Row],[Iout]])/(Table1[[#This Row],[Vin]]+(Rs+Rdson2-Rdson1)*Table1[[#This Row],[Iout]])/Fsw,(Vout+(Rdson3+Rdcr)*Table1[[#This Row],[Iin]]-Table1[[#This Row],[Vin]])/(Vout+(Rdson3-Rdson4-Rs)*Table1[[#This Row],[Iin]])/Fsw,t1_Ph_II))</f>
        <v>1.2062479555119397E-6</v>
      </c>
      <c r="N14" s="602">
        <f>CHOOSE(Table1[[#This Row],[Mode Digit]],1/Fsw-Table1[[#This Row],[t1_Ph_II]],1/Fsw-Table1[[#This Row],[t1_Ph_II]],(Vout/Fsw-Table1[[#This Row],[Vin]]*t1_Ph_II)/(Table1[[#This Row],[Vin]]+Vout))</f>
        <v>4.6041871115472695E-7</v>
      </c>
      <c r="O14" s="602">
        <f>1/Fsw-(Table1[[#This Row],[t1_Ph_II]]+Table1[[#This Row],[t2_Ph_I]])</f>
        <v>0</v>
      </c>
      <c r="P1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10.686377699963323</v>
      </c>
      <c r="Q14" s="4">
        <f>CHOOSE(Table1[[#This Row],[Mode Digit]],Table1[[#This Row],[I_0]]+1/Lf*(Table1[[#This Row],[Vin]]-Vout)*Table1[[#This Row],[t1_Ph_II]],Table1[[#This Row],[I_0]]+1/Lf*Table1[[#This Row],[Vin]]*Table1[[#This Row],[t1_Ph_II]],Table1[[#This Row],[I_0]]+(Table1[[#This Row],[Vin]]-Vout)/L*Table1[[#This Row],[t1_Ph_II]])</f>
        <v>13.313622300036677</v>
      </c>
      <c r="R14" s="4">
        <f>CHOOSE(Table1[[#This Row],[Mode Digit]],0,0,Table1[[#This Row],[I_1]]+Table1[[#This Row],[Vin]]/L*Table1[[#This Row],[t2_Ph_I]])</f>
        <v>0</v>
      </c>
      <c r="S14" s="4">
        <f>Fsw*(Table1[[#This Row],[I_0]]*Table1[[#This Row],[t1_Ph_II]]+Table1[[#This Row],[I_1]]*Table1[[#This Row],[t2_Ph_I]]+Table1[[#This Row],[I_2]]*Table1[[#This Row],[t3_Ph_III]])</f>
        <v>11.412157243555717</v>
      </c>
      <c r="T14" s="354">
        <f>MIN(1,CHOOSE(Table1[[#This Row],[Mode Digit]],(Vout+(Rdson2+Rs+Rdcr)*Table1[[#This Row],[Iout]])/(Table1[[#This Row],[Vin]]+(Rs+Rdson2-Rdson1)*Table1[[#This Row],[Iout]]),1,Fsw*Table1[[#This Row],[t2_Ph_I]]+Table1[[#This Row],[t1_Ph_II]]))</f>
        <v>0.72374877330716381</v>
      </c>
      <c r="U14" s="354">
        <f>MIN(1,CHOOSE(Table1[[#This Row],[Mode Digit]],0,(Vout+(Rdson3+Rdcr)*Table1[[#This Row],[Iin]]-Table1[[#This Row],[Vin]])/(Vout+(Rdson3-Rdson4-Rs)*Table1[[#This Row],[Iin]]),Fsw*Table1[[#This Row],[t1_Ph_II]]+Table1[[#This Row],[t3_Ph_III]]))</f>
        <v>0</v>
      </c>
      <c r="V14" s="4">
        <f>MAX(Table1[[#This Row],[I_0]:[I_2]])-MIN(Table1[[#This Row],[I_0]:[I_1]])</f>
        <v>2.6272446000733538</v>
      </c>
      <c r="W1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12.023942830136233</v>
      </c>
      <c r="X14" s="354">
        <f>(Table1[[#This Row],[Irms Lf]]^2*Rdcr*(1+Ltc*Ta-Ltc*25))/(1-Table1[[#This Row],[Irms Lf]]^2*Rdcr*Ltc*ThetaCa)</f>
        <v>0.89883244811287077</v>
      </c>
      <c r="Y14" s="354">
        <f>ABS(7.759*10^-3*Fsw^0.9458*(0.00787*Table1[[#This Row],[Ripple Current pk-pk]])^2.304)</f>
        <v>0.29760221444524654</v>
      </c>
      <c r="Z14" s="354">
        <f>Table1[[#This Row],[DCR    Loss]]+Table1[[#This Row],[Core Loss]]</f>
        <v>1.1964346625581173</v>
      </c>
      <c r="AA14" s="4">
        <f>IF(Table1[[#This Row],[Vin]]&gt;Vout, Table1[[#This Row],[Ripple Current pk-pk]]/SQRT(12), SQRT(Table1[[#This Row],[Duty Cycle BOOST Leg]]/(1-Table1[[#This Row],[Duty Cycle BOOST Leg]]))*SQRT(Table1[[#This Row],[Iout]]^2+(Table1[[#This Row],[Ripple Current pk-pk]]^2)/12))</f>
        <v>0.75842018853967075</v>
      </c>
      <c r="AB14" s="354">
        <f>RCoutEsr*Table1[[#This Row],[Irms Cout]]^2</f>
        <v>2.8760059119227487E-3</v>
      </c>
      <c r="AC14" s="354">
        <f>Table1[[#This Row],[Cout ESR Loss]]</f>
        <v>2.8760059119227487E-3</v>
      </c>
      <c r="AD14" s="354">
        <f>IF(Table1[[#This Row],[Vin]]&gt;Vout, SQRT(Table1[[#This Row],[Duty Cycle BUCK Leg]]*(1-Table1[[#This Row],[Duty Cycle BUCK Leg]]))*SQRT(Table1[[#This Row],[Iout]]^2+(Table1[[#This Row],[Ripple Current pk-pk]]^2)/12), Table1[[#This Row],[Ripple Current pk-pk]]/SQRT(12))</f>
        <v>5.3764168133873147</v>
      </c>
      <c r="AE14" s="354">
        <f>RCinEsr*Table1[[#This Row],[Irms Cin]]^2</f>
        <v>5.7811715502547614E-2</v>
      </c>
      <c r="AF14" s="549">
        <f>Table1[[#This Row],[Cin ESR Loss]]</f>
        <v>5.7811715502547614E-2</v>
      </c>
      <c r="AG1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10.229180050541061</v>
      </c>
      <c r="AH14" s="354">
        <f>Rdson1*Table1[[#This Row],[Irms BuCtrl]]^2</f>
        <v>0.4394717229268264</v>
      </c>
      <c r="AI14" s="354">
        <f>CHOOSE(Table1[[#This Row],[Mode Digit]], (Table1[[#This Row],[Vin]]*Table1[[#This Row],[Iout]]/2)*(Fsw)*(Tr_buck+Tf_buck), 0, (Table1[[#This Row],[Vin]]*Table1[[#This Row],[Avg IL]]/2)*(Fsw/1)*(Tr_buck+Tf_buck))</f>
        <v>2.4215768074358461</v>
      </c>
      <c r="AJ14">
        <f>IF(Table1[[#This Row],[Vin]]&gt;Vout, IF(Table1[[#This Row],[Iout]]&gt;Table1[[#This Row],[Ripple Current pk-pk]]/2,0,ABS(Table1[[#This Row],[Iout]]-Table1[[#This Row],[Ripple Current pk-pk]]/2)*Vsd_Q1*Deadtime*Fsw),0)</f>
        <v>0</v>
      </c>
      <c r="AK14" s="354">
        <f>(Table1[[#This Row],[Dead Time Loss BuCtrl]]+Table1[[#This Row],[Transition Loss BuCtrl]]+Table1[[#This Row],[RDS(on) Loss BuCtrl]]*(1+RdsonTopTc*Ta-RdsonTopTc*25))/(1-Table1[[#This Row],[RDS(on) Loss BuCtrl]]*RdsonTopTc*ThetaJA_Q1)</f>
        <v>3.1983933556253223</v>
      </c>
      <c r="AL14" s="354">
        <f>CHOOSE(Table1[[#This Row],[Mode Digit]],SQRT((Fsw*(Table1[[#This Row],[t2_Ph_I]]+0))*((Table1[[#This Row],[I_0]]*Table1[[#This Row],[I_1]]+((Table1[[#This Row],[I_0]]-Table1[[#This Row],[I_1]])^2)/3))),0,SQRT((Fsw*(Table1[[#This Row],[t3_Ph_III]]+0))*((Table1[[#This Row],[I_0]]*Table1[[#This Row],[I_2]]+((Table1[[#This Row],[I_0]]-Table1[[#This Row],[I_2]])^2)/3))))</f>
        <v>6.319737073328076</v>
      </c>
      <c r="AM14" s="354">
        <f>Rdson2*Table1[[#This Row],[Irms BuSync]]^2</f>
        <v>0.16774412203918873</v>
      </c>
      <c r="AN1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 s="354">
        <f>(Table1[[#This Row],[Deadtime Loss BuSync]]+Table1[[#This Row],[RDS(on) Loss BuSync]]*(1+RdsonBotTc*Ta-RdsonBotTc*25))/(1-Table1[[#This Row],[RDS(on) Loss BuSync]]*RdsonBotTc*ThetaJA_Q2)</f>
        <v>0.77637115820492941</v>
      </c>
      <c r="AP14" s="354">
        <f>CHOOSE(Table1[[#This Row],[Mode Digit]],0,SQRT((Fsw*(Table1[[#This Row],[t1_Ph_II]]+0))*((Table1[[#This Row],[I_0]]*Table1[[#This Row],[I_1]]+((Table1[[#This Row],[I_0]]-Table1[[#This Row],[I_1]])^2)/3))),SQRT((Fsw*(Table1[[#This Row],[t2_Ph_I]]+0))*((Table1[[#This Row],[I_1]]*Table1[[#This Row],[I_2]]+((Table1[[#This Row],[I_1]]-Table1[[#This Row],[I_2]])^2)/3))))</f>
        <v>0</v>
      </c>
      <c r="AQ14" s="354">
        <f>Rdson4*Table1[[#This Row],[Irms BoCtlr]]^2</f>
        <v>0</v>
      </c>
      <c r="AR14" s="354">
        <f>CHOOSE(Table1[[#This Row],[Mode Digit]], 0, (Vout*Table1[[#This Row],[Iin]]/2)*(Fsw)*(Tr_boost+Tf_boost), (Vout*Iout/2)*(Fsw/1)*(Tr_boost+Tf_boost))</f>
        <v>0</v>
      </c>
      <c r="AS14">
        <f>IF(Table1[[#This Row],[Vin]]&gt;Vout, 0, IF(Table1[[#This Row],[Iin]]&gt;Table1[[#This Row],[Ripple Current pk-pk]]/2,0,ABS(Table1[[#This Row],[Iin]]-Table1[[#This Row],[Ripple Current pk-pk]]/2)*Vsd_Q4*Deadtime*Fsw))</f>
        <v>0</v>
      </c>
      <c r="AT14" s="354">
        <f>(Table1[[#This Row],[Dead Time Loss BoCtlr]]+Table1[[#This Row],[Transition Loss BoCtlr]]+Table1[[#This Row],[RDS(on) Loss BoCtlr]]*(1+RdsonTopTc*Ta-RdsonTopTc*25))/(1-Table1[[#This Row],[RDS(on) Loss BoCtlr]]*RdsonTopTc*ThetaJA_Q4)</f>
        <v>0</v>
      </c>
      <c r="AU1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12.023942830136233</v>
      </c>
      <c r="AV14" s="354">
        <f>Rdson3*Table1[[#This Row],[Irms BoSync]]^2</f>
        <v>0.60721584496601522</v>
      </c>
      <c r="AW1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 s="354">
        <f>(Table1[[#This Row],[Deadtime Loss BoSync]]+Table1[[#This Row],[RDS(on) Loss BoSync]]*(1+RdsonBotTc*Ta-RdsonBotTc*25))/(1-Table1[[#This Row],[RDS(on) Loss BoSync]]*RdsonBotTc*ThetaJA_Q3)</f>
        <v>0.71080235334812214</v>
      </c>
      <c r="AY14" s="354">
        <f>CHOOSE(Table1[[#This Row],[Mode Digit]], Rdson3*Table1[[#This Row],[Irms Lf]]^2, Rdson1*Table1[[#This Row],[Irms Lf]]^2, 0)</f>
        <v>0.60721584496601522</v>
      </c>
      <c r="AZ14" s="354">
        <f>CHOOSE(Table1[[#This Row],[Mode Digit]], 2*Deadtime*Fsw*IF(VfdSky_Q2&gt;0,VfdSky_Q2,0)*Table1[[#This Row],[Iout]], 2*Deadtime*Fsw*IF(VfdSky_Q3&gt;0,VfdSky_Q3,0)*Table1[[#This Row],[Iin]], 2*Deadtime*Fsw*IF(VfdSky_Q2&gt;0,VfdSky_Q2,0)*Table1[[#This Row],[Iout]]+2*Deadtime*Fsw*IF(VfdSky_Q3&gt;0,VfdSky_Q3,0)*Table1[[#This Row],[Iin]])</f>
        <v>0</v>
      </c>
      <c r="BA14" s="354">
        <f>CHOOSE(Table1[[#This Row],[Mode Digit]], IF(QrrSky_Q2&gt;0,QrrSky_Q2,Qrr_Q2)*Fsw*(Table1[[#This Row],[Vin]]-Table1[[#This Row],[Iout]]*Rdson1),0,  IF(QrrSky_Q2&gt;0,QrrSky_Q2,Qrr_Q2)*Fsw*(Table1[[#This Row],[Vin]]-Table1[[#This Row],[Iout]]*Rdson1)+IF(QrrSky_Q3&gt;0,QrrSky_Q3,Qrr_Q3)*Fsw*Vout)</f>
        <v>0.24359520000000001</v>
      </c>
      <c r="BB14" s="354">
        <f>CHOOSE(Table1[[#This Row],[Mode Digit]],0, IF(QrrSky_Q3&gt;0,QrrSky_Q3,Qrr_Q3)*Fsw*Vout,  IF(QrrSky_Q2&gt;0,QrrSky_Q2,Qrr_Q2)*Fsw*(Table1[[#This Row],[Vin]]-Table1[[#This Row],[Iout]]*Rdson1)+IF(QrrSky_Q3&gt;0,QrrSky_Q3,Qrr_Q3)*Fsw*Vout)</f>
        <v>0</v>
      </c>
      <c r="BC14" s="354">
        <f>CHOOSE(Table1[[#This Row],[Mode Digit]], Rs*Table1[[#This Row],[Irms BuSync]]^2, Rs*Table1[[#This Row],[Irms BoCtlr]]^2, Rs*(Table1[[#This Row],[Irms BuSync]]^2+Table1[[#This Row],[Irms BoCtlr]]^2))</f>
        <v>9.9847691689993287E-2</v>
      </c>
      <c r="BD14" s="354">
        <f t="shared" si="1"/>
        <v>1.44</v>
      </c>
      <c r="BE14" s="354">
        <f>IF(Vout&gt;8, Iq*Vout, Iq*Table1[[#This Row],[Vin]])</f>
        <v>4.3799999999999999E-2</v>
      </c>
      <c r="BF14" s="354">
        <f>CHOOSE(Table1[[#This Row],[Mode Digit]], (Qg_Q1+Qg_Q2)*Fsw, (Qg_Q3+Qg_Q4)*Fsw, (Qg_Q1+Qg_Q2+Qg_Q3+Qg_Q4)*Fsw)*IF(Vout&gt;8, Vout, Table1[[#This Row],[Vin]])</f>
        <v>0.47303999999999996</v>
      </c>
      <c r="BG14" s="354">
        <f t="shared" si="2"/>
        <v>0.57269042016806726</v>
      </c>
      <c r="BH14" s="354">
        <f>Table1[[#This Row],[IQ Loss]]+Table1[[#This Row],[Switching Current Loss]]</f>
        <v>0.51683999999999997</v>
      </c>
      <c r="BI1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8.242972142840955</v>
      </c>
      <c r="BJ14">
        <f>Vout*Table1[[#This Row],[Iout]]</f>
        <v>175.2</v>
      </c>
      <c r="BK14" s="550">
        <f>Table1[[#This Row],[Pout]]/(Table1[[#This Row],[Pout]]+Table1[[#This Row],[Total Loss]])</f>
        <v>0.95506520611526924</v>
      </c>
      <c r="BL1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191.90360133751935</v>
      </c>
      <c r="BM14" s="559">
        <f>IF(Table1[[#This Row],[Vin]]&gt;Vout, Table1[[#This Row],[Total Sync Bu MOSFET Loss]]*ThetaJA_Q2, ThetaJA_Q3*Table1[[#This Row],[Total Sync Bo MOSFET Loss]])</f>
        <v>46.582269492295765</v>
      </c>
      <c r="BN14" s="9"/>
      <c r="BO14" s="4">
        <f>Table1[[#This Row],[EFF, h]]*100</f>
        <v>95.506520611526923</v>
      </c>
      <c r="BP14" s="354">
        <f>Table1[[#This Row],[Total Inductor Loss]]</f>
        <v>1.1964346625581173</v>
      </c>
      <c r="BQ14" s="354">
        <f>Table1[[#This Row],[Total Control Bu MOSFET Loss]]+Table1[[#This Row],[Total Sync Bu MOSFET Loss]]+Table1[[#This Row],[Total Control Bo MOSFET Loss]]+Table1[[#This Row],[Total Sync Bo MOSFET Loss]]+Table1[[#This Row],[Reverse Recovery Loss MOSFET D BUCK]]+Table1[[#This Row],[Reverse Recovery Loss MOSFET D BOOST]]</f>
        <v>4.9291620671783738</v>
      </c>
      <c r="BR14" s="354">
        <f>Table1[[#This Row],[Total Control Bu MOSFET Loss]]+Table1[[#This Row],[Reverse Recovery Loss MOSFET D BUCK]]*0.66</f>
        <v>3.3591661876253225</v>
      </c>
      <c r="BS14" s="354">
        <f>Table1[[#This Row],[Total Sync Bu MOSFET Loss]]+Table1[[#This Row],[Reverse Recovery Loss MOSFET D BUCK]]*0.33</f>
        <v>0.85675757420492937</v>
      </c>
      <c r="BT14" s="354">
        <f xml:space="preserve"> Table1[[#This Row],[Total Control Bo MOSFET Loss]]+Table1[[#This Row],[Reverse Recovery Loss MOSFET D BOOST]]*0.66</f>
        <v>0</v>
      </c>
      <c r="BU14" s="354">
        <f xml:space="preserve"> Table1[[#This Row],[Total Sync Bo MOSFET Loss]]+Table1[[#This Row],[Reverse Recovery Loss MOSFET D BOOST]]*0.33</f>
        <v>0.71080235334812214</v>
      </c>
      <c r="BV14" s="354">
        <f>Table1[[#This Row],[Isense Shunt Loss]]</f>
        <v>9.9847691689993287E-2</v>
      </c>
      <c r="BZ14" t="s">
        <v>140</v>
      </c>
      <c r="CA14" s="18">
        <v>45</v>
      </c>
      <c r="CB14" s="18">
        <v>45</v>
      </c>
      <c r="CC14" s="18">
        <v>45</v>
      </c>
      <c r="CD14" s="19">
        <f>500000*(12-Vdd)*CC14/1000000000+((500000*CC9/1000000000*Vdd)*2.5/(2*4))</f>
        <v>0.18328125000000001</v>
      </c>
      <c r="CE14">
        <f t="shared" si="3"/>
        <v>14.662500000000001</v>
      </c>
      <c r="CF14">
        <f t="shared" si="3"/>
        <v>18.328125</v>
      </c>
      <c r="CG14">
        <f t="shared" si="3"/>
        <v>21.993750000000002</v>
      </c>
      <c r="CH14">
        <f t="shared" si="3"/>
        <v>25.659375000000001</v>
      </c>
      <c r="CI14">
        <f t="shared" si="3"/>
        <v>29.325000000000003</v>
      </c>
      <c r="CJ14">
        <f t="shared" si="3"/>
        <v>32.990625000000001</v>
      </c>
      <c r="CK14">
        <f t="shared" si="3"/>
        <v>3.6656250000000004</v>
      </c>
      <c r="CL14">
        <f t="shared" si="3"/>
        <v>5.4984375000000005</v>
      </c>
      <c r="CM14">
        <f t="shared" si="3"/>
        <v>7.3312500000000007</v>
      </c>
      <c r="CN14">
        <f t="shared" si="3"/>
        <v>9.1640625</v>
      </c>
    </row>
    <row r="15" spans="1:92" x14ac:dyDescent="0.2">
      <c r="A15" s="23" t="s">
        <v>87</v>
      </c>
      <c r="B15" s="5">
        <f>Ta</f>
        <v>25</v>
      </c>
      <c r="C15" s="440" t="s">
        <v>637</v>
      </c>
      <c r="D15" s="21" t="s">
        <v>98</v>
      </c>
      <c r="G15">
        <v>6</v>
      </c>
      <c r="H15" s="555">
        <f>VIN_min+(VIN_max-VIN_min)*(Table1[[#This Row],[Step]]/200)</f>
        <v>20.420000000000002</v>
      </c>
      <c r="I15" s="4" t="str">
        <f>IF(Mode = 2,IF(Table1[[#This Row],[Vin]]&gt;Vout, "BUCK","BOOST"),IF(Table1[[#This Row],[Vin]]&gt;VIN_BB_to_buck, "BUCK", IF(Table1[[#This Row],[Vin]]&lt;=VIN_boost_to_BB,"BOOST","BUCK-BST")))</f>
        <v>BUCK</v>
      </c>
      <c r="J15">
        <f>IF(Table1[[#This Row],[Mode]]="BOOST",2, IF(Table1[[#This Row],[Mode]]="BUCK", 1,3))</f>
        <v>1</v>
      </c>
      <c r="K15">
        <f t="shared" si="0"/>
        <v>12</v>
      </c>
      <c r="L15" s="4">
        <f>Vout*Table1[[#This Row],[Iout]]/(Table1[[#This Row],[Vin]]*Efficiency)</f>
        <v>9.0313933707923084</v>
      </c>
      <c r="M15" s="711">
        <f>MIN(1/Fsw,CHOOSE(Table1[[#This Row],[Mode Digit]],(Vout+(Rdson2+Rs+Rdcr)*Table1[[#This Row],[Iout]])/(Table1[[#This Row],[Vin]]+(Rs+Rdson2-Rdson1)*Table1[[#This Row],[Iout]])/Fsw,(Vout+(Rdson3+Rdcr)*Table1[[#This Row],[Iin]]-Table1[[#This Row],[Vin]])/(Vout+(Rdson3-Rdson4-Rs)*Table1[[#This Row],[Iin]])/Fsw,t1_Ph_II))</f>
        <v>1.2021189894050529E-6</v>
      </c>
      <c r="N15" s="602">
        <f>CHOOSE(Table1[[#This Row],[Mode Digit]],1/Fsw-Table1[[#This Row],[t1_Ph_II]],1/Fsw-Table1[[#This Row],[t1_Ph_II]],(Vout/Fsw-Table1[[#This Row],[Vin]]*t1_Ph_II)/(Table1[[#This Row],[Vin]]+Vout))</f>
        <v>4.6454767726161375E-7</v>
      </c>
      <c r="O15" s="602">
        <f>1/Fsw-(Table1[[#This Row],[t1_Ph_II]]+Table1[[#This Row],[t2_Ph_I]])</f>
        <v>0</v>
      </c>
      <c r="P1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10.674937023042157</v>
      </c>
      <c r="Q15" s="4">
        <f>CHOOSE(Table1[[#This Row],[Mode Digit]],Table1[[#This Row],[I_0]]+1/Lf*(Table1[[#This Row],[Vin]]-Vout)*Table1[[#This Row],[t1_Ph_II]],Table1[[#This Row],[I_0]]+1/Lf*Table1[[#This Row],[Vin]]*Table1[[#This Row],[t1_Ph_II]],Table1[[#This Row],[I_0]]+(Table1[[#This Row],[Vin]]-Vout)/L*Table1[[#This Row],[t1_Ph_II]])</f>
        <v>13.325062976957842</v>
      </c>
      <c r="R15" s="4">
        <f>CHOOSE(Table1[[#This Row],[Mode Digit]],0,0,Table1[[#This Row],[I_1]]+Table1[[#This Row],[Vin]]/L*Table1[[#This Row],[t2_Ph_I]])</f>
        <v>0</v>
      </c>
      <c r="S15" s="4">
        <f>Fsw*(Table1[[#This Row],[I_0]]*Table1[[#This Row],[t1_Ph_II]]+Table1[[#This Row],[I_1]]*Table1[[#This Row],[t2_Ph_I]]+Table1[[#This Row],[I_2]]*Table1[[#This Row],[t3_Ph_III]])</f>
        <v>11.413602936847507</v>
      </c>
      <c r="T15" s="354">
        <f>MIN(1,CHOOSE(Table1[[#This Row],[Mode Digit]],(Vout+(Rdson2+Rs+Rdcr)*Table1[[#This Row],[Iout]])/(Table1[[#This Row],[Vin]]+(Rs+Rdson2-Rdson1)*Table1[[#This Row],[Iout]]),1,Fsw*Table1[[#This Row],[t2_Ph_I]]+Table1[[#This Row],[t1_Ph_II]]))</f>
        <v>0.72127139364303172</v>
      </c>
      <c r="U15" s="354">
        <f>MIN(1,CHOOSE(Table1[[#This Row],[Mode Digit]],0,(Vout+(Rdson3+Rdcr)*Table1[[#This Row],[Iin]]-Table1[[#This Row],[Vin]])/(Vout+(Rdson3-Rdson4-Rs)*Table1[[#This Row],[Iin]]),Fsw*Table1[[#This Row],[t1_Ph_II]]+Table1[[#This Row],[t3_Ph_III]]))</f>
        <v>0</v>
      </c>
      <c r="V15" s="4">
        <f>MAX(Table1[[#This Row],[I_0]:[I_2]])-MIN(Table1[[#This Row],[I_0]:[I_1]])</f>
        <v>2.6501259539156852</v>
      </c>
      <c r="W1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12.02436127053331</v>
      </c>
      <c r="X15" s="354">
        <f>(Table1[[#This Row],[Irms Lf]]^2*Rdcr*(1+Ltc*Ta-Ltc*25))/(1-Table1[[#This Row],[Irms Lf]]^2*Rdcr*Ltc*ThetaCa)</f>
        <v>0.89889950789134287</v>
      </c>
      <c r="Y15" s="354">
        <f>ABS(7.759*10^-3*Fsw^0.9458*(0.00787*Table1[[#This Row],[Ripple Current pk-pk]])^2.304)</f>
        <v>0.3036078799742758</v>
      </c>
      <c r="Z15" s="354">
        <f>Table1[[#This Row],[DCR    Loss]]+Table1[[#This Row],[Core Loss]]</f>
        <v>1.2025073878656187</v>
      </c>
      <c r="AA15" s="4">
        <f>IF(Table1[[#This Row],[Vin]]&gt;Vout, Table1[[#This Row],[Ripple Current pk-pk]]/SQRT(12), SQRT(Table1[[#This Row],[Duty Cycle BOOST Leg]]/(1-Table1[[#This Row],[Duty Cycle BOOST Leg]]))*SQRT(Table1[[#This Row],[Iout]]^2+(Table1[[#This Row],[Ripple Current pk-pk]]^2)/12))</f>
        <v>0.76502546643981739</v>
      </c>
      <c r="AB15" s="354">
        <f>RCoutEsr*Table1[[#This Row],[Irms Cout]]^2</f>
        <v>2.9263198215073011E-3</v>
      </c>
      <c r="AC15" s="354">
        <f>Table1[[#This Row],[Cout ESR Loss]]</f>
        <v>2.9263198215073011E-3</v>
      </c>
      <c r="AD15" s="354">
        <f>IF(Table1[[#This Row],[Vin]]&gt;Vout, SQRT(Table1[[#This Row],[Duty Cycle BUCK Leg]]*(1-Table1[[#This Row],[Duty Cycle BUCK Leg]]))*SQRT(Table1[[#This Row],[Iout]]^2+(Table1[[#This Row],[Ripple Current pk-pk]]^2)/12), Table1[[#This Row],[Ripple Current pk-pk]]/SQRT(12))</f>
        <v>5.3914072927138568</v>
      </c>
      <c r="AE15" s="354">
        <f>RCinEsr*Table1[[#This Row],[Irms Cin]]^2</f>
        <v>5.8134545191856318E-2</v>
      </c>
      <c r="AF15" s="549">
        <f>Table1[[#This Row],[Cin ESR Loss]]</f>
        <v>5.8134545191856318E-2</v>
      </c>
      <c r="AG1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10.212013260850053</v>
      </c>
      <c r="AH15" s="354">
        <f>Rdson1*Table1[[#This Row],[Irms BuCtrl]]^2</f>
        <v>0.43799790232706487</v>
      </c>
      <c r="AI15" s="354">
        <f>CHOOSE(Table1[[#This Row],[Mode Digit]], (Table1[[#This Row],[Vin]]*Table1[[#This Row],[Iout]]/2)*(Fsw)*(Tr_buck+Tf_buck), 0, (Table1[[#This Row],[Vin]]*Table1[[#This Row],[Avg IL]]/2)*(Fsw/1)*(Tr_buck+Tf_buck))</f>
        <v>2.4299065556678121</v>
      </c>
      <c r="AJ15">
        <f>IF(Table1[[#This Row],[Vin]]&gt;Vout, IF(Table1[[#This Row],[Iout]]&gt;Table1[[#This Row],[Ripple Current pk-pk]]/2,0,ABS(Table1[[#This Row],[Iout]]-Table1[[#This Row],[Ripple Current pk-pk]]/2)*Vsd_Q1*Deadtime*Fsw),0)</f>
        <v>0</v>
      </c>
      <c r="AK15" s="354">
        <f>(Table1[[#This Row],[Dead Time Loss BuCtrl]]+Table1[[#This Row],[Transition Loss BuCtrl]]+Table1[[#This Row],[RDS(on) Loss BuCtrl]]*(1+RdsonTopTc*Ta-RdsonTopTc*25))/(1-Table1[[#This Row],[RDS(on) Loss BuCtrl]]*RdsonTopTc*ThetaJA_Q1)</f>
        <v>3.2047904127596665</v>
      </c>
      <c r="AL15" s="354">
        <f>CHOOSE(Table1[[#This Row],[Mode Digit]],SQRT((Fsw*(Table1[[#This Row],[t2_Ph_I]]+0))*((Table1[[#This Row],[I_0]]*Table1[[#This Row],[I_1]]+((Table1[[#This Row],[I_0]]-Table1[[#This Row],[I_1]])^2)/3))),0,SQRT((Fsw*(Table1[[#This Row],[t3_Ph_III]]+0))*((Table1[[#This Row],[I_0]]*Table1[[#This Row],[I_2]]+((Table1[[#This Row],[I_0]]-Table1[[#This Row],[I_2]])^2)/3))))</f>
        <v>6.3482319683927848</v>
      </c>
      <c r="AM15" s="354">
        <f>Rdson2*Table1[[#This Row],[Irms BuSync]]^2</f>
        <v>0.16926020632300137</v>
      </c>
      <c r="AN1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 s="354">
        <f>(Table1[[#This Row],[Deadtime Loss BuSync]]+Table1[[#This Row],[RDS(on) Loss BuSync]]*(1+RdsonBotTc*Ta-RdsonBotTc*25))/(1-Table1[[#This Row],[RDS(on) Loss BuSync]]*RdsonBotTc*ThetaJA_Q2)</f>
        <v>0.77824588924239702</v>
      </c>
      <c r="AP15" s="354">
        <f>CHOOSE(Table1[[#This Row],[Mode Digit]],0,SQRT((Fsw*(Table1[[#This Row],[t1_Ph_II]]+0))*((Table1[[#This Row],[I_0]]*Table1[[#This Row],[I_1]]+((Table1[[#This Row],[I_0]]-Table1[[#This Row],[I_1]])^2)/3))),SQRT((Fsw*(Table1[[#This Row],[t2_Ph_I]]+0))*((Table1[[#This Row],[I_1]]*Table1[[#This Row],[I_2]]+((Table1[[#This Row],[I_1]]-Table1[[#This Row],[I_2]])^2)/3))))</f>
        <v>0</v>
      </c>
      <c r="AQ15" s="354">
        <f>Rdson4*Table1[[#This Row],[Irms BoCtlr]]^2</f>
        <v>0</v>
      </c>
      <c r="AR15" s="354">
        <f>CHOOSE(Table1[[#This Row],[Mode Digit]], 0, (Vout*Table1[[#This Row],[Iin]]/2)*(Fsw)*(Tr_boost+Tf_boost), (Vout*Iout/2)*(Fsw/1)*(Tr_boost+Tf_boost))</f>
        <v>0</v>
      </c>
      <c r="AS15">
        <f>IF(Table1[[#This Row],[Vin]]&gt;Vout, 0, IF(Table1[[#This Row],[Iin]]&gt;Table1[[#This Row],[Ripple Current pk-pk]]/2,0,ABS(Table1[[#This Row],[Iin]]-Table1[[#This Row],[Ripple Current pk-pk]]/2)*Vsd_Q4*Deadtime*Fsw))</f>
        <v>0</v>
      </c>
      <c r="AT15" s="354">
        <f>(Table1[[#This Row],[Dead Time Loss BoCtlr]]+Table1[[#This Row],[Transition Loss BoCtlr]]+Table1[[#This Row],[RDS(on) Loss BoCtlr]]*(1+RdsonTopTc*Ta-RdsonTopTc*25))/(1-Table1[[#This Row],[RDS(on) Loss BoCtlr]]*RdsonTopTc*ThetaJA_Q4)</f>
        <v>0</v>
      </c>
      <c r="AU1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12.02436127053331</v>
      </c>
      <c r="AV15" s="354">
        <f>Rdson3*Table1[[#This Row],[Irms BoSync]]^2</f>
        <v>0.60725810865006613</v>
      </c>
      <c r="AW1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 s="354">
        <f>(Table1[[#This Row],[Deadtime Loss BoSync]]+Table1[[#This Row],[RDS(on) Loss BoSync]]*(1+RdsonBotTc*Ta-RdsonBotTc*25))/(1-Table1[[#This Row],[RDS(on) Loss BoSync]]*RdsonBotTc*ThetaJA_Q3)</f>
        <v>0.71086026741060471</v>
      </c>
      <c r="AY15" s="354">
        <f>CHOOSE(Table1[[#This Row],[Mode Digit]], Rdson3*Table1[[#This Row],[Irms Lf]]^2, Rdson1*Table1[[#This Row],[Irms Lf]]^2, 0)</f>
        <v>0.60725810865006613</v>
      </c>
      <c r="AZ15" s="354">
        <f>CHOOSE(Table1[[#This Row],[Mode Digit]], 2*Deadtime*Fsw*IF(VfdSky_Q2&gt;0,VfdSky_Q2,0)*Table1[[#This Row],[Iout]], 2*Deadtime*Fsw*IF(VfdSky_Q3&gt;0,VfdSky_Q3,0)*Table1[[#This Row],[Iin]], 2*Deadtime*Fsw*IF(VfdSky_Q2&gt;0,VfdSky_Q2,0)*Table1[[#This Row],[Iout]]+2*Deadtime*Fsw*IF(VfdSky_Q3&gt;0,VfdSky_Q3,0)*Table1[[#This Row],[Iin]])</f>
        <v>0</v>
      </c>
      <c r="BA15" s="354">
        <f>CHOOSE(Table1[[#This Row],[Mode Digit]], IF(QrrSky_Q2&gt;0,QrrSky_Q2,Qrr_Q2)*Fsw*(Table1[[#This Row],[Vin]]-Table1[[#This Row],[Iout]]*Rdson1),0,  IF(QrrSky_Q2&gt;0,QrrSky_Q2,Qrr_Q2)*Fsw*(Table1[[#This Row],[Vin]]-Table1[[#This Row],[Iout]]*Rdson1)+IF(QrrSky_Q3&gt;0,QrrSky_Q3,Qrr_Q3)*Fsw*Vout)</f>
        <v>0.24443520000000002</v>
      </c>
      <c r="BB15" s="354">
        <f>CHOOSE(Table1[[#This Row],[Mode Digit]],0, IF(QrrSky_Q3&gt;0,QrrSky_Q3,Qrr_Q3)*Fsw*Vout,  IF(QrrSky_Q2&gt;0,QrrSky_Q2,Qrr_Q2)*Fsw*(Table1[[#This Row],[Vin]]-Table1[[#This Row],[Iout]]*Rdson1)+IF(QrrSky_Q3&gt;0,QrrSky_Q3,Qrr_Q3)*Fsw*Vout)</f>
        <v>0</v>
      </c>
      <c r="BC15" s="354">
        <f>CHOOSE(Table1[[#This Row],[Mode Digit]], Rs*Table1[[#This Row],[Irms BuSync]]^2, Rs*Table1[[#This Row],[Irms BoCtlr]]^2, Rs*(Table1[[#This Row],[Irms BuSync]]^2+Table1[[#This Row],[Irms BoCtlr]]^2))</f>
        <v>0.10075012281131032</v>
      </c>
      <c r="BD15" s="354">
        <f t="shared" si="1"/>
        <v>1.44</v>
      </c>
      <c r="BE15" s="354">
        <f>IF(Vout&gt;8, Iq*Vout, Iq*Table1[[#This Row],[Vin]])</f>
        <v>4.3799999999999999E-2</v>
      </c>
      <c r="BF15" s="354">
        <f>CHOOSE(Table1[[#This Row],[Mode Digit]], (Qg_Q1+Qg_Q2)*Fsw, (Qg_Q3+Qg_Q4)*Fsw, (Qg_Q1+Qg_Q2+Qg_Q3+Qg_Q4)*Fsw)*IF(Vout&gt;8, Vout, Table1[[#This Row],[Vin]])</f>
        <v>0.47303999999999996</v>
      </c>
      <c r="BG15" s="354">
        <f t="shared" si="2"/>
        <v>0.57269042016806726</v>
      </c>
      <c r="BH15" s="354">
        <f>Table1[[#This Row],[IQ Loss]]+Table1[[#This Row],[Switching Current Loss]]</f>
        <v>0.51683999999999997</v>
      </c>
      <c r="BI1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8.2594901451029603</v>
      </c>
      <c r="BJ15">
        <f>Vout*Table1[[#This Row],[Iout]]</f>
        <v>175.2</v>
      </c>
      <c r="BK15" s="550">
        <f>Table1[[#This Row],[Pout]]/(Table1[[#This Row],[Pout]]+Table1[[#This Row],[Total Loss]])</f>
        <v>0.95497921563735777</v>
      </c>
      <c r="BL1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192.28742476558</v>
      </c>
      <c r="BM15" s="559">
        <f>IF(Table1[[#This Row],[Vin]]&gt;Vout, Table1[[#This Row],[Total Sync Bu MOSFET Loss]]*ThetaJA_Q2, ThetaJA_Q3*Table1[[#This Row],[Total Sync Bo MOSFET Loss]])</f>
        <v>46.69475335454382</v>
      </c>
      <c r="BN15" s="9"/>
      <c r="BO15" s="4">
        <f>Table1[[#This Row],[EFF, h]]*100</f>
        <v>95.497921563735773</v>
      </c>
      <c r="BP15" s="354">
        <f>Table1[[#This Row],[Total Inductor Loss]]</f>
        <v>1.2025073878656187</v>
      </c>
      <c r="BQ15" s="354">
        <f>Table1[[#This Row],[Total Control Bu MOSFET Loss]]+Table1[[#This Row],[Total Sync Bu MOSFET Loss]]+Table1[[#This Row],[Total Control Bo MOSFET Loss]]+Table1[[#This Row],[Total Sync Bo MOSFET Loss]]+Table1[[#This Row],[Reverse Recovery Loss MOSFET D BUCK]]+Table1[[#This Row],[Reverse Recovery Loss MOSFET D BOOST]]</f>
        <v>4.9383317694126685</v>
      </c>
      <c r="BR15" s="354">
        <f>Table1[[#This Row],[Total Control Bu MOSFET Loss]]+Table1[[#This Row],[Reverse Recovery Loss MOSFET D BUCK]]*0.66</f>
        <v>3.3661176447596666</v>
      </c>
      <c r="BS15" s="354">
        <f>Table1[[#This Row],[Total Sync Bu MOSFET Loss]]+Table1[[#This Row],[Reverse Recovery Loss MOSFET D BUCK]]*0.33</f>
        <v>0.85890950524239706</v>
      </c>
      <c r="BT15" s="354">
        <f xml:space="preserve"> Table1[[#This Row],[Total Control Bo MOSFET Loss]]+Table1[[#This Row],[Reverse Recovery Loss MOSFET D BOOST]]*0.66</f>
        <v>0</v>
      </c>
      <c r="BU15" s="354">
        <f xml:space="preserve"> Table1[[#This Row],[Total Sync Bo MOSFET Loss]]+Table1[[#This Row],[Reverse Recovery Loss MOSFET D BOOST]]*0.33</f>
        <v>0.71086026741060471</v>
      </c>
      <c r="BV15" s="354">
        <f>Table1[[#This Row],[Isense Shunt Loss]]</f>
        <v>0.10075012281131032</v>
      </c>
      <c r="BZ15" t="s">
        <v>138</v>
      </c>
      <c r="CA15" s="18">
        <v>20</v>
      </c>
      <c r="CB15" s="18">
        <v>20</v>
      </c>
      <c r="CC15" s="18">
        <v>20</v>
      </c>
      <c r="CD15" s="19">
        <f>1000000*(5-Vdd)*CC15/1000000000+((1000000*CC9/1000000000*Vdd)*2.5/(2*4))</f>
        <v>0.1140625</v>
      </c>
      <c r="CE15">
        <f t="shared" si="3"/>
        <v>9.125</v>
      </c>
      <c r="CF15">
        <f t="shared" si="3"/>
        <v>11.40625</v>
      </c>
      <c r="CG15">
        <f t="shared" si="3"/>
        <v>13.6875</v>
      </c>
      <c r="CH15">
        <f t="shared" si="3"/>
        <v>15.96875</v>
      </c>
      <c r="CI15">
        <f t="shared" si="3"/>
        <v>18.25</v>
      </c>
      <c r="CJ15">
        <f t="shared" si="3"/>
        <v>20.53125</v>
      </c>
      <c r="CK15">
        <f t="shared" si="3"/>
        <v>2.28125</v>
      </c>
      <c r="CL15">
        <f t="shared" si="3"/>
        <v>3.421875</v>
      </c>
      <c r="CM15">
        <f t="shared" si="3"/>
        <v>4.5625</v>
      </c>
      <c r="CN15">
        <f t="shared" si="3"/>
        <v>5.703125</v>
      </c>
    </row>
    <row r="16" spans="1:92" x14ac:dyDescent="0.2">
      <c r="A16" s="448" t="s">
        <v>648</v>
      </c>
      <c r="B16" s="5">
        <f>Vdd</f>
        <v>7.5</v>
      </c>
      <c r="C16" s="440" t="s">
        <v>0</v>
      </c>
      <c r="D16" s="440" t="s">
        <v>647</v>
      </c>
      <c r="G16">
        <v>7</v>
      </c>
      <c r="H16" s="555">
        <f>VIN_min+(VIN_max-VIN_min)*(Table1[[#This Row],[Step]]/200)</f>
        <v>20.49</v>
      </c>
      <c r="I16" s="4" t="str">
        <f>IF(Mode = 2,IF(Table1[[#This Row],[Vin]]&gt;Vout, "BUCK","BOOST"),IF(Table1[[#This Row],[Vin]]&gt;VIN_BB_to_buck, "BUCK", IF(Table1[[#This Row],[Vin]]&lt;=VIN_boost_to_BB,"BOOST","BUCK-BST")))</f>
        <v>BUCK</v>
      </c>
      <c r="J16">
        <f>IF(Table1[[#This Row],[Mode]]="BOOST",2, IF(Table1[[#This Row],[Mode]]="BUCK", 1,3))</f>
        <v>1</v>
      </c>
      <c r="K16">
        <f t="shared" si="0"/>
        <v>12</v>
      </c>
      <c r="L16" s="4">
        <f>Vout*Table1[[#This Row],[Iout]]/(Table1[[#This Row],[Vin]]*Efficiency)</f>
        <v>9.0005394158896515</v>
      </c>
      <c r="M16" s="711">
        <f>MIN(1/Fsw,CHOOSE(Table1[[#This Row],[Mode Digit]],(Vout+(Rdson2+Rs+Rdcr)*Table1[[#This Row],[Iout]])/(Table1[[#This Row],[Vin]]+(Rs+Rdson2-Rdson1)*Table1[[#This Row],[Iout]])/Fsw,(Vout+(Rdson3+Rdcr)*Table1[[#This Row],[Iin]]-Table1[[#This Row],[Vin]])/(Vout+(Rdson3-Rdson4-Rs)*Table1[[#This Row],[Iin]])/Fsw,t1_Ph_II))</f>
        <v>1.1980181936322288E-6</v>
      </c>
      <c r="N16" s="602">
        <f>CHOOSE(Table1[[#This Row],[Mode Digit]],1/Fsw-Table1[[#This Row],[t1_Ph_II]],1/Fsw-Table1[[#This Row],[t1_Ph_II]],(Vout/Fsw-Table1[[#This Row],[Vin]]*t1_Ph_II)/(Table1[[#This Row],[Vin]]+Vout))</f>
        <v>4.6864847303443784E-7</v>
      </c>
      <c r="O16" s="602">
        <f>1/Fsw-(Table1[[#This Row],[t1_Ph_II]]+Table1[[#This Row],[t2_Ph_I]])</f>
        <v>0</v>
      </c>
      <c r="P1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10.663574401421624</v>
      </c>
      <c r="Q16" s="4">
        <f>CHOOSE(Table1[[#This Row],[Mode Digit]],Table1[[#This Row],[I_0]]+1/Lf*(Table1[[#This Row],[Vin]]-Vout)*Table1[[#This Row],[t1_Ph_II]],Table1[[#This Row],[I_0]]+1/Lf*Table1[[#This Row],[Vin]]*Table1[[#This Row],[t1_Ph_II]],Table1[[#This Row],[I_0]]+(Table1[[#This Row],[Vin]]-Vout)/L*Table1[[#This Row],[t1_Ph_II]])</f>
        <v>13.336425598578376</v>
      </c>
      <c r="R16" s="4">
        <f>CHOOSE(Table1[[#This Row],[Mode Digit]],0,0,Table1[[#This Row],[I_1]]+Table1[[#This Row],[Vin]]/L*Table1[[#This Row],[t2_Ph_I]])</f>
        <v>0</v>
      </c>
      <c r="S16" s="4">
        <f>Fsw*(Table1[[#This Row],[I_0]]*Table1[[#This Row],[t1_Ph_II]]+Table1[[#This Row],[I_1]]*Table1[[#This Row],[t2_Ph_I]]+Table1[[#This Row],[I_2]]*Table1[[#This Row],[t3_Ph_III]])</f>
        <v>11.415150980739092</v>
      </c>
      <c r="T16" s="354">
        <f>MIN(1,CHOOSE(Table1[[#This Row],[Mode Digit]],(Vout+(Rdson2+Rs+Rdcr)*Table1[[#This Row],[Iout]])/(Table1[[#This Row],[Vin]]+(Rs+Rdson2-Rdson1)*Table1[[#This Row],[Iout]]),1,Fsw*Table1[[#This Row],[t2_Ph_I]]+Table1[[#This Row],[t1_Ph_II]]))</f>
        <v>0.71881091617933723</v>
      </c>
      <c r="U16" s="354">
        <f>MIN(1,CHOOSE(Table1[[#This Row],[Mode Digit]],0,(Vout+(Rdson3+Rdcr)*Table1[[#This Row],[Iin]]-Table1[[#This Row],[Vin]])/(Vout+(Rdson3-Rdson4-Rs)*Table1[[#This Row],[Iin]]),Fsw*Table1[[#This Row],[t1_Ph_II]]+Table1[[#This Row],[t3_Ph_III]]))</f>
        <v>0</v>
      </c>
      <c r="V16" s="4">
        <f>MAX(Table1[[#This Row],[I_0]:[I_2]])-MIN(Table1[[#This Row],[I_0]:[I_1]])</f>
        <v>2.6728511971567528</v>
      </c>
      <c r="W1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12.024780432930097</v>
      </c>
      <c r="X16" s="354">
        <f>(Table1[[#This Row],[Irms Lf]]^2*Rdcr*(1+Ltc*Ta-Ltc*25))/(1-Table1[[#This Row],[Irms Lf]]^2*Rdcr*Ltc*ThetaCa)</f>
        <v>0.8989666863911413</v>
      </c>
      <c r="Y16" s="354">
        <f>ABS(7.759*10^-3*Fsw^0.9458*(0.00787*Table1[[#This Row],[Ripple Current pk-pk]])^2.304)</f>
        <v>0.30963987552621391</v>
      </c>
      <c r="Z16" s="354">
        <f>Table1[[#This Row],[DCR    Loss]]+Table1[[#This Row],[Core Loss]]</f>
        <v>1.2086065619173552</v>
      </c>
      <c r="AA16" s="4">
        <f>IF(Table1[[#This Row],[Vin]]&gt;Vout, Table1[[#This Row],[Ripple Current pk-pk]]/SQRT(12), SQRT(Table1[[#This Row],[Duty Cycle BOOST Leg]]/(1-Table1[[#This Row],[Duty Cycle BOOST Leg]]))*SQRT(Table1[[#This Row],[Iout]]^2+(Table1[[#This Row],[Ripple Current pk-pk]]^2)/12))</f>
        <v>0.7715856790911324</v>
      </c>
      <c r="AB16" s="354">
        <f>RCoutEsr*Table1[[#This Row],[Irms Cout]]^2</f>
        <v>2.9767223008926196E-3</v>
      </c>
      <c r="AC16" s="354">
        <f>Table1[[#This Row],[Cout ESR Loss]]</f>
        <v>2.9767223008926196E-3</v>
      </c>
      <c r="AD16" s="354">
        <f>IF(Table1[[#This Row],[Vin]]&gt;Vout, SQRT(Table1[[#This Row],[Duty Cycle BUCK Leg]]*(1-Table1[[#This Row],[Duty Cycle BUCK Leg]]))*SQRT(Table1[[#This Row],[Iout]]^2+(Table1[[#This Row],[Ripple Current pk-pk]]^2)/12), Table1[[#This Row],[Ripple Current pk-pk]]/SQRT(12))</f>
        <v>5.4060955254338969</v>
      </c>
      <c r="AE16" s="354">
        <f>RCinEsr*Table1[[#This Row],[Irms Cin]]^2</f>
        <v>5.8451737660232803E-2</v>
      </c>
      <c r="AF16" s="549">
        <f>Table1[[#This Row],[Cin ESR Loss]]</f>
        <v>5.8451737660232803E-2</v>
      </c>
      <c r="AG1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10.194935606794571</v>
      </c>
      <c r="AH16" s="354">
        <f>Rdson1*Table1[[#This Row],[Irms BuCtrl]]^2</f>
        <v>0.43653419051208875</v>
      </c>
      <c r="AI16" s="354">
        <f>CHOOSE(Table1[[#This Row],[Mode Digit]], (Table1[[#This Row],[Vin]]*Table1[[#This Row],[Iout]]/2)*(Fsw)*(Tr_buck+Tf_buck), 0, (Table1[[#This Row],[Vin]]*Table1[[#This Row],[Avg IL]]/2)*(Fsw/1)*(Tr_buck+Tf_buck))</f>
        <v>2.4382363038997781</v>
      </c>
      <c r="AJ16">
        <f>IF(Table1[[#This Row],[Vin]]&gt;Vout, IF(Table1[[#This Row],[Iout]]&gt;Table1[[#This Row],[Ripple Current pk-pk]]/2,0,ABS(Table1[[#This Row],[Iout]]-Table1[[#This Row],[Ripple Current pk-pk]]/2)*Vsd_Q1*Deadtime*Fsw),0)</f>
        <v>0</v>
      </c>
      <c r="AK16" s="354">
        <f>(Table1[[#This Row],[Dead Time Loss BuCtrl]]+Table1[[#This Row],[Transition Loss BuCtrl]]+Table1[[#This Row],[RDS(on) Loss BuCtrl]]*(1+RdsonTopTc*Ta-RdsonTopTc*25))/(1-Table1[[#This Row],[RDS(on) Loss BuCtrl]]*RdsonTopTc*ThetaJA_Q1)</f>
        <v>3.2112024090177109</v>
      </c>
      <c r="AL16" s="354">
        <f>CHOOSE(Table1[[#This Row],[Mode Digit]],SQRT((Fsw*(Table1[[#This Row],[t2_Ph_I]]+0))*((Table1[[#This Row],[I_0]]*Table1[[#This Row],[I_1]]+((Table1[[#This Row],[I_0]]-Table1[[#This Row],[I_1]])^2)/3))),0,SQRT((Fsw*(Table1[[#This Row],[t3_Ph_III]]+0))*((Table1[[#This Row],[I_0]]*Table1[[#This Row],[I_2]]+((Table1[[#This Row],[I_0]]-Table1[[#This Row],[I_2]])^2)/3))))</f>
        <v>6.3764121913103091</v>
      </c>
      <c r="AM16" s="354">
        <f>Rdson2*Table1[[#This Row],[Irms BuSync]]^2</f>
        <v>0.17076625622066113</v>
      </c>
      <c r="AN1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 s="354">
        <f>(Table1[[#This Row],[Deadtime Loss BuSync]]+Table1[[#This Row],[RDS(on) Loss BuSync]]*(1+RdsonBotTc*Ta-RdsonBotTc*25))/(1-Table1[[#This Row],[RDS(on) Loss BuSync]]*RdsonBotTc*ThetaJA_Q2)</f>
        <v>0.78010962063802802</v>
      </c>
      <c r="AP16" s="354">
        <f>CHOOSE(Table1[[#This Row],[Mode Digit]],0,SQRT((Fsw*(Table1[[#This Row],[t1_Ph_II]]+0))*((Table1[[#This Row],[I_0]]*Table1[[#This Row],[I_1]]+((Table1[[#This Row],[I_0]]-Table1[[#This Row],[I_1]])^2)/3))),SQRT((Fsw*(Table1[[#This Row],[t2_Ph_I]]+0))*((Table1[[#This Row],[I_1]]*Table1[[#This Row],[I_2]]+((Table1[[#This Row],[I_1]]-Table1[[#This Row],[I_2]])^2)/3))))</f>
        <v>0</v>
      </c>
      <c r="AQ16" s="354">
        <f>Rdson4*Table1[[#This Row],[Irms BoCtlr]]^2</f>
        <v>0</v>
      </c>
      <c r="AR16" s="354">
        <f>CHOOSE(Table1[[#This Row],[Mode Digit]], 0, (Vout*Table1[[#This Row],[Iin]]/2)*(Fsw)*(Tr_boost+Tf_boost), (Vout*Iout/2)*(Fsw/1)*(Tr_boost+Tf_boost))</f>
        <v>0</v>
      </c>
      <c r="AS16">
        <f>IF(Table1[[#This Row],[Vin]]&gt;Vout, 0, IF(Table1[[#This Row],[Iin]]&gt;Table1[[#This Row],[Ripple Current pk-pk]]/2,0,ABS(Table1[[#This Row],[Iin]]-Table1[[#This Row],[Ripple Current pk-pk]]/2)*Vsd_Q4*Deadtime*Fsw))</f>
        <v>0</v>
      </c>
      <c r="AT16" s="354">
        <f>(Table1[[#This Row],[Dead Time Loss BoCtlr]]+Table1[[#This Row],[Transition Loss BoCtlr]]+Table1[[#This Row],[RDS(on) Loss BoCtlr]]*(1+RdsonTopTc*Ta-RdsonTopTc*25))/(1-Table1[[#This Row],[RDS(on) Loss BoCtlr]]*RdsonTopTc*ThetaJA_Q4)</f>
        <v>0</v>
      </c>
      <c r="AU1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12.024780432930097</v>
      </c>
      <c r="AV16" s="354">
        <f>Rdson3*Table1[[#This Row],[Irms BoSync]]^2</f>
        <v>0.60730044673274985</v>
      </c>
      <c r="AW1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 s="354">
        <f>(Table1[[#This Row],[Deadtime Loss BoSync]]+Table1[[#This Row],[RDS(on) Loss BoSync]]*(1+RdsonBotTc*Ta-RdsonBotTc*25))/(1-Table1[[#This Row],[RDS(on) Loss BoSync]]*RdsonBotTc*ThetaJA_Q3)</f>
        <v>0.71091828480074304</v>
      </c>
      <c r="AY16" s="354">
        <f>CHOOSE(Table1[[#This Row],[Mode Digit]], Rdson3*Table1[[#This Row],[Irms Lf]]^2, Rdson1*Table1[[#This Row],[Irms Lf]]^2, 0)</f>
        <v>0.60730044673274985</v>
      </c>
      <c r="AZ16" s="354">
        <f>CHOOSE(Table1[[#This Row],[Mode Digit]], 2*Deadtime*Fsw*IF(VfdSky_Q2&gt;0,VfdSky_Q2,0)*Table1[[#This Row],[Iout]], 2*Deadtime*Fsw*IF(VfdSky_Q3&gt;0,VfdSky_Q3,0)*Table1[[#This Row],[Iin]], 2*Deadtime*Fsw*IF(VfdSky_Q2&gt;0,VfdSky_Q2,0)*Table1[[#This Row],[Iout]]+2*Deadtime*Fsw*IF(VfdSky_Q3&gt;0,VfdSky_Q3,0)*Table1[[#This Row],[Iin]])</f>
        <v>0</v>
      </c>
      <c r="BA16" s="354">
        <f>CHOOSE(Table1[[#This Row],[Mode Digit]], IF(QrrSky_Q2&gt;0,QrrSky_Q2,Qrr_Q2)*Fsw*(Table1[[#This Row],[Vin]]-Table1[[#This Row],[Iout]]*Rdson1),0,  IF(QrrSky_Q2&gt;0,QrrSky_Q2,Qrr_Q2)*Fsw*(Table1[[#This Row],[Vin]]-Table1[[#This Row],[Iout]]*Rdson1)+IF(QrrSky_Q3&gt;0,QrrSky_Q3,Qrr_Q3)*Fsw*Vout)</f>
        <v>0.2452752</v>
      </c>
      <c r="BB16" s="354">
        <f>CHOOSE(Table1[[#This Row],[Mode Digit]],0, IF(QrrSky_Q3&gt;0,QrrSky_Q3,Qrr_Q3)*Fsw*Vout,  IF(QrrSky_Q2&gt;0,QrrSky_Q2,Qrr_Q2)*Fsw*(Table1[[#This Row],[Vin]]-Table1[[#This Row],[Iout]]*Rdson1)+IF(QrrSky_Q3&gt;0,QrrSky_Q3,Qrr_Q3)*Fsw*Vout)</f>
        <v>0</v>
      </c>
      <c r="BC16" s="354">
        <f>CHOOSE(Table1[[#This Row],[Mode Digit]], Rs*Table1[[#This Row],[Irms BuSync]]^2, Rs*Table1[[#This Row],[Irms BoCtlr]]^2, Rs*(Table1[[#This Row],[Irms BuSync]]^2+Table1[[#This Row],[Irms BoCtlr]]^2))</f>
        <v>0.10164658108372684</v>
      </c>
      <c r="BD16" s="354">
        <f t="shared" si="1"/>
        <v>1.44</v>
      </c>
      <c r="BE16" s="354">
        <f>IF(Vout&gt;8, Iq*Vout, Iq*Table1[[#This Row],[Vin]])</f>
        <v>4.3799999999999999E-2</v>
      </c>
      <c r="BF16" s="354">
        <f>CHOOSE(Table1[[#This Row],[Mode Digit]], (Qg_Q1+Qg_Q2)*Fsw, (Qg_Q3+Qg_Q4)*Fsw, (Qg_Q1+Qg_Q2+Qg_Q3+Qg_Q4)*Fsw)*IF(Vout&gt;8, Vout, Table1[[#This Row],[Vin]])</f>
        <v>0.47303999999999996</v>
      </c>
      <c r="BG16" s="354">
        <f t="shared" si="2"/>
        <v>0.57269042016806726</v>
      </c>
      <c r="BH16" s="354">
        <f>Table1[[#This Row],[IQ Loss]]+Table1[[#This Row],[Switching Current Loss]]</f>
        <v>0.51683999999999997</v>
      </c>
      <c r="BI1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8.276027117418689</v>
      </c>
      <c r="BJ16">
        <f>Vout*Table1[[#This Row],[Iout]]</f>
        <v>175.2</v>
      </c>
      <c r="BK16" s="550">
        <f>Table1[[#This Row],[Pout]]/(Table1[[#This Row],[Pout]]+Table1[[#This Row],[Total Loss]])</f>
        <v>0.95489314191372643</v>
      </c>
      <c r="BL1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192.67214454106266</v>
      </c>
      <c r="BM16" s="559">
        <f>IF(Table1[[#This Row],[Vin]]&gt;Vout, Table1[[#This Row],[Total Sync Bu MOSFET Loss]]*ThetaJA_Q2, ThetaJA_Q3*Table1[[#This Row],[Total Sync Bo MOSFET Loss]])</f>
        <v>46.806577238281683</v>
      </c>
      <c r="BN16" s="9"/>
      <c r="BO16" s="4">
        <f>Table1[[#This Row],[EFF, h]]*100</f>
        <v>95.489314191372642</v>
      </c>
      <c r="BP16" s="354">
        <f>Table1[[#This Row],[Total Inductor Loss]]</f>
        <v>1.2086065619173552</v>
      </c>
      <c r="BQ16" s="354">
        <f>Table1[[#This Row],[Total Control Bu MOSFET Loss]]+Table1[[#This Row],[Total Sync Bu MOSFET Loss]]+Table1[[#This Row],[Total Control Bo MOSFET Loss]]+Table1[[#This Row],[Total Sync Bo MOSFET Loss]]+Table1[[#This Row],[Reverse Recovery Loss MOSFET D BUCK]]+Table1[[#This Row],[Reverse Recovery Loss MOSFET D BOOST]]</f>
        <v>4.9475055144564823</v>
      </c>
      <c r="BR16" s="354">
        <f>Table1[[#This Row],[Total Control Bu MOSFET Loss]]+Table1[[#This Row],[Reverse Recovery Loss MOSFET D BUCK]]*0.66</f>
        <v>3.373084041017711</v>
      </c>
      <c r="BS16" s="354">
        <f>Table1[[#This Row],[Total Sync Bu MOSFET Loss]]+Table1[[#This Row],[Reverse Recovery Loss MOSFET D BUCK]]*0.33</f>
        <v>0.86105043663802805</v>
      </c>
      <c r="BT16" s="354">
        <f xml:space="preserve"> Table1[[#This Row],[Total Control Bo MOSFET Loss]]+Table1[[#This Row],[Reverse Recovery Loss MOSFET D BOOST]]*0.66</f>
        <v>0</v>
      </c>
      <c r="BU16" s="354">
        <f xml:space="preserve"> Table1[[#This Row],[Total Sync Bo MOSFET Loss]]+Table1[[#This Row],[Reverse Recovery Loss MOSFET D BOOST]]*0.33</f>
        <v>0.71091828480074304</v>
      </c>
      <c r="BV16" s="354">
        <f>Table1[[#This Row],[Isense Shunt Loss]]</f>
        <v>0.10164658108372684</v>
      </c>
      <c r="BZ16" t="s">
        <v>139</v>
      </c>
      <c r="CA16" s="18">
        <v>25</v>
      </c>
      <c r="CB16" s="18">
        <v>25</v>
      </c>
      <c r="CC16" s="18">
        <v>25</v>
      </c>
      <c r="CD16" s="19">
        <f>1000000*(12-Vdd)*CC16/1000000000+((1000000*CC9/1000000000*Vdd)*2.5/(2*4))</f>
        <v>0.27656249999999999</v>
      </c>
      <c r="CE16">
        <f t="shared" si="3"/>
        <v>22.125</v>
      </c>
      <c r="CF16">
        <f t="shared" si="3"/>
        <v>27.65625</v>
      </c>
      <c r="CG16">
        <f t="shared" si="3"/>
        <v>33.1875</v>
      </c>
      <c r="CH16">
        <f t="shared" si="3"/>
        <v>38.71875</v>
      </c>
      <c r="CI16">
        <f t="shared" si="3"/>
        <v>44.25</v>
      </c>
      <c r="CJ16">
        <f t="shared" si="3"/>
        <v>49.78125</v>
      </c>
      <c r="CK16">
        <f t="shared" si="3"/>
        <v>5.53125</v>
      </c>
      <c r="CL16">
        <f t="shared" si="3"/>
        <v>8.296875</v>
      </c>
      <c r="CM16">
        <f t="shared" si="3"/>
        <v>11.0625</v>
      </c>
      <c r="CN16">
        <f t="shared" si="3"/>
        <v>13.828125</v>
      </c>
    </row>
    <row r="17" spans="1:92" x14ac:dyDescent="0.2">
      <c r="A17" s="24" t="s">
        <v>62</v>
      </c>
      <c r="B17" s="16" t="s">
        <v>113</v>
      </c>
      <c r="C17" s="24" t="s">
        <v>80</v>
      </c>
      <c r="D17" s="17" t="s">
        <v>109</v>
      </c>
      <c r="G17">
        <v>8</v>
      </c>
      <c r="H17" s="555">
        <f>VIN_min+(VIN_max-VIN_min)*(Table1[[#This Row],[Step]]/200)</f>
        <v>20.56</v>
      </c>
      <c r="I17" s="4" t="str">
        <f>IF(Mode = 2,IF(Table1[[#This Row],[Vin]]&gt;Vout, "BUCK","BOOST"),IF(Table1[[#This Row],[Vin]]&gt;VIN_BB_to_buck, "BUCK", IF(Table1[[#This Row],[Vin]]&lt;=VIN_boost_to_BB,"BOOST","BUCK-BST")))</f>
        <v>BUCK</v>
      </c>
      <c r="J17">
        <f>IF(Table1[[#This Row],[Mode]]="BOOST",2, IF(Table1[[#This Row],[Mode]]="BUCK", 1,3))</f>
        <v>1</v>
      </c>
      <c r="K17">
        <f t="shared" si="0"/>
        <v>12</v>
      </c>
      <c r="L17" s="4">
        <f>Vout*Table1[[#This Row],[Iout]]/(Table1[[#This Row],[Vin]]*Efficiency)</f>
        <v>8.9698955560106501</v>
      </c>
      <c r="M17" s="711">
        <f>MIN(1/Fsw,CHOOSE(Table1[[#This Row],[Mode Digit]],(Vout+(Rdson2+Rs+Rdcr)*Table1[[#This Row],[Iout]])/(Table1[[#This Row],[Vin]]+(Rs+Rdson2-Rdson1)*Table1[[#This Row],[Iout]])/Fsw,(Vout+(Rdson3+Rdcr)*Table1[[#This Row],[Iin]]-Table1[[#This Row],[Vin]])/(Vout+(Rdson3-Rdson4-Rs)*Table1[[#This Row],[Iin]])/Fsw,t1_Ph_II))</f>
        <v>1.1939452808806865E-6</v>
      </c>
      <c r="N17" s="602">
        <f>CHOOSE(Table1[[#This Row],[Mode Digit]],1/Fsw-Table1[[#This Row],[t1_Ph_II]],1/Fsw-Table1[[#This Row],[t1_Ph_II]],(Vout/Fsw-Table1[[#This Row],[Vin]]*t1_Ph_II)/(Table1[[#This Row],[Vin]]+Vout))</f>
        <v>4.727213857859802E-7</v>
      </c>
      <c r="O17" s="602">
        <f>1/Fsw-(Table1[[#This Row],[t1_Ph_II]]+Table1[[#This Row],[t2_Ph_I]])</f>
        <v>0</v>
      </c>
      <c r="P1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10.652289039005892</v>
      </c>
      <c r="Q17" s="4">
        <f>CHOOSE(Table1[[#This Row],[Mode Digit]],Table1[[#This Row],[I_0]]+1/Lf*(Table1[[#This Row],[Vin]]-Vout)*Table1[[#This Row],[t1_Ph_II]],Table1[[#This Row],[I_0]]+1/Lf*Table1[[#This Row],[Vin]]*Table1[[#This Row],[t1_Ph_II]],Table1[[#This Row],[I_0]]+(Table1[[#This Row],[Vin]]-Vout)/L*Table1[[#This Row],[t1_Ph_II]])</f>
        <v>13.347710960994107</v>
      </c>
      <c r="R17" s="4">
        <f>CHOOSE(Table1[[#This Row],[Mode Digit]],0,0,Table1[[#This Row],[I_1]]+Table1[[#This Row],[Vin]]/L*Table1[[#This Row],[t2_Ph_I]])</f>
        <v>0</v>
      </c>
      <c r="S17" s="4">
        <f>Fsw*(Table1[[#This Row],[I_0]]*Table1[[#This Row],[t1_Ph_II]]+Table1[[#This Row],[I_1]]*Table1[[#This Row],[t2_Ph_I]]+Table1[[#This Row],[I_2]]*Table1[[#This Row],[t3_Ph_III]])</f>
        <v>11.41679919075</v>
      </c>
      <c r="T17" s="354">
        <f>MIN(1,CHOOSE(Table1[[#This Row],[Mode Digit]],(Vout+(Rdson2+Rs+Rdcr)*Table1[[#This Row],[Iout]])/(Table1[[#This Row],[Vin]]+(Rs+Rdson2-Rdson1)*Table1[[#This Row],[Iout]]),1,Fsw*Table1[[#This Row],[t2_Ph_I]]+Table1[[#This Row],[t1_Ph_II]]))</f>
        <v>0.71636716852841187</v>
      </c>
      <c r="U17" s="354">
        <f>MIN(1,CHOOSE(Table1[[#This Row],[Mode Digit]],0,(Vout+(Rdson3+Rdcr)*Table1[[#This Row],[Iin]]-Table1[[#This Row],[Vin]])/(Vout+(Rdson3-Rdson4-Rs)*Table1[[#This Row],[Iin]]),Fsw*Table1[[#This Row],[t1_Ph_II]]+Table1[[#This Row],[t3_Ph_III]]))</f>
        <v>0</v>
      </c>
      <c r="V17" s="4">
        <f>MAX(Table1[[#This Row],[I_0]:[I_2]])-MIN(Table1[[#This Row],[I_0]:[I_1]])</f>
        <v>2.6954219219882152</v>
      </c>
      <c r="W1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12.025200273237083</v>
      </c>
      <c r="X17" s="354">
        <f>(Table1[[#This Row],[Irms Lf]]^2*Rdcr*(1+Ltc*Ta-Ltc*25))/(1-Table1[[#This Row],[Irms Lf]]^2*Rdcr*Ltc*ThetaCa)</f>
        <v>0.89903397656129536</v>
      </c>
      <c r="Y17" s="354">
        <f>ABS(7.759*10^-3*Fsw^0.9458*(0.00787*Table1[[#This Row],[Ripple Current pk-pk]])^2.304)</f>
        <v>0.31569742101438547</v>
      </c>
      <c r="Z17" s="354">
        <f>Table1[[#This Row],[DCR    Loss]]+Table1[[#This Row],[Core Loss]]</f>
        <v>1.2147313975756808</v>
      </c>
      <c r="AA17" s="4">
        <f>IF(Table1[[#This Row],[Vin]]&gt;Vout, Table1[[#This Row],[Ripple Current pk-pk]]/SQRT(12), SQRT(Table1[[#This Row],[Duty Cycle BOOST Leg]]/(1-Table1[[#This Row],[Duty Cycle BOOST Leg]]))*SQRT(Table1[[#This Row],[Iout]]^2+(Table1[[#This Row],[Ripple Current pk-pk]]^2)/12))</f>
        <v>0.77810128611975726</v>
      </c>
      <c r="AB17" s="354">
        <f>RCoutEsr*Table1[[#This Row],[Irms Cout]]^2</f>
        <v>3.0272080573061017E-3</v>
      </c>
      <c r="AC17" s="354">
        <f>Table1[[#This Row],[Cout ESR Loss]]</f>
        <v>3.0272080573061017E-3</v>
      </c>
      <c r="AD17" s="354">
        <f>IF(Table1[[#This Row],[Vin]]&gt;Vout, SQRT(Table1[[#This Row],[Duty Cycle BUCK Leg]]*(1-Table1[[#This Row],[Duty Cycle BUCK Leg]]))*SQRT(Table1[[#This Row],[Iout]]^2+(Table1[[#This Row],[Ripple Current pk-pk]]^2)/12), Table1[[#This Row],[Ripple Current pk-pk]]/SQRT(12))</f>
        <v>5.4204882226011559</v>
      </c>
      <c r="AE17" s="354">
        <f>RCinEsr*Table1[[#This Row],[Irms Cin]]^2</f>
        <v>5.8763385142715681E-2</v>
      </c>
      <c r="AF17" s="549">
        <f>Table1[[#This Row],[Cin ESR Loss]]</f>
        <v>5.8763385142715681E-2</v>
      </c>
      <c r="AG1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10.17794629387496</v>
      </c>
      <c r="AH17" s="354">
        <f>Rdson1*Table1[[#This Row],[Irms BuCtrl]]^2</f>
        <v>0.43508048119621284</v>
      </c>
      <c r="AI17" s="354">
        <f>CHOOSE(Table1[[#This Row],[Mode Digit]], (Table1[[#This Row],[Vin]]*Table1[[#This Row],[Iout]]/2)*(Fsw)*(Tr_buck+Tf_buck), 0, (Table1[[#This Row],[Vin]]*Table1[[#This Row],[Avg IL]]/2)*(Fsw/1)*(Tr_buck+Tf_buck))</f>
        <v>2.4465660521317436</v>
      </c>
      <c r="AJ17">
        <f>IF(Table1[[#This Row],[Vin]]&gt;Vout, IF(Table1[[#This Row],[Iout]]&gt;Table1[[#This Row],[Ripple Current pk-pk]]/2,0,ABS(Table1[[#This Row],[Iout]]-Table1[[#This Row],[Ripple Current pk-pk]]/2)*Vsd_Q1*Deadtime*Fsw),0)</f>
        <v>0</v>
      </c>
      <c r="AK17" s="354">
        <f>(Table1[[#This Row],[Dead Time Loss BuCtrl]]+Table1[[#This Row],[Transition Loss BuCtrl]]+Table1[[#This Row],[RDS(on) Loss BuCtrl]]*(1+RdsonTopTc*Ta-RdsonTopTc*25))/(1-Table1[[#This Row],[RDS(on) Loss BuCtrl]]*RdsonTopTc*ThetaJA_Q1)</f>
        <v>3.2176291686049869</v>
      </c>
      <c r="AL17" s="354">
        <f>CHOOSE(Table1[[#This Row],[Mode Digit]],SQRT((Fsw*(Table1[[#This Row],[t2_Ph_I]]+0))*((Table1[[#This Row],[I_0]]*Table1[[#This Row],[I_1]]+((Table1[[#This Row],[I_0]]-Table1[[#This Row],[I_1]])^2)/3))),0,SQRT((Fsw*(Table1[[#This Row],[t3_Ph_III]]+0))*((Table1[[#This Row],[I_0]]*Table1[[#This Row],[I_2]]+((Table1[[#This Row],[I_0]]-Table1[[#This Row],[I_2]])^2)/3))))</f>
        <v>6.4042837890320063</v>
      </c>
      <c r="AM17" s="354">
        <f>Rdson2*Table1[[#This Row],[Irms BuSync]]^2</f>
        <v>0.17226237357192425</v>
      </c>
      <c r="AN1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 s="354">
        <f>(Table1[[#This Row],[Deadtime Loss BuSync]]+Table1[[#This Row],[RDS(on) Loss BuSync]]*(1+RdsonBotTc*Ta-RdsonBotTc*25))/(1-Table1[[#This Row],[RDS(on) Loss BuSync]]*RdsonBotTc*ThetaJA_Q2)</f>
        <v>0.78196245207250448</v>
      </c>
      <c r="AP17" s="354">
        <f>CHOOSE(Table1[[#This Row],[Mode Digit]],0,SQRT((Fsw*(Table1[[#This Row],[t1_Ph_II]]+0))*((Table1[[#This Row],[I_0]]*Table1[[#This Row],[I_1]]+((Table1[[#This Row],[I_0]]-Table1[[#This Row],[I_1]])^2)/3))),SQRT((Fsw*(Table1[[#This Row],[t2_Ph_I]]+0))*((Table1[[#This Row],[I_1]]*Table1[[#This Row],[I_2]]+((Table1[[#This Row],[I_1]]-Table1[[#This Row],[I_2]])^2)/3))))</f>
        <v>0</v>
      </c>
      <c r="AQ17" s="354">
        <f>Rdson4*Table1[[#This Row],[Irms BoCtlr]]^2</f>
        <v>0</v>
      </c>
      <c r="AR17" s="354">
        <f>CHOOSE(Table1[[#This Row],[Mode Digit]], 0, (Vout*Table1[[#This Row],[Iin]]/2)*(Fsw)*(Tr_boost+Tf_boost), (Vout*Iout/2)*(Fsw/1)*(Tr_boost+Tf_boost))</f>
        <v>0</v>
      </c>
      <c r="AS17">
        <f>IF(Table1[[#This Row],[Vin]]&gt;Vout, 0, IF(Table1[[#This Row],[Iin]]&gt;Table1[[#This Row],[Ripple Current pk-pk]]/2,0,ABS(Table1[[#This Row],[Iin]]-Table1[[#This Row],[Ripple Current pk-pk]]/2)*Vsd_Q4*Deadtime*Fsw))</f>
        <v>0</v>
      </c>
      <c r="AT17" s="354">
        <f>(Table1[[#This Row],[Dead Time Loss BoCtlr]]+Table1[[#This Row],[Transition Loss BoCtlr]]+Table1[[#This Row],[RDS(on) Loss BoCtlr]]*(1+RdsonTopTc*Ta-RdsonTopTc*25))/(1-Table1[[#This Row],[RDS(on) Loss BoCtlr]]*RdsonTopTc*ThetaJA_Q4)</f>
        <v>0</v>
      </c>
      <c r="AU1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12.025200273237083</v>
      </c>
      <c r="AV17" s="354">
        <f>Rdson3*Table1[[#This Row],[Irms BoSync]]^2</f>
        <v>0.6073428547681371</v>
      </c>
      <c r="AW1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 s="354">
        <f>(Table1[[#This Row],[Deadtime Loss BoSync]]+Table1[[#This Row],[RDS(on) Loss BoSync]]*(1+RdsonBotTc*Ta-RdsonBotTc*25))/(1-Table1[[#This Row],[RDS(on) Loss BoSync]]*RdsonBotTc*ThetaJA_Q3)</f>
        <v>0.71097639943322877</v>
      </c>
      <c r="AY17" s="354">
        <f>CHOOSE(Table1[[#This Row],[Mode Digit]], Rdson3*Table1[[#This Row],[Irms Lf]]^2, Rdson1*Table1[[#This Row],[Irms Lf]]^2, 0)</f>
        <v>0.6073428547681371</v>
      </c>
      <c r="AZ17" s="354">
        <f>CHOOSE(Table1[[#This Row],[Mode Digit]], 2*Deadtime*Fsw*IF(VfdSky_Q2&gt;0,VfdSky_Q2,0)*Table1[[#This Row],[Iout]], 2*Deadtime*Fsw*IF(VfdSky_Q3&gt;0,VfdSky_Q3,0)*Table1[[#This Row],[Iin]], 2*Deadtime*Fsw*IF(VfdSky_Q2&gt;0,VfdSky_Q2,0)*Table1[[#This Row],[Iout]]+2*Deadtime*Fsw*IF(VfdSky_Q3&gt;0,VfdSky_Q3,0)*Table1[[#This Row],[Iin]])</f>
        <v>0</v>
      </c>
      <c r="BA17" s="354">
        <f>CHOOSE(Table1[[#This Row],[Mode Digit]], IF(QrrSky_Q2&gt;0,QrrSky_Q2,Qrr_Q2)*Fsw*(Table1[[#This Row],[Vin]]-Table1[[#This Row],[Iout]]*Rdson1),0,  IF(QrrSky_Q2&gt;0,QrrSky_Q2,Qrr_Q2)*Fsw*(Table1[[#This Row],[Vin]]-Table1[[#This Row],[Iout]]*Rdson1)+IF(QrrSky_Q3&gt;0,QrrSky_Q3,Qrr_Q3)*Fsw*Vout)</f>
        <v>0.24611520000000001</v>
      </c>
      <c r="BB17" s="354">
        <f>CHOOSE(Table1[[#This Row],[Mode Digit]],0, IF(QrrSky_Q3&gt;0,QrrSky_Q3,Qrr_Q3)*Fsw*Vout,  IF(QrrSky_Q2&gt;0,QrrSky_Q2,Qrr_Q2)*Fsw*(Table1[[#This Row],[Vin]]-Table1[[#This Row],[Iout]]*Rdson1)+IF(QrrSky_Q3&gt;0,QrrSky_Q3,Qrr_Q3)*Fsw*Vout)</f>
        <v>0</v>
      </c>
      <c r="BC17" s="354">
        <f>CHOOSE(Table1[[#This Row],[Mode Digit]], Rs*Table1[[#This Row],[Irms BuSync]]^2, Rs*Table1[[#This Row],[Irms BoCtlr]]^2, Rs*(Table1[[#This Row],[Irms BuSync]]^2+Table1[[#This Row],[Irms BoCtlr]]^2))</f>
        <v>0.10253712712614538</v>
      </c>
      <c r="BD17" s="354">
        <f t="shared" si="1"/>
        <v>1.44</v>
      </c>
      <c r="BE17" s="354">
        <f>IF(Vout&gt;8, Iq*Vout, Iq*Table1[[#This Row],[Vin]])</f>
        <v>4.3799999999999999E-2</v>
      </c>
      <c r="BF17" s="354">
        <f>CHOOSE(Table1[[#This Row],[Mode Digit]], (Qg_Q1+Qg_Q2)*Fsw, (Qg_Q3+Qg_Q4)*Fsw, (Qg_Q1+Qg_Q2+Qg_Q3+Qg_Q4)*Fsw)*IF(Vout&gt;8, Vout, Table1[[#This Row],[Vin]])</f>
        <v>0.47303999999999996</v>
      </c>
      <c r="BG17" s="354">
        <f t="shared" si="2"/>
        <v>0.57269042016806726</v>
      </c>
      <c r="BH17" s="354">
        <f>Table1[[#This Row],[IQ Loss]]+Table1[[#This Row],[Switching Current Loss]]</f>
        <v>0.51683999999999997</v>
      </c>
      <c r="BI1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8.2925823380125685</v>
      </c>
      <c r="BJ17">
        <f>Vout*Table1[[#This Row],[Iout]]</f>
        <v>175.2</v>
      </c>
      <c r="BK17" s="550">
        <f>Table1[[#This Row],[Pout]]/(Table1[[#This Row],[Pout]]+Table1[[#This Row],[Total Loss]])</f>
        <v>0.95480698874935022</v>
      </c>
      <c r="BL1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193.05775011629922</v>
      </c>
      <c r="BM17" s="559">
        <f>IF(Table1[[#This Row],[Vin]]&gt;Vout, Table1[[#This Row],[Total Sync Bu MOSFET Loss]]*ThetaJA_Q2, ThetaJA_Q3*Table1[[#This Row],[Total Sync Bo MOSFET Loss]])</f>
        <v>46.917747124350271</v>
      </c>
      <c r="BN17" s="9"/>
      <c r="BO17" s="4">
        <f>Table1[[#This Row],[EFF, h]]*100</f>
        <v>95.480698874935015</v>
      </c>
      <c r="BP17" s="354">
        <f>Table1[[#This Row],[Total Inductor Loss]]</f>
        <v>1.2147313975756808</v>
      </c>
      <c r="BQ17" s="354">
        <f>Table1[[#This Row],[Total Control Bu MOSFET Loss]]+Table1[[#This Row],[Total Sync Bu MOSFET Loss]]+Table1[[#This Row],[Total Control Bo MOSFET Loss]]+Table1[[#This Row],[Total Sync Bo MOSFET Loss]]+Table1[[#This Row],[Reverse Recovery Loss MOSFET D BUCK]]+Table1[[#This Row],[Reverse Recovery Loss MOSFET D BOOST]]</f>
        <v>4.9566832201107207</v>
      </c>
      <c r="BR17" s="354">
        <f>Table1[[#This Row],[Total Control Bu MOSFET Loss]]+Table1[[#This Row],[Reverse Recovery Loss MOSFET D BUCK]]*0.66</f>
        <v>3.3800652006049869</v>
      </c>
      <c r="BS17" s="354">
        <f>Table1[[#This Row],[Total Sync Bu MOSFET Loss]]+Table1[[#This Row],[Reverse Recovery Loss MOSFET D BUCK]]*0.33</f>
        <v>0.86318046807250448</v>
      </c>
      <c r="BT17" s="354">
        <f xml:space="preserve"> Table1[[#This Row],[Total Control Bo MOSFET Loss]]+Table1[[#This Row],[Reverse Recovery Loss MOSFET D BOOST]]*0.66</f>
        <v>0</v>
      </c>
      <c r="BU17" s="354">
        <f xml:space="preserve"> Table1[[#This Row],[Total Sync Bo MOSFET Loss]]+Table1[[#This Row],[Reverse Recovery Loss MOSFET D BOOST]]*0.33</f>
        <v>0.71097639943322877</v>
      </c>
      <c r="BV17" s="354">
        <f>Table1[[#This Row],[Isense Shunt Loss]]</f>
        <v>0.10253712712614538</v>
      </c>
      <c r="BZ17" t="s">
        <v>142</v>
      </c>
      <c r="CA17" s="18">
        <v>50</v>
      </c>
      <c r="CB17" s="18">
        <v>50</v>
      </c>
      <c r="CC17" s="18">
        <v>50</v>
      </c>
      <c r="CD17" s="19">
        <f>500000*(18-Vdd)*CC17/1000000000+((500000*CC15/1000000000*Vdd)*2.5/(2*4))</f>
        <v>0.28593750000000001</v>
      </c>
      <c r="CE17">
        <f t="shared" si="3"/>
        <v>22.875</v>
      </c>
      <c r="CF17">
        <f t="shared" si="3"/>
        <v>28.59375</v>
      </c>
      <c r="CG17">
        <f t="shared" si="3"/>
        <v>34.3125</v>
      </c>
      <c r="CH17">
        <f t="shared" si="3"/>
        <v>40.03125</v>
      </c>
      <c r="CI17">
        <f t="shared" si="3"/>
        <v>45.75</v>
      </c>
      <c r="CJ17">
        <f t="shared" si="3"/>
        <v>51.46875</v>
      </c>
      <c r="CK17">
        <f t="shared" si="3"/>
        <v>5.71875</v>
      </c>
      <c r="CL17">
        <f t="shared" si="3"/>
        <v>8.578125</v>
      </c>
      <c r="CM17">
        <f t="shared" si="3"/>
        <v>11.4375</v>
      </c>
      <c r="CN17">
        <f t="shared" si="3"/>
        <v>14.296875</v>
      </c>
    </row>
    <row r="18" spans="1:92" x14ac:dyDescent="0.2">
      <c r="A18" s="35" t="s">
        <v>60</v>
      </c>
      <c r="B18" s="38">
        <f>Lf*1000000</f>
        <v>2.64</v>
      </c>
      <c r="C18" s="441" t="s">
        <v>11</v>
      </c>
      <c r="D18" s="440" t="s">
        <v>640</v>
      </c>
      <c r="G18">
        <v>9</v>
      </c>
      <c r="H18" s="555">
        <f>VIN_min+(VIN_max-VIN_min)*(Table1[[#This Row],[Step]]/200)</f>
        <v>20.63</v>
      </c>
      <c r="I18" s="4" t="str">
        <f>IF(Mode = 2,IF(Table1[[#This Row],[Vin]]&gt;Vout, "BUCK","BOOST"),IF(Table1[[#This Row],[Vin]]&gt;VIN_BB_to_buck, "BUCK", IF(Table1[[#This Row],[Vin]]&lt;=VIN_boost_to_BB,"BOOST","BUCK-BST")))</f>
        <v>BUCK</v>
      </c>
      <c r="J18">
        <f>IF(Table1[[#This Row],[Mode]]="BOOST",2, IF(Table1[[#This Row],[Mode]]="BUCK", 1,3))</f>
        <v>1</v>
      </c>
      <c r="K18">
        <f t="shared" si="0"/>
        <v>12</v>
      </c>
      <c r="L18" s="4">
        <f>Vout*Table1[[#This Row],[Iout]]/(Table1[[#This Row],[Vin]]*Efficiency)</f>
        <v>8.9394596525244285</v>
      </c>
      <c r="M18" s="711">
        <f>MIN(1/Fsw,CHOOSE(Table1[[#This Row],[Mode Digit]],(Vout+(Rdson2+Rs+Rdcr)*Table1[[#This Row],[Iout]])/(Table1[[#This Row],[Vin]]+(Rs+Rdson2-Rdson1)*Table1[[#This Row],[Iout]])/Fsw,(Vout+(Rdson3+Rdcr)*Table1[[#This Row],[Iin]]-Table1[[#This Row],[Vin]])/(Vout+(Rdson3-Rdson4-Rs)*Table1[[#This Row],[Iin]])/Fsw,t1_Ph_II))</f>
        <v>1.1898999677315263E-6</v>
      </c>
      <c r="N18" s="602">
        <f>CHOOSE(Table1[[#This Row],[Mode Digit]],1/Fsw-Table1[[#This Row],[t1_Ph_II]],1/Fsw-Table1[[#This Row],[t1_Ph_II]],(Vout/Fsw-Table1[[#This Row],[Vin]]*t1_Ph_II)/(Table1[[#This Row],[Vin]]+Vout))</f>
        <v>4.767666989351404E-7</v>
      </c>
      <c r="O18" s="602">
        <f>1/Fsw-(Table1[[#This Row],[t1_Ph_II]]+Table1[[#This Row],[t2_Ph_I]])</f>
        <v>0</v>
      </c>
      <c r="P1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10.641080150488428</v>
      </c>
      <c r="Q18" s="4">
        <f>CHOOSE(Table1[[#This Row],[Mode Digit]],Table1[[#This Row],[I_0]]+1/Lf*(Table1[[#This Row],[Vin]]-Vout)*Table1[[#This Row],[t1_Ph_II]],Table1[[#This Row],[I_0]]+1/Lf*Table1[[#This Row],[Vin]]*Table1[[#This Row],[t1_Ph_II]],Table1[[#This Row],[I_0]]+(Table1[[#This Row],[Vin]]-Vout)/L*Table1[[#This Row],[t1_Ph_II]])</f>
        <v>13.358919849511572</v>
      </c>
      <c r="R18" s="4">
        <f>CHOOSE(Table1[[#This Row],[Mode Digit]],0,0,Table1[[#This Row],[I_1]]+Table1[[#This Row],[Vin]]/L*Table1[[#This Row],[t2_Ph_I]])</f>
        <v>0</v>
      </c>
      <c r="S18" s="4">
        <f>Fsw*(Table1[[#This Row],[I_0]]*Table1[[#This Row],[t1_Ph_II]]+Table1[[#This Row],[I_1]]*Table1[[#This Row],[t2_Ph_I]]+Table1[[#This Row],[I_2]]*Table1[[#This Row],[t3_Ph_III]])</f>
        <v>11.418545427411312</v>
      </c>
      <c r="T18" s="354">
        <f>MIN(1,CHOOSE(Table1[[#This Row],[Mode Digit]],(Vout+(Rdson2+Rs+Rdcr)*Table1[[#This Row],[Iout]])/(Table1[[#This Row],[Vin]]+(Rs+Rdson2-Rdson1)*Table1[[#This Row],[Iout]]),1,Fsw*Table1[[#This Row],[t2_Ph_I]]+Table1[[#This Row],[t1_Ph_II]]))</f>
        <v>0.71393998063891573</v>
      </c>
      <c r="U18" s="354">
        <f>MIN(1,CHOOSE(Table1[[#This Row],[Mode Digit]],0,(Vout+(Rdson3+Rdcr)*Table1[[#This Row],[Iin]]-Table1[[#This Row],[Vin]])/(Vout+(Rdson3-Rdson4-Rs)*Table1[[#This Row],[Iin]]),Fsw*Table1[[#This Row],[t1_Ph_II]]+Table1[[#This Row],[t3_Ph_III]]))</f>
        <v>0</v>
      </c>
      <c r="V18" s="4">
        <f>MAX(Table1[[#This Row],[I_0]:[I_2]])-MIN(Table1[[#This Row],[I_0]:[I_1]])</f>
        <v>2.7178396990231448</v>
      </c>
      <c r="W1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12.0256207484603</v>
      </c>
      <c r="X18" s="354">
        <f>(Table1[[#This Row],[Irms Lf]]^2*Rdcr*(1+Ltc*Ta-Ltc*25))/(1-Table1[[#This Row],[Irms Lf]]^2*Rdcr*Ltc*ThetaCa)</f>
        <v>0.89910137152518987</v>
      </c>
      <c r="Y18" s="354">
        <f>ABS(7.759*10^-3*Fsw^0.9458*(0.00787*Table1[[#This Row],[Ripple Current pk-pk]])^2.304)</f>
        <v>0.32177975051649033</v>
      </c>
      <c r="Z18" s="354">
        <f>Table1[[#This Row],[DCR    Loss]]+Table1[[#This Row],[Core Loss]]</f>
        <v>1.2208811220416802</v>
      </c>
      <c r="AA18" s="4">
        <f>IF(Table1[[#This Row],[Vin]]&gt;Vout, Table1[[#This Row],[Ripple Current pk-pk]]/SQRT(12), SQRT(Table1[[#This Row],[Duty Cycle BOOST Leg]]/(1-Table1[[#This Row],[Duty Cycle BOOST Leg]]))*SQRT(Table1[[#This Row],[Iout]]^2+(Table1[[#This Row],[Ripple Current pk-pk]]^2)/12))</f>
        <v>0.78457274092263207</v>
      </c>
      <c r="AB18" s="354">
        <f>RCoutEsr*Table1[[#This Row],[Irms Cout]]^2</f>
        <v>3.0777719289942578E-3</v>
      </c>
      <c r="AC18" s="354">
        <f>Table1[[#This Row],[Cout ESR Loss]]</f>
        <v>3.0777719289942578E-3</v>
      </c>
      <c r="AD18" s="354">
        <f>IF(Table1[[#This Row],[Vin]]&gt;Vout, SQRT(Table1[[#This Row],[Duty Cycle BUCK Leg]]*(1-Table1[[#This Row],[Duty Cycle BUCK Leg]]))*SQRT(Table1[[#This Row],[Iout]]^2+(Table1[[#This Row],[Ripple Current pk-pk]]^2)/12), Table1[[#This Row],[Ripple Current pk-pk]]/SQRT(12))</f>
        <v>5.4345918956850312</v>
      </c>
      <c r="AE18" s="354">
        <f>RCinEsr*Table1[[#This Row],[Irms Cin]]^2</f>
        <v>5.9069578145290839E-2</v>
      </c>
      <c r="AF18" s="549">
        <f>Table1[[#This Row],[Cin ESR Loss]]</f>
        <v>5.9069578145290839E-2</v>
      </c>
      <c r="AG1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10.161044537757094</v>
      </c>
      <c r="AH18" s="354">
        <f>Rdson1*Table1[[#This Row],[Irms BuCtrl]]^2</f>
        <v>0.43363666961278985</v>
      </c>
      <c r="AI18" s="354">
        <f>CHOOSE(Table1[[#This Row],[Mode Digit]], (Table1[[#This Row],[Vin]]*Table1[[#This Row],[Iout]]/2)*(Fsw)*(Tr_buck+Tf_buck), 0, (Table1[[#This Row],[Vin]]*Table1[[#This Row],[Avg IL]]/2)*(Fsw/1)*(Tr_buck+Tf_buck))</f>
        <v>2.4548958003637105</v>
      </c>
      <c r="AJ18">
        <f>IF(Table1[[#This Row],[Vin]]&gt;Vout, IF(Table1[[#This Row],[Iout]]&gt;Table1[[#This Row],[Ripple Current pk-pk]]/2,0,ABS(Table1[[#This Row],[Iout]]-Table1[[#This Row],[Ripple Current pk-pk]]/2)*Vsd_Q1*Deadtime*Fsw),0)</f>
        <v>0</v>
      </c>
      <c r="AK18" s="354">
        <f>(Table1[[#This Row],[Dead Time Loss BuCtrl]]+Table1[[#This Row],[Transition Loss BuCtrl]]+Table1[[#This Row],[RDS(on) Loss BuCtrl]]*(1+RdsonTopTc*Ta-RdsonTopTc*25))/(1-Table1[[#This Row],[RDS(on) Loss BuCtrl]]*RdsonTopTc*ThetaJA_Q1)</f>
        <v>3.2240705185155027</v>
      </c>
      <c r="AL18" s="354">
        <f>CHOOSE(Table1[[#This Row],[Mode Digit]],SQRT((Fsw*(Table1[[#This Row],[t2_Ph_I]]+0))*((Table1[[#This Row],[I_0]]*Table1[[#This Row],[I_1]]+((Table1[[#This Row],[I_0]]-Table1[[#This Row],[I_1]])^2)/3))),0,SQRT((Fsw*(Table1[[#This Row],[t3_Ph_III]]+0))*((Table1[[#This Row],[I_0]]*Table1[[#This Row],[I_2]]+((Table1[[#This Row],[I_0]]-Table1[[#This Row],[I_2]])^2)/3))))</f>
        <v>6.431852632602487</v>
      </c>
      <c r="AM18" s="354">
        <f>Rdson2*Table1[[#This Row],[Irms BuSync]]^2</f>
        <v>0.17374865880756532</v>
      </c>
      <c r="AN1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 s="354">
        <f>(Table1[[#This Row],[Deadtime Loss BuSync]]+Table1[[#This Row],[RDS(on) Loss BuSync]]*(1+RdsonBotTc*Ta-RdsonBotTc*25))/(1-Table1[[#This Row],[RDS(on) Loss BuSync]]*RdsonBotTc*ThetaJA_Q2)</f>
        <v>0.78380448198180097</v>
      </c>
      <c r="AP18" s="354">
        <f>CHOOSE(Table1[[#This Row],[Mode Digit]],0,SQRT((Fsw*(Table1[[#This Row],[t1_Ph_II]]+0))*((Table1[[#This Row],[I_0]]*Table1[[#This Row],[I_1]]+((Table1[[#This Row],[I_0]]-Table1[[#This Row],[I_1]])^2)/3))),SQRT((Fsw*(Table1[[#This Row],[t2_Ph_I]]+0))*((Table1[[#This Row],[I_1]]*Table1[[#This Row],[I_2]]+((Table1[[#This Row],[I_1]]-Table1[[#This Row],[I_2]])^2)/3))))</f>
        <v>0</v>
      </c>
      <c r="AQ18" s="354">
        <f>Rdson4*Table1[[#This Row],[Irms BoCtlr]]^2</f>
        <v>0</v>
      </c>
      <c r="AR18" s="354">
        <f>CHOOSE(Table1[[#This Row],[Mode Digit]], 0, (Vout*Table1[[#This Row],[Iin]]/2)*(Fsw)*(Tr_boost+Tf_boost), (Vout*Iout/2)*(Fsw/1)*(Tr_boost+Tf_boost))</f>
        <v>0</v>
      </c>
      <c r="AS18">
        <f>IF(Table1[[#This Row],[Vin]]&gt;Vout, 0, IF(Table1[[#This Row],[Iin]]&gt;Table1[[#This Row],[Ripple Current pk-pk]]/2,0,ABS(Table1[[#This Row],[Iin]]-Table1[[#This Row],[Ripple Current pk-pk]]/2)*Vsd_Q4*Deadtime*Fsw))</f>
        <v>0</v>
      </c>
      <c r="AT18" s="354">
        <f>(Table1[[#This Row],[Dead Time Loss BoCtlr]]+Table1[[#This Row],[Transition Loss BoCtlr]]+Table1[[#This Row],[RDS(on) Loss BoCtlr]]*(1+RdsonTopTc*Ta-RdsonTopTc*25))/(1-Table1[[#This Row],[RDS(on) Loss BoCtlr]]*RdsonTopTc*ThetaJA_Q4)</f>
        <v>0</v>
      </c>
      <c r="AU1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12.0256207484603</v>
      </c>
      <c r="AV18" s="354">
        <f>Rdson3*Table1[[#This Row],[Irms BoSync]]^2</f>
        <v>0.60738532842035531</v>
      </c>
      <c r="AW1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 s="354">
        <f>(Table1[[#This Row],[Deadtime Loss BoSync]]+Table1[[#This Row],[RDS(on) Loss BoSync]]*(1+RdsonBotTc*Ta-RdsonBotTc*25))/(1-Table1[[#This Row],[RDS(on) Loss BoSync]]*RdsonBotTc*ThetaJA_Q3)</f>
        <v>0.71103460537300878</v>
      </c>
      <c r="AY18" s="354">
        <f>CHOOSE(Table1[[#This Row],[Mode Digit]], Rdson3*Table1[[#This Row],[Irms Lf]]^2, Rdson1*Table1[[#This Row],[Irms Lf]]^2, 0)</f>
        <v>0.60738532842035531</v>
      </c>
      <c r="AZ18" s="354">
        <f>CHOOSE(Table1[[#This Row],[Mode Digit]], 2*Deadtime*Fsw*IF(VfdSky_Q2&gt;0,VfdSky_Q2,0)*Table1[[#This Row],[Iout]], 2*Deadtime*Fsw*IF(VfdSky_Q3&gt;0,VfdSky_Q3,0)*Table1[[#This Row],[Iin]], 2*Deadtime*Fsw*IF(VfdSky_Q2&gt;0,VfdSky_Q2,0)*Table1[[#This Row],[Iout]]+2*Deadtime*Fsw*IF(VfdSky_Q3&gt;0,VfdSky_Q3,0)*Table1[[#This Row],[Iin]])</f>
        <v>0</v>
      </c>
      <c r="BA18" s="354">
        <f>CHOOSE(Table1[[#This Row],[Mode Digit]], IF(QrrSky_Q2&gt;0,QrrSky_Q2,Qrr_Q2)*Fsw*(Table1[[#This Row],[Vin]]-Table1[[#This Row],[Iout]]*Rdson1),0,  IF(QrrSky_Q2&gt;0,QrrSky_Q2,Qrr_Q2)*Fsw*(Table1[[#This Row],[Vin]]-Table1[[#This Row],[Iout]]*Rdson1)+IF(QrrSky_Q3&gt;0,QrrSky_Q3,Qrr_Q3)*Fsw*Vout)</f>
        <v>0.24695519999999999</v>
      </c>
      <c r="BB18" s="354">
        <f>CHOOSE(Table1[[#This Row],[Mode Digit]],0, IF(QrrSky_Q3&gt;0,QrrSky_Q3,Qrr_Q3)*Fsw*Vout,  IF(QrrSky_Q2&gt;0,QrrSky_Q2,Qrr_Q2)*Fsw*(Table1[[#This Row],[Vin]]-Table1[[#This Row],[Iout]]*Rdson1)+IF(QrrSky_Q3&gt;0,QrrSky_Q3,Qrr_Q3)*Fsw*Vout)</f>
        <v>0</v>
      </c>
      <c r="BC18" s="354">
        <f>CHOOSE(Table1[[#This Row],[Mode Digit]], Rs*Table1[[#This Row],[Irms BuSync]]^2, Rs*Table1[[#This Row],[Irms BoCtlr]]^2, Rs*(Table1[[#This Row],[Irms BuSync]]^2+Table1[[#This Row],[Irms BoCtlr]]^2))</f>
        <v>0.10342182071878886</v>
      </c>
      <c r="BD18" s="354">
        <f t="shared" si="1"/>
        <v>1.44</v>
      </c>
      <c r="BE18" s="354">
        <f>IF(Vout&gt;8, Iq*Vout, Iq*Table1[[#This Row],[Vin]])</f>
        <v>4.3799999999999999E-2</v>
      </c>
      <c r="BF18" s="354">
        <f>CHOOSE(Table1[[#This Row],[Mode Digit]], (Qg_Q1+Qg_Q2)*Fsw, (Qg_Q3+Qg_Q4)*Fsw, (Qg_Q1+Qg_Q2+Qg_Q3+Qg_Q4)*Fsw)*IF(Vout&gt;8, Vout, Table1[[#This Row],[Vin]])</f>
        <v>0.47303999999999996</v>
      </c>
      <c r="BG18" s="354">
        <f t="shared" si="2"/>
        <v>0.57269042016806726</v>
      </c>
      <c r="BH18" s="354">
        <f>Table1[[#This Row],[IQ Loss]]+Table1[[#This Row],[Switching Current Loss]]</f>
        <v>0.51683999999999997</v>
      </c>
      <c r="BI1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8.3091550987050677</v>
      </c>
      <c r="BJ18">
        <f>Vout*Table1[[#This Row],[Iout]]</f>
        <v>175.2</v>
      </c>
      <c r="BK18" s="550">
        <f>Table1[[#This Row],[Pout]]/(Table1[[#This Row],[Pout]]+Table1[[#This Row],[Total Loss]])</f>
        <v>0.95472075987579041</v>
      </c>
      <c r="BL1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193.44423111093016</v>
      </c>
      <c r="BM18" s="559">
        <f>IF(Table1[[#This Row],[Vin]]&gt;Vout, Table1[[#This Row],[Total Sync Bu MOSFET Loss]]*ThetaJA_Q2, ThetaJA_Q3*Table1[[#This Row],[Total Sync Bo MOSFET Loss]])</f>
        <v>47.028268918908061</v>
      </c>
      <c r="BN18" s="9"/>
      <c r="BO18" s="4">
        <f>Table1[[#This Row],[EFF, h]]*100</f>
        <v>95.472075987579046</v>
      </c>
      <c r="BP18" s="354">
        <f>Table1[[#This Row],[Total Inductor Loss]]</f>
        <v>1.2208811220416802</v>
      </c>
      <c r="BQ18" s="354">
        <f>Table1[[#This Row],[Total Control Bu MOSFET Loss]]+Table1[[#This Row],[Total Sync Bu MOSFET Loss]]+Table1[[#This Row],[Total Control Bo MOSFET Loss]]+Table1[[#This Row],[Total Sync Bo MOSFET Loss]]+Table1[[#This Row],[Reverse Recovery Loss MOSFET D BUCK]]+Table1[[#This Row],[Reverse Recovery Loss MOSFET D BOOST]]</f>
        <v>4.9658648058703125</v>
      </c>
      <c r="BR18" s="354">
        <f>Table1[[#This Row],[Total Control Bu MOSFET Loss]]+Table1[[#This Row],[Reverse Recovery Loss MOSFET D BUCK]]*0.66</f>
        <v>3.3870609505155027</v>
      </c>
      <c r="BS18" s="354">
        <f>Table1[[#This Row],[Total Sync Bu MOSFET Loss]]+Table1[[#This Row],[Reverse Recovery Loss MOSFET D BUCK]]*0.33</f>
        <v>0.86529969798180095</v>
      </c>
      <c r="BT18" s="354">
        <f xml:space="preserve"> Table1[[#This Row],[Total Control Bo MOSFET Loss]]+Table1[[#This Row],[Reverse Recovery Loss MOSFET D BOOST]]*0.66</f>
        <v>0</v>
      </c>
      <c r="BU18" s="354">
        <f xml:space="preserve"> Table1[[#This Row],[Total Sync Bo MOSFET Loss]]+Table1[[#This Row],[Reverse Recovery Loss MOSFET D BOOST]]*0.33</f>
        <v>0.71103460537300878</v>
      </c>
      <c r="BV18" s="354">
        <f>Table1[[#This Row],[Isense Shunt Loss]]</f>
        <v>0.10342182071878886</v>
      </c>
      <c r="BZ18" t="s">
        <v>143</v>
      </c>
      <c r="CB18" s="18"/>
      <c r="CC18" s="19"/>
    </row>
    <row r="19" spans="1:92" x14ac:dyDescent="0.2">
      <c r="A19" s="35" t="s">
        <v>12</v>
      </c>
      <c r="B19" s="39">
        <f>Rdcr*1000</f>
        <v>5.8</v>
      </c>
      <c r="C19" s="442" t="s">
        <v>638</v>
      </c>
      <c r="D19" s="440" t="s">
        <v>641</v>
      </c>
      <c r="G19">
        <v>10</v>
      </c>
      <c r="H19" s="555">
        <f>VIN_min+(VIN_max-VIN_min)*(Table1[[#This Row],[Step]]/200)</f>
        <v>20.7</v>
      </c>
      <c r="I19" s="4" t="str">
        <f>IF(Mode = 2,IF(Table1[[#This Row],[Vin]]&gt;Vout, "BUCK","BOOST"),IF(Table1[[#This Row],[Vin]]&gt;VIN_BB_to_buck, "BUCK", IF(Table1[[#This Row],[Vin]]&lt;=VIN_boost_to_BB,"BOOST","BUCK-BST")))</f>
        <v>BUCK</v>
      </c>
      <c r="J19">
        <f>IF(Table1[[#This Row],[Mode]]="BOOST",2, IF(Table1[[#This Row],[Mode]]="BUCK", 1,3))</f>
        <v>1</v>
      </c>
      <c r="K19">
        <f t="shared" si="0"/>
        <v>12</v>
      </c>
      <c r="L19" s="4">
        <f>Vout*Table1[[#This Row],[Iout]]/(Table1[[#This Row],[Vin]]*Efficiency)</f>
        <v>8.9092295957284513</v>
      </c>
      <c r="M19" s="711">
        <f>MIN(1/Fsw,CHOOSE(Table1[[#This Row],[Mode Digit]],(Vout+(Rdson2+Rs+Rdcr)*Table1[[#This Row],[Iout]])/(Table1[[#This Row],[Vin]]+(Rs+Rdson2-Rdson1)*Table1[[#This Row],[Iout]])/Fsw,(Vout+(Rdson3+Rdcr)*Table1[[#This Row],[Iin]]-Table1[[#This Row],[Vin]])/(Vout+(Rdson3-Rdson4-Rs)*Table1[[#This Row],[Iin]])/Fsw,t1_Ph_II))</f>
        <v>1.1858819745939861E-6</v>
      </c>
      <c r="N19" s="602">
        <f>CHOOSE(Table1[[#This Row],[Mode Digit]],1/Fsw-Table1[[#This Row],[t1_Ph_II]],1/Fsw-Table1[[#This Row],[t1_Ph_II]],(Vout/Fsw-Table1[[#This Row],[Vin]]*t1_Ph_II)/(Table1[[#This Row],[Vin]]+Vout))</f>
        <v>4.8078469207268058E-7</v>
      </c>
      <c r="O19" s="602">
        <f>1/Fsw-(Table1[[#This Row],[t1_Ph_II]]+Table1[[#This Row],[t2_Ph_I]])</f>
        <v>0</v>
      </c>
      <c r="P1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10.629946961169827</v>
      </c>
      <c r="Q19" s="4">
        <f>CHOOSE(Table1[[#This Row],[Mode Digit]],Table1[[#This Row],[I_0]]+1/Lf*(Table1[[#This Row],[Vin]]-Vout)*Table1[[#This Row],[t1_Ph_II]],Table1[[#This Row],[I_0]]+1/Lf*Table1[[#This Row],[Vin]]*Table1[[#This Row],[t1_Ph_II]],Table1[[#This Row],[I_0]]+(Table1[[#This Row],[Vin]]-Vout)/L*Table1[[#This Row],[t1_Ph_II]])</f>
        <v>13.370053038830173</v>
      </c>
      <c r="R19" s="4">
        <f>CHOOSE(Table1[[#This Row],[Mode Digit]],0,0,Table1[[#This Row],[I_1]]+Table1[[#This Row],[Vin]]/L*Table1[[#This Row],[t2_Ph_I]])</f>
        <v>0</v>
      </c>
      <c r="S19" s="4">
        <f>Fsw*(Table1[[#This Row],[I_0]]*Table1[[#This Row],[t1_Ph_II]]+Table1[[#This Row],[I_1]]*Table1[[#This Row],[t2_Ph_I]]+Table1[[#This Row],[I_2]]*Table1[[#This Row],[t3_Ph_III]])</f>
        <v>11.420387595246474</v>
      </c>
      <c r="T19" s="354">
        <f>MIN(1,CHOOSE(Table1[[#This Row],[Mode Digit]],(Vout+(Rdson2+Rs+Rdcr)*Table1[[#This Row],[Iout]])/(Table1[[#This Row],[Vin]]+(Rs+Rdson2-Rdson1)*Table1[[#This Row],[Iout]]),1,Fsw*Table1[[#This Row],[t2_Ph_I]]+Table1[[#This Row],[t1_Ph_II]]))</f>
        <v>0.71152918475639171</v>
      </c>
      <c r="U19" s="354">
        <f>MIN(1,CHOOSE(Table1[[#This Row],[Mode Digit]],0,(Vout+(Rdson3+Rdcr)*Table1[[#This Row],[Iin]]-Table1[[#This Row],[Vin]])/(Vout+(Rdson3-Rdson4-Rs)*Table1[[#This Row],[Iin]]),Fsw*Table1[[#This Row],[t1_Ph_II]]+Table1[[#This Row],[t3_Ph_III]]))</f>
        <v>0</v>
      </c>
      <c r="V19" s="4">
        <f>MAX(Table1[[#This Row],[I_0]:[I_2]])-MIN(Table1[[#This Row],[I_0]:[I_1]])</f>
        <v>2.7401060776603465</v>
      </c>
      <c r="W1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12.026041816674454</v>
      </c>
      <c r="X19" s="354">
        <f>(Table1[[#This Row],[Irms Lf]]^2*Rdcr*(1+Ltc*Ta-Ltc*25))/(1-Table1[[#This Row],[Irms Lf]]^2*Rdcr*Ltc*ThetaCa)</f>
        <v>0.89916886457629241</v>
      </c>
      <c r="Y19" s="354">
        <f>ABS(7.759*10^-3*Fsw^0.9458*(0.00787*Table1[[#This Row],[Ripple Current pk-pk]])^2.304)</f>
        <v>0.32788611206096679</v>
      </c>
      <c r="Z19" s="354">
        <f>Table1[[#This Row],[DCR    Loss]]+Table1[[#This Row],[Core Loss]]</f>
        <v>1.2270549766372592</v>
      </c>
      <c r="AA19" s="4">
        <f>IF(Table1[[#This Row],[Vin]]&gt;Vout, Table1[[#This Row],[Ripple Current pk-pk]]/SQRT(12), SQRT(Table1[[#This Row],[Duty Cycle BOOST Leg]]/(1-Table1[[#This Row],[Duty Cycle BOOST Leg]]))*SQRT(Table1[[#This Row],[Iout]]^2+(Table1[[#This Row],[Ripple Current pk-pk]]^2)/12))</f>
        <v>0.79100049077266543</v>
      </c>
      <c r="AB19" s="354">
        <f>RCoutEsr*Table1[[#This Row],[Irms Cout]]^2</f>
        <v>3.1284088820129879E-3</v>
      </c>
      <c r="AC19" s="354">
        <f>Table1[[#This Row],[Cout ESR Loss]]</f>
        <v>3.1284088820129879E-3</v>
      </c>
      <c r="AD19" s="354">
        <f>IF(Table1[[#This Row],[Vin]]&gt;Vout, SQRT(Table1[[#This Row],[Duty Cycle BUCK Leg]]*(1-Table1[[#This Row],[Duty Cycle BUCK Leg]]))*SQRT(Table1[[#This Row],[Iout]]^2+(Table1[[#This Row],[Ripple Current pk-pk]]^2)/12), Table1[[#This Row],[Ripple Current pk-pk]]/SQRT(12))</f>
        <v>5.4484128644271541</v>
      </c>
      <c r="AE19" s="354">
        <f>RCinEsr*Table1[[#This Row],[Irms Cin]]^2</f>
        <v>5.9370405482510616E-2</v>
      </c>
      <c r="AF19" s="549">
        <f>Table1[[#This Row],[Cin ESR Loss]]</f>
        <v>5.9370405482510616E-2</v>
      </c>
      <c r="AG1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10.144229564102</v>
      </c>
      <c r="AH19" s="354">
        <f>Rdson1*Table1[[#This Row],[Irms BuCtrl]]^2</f>
        <v>0.43220265248664452</v>
      </c>
      <c r="AI19" s="354">
        <f>CHOOSE(Table1[[#This Row],[Mode Digit]], (Table1[[#This Row],[Vin]]*Table1[[#This Row],[Iout]]/2)*(Fsw)*(Tr_buck+Tf_buck), 0, (Table1[[#This Row],[Vin]]*Table1[[#This Row],[Avg IL]]/2)*(Fsw/1)*(Tr_buck+Tf_buck))</f>
        <v>2.4632255485956764</v>
      </c>
      <c r="AJ19">
        <f>IF(Table1[[#This Row],[Vin]]&gt;Vout, IF(Table1[[#This Row],[Iout]]&gt;Table1[[#This Row],[Ripple Current pk-pk]]/2,0,ABS(Table1[[#This Row],[Iout]]-Table1[[#This Row],[Ripple Current pk-pk]]/2)*Vsd_Q1*Deadtime*Fsw),0)</f>
        <v>0</v>
      </c>
      <c r="AK19" s="354">
        <f>(Table1[[#This Row],[Dead Time Loss BuCtrl]]+Table1[[#This Row],[Transition Loss BuCtrl]]+Table1[[#This Row],[RDS(on) Loss BuCtrl]]*(1+RdsonTopTc*Ta-RdsonTopTc*25))/(1-Table1[[#This Row],[RDS(on) Loss BuCtrl]]*RdsonTopTc*ThetaJA_Q1)</f>
        <v>3.2305262884760442</v>
      </c>
      <c r="AL19" s="354">
        <f>CHOOSE(Table1[[#This Row],[Mode Digit]],SQRT((Fsw*(Table1[[#This Row],[t2_Ph_I]]+0))*((Table1[[#This Row],[I_0]]*Table1[[#This Row],[I_1]]+((Table1[[#This Row],[I_0]]-Table1[[#This Row],[I_1]])^2)/3))),0,SQRT((Fsw*(Table1[[#This Row],[t3_Ph_III]]+0))*((Table1[[#This Row],[I_0]]*Table1[[#This Row],[I_2]]+((Table1[[#This Row],[I_0]]-Table1[[#This Row],[I_2]])^2)/3))))</f>
        <v>6.4591244241926109</v>
      </c>
      <c r="AM19" s="354">
        <f>Rdson2*Table1[[#This Row],[Irms BuSync]]^2</f>
        <v>0.17522521097424645</v>
      </c>
      <c r="AN1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 s="354">
        <f>(Table1[[#This Row],[Deadtime Loss BuSync]]+Table1[[#This Row],[RDS(on) Loss BuSync]]*(1+RdsonBotTc*Ta-RdsonBotTc*25))/(1-Table1[[#This Row],[RDS(on) Loss BuSync]]*RdsonBotTc*ThetaJA_Q2)</f>
        <v>0.78563580757727103</v>
      </c>
      <c r="AP19" s="354">
        <f>CHOOSE(Table1[[#This Row],[Mode Digit]],0,SQRT((Fsw*(Table1[[#This Row],[t1_Ph_II]]+0))*((Table1[[#This Row],[I_0]]*Table1[[#This Row],[I_1]]+((Table1[[#This Row],[I_0]]-Table1[[#This Row],[I_1]])^2)/3))),SQRT((Fsw*(Table1[[#This Row],[t2_Ph_I]]+0))*((Table1[[#This Row],[I_1]]*Table1[[#This Row],[I_2]]+((Table1[[#This Row],[I_1]]-Table1[[#This Row],[I_2]])^2)/3))))</f>
        <v>0</v>
      </c>
      <c r="AQ19" s="354">
        <f>Rdson4*Table1[[#This Row],[Irms BoCtlr]]^2</f>
        <v>0</v>
      </c>
      <c r="AR19" s="354">
        <f>CHOOSE(Table1[[#This Row],[Mode Digit]], 0, (Vout*Table1[[#This Row],[Iin]]/2)*(Fsw)*(Tr_boost+Tf_boost), (Vout*Iout/2)*(Fsw/1)*(Tr_boost+Tf_boost))</f>
        <v>0</v>
      </c>
      <c r="AS19">
        <f>IF(Table1[[#This Row],[Vin]]&gt;Vout, 0, IF(Table1[[#This Row],[Iin]]&gt;Table1[[#This Row],[Ripple Current pk-pk]]/2,0,ABS(Table1[[#This Row],[Iin]]-Table1[[#This Row],[Ripple Current pk-pk]]/2)*Vsd_Q4*Deadtime*Fsw))</f>
        <v>0</v>
      </c>
      <c r="AT19" s="354">
        <f>(Table1[[#This Row],[Dead Time Loss BoCtlr]]+Table1[[#This Row],[Transition Loss BoCtlr]]+Table1[[#This Row],[RDS(on) Loss BoCtlr]]*(1+RdsonTopTc*Ta-RdsonTopTc*25))/(1-Table1[[#This Row],[RDS(on) Loss BoCtlr]]*RdsonTopTc*ThetaJA_Q4)</f>
        <v>0</v>
      </c>
      <c r="AU1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12.026041816674454</v>
      </c>
      <c r="AV19" s="354">
        <f>Rdson3*Table1[[#This Row],[Irms BoSync]]^2</f>
        <v>0.60742786346089095</v>
      </c>
      <c r="AW1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 s="354">
        <f>(Table1[[#This Row],[Deadtime Loss BoSync]]+Table1[[#This Row],[RDS(on) Loss BoSync]]*(1+RdsonBotTc*Ta-RdsonBotTc*25))/(1-Table1[[#This Row],[RDS(on) Loss BoSync]]*RdsonBotTc*ThetaJA_Q3)</f>
        <v>0.71109289683160382</v>
      </c>
      <c r="AY19" s="354">
        <f>CHOOSE(Table1[[#This Row],[Mode Digit]], Rdson3*Table1[[#This Row],[Irms Lf]]^2, Rdson1*Table1[[#This Row],[Irms Lf]]^2, 0)</f>
        <v>0.60742786346089095</v>
      </c>
      <c r="AZ19" s="354">
        <f>CHOOSE(Table1[[#This Row],[Mode Digit]], 2*Deadtime*Fsw*IF(VfdSky_Q2&gt;0,VfdSky_Q2,0)*Table1[[#This Row],[Iout]], 2*Deadtime*Fsw*IF(VfdSky_Q3&gt;0,VfdSky_Q3,0)*Table1[[#This Row],[Iin]], 2*Deadtime*Fsw*IF(VfdSky_Q2&gt;0,VfdSky_Q2,0)*Table1[[#This Row],[Iout]]+2*Deadtime*Fsw*IF(VfdSky_Q3&gt;0,VfdSky_Q3,0)*Table1[[#This Row],[Iin]])</f>
        <v>0</v>
      </c>
      <c r="BA19" s="354">
        <f>CHOOSE(Table1[[#This Row],[Mode Digit]], IF(QrrSky_Q2&gt;0,QrrSky_Q2,Qrr_Q2)*Fsw*(Table1[[#This Row],[Vin]]-Table1[[#This Row],[Iout]]*Rdson1),0,  IF(QrrSky_Q2&gt;0,QrrSky_Q2,Qrr_Q2)*Fsw*(Table1[[#This Row],[Vin]]-Table1[[#This Row],[Iout]]*Rdson1)+IF(QrrSky_Q3&gt;0,QrrSky_Q3,Qrr_Q3)*Fsw*Vout)</f>
        <v>0.24779519999999999</v>
      </c>
      <c r="BB19" s="354">
        <f>CHOOSE(Table1[[#This Row],[Mode Digit]],0, IF(QrrSky_Q3&gt;0,QrrSky_Q3,Qrr_Q3)*Fsw*Vout,  IF(QrrSky_Q2&gt;0,QrrSky_Q2,Qrr_Q2)*Fsw*(Table1[[#This Row],[Vin]]-Table1[[#This Row],[Iout]]*Rdson1)+IF(QrrSky_Q3&gt;0,QrrSky_Q3,Qrr_Q3)*Fsw*Vout)</f>
        <v>0</v>
      </c>
      <c r="BC19" s="354">
        <f>CHOOSE(Table1[[#This Row],[Mode Digit]], Rs*Table1[[#This Row],[Irms BuSync]]^2, Rs*Table1[[#This Row],[Irms BoCtlr]]^2, Rs*(Table1[[#This Row],[Irms BuSync]]^2+Table1[[#This Row],[Irms BoCtlr]]^2))</f>
        <v>0.10430072081800383</v>
      </c>
      <c r="BD19" s="354">
        <f t="shared" si="1"/>
        <v>1.44</v>
      </c>
      <c r="BE19" s="354">
        <f>IF(Vout&gt;8, Iq*Vout, Iq*Table1[[#This Row],[Vin]])</f>
        <v>4.3799999999999999E-2</v>
      </c>
      <c r="BF19" s="354">
        <f>CHOOSE(Table1[[#This Row],[Mode Digit]], (Qg_Q1+Qg_Q2)*Fsw, (Qg_Q3+Qg_Q4)*Fsw, (Qg_Q1+Qg_Q2+Qg_Q3+Qg_Q4)*Fsw)*IF(Vout&gt;8, Vout, Table1[[#This Row],[Vin]])</f>
        <v>0.47303999999999996</v>
      </c>
      <c r="BG19" s="354">
        <f t="shared" si="2"/>
        <v>0.57269042016806726</v>
      </c>
      <c r="BH19" s="354">
        <f>Table1[[#This Row],[IQ Loss]]+Table1[[#This Row],[Switching Current Loss]]</f>
        <v>0.51683999999999997</v>
      </c>
      <c r="BI1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8.3257447047047055</v>
      </c>
      <c r="BJ19">
        <f>Vout*Table1[[#This Row],[Iout]]</f>
        <v>175.2</v>
      </c>
      <c r="BK19" s="550">
        <f>Table1[[#This Row],[Pout]]/(Table1[[#This Row],[Pout]]+Table1[[#This Row],[Total Loss]])</f>
        <v>0.95463445895233423</v>
      </c>
      <c r="BL1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193.83157730856266</v>
      </c>
      <c r="BM19" s="559">
        <f>IF(Table1[[#This Row],[Vin]]&gt;Vout, Table1[[#This Row],[Total Sync Bu MOSFET Loss]]*ThetaJA_Q2, ThetaJA_Q3*Table1[[#This Row],[Total Sync Bo MOSFET Loss]])</f>
        <v>47.138148454636259</v>
      </c>
      <c r="BN19" s="9"/>
      <c r="BO19" s="4">
        <f>Table1[[#This Row],[EFF, h]]*100</f>
        <v>95.46344589523342</v>
      </c>
      <c r="BP19" s="354">
        <f>Table1[[#This Row],[Total Inductor Loss]]</f>
        <v>1.2270549766372592</v>
      </c>
      <c r="BQ19" s="354">
        <f>Table1[[#This Row],[Total Control Bu MOSFET Loss]]+Table1[[#This Row],[Total Sync Bu MOSFET Loss]]+Table1[[#This Row],[Total Control Bo MOSFET Loss]]+Table1[[#This Row],[Total Sync Bo MOSFET Loss]]+Table1[[#This Row],[Reverse Recovery Loss MOSFET D BUCK]]+Table1[[#This Row],[Reverse Recovery Loss MOSFET D BOOST]]</f>
        <v>4.9750501928849182</v>
      </c>
      <c r="BR19" s="354">
        <f>Table1[[#This Row],[Total Control Bu MOSFET Loss]]+Table1[[#This Row],[Reverse Recovery Loss MOSFET D BUCK]]*0.66</f>
        <v>3.3940711204760441</v>
      </c>
      <c r="BS19" s="354">
        <f>Table1[[#This Row],[Total Sync Bu MOSFET Loss]]+Table1[[#This Row],[Reverse Recovery Loss MOSFET D BUCK]]*0.33</f>
        <v>0.86740822357727099</v>
      </c>
      <c r="BT19" s="354">
        <f xml:space="preserve"> Table1[[#This Row],[Total Control Bo MOSFET Loss]]+Table1[[#This Row],[Reverse Recovery Loss MOSFET D BOOST]]*0.66</f>
        <v>0</v>
      </c>
      <c r="BU19" s="354">
        <f xml:space="preserve"> Table1[[#This Row],[Total Sync Bo MOSFET Loss]]+Table1[[#This Row],[Reverse Recovery Loss MOSFET D BOOST]]*0.33</f>
        <v>0.71109289683160382</v>
      </c>
      <c r="BV19" s="354">
        <f>Table1[[#This Row],[Isense Shunt Loss]]</f>
        <v>0.10430072081800383</v>
      </c>
      <c r="BZ19" t="s">
        <v>144</v>
      </c>
      <c r="CB19" s="18"/>
      <c r="CC19" s="19"/>
    </row>
    <row r="20" spans="1:92" x14ac:dyDescent="0.2">
      <c r="A20" s="35" t="s">
        <v>86</v>
      </c>
      <c r="B20" s="39">
        <f>Ltc*1000000</f>
        <v>4000</v>
      </c>
      <c r="C20" s="441" t="s">
        <v>85</v>
      </c>
      <c r="D20" s="21" t="s">
        <v>99</v>
      </c>
      <c r="G20">
        <v>11</v>
      </c>
      <c r="H20" s="555">
        <f>VIN_min+(VIN_max-VIN_min)*(Table1[[#This Row],[Step]]/200)</f>
        <v>20.77</v>
      </c>
      <c r="I20" s="4" t="str">
        <f>IF(Mode = 2,IF(Table1[[#This Row],[Vin]]&gt;Vout, "BUCK","BOOST"),IF(Table1[[#This Row],[Vin]]&gt;VIN_BB_to_buck, "BUCK", IF(Table1[[#This Row],[Vin]]&lt;=VIN_boost_to_BB,"BOOST","BUCK-BST")))</f>
        <v>BUCK</v>
      </c>
      <c r="J20">
        <f>IF(Table1[[#This Row],[Mode]]="BOOST",2, IF(Table1[[#This Row],[Mode]]="BUCK", 1,3))</f>
        <v>1</v>
      </c>
      <c r="K20">
        <f t="shared" si="0"/>
        <v>12</v>
      </c>
      <c r="L20" s="4">
        <f>Vout*Table1[[#This Row],[Iout]]/(Table1[[#This Row],[Vin]]*Efficiency)</f>
        <v>8.879203304361047</v>
      </c>
      <c r="M20" s="711">
        <f>MIN(1/Fsw,CHOOSE(Table1[[#This Row],[Mode Digit]],(Vout+(Rdson2+Rs+Rdcr)*Table1[[#This Row],[Iout]])/(Table1[[#This Row],[Vin]]+(Rs+Rdson2-Rdson1)*Table1[[#This Row],[Iout]])/Fsw,(Vout+(Rdson3+Rdcr)*Table1[[#This Row],[Iin]]-Table1[[#This Row],[Vin]])/(Vout+(Rdson3-Rdson4-Rs)*Table1[[#This Row],[Iin]])/Fsw,t1_Ph_II))</f>
        <v>1.1818910256410254E-6</v>
      </c>
      <c r="N20" s="602">
        <f>CHOOSE(Table1[[#This Row],[Mode Digit]],1/Fsw-Table1[[#This Row],[t1_Ph_II]],1/Fsw-Table1[[#This Row],[t1_Ph_II]],(Vout/Fsw-Table1[[#This Row],[Vin]]*t1_Ph_II)/(Table1[[#This Row],[Vin]]+Vout))</f>
        <v>4.8477564102564122E-7</v>
      </c>
      <c r="O20" s="602">
        <f>1/Fsw-(Table1[[#This Row],[t1_Ph_II]]+Table1[[#This Row],[t2_Ph_I]])</f>
        <v>0</v>
      </c>
      <c r="P2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10.618888706779332</v>
      </c>
      <c r="Q20" s="4">
        <f>CHOOSE(Table1[[#This Row],[Mode Digit]],Table1[[#This Row],[I_0]]+1/Lf*(Table1[[#This Row],[Vin]]-Vout)*Table1[[#This Row],[t1_Ph_II]],Table1[[#This Row],[I_0]]+1/Lf*Table1[[#This Row],[Vin]]*Table1[[#This Row],[t1_Ph_II]],Table1[[#This Row],[I_0]]+(Table1[[#This Row],[Vin]]-Vout)/L*Table1[[#This Row],[t1_Ph_II]])</f>
        <v>13.381111293220668</v>
      </c>
      <c r="R20" s="4">
        <f>CHOOSE(Table1[[#This Row],[Mode Digit]],0,0,Table1[[#This Row],[I_1]]+Table1[[#This Row],[Vin]]/L*Table1[[#This Row],[t2_Ph_I]])</f>
        <v>0</v>
      </c>
      <c r="S20" s="4">
        <f>Fsw*(Table1[[#This Row],[I_0]]*Table1[[#This Row],[t1_Ph_II]]+Table1[[#This Row],[I_1]]*Table1[[#This Row],[t2_Ph_I]]+Table1[[#This Row],[I_2]]*Table1[[#This Row],[t3_Ph_III]])</f>
        <v>11.422323641777893</v>
      </c>
      <c r="T20" s="354">
        <f>MIN(1,CHOOSE(Table1[[#This Row],[Mode Digit]],(Vout+(Rdson2+Rs+Rdcr)*Table1[[#This Row],[Iout]])/(Table1[[#This Row],[Vin]]+(Rs+Rdson2-Rdson1)*Table1[[#This Row],[Iout]]),1,Fsw*Table1[[#This Row],[t2_Ph_I]]+Table1[[#This Row],[t1_Ph_II]]))</f>
        <v>0.70913461538461531</v>
      </c>
      <c r="U20" s="354">
        <f>MIN(1,CHOOSE(Table1[[#This Row],[Mode Digit]],0,(Vout+(Rdson3+Rdcr)*Table1[[#This Row],[Iin]]-Table1[[#This Row],[Vin]])/(Vout+(Rdson3-Rdson4-Rs)*Table1[[#This Row],[Iin]]),Fsw*Table1[[#This Row],[t1_Ph_II]]+Table1[[#This Row],[t3_Ph_III]]))</f>
        <v>0</v>
      </c>
      <c r="V20" s="4">
        <f>MAX(Table1[[#This Row],[I_0]:[I_2]])-MIN(Table1[[#This Row],[I_0]:[I_1]])</f>
        <v>2.7622225864413359</v>
      </c>
      <c r="W2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12.026463436996785</v>
      </c>
      <c r="X20" s="354">
        <f>(Table1[[#This Row],[Irms Lf]]^2*Rdcr*(1+Ltc*Ta-Ltc*25))/(1-Table1[[#This Row],[Irms Lf]]^2*Rdcr*Ltc*ThetaCa)</f>
        <v>0.89923644917399836</v>
      </c>
      <c r="Y20" s="354">
        <f>ABS(7.759*10^-3*Fsw^0.9458*(0.00787*Table1[[#This Row],[Ripple Current pk-pk]])^2.304)</f>
        <v>0.33401576741426192</v>
      </c>
      <c r="Z20" s="354">
        <f>Table1[[#This Row],[DCR    Loss]]+Table1[[#This Row],[Core Loss]]</f>
        <v>1.2332522165882602</v>
      </c>
      <c r="AA20" s="4">
        <f>IF(Table1[[#This Row],[Vin]]&gt;Vout, Table1[[#This Row],[Ripple Current pk-pk]]/SQRT(12), SQRT(Table1[[#This Row],[Duty Cycle BOOST Leg]]/(1-Table1[[#This Row],[Duty Cycle BOOST Leg]]))*SQRT(Table1[[#This Row],[Iout]]^2+(Table1[[#This Row],[Ripple Current pk-pk]]^2)/12))</f>
        <v>0.79738497692178489</v>
      </c>
      <c r="AB20" s="354">
        <f>RCoutEsr*Table1[[#This Row],[Irms Cout]]^2</f>
        <v>3.1791140071027774E-3</v>
      </c>
      <c r="AC20" s="354">
        <f>Table1[[#This Row],[Cout ESR Loss]]</f>
        <v>3.1791140071027774E-3</v>
      </c>
      <c r="AD20" s="354">
        <f>IF(Table1[[#This Row],[Vin]]&gt;Vout, SQRT(Table1[[#This Row],[Duty Cycle BUCK Leg]]*(1-Table1[[#This Row],[Duty Cycle BUCK Leg]]))*SQRT(Table1[[#This Row],[Iout]]^2+(Table1[[#This Row],[Ripple Current pk-pk]]^2)/12), Table1[[#This Row],[Ripple Current pk-pk]]/SQRT(12))</f>
        <v>5.46195726430427</v>
      </c>
      <c r="AE20" s="354">
        <f>RCinEsr*Table1[[#This Row],[Irms Cin]]^2</f>
        <v>5.9665954314172369E-2</v>
      </c>
      <c r="AF20" s="549">
        <f>Table1[[#This Row],[Cin ESR Loss]]</f>
        <v>5.9665954314172369E-2</v>
      </c>
      <c r="AG2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10.12750060839903</v>
      </c>
      <c r="AH20" s="354">
        <f>Rdson1*Table1[[#This Row],[Irms BuCtrl]]^2</f>
        <v>0.43077832800711552</v>
      </c>
      <c r="AI20" s="354">
        <f>CHOOSE(Table1[[#This Row],[Mode Digit]], (Table1[[#This Row],[Vin]]*Table1[[#This Row],[Iout]]/2)*(Fsw)*(Tr_buck+Tf_buck), 0, (Table1[[#This Row],[Vin]]*Table1[[#This Row],[Avg IL]]/2)*(Fsw/1)*(Tr_buck+Tf_buck))</f>
        <v>2.4715552968276424</v>
      </c>
      <c r="AJ20">
        <f>IF(Table1[[#This Row],[Vin]]&gt;Vout, IF(Table1[[#This Row],[Iout]]&gt;Table1[[#This Row],[Ripple Current pk-pk]]/2,0,ABS(Table1[[#This Row],[Iout]]-Table1[[#This Row],[Ripple Current pk-pk]]/2)*Vsd_Q1*Deadtime*Fsw),0)</f>
        <v>0</v>
      </c>
      <c r="AK20" s="354">
        <f>(Table1[[#This Row],[Dead Time Loss BuCtrl]]+Table1[[#This Row],[Transition Loss BuCtrl]]+Table1[[#This Row],[RDS(on) Loss BuCtrl]]*(1+RdsonTopTc*Ta-RdsonTopTc*25))/(1-Table1[[#This Row],[RDS(on) Loss BuCtrl]]*RdsonTopTc*ThetaJA_Q1)</f>
        <v>3.2369963108918434</v>
      </c>
      <c r="AL20" s="354">
        <f>CHOOSE(Table1[[#This Row],[Mode Digit]],SQRT((Fsw*(Table1[[#This Row],[t2_Ph_I]]+0))*((Table1[[#This Row],[I_0]]*Table1[[#This Row],[I_1]]+((Table1[[#This Row],[I_0]]-Table1[[#This Row],[I_1]])^2)/3))),0,SQRT((Fsw*(Table1[[#This Row],[t3_Ph_III]]+0))*((Table1[[#This Row],[I_0]]*Table1[[#This Row],[I_2]]+((Table1[[#This Row],[I_0]]-Table1[[#This Row],[I_2]])^2)/3))))</f>
        <v>6.4861047037723516</v>
      </c>
      <c r="AM20" s="354">
        <f>Rdson2*Table1[[#This Row],[Irms BuSync]]^2</f>
        <v>0.1766921277588509</v>
      </c>
      <c r="AN2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 s="354">
        <f>(Table1[[#This Row],[Deadtime Loss BuSync]]+Table1[[#This Row],[RDS(on) Loss BuSync]]*(1+RdsonBotTc*Ta-RdsonBotTc*25))/(1-Table1[[#This Row],[RDS(on) Loss BuSync]]*RdsonBotTc*ThetaJA_Q2)</f>
        <v>0.78745652486533035</v>
      </c>
      <c r="AP20" s="354">
        <f>CHOOSE(Table1[[#This Row],[Mode Digit]],0,SQRT((Fsw*(Table1[[#This Row],[t1_Ph_II]]+0))*((Table1[[#This Row],[I_0]]*Table1[[#This Row],[I_1]]+((Table1[[#This Row],[I_0]]-Table1[[#This Row],[I_1]])^2)/3))),SQRT((Fsw*(Table1[[#This Row],[t2_Ph_I]]+0))*((Table1[[#This Row],[I_1]]*Table1[[#This Row],[I_2]]+((Table1[[#This Row],[I_1]]-Table1[[#This Row],[I_2]])^2)/3))))</f>
        <v>0</v>
      </c>
      <c r="AQ20" s="354">
        <f>Rdson4*Table1[[#This Row],[Irms BoCtlr]]^2</f>
        <v>0</v>
      </c>
      <c r="AR20" s="354">
        <f>CHOOSE(Table1[[#This Row],[Mode Digit]], 0, (Vout*Table1[[#This Row],[Iin]]/2)*(Fsw)*(Tr_boost+Tf_boost), (Vout*Iout/2)*(Fsw/1)*(Tr_boost+Tf_boost))</f>
        <v>0</v>
      </c>
      <c r="AS20">
        <f>IF(Table1[[#This Row],[Vin]]&gt;Vout, 0, IF(Table1[[#This Row],[Iin]]&gt;Table1[[#This Row],[Ripple Current pk-pk]]/2,0,ABS(Table1[[#This Row],[Iin]]-Table1[[#This Row],[Ripple Current pk-pk]]/2)*Vsd_Q4*Deadtime*Fsw))</f>
        <v>0</v>
      </c>
      <c r="AT20" s="354">
        <f>(Table1[[#This Row],[Dead Time Loss BoCtlr]]+Table1[[#This Row],[Transition Loss BoCtlr]]+Table1[[#This Row],[RDS(on) Loss BoCtlr]]*(1+RdsonTopTc*Ta-RdsonTopTc*25))/(1-Table1[[#This Row],[RDS(on) Loss BoCtlr]]*RdsonTopTc*ThetaJA_Q4)</f>
        <v>0</v>
      </c>
      <c r="AU2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12.026463436996785</v>
      </c>
      <c r="AV20" s="354">
        <f>Rdson3*Table1[[#This Row],[Irms BoSync]]^2</f>
        <v>0.60747045576596626</v>
      </c>
      <c r="AW2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 s="354">
        <f>(Table1[[#This Row],[Deadtime Loss BoSync]]+Table1[[#This Row],[RDS(on) Loss BoSync]]*(1+RdsonBotTc*Ta-RdsonBotTc*25))/(1-Table1[[#This Row],[RDS(on) Loss BoSync]]*RdsonBotTc*ThetaJA_Q3)</f>
        <v>0.7111512681635288</v>
      </c>
      <c r="AY20" s="354">
        <f>CHOOSE(Table1[[#This Row],[Mode Digit]], Rdson3*Table1[[#This Row],[Irms Lf]]^2, Rdson1*Table1[[#This Row],[Irms Lf]]^2, 0)</f>
        <v>0.60747045576596626</v>
      </c>
      <c r="AZ20" s="354">
        <f>CHOOSE(Table1[[#This Row],[Mode Digit]], 2*Deadtime*Fsw*IF(VfdSky_Q2&gt;0,VfdSky_Q2,0)*Table1[[#This Row],[Iout]], 2*Deadtime*Fsw*IF(VfdSky_Q3&gt;0,VfdSky_Q3,0)*Table1[[#This Row],[Iin]], 2*Deadtime*Fsw*IF(VfdSky_Q2&gt;0,VfdSky_Q2,0)*Table1[[#This Row],[Iout]]+2*Deadtime*Fsw*IF(VfdSky_Q3&gt;0,VfdSky_Q3,0)*Table1[[#This Row],[Iin]])</f>
        <v>0</v>
      </c>
      <c r="BA20" s="354">
        <f>CHOOSE(Table1[[#This Row],[Mode Digit]], IF(QrrSky_Q2&gt;0,QrrSky_Q2,Qrr_Q2)*Fsw*(Table1[[#This Row],[Vin]]-Table1[[#This Row],[Iout]]*Rdson1),0,  IF(QrrSky_Q2&gt;0,QrrSky_Q2,Qrr_Q2)*Fsw*(Table1[[#This Row],[Vin]]-Table1[[#This Row],[Iout]]*Rdson1)+IF(QrrSky_Q3&gt;0,QrrSky_Q3,Qrr_Q3)*Fsw*Vout)</f>
        <v>0.2486352</v>
      </c>
      <c r="BB20" s="354">
        <f>CHOOSE(Table1[[#This Row],[Mode Digit]],0, IF(QrrSky_Q3&gt;0,QrrSky_Q3,Qrr_Q3)*Fsw*Vout,  IF(QrrSky_Q2&gt;0,QrrSky_Q2,Qrr_Q2)*Fsw*(Table1[[#This Row],[Vin]]-Table1[[#This Row],[Iout]]*Rdson1)+IF(QrrSky_Q3&gt;0,QrrSky_Q3,Qrr_Q3)*Fsw*Vout)</f>
        <v>0</v>
      </c>
      <c r="BC20" s="354">
        <f>CHOOSE(Table1[[#This Row],[Mode Digit]], Rs*Table1[[#This Row],[Irms BuSync]]^2, Rs*Table1[[#This Row],[Irms BoCtlr]]^2, Rs*(Table1[[#This Row],[Irms BuSync]]^2+Table1[[#This Row],[Irms BoCtlr]]^2))</f>
        <v>0.10517388557074457</v>
      </c>
      <c r="BD20" s="354">
        <f t="shared" si="1"/>
        <v>1.44</v>
      </c>
      <c r="BE20" s="354">
        <f>IF(Vout&gt;8, Iq*Vout, Iq*Table1[[#This Row],[Vin]])</f>
        <v>4.3799999999999999E-2</v>
      </c>
      <c r="BF20" s="354">
        <f>CHOOSE(Table1[[#This Row],[Mode Digit]], (Qg_Q1+Qg_Q2)*Fsw, (Qg_Q3+Qg_Q4)*Fsw, (Qg_Q1+Qg_Q2+Qg_Q3+Qg_Q4)*Fsw)*IF(Vout&gt;8, Vout, Table1[[#This Row],[Vin]])</f>
        <v>0.47303999999999996</v>
      </c>
      <c r="BG20" s="354">
        <f t="shared" si="2"/>
        <v>0.57269042016806726</v>
      </c>
      <c r="BH20" s="354">
        <f>Table1[[#This Row],[IQ Loss]]+Table1[[#This Row],[Switching Current Loss]]</f>
        <v>0.51683999999999997</v>
      </c>
      <c r="BI2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8.3423504744009822</v>
      </c>
      <c r="BJ20">
        <f>Vout*Table1[[#This Row],[Iout]]</f>
        <v>175.2</v>
      </c>
      <c r="BK20" s="550">
        <f>Table1[[#This Row],[Pout]]/(Table1[[#This Row],[Pout]]+Table1[[#This Row],[Total Loss]])</f>
        <v>0.95454808956712967</v>
      </c>
      <c r="BL2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194.21977865351062</v>
      </c>
      <c r="BM20" s="559">
        <f>IF(Table1[[#This Row],[Vin]]&gt;Vout, Table1[[#This Row],[Total Sync Bu MOSFET Loss]]*ThetaJA_Q2, ThetaJA_Q3*Table1[[#This Row],[Total Sync Bo MOSFET Loss]])</f>
        <v>47.247391491919821</v>
      </c>
      <c r="BN20" s="9"/>
      <c r="BO20" s="4">
        <f>Table1[[#This Row],[EFF, h]]*100</f>
        <v>95.454808956712967</v>
      </c>
      <c r="BP20" s="354">
        <f>Table1[[#This Row],[Total Inductor Loss]]</f>
        <v>1.2332522165882602</v>
      </c>
      <c r="BQ20" s="354">
        <f>Table1[[#This Row],[Total Control Bu MOSFET Loss]]+Table1[[#This Row],[Total Sync Bu MOSFET Loss]]+Table1[[#This Row],[Total Control Bo MOSFET Loss]]+Table1[[#This Row],[Total Sync Bo MOSFET Loss]]+Table1[[#This Row],[Reverse Recovery Loss MOSFET D BUCK]]+Table1[[#This Row],[Reverse Recovery Loss MOSFET D BOOST]]</f>
        <v>4.9842393039207025</v>
      </c>
      <c r="BR20" s="354">
        <f>Table1[[#This Row],[Total Control Bu MOSFET Loss]]+Table1[[#This Row],[Reverse Recovery Loss MOSFET D BUCK]]*0.66</f>
        <v>3.4010955428918432</v>
      </c>
      <c r="BS20" s="354">
        <f>Table1[[#This Row],[Total Sync Bu MOSFET Loss]]+Table1[[#This Row],[Reverse Recovery Loss MOSFET D BUCK]]*0.33</f>
        <v>0.8695061408653304</v>
      </c>
      <c r="BT20" s="354">
        <f xml:space="preserve"> Table1[[#This Row],[Total Control Bo MOSFET Loss]]+Table1[[#This Row],[Reverse Recovery Loss MOSFET D BOOST]]*0.66</f>
        <v>0</v>
      </c>
      <c r="BU20" s="354">
        <f xml:space="preserve"> Table1[[#This Row],[Total Sync Bo MOSFET Loss]]+Table1[[#This Row],[Reverse Recovery Loss MOSFET D BOOST]]*0.33</f>
        <v>0.7111512681635288</v>
      </c>
      <c r="BV20" s="354">
        <f>Table1[[#This Row],[Isense Shunt Loss]]</f>
        <v>0.10517388557074457</v>
      </c>
      <c r="CB20" s="18"/>
      <c r="CC20" s="19"/>
    </row>
    <row r="21" spans="1:92" x14ac:dyDescent="0.2">
      <c r="A21" s="25" t="s">
        <v>157</v>
      </c>
      <c r="B21" s="39">
        <f>ThetaCa</f>
        <v>20</v>
      </c>
      <c r="C21" s="441" t="s">
        <v>237</v>
      </c>
      <c r="D21" s="26" t="s">
        <v>158</v>
      </c>
      <c r="G21">
        <v>12</v>
      </c>
      <c r="H21" s="555">
        <f>VIN_min+(VIN_max-VIN_min)*(Table1[[#This Row],[Step]]/200)</f>
        <v>20.84</v>
      </c>
      <c r="I21" s="4" t="str">
        <f>IF(Mode = 2,IF(Table1[[#This Row],[Vin]]&gt;Vout, "BUCK","BOOST"),IF(Table1[[#This Row],[Vin]]&gt;VIN_BB_to_buck, "BUCK", IF(Table1[[#This Row],[Vin]]&lt;=VIN_boost_to_BB,"BOOST","BUCK-BST")))</f>
        <v>BUCK</v>
      </c>
      <c r="J21">
        <f>IF(Table1[[#This Row],[Mode]]="BOOST",2, IF(Table1[[#This Row],[Mode]]="BUCK", 1,3))</f>
        <v>1</v>
      </c>
      <c r="K21">
        <f t="shared" si="0"/>
        <v>12</v>
      </c>
      <c r="L21" s="4">
        <f>Vout*Table1[[#This Row],[Iout]]/(Table1[[#This Row],[Vin]]*Efficiency)</f>
        <v>8.8493787251237492</v>
      </c>
      <c r="M21" s="711">
        <f>MIN(1/Fsw,CHOOSE(Table1[[#This Row],[Mode Digit]],(Vout+(Rdson2+Rs+Rdcr)*Table1[[#This Row],[Iout]])/(Table1[[#This Row],[Vin]]+(Rs+Rdson2-Rdson1)*Table1[[#This Row],[Iout]])/Fsw,(Vout+(Rdson3+Rdcr)*Table1[[#This Row],[Iin]]-Table1[[#This Row],[Vin]])/(Vout+(Rdson3-Rdson4-Rs)*Table1[[#This Row],[Iin]])/Fsw,t1_Ph_II))</f>
        <v>1.1779268487462066E-6</v>
      </c>
      <c r="N21" s="602">
        <f>CHOOSE(Table1[[#This Row],[Mode Digit]],1/Fsw-Table1[[#This Row],[t1_Ph_II]],1/Fsw-Table1[[#This Row],[t1_Ph_II]],(Vout/Fsw-Table1[[#This Row],[Vin]]*t1_Ph_II)/(Table1[[#This Row],[Vin]]+Vout))</f>
        <v>4.8873981792046011E-7</v>
      </c>
      <c r="O21" s="602">
        <f>1/Fsw-(Table1[[#This Row],[t1_Ph_II]]+Table1[[#This Row],[t2_Ph_I]])</f>
        <v>0</v>
      </c>
      <c r="P2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10.607904633299938</v>
      </c>
      <c r="Q21" s="4">
        <f>CHOOSE(Table1[[#This Row],[Mode Digit]],Table1[[#This Row],[I_0]]+1/Lf*(Table1[[#This Row],[Vin]]-Vout)*Table1[[#This Row],[t1_Ph_II]],Table1[[#This Row],[I_0]]+1/Lf*Table1[[#This Row],[Vin]]*Table1[[#This Row],[t1_Ph_II]],Table1[[#This Row],[I_0]]+(Table1[[#This Row],[Vin]]-Vout)/L*Table1[[#This Row],[t1_Ph_II]])</f>
        <v>13.392095366700064</v>
      </c>
      <c r="R21" s="4">
        <f>CHOOSE(Table1[[#This Row],[Mode Digit]],0,0,Table1[[#This Row],[I_1]]+Table1[[#This Row],[Vin]]/L*Table1[[#This Row],[t2_Ph_I]])</f>
        <v>0</v>
      </c>
      <c r="S21" s="4">
        <f>Fsw*(Table1[[#This Row],[I_0]]*Table1[[#This Row],[t1_Ph_II]]+Table1[[#This Row],[I_1]]*Table1[[#This Row],[t2_Ph_I]]+Table1[[#This Row],[I_2]]*Table1[[#This Row],[t3_Ph_III]])</f>
        <v>11.424351556558625</v>
      </c>
      <c r="T21" s="354">
        <f>MIN(1,CHOOSE(Table1[[#This Row],[Mode Digit]],(Vout+(Rdson2+Rs+Rdcr)*Table1[[#This Row],[Iout]])/(Table1[[#This Row],[Vin]]+(Rs+Rdson2-Rdson1)*Table1[[#This Row],[Iout]]),1,Fsw*Table1[[#This Row],[t2_Ph_I]]+Table1[[#This Row],[t1_Ph_II]]))</f>
        <v>0.70675610924772392</v>
      </c>
      <c r="U21" s="354">
        <f>MIN(1,CHOOSE(Table1[[#This Row],[Mode Digit]],0,(Vout+(Rdson3+Rdcr)*Table1[[#This Row],[Iin]]-Table1[[#This Row],[Vin]])/(Vout+(Rdson3-Rdson4-Rs)*Table1[[#This Row],[Iin]]),Fsw*Table1[[#This Row],[t1_Ph_II]]+Table1[[#This Row],[t3_Ph_III]]))</f>
        <v>0</v>
      </c>
      <c r="V21" s="4">
        <f>MAX(Table1[[#This Row],[I_0]:[I_2]])-MIN(Table1[[#This Row],[I_0]:[I_1]])</f>
        <v>2.7841907334001252</v>
      </c>
      <c r="W2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12.02688556956161</v>
      </c>
      <c r="X21" s="354">
        <f>(Table1[[#This Row],[Irms Lf]]^2*Rdcr*(1+Ltc*Ta-Ltc*25))/(1-Table1[[#This Row],[Irms Lf]]^2*Rdcr*Ltc*ThetaCa)</f>
        <v>0.89930411893958162</v>
      </c>
      <c r="Y21" s="354">
        <f>ABS(7.759*10^-3*Fsw^0.9458*(0.00787*Table1[[#This Row],[Ripple Current pk-pk]])^2.304)</f>
        <v>0.34016799186917956</v>
      </c>
      <c r="Z21" s="354">
        <f>Table1[[#This Row],[DCR    Loss]]+Table1[[#This Row],[Core Loss]]</f>
        <v>1.2394721108087612</v>
      </c>
      <c r="AA21" s="4">
        <f>IF(Table1[[#This Row],[Vin]]&gt;Vout, Table1[[#This Row],[Ripple Current pk-pk]]/SQRT(12), SQRT(Table1[[#This Row],[Duty Cycle BOOST Leg]]/(1-Table1[[#This Row],[Duty Cycle BOOST Leg]]))*SQRT(Table1[[#This Row],[Iout]]^2+(Table1[[#This Row],[Ripple Current pk-pk]]^2)/12))</f>
        <v>0.80372663470191197</v>
      </c>
      <c r="AB21" s="354">
        <f>RCoutEsr*Table1[[#This Row],[Irms Cout]]^2</f>
        <v>3.2298825166463029E-3</v>
      </c>
      <c r="AC21" s="354">
        <f>Table1[[#This Row],[Cout ESR Loss]]</f>
        <v>3.2298825166463029E-3</v>
      </c>
      <c r="AD21" s="354">
        <f>IF(Table1[[#This Row],[Vin]]&gt;Vout, SQRT(Table1[[#This Row],[Duty Cycle BUCK Leg]]*(1-Table1[[#This Row],[Duty Cycle BUCK Leg]]))*SQRT(Table1[[#This Row],[Iout]]^2+(Table1[[#This Row],[Ripple Current pk-pk]]^2)/12), Table1[[#This Row],[Ripple Current pk-pk]]/SQRT(12))</f>
        <v>5.4752310536215401</v>
      </c>
      <c r="AE21" s="354">
        <f>RCinEsr*Table1[[#This Row],[Irms Cin]]^2</f>
        <v>5.9956310181083286E-2</v>
      </c>
      <c r="AF21" s="549">
        <f>Table1[[#This Row],[Cin ESR Loss]]</f>
        <v>5.9956310181083286E-2</v>
      </c>
      <c r="AG2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10.110856915802474</v>
      </c>
      <c r="AH21" s="354">
        <f>Rdson1*Table1[[#This Row],[Irms BuCtrl]]^2</f>
        <v>0.42936359580168904</v>
      </c>
      <c r="AI21" s="354">
        <f>CHOOSE(Table1[[#This Row],[Mode Digit]], (Table1[[#This Row],[Vin]]*Table1[[#This Row],[Iout]]/2)*(Fsw)*(Tr_buck+Tf_buck), 0, (Table1[[#This Row],[Vin]]*Table1[[#This Row],[Avg IL]]/2)*(Fsw/1)*(Tr_buck+Tf_buck))</f>
        <v>2.4798850450596084</v>
      </c>
      <c r="AJ21">
        <f>IF(Table1[[#This Row],[Vin]]&gt;Vout, IF(Table1[[#This Row],[Iout]]&gt;Table1[[#This Row],[Ripple Current pk-pk]]/2,0,ABS(Table1[[#This Row],[Iout]]-Table1[[#This Row],[Ripple Current pk-pk]]/2)*Vsd_Q1*Deadtime*Fsw),0)</f>
        <v>0</v>
      </c>
      <c r="AK21" s="354">
        <f>(Table1[[#This Row],[Dead Time Loss BuCtrl]]+Table1[[#This Row],[Transition Loss BuCtrl]]+Table1[[#This Row],[RDS(on) Loss BuCtrl]]*(1+RdsonTopTc*Ta-RdsonTopTc*25))/(1-Table1[[#This Row],[RDS(on) Loss BuCtrl]]*RdsonTopTc*ThetaJA_Q1)</f>
        <v>3.2434804207935253</v>
      </c>
      <c r="AL21" s="354">
        <f>CHOOSE(Table1[[#This Row],[Mode Digit]],SQRT((Fsw*(Table1[[#This Row],[t2_Ph_I]]+0))*((Table1[[#This Row],[I_0]]*Table1[[#This Row],[I_1]]+((Table1[[#This Row],[I_0]]-Table1[[#This Row],[I_1]])^2)/3))),0,SQRT((Fsw*(Table1[[#This Row],[t3_Ph_III]]+0))*((Table1[[#This Row],[I_0]]*Table1[[#This Row],[I_2]]+((Table1[[#This Row],[I_0]]-Table1[[#This Row],[I_2]])^2)/3))))</f>
        <v>6.5127988554459888</v>
      </c>
      <c r="AM21" s="354">
        <f>Rdson2*Table1[[#This Row],[Irms BuSync]]^2</f>
        <v>0.17814950551229408</v>
      </c>
      <c r="AN2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1" s="354">
        <f>(Table1[[#This Row],[Deadtime Loss BuSync]]+Table1[[#This Row],[RDS(on) Loss BuSync]]*(1+RdsonBotTc*Ta-RdsonBotTc*25))/(1-Table1[[#This Row],[RDS(on) Loss BuSync]]*RdsonBotTc*ThetaJA_Q2)</f>
        <v>0.78926672866675163</v>
      </c>
      <c r="AP21" s="354">
        <f>CHOOSE(Table1[[#This Row],[Mode Digit]],0,SQRT((Fsw*(Table1[[#This Row],[t1_Ph_II]]+0))*((Table1[[#This Row],[I_0]]*Table1[[#This Row],[I_1]]+((Table1[[#This Row],[I_0]]-Table1[[#This Row],[I_1]])^2)/3))),SQRT((Fsw*(Table1[[#This Row],[t2_Ph_I]]+0))*((Table1[[#This Row],[I_1]]*Table1[[#This Row],[I_2]]+((Table1[[#This Row],[I_1]]-Table1[[#This Row],[I_2]])^2)/3))))</f>
        <v>0</v>
      </c>
      <c r="AQ21" s="354">
        <f>Rdson4*Table1[[#This Row],[Irms BoCtlr]]^2</f>
        <v>0</v>
      </c>
      <c r="AR21" s="354">
        <f>CHOOSE(Table1[[#This Row],[Mode Digit]], 0, (Vout*Table1[[#This Row],[Iin]]/2)*(Fsw)*(Tr_boost+Tf_boost), (Vout*Iout/2)*(Fsw/1)*(Tr_boost+Tf_boost))</f>
        <v>0</v>
      </c>
      <c r="AS21">
        <f>IF(Table1[[#This Row],[Vin]]&gt;Vout, 0, IF(Table1[[#This Row],[Iin]]&gt;Table1[[#This Row],[Ripple Current pk-pk]]/2,0,ABS(Table1[[#This Row],[Iin]]-Table1[[#This Row],[Ripple Current pk-pk]]/2)*Vsd_Q4*Deadtime*Fsw))</f>
        <v>0</v>
      </c>
      <c r="AT21" s="354">
        <f>(Table1[[#This Row],[Dead Time Loss BoCtlr]]+Table1[[#This Row],[Transition Loss BoCtlr]]+Table1[[#This Row],[RDS(on) Loss BoCtlr]]*(1+RdsonTopTc*Ta-RdsonTopTc*25))/(1-Table1[[#This Row],[RDS(on) Loss BoCtlr]]*RdsonTopTc*ThetaJA_Q4)</f>
        <v>0</v>
      </c>
      <c r="AU2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12.02688556956161</v>
      </c>
      <c r="AV21" s="354">
        <f>Rdson3*Table1[[#This Row],[Irms BoSync]]^2</f>
        <v>0.60751310131398317</v>
      </c>
      <c r="AW2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1" s="354">
        <f>(Table1[[#This Row],[Deadtime Loss BoSync]]+Table1[[#This Row],[RDS(on) Loss BoSync]]*(1+RdsonBotTc*Ta-RdsonBotTc*25))/(1-Table1[[#This Row],[RDS(on) Loss BoSync]]*RdsonBotTc*ThetaJA_Q3)</f>
        <v>0.71120971386280474</v>
      </c>
      <c r="AY21" s="354">
        <f>CHOOSE(Table1[[#This Row],[Mode Digit]], Rdson3*Table1[[#This Row],[Irms Lf]]^2, Rdson1*Table1[[#This Row],[Irms Lf]]^2, 0)</f>
        <v>0.60751310131398317</v>
      </c>
      <c r="AZ21" s="354">
        <f>CHOOSE(Table1[[#This Row],[Mode Digit]], 2*Deadtime*Fsw*IF(VfdSky_Q2&gt;0,VfdSky_Q2,0)*Table1[[#This Row],[Iout]], 2*Deadtime*Fsw*IF(VfdSky_Q3&gt;0,VfdSky_Q3,0)*Table1[[#This Row],[Iin]], 2*Deadtime*Fsw*IF(VfdSky_Q2&gt;0,VfdSky_Q2,0)*Table1[[#This Row],[Iout]]+2*Deadtime*Fsw*IF(VfdSky_Q3&gt;0,VfdSky_Q3,0)*Table1[[#This Row],[Iin]])</f>
        <v>0</v>
      </c>
      <c r="BA21" s="354">
        <f>CHOOSE(Table1[[#This Row],[Mode Digit]], IF(QrrSky_Q2&gt;0,QrrSky_Q2,Qrr_Q2)*Fsw*(Table1[[#This Row],[Vin]]-Table1[[#This Row],[Iout]]*Rdson1),0,  IF(QrrSky_Q2&gt;0,QrrSky_Q2,Qrr_Q2)*Fsw*(Table1[[#This Row],[Vin]]-Table1[[#This Row],[Iout]]*Rdson1)+IF(QrrSky_Q3&gt;0,QrrSky_Q3,Qrr_Q3)*Fsw*Vout)</f>
        <v>0.24947520000000001</v>
      </c>
      <c r="BB21" s="354">
        <f>CHOOSE(Table1[[#This Row],[Mode Digit]],0, IF(QrrSky_Q3&gt;0,QrrSky_Q3,Qrr_Q3)*Fsw*Vout,  IF(QrrSky_Q2&gt;0,QrrSky_Q2,Qrr_Q2)*Fsw*(Table1[[#This Row],[Vin]]-Table1[[#This Row],[Iout]]*Rdson1)+IF(QrrSky_Q3&gt;0,QrrSky_Q3,Qrr_Q3)*Fsw*Vout)</f>
        <v>0</v>
      </c>
      <c r="BC21" s="354">
        <f>CHOOSE(Table1[[#This Row],[Mode Digit]], Rs*Table1[[#This Row],[Irms BuSync]]^2, Rs*Table1[[#This Row],[Irms BoCtlr]]^2, Rs*(Table1[[#This Row],[Irms BuSync]]^2+Table1[[#This Row],[Irms BoCtlr]]^2))</f>
        <v>0.10604137232874646</v>
      </c>
      <c r="BD21" s="354">
        <f t="shared" si="1"/>
        <v>1.44</v>
      </c>
      <c r="BE21" s="354">
        <f>IF(Vout&gt;8, Iq*Vout, Iq*Table1[[#This Row],[Vin]])</f>
        <v>4.3799999999999999E-2</v>
      </c>
      <c r="BF21" s="354">
        <f>CHOOSE(Table1[[#This Row],[Mode Digit]], (Qg_Q1+Qg_Q2)*Fsw, (Qg_Q3+Qg_Q4)*Fsw, (Qg_Q1+Qg_Q2+Qg_Q3+Qg_Q4)*Fsw)*IF(Vout&gt;8, Vout, Table1[[#This Row],[Vin]])</f>
        <v>0.47303999999999996</v>
      </c>
      <c r="BG21" s="354">
        <f t="shared" si="2"/>
        <v>0.57269042016806726</v>
      </c>
      <c r="BH21" s="354">
        <f>Table1[[#This Row],[IQ Loss]]+Table1[[#This Row],[Switching Current Loss]]</f>
        <v>0.51683999999999997</v>
      </c>
      <c r="BI2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8.3589717391583189</v>
      </c>
      <c r="BJ21">
        <f>Vout*Table1[[#This Row],[Iout]]</f>
        <v>175.2</v>
      </c>
      <c r="BK21" s="550">
        <f>Table1[[#This Row],[Pout]]/(Table1[[#This Row],[Pout]]+Table1[[#This Row],[Total Loss]])</f>
        <v>0.95446165523831439</v>
      </c>
      <c r="BL2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194.60882524761152</v>
      </c>
      <c r="BM21" s="559">
        <f>IF(Table1[[#This Row],[Vin]]&gt;Vout, Table1[[#This Row],[Total Sync Bu MOSFET Loss]]*ThetaJA_Q2, ThetaJA_Q3*Table1[[#This Row],[Total Sync Bo MOSFET Loss]])</f>
        <v>47.356003720005099</v>
      </c>
      <c r="BN21" s="9"/>
      <c r="BO21" s="4">
        <f>Table1[[#This Row],[EFF, h]]*100</f>
        <v>95.446165523831439</v>
      </c>
      <c r="BP21" s="354">
        <f>Table1[[#This Row],[Total Inductor Loss]]</f>
        <v>1.2394721108087612</v>
      </c>
      <c r="BQ21" s="354">
        <f>Table1[[#This Row],[Total Control Bu MOSFET Loss]]+Table1[[#This Row],[Total Sync Bu MOSFET Loss]]+Table1[[#This Row],[Total Control Bo MOSFET Loss]]+Table1[[#This Row],[Total Sync Bo MOSFET Loss]]+Table1[[#This Row],[Reverse Recovery Loss MOSFET D BUCK]]+Table1[[#This Row],[Reverse Recovery Loss MOSFET D BOOST]]</f>
        <v>4.9934320633230813</v>
      </c>
      <c r="BR21" s="354">
        <f>Table1[[#This Row],[Total Control Bu MOSFET Loss]]+Table1[[#This Row],[Reverse Recovery Loss MOSFET D BUCK]]*0.66</f>
        <v>3.4081340527935251</v>
      </c>
      <c r="BS21" s="354">
        <f>Table1[[#This Row],[Total Sync Bu MOSFET Loss]]+Table1[[#This Row],[Reverse Recovery Loss MOSFET D BUCK]]*0.33</f>
        <v>0.87159354466675165</v>
      </c>
      <c r="BT21" s="354">
        <f xml:space="preserve"> Table1[[#This Row],[Total Control Bo MOSFET Loss]]+Table1[[#This Row],[Reverse Recovery Loss MOSFET D BOOST]]*0.66</f>
        <v>0</v>
      </c>
      <c r="BU21" s="354">
        <f xml:space="preserve"> Table1[[#This Row],[Total Sync Bo MOSFET Loss]]+Table1[[#This Row],[Reverse Recovery Loss MOSFET D BOOST]]*0.33</f>
        <v>0.71120971386280474</v>
      </c>
      <c r="BV21" s="354">
        <f>Table1[[#This Row],[Isense Shunt Loss]]</f>
        <v>0.10604137232874646</v>
      </c>
      <c r="CB21" s="18"/>
      <c r="CC21" s="19"/>
    </row>
    <row r="22" spans="1:92" x14ac:dyDescent="0.2">
      <c r="A22" s="36" t="s">
        <v>61</v>
      </c>
      <c r="B22" s="39">
        <f>Cin*1000000</f>
        <v>100</v>
      </c>
      <c r="C22" s="443" t="s">
        <v>639</v>
      </c>
      <c r="D22" s="440" t="s">
        <v>657</v>
      </c>
      <c r="G22">
        <v>13</v>
      </c>
      <c r="H22" s="555">
        <f>VIN_min+(VIN_max-VIN_min)*(Table1[[#This Row],[Step]]/200)</f>
        <v>20.91</v>
      </c>
      <c r="I22" s="4" t="str">
        <f>IF(Mode = 2,IF(Table1[[#This Row],[Vin]]&gt;Vout, "BUCK","BOOST"),IF(Table1[[#This Row],[Vin]]&gt;VIN_BB_to_buck, "BUCK", IF(Table1[[#This Row],[Vin]]&lt;=VIN_boost_to_BB,"BOOST","BUCK-BST")))</f>
        <v>BUCK</v>
      </c>
      <c r="J22">
        <f>IF(Table1[[#This Row],[Mode]]="BOOST",2, IF(Table1[[#This Row],[Mode]]="BUCK", 1,3))</f>
        <v>1</v>
      </c>
      <c r="K22">
        <f t="shared" si="0"/>
        <v>12</v>
      </c>
      <c r="L22" s="4">
        <f>Vout*Table1[[#This Row],[Iout]]/(Table1[[#This Row],[Vin]]*Efficiency)</f>
        <v>8.8197538322132445</v>
      </c>
      <c r="M22" s="711">
        <f>MIN(1/Fsw,CHOOSE(Table1[[#This Row],[Mode Digit]],(Vout+(Rdson2+Rs+Rdcr)*Table1[[#This Row],[Iout]])/(Table1[[#This Row],[Vin]]+(Rs+Rdson2-Rdson1)*Table1[[#This Row],[Iout]])/Fsw,(Vout+(Rdson3+Rdcr)*Table1[[#This Row],[Iin]]-Table1[[#This Row],[Vin]])/(Vout+(Rdson3-Rdson4-Rs)*Table1[[#This Row],[Iin]])/Fsw,t1_Ph_II))</f>
        <v>1.1739891754218401E-6</v>
      </c>
      <c r="N22" s="602">
        <f>CHOOSE(Table1[[#This Row],[Mode Digit]],1/Fsw-Table1[[#This Row],[t1_Ph_II]],1/Fsw-Table1[[#This Row],[t1_Ph_II]],(Vout/Fsw-Table1[[#This Row],[Vin]]*t1_Ph_II)/(Table1[[#This Row],[Vin]]+Vout))</f>
        <v>4.9267749124482655E-7</v>
      </c>
      <c r="O22" s="602">
        <f>1/Fsw-(Table1[[#This Row],[t1_Ph_II]]+Table1[[#This Row],[t2_Ph_I]])</f>
        <v>0</v>
      </c>
      <c r="P2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10.596993996797005</v>
      </c>
      <c r="Q22" s="4">
        <f>CHOOSE(Table1[[#This Row],[Mode Digit]],Table1[[#This Row],[I_0]]+1/Lf*(Table1[[#This Row],[Vin]]-Vout)*Table1[[#This Row],[t1_Ph_II]],Table1[[#This Row],[I_0]]+1/Lf*Table1[[#This Row],[Vin]]*Table1[[#This Row],[t1_Ph_II]],Table1[[#This Row],[I_0]]+(Table1[[#This Row],[Vin]]-Vout)/L*Table1[[#This Row],[t1_Ph_II]])</f>
        <v>13.403006003202995</v>
      </c>
      <c r="R22" s="4">
        <f>CHOOSE(Table1[[#This Row],[Mode Digit]],0,0,Table1[[#This Row],[I_1]]+Table1[[#This Row],[Vin]]/L*Table1[[#This Row],[t2_Ph_I]])</f>
        <v>0</v>
      </c>
      <c r="S22" s="4">
        <f>Fsw*(Table1[[#This Row],[I_0]]*Table1[[#This Row],[t1_Ph_II]]+Table1[[#This Row],[I_1]]*Table1[[#This Row],[t2_Ph_I]]+Table1[[#This Row],[I_2]]*Table1[[#This Row],[t3_Ph_III]])</f>
        <v>11.426469370228384</v>
      </c>
      <c r="T22" s="354">
        <f>MIN(1,CHOOSE(Table1[[#This Row],[Mode Digit]],(Vout+(Rdson2+Rs+Rdcr)*Table1[[#This Row],[Iout]])/(Table1[[#This Row],[Vin]]+(Rs+Rdson2-Rdson1)*Table1[[#This Row],[Iout]]),1,Fsw*Table1[[#This Row],[t2_Ph_I]]+Table1[[#This Row],[t1_Ph_II]]))</f>
        <v>0.70439350525310407</v>
      </c>
      <c r="U22" s="354">
        <f>MIN(1,CHOOSE(Table1[[#This Row],[Mode Digit]],0,(Vout+(Rdson3+Rdcr)*Table1[[#This Row],[Iin]]-Table1[[#This Row],[Vin]])/(Vout+(Rdson3-Rdson4-Rs)*Table1[[#This Row],[Iin]]),Fsw*Table1[[#This Row],[t1_Ph_II]]+Table1[[#This Row],[t3_Ph_III]]))</f>
        <v>0</v>
      </c>
      <c r="V22" s="4">
        <f>MAX(Table1[[#This Row],[I_0]:[I_2]])-MIN(Table1[[#This Row],[I_0]:[I_1]])</f>
        <v>2.8060120064059895</v>
      </c>
      <c r="W2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12.027308175495515</v>
      </c>
      <c r="X22" s="354">
        <f>(Table1[[#This Row],[Irms Lf]]^2*Rdcr*(1+Ltc*Ta-Ltc*25))/(1-Table1[[#This Row],[Irms Lf]]^2*Rdcr*Ltc*ThetaCa)</f>
        <v>0.89937186765225141</v>
      </c>
      <c r="Y22" s="354">
        <f>ABS(7.759*10^-3*Fsw^0.9458*(0.00787*Table1[[#This Row],[Ripple Current pk-pk]])^2.304)</f>
        <v>0.34634207403448503</v>
      </c>
      <c r="Z22" s="354">
        <f>Table1[[#This Row],[DCR    Loss]]+Table1[[#This Row],[Core Loss]]</f>
        <v>1.2457139416867364</v>
      </c>
      <c r="AA22" s="4">
        <f>IF(Table1[[#This Row],[Vin]]&gt;Vout, Table1[[#This Row],[Ripple Current pk-pk]]/SQRT(12), SQRT(Table1[[#This Row],[Duty Cycle BOOST Leg]]/(1-Table1[[#This Row],[Duty Cycle BOOST Leg]]))*SQRT(Table1[[#This Row],[Iout]]^2+(Table1[[#This Row],[Ripple Current pk-pk]]^2)/12))</f>
        <v>0.81002589362390998</v>
      </c>
      <c r="AB22" s="354">
        <f>RCoutEsr*Table1[[#This Row],[Irms Cout]]^2</f>
        <v>3.2807097417060695E-3</v>
      </c>
      <c r="AC22" s="354">
        <f>Table1[[#This Row],[Cout ESR Loss]]</f>
        <v>3.2807097417060695E-3</v>
      </c>
      <c r="AD22" s="354">
        <f>IF(Table1[[#This Row],[Vin]]&gt;Vout, SQRT(Table1[[#This Row],[Duty Cycle BUCK Leg]]*(1-Table1[[#This Row],[Duty Cycle BUCK Leg]]))*SQRT(Table1[[#This Row],[Iout]]^2+(Table1[[#This Row],[Ripple Current pk-pk]]^2)/12), Table1[[#This Row],[Ripple Current pk-pk]]/SQRT(12))</f>
        <v>5.488240020258627</v>
      </c>
      <c r="AE22" s="354">
        <f>RCinEsr*Table1[[#This Row],[Irms Cin]]^2</f>
        <v>6.0241557039936833E-2</v>
      </c>
      <c r="AF22" s="549">
        <f>Table1[[#This Row],[Cin ESR Loss]]</f>
        <v>6.0241557039936833E-2</v>
      </c>
      <c r="AG2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10.094297740971516</v>
      </c>
      <c r="AH22" s="354">
        <f>Rdson1*Table1[[#This Row],[Irms BuCtrl]]^2</f>
        <v>0.42795835691020723</v>
      </c>
      <c r="AI22" s="354">
        <f>CHOOSE(Table1[[#This Row],[Mode Digit]], (Table1[[#This Row],[Vin]]*Table1[[#This Row],[Iout]]/2)*(Fsw)*(Tr_buck+Tf_buck), 0, (Table1[[#This Row],[Vin]]*Table1[[#This Row],[Avg IL]]/2)*(Fsw/1)*(Tr_buck+Tf_buck))</f>
        <v>2.4882147932915744</v>
      </c>
      <c r="AJ22">
        <f>IF(Table1[[#This Row],[Vin]]&gt;Vout, IF(Table1[[#This Row],[Iout]]&gt;Table1[[#This Row],[Ripple Current pk-pk]]/2,0,ABS(Table1[[#This Row],[Iout]]-Table1[[#This Row],[Ripple Current pk-pk]]/2)*Vsd_Q1*Deadtime*Fsw),0)</f>
        <v>0</v>
      </c>
      <c r="AK22" s="354">
        <f>(Table1[[#This Row],[Dead Time Loss BuCtrl]]+Table1[[#This Row],[Transition Loss BuCtrl]]+Table1[[#This Row],[RDS(on) Loss BuCtrl]]*(1+RdsonTopTc*Ta-RdsonTopTc*25))/(1-Table1[[#This Row],[RDS(on) Loss BuCtrl]]*RdsonTopTc*ThetaJA_Q1)</f>
        <v>3.2499784557853326</v>
      </c>
      <c r="AL22" s="354">
        <f>CHOOSE(Table1[[#This Row],[Mode Digit]],SQRT((Fsw*(Table1[[#This Row],[t2_Ph_I]]+0))*((Table1[[#This Row],[I_0]]*Table1[[#This Row],[I_1]]+((Table1[[#This Row],[I_0]]-Table1[[#This Row],[I_1]])^2)/3))),0,SQRT((Fsw*(Table1[[#This Row],[t3_Ph_III]]+0))*((Table1[[#This Row],[I_0]]*Table1[[#This Row],[I_2]]+((Table1[[#This Row],[I_0]]-Table1[[#This Row],[I_2]])^2)/3))))</f>
        <v>6.539212113470442</v>
      </c>
      <c r="AM22" s="354">
        <f>Rdson2*Table1[[#This Row],[Irms BuSync]]^2</f>
        <v>0.17959743927282601</v>
      </c>
      <c r="AN2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2" s="354">
        <f>(Table1[[#This Row],[Deadtime Loss BuSync]]+Table1[[#This Row],[RDS(on) Loss BuSync]]*(1+RdsonBotTc*Ta-RdsonBotTc*25))/(1-Table1[[#This Row],[RDS(on) Loss BuSync]]*RdsonBotTc*ThetaJA_Q2)</f>
        <v>0.79106651263557459</v>
      </c>
      <c r="AP22" s="354">
        <f>CHOOSE(Table1[[#This Row],[Mode Digit]],0,SQRT((Fsw*(Table1[[#This Row],[t1_Ph_II]]+0))*((Table1[[#This Row],[I_0]]*Table1[[#This Row],[I_1]]+((Table1[[#This Row],[I_0]]-Table1[[#This Row],[I_1]])^2)/3))),SQRT((Fsw*(Table1[[#This Row],[t2_Ph_I]]+0))*((Table1[[#This Row],[I_1]]*Table1[[#This Row],[I_2]]+((Table1[[#This Row],[I_1]]-Table1[[#This Row],[I_2]])^2)/3))))</f>
        <v>0</v>
      </c>
      <c r="AQ22" s="354">
        <f>Rdson4*Table1[[#This Row],[Irms BoCtlr]]^2</f>
        <v>0</v>
      </c>
      <c r="AR22" s="354">
        <f>CHOOSE(Table1[[#This Row],[Mode Digit]], 0, (Vout*Table1[[#This Row],[Iin]]/2)*(Fsw)*(Tr_boost+Tf_boost), (Vout*Iout/2)*(Fsw/1)*(Tr_boost+Tf_boost))</f>
        <v>0</v>
      </c>
      <c r="AS22">
        <f>IF(Table1[[#This Row],[Vin]]&gt;Vout, 0, IF(Table1[[#This Row],[Iin]]&gt;Table1[[#This Row],[Ripple Current pk-pk]]/2,0,ABS(Table1[[#This Row],[Iin]]-Table1[[#This Row],[Ripple Current pk-pk]]/2)*Vsd_Q4*Deadtime*Fsw))</f>
        <v>0</v>
      </c>
      <c r="AT22" s="354">
        <f>(Table1[[#This Row],[Dead Time Loss BoCtlr]]+Table1[[#This Row],[Transition Loss BoCtlr]]+Table1[[#This Row],[RDS(on) Loss BoCtlr]]*(1+RdsonTopTc*Ta-RdsonTopTc*25))/(1-Table1[[#This Row],[RDS(on) Loss BoCtlr]]*RdsonTopTc*ThetaJA_Q4)</f>
        <v>0</v>
      </c>
      <c r="AU2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12.027308175495515</v>
      </c>
      <c r="AV22" s="354">
        <f>Rdson3*Table1[[#This Row],[Irms BoSync]]^2</f>
        <v>0.60755579618303335</v>
      </c>
      <c r="AW2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2" s="354">
        <f>(Table1[[#This Row],[Deadtime Loss BoSync]]+Table1[[#This Row],[RDS(on) Loss BoSync]]*(1+RdsonBotTc*Ta-RdsonBotTc*25))/(1-Table1[[#This Row],[RDS(on) Loss BoSync]]*RdsonBotTc*ThetaJA_Q3)</f>
        <v>0.7112682285595614</v>
      </c>
      <c r="AY22" s="354">
        <f>CHOOSE(Table1[[#This Row],[Mode Digit]], Rdson3*Table1[[#This Row],[Irms Lf]]^2, Rdson1*Table1[[#This Row],[Irms Lf]]^2, 0)</f>
        <v>0.60755579618303335</v>
      </c>
      <c r="AZ22" s="354">
        <f>CHOOSE(Table1[[#This Row],[Mode Digit]], 2*Deadtime*Fsw*IF(VfdSky_Q2&gt;0,VfdSky_Q2,0)*Table1[[#This Row],[Iout]], 2*Deadtime*Fsw*IF(VfdSky_Q3&gt;0,VfdSky_Q3,0)*Table1[[#This Row],[Iin]], 2*Deadtime*Fsw*IF(VfdSky_Q2&gt;0,VfdSky_Q2,0)*Table1[[#This Row],[Iout]]+2*Deadtime*Fsw*IF(VfdSky_Q3&gt;0,VfdSky_Q3,0)*Table1[[#This Row],[Iin]])</f>
        <v>0</v>
      </c>
      <c r="BA22" s="354">
        <f>CHOOSE(Table1[[#This Row],[Mode Digit]], IF(QrrSky_Q2&gt;0,QrrSky_Q2,Qrr_Q2)*Fsw*(Table1[[#This Row],[Vin]]-Table1[[#This Row],[Iout]]*Rdson1),0,  IF(QrrSky_Q2&gt;0,QrrSky_Q2,Qrr_Q2)*Fsw*(Table1[[#This Row],[Vin]]-Table1[[#This Row],[Iout]]*Rdson1)+IF(QrrSky_Q3&gt;0,QrrSky_Q3,Qrr_Q3)*Fsw*Vout)</f>
        <v>0.25031520000000002</v>
      </c>
      <c r="BB22" s="354">
        <f>CHOOSE(Table1[[#This Row],[Mode Digit]],0, IF(QrrSky_Q3&gt;0,QrrSky_Q3,Qrr_Q3)*Fsw*Vout,  IF(QrrSky_Q2&gt;0,QrrSky_Q2,Qrr_Q2)*Fsw*(Table1[[#This Row],[Vin]]-Table1[[#This Row],[Iout]]*Rdson1)+IF(QrrSky_Q3&gt;0,QrrSky_Q3,Qrr_Q3)*Fsw*Vout)</f>
        <v>0</v>
      </c>
      <c r="BC22" s="354">
        <f>CHOOSE(Table1[[#This Row],[Mode Digit]], Rs*Table1[[#This Row],[Irms BuSync]]^2, Rs*Table1[[#This Row],[Irms BoCtlr]]^2, Rs*(Table1[[#This Row],[Irms BuSync]]^2+Table1[[#This Row],[Irms BoCtlr]]^2))</f>
        <v>0.10690323766239641</v>
      </c>
      <c r="BD22" s="354">
        <f t="shared" si="1"/>
        <v>1.44</v>
      </c>
      <c r="BE22" s="354">
        <f>IF(Vout&gt;8, Iq*Vout, Iq*Table1[[#This Row],[Vin]])</f>
        <v>4.3799999999999999E-2</v>
      </c>
      <c r="BF22" s="354">
        <f>CHOOSE(Table1[[#This Row],[Mode Digit]], (Qg_Q1+Qg_Q2)*Fsw, (Qg_Q3+Qg_Q4)*Fsw, (Qg_Q1+Qg_Q2+Qg_Q3+Qg_Q4)*Fsw)*IF(Vout&gt;8, Vout, Table1[[#This Row],[Vin]])</f>
        <v>0.47303999999999996</v>
      </c>
      <c r="BG22" s="354">
        <f t="shared" si="2"/>
        <v>0.57269042016806726</v>
      </c>
      <c r="BH22" s="354">
        <f>Table1[[#This Row],[IQ Loss]]+Table1[[#This Row],[Switching Current Loss]]</f>
        <v>0.51683999999999997</v>
      </c>
      <c r="BI2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8.3756078431112453</v>
      </c>
      <c r="BJ22">
        <f>Vout*Table1[[#This Row],[Iout]]</f>
        <v>175.2</v>
      </c>
      <c r="BK22" s="550">
        <f>Table1[[#This Row],[Pout]]/(Table1[[#This Row],[Pout]]+Table1[[#This Row],[Total Loss]])</f>
        <v>0.95437515941513718</v>
      </c>
      <c r="BL2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194.99870734711996</v>
      </c>
      <c r="BM22" s="559">
        <f>IF(Table1[[#This Row],[Vin]]&gt;Vout, Table1[[#This Row],[Total Sync Bu MOSFET Loss]]*ThetaJA_Q2, ThetaJA_Q3*Table1[[#This Row],[Total Sync Bo MOSFET Loss]])</f>
        <v>47.463990758134479</v>
      </c>
      <c r="BN22" s="9"/>
      <c r="BO22" s="4">
        <f>Table1[[#This Row],[EFF, h]]*100</f>
        <v>95.437515941513723</v>
      </c>
      <c r="BP22" s="354">
        <f>Table1[[#This Row],[Total Inductor Loss]]</f>
        <v>1.2457139416867364</v>
      </c>
      <c r="BQ22" s="354">
        <f>Table1[[#This Row],[Total Control Bu MOSFET Loss]]+Table1[[#This Row],[Total Sync Bu MOSFET Loss]]+Table1[[#This Row],[Total Control Bo MOSFET Loss]]+Table1[[#This Row],[Total Sync Bo MOSFET Loss]]+Table1[[#This Row],[Reverse Recovery Loss MOSFET D BUCK]]+Table1[[#This Row],[Reverse Recovery Loss MOSFET D BOOST]]</f>
        <v>5.0026283969804686</v>
      </c>
      <c r="BR22" s="354">
        <f>Table1[[#This Row],[Total Control Bu MOSFET Loss]]+Table1[[#This Row],[Reverse Recovery Loss MOSFET D BUCK]]*0.66</f>
        <v>3.4151864877853324</v>
      </c>
      <c r="BS22" s="354">
        <f>Table1[[#This Row],[Total Sync Bu MOSFET Loss]]+Table1[[#This Row],[Reverse Recovery Loss MOSFET D BUCK]]*0.33</f>
        <v>0.87367052863557459</v>
      </c>
      <c r="BT22" s="354">
        <f xml:space="preserve"> Table1[[#This Row],[Total Control Bo MOSFET Loss]]+Table1[[#This Row],[Reverse Recovery Loss MOSFET D BOOST]]*0.66</f>
        <v>0</v>
      </c>
      <c r="BU22" s="354">
        <f xml:space="preserve"> Table1[[#This Row],[Total Sync Bo MOSFET Loss]]+Table1[[#This Row],[Reverse Recovery Loss MOSFET D BOOST]]*0.33</f>
        <v>0.7112682285595614</v>
      </c>
      <c r="BV22" s="354">
        <f>Table1[[#This Row],[Isense Shunt Loss]]</f>
        <v>0.10690323766239641</v>
      </c>
      <c r="CB22" s="18"/>
      <c r="CC22" s="19"/>
    </row>
    <row r="23" spans="1:92" x14ac:dyDescent="0.2">
      <c r="A23" s="36" t="s">
        <v>89</v>
      </c>
      <c r="B23" s="39">
        <f>RCinEsr*1000</f>
        <v>2</v>
      </c>
      <c r="C23" s="442" t="s">
        <v>638</v>
      </c>
      <c r="D23" s="440" t="s">
        <v>653</v>
      </c>
      <c r="G23">
        <v>14</v>
      </c>
      <c r="H23" s="555">
        <f>VIN_min+(VIN_max-VIN_min)*(Table1[[#This Row],[Step]]/200)</f>
        <v>20.98</v>
      </c>
      <c r="I23" s="4" t="str">
        <f>IF(Mode = 2,IF(Table1[[#This Row],[Vin]]&gt;Vout, "BUCK","BOOST"),IF(Table1[[#This Row],[Vin]]&gt;VIN_BB_to_buck, "BUCK", IF(Table1[[#This Row],[Vin]]&lt;=VIN_boost_to_BB,"BOOST","BUCK-BST")))</f>
        <v>BUCK</v>
      </c>
      <c r="J23">
        <f>IF(Table1[[#This Row],[Mode]]="BOOST",2, IF(Table1[[#This Row],[Mode]]="BUCK", 1,3))</f>
        <v>1</v>
      </c>
      <c r="K23">
        <f t="shared" si="0"/>
        <v>12</v>
      </c>
      <c r="L23" s="4">
        <f>Vout*Table1[[#This Row],[Iout]]/(Table1[[#This Row],[Vin]]*Efficiency)</f>
        <v>8.7903266268626759</v>
      </c>
      <c r="M23" s="711">
        <f>MIN(1/Fsw,CHOOSE(Table1[[#This Row],[Mode Digit]],(Vout+(Rdson2+Rs+Rdcr)*Table1[[#This Row],[Iout]])/(Table1[[#This Row],[Vin]]+(Rs+Rdson2-Rdson1)*Table1[[#This Row],[Iout]])/Fsw,(Vout+(Rdson3+Rdcr)*Table1[[#This Row],[Iin]]-Table1[[#This Row],[Vin]])/(Vout+(Rdson3-Rdson4-Rs)*Table1[[#This Row],[Iin]])/Fsw,t1_Ph_II))</f>
        <v>1.1700777407583691E-6</v>
      </c>
      <c r="N23" s="602">
        <f>CHOOSE(Table1[[#This Row],[Mode Digit]],1/Fsw-Table1[[#This Row],[t1_Ph_II]],1/Fsw-Table1[[#This Row],[t1_Ph_II]],(Vout/Fsw-Table1[[#This Row],[Vin]]*t1_Ph_II)/(Table1[[#This Row],[Vin]]+Vout))</f>
        <v>4.9658892590829756E-7</v>
      </c>
      <c r="O23" s="602">
        <f>1/Fsw-(Table1[[#This Row],[t1_Ph_II]]+Table1[[#This Row],[t2_Ph_I]])</f>
        <v>0</v>
      </c>
      <c r="P2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10.586156063250304</v>
      </c>
      <c r="Q23" s="4">
        <f>CHOOSE(Table1[[#This Row],[Mode Digit]],Table1[[#This Row],[I_0]]+1/Lf*(Table1[[#This Row],[Vin]]-Vout)*Table1[[#This Row],[t1_Ph_II]],Table1[[#This Row],[I_0]]+1/Lf*Table1[[#This Row],[Vin]]*Table1[[#This Row],[t1_Ph_II]],Table1[[#This Row],[I_0]]+(Table1[[#This Row],[Vin]]-Vout)/L*Table1[[#This Row],[t1_Ph_II]])</f>
        <v>13.413843936749696</v>
      </c>
      <c r="R23" s="4">
        <f>CHOOSE(Table1[[#This Row],[Mode Digit]],0,0,Table1[[#This Row],[I_1]]+Table1[[#This Row],[Vin]]/L*Table1[[#This Row],[t2_Ph_I]])</f>
        <v>0</v>
      </c>
      <c r="S23" s="4">
        <f>Fsw*(Table1[[#This Row],[I_0]]*Table1[[#This Row],[t1_Ph_II]]+Table1[[#This Row],[I_1]]*Table1[[#This Row],[t2_Ph_I]]+Table1[[#This Row],[I_2]]*Table1[[#This Row],[t3_Ph_III]])</f>
        <v>11.428675153593291</v>
      </c>
      <c r="T23" s="354">
        <f>MIN(1,CHOOSE(Table1[[#This Row],[Mode Digit]],(Vout+(Rdson2+Rs+Rdcr)*Table1[[#This Row],[Iout]])/(Table1[[#This Row],[Vin]]+(Rs+Rdson2-Rdson1)*Table1[[#This Row],[Iout]]),1,Fsw*Table1[[#This Row],[t2_Ph_I]]+Table1[[#This Row],[t1_Ph_II]]))</f>
        <v>0.70204664445502141</v>
      </c>
      <c r="U23" s="354">
        <f>MIN(1,CHOOSE(Table1[[#This Row],[Mode Digit]],0,(Vout+(Rdson3+Rdcr)*Table1[[#This Row],[Iin]]-Table1[[#This Row],[Vin]])/(Vout+(Rdson3-Rdson4-Rs)*Table1[[#This Row],[Iin]]),Fsw*Table1[[#This Row],[t1_Ph_II]]+Table1[[#This Row],[t3_Ph_III]]))</f>
        <v>0</v>
      </c>
      <c r="V23" s="4">
        <f>MAX(Table1[[#This Row],[I_0]:[I_2]])-MIN(Table1[[#This Row],[I_0]:[I_1]])</f>
        <v>2.8276878734993929</v>
      </c>
      <c r="W2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12.027731216893232</v>
      </c>
      <c r="X23" s="354">
        <f>(Table1[[#This Row],[Irms Lf]]^2*Rdcr*(1+Ltc*Ta-Ltc*25))/(1-Table1[[#This Row],[Irms Lf]]^2*Rdcr*Ltc*ThetaCa)</f>
        <v>0.89943968924531881</v>
      </c>
      <c r="Y23" s="354">
        <f>ABS(7.759*10^-3*Fsw^0.9458*(0.00787*Table1[[#This Row],[Ripple Current pk-pk]])^2.304)</f>
        <v>0.35253731562590362</v>
      </c>
      <c r="Z23" s="354">
        <f>Table1[[#This Row],[DCR    Loss]]+Table1[[#This Row],[Core Loss]]</f>
        <v>1.2519770048712224</v>
      </c>
      <c r="AA23" s="4">
        <f>IF(Table1[[#This Row],[Vin]]&gt;Vout, Table1[[#This Row],[Ripple Current pk-pk]]/SQRT(12), SQRT(Table1[[#This Row],[Duty Cycle BOOST Leg]]/(1-Table1[[#This Row],[Duty Cycle BOOST Leg]]))*SQRT(Table1[[#This Row],[Iout]]^2+(Table1[[#This Row],[Ripple Current pk-pk]]^2)/12))</f>
        <v>0.81628317747455748</v>
      </c>
      <c r="AB23" s="354">
        <f>RCoutEsr*Table1[[#This Row],[Irms Cout]]^2</f>
        <v>3.3315911291397992E-3</v>
      </c>
      <c r="AC23" s="354">
        <f>Table1[[#This Row],[Cout ESR Loss]]</f>
        <v>3.3315911291397992E-3</v>
      </c>
      <c r="AD23" s="354">
        <f>IF(Table1[[#This Row],[Vin]]&gt;Vout, SQRT(Table1[[#This Row],[Duty Cycle BUCK Leg]]*(1-Table1[[#This Row],[Duty Cycle BUCK Leg]]))*SQRT(Table1[[#This Row],[Iout]]^2+(Table1[[#This Row],[Ripple Current pk-pk]]^2)/12), Table1[[#This Row],[Ripple Current pk-pk]]/SQRT(12))</f>
        <v>5.5009897880893499</v>
      </c>
      <c r="AE23" s="354">
        <f>RCinEsr*Table1[[#This Row],[Irms Cin]]^2</f>
        <v>6.052177729732662E-2</v>
      </c>
      <c r="AF23" s="549">
        <f>Table1[[#This Row],[Cin ESR Loss]]</f>
        <v>6.052177729732662E-2</v>
      </c>
      <c r="AG2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10.077822347913502</v>
      </c>
      <c r="AH23" s="354">
        <f>Rdson1*Table1[[#This Row],[Irms BuCtrl]]^2</f>
        <v>0.42656251375964027</v>
      </c>
      <c r="AI23" s="354">
        <f>CHOOSE(Table1[[#This Row],[Mode Digit]], (Table1[[#This Row],[Vin]]*Table1[[#This Row],[Iout]]/2)*(Fsw)*(Tr_buck+Tf_buck), 0, (Table1[[#This Row],[Vin]]*Table1[[#This Row],[Avg IL]]/2)*(Fsw/1)*(Tr_buck+Tf_buck))</f>
        <v>2.4965445415235403</v>
      </c>
      <c r="AJ23">
        <f>IF(Table1[[#This Row],[Vin]]&gt;Vout, IF(Table1[[#This Row],[Iout]]&gt;Table1[[#This Row],[Ripple Current pk-pk]]/2,0,ABS(Table1[[#This Row],[Iout]]-Table1[[#This Row],[Ripple Current pk-pk]]/2)*Vsd_Q1*Deadtime*Fsw),0)</f>
        <v>0</v>
      </c>
      <c r="AK23" s="354">
        <f>(Table1[[#This Row],[Dead Time Loss BuCtrl]]+Table1[[#This Row],[Transition Loss BuCtrl]]+Table1[[#This Row],[RDS(on) Loss BuCtrl]]*(1+RdsonTopTc*Ta-RdsonTopTc*25))/(1-Table1[[#This Row],[RDS(on) Loss BuCtrl]]*RdsonTopTc*ThetaJA_Q1)</f>
        <v>3.2564902559945779</v>
      </c>
      <c r="AL23" s="354">
        <f>CHOOSE(Table1[[#This Row],[Mode Digit]],SQRT((Fsw*(Table1[[#This Row],[t2_Ph_I]]+0))*((Table1[[#This Row],[I_0]]*Table1[[#This Row],[I_1]]+((Table1[[#This Row],[I_0]]-Table1[[#This Row],[I_1]])^2)/3))),0,SQRT((Fsw*(Table1[[#This Row],[t3_Ph_III]]+0))*((Table1[[#This Row],[I_0]]*Table1[[#This Row],[I_2]]+((Table1[[#This Row],[I_0]]-Table1[[#This Row],[I_2]])^2)/3))))</f>
        <v>6.5653495679760363</v>
      </c>
      <c r="AM23" s="354">
        <f>Rdson2*Table1[[#This Row],[Irms BuSync]]^2</f>
        <v>0.18103602278883715</v>
      </c>
      <c r="AN2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3" s="354">
        <f>(Table1[[#This Row],[Deadtime Loss BuSync]]+Table1[[#This Row],[RDS(on) Loss BuSync]]*(1+RdsonBotTc*Ta-RdsonBotTc*25))/(1-Table1[[#This Row],[RDS(on) Loss BuSync]]*RdsonBotTc*ThetaJA_Q2)</f>
        <v>0.7928559692776449</v>
      </c>
      <c r="AP23" s="354">
        <f>CHOOSE(Table1[[#This Row],[Mode Digit]],0,SQRT((Fsw*(Table1[[#This Row],[t1_Ph_II]]+0))*((Table1[[#This Row],[I_0]]*Table1[[#This Row],[I_1]]+((Table1[[#This Row],[I_0]]-Table1[[#This Row],[I_1]])^2)/3))),SQRT((Fsw*(Table1[[#This Row],[t2_Ph_I]]+0))*((Table1[[#This Row],[I_1]]*Table1[[#This Row],[I_2]]+((Table1[[#This Row],[I_1]]-Table1[[#This Row],[I_2]])^2)/3))))</f>
        <v>0</v>
      </c>
      <c r="AQ23" s="354">
        <f>Rdson4*Table1[[#This Row],[Irms BoCtlr]]^2</f>
        <v>0</v>
      </c>
      <c r="AR23" s="354">
        <f>CHOOSE(Table1[[#This Row],[Mode Digit]], 0, (Vout*Table1[[#This Row],[Iin]]/2)*(Fsw)*(Tr_boost+Tf_boost), (Vout*Iout/2)*(Fsw/1)*(Tr_boost+Tf_boost))</f>
        <v>0</v>
      </c>
      <c r="AS23">
        <f>IF(Table1[[#This Row],[Vin]]&gt;Vout, 0, IF(Table1[[#This Row],[Iin]]&gt;Table1[[#This Row],[Ripple Current pk-pk]]/2,0,ABS(Table1[[#This Row],[Iin]]-Table1[[#This Row],[Ripple Current pk-pk]]/2)*Vsd_Q4*Deadtime*Fsw))</f>
        <v>0</v>
      </c>
      <c r="AT23" s="354">
        <f>(Table1[[#This Row],[Dead Time Loss BoCtlr]]+Table1[[#This Row],[Transition Loss BoCtlr]]+Table1[[#This Row],[RDS(on) Loss BoCtlr]]*(1+RdsonTopTc*Ta-RdsonTopTc*25))/(1-Table1[[#This Row],[RDS(on) Loss BoCtlr]]*RdsonTopTc*ThetaJA_Q4)</f>
        <v>0</v>
      </c>
      <c r="AU2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12.027731216893232</v>
      </c>
      <c r="AV23" s="354">
        <f>Rdson3*Table1[[#This Row],[Irms BoSync]]^2</f>
        <v>0.60759853654847751</v>
      </c>
      <c r="AW2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3" s="354">
        <f>(Table1[[#This Row],[Deadtime Loss BoSync]]+Table1[[#This Row],[RDS(on) Loss BoSync]]*(1+RdsonBotTc*Ta-RdsonBotTc*25))/(1-Table1[[#This Row],[RDS(on) Loss BoSync]]*RdsonBotTc*ThetaJA_Q3)</f>
        <v>0.71132680701673412</v>
      </c>
      <c r="AY23" s="354">
        <f>CHOOSE(Table1[[#This Row],[Mode Digit]], Rdson3*Table1[[#This Row],[Irms Lf]]^2, Rdson1*Table1[[#This Row],[Irms Lf]]^2, 0)</f>
        <v>0.60759853654847751</v>
      </c>
      <c r="AZ23" s="354">
        <f>CHOOSE(Table1[[#This Row],[Mode Digit]], 2*Deadtime*Fsw*IF(VfdSky_Q2&gt;0,VfdSky_Q2,0)*Table1[[#This Row],[Iout]], 2*Deadtime*Fsw*IF(VfdSky_Q3&gt;0,VfdSky_Q3,0)*Table1[[#This Row],[Iin]], 2*Deadtime*Fsw*IF(VfdSky_Q2&gt;0,VfdSky_Q2,0)*Table1[[#This Row],[Iout]]+2*Deadtime*Fsw*IF(VfdSky_Q3&gt;0,VfdSky_Q3,0)*Table1[[#This Row],[Iin]])</f>
        <v>0</v>
      </c>
      <c r="BA23" s="354">
        <f>CHOOSE(Table1[[#This Row],[Mode Digit]], IF(QrrSky_Q2&gt;0,QrrSky_Q2,Qrr_Q2)*Fsw*(Table1[[#This Row],[Vin]]-Table1[[#This Row],[Iout]]*Rdson1),0,  IF(QrrSky_Q2&gt;0,QrrSky_Q2,Qrr_Q2)*Fsw*(Table1[[#This Row],[Vin]]-Table1[[#This Row],[Iout]]*Rdson1)+IF(QrrSky_Q3&gt;0,QrrSky_Q3,Qrr_Q3)*Fsw*Vout)</f>
        <v>0.25115520000000002</v>
      </c>
      <c r="BB23" s="354">
        <f>CHOOSE(Table1[[#This Row],[Mode Digit]],0, IF(QrrSky_Q3&gt;0,QrrSky_Q3,Qrr_Q3)*Fsw*Vout,  IF(QrrSky_Q2&gt;0,QrrSky_Q2,Qrr_Q2)*Fsw*(Table1[[#This Row],[Vin]]-Table1[[#This Row],[Iout]]*Rdson1)+IF(QrrSky_Q3&gt;0,QrrSky_Q3,Qrr_Q3)*Fsw*Vout)</f>
        <v>0</v>
      </c>
      <c r="BC23" s="354">
        <f>CHOOSE(Table1[[#This Row],[Mode Digit]], Rs*Table1[[#This Row],[Irms BuSync]]^2, Rs*Table1[[#This Row],[Irms BoCtlr]]^2, Rs*(Table1[[#This Row],[Irms BuSync]]^2+Table1[[#This Row],[Irms BoCtlr]]^2))</f>
        <v>0.10775953737430781</v>
      </c>
      <c r="BD23" s="354">
        <f t="shared" si="1"/>
        <v>1.44</v>
      </c>
      <c r="BE23" s="354">
        <f>IF(Vout&gt;8, Iq*Vout, Iq*Table1[[#This Row],[Vin]])</f>
        <v>4.3799999999999999E-2</v>
      </c>
      <c r="BF23" s="354">
        <f>CHOOSE(Table1[[#This Row],[Mode Digit]], (Qg_Q1+Qg_Q2)*Fsw, (Qg_Q3+Qg_Q4)*Fsw, (Qg_Q1+Qg_Q2+Qg_Q3+Qg_Q4)*Fsw)*IF(Vout&gt;8, Vout, Table1[[#This Row],[Vin]])</f>
        <v>0.47303999999999996</v>
      </c>
      <c r="BG23" s="354">
        <f t="shared" si="2"/>
        <v>0.57269042016806726</v>
      </c>
      <c r="BH23" s="354">
        <f>Table1[[#This Row],[IQ Loss]]+Table1[[#This Row],[Switching Current Loss]]</f>
        <v>0.51683999999999997</v>
      </c>
      <c r="BI2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8.3922581429609533</v>
      </c>
      <c r="BJ23">
        <f>Vout*Table1[[#This Row],[Iout]]</f>
        <v>175.2</v>
      </c>
      <c r="BK23" s="550">
        <f>Table1[[#This Row],[Pout]]/(Table1[[#This Row],[Pout]]+Table1[[#This Row],[Total Loss]])</f>
        <v>0.95428860547907202</v>
      </c>
      <c r="BL2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195.38941535967467</v>
      </c>
      <c r="BM23" s="559">
        <f>IF(Table1[[#This Row],[Vin]]&gt;Vout, Table1[[#This Row],[Total Sync Bu MOSFET Loss]]*ThetaJA_Q2, ThetaJA_Q3*Table1[[#This Row],[Total Sync Bo MOSFET Loss]])</f>
        <v>47.571358156658697</v>
      </c>
      <c r="BN23" s="9"/>
      <c r="BO23" s="4">
        <f>Table1[[#This Row],[EFF, h]]*100</f>
        <v>95.428860547907206</v>
      </c>
      <c r="BP23" s="354">
        <f>Table1[[#This Row],[Total Inductor Loss]]</f>
        <v>1.2519770048712224</v>
      </c>
      <c r="BQ23" s="354">
        <f>Table1[[#This Row],[Total Control Bu MOSFET Loss]]+Table1[[#This Row],[Total Sync Bu MOSFET Loss]]+Table1[[#This Row],[Total Control Bo MOSFET Loss]]+Table1[[#This Row],[Total Sync Bo MOSFET Loss]]+Table1[[#This Row],[Reverse Recovery Loss MOSFET D BUCK]]+Table1[[#This Row],[Reverse Recovery Loss MOSFET D BOOST]]</f>
        <v>5.0118282322889574</v>
      </c>
      <c r="BR23" s="354">
        <f>Table1[[#This Row],[Total Control Bu MOSFET Loss]]+Table1[[#This Row],[Reverse Recovery Loss MOSFET D BUCK]]*0.66</f>
        <v>3.422252687994578</v>
      </c>
      <c r="BS23" s="354">
        <f>Table1[[#This Row],[Total Sync Bu MOSFET Loss]]+Table1[[#This Row],[Reverse Recovery Loss MOSFET D BUCK]]*0.33</f>
        <v>0.87573718527764488</v>
      </c>
      <c r="BT23" s="354">
        <f xml:space="preserve"> Table1[[#This Row],[Total Control Bo MOSFET Loss]]+Table1[[#This Row],[Reverse Recovery Loss MOSFET D BOOST]]*0.66</f>
        <v>0</v>
      </c>
      <c r="BU23" s="354">
        <f xml:space="preserve"> Table1[[#This Row],[Total Sync Bo MOSFET Loss]]+Table1[[#This Row],[Reverse Recovery Loss MOSFET D BOOST]]*0.33</f>
        <v>0.71132680701673412</v>
      </c>
      <c r="BV23" s="354">
        <f>Table1[[#This Row],[Isense Shunt Loss]]</f>
        <v>0.10775953737430781</v>
      </c>
      <c r="CB23" s="18"/>
      <c r="CC23" s="19"/>
    </row>
    <row r="24" spans="1:92" x14ac:dyDescent="0.2">
      <c r="A24" s="35" t="s">
        <v>27</v>
      </c>
      <c r="B24" s="39">
        <f>Cout*1000000</f>
        <v>100</v>
      </c>
      <c r="C24" s="441" t="s">
        <v>639</v>
      </c>
      <c r="D24" s="440" t="s">
        <v>656</v>
      </c>
      <c r="G24">
        <v>15</v>
      </c>
      <c r="H24" s="555">
        <f>VIN_min+(VIN_max-VIN_min)*(Table1[[#This Row],[Step]]/200)</f>
        <v>21.05</v>
      </c>
      <c r="I24" s="4" t="str">
        <f>IF(Mode = 2,IF(Table1[[#This Row],[Vin]]&gt;Vout, "BUCK","BOOST"),IF(Table1[[#This Row],[Vin]]&gt;VIN_BB_to_buck, "BUCK", IF(Table1[[#This Row],[Vin]]&lt;=VIN_boost_to_BB,"BOOST","BUCK-BST")))</f>
        <v>BUCK</v>
      </c>
      <c r="J24">
        <f>IF(Table1[[#This Row],[Mode]]="BOOST",2, IF(Table1[[#This Row],[Mode]]="BUCK", 1,3))</f>
        <v>1</v>
      </c>
      <c r="K24">
        <f t="shared" si="0"/>
        <v>12</v>
      </c>
      <c r="L24" s="4">
        <f>Vout*Table1[[#This Row],[Iout]]/(Table1[[#This Row],[Vin]]*Efficiency)</f>
        <v>8.7610951368921111</v>
      </c>
      <c r="M24" s="711">
        <f>MIN(1/Fsw,CHOOSE(Table1[[#This Row],[Mode Digit]],(Vout+(Rdson2+Rs+Rdcr)*Table1[[#This Row],[Iout]])/(Table1[[#This Row],[Vin]]+(Rs+Rdson2-Rdson1)*Table1[[#This Row],[Iout]])/Fsw,(Vout+(Rdson3+Rdcr)*Table1[[#This Row],[Iin]]-Table1[[#This Row],[Vin]])/(Vout+(Rdson3-Rdson4-Rs)*Table1[[#This Row],[Iin]])/Fsw,t1_Ph_II))</f>
        <v>1.1661922833649588E-6</v>
      </c>
      <c r="N24" s="602">
        <f>CHOOSE(Table1[[#This Row],[Mode Digit]],1/Fsw-Table1[[#This Row],[t1_Ph_II]],1/Fsw-Table1[[#This Row],[t1_Ph_II]],(Vout/Fsw-Table1[[#This Row],[Vin]]*t1_Ph_II)/(Table1[[#This Row],[Vin]]+Vout))</f>
        <v>5.0047438330170789E-7</v>
      </c>
      <c r="O24" s="602">
        <f>1/Fsw-(Table1[[#This Row],[t1_Ph_II]]+Table1[[#This Row],[t2_Ph_I]])</f>
        <v>0</v>
      </c>
      <c r="P2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10.575390108389398</v>
      </c>
      <c r="Q24" s="4">
        <f>CHOOSE(Table1[[#This Row],[Mode Digit]],Table1[[#This Row],[I_0]]+1/Lf*(Table1[[#This Row],[Vin]]-Vout)*Table1[[#This Row],[t1_Ph_II]],Table1[[#This Row],[I_0]]+1/Lf*Table1[[#This Row],[Vin]]*Table1[[#This Row],[t1_Ph_II]],Table1[[#This Row],[I_0]]+(Table1[[#This Row],[Vin]]-Vout)/L*Table1[[#This Row],[t1_Ph_II]])</f>
        <v>13.424609891610604</v>
      </c>
      <c r="R24" s="4">
        <f>CHOOSE(Table1[[#This Row],[Mode Digit]],0,0,Table1[[#This Row],[I_1]]+Table1[[#This Row],[Vin]]/L*Table1[[#This Row],[t2_Ph_I]])</f>
        <v>0</v>
      </c>
      <c r="S24" s="4">
        <f>Fsw*(Table1[[#This Row],[I_0]]*Table1[[#This Row],[t1_Ph_II]]+Table1[[#This Row],[I_1]]*Table1[[#This Row],[t2_Ph_I]]+Table1[[#This Row],[I_2]]*Table1[[#This Row],[t3_Ph_III]])</f>
        <v>11.430967016728594</v>
      </c>
      <c r="T24" s="354">
        <f>MIN(1,CHOOSE(Table1[[#This Row],[Mode Digit]],(Vout+(Rdson2+Rs+Rdcr)*Table1[[#This Row],[Iout]])/(Table1[[#This Row],[Vin]]+(Rs+Rdson2-Rdson1)*Table1[[#This Row],[Iout]]),1,Fsw*Table1[[#This Row],[t2_Ph_I]]+Table1[[#This Row],[t1_Ph_II]]))</f>
        <v>0.69971537001897532</v>
      </c>
      <c r="U24" s="354">
        <f>MIN(1,CHOOSE(Table1[[#This Row],[Mode Digit]],0,(Vout+(Rdson3+Rdcr)*Table1[[#This Row],[Iin]]-Table1[[#This Row],[Vin]])/(Vout+(Rdson3-Rdson4-Rs)*Table1[[#This Row],[Iin]]),Fsw*Table1[[#This Row],[t1_Ph_II]]+Table1[[#This Row],[t3_Ph_III]]))</f>
        <v>0</v>
      </c>
      <c r="V24" s="4">
        <f>MAX(Table1[[#This Row],[I_0]:[I_2]])-MIN(Table1[[#This Row],[I_0]:[I_1]])</f>
        <v>2.8492197832212067</v>
      </c>
      <c r="W2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12.028154656794129</v>
      </c>
      <c r="X24" s="354">
        <f>(Table1[[#This Row],[Irms Lf]]^2*Rdcr*(1+Ltc*Ta-Ltc*25))/(1-Table1[[#This Row],[Irms Lf]]^2*Rdcr*Ltc*ThetaCa)</f>
        <v>0.89950757780245649</v>
      </c>
      <c r="Y24" s="354">
        <f>ABS(7.759*10^-3*Fsw^0.9458*(0.00787*Table1[[#This Row],[Ripple Current pk-pk]])^2.304)</f>
        <v>0.35875303125865643</v>
      </c>
      <c r="Z24" s="354">
        <f>Table1[[#This Row],[DCR    Loss]]+Table1[[#This Row],[Core Loss]]</f>
        <v>1.258260609061113</v>
      </c>
      <c r="AA24" s="4">
        <f>IF(Table1[[#This Row],[Vin]]&gt;Vout, Table1[[#This Row],[Ripple Current pk-pk]]/SQRT(12), SQRT(Table1[[#This Row],[Duty Cycle BOOST Leg]]/(1-Table1[[#This Row],[Duty Cycle BOOST Leg]]))*SQRT(Table1[[#This Row],[Iout]]^2+(Table1[[#This Row],[Ripple Current pk-pk]]^2)/12))</f>
        <v>0.82249890441158546</v>
      </c>
      <c r="AB24" s="354">
        <f>RCoutEsr*Table1[[#This Row],[Irms Cout]]^2</f>
        <v>3.3825222387912916E-3</v>
      </c>
      <c r="AC24" s="354">
        <f>Table1[[#This Row],[Cout ESR Loss]]</f>
        <v>3.3825222387912916E-3</v>
      </c>
      <c r="AD24" s="354">
        <f>IF(Table1[[#This Row],[Vin]]&gt;Vout, SQRT(Table1[[#This Row],[Duty Cycle BUCK Leg]]*(1-Table1[[#This Row],[Duty Cycle BUCK Leg]]))*SQRT(Table1[[#This Row],[Iout]]^2+(Table1[[#This Row],[Ripple Current pk-pk]]^2)/12), Table1[[#This Row],[Ripple Current pk-pk]]/SQRT(12))</f>
        <v>5.5134858230941761</v>
      </c>
      <c r="AE24" s="354">
        <f>RCinEsr*Table1[[#This Row],[Irms Cin]]^2</f>
        <v>6.0797051842920932E-2</v>
      </c>
      <c r="AF24" s="549">
        <f>Table1[[#This Row],[Cin ESR Loss]]</f>
        <v>6.0797051842920932E-2</v>
      </c>
      <c r="AG2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10.061430009830367</v>
      </c>
      <c r="AH24" s="354">
        <f>Rdson1*Table1[[#This Row],[Irms BuCtrl]]^2</f>
        <v>0.4251759701394035</v>
      </c>
      <c r="AI24" s="354">
        <f>CHOOSE(Table1[[#This Row],[Mode Digit]], (Table1[[#This Row],[Vin]]*Table1[[#This Row],[Iout]]/2)*(Fsw)*(Tr_buck+Tf_buck), 0, (Table1[[#This Row],[Vin]]*Table1[[#This Row],[Avg IL]]/2)*(Fsw/1)*(Tr_buck+Tf_buck))</f>
        <v>2.5048742897555067</v>
      </c>
      <c r="AJ24">
        <f>IF(Table1[[#This Row],[Vin]]&gt;Vout, IF(Table1[[#This Row],[Iout]]&gt;Table1[[#This Row],[Ripple Current pk-pk]]/2,0,ABS(Table1[[#This Row],[Iout]]-Table1[[#This Row],[Ripple Current pk-pk]]/2)*Vsd_Q1*Deadtime*Fsw),0)</f>
        <v>0</v>
      </c>
      <c r="AK24" s="354">
        <f>(Table1[[#This Row],[Dead Time Loss BuCtrl]]+Table1[[#This Row],[Transition Loss BuCtrl]]+Table1[[#This Row],[RDS(on) Loss BuCtrl]]*(1+RdsonTopTc*Ta-RdsonTopTc*25))/(1-Table1[[#This Row],[RDS(on) Loss BuCtrl]]*RdsonTopTc*ThetaJA_Q1)</f>
        <v>3.2630156640222894</v>
      </c>
      <c r="AL24" s="354">
        <f>CHOOSE(Table1[[#This Row],[Mode Digit]],SQRT((Fsw*(Table1[[#This Row],[t2_Ph_I]]+0))*((Table1[[#This Row],[I_0]]*Table1[[#This Row],[I_1]]+((Table1[[#This Row],[I_0]]-Table1[[#This Row],[I_1]])^2)/3))),0,SQRT((Fsw*(Table1[[#This Row],[t3_Ph_III]]+0))*((Table1[[#This Row],[I_0]]*Table1[[#This Row],[I_2]]+((Table1[[#This Row],[I_0]]-Table1[[#This Row],[I_2]])^2)/3))))</f>
        <v>6.5912161704076411</v>
      </c>
      <c r="AM24" s="354">
        <f>Rdson2*Table1[[#This Row],[Irms BuSync]]^2</f>
        <v>0.18246534854118135</v>
      </c>
      <c r="AN2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4" s="354">
        <f>(Table1[[#This Row],[Deadtime Loss BuSync]]+Table1[[#This Row],[RDS(on) Loss BuSync]]*(1+RdsonBotTc*Ta-RdsonBotTc*25))/(1-Table1[[#This Row],[RDS(on) Loss BuSync]]*RdsonBotTc*ThetaJA_Q2)</f>
        <v>0.79463518996878812</v>
      </c>
      <c r="AP24" s="354">
        <f>CHOOSE(Table1[[#This Row],[Mode Digit]],0,SQRT((Fsw*(Table1[[#This Row],[t1_Ph_II]]+0))*((Table1[[#This Row],[I_0]]*Table1[[#This Row],[I_1]]+((Table1[[#This Row],[I_0]]-Table1[[#This Row],[I_1]])^2)/3))),SQRT((Fsw*(Table1[[#This Row],[t2_Ph_I]]+0))*((Table1[[#This Row],[I_1]]*Table1[[#This Row],[I_2]]+((Table1[[#This Row],[I_1]]-Table1[[#This Row],[I_2]])^2)/3))))</f>
        <v>0</v>
      </c>
      <c r="AQ24" s="354">
        <f>Rdson4*Table1[[#This Row],[Irms BoCtlr]]^2</f>
        <v>0</v>
      </c>
      <c r="AR24" s="354">
        <f>CHOOSE(Table1[[#This Row],[Mode Digit]], 0, (Vout*Table1[[#This Row],[Iin]]/2)*(Fsw)*(Tr_boost+Tf_boost), (Vout*Iout/2)*(Fsw/1)*(Tr_boost+Tf_boost))</f>
        <v>0</v>
      </c>
      <c r="AS24">
        <f>IF(Table1[[#This Row],[Vin]]&gt;Vout, 0, IF(Table1[[#This Row],[Iin]]&gt;Table1[[#This Row],[Ripple Current pk-pk]]/2,0,ABS(Table1[[#This Row],[Iin]]-Table1[[#This Row],[Ripple Current pk-pk]]/2)*Vsd_Q4*Deadtime*Fsw))</f>
        <v>0</v>
      </c>
      <c r="AT24" s="354">
        <f>(Table1[[#This Row],[Dead Time Loss BoCtlr]]+Table1[[#This Row],[Transition Loss BoCtlr]]+Table1[[#This Row],[RDS(on) Loss BoCtlr]]*(1+RdsonTopTc*Ta-RdsonTopTc*25))/(1-Table1[[#This Row],[RDS(on) Loss BoCtlr]]*RdsonTopTc*ThetaJA_Q4)</f>
        <v>0</v>
      </c>
      <c r="AU2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12.028154656794129</v>
      </c>
      <c r="AV24" s="354">
        <f>Rdson3*Table1[[#This Row],[Irms BoSync]]^2</f>
        <v>0.60764131868058502</v>
      </c>
      <c r="AW2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4" s="354">
        <f>(Table1[[#This Row],[Deadtime Loss BoSync]]+Table1[[#This Row],[RDS(on) Loss BoSync]]*(1+RdsonBotTc*Ta-RdsonBotTc*25))/(1-Table1[[#This Row],[RDS(on) Loss BoSync]]*RdsonBotTc*ThetaJA_Q3)</f>
        <v>0.71138544412684313</v>
      </c>
      <c r="AY24" s="354">
        <f>CHOOSE(Table1[[#This Row],[Mode Digit]], Rdson3*Table1[[#This Row],[Irms Lf]]^2, Rdson1*Table1[[#This Row],[Irms Lf]]^2, 0)</f>
        <v>0.60764131868058502</v>
      </c>
      <c r="AZ24" s="354">
        <f>CHOOSE(Table1[[#This Row],[Mode Digit]], 2*Deadtime*Fsw*IF(VfdSky_Q2&gt;0,VfdSky_Q2,0)*Table1[[#This Row],[Iout]], 2*Deadtime*Fsw*IF(VfdSky_Q3&gt;0,VfdSky_Q3,0)*Table1[[#This Row],[Iin]], 2*Deadtime*Fsw*IF(VfdSky_Q2&gt;0,VfdSky_Q2,0)*Table1[[#This Row],[Iout]]+2*Deadtime*Fsw*IF(VfdSky_Q3&gt;0,VfdSky_Q3,0)*Table1[[#This Row],[Iin]])</f>
        <v>0</v>
      </c>
      <c r="BA24" s="354">
        <f>CHOOSE(Table1[[#This Row],[Mode Digit]], IF(QrrSky_Q2&gt;0,QrrSky_Q2,Qrr_Q2)*Fsw*(Table1[[#This Row],[Vin]]-Table1[[#This Row],[Iout]]*Rdson1),0,  IF(QrrSky_Q2&gt;0,QrrSky_Q2,Qrr_Q2)*Fsw*(Table1[[#This Row],[Vin]]-Table1[[#This Row],[Iout]]*Rdson1)+IF(QrrSky_Q3&gt;0,QrrSky_Q3,Qrr_Q3)*Fsw*Vout)</f>
        <v>0.25199520000000003</v>
      </c>
      <c r="BB24" s="354">
        <f>CHOOSE(Table1[[#This Row],[Mode Digit]],0, IF(QrrSky_Q3&gt;0,QrrSky_Q3,Qrr_Q3)*Fsw*Vout,  IF(QrrSky_Q2&gt;0,QrrSky_Q2,Qrr_Q2)*Fsw*(Table1[[#This Row],[Vin]]-Table1[[#This Row],[Iout]]*Rdson1)+IF(QrrSky_Q3&gt;0,QrrSky_Q3,Qrr_Q3)*Fsw*Vout)</f>
        <v>0</v>
      </c>
      <c r="BC24" s="354">
        <f>CHOOSE(Table1[[#This Row],[Mode Digit]], Rs*Table1[[#This Row],[Irms BuSync]]^2, Rs*Table1[[#This Row],[Irms BoCtlr]]^2, Rs*(Table1[[#This Row],[Irms BuSync]]^2+Table1[[#This Row],[Irms BoCtlr]]^2))</f>
        <v>0.10861032651260794</v>
      </c>
      <c r="BD24" s="354">
        <f t="shared" si="1"/>
        <v>1.44</v>
      </c>
      <c r="BE24" s="354">
        <f>IF(Vout&gt;8, Iq*Vout, Iq*Table1[[#This Row],[Vin]])</f>
        <v>4.3799999999999999E-2</v>
      </c>
      <c r="BF24" s="354">
        <f>CHOOSE(Table1[[#This Row],[Mode Digit]], (Qg_Q1+Qg_Q2)*Fsw, (Qg_Q3+Qg_Q4)*Fsw, (Qg_Q1+Qg_Q2+Qg_Q3+Qg_Q4)*Fsw)*IF(Vout&gt;8, Vout, Table1[[#This Row],[Vin]])</f>
        <v>0.47303999999999996</v>
      </c>
      <c r="BG24" s="354">
        <f t="shared" si="2"/>
        <v>0.57269042016806726</v>
      </c>
      <c r="BH24" s="354">
        <f>Table1[[#This Row],[IQ Loss]]+Table1[[#This Row],[Switching Current Loss]]</f>
        <v>0.51683999999999997</v>
      </c>
      <c r="BI2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8.4089220077733522</v>
      </c>
      <c r="BJ24">
        <f>Vout*Table1[[#This Row],[Iout]]</f>
        <v>175.2</v>
      </c>
      <c r="BK24" s="550">
        <f>Table1[[#This Row],[Pout]]/(Table1[[#This Row],[Pout]]+Table1[[#This Row],[Total Loss]])</f>
        <v>0.95420199674492201</v>
      </c>
      <c r="BL2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195.78093984133736</v>
      </c>
      <c r="BM24" s="559">
        <f>IF(Table1[[#This Row],[Vin]]&gt;Vout, Table1[[#This Row],[Total Sync Bu MOSFET Loss]]*ThetaJA_Q2, ThetaJA_Q3*Table1[[#This Row],[Total Sync Bo MOSFET Loss]])</f>
        <v>47.678111398127285</v>
      </c>
      <c r="BN24" s="9"/>
      <c r="BO24" s="4">
        <f>Table1[[#This Row],[EFF, h]]*100</f>
        <v>95.420199674492196</v>
      </c>
      <c r="BP24" s="354">
        <f>Table1[[#This Row],[Total Inductor Loss]]</f>
        <v>1.258260609061113</v>
      </c>
      <c r="BQ24" s="354">
        <f>Table1[[#This Row],[Total Control Bu MOSFET Loss]]+Table1[[#This Row],[Total Sync Bu MOSFET Loss]]+Table1[[#This Row],[Total Control Bo MOSFET Loss]]+Table1[[#This Row],[Total Sync Bo MOSFET Loss]]+Table1[[#This Row],[Reverse Recovery Loss MOSFET D BUCK]]+Table1[[#This Row],[Reverse Recovery Loss MOSFET D BOOST]]</f>
        <v>5.02103149811792</v>
      </c>
      <c r="BR24" s="354">
        <f>Table1[[#This Row],[Total Control Bu MOSFET Loss]]+Table1[[#This Row],[Reverse Recovery Loss MOSFET D BUCK]]*0.66</f>
        <v>3.4293324960222895</v>
      </c>
      <c r="BS24" s="354">
        <f>Table1[[#This Row],[Total Sync Bu MOSFET Loss]]+Table1[[#This Row],[Reverse Recovery Loss MOSFET D BUCK]]*0.33</f>
        <v>0.87779360596878808</v>
      </c>
      <c r="BT24" s="354">
        <f xml:space="preserve"> Table1[[#This Row],[Total Control Bo MOSFET Loss]]+Table1[[#This Row],[Reverse Recovery Loss MOSFET D BOOST]]*0.66</f>
        <v>0</v>
      </c>
      <c r="BU24" s="354">
        <f xml:space="preserve"> Table1[[#This Row],[Total Sync Bo MOSFET Loss]]+Table1[[#This Row],[Reverse Recovery Loss MOSFET D BOOST]]*0.33</f>
        <v>0.71138544412684313</v>
      </c>
      <c r="BV24" s="354">
        <f>Table1[[#This Row],[Isense Shunt Loss]]</f>
        <v>0.10861032651260794</v>
      </c>
      <c r="CB24" s="18"/>
      <c r="CC24" s="19"/>
    </row>
    <row r="25" spans="1:92" x14ac:dyDescent="0.2">
      <c r="A25" s="35" t="s">
        <v>88</v>
      </c>
      <c r="B25" s="40">
        <f>CoutEsr*1000</f>
        <v>5</v>
      </c>
      <c r="C25" s="442" t="s">
        <v>638</v>
      </c>
      <c r="D25" s="440" t="s">
        <v>655</v>
      </c>
      <c r="G25">
        <v>16</v>
      </c>
      <c r="H25" s="555">
        <f>VIN_min+(VIN_max-VIN_min)*(Table1[[#This Row],[Step]]/200)</f>
        <v>21.12</v>
      </c>
      <c r="I25" s="4" t="str">
        <f>IF(Mode = 2,IF(Table1[[#This Row],[Vin]]&gt;Vout, "BUCK","BOOST"),IF(Table1[[#This Row],[Vin]]&gt;VIN_BB_to_buck, "BUCK", IF(Table1[[#This Row],[Vin]]&lt;=VIN_boost_to_BB,"BOOST","BUCK-BST")))</f>
        <v>BUCK</v>
      </c>
      <c r="J25">
        <f>IF(Table1[[#This Row],[Mode]]="BOOST",2, IF(Table1[[#This Row],[Mode]]="BUCK", 1,3))</f>
        <v>1</v>
      </c>
      <c r="K25">
        <f t="shared" si="0"/>
        <v>12</v>
      </c>
      <c r="L25" s="4">
        <f>Vout*Table1[[#This Row],[Iout]]/(Table1[[#This Row],[Vin]]*Efficiency)</f>
        <v>8.7320574162679421</v>
      </c>
      <c r="M25" s="711">
        <f>MIN(1/Fsw,CHOOSE(Table1[[#This Row],[Mode Digit]],(Vout+(Rdson2+Rs+Rdcr)*Table1[[#This Row],[Iout]])/(Table1[[#This Row],[Vin]]+(Rs+Rdson2-Rdson1)*Table1[[#This Row],[Iout]])/Fsw,(Vout+(Rdson3+Rdcr)*Table1[[#This Row],[Iin]]-Table1[[#This Row],[Vin]])/(Vout+(Rdson3-Rdson4-Rs)*Table1[[#This Row],[Iin]])/Fsw,t1_Ph_II))</f>
        <v>1.1623325453112686E-6</v>
      </c>
      <c r="N25" s="602">
        <f>CHOOSE(Table1[[#This Row],[Mode Digit]],1/Fsw-Table1[[#This Row],[t1_Ph_II]],1/Fsw-Table1[[#This Row],[t1_Ph_II]],(Vout/Fsw-Table1[[#This Row],[Vin]]*t1_Ph_II)/(Table1[[#This Row],[Vin]]+Vout))</f>
        <v>5.0433412135539807E-7</v>
      </c>
      <c r="O25" s="602">
        <f>1/Fsw-(Table1[[#This Row],[t1_Ph_II]]+Table1[[#This Row],[t2_Ph_I]])</f>
        <v>0</v>
      </c>
      <c r="P2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10.564695417532297</v>
      </c>
      <c r="Q25" s="4">
        <f>CHOOSE(Table1[[#This Row],[Mode Digit]],Table1[[#This Row],[I_0]]+1/Lf*(Table1[[#This Row],[Vin]]-Vout)*Table1[[#This Row],[t1_Ph_II]],Table1[[#This Row],[I_0]]+1/Lf*Table1[[#This Row],[Vin]]*Table1[[#This Row],[t1_Ph_II]],Table1[[#This Row],[I_0]]+(Table1[[#This Row],[Vin]]-Vout)/L*Table1[[#This Row],[t1_Ph_II]])</f>
        <v>13.435304582467703</v>
      </c>
      <c r="R25" s="4">
        <f>CHOOSE(Table1[[#This Row],[Mode Digit]],0,0,Table1[[#This Row],[I_1]]+Table1[[#This Row],[Vin]]/L*Table1[[#This Row],[t2_Ph_I]])</f>
        <v>0</v>
      </c>
      <c r="S25" s="4">
        <f>Fsw*(Table1[[#This Row],[I_0]]*Table1[[#This Row],[t1_Ph_II]]+Table1[[#This Row],[I_1]]*Table1[[#This Row],[t2_Ph_I]]+Table1[[#This Row],[I_2]]*Table1[[#This Row],[t3_Ph_III]])</f>
        <v>11.433343108103767</v>
      </c>
      <c r="T25" s="354">
        <f>MIN(1,CHOOSE(Table1[[#This Row],[Mode Digit]],(Vout+(Rdson2+Rs+Rdcr)*Table1[[#This Row],[Iout]])/(Table1[[#This Row],[Vin]]+(Rs+Rdson2-Rdson1)*Table1[[#This Row],[Iout]]),1,Fsw*Table1[[#This Row],[t2_Ph_I]]+Table1[[#This Row],[t1_Ph_II]]))</f>
        <v>0.69739952718676113</v>
      </c>
      <c r="U25" s="354">
        <f>MIN(1,CHOOSE(Table1[[#This Row],[Mode Digit]],0,(Vout+(Rdson3+Rdcr)*Table1[[#This Row],[Iin]]-Table1[[#This Row],[Vin]])/(Vout+(Rdson3-Rdson4-Rs)*Table1[[#This Row],[Iin]]),Fsw*Table1[[#This Row],[t1_Ph_II]]+Table1[[#This Row],[t3_Ph_III]]))</f>
        <v>0</v>
      </c>
      <c r="V25" s="4">
        <f>MAX(Table1[[#This Row],[I_0]:[I_2]])-MIN(Table1[[#This Row],[I_0]:[I_1]])</f>
        <v>2.8706091649354057</v>
      </c>
      <c r="W2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12.028578459159291</v>
      </c>
      <c r="X25" s="354">
        <f>(Table1[[#This Row],[Irms Lf]]^2*Rdcr*(1+Ltc*Ta-Ltc*25))/(1-Table1[[#This Row],[Irms Lf]]^2*Rdcr*Ltc*ThetaCa)</f>
        <v>0.89957552755405856</v>
      </c>
      <c r="Y25" s="354">
        <f>ABS(7.759*10^-3*Fsw^0.9458*(0.00787*Table1[[#This Row],[Ripple Current pk-pk]])^2.304)</f>
        <v>0.36498854824165494</v>
      </c>
      <c r="Z25" s="354">
        <f>Table1[[#This Row],[DCR    Loss]]+Table1[[#This Row],[Core Loss]]</f>
        <v>1.2645640757957135</v>
      </c>
      <c r="AA25" s="4">
        <f>IF(Table1[[#This Row],[Vin]]&gt;Vout, Table1[[#This Row],[Ripple Current pk-pk]]/SQRT(12), SQRT(Table1[[#This Row],[Duty Cycle BOOST Leg]]/(1-Table1[[#This Row],[Duty Cycle BOOST Leg]]))*SQRT(Table1[[#This Row],[Iout]]^2+(Table1[[#This Row],[Ripple Current pk-pk]]^2)/12))</f>
        <v>0.82867348705683175</v>
      </c>
      <c r="AB25" s="354">
        <f>RCoutEsr*Table1[[#This Row],[Irms Cout]]^2</f>
        <v>3.4334987407546452E-3</v>
      </c>
      <c r="AC25" s="354">
        <f>Table1[[#This Row],[Cout ESR Loss]]</f>
        <v>3.4334987407546452E-3</v>
      </c>
      <c r="AD25" s="354">
        <f>IF(Table1[[#This Row],[Vin]]&gt;Vout, SQRT(Table1[[#This Row],[Duty Cycle BUCK Leg]]*(1-Table1[[#This Row],[Duty Cycle BUCK Leg]]))*SQRT(Table1[[#This Row],[Iout]]^2+(Table1[[#This Row],[Ripple Current pk-pk]]^2)/12), Table1[[#This Row],[Ripple Current pk-pk]]/SQRT(12))</f>
        <v>5.5257334391835347</v>
      </c>
      <c r="AE25" s="354">
        <f>RCinEsr*Table1[[#This Row],[Irms Cin]]^2</f>
        <v>6.1067460081822192E-2</v>
      </c>
      <c r="AF25" s="549">
        <f>Table1[[#This Row],[Cin ESR Loss]]</f>
        <v>6.1067460081822192E-2</v>
      </c>
      <c r="AG2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10.045120008968201</v>
      </c>
      <c r="AH25" s="354">
        <f>Rdson1*Table1[[#This Row],[Irms BuCtrl]]^2</f>
        <v>0.42379863117720801</v>
      </c>
      <c r="AI25" s="354">
        <f>CHOOSE(Table1[[#This Row],[Mode Digit]], (Table1[[#This Row],[Vin]]*Table1[[#This Row],[Iout]]/2)*(Fsw)*(Tr_buck+Tf_buck), 0, (Table1[[#This Row],[Vin]]*Table1[[#This Row],[Avg IL]]/2)*(Fsw/1)*(Tr_buck+Tf_buck))</f>
        <v>2.5132040379874727</v>
      </c>
      <c r="AJ25">
        <f>IF(Table1[[#This Row],[Vin]]&gt;Vout, IF(Table1[[#This Row],[Iout]]&gt;Table1[[#This Row],[Ripple Current pk-pk]]/2,0,ABS(Table1[[#This Row],[Iout]]-Table1[[#This Row],[Ripple Current pk-pk]]/2)*Vsd_Q1*Deadtime*Fsw),0)</f>
        <v>0</v>
      </c>
      <c r="AK25" s="354">
        <f>(Table1[[#This Row],[Dead Time Loss BuCtrl]]+Table1[[#This Row],[Transition Loss BuCtrl]]+Table1[[#This Row],[RDS(on) Loss BuCtrl]]*(1+RdsonTopTc*Ta-RdsonTopTc*25))/(1-Table1[[#This Row],[RDS(on) Loss BuCtrl]]*RdsonTopTc*ThetaJA_Q1)</f>
        <v>3.2695545248950224</v>
      </c>
      <c r="AL25" s="354">
        <f>CHOOSE(Table1[[#This Row],[Mode Digit]],SQRT((Fsw*(Table1[[#This Row],[t2_Ph_I]]+0))*((Table1[[#This Row],[I_0]]*Table1[[#This Row],[I_1]]+((Table1[[#This Row],[I_0]]-Table1[[#This Row],[I_1]])^2)/3))),0,SQRT((Fsw*(Table1[[#This Row],[t3_Ph_III]]+0))*((Table1[[#This Row],[I_0]]*Table1[[#This Row],[I_2]]+((Table1[[#This Row],[I_0]]-Table1[[#This Row],[I_2]])^2)/3))))</f>
        <v>6.6168167387028021</v>
      </c>
      <c r="AM25" s="354">
        <f>Rdson2*Table1[[#This Row],[Irms BuSync]]^2</f>
        <v>0.18388550776502591</v>
      </c>
      <c r="AN2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5" s="354">
        <f>(Table1[[#This Row],[Deadtime Loss BuSync]]+Table1[[#This Row],[RDS(on) Loss BuSync]]*(1+RdsonBotTc*Ta-RdsonBotTc*25))/(1-Table1[[#This Row],[RDS(on) Loss BuSync]]*RdsonBotTc*ThetaJA_Q2)</f>
        <v>0.79640426497262817</v>
      </c>
      <c r="AP25" s="354">
        <f>CHOOSE(Table1[[#This Row],[Mode Digit]],0,SQRT((Fsw*(Table1[[#This Row],[t1_Ph_II]]+0))*((Table1[[#This Row],[I_0]]*Table1[[#This Row],[I_1]]+((Table1[[#This Row],[I_0]]-Table1[[#This Row],[I_1]])^2)/3))),SQRT((Fsw*(Table1[[#This Row],[t2_Ph_I]]+0))*((Table1[[#This Row],[I_1]]*Table1[[#This Row],[I_2]]+((Table1[[#This Row],[I_1]]-Table1[[#This Row],[I_2]])^2)/3))))</f>
        <v>0</v>
      </c>
      <c r="AQ25" s="354">
        <f>Rdson4*Table1[[#This Row],[Irms BoCtlr]]^2</f>
        <v>0</v>
      </c>
      <c r="AR25" s="354">
        <f>CHOOSE(Table1[[#This Row],[Mode Digit]], 0, (Vout*Table1[[#This Row],[Iin]]/2)*(Fsw)*(Tr_boost+Tf_boost), (Vout*Iout/2)*(Fsw/1)*(Tr_boost+Tf_boost))</f>
        <v>0</v>
      </c>
      <c r="AS25">
        <f>IF(Table1[[#This Row],[Vin]]&gt;Vout, 0, IF(Table1[[#This Row],[Iin]]&gt;Table1[[#This Row],[Ripple Current pk-pk]]/2,0,ABS(Table1[[#This Row],[Iin]]-Table1[[#This Row],[Ripple Current pk-pk]]/2)*Vsd_Q4*Deadtime*Fsw))</f>
        <v>0</v>
      </c>
      <c r="AT25" s="354">
        <f>(Table1[[#This Row],[Dead Time Loss BoCtlr]]+Table1[[#This Row],[Transition Loss BoCtlr]]+Table1[[#This Row],[RDS(on) Loss BoCtlr]]*(1+RdsonTopTc*Ta-RdsonTopTc*25))/(1-Table1[[#This Row],[RDS(on) Loss BoCtlr]]*RdsonTopTc*ThetaJA_Q4)</f>
        <v>0</v>
      </c>
      <c r="AU2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12.028578459159291</v>
      </c>
      <c r="AV25" s="354">
        <f>Rdson3*Table1[[#This Row],[Irms BoSync]]^2</f>
        <v>0.60768413894223394</v>
      </c>
      <c r="AW2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5" s="354">
        <f>(Table1[[#This Row],[Deadtime Loss BoSync]]+Table1[[#This Row],[RDS(on) Loss BoSync]]*(1+RdsonBotTc*Ta-RdsonBotTc*25))/(1-Table1[[#This Row],[RDS(on) Loss BoSync]]*RdsonBotTc*ThetaJA_Q3)</f>
        <v>0.71144413490885572</v>
      </c>
      <c r="AY25" s="354">
        <f>CHOOSE(Table1[[#This Row],[Mode Digit]], Rdson3*Table1[[#This Row],[Irms Lf]]^2, Rdson1*Table1[[#This Row],[Irms Lf]]^2, 0)</f>
        <v>0.60768413894223394</v>
      </c>
      <c r="AZ25" s="354">
        <f>CHOOSE(Table1[[#This Row],[Mode Digit]], 2*Deadtime*Fsw*IF(VfdSky_Q2&gt;0,VfdSky_Q2,0)*Table1[[#This Row],[Iout]], 2*Deadtime*Fsw*IF(VfdSky_Q3&gt;0,VfdSky_Q3,0)*Table1[[#This Row],[Iin]], 2*Deadtime*Fsw*IF(VfdSky_Q2&gt;0,VfdSky_Q2,0)*Table1[[#This Row],[Iout]]+2*Deadtime*Fsw*IF(VfdSky_Q3&gt;0,VfdSky_Q3,0)*Table1[[#This Row],[Iin]])</f>
        <v>0</v>
      </c>
      <c r="BA25" s="354">
        <f>CHOOSE(Table1[[#This Row],[Mode Digit]], IF(QrrSky_Q2&gt;0,QrrSky_Q2,Qrr_Q2)*Fsw*(Table1[[#This Row],[Vin]]-Table1[[#This Row],[Iout]]*Rdson1),0,  IF(QrrSky_Q2&gt;0,QrrSky_Q2,Qrr_Q2)*Fsw*(Table1[[#This Row],[Vin]]-Table1[[#This Row],[Iout]]*Rdson1)+IF(QrrSky_Q3&gt;0,QrrSky_Q3,Qrr_Q3)*Fsw*Vout)</f>
        <v>0.25283520000000004</v>
      </c>
      <c r="BB25" s="354">
        <f>CHOOSE(Table1[[#This Row],[Mode Digit]],0, IF(QrrSky_Q3&gt;0,QrrSky_Q3,Qrr_Q3)*Fsw*Vout,  IF(QrrSky_Q2&gt;0,QrrSky_Q2,Qrr_Q2)*Fsw*(Table1[[#This Row],[Vin]]-Table1[[#This Row],[Iout]]*Rdson1)+IF(QrrSky_Q3&gt;0,QrrSky_Q3,Qrr_Q3)*Fsw*Vout)</f>
        <v>0</v>
      </c>
      <c r="BC25" s="354">
        <f>CHOOSE(Table1[[#This Row],[Mode Digit]], Rs*Table1[[#This Row],[Irms BuSync]]^2, Rs*Table1[[#This Row],[Irms BoCtlr]]^2, Rs*(Table1[[#This Row],[Irms BuSync]]^2+Table1[[#This Row],[Irms BoCtlr]]^2))</f>
        <v>0.10945565938394397</v>
      </c>
      <c r="BD25" s="354">
        <f t="shared" si="1"/>
        <v>1.44</v>
      </c>
      <c r="BE25" s="354">
        <f>IF(Vout&gt;8, Iq*Vout, Iq*Table1[[#This Row],[Vin]])</f>
        <v>4.3799999999999999E-2</v>
      </c>
      <c r="BF25" s="354">
        <f>CHOOSE(Table1[[#This Row],[Mode Digit]], (Qg_Q1+Qg_Q2)*Fsw, (Qg_Q3+Qg_Q4)*Fsw, (Qg_Q1+Qg_Q2+Qg_Q3+Qg_Q4)*Fsw)*IF(Vout&gt;8, Vout, Table1[[#This Row],[Vin]])</f>
        <v>0.47303999999999996</v>
      </c>
      <c r="BG25" s="354">
        <f t="shared" si="2"/>
        <v>0.57269042016806726</v>
      </c>
      <c r="BH25" s="354">
        <f>Table1[[#This Row],[IQ Loss]]+Table1[[#This Row],[Switching Current Loss]]</f>
        <v>0.51683999999999997</v>
      </c>
      <c r="BI2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8.4255988187787398</v>
      </c>
      <c r="BJ25">
        <f>Vout*Table1[[#This Row],[Iout]]</f>
        <v>175.2</v>
      </c>
      <c r="BK25" s="550">
        <f>Table1[[#This Row],[Pout]]/(Table1[[#This Row],[Pout]]+Table1[[#This Row],[Total Loss]])</f>
        <v>0.9541153364619166</v>
      </c>
      <c r="BL2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196.17327149370135</v>
      </c>
      <c r="BM25" s="559">
        <f>IF(Table1[[#This Row],[Vin]]&gt;Vout, Table1[[#This Row],[Total Sync Bu MOSFET Loss]]*ThetaJA_Q2, ThetaJA_Q3*Table1[[#This Row],[Total Sync Bo MOSFET Loss]])</f>
        <v>47.784255898357692</v>
      </c>
      <c r="BN25" s="9"/>
      <c r="BO25" s="4">
        <f>Table1[[#This Row],[EFF, h]]*100</f>
        <v>95.411533646191657</v>
      </c>
      <c r="BP25" s="354">
        <f>Table1[[#This Row],[Total Inductor Loss]]</f>
        <v>1.2645640757957135</v>
      </c>
      <c r="BQ25" s="354">
        <f>Table1[[#This Row],[Total Control Bu MOSFET Loss]]+Table1[[#This Row],[Total Sync Bu MOSFET Loss]]+Table1[[#This Row],[Total Control Bo MOSFET Loss]]+Table1[[#This Row],[Total Sync Bo MOSFET Loss]]+Table1[[#This Row],[Reverse Recovery Loss MOSFET D BUCK]]+Table1[[#This Row],[Reverse Recovery Loss MOSFET D BOOST]]</f>
        <v>5.0302381247765062</v>
      </c>
      <c r="BR25" s="354">
        <f>Table1[[#This Row],[Total Control Bu MOSFET Loss]]+Table1[[#This Row],[Reverse Recovery Loss MOSFET D BUCK]]*0.66</f>
        <v>3.4364257568950225</v>
      </c>
      <c r="BS25" s="354">
        <f>Table1[[#This Row],[Total Sync Bu MOSFET Loss]]+Table1[[#This Row],[Reverse Recovery Loss MOSFET D BUCK]]*0.33</f>
        <v>0.87983988097262822</v>
      </c>
      <c r="BT25" s="354">
        <f xml:space="preserve"> Table1[[#This Row],[Total Control Bo MOSFET Loss]]+Table1[[#This Row],[Reverse Recovery Loss MOSFET D BOOST]]*0.66</f>
        <v>0</v>
      </c>
      <c r="BU25" s="354">
        <f xml:space="preserve"> Table1[[#This Row],[Total Sync Bo MOSFET Loss]]+Table1[[#This Row],[Reverse Recovery Loss MOSFET D BOOST]]*0.33</f>
        <v>0.71144413490885572</v>
      </c>
      <c r="BV25" s="354">
        <f>Table1[[#This Row],[Isense Shunt Loss]]</f>
        <v>0.10945565938394397</v>
      </c>
      <c r="BZ25" t="s">
        <v>149</v>
      </c>
      <c r="CA25" t="s">
        <v>4</v>
      </c>
      <c r="CB25" t="s">
        <v>6</v>
      </c>
      <c r="CC25" t="s">
        <v>5</v>
      </c>
      <c r="CD25" t="s">
        <v>150</v>
      </c>
      <c r="CE25" t="s">
        <v>151</v>
      </c>
    </row>
    <row r="26" spans="1:92" x14ac:dyDescent="0.2">
      <c r="A26" s="24" t="s">
        <v>114</v>
      </c>
      <c r="B26" s="37" t="s">
        <v>113</v>
      </c>
      <c r="C26" s="24" t="s">
        <v>80</v>
      </c>
      <c r="D26" s="17" t="s">
        <v>109</v>
      </c>
      <c r="G26">
        <v>17</v>
      </c>
      <c r="H26" s="555">
        <f>VIN_min+(VIN_max-VIN_min)*(Table1[[#This Row],[Step]]/200)</f>
        <v>21.19</v>
      </c>
      <c r="I26" s="4" t="str">
        <f>IF(Mode = 2,IF(Table1[[#This Row],[Vin]]&gt;Vout, "BUCK","BOOST"),IF(Table1[[#This Row],[Vin]]&gt;VIN_BB_to_buck, "BUCK", IF(Table1[[#This Row],[Vin]]&lt;=VIN_boost_to_BB,"BOOST","BUCK-BST")))</f>
        <v>BUCK</v>
      </c>
      <c r="J26">
        <f>IF(Table1[[#This Row],[Mode]]="BOOST",2, IF(Table1[[#This Row],[Mode]]="BUCK", 1,3))</f>
        <v>1</v>
      </c>
      <c r="K26">
        <f t="shared" si="0"/>
        <v>12</v>
      </c>
      <c r="L26" s="4">
        <f>Vout*Table1[[#This Row],[Iout]]/(Table1[[#This Row],[Vin]]*Efficiency)</f>
        <v>8.7032115446710208</v>
      </c>
      <c r="M26" s="711">
        <f>MIN(1/Fsw,CHOOSE(Table1[[#This Row],[Mode Digit]],(Vout+(Rdson2+Rs+Rdcr)*Table1[[#This Row],[Iout]])/(Table1[[#This Row],[Vin]]+(Rs+Rdson2-Rdson1)*Table1[[#This Row],[Iout]])/Fsw,(Vout+(Rdson3+Rdcr)*Table1[[#This Row],[Iin]]-Table1[[#This Row],[Vin]])/(Vout+(Rdson3-Rdson4-Rs)*Table1[[#This Row],[Iin]])/Fsw,t1_Ph_II))</f>
        <v>1.1584982720703737E-6</v>
      </c>
      <c r="N26" s="602">
        <f>CHOOSE(Table1[[#This Row],[Mode Digit]],1/Fsw-Table1[[#This Row],[t1_Ph_II]],1/Fsw-Table1[[#This Row],[t1_Ph_II]],(Vout/Fsw-Table1[[#This Row],[Vin]]*t1_Ph_II)/(Table1[[#This Row],[Vin]]+Vout))</f>
        <v>5.0816839459629296E-7</v>
      </c>
      <c r="O26" s="602">
        <f>1/Fsw-(Table1[[#This Row],[t1_Ph_II]]+Table1[[#This Row],[t2_Ph_I]])</f>
        <v>0</v>
      </c>
      <c r="P2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10.554071285427318</v>
      </c>
      <c r="Q26" s="4">
        <f>CHOOSE(Table1[[#This Row],[Mode Digit]],Table1[[#This Row],[I_0]]+1/Lf*(Table1[[#This Row],[Vin]]-Vout)*Table1[[#This Row],[t1_Ph_II]],Table1[[#This Row],[I_0]]+1/Lf*Table1[[#This Row],[Vin]]*Table1[[#This Row],[t1_Ph_II]],Table1[[#This Row],[I_0]]+(Table1[[#This Row],[Vin]]-Vout)/L*Table1[[#This Row],[t1_Ph_II]])</f>
        <v>13.445928714572684</v>
      </c>
      <c r="R26" s="4">
        <f>CHOOSE(Table1[[#This Row],[Mode Digit]],0,0,Table1[[#This Row],[I_1]]+Table1[[#This Row],[Vin]]/L*Table1[[#This Row],[t2_Ph_I]])</f>
        <v>0</v>
      </c>
      <c r="S26" s="4">
        <f>Fsw*(Table1[[#This Row],[I_0]]*Table1[[#This Row],[t1_Ph_II]]+Table1[[#This Row],[I_1]]*Table1[[#This Row],[t2_Ph_I]]+Table1[[#This Row],[I_2]]*Table1[[#This Row],[t3_Ph_III]])</f>
        <v>11.435801613729415</v>
      </c>
      <c r="T26" s="354">
        <f>MIN(1,CHOOSE(Table1[[#This Row],[Mode Digit]],(Vout+(Rdson2+Rs+Rdcr)*Table1[[#This Row],[Iout]])/(Table1[[#This Row],[Vin]]+(Rs+Rdson2-Rdson1)*Table1[[#This Row],[Iout]]),1,Fsw*Table1[[#This Row],[t2_Ph_I]]+Table1[[#This Row],[t1_Ph_II]]))</f>
        <v>0.6950989632422242</v>
      </c>
      <c r="U26" s="354">
        <f>MIN(1,CHOOSE(Table1[[#This Row],[Mode Digit]],0,(Vout+(Rdson3+Rdcr)*Table1[[#This Row],[Iin]]-Table1[[#This Row],[Vin]])/(Vout+(Rdson3-Rdson4-Rs)*Table1[[#This Row],[Iin]]),Fsw*Table1[[#This Row],[t1_Ph_II]]+Table1[[#This Row],[t3_Ph_III]]))</f>
        <v>0</v>
      </c>
      <c r="V26" s="4">
        <f>MAX(Table1[[#This Row],[I_0]:[I_2]])-MIN(Table1[[#This Row],[I_0]:[I_1]])</f>
        <v>2.8918574291453663</v>
      </c>
      <c r="W2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12.02900258884925</v>
      </c>
      <c r="X26" s="354">
        <f>(Table1[[#This Row],[Irms Lf]]^2*Rdcr*(1+Ltc*Ta-Ltc*25))/(1-Table1[[#This Row],[Irms Lf]]^2*Rdcr*Ltc*ThetaCa)</f>
        <v>0.89964353287369869</v>
      </c>
      <c r="Y26" s="354">
        <f>ABS(7.759*10^-3*Fsw^0.9458*(0.00787*Table1[[#This Row],[Ripple Current pk-pk]])^2.304)</f>
        <v>0.37124320637346037</v>
      </c>
      <c r="Z26" s="354">
        <f>Table1[[#This Row],[DCR    Loss]]+Table1[[#This Row],[Core Loss]]</f>
        <v>1.270886739247159</v>
      </c>
      <c r="AA26" s="4">
        <f>IF(Table1[[#This Row],[Vin]]&gt;Vout, Table1[[#This Row],[Ripple Current pk-pk]]/SQRT(12), SQRT(Table1[[#This Row],[Duty Cycle BOOST Leg]]/(1-Table1[[#This Row],[Duty Cycle BOOST Leg]]))*SQRT(Table1[[#This Row],[Iout]]^2+(Table1[[#This Row],[Ripple Current pk-pk]]^2)/12))</f>
        <v>0.83480733258754825</v>
      </c>
      <c r="AB26" s="354">
        <f>RCoutEsr*Table1[[#This Row],[Irms Cout]]^2</f>
        <v>3.4845164127096867E-3</v>
      </c>
      <c r="AC26" s="354">
        <f>Table1[[#This Row],[Cout ESR Loss]]</f>
        <v>3.4845164127096867E-3</v>
      </c>
      <c r="AD26" s="354">
        <f>IF(Table1[[#This Row],[Vin]]&gt;Vout, SQRT(Table1[[#This Row],[Duty Cycle BUCK Leg]]*(1-Table1[[#This Row],[Duty Cycle BUCK Leg]]))*SQRT(Table1[[#This Row],[Iout]]^2+(Table1[[#This Row],[Ripple Current pk-pk]]^2)/12), Table1[[#This Row],[Ripple Current pk-pk]]/SQRT(12))</f>
        <v>5.5377378037486409</v>
      </c>
      <c r="AE26" s="354">
        <f>RCinEsr*Table1[[#This Row],[Irms Cin]]^2</f>
        <v>6.1333079966133637E-2</v>
      </c>
      <c r="AF26" s="549">
        <f>Table1[[#This Row],[Cin ESR Loss]]</f>
        <v>6.1333079966133637E-2</v>
      </c>
      <c r="AG2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10.02889163646987</v>
      </c>
      <c r="AH26" s="354">
        <f>Rdson1*Table1[[#This Row],[Irms BuCtrl]]^2</f>
        <v>0.42243040331543236</v>
      </c>
      <c r="AI26" s="354">
        <f>CHOOSE(Table1[[#This Row],[Mode Digit]], (Table1[[#This Row],[Vin]]*Table1[[#This Row],[Iout]]/2)*(Fsw)*(Tr_buck+Tf_buck), 0, (Table1[[#This Row],[Vin]]*Table1[[#This Row],[Avg IL]]/2)*(Fsw/1)*(Tr_buck+Tf_buck))</f>
        <v>2.5215337862194391</v>
      </c>
      <c r="AJ26">
        <f>IF(Table1[[#This Row],[Vin]]&gt;Vout, IF(Table1[[#This Row],[Iout]]&gt;Table1[[#This Row],[Ripple Current pk-pk]]/2,0,ABS(Table1[[#This Row],[Iout]]-Table1[[#This Row],[Ripple Current pk-pk]]/2)*Vsd_Q1*Deadtime*Fsw),0)</f>
        <v>0</v>
      </c>
      <c r="AK26" s="354">
        <f>(Table1[[#This Row],[Dead Time Loss BuCtrl]]+Table1[[#This Row],[Transition Loss BuCtrl]]+Table1[[#This Row],[RDS(on) Loss BuCtrl]]*(1+RdsonTopTc*Ta-RdsonTopTc*25))/(1-Table1[[#This Row],[RDS(on) Loss BuCtrl]]*RdsonTopTc*ThetaJA_Q1)</f>
        <v>3.2761066860178043</v>
      </c>
      <c r="AL26" s="354">
        <f>CHOOSE(Table1[[#This Row],[Mode Digit]],SQRT((Fsw*(Table1[[#This Row],[t2_Ph_I]]+0))*((Table1[[#This Row],[I_0]]*Table1[[#This Row],[I_1]]+((Table1[[#This Row],[I_0]]-Table1[[#This Row],[I_1]])^2)/3))),0,SQRT((Fsw*(Table1[[#This Row],[t3_Ph_III]]+0))*((Table1[[#This Row],[I_0]]*Table1[[#This Row],[I_2]]+((Table1[[#This Row],[I_0]]-Table1[[#This Row],[I_2]])^2)/3))))</f>
        <v>6.6421559622224065</v>
      </c>
      <c r="AM26" s="354">
        <f>Rdson2*Table1[[#This Row],[Irms BuSync]]^2</f>
        <v>0.185296590471244</v>
      </c>
      <c r="AN2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6" s="354">
        <f>(Table1[[#This Row],[Deadtime Loss BuSync]]+Table1[[#This Row],[RDS(on) Loss BuSync]]*(1+RdsonBotTc*Ta-RdsonBotTc*25))/(1-Table1[[#This Row],[RDS(on) Loss BuSync]]*RdsonBotTc*ThetaJA_Q2)</f>
        <v>0.79816328345805931</v>
      </c>
      <c r="AP26" s="354">
        <f>CHOOSE(Table1[[#This Row],[Mode Digit]],0,SQRT((Fsw*(Table1[[#This Row],[t1_Ph_II]]+0))*((Table1[[#This Row],[I_0]]*Table1[[#This Row],[I_1]]+((Table1[[#This Row],[I_0]]-Table1[[#This Row],[I_1]])^2)/3))),SQRT((Fsw*(Table1[[#This Row],[t2_Ph_I]]+0))*((Table1[[#This Row],[I_1]]*Table1[[#This Row],[I_2]]+((Table1[[#This Row],[I_1]]-Table1[[#This Row],[I_2]])^2)/3))))</f>
        <v>0</v>
      </c>
      <c r="AQ26" s="354">
        <f>Rdson4*Table1[[#This Row],[Irms BoCtlr]]^2</f>
        <v>0</v>
      </c>
      <c r="AR26" s="354">
        <f>CHOOSE(Table1[[#This Row],[Mode Digit]], 0, (Vout*Table1[[#This Row],[Iin]]/2)*(Fsw)*(Tr_boost+Tf_boost), (Vout*Iout/2)*(Fsw/1)*(Tr_boost+Tf_boost))</f>
        <v>0</v>
      </c>
      <c r="AS26">
        <f>IF(Table1[[#This Row],[Vin]]&gt;Vout, 0, IF(Table1[[#This Row],[Iin]]&gt;Table1[[#This Row],[Ripple Current pk-pk]]/2,0,ABS(Table1[[#This Row],[Iin]]-Table1[[#This Row],[Ripple Current pk-pk]]/2)*Vsd_Q4*Deadtime*Fsw))</f>
        <v>0</v>
      </c>
      <c r="AT26" s="354">
        <f>(Table1[[#This Row],[Dead Time Loss BoCtlr]]+Table1[[#This Row],[Transition Loss BoCtlr]]+Table1[[#This Row],[RDS(on) Loss BoCtlr]]*(1+RdsonTopTc*Ta-RdsonTopTc*25))/(1-Table1[[#This Row],[RDS(on) Loss BoCtlr]]*RdsonTopTc*ThetaJA_Q4)</f>
        <v>0</v>
      </c>
      <c r="AU2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12.02900258884925</v>
      </c>
      <c r="AV26" s="354">
        <f>Rdson3*Table1[[#This Row],[Irms BoSync]]^2</f>
        <v>0.60772699378667638</v>
      </c>
      <c r="AW2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6" s="354">
        <f>(Table1[[#This Row],[Deadtime Loss BoSync]]+Table1[[#This Row],[RDS(on) Loss BoSync]]*(1+RdsonBotTc*Ta-RdsonBotTc*25))/(1-Table1[[#This Row],[RDS(on) Loss BoSync]]*RdsonBotTc*ThetaJA_Q3)</f>
        <v>0.71150287450513694</v>
      </c>
      <c r="AY26" s="354">
        <f>CHOOSE(Table1[[#This Row],[Mode Digit]], Rdson3*Table1[[#This Row],[Irms Lf]]^2, Rdson1*Table1[[#This Row],[Irms Lf]]^2, 0)</f>
        <v>0.60772699378667638</v>
      </c>
      <c r="AZ26" s="354">
        <f>CHOOSE(Table1[[#This Row],[Mode Digit]], 2*Deadtime*Fsw*IF(VfdSky_Q2&gt;0,VfdSky_Q2,0)*Table1[[#This Row],[Iout]], 2*Deadtime*Fsw*IF(VfdSky_Q3&gt;0,VfdSky_Q3,0)*Table1[[#This Row],[Iin]], 2*Deadtime*Fsw*IF(VfdSky_Q2&gt;0,VfdSky_Q2,0)*Table1[[#This Row],[Iout]]+2*Deadtime*Fsw*IF(VfdSky_Q3&gt;0,VfdSky_Q3,0)*Table1[[#This Row],[Iin]])</f>
        <v>0</v>
      </c>
      <c r="BA26" s="354">
        <f>CHOOSE(Table1[[#This Row],[Mode Digit]], IF(QrrSky_Q2&gt;0,QrrSky_Q2,Qrr_Q2)*Fsw*(Table1[[#This Row],[Vin]]-Table1[[#This Row],[Iout]]*Rdson1),0,  IF(QrrSky_Q2&gt;0,QrrSky_Q2,Qrr_Q2)*Fsw*(Table1[[#This Row],[Vin]]-Table1[[#This Row],[Iout]]*Rdson1)+IF(QrrSky_Q3&gt;0,QrrSky_Q3,Qrr_Q3)*Fsw*Vout)</f>
        <v>0.25367520000000005</v>
      </c>
      <c r="BB26" s="354">
        <f>CHOOSE(Table1[[#This Row],[Mode Digit]],0, IF(QrrSky_Q3&gt;0,QrrSky_Q3,Qrr_Q3)*Fsw*Vout,  IF(QrrSky_Q2&gt;0,QrrSky_Q2,Qrr_Q2)*Fsw*(Table1[[#This Row],[Vin]]-Table1[[#This Row],[Iout]]*Rdson1)+IF(QrrSky_Q3&gt;0,QrrSky_Q3,Qrr_Q3)*Fsw*Vout)</f>
        <v>0</v>
      </c>
      <c r="BC26" s="354">
        <f>CHOOSE(Table1[[#This Row],[Mode Digit]], Rs*Table1[[#This Row],[Irms BuSync]]^2, Rs*Table1[[#This Row],[Irms BoCtlr]]^2, Rs*(Table1[[#This Row],[Irms BuSync]]^2+Table1[[#This Row],[Irms BoCtlr]]^2))</f>
        <v>0.11029558956621666</v>
      </c>
      <c r="BD26" s="354">
        <f t="shared" si="1"/>
        <v>1.44</v>
      </c>
      <c r="BE26" s="354">
        <f>IF(Vout&gt;8, Iq*Vout, Iq*Table1[[#This Row],[Vin]])</f>
        <v>4.3799999999999999E-2</v>
      </c>
      <c r="BF26" s="354">
        <f>CHOOSE(Table1[[#This Row],[Mode Digit]], (Qg_Q1+Qg_Q2)*Fsw, (Qg_Q3+Qg_Q4)*Fsw, (Qg_Q1+Qg_Q2+Qg_Q3+Qg_Q4)*Fsw)*IF(Vout&gt;8, Vout, Table1[[#This Row],[Vin]])</f>
        <v>0.47303999999999996</v>
      </c>
      <c r="BG26" s="354">
        <f t="shared" si="2"/>
        <v>0.57269042016806726</v>
      </c>
      <c r="BH26" s="354">
        <f>Table1[[#This Row],[IQ Loss]]+Table1[[#This Row],[Switching Current Loss]]</f>
        <v>0.51683999999999997</v>
      </c>
      <c r="BI2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8.4422879691732202</v>
      </c>
      <c r="BJ26">
        <f>Vout*Table1[[#This Row],[Iout]]</f>
        <v>175.2</v>
      </c>
      <c r="BK26" s="550">
        <f>Table1[[#This Row],[Pout]]/(Table1[[#This Row],[Pout]]+Table1[[#This Row],[Total Loss]])</f>
        <v>0.95402862781479636</v>
      </c>
      <c r="BL2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196.56640116106826</v>
      </c>
      <c r="BM26" s="559">
        <f>IF(Table1[[#This Row],[Vin]]&gt;Vout, Table1[[#This Row],[Total Sync Bu MOSFET Loss]]*ThetaJA_Q2, ThetaJA_Q3*Table1[[#This Row],[Total Sync Bo MOSFET Loss]])</f>
        <v>47.889797007483558</v>
      </c>
      <c r="BN26" s="9"/>
      <c r="BO26" s="4">
        <f>Table1[[#This Row],[EFF, h]]*100</f>
        <v>95.402862781479641</v>
      </c>
      <c r="BP26" s="354">
        <f>Table1[[#This Row],[Total Inductor Loss]]</f>
        <v>1.270886739247159</v>
      </c>
      <c r="BQ26" s="354">
        <f>Table1[[#This Row],[Total Control Bu MOSFET Loss]]+Table1[[#This Row],[Total Sync Bu MOSFET Loss]]+Table1[[#This Row],[Total Control Bo MOSFET Loss]]+Table1[[#This Row],[Total Sync Bo MOSFET Loss]]+Table1[[#This Row],[Reverse Recovery Loss MOSFET D BUCK]]+Table1[[#This Row],[Reverse Recovery Loss MOSFET D BOOST]]</f>
        <v>5.0394480439810003</v>
      </c>
      <c r="BR26" s="354">
        <f>Table1[[#This Row],[Total Control Bu MOSFET Loss]]+Table1[[#This Row],[Reverse Recovery Loss MOSFET D BUCK]]*0.66</f>
        <v>3.4435323180178044</v>
      </c>
      <c r="BS26" s="354">
        <f>Table1[[#This Row],[Total Sync Bu MOSFET Loss]]+Table1[[#This Row],[Reverse Recovery Loss MOSFET D BUCK]]*0.33</f>
        <v>0.88187609945805934</v>
      </c>
      <c r="BT26" s="354">
        <f xml:space="preserve"> Table1[[#This Row],[Total Control Bo MOSFET Loss]]+Table1[[#This Row],[Reverse Recovery Loss MOSFET D BOOST]]*0.66</f>
        <v>0</v>
      </c>
      <c r="BU26" s="354">
        <f xml:space="preserve"> Table1[[#This Row],[Total Sync Bo MOSFET Loss]]+Table1[[#This Row],[Reverse Recovery Loss MOSFET D BOOST]]*0.33</f>
        <v>0.71150287450513694</v>
      </c>
      <c r="BV26" s="354">
        <f>Table1[[#This Row],[Isense Shunt Loss]]</f>
        <v>0.11029558956621666</v>
      </c>
      <c r="BZ26" t="s">
        <v>152</v>
      </c>
      <c r="CA26">
        <v>9.9989640000000009</v>
      </c>
      <c r="CB26">
        <v>0.1027</v>
      </c>
      <c r="CC26">
        <v>5.1211359999999999</v>
      </c>
      <c r="CD26">
        <v>61.870683235325004</v>
      </c>
      <c r="CE26">
        <v>324.12365701136014</v>
      </c>
    </row>
    <row r="27" spans="1:92" x14ac:dyDescent="0.2">
      <c r="A27" s="22" t="s">
        <v>65</v>
      </c>
      <c r="B27" s="5">
        <f>RdsonDRT</f>
        <v>1.5</v>
      </c>
      <c r="C27" s="444" t="s">
        <v>118</v>
      </c>
      <c r="D27" s="440" t="s">
        <v>680</v>
      </c>
      <c r="G27">
        <v>18</v>
      </c>
      <c r="H27" s="555">
        <f>VIN_min+(VIN_max-VIN_min)*(Table1[[#This Row],[Step]]/200)</f>
        <v>21.26</v>
      </c>
      <c r="I27" s="4" t="str">
        <f>IF(Mode = 2,IF(Table1[[#This Row],[Vin]]&gt;Vout, "BUCK","BOOST"),IF(Table1[[#This Row],[Vin]]&gt;VIN_BB_to_buck, "BUCK", IF(Table1[[#This Row],[Vin]]&lt;=VIN_boost_to_BB,"BOOST","BUCK-BST")))</f>
        <v>BUCK</v>
      </c>
      <c r="J27">
        <f>IF(Table1[[#This Row],[Mode]]="BOOST",2, IF(Table1[[#This Row],[Mode]]="BUCK", 1,3))</f>
        <v>1</v>
      </c>
      <c r="K27">
        <f t="shared" si="0"/>
        <v>12</v>
      </c>
      <c r="L27" s="4">
        <f>Vout*Table1[[#This Row],[Iout]]/(Table1[[#This Row],[Vin]]*Efficiency)</f>
        <v>8.6745556270733282</v>
      </c>
      <c r="M27" s="711">
        <f>MIN(1/Fsw,CHOOSE(Table1[[#This Row],[Mode Digit]],(Vout+(Rdson2+Rs+Rdcr)*Table1[[#This Row],[Iout]])/(Table1[[#This Row],[Vin]]+(Rs+Rdson2-Rdson1)*Table1[[#This Row],[Iout]])/Fsw,(Vout+(Rdson3+Rdcr)*Table1[[#This Row],[Iin]]-Table1[[#This Row],[Vin]])/(Vout+(Rdson3-Rdson4-Rs)*Table1[[#This Row],[Iin]])/Fsw,t1_Ph_II))</f>
        <v>1.154689212462815E-6</v>
      </c>
      <c r="N27" s="602">
        <f>CHOOSE(Table1[[#This Row],[Mode Digit]],1/Fsw-Table1[[#This Row],[t1_Ph_II]],1/Fsw-Table1[[#This Row],[t1_Ph_II]],(Vout/Fsw-Table1[[#This Row],[Vin]]*t1_Ph_II)/(Table1[[#This Row],[Vin]]+Vout))</f>
        <v>5.119774542038517E-7</v>
      </c>
      <c r="O27" s="602">
        <f>1/Fsw-(Table1[[#This Row],[t1_Ph_II]]+Table1[[#This Row],[t2_Ph_I]])</f>
        <v>0</v>
      </c>
      <c r="P2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10.54351701609804</v>
      </c>
      <c r="Q27" s="4">
        <f>CHOOSE(Table1[[#This Row],[Mode Digit]],Table1[[#This Row],[I_0]]+1/Lf*(Table1[[#This Row],[Vin]]-Vout)*Table1[[#This Row],[t1_Ph_II]],Table1[[#This Row],[I_0]]+1/Lf*Table1[[#This Row],[Vin]]*Table1[[#This Row],[t1_Ph_II]],Table1[[#This Row],[I_0]]+(Table1[[#This Row],[Vin]]-Vout)/L*Table1[[#This Row],[t1_Ph_II]])</f>
        <v>13.45648298390196</v>
      </c>
      <c r="R27" s="4">
        <f>CHOOSE(Table1[[#This Row],[Mode Digit]],0,0,Table1[[#This Row],[I_1]]+Table1[[#This Row],[Vin]]/L*Table1[[#This Row],[t2_Ph_I]])</f>
        <v>0</v>
      </c>
      <c r="S27" s="4">
        <f>Fsw*(Table1[[#This Row],[I_0]]*Table1[[#This Row],[t1_Ph_II]]+Table1[[#This Row],[I_1]]*Table1[[#This Row],[t2_Ph_I]]+Table1[[#This Row],[I_2]]*Table1[[#This Row],[t3_Ph_III]])</f>
        <v>11.438340756325267</v>
      </c>
      <c r="T27" s="354">
        <f>MIN(1,CHOOSE(Table1[[#This Row],[Mode Digit]],(Vout+(Rdson2+Rs+Rdcr)*Table1[[#This Row],[Iout]])/(Table1[[#This Row],[Vin]]+(Rs+Rdson2-Rdson1)*Table1[[#This Row],[Iout]]),1,Fsw*Table1[[#This Row],[t2_Ph_I]]+Table1[[#This Row],[t1_Ph_II]]))</f>
        <v>0.69281352747768898</v>
      </c>
      <c r="U27" s="354">
        <f>MIN(1,CHOOSE(Table1[[#This Row],[Mode Digit]],0,(Vout+(Rdson3+Rdcr)*Table1[[#This Row],[Iin]]-Table1[[#This Row],[Vin]])/(Vout+(Rdson3-Rdson4-Rs)*Table1[[#This Row],[Iin]]),Fsw*Table1[[#This Row],[t1_Ph_II]]+Table1[[#This Row],[t3_Ph_III]]))</f>
        <v>0</v>
      </c>
      <c r="V27" s="4">
        <f>MAX(Table1[[#This Row],[I_0]:[I_2]])-MIN(Table1[[#This Row],[I_0]:[I_1]])</f>
        <v>2.9129659678039204</v>
      </c>
      <c r="W2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12.029427011602229</v>
      </c>
      <c r="X27" s="354">
        <f>(Table1[[#This Row],[Irms Lf]]^2*Rdcr*(1+Ltc*Ta-Ltc*25))/(1-Table1[[#This Row],[Irms Lf]]^2*Rdcr*Ltc*ThetaCa)</f>
        <v>0.8997115882746729</v>
      </c>
      <c r="Y27" s="354">
        <f>ABS(7.759*10^-3*Fsw^0.9458*(0.00787*Table1[[#This Row],[Ripple Current pk-pk]])^2.304)</f>
        <v>0.377516357740108</v>
      </c>
      <c r="Z27" s="354">
        <f>Table1[[#This Row],[DCR    Loss]]+Table1[[#This Row],[Core Loss]]</f>
        <v>1.2772279460147808</v>
      </c>
      <c r="AA27" s="4">
        <f>IF(Table1[[#This Row],[Vin]]&gt;Vout, Table1[[#This Row],[Ripple Current pk-pk]]/SQRT(12), SQRT(Table1[[#This Row],[Duty Cycle BOOST Leg]]/(1-Table1[[#This Row],[Duty Cycle BOOST Leg]]))*SQRT(Table1[[#This Row],[Iout]]^2+(Table1[[#This Row],[Ripple Current pk-pk]]^2)/12))</f>
        <v>0.84090084282590616</v>
      </c>
      <c r="AB27" s="354">
        <f>RCoutEsr*Table1[[#This Row],[Irms Cout]]^2</f>
        <v>3.5355711373265971E-3</v>
      </c>
      <c r="AC27" s="354">
        <f>Table1[[#This Row],[Cout ESR Loss]]</f>
        <v>3.5355711373265971E-3</v>
      </c>
      <c r="AD27" s="354">
        <f>IF(Table1[[#This Row],[Vin]]&gt;Vout, SQRT(Table1[[#This Row],[Duty Cycle BUCK Leg]]*(1-Table1[[#This Row],[Duty Cycle BUCK Leg]]))*SQRT(Table1[[#This Row],[Iout]]^2+(Table1[[#This Row],[Ripple Current pk-pk]]^2)/12), Table1[[#This Row],[Ripple Current pk-pk]]/SQRT(12))</f>
        <v>5.5495039429554236</v>
      </c>
      <c r="AE27" s="354">
        <f>RCinEsr*Table1[[#This Row],[Irms Cin]]^2</f>
        <v>6.1593988025755587E-2</v>
      </c>
      <c r="AF27" s="549">
        <f>Table1[[#This Row],[Cin ESR Loss]]</f>
        <v>6.1593988025755587E-2</v>
      </c>
      <c r="AG2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10.012744192230576</v>
      </c>
      <c r="AH27" s="354">
        <f>Rdson1*Table1[[#This Row],[Irms BuCtrl]]^2</f>
        <v>0.421071194287998</v>
      </c>
      <c r="AI27" s="354">
        <f>CHOOSE(Table1[[#This Row],[Mode Digit]], (Table1[[#This Row],[Vin]]*Table1[[#This Row],[Iout]]/2)*(Fsw)*(Tr_buck+Tf_buck), 0, (Table1[[#This Row],[Vin]]*Table1[[#This Row],[Avg IL]]/2)*(Fsw/1)*(Tr_buck+Tf_buck))</f>
        <v>2.5298635344514047</v>
      </c>
      <c r="AJ27">
        <f>IF(Table1[[#This Row],[Vin]]&gt;Vout, IF(Table1[[#This Row],[Iout]]&gt;Table1[[#This Row],[Ripple Current pk-pk]]/2,0,ABS(Table1[[#This Row],[Iout]]-Table1[[#This Row],[Ripple Current pk-pk]]/2)*Vsd_Q1*Deadtime*Fsw),0)</f>
        <v>0</v>
      </c>
      <c r="AK27" s="354">
        <f>(Table1[[#This Row],[Dead Time Loss BuCtrl]]+Table1[[#This Row],[Transition Loss BuCtrl]]+Table1[[#This Row],[RDS(on) Loss BuCtrl]]*(1+RdsonTopTc*Ta-RdsonTopTc*25))/(1-Table1[[#This Row],[RDS(on) Loss BuCtrl]]*RdsonTopTc*ThetaJA_Q1)</f>
        <v>3.282671997128169</v>
      </c>
      <c r="AL27" s="354">
        <f>CHOOSE(Table1[[#This Row],[Mode Digit]],SQRT((Fsw*(Table1[[#This Row],[t2_Ph_I]]+0))*((Table1[[#This Row],[I_0]]*Table1[[#This Row],[I_1]]+((Table1[[#This Row],[I_0]]-Table1[[#This Row],[I_1]])^2)/3))),0,SQRT((Fsw*(Table1[[#This Row],[t3_Ph_III]]+0))*((Table1[[#This Row],[I_0]]*Table1[[#This Row],[I_2]]+((Table1[[#This Row],[I_0]]-Table1[[#This Row],[I_2]])^2)/3))))</f>
        <v>6.6672384064482202</v>
      </c>
      <c r="AM27" s="354">
        <f>Rdson2*Table1[[#This Row],[Irms BuSync]]^2</f>
        <v>0.18669868546735649</v>
      </c>
      <c r="AN2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7" s="354">
        <f>(Table1[[#This Row],[Deadtime Loss BuSync]]+Table1[[#This Row],[RDS(on) Loss BuSync]]*(1+RdsonBotTc*Ta-RdsonBotTc*25))/(1-Table1[[#This Row],[RDS(on) Loss BuSync]]*RdsonBotTc*ThetaJA_Q2)</f>
        <v>0.79991233351637692</v>
      </c>
      <c r="AP27" s="354">
        <f>CHOOSE(Table1[[#This Row],[Mode Digit]],0,SQRT((Fsw*(Table1[[#This Row],[t1_Ph_II]]+0))*((Table1[[#This Row],[I_0]]*Table1[[#This Row],[I_1]]+((Table1[[#This Row],[I_0]]-Table1[[#This Row],[I_1]])^2)/3))),SQRT((Fsw*(Table1[[#This Row],[t2_Ph_I]]+0))*((Table1[[#This Row],[I_1]]*Table1[[#This Row],[I_2]]+((Table1[[#This Row],[I_1]]-Table1[[#This Row],[I_2]])^2)/3))))</f>
        <v>0</v>
      </c>
      <c r="AQ27" s="354">
        <f>Rdson4*Table1[[#This Row],[Irms BoCtlr]]^2</f>
        <v>0</v>
      </c>
      <c r="AR27" s="354">
        <f>CHOOSE(Table1[[#This Row],[Mode Digit]], 0, (Vout*Table1[[#This Row],[Iin]]/2)*(Fsw)*(Tr_boost+Tf_boost), (Vout*Iout/2)*(Fsw/1)*(Tr_boost+Tf_boost))</f>
        <v>0</v>
      </c>
      <c r="AS27">
        <f>IF(Table1[[#This Row],[Vin]]&gt;Vout, 0, IF(Table1[[#This Row],[Iin]]&gt;Table1[[#This Row],[Ripple Current pk-pk]]/2,0,ABS(Table1[[#This Row],[Iin]]-Table1[[#This Row],[Ripple Current pk-pk]]/2)*Vsd_Q4*Deadtime*Fsw))</f>
        <v>0</v>
      </c>
      <c r="AT27" s="354">
        <f>(Table1[[#This Row],[Dead Time Loss BoCtlr]]+Table1[[#This Row],[Transition Loss BoCtlr]]+Table1[[#This Row],[RDS(on) Loss BoCtlr]]*(1+RdsonTopTc*Ta-RdsonTopTc*25))/(1-Table1[[#This Row],[RDS(on) Loss BoCtlr]]*RdsonTopTc*ThetaJA_Q4)</f>
        <v>0</v>
      </c>
      <c r="AU2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12.029427011602229</v>
      </c>
      <c r="AV27" s="354">
        <f>Rdson3*Table1[[#This Row],[Irms BoSync]]^2</f>
        <v>0.60776987975535446</v>
      </c>
      <c r="AW2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7" s="354">
        <f>(Table1[[#This Row],[Deadtime Loss BoSync]]+Table1[[#This Row],[RDS(on) Loss BoSync]]*(1+RdsonBotTc*Ta-RdsonBotTc*25))/(1-Table1[[#This Row],[RDS(on) Loss BoSync]]*RdsonBotTc*ThetaJA_Q3)</f>
        <v>0.71156165817847028</v>
      </c>
      <c r="AY27" s="354">
        <f>CHOOSE(Table1[[#This Row],[Mode Digit]], Rdson3*Table1[[#This Row],[Irms Lf]]^2, Rdson1*Table1[[#This Row],[Irms Lf]]^2, 0)</f>
        <v>0.60776987975535446</v>
      </c>
      <c r="AZ27" s="354">
        <f>CHOOSE(Table1[[#This Row],[Mode Digit]], 2*Deadtime*Fsw*IF(VfdSky_Q2&gt;0,VfdSky_Q2,0)*Table1[[#This Row],[Iout]], 2*Deadtime*Fsw*IF(VfdSky_Q3&gt;0,VfdSky_Q3,0)*Table1[[#This Row],[Iin]], 2*Deadtime*Fsw*IF(VfdSky_Q2&gt;0,VfdSky_Q2,0)*Table1[[#This Row],[Iout]]+2*Deadtime*Fsw*IF(VfdSky_Q3&gt;0,VfdSky_Q3,0)*Table1[[#This Row],[Iin]])</f>
        <v>0</v>
      </c>
      <c r="BA27" s="354">
        <f>CHOOSE(Table1[[#This Row],[Mode Digit]], IF(QrrSky_Q2&gt;0,QrrSky_Q2,Qrr_Q2)*Fsw*(Table1[[#This Row],[Vin]]-Table1[[#This Row],[Iout]]*Rdson1),0,  IF(QrrSky_Q2&gt;0,QrrSky_Q2,Qrr_Q2)*Fsw*(Table1[[#This Row],[Vin]]-Table1[[#This Row],[Iout]]*Rdson1)+IF(QrrSky_Q3&gt;0,QrrSky_Q3,Qrr_Q3)*Fsw*Vout)</f>
        <v>0.25451520000000005</v>
      </c>
      <c r="BB27" s="354">
        <f>CHOOSE(Table1[[#This Row],[Mode Digit]],0, IF(QrrSky_Q3&gt;0,QrrSky_Q3,Qrr_Q3)*Fsw*Vout,  IF(QrrSky_Q2&gt;0,QrrSky_Q2,Qrr_Q2)*Fsw*(Table1[[#This Row],[Vin]]-Table1[[#This Row],[Iout]]*Rdson1)+IF(QrrSky_Q3&gt;0,QrrSky_Q3,Qrr_Q3)*Fsw*Vout)</f>
        <v>0</v>
      </c>
      <c r="BC27" s="354">
        <f>CHOOSE(Table1[[#This Row],[Mode Digit]], Rs*Table1[[#This Row],[Irms BuSync]]^2, Rs*Table1[[#This Row],[Irms BoCtlr]]^2, Rs*(Table1[[#This Row],[Irms BuSync]]^2+Table1[[#This Row],[Irms BoCtlr]]^2))</f>
        <v>0.11113016992104552</v>
      </c>
      <c r="BD27" s="354">
        <f t="shared" si="1"/>
        <v>1.44</v>
      </c>
      <c r="BE27" s="354">
        <f>IF(Vout&gt;8, Iq*Vout, Iq*Table1[[#This Row],[Vin]])</f>
        <v>4.3799999999999999E-2</v>
      </c>
      <c r="BF27" s="354">
        <f>CHOOSE(Table1[[#This Row],[Mode Digit]], (Qg_Q1+Qg_Q2)*Fsw, (Qg_Q3+Qg_Q4)*Fsw, (Qg_Q1+Qg_Q2+Qg_Q3+Qg_Q4)*Fsw)*IF(Vout&gt;8, Vout, Table1[[#This Row],[Vin]])</f>
        <v>0.47303999999999996</v>
      </c>
      <c r="BG27" s="354">
        <f t="shared" si="2"/>
        <v>0.57269042016806726</v>
      </c>
      <c r="BH27" s="354">
        <f>Table1[[#This Row],[IQ Loss]]+Table1[[#This Row],[Switching Current Loss]]</f>
        <v>0.51683999999999997</v>
      </c>
      <c r="BI2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8.4589888639219257</v>
      </c>
      <c r="BJ27">
        <f>Vout*Table1[[#This Row],[Iout]]</f>
        <v>175.2</v>
      </c>
      <c r="BK27" s="550">
        <f>Table1[[#This Row],[Pout]]/(Table1[[#This Row],[Pout]]+Table1[[#This Row],[Total Loss]])</f>
        <v>0.95394187392488905</v>
      </c>
      <c r="BL2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196.96031982769014</v>
      </c>
      <c r="BM27" s="559">
        <f>IF(Table1[[#This Row],[Vin]]&gt;Vout, Table1[[#This Row],[Total Sync Bu MOSFET Loss]]*ThetaJA_Q2, ThetaJA_Q3*Table1[[#This Row],[Total Sync Bo MOSFET Loss]])</f>
        <v>47.994740010982618</v>
      </c>
      <c r="BN27" s="9"/>
      <c r="BO27" s="4">
        <f>Table1[[#This Row],[EFF, h]]*100</f>
        <v>95.394187392488902</v>
      </c>
      <c r="BP27" s="354">
        <f>Table1[[#This Row],[Total Inductor Loss]]</f>
        <v>1.2772279460147808</v>
      </c>
      <c r="BQ27" s="354">
        <f>Table1[[#This Row],[Total Control Bu MOSFET Loss]]+Table1[[#This Row],[Total Sync Bu MOSFET Loss]]+Table1[[#This Row],[Total Control Bo MOSFET Loss]]+Table1[[#This Row],[Total Sync Bo MOSFET Loss]]+Table1[[#This Row],[Reverse Recovery Loss MOSFET D BUCK]]+Table1[[#This Row],[Reverse Recovery Loss MOSFET D BOOST]]</f>
        <v>5.0486611888230168</v>
      </c>
      <c r="BR27" s="354">
        <f>Table1[[#This Row],[Total Control Bu MOSFET Loss]]+Table1[[#This Row],[Reverse Recovery Loss MOSFET D BUCK]]*0.66</f>
        <v>3.450652029128169</v>
      </c>
      <c r="BS27" s="354">
        <f>Table1[[#This Row],[Total Sync Bu MOSFET Loss]]+Table1[[#This Row],[Reverse Recovery Loss MOSFET D BUCK]]*0.33</f>
        <v>0.88390234951637692</v>
      </c>
      <c r="BT27" s="354">
        <f xml:space="preserve"> Table1[[#This Row],[Total Control Bo MOSFET Loss]]+Table1[[#This Row],[Reverse Recovery Loss MOSFET D BOOST]]*0.66</f>
        <v>0</v>
      </c>
      <c r="BU27" s="354">
        <f xml:space="preserve"> Table1[[#This Row],[Total Sync Bo MOSFET Loss]]+Table1[[#This Row],[Reverse Recovery Loss MOSFET D BOOST]]*0.33</f>
        <v>0.71156165817847028</v>
      </c>
      <c r="BV27" s="354">
        <f>Table1[[#This Row],[Isense Shunt Loss]]</f>
        <v>0.11113016992104552</v>
      </c>
      <c r="BZ27" t="s">
        <v>153</v>
      </c>
      <c r="CA27">
        <v>9.9986669999999993</v>
      </c>
      <c r="CB27">
        <v>0.1166</v>
      </c>
      <c r="CC27">
        <v>5.1212980000000003</v>
      </c>
      <c r="CD27">
        <v>64.729420570558148</v>
      </c>
      <c r="CE27">
        <v>325.37886459483997</v>
      </c>
    </row>
    <row r="28" spans="1:92" x14ac:dyDescent="0.2">
      <c r="A28" s="22" t="s">
        <v>148</v>
      </c>
      <c r="B28" s="5">
        <f>RdsonDRT2</f>
        <v>1</v>
      </c>
      <c r="C28" s="444" t="s">
        <v>118</v>
      </c>
      <c r="D28" s="440" t="s">
        <v>679</v>
      </c>
      <c r="G28">
        <v>19</v>
      </c>
      <c r="H28" s="555">
        <f>VIN_min+(VIN_max-VIN_min)*(Table1[[#This Row],[Step]]/200)</f>
        <v>21.33</v>
      </c>
      <c r="I28" s="4" t="str">
        <f>IF(Mode = 2,IF(Table1[[#This Row],[Vin]]&gt;Vout, "BUCK","BOOST"),IF(Table1[[#This Row],[Vin]]&gt;VIN_BB_to_buck, "BUCK", IF(Table1[[#This Row],[Vin]]&lt;=VIN_boost_to_BB,"BOOST","BUCK-BST")))</f>
        <v>BUCK</v>
      </c>
      <c r="J28">
        <f>IF(Table1[[#This Row],[Mode]]="BOOST",2, IF(Table1[[#This Row],[Mode]]="BUCK", 1,3))</f>
        <v>1</v>
      </c>
      <c r="K28">
        <f t="shared" si="0"/>
        <v>12</v>
      </c>
      <c r="L28" s="4">
        <f>Vout*Table1[[#This Row],[Iout]]/(Table1[[#This Row],[Vin]]*Efficiency)</f>
        <v>8.6460877933229714</v>
      </c>
      <c r="M28" s="711">
        <f>MIN(1/Fsw,CHOOSE(Table1[[#This Row],[Mode Digit]],(Vout+(Rdson2+Rs+Rdcr)*Table1[[#This Row],[Iout]])/(Table1[[#This Row],[Vin]]+(Rs+Rdson2-Rdson1)*Table1[[#This Row],[Iout]])/Fsw,(Vout+(Rdson3+Rdcr)*Table1[[#This Row],[Iin]]-Table1[[#This Row],[Vin]])/(Vout+(Rdson3-Rdson4-Rs)*Table1[[#This Row],[Iin]])/Fsw,t1_Ph_II))</f>
        <v>1.1509051186017479E-6</v>
      </c>
      <c r="N28" s="602">
        <f>CHOOSE(Table1[[#This Row],[Mode Digit]],1/Fsw-Table1[[#This Row],[t1_Ph_II]],1/Fsw-Table1[[#This Row],[t1_Ph_II]],(Vout/Fsw-Table1[[#This Row],[Vin]]*t1_Ph_II)/(Table1[[#This Row],[Vin]]+Vout))</f>
        <v>5.1576154806491879E-7</v>
      </c>
      <c r="O28" s="602">
        <f>1/Fsw-(Table1[[#This Row],[t1_Ph_II]]+Table1[[#This Row],[t2_Ph_I]])</f>
        <v>0</v>
      </c>
      <c r="P2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10.533031922691332</v>
      </c>
      <c r="Q28" s="4">
        <f>CHOOSE(Table1[[#This Row],[Mode Digit]],Table1[[#This Row],[I_0]]+1/Lf*(Table1[[#This Row],[Vin]]-Vout)*Table1[[#This Row],[t1_Ph_II]],Table1[[#This Row],[I_0]]+1/Lf*Table1[[#This Row],[Vin]]*Table1[[#This Row],[t1_Ph_II]],Table1[[#This Row],[I_0]]+(Table1[[#This Row],[Vin]]-Vout)/L*Table1[[#This Row],[t1_Ph_II]])</f>
        <v>13.466968077308668</v>
      </c>
      <c r="R28" s="4">
        <f>CHOOSE(Table1[[#This Row],[Mode Digit]],0,0,Table1[[#This Row],[I_1]]+Table1[[#This Row],[Vin]]/L*Table1[[#This Row],[t2_Ph_I]])</f>
        <v>0</v>
      </c>
      <c r="S28" s="4">
        <f>Fsw*(Table1[[#This Row],[I_0]]*Table1[[#This Row],[t1_Ph_II]]+Table1[[#This Row],[I_1]]*Table1[[#This Row],[t2_Ph_I]]+Table1[[#This Row],[I_2]]*Table1[[#This Row],[t3_Ph_III]])</f>
        <v>11.440958794508777</v>
      </c>
      <c r="T28" s="354">
        <f>MIN(1,CHOOSE(Table1[[#This Row],[Mode Digit]],(Vout+(Rdson2+Rs+Rdcr)*Table1[[#This Row],[Iout]])/(Table1[[#This Row],[Vin]]+(Rs+Rdson2-Rdson1)*Table1[[#This Row],[Iout]]),1,Fsw*Table1[[#This Row],[t2_Ph_I]]+Table1[[#This Row],[t1_Ph_II]]))</f>
        <v>0.69054307116104874</v>
      </c>
      <c r="U28" s="354">
        <f>MIN(1,CHOOSE(Table1[[#This Row],[Mode Digit]],0,(Vout+(Rdson3+Rdcr)*Table1[[#This Row],[Iin]]-Table1[[#This Row],[Vin]])/(Vout+(Rdson3-Rdson4-Rs)*Table1[[#This Row],[Iin]]),Fsw*Table1[[#This Row],[t1_Ph_II]]+Table1[[#This Row],[t3_Ph_III]]))</f>
        <v>0</v>
      </c>
      <c r="V28" s="4">
        <f>MAX(Table1[[#This Row],[I_0]:[I_2]])-MIN(Table1[[#This Row],[I_0]:[I_1]])</f>
        <v>2.933936154617335</v>
      </c>
      <c r="W2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12.029851694013004</v>
      </c>
      <c r="X28" s="354">
        <f>(Table1[[#This Row],[Irms Lf]]^2*Rdcr*(1+Ltc*Ta-Ltc*25))/(1-Table1[[#This Row],[Irms Lf]]^2*Rdcr*Ltc*ThetaCa)</f>
        <v>0.89977968840664058</v>
      </c>
      <c r="Y28" s="354">
        <f>ABS(7.759*10^-3*Fsw^0.9458*(0.00787*Table1[[#This Row],[Ripple Current pk-pk]])^2.304)</f>
        <v>0.38380736651489256</v>
      </c>
      <c r="Z28" s="354">
        <f>Table1[[#This Row],[DCR    Loss]]+Table1[[#This Row],[Core Loss]]</f>
        <v>1.2835870549215331</v>
      </c>
      <c r="AA28" s="4">
        <f>IF(Table1[[#This Row],[Vin]]&gt;Vout, Table1[[#This Row],[Ripple Current pk-pk]]/SQRT(12), SQRT(Table1[[#This Row],[Duty Cycle BOOST Leg]]/(1-Table1[[#This Row],[Duty Cycle BOOST Leg]]))*SQRT(Table1[[#This Row],[Iout]]^2+(Table1[[#This Row],[Ripple Current pk-pk]]^2)/12))</f>
        <v>0.84695441432674701</v>
      </c>
      <c r="AB28" s="354">
        <f>RCoutEsr*Table1[[#This Row],[Irms Cout]]^2</f>
        <v>3.586658899737815E-3</v>
      </c>
      <c r="AC28" s="354">
        <f>Table1[[#This Row],[Cout ESR Loss]]</f>
        <v>3.586658899737815E-3</v>
      </c>
      <c r="AD28" s="354">
        <f>IF(Table1[[#This Row],[Vin]]&gt;Vout, SQRT(Table1[[#This Row],[Duty Cycle BUCK Leg]]*(1-Table1[[#This Row],[Duty Cycle BUCK Leg]]))*SQRT(Table1[[#This Row],[Iout]]^2+(Table1[[#This Row],[Ripple Current pk-pk]]^2)/12), Table1[[#This Row],[Ripple Current pk-pk]]/SQRT(12))</f>
        <v>5.561036746796054</v>
      </c>
      <c r="AE28" s="354">
        <f>RCinEsr*Table1[[#This Row],[Irms Cin]]^2</f>
        <v>6.1850259398432084E-2</v>
      </c>
      <c r="AF28" s="549">
        <f>Table1[[#This Row],[Cin ESR Loss]]</f>
        <v>6.1850259398432084E-2</v>
      </c>
      <c r="AG2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9.9966769847563555</v>
      </c>
      <c r="AH28" s="354">
        <f>Rdson1*Table1[[#This Row],[Irms BuCtrl]]^2</f>
        <v>0.41972091309774123</v>
      </c>
      <c r="AI28" s="354">
        <f>CHOOSE(Table1[[#This Row],[Mode Digit]], (Table1[[#This Row],[Vin]]*Table1[[#This Row],[Iout]]/2)*(Fsw)*(Tr_buck+Tf_buck), 0, (Table1[[#This Row],[Vin]]*Table1[[#This Row],[Avg IL]]/2)*(Fsw/1)*(Tr_buck+Tf_buck))</f>
        <v>2.5381932826833706</v>
      </c>
      <c r="AJ28">
        <f>IF(Table1[[#This Row],[Vin]]&gt;Vout, IF(Table1[[#This Row],[Iout]]&gt;Table1[[#This Row],[Ripple Current pk-pk]]/2,0,ABS(Table1[[#This Row],[Iout]]-Table1[[#This Row],[Ripple Current pk-pk]]/2)*Vsd_Q1*Deadtime*Fsw),0)</f>
        <v>0</v>
      </c>
      <c r="AK28" s="354">
        <f>(Table1[[#This Row],[Dead Time Loss BuCtrl]]+Table1[[#This Row],[Transition Loss BuCtrl]]+Table1[[#This Row],[RDS(on) Loss BuCtrl]]*(1+RdsonTopTc*Ta-RdsonTopTc*25))/(1-Table1[[#This Row],[RDS(on) Loss BuCtrl]]*RdsonTopTc*ThetaJA_Q1)</f>
        <v>3.2892503102512789</v>
      </c>
      <c r="AL28" s="354">
        <f>CHOOSE(Table1[[#This Row],[Mode Digit]],SQRT((Fsw*(Table1[[#This Row],[t2_Ph_I]]+0))*((Table1[[#This Row],[I_0]]*Table1[[#This Row],[I_1]]+((Table1[[#This Row],[I_0]]-Table1[[#This Row],[I_1]])^2)/3))),0,SQRT((Fsw*(Table1[[#This Row],[t3_Ph_III]]+0))*((Table1[[#This Row],[I_0]]*Table1[[#This Row],[I_2]]+((Table1[[#This Row],[I_0]]-Table1[[#This Row],[I_2]])^2)/3))))</f>
        <v>6.692068517460811</v>
      </c>
      <c r="AM28" s="354">
        <f>Rdson2*Table1[[#This Row],[Irms BuSync]]^2</f>
        <v>0.18809188037803862</v>
      </c>
      <c r="AN2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8" s="354">
        <f>(Table1[[#This Row],[Deadtime Loss BuSync]]+Table1[[#This Row],[RDS(on) Loss BuSync]]*(1+RdsonBotTc*Ta-RdsonBotTc*25))/(1-Table1[[#This Row],[RDS(on) Loss BuSync]]*RdsonBotTc*ThetaJA_Q2)</f>
        <v>0.80165150217808012</v>
      </c>
      <c r="AP28" s="354">
        <f>CHOOSE(Table1[[#This Row],[Mode Digit]],0,SQRT((Fsw*(Table1[[#This Row],[t1_Ph_II]]+0))*((Table1[[#This Row],[I_0]]*Table1[[#This Row],[I_1]]+((Table1[[#This Row],[I_0]]-Table1[[#This Row],[I_1]])^2)/3))),SQRT((Fsw*(Table1[[#This Row],[t2_Ph_I]]+0))*((Table1[[#This Row],[I_1]]*Table1[[#This Row],[I_2]]+((Table1[[#This Row],[I_1]]-Table1[[#This Row],[I_2]])^2)/3))))</f>
        <v>0</v>
      </c>
      <c r="AQ28" s="354">
        <f>Rdson4*Table1[[#This Row],[Irms BoCtlr]]^2</f>
        <v>0</v>
      </c>
      <c r="AR28" s="354">
        <f>CHOOSE(Table1[[#This Row],[Mode Digit]], 0, (Vout*Table1[[#This Row],[Iin]]/2)*(Fsw)*(Tr_boost+Tf_boost), (Vout*Iout/2)*(Fsw/1)*(Tr_boost+Tf_boost))</f>
        <v>0</v>
      </c>
      <c r="AS28">
        <f>IF(Table1[[#This Row],[Vin]]&gt;Vout, 0, IF(Table1[[#This Row],[Iin]]&gt;Table1[[#This Row],[Ripple Current pk-pk]]/2,0,ABS(Table1[[#This Row],[Iin]]-Table1[[#This Row],[Ripple Current pk-pk]]/2)*Vsd_Q4*Deadtime*Fsw))</f>
        <v>0</v>
      </c>
      <c r="AT28" s="354">
        <f>(Table1[[#This Row],[Dead Time Loss BoCtlr]]+Table1[[#This Row],[Transition Loss BoCtlr]]+Table1[[#This Row],[RDS(on) Loss BoCtlr]]*(1+RdsonTopTc*Ta-RdsonTopTc*25))/(1-Table1[[#This Row],[RDS(on) Loss BoCtlr]]*RdsonTopTc*ThetaJA_Q4)</f>
        <v>0</v>
      </c>
      <c r="AU2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12.029851694013004</v>
      </c>
      <c r="AV28" s="354">
        <f>Rdson3*Table1[[#This Row],[Irms BoSync]]^2</f>
        <v>0.60781279347577988</v>
      </c>
      <c r="AW2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8" s="354">
        <f>(Table1[[#This Row],[Deadtime Loss BoSync]]+Table1[[#This Row],[RDS(on) Loss BoSync]]*(1+RdsonBotTc*Ta-RdsonBotTc*25))/(1-Table1[[#This Row],[RDS(on) Loss BoSync]]*RdsonBotTc*ThetaJA_Q3)</f>
        <v>0.71162048130916433</v>
      </c>
      <c r="AY28" s="354">
        <f>CHOOSE(Table1[[#This Row],[Mode Digit]], Rdson3*Table1[[#This Row],[Irms Lf]]^2, Rdson1*Table1[[#This Row],[Irms Lf]]^2, 0)</f>
        <v>0.60781279347577988</v>
      </c>
      <c r="AZ28" s="354">
        <f>CHOOSE(Table1[[#This Row],[Mode Digit]], 2*Deadtime*Fsw*IF(VfdSky_Q2&gt;0,VfdSky_Q2,0)*Table1[[#This Row],[Iout]], 2*Deadtime*Fsw*IF(VfdSky_Q3&gt;0,VfdSky_Q3,0)*Table1[[#This Row],[Iin]], 2*Deadtime*Fsw*IF(VfdSky_Q2&gt;0,VfdSky_Q2,0)*Table1[[#This Row],[Iout]]+2*Deadtime*Fsw*IF(VfdSky_Q3&gt;0,VfdSky_Q3,0)*Table1[[#This Row],[Iin]])</f>
        <v>0</v>
      </c>
      <c r="BA28" s="354">
        <f>CHOOSE(Table1[[#This Row],[Mode Digit]], IF(QrrSky_Q2&gt;0,QrrSky_Q2,Qrr_Q2)*Fsw*(Table1[[#This Row],[Vin]]-Table1[[#This Row],[Iout]]*Rdson1),0,  IF(QrrSky_Q2&gt;0,QrrSky_Q2,Qrr_Q2)*Fsw*(Table1[[#This Row],[Vin]]-Table1[[#This Row],[Iout]]*Rdson1)+IF(QrrSky_Q3&gt;0,QrrSky_Q3,Qrr_Q3)*Fsw*Vout)</f>
        <v>0.2553552</v>
      </c>
      <c r="BB28" s="354">
        <f>CHOOSE(Table1[[#This Row],[Mode Digit]],0, IF(QrrSky_Q3&gt;0,QrrSky_Q3,Qrr_Q3)*Fsw*Vout,  IF(QrrSky_Q2&gt;0,QrrSky_Q2,Qrr_Q2)*Fsw*(Table1[[#This Row],[Vin]]-Table1[[#This Row],[Iout]]*Rdson1)+IF(QrrSky_Q3&gt;0,QrrSky_Q3,Qrr_Q3)*Fsw*Vout)</f>
        <v>0</v>
      </c>
      <c r="BC28" s="354">
        <f>CHOOSE(Table1[[#This Row],[Mode Digit]], Rs*Table1[[#This Row],[Irms BuSync]]^2, Rs*Table1[[#This Row],[Irms BoCtlr]]^2, Rs*(Table1[[#This Row],[Irms BuSync]]^2+Table1[[#This Row],[Irms BoCtlr]]^2))</f>
        <v>0.11195945260597535</v>
      </c>
      <c r="BD28" s="354">
        <f t="shared" si="1"/>
        <v>1.44</v>
      </c>
      <c r="BE28" s="354">
        <f>IF(Vout&gt;8, Iq*Vout, Iq*Table1[[#This Row],[Vin]])</f>
        <v>4.3799999999999999E-2</v>
      </c>
      <c r="BF28" s="354">
        <f>CHOOSE(Table1[[#This Row],[Mode Digit]], (Qg_Q1+Qg_Q2)*Fsw, (Qg_Q3+Qg_Q4)*Fsw, (Qg_Q1+Qg_Q2+Qg_Q3+Qg_Q4)*Fsw)*IF(Vout&gt;8, Vout, Table1[[#This Row],[Vin]])</f>
        <v>0.47303999999999996</v>
      </c>
      <c r="BG28" s="354">
        <f t="shared" si="2"/>
        <v>0.57269042016806726</v>
      </c>
      <c r="BH28" s="354">
        <f>Table1[[#This Row],[IQ Loss]]+Table1[[#This Row],[Switching Current Loss]]</f>
        <v>0.51683999999999997</v>
      </c>
      <c r="BI2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8.4757009195642024</v>
      </c>
      <c r="BJ28">
        <f>Vout*Table1[[#This Row],[Iout]]</f>
        <v>175.2</v>
      </c>
      <c r="BK28" s="550">
        <f>Table1[[#This Row],[Pout]]/(Table1[[#This Row],[Pout]]+Table1[[#This Row],[Total Loss]])</f>
        <v>0.95385507785117485</v>
      </c>
      <c r="BL2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197.35501861507674</v>
      </c>
      <c r="BM28" s="559">
        <f>IF(Table1[[#This Row],[Vin]]&gt;Vout, Table1[[#This Row],[Total Sync Bu MOSFET Loss]]*ThetaJA_Q2, ThetaJA_Q3*Table1[[#This Row],[Total Sync Bo MOSFET Loss]])</f>
        <v>48.099090130684807</v>
      </c>
      <c r="BN28" s="9"/>
      <c r="BO28" s="4">
        <f>Table1[[#This Row],[EFF, h]]*100</f>
        <v>95.385507785117483</v>
      </c>
      <c r="BP28" s="354">
        <f>Table1[[#This Row],[Total Inductor Loss]]</f>
        <v>1.2835870549215331</v>
      </c>
      <c r="BQ28" s="354">
        <f>Table1[[#This Row],[Total Control Bu MOSFET Loss]]+Table1[[#This Row],[Total Sync Bu MOSFET Loss]]+Table1[[#This Row],[Total Control Bo MOSFET Loss]]+Table1[[#This Row],[Total Sync Bo MOSFET Loss]]+Table1[[#This Row],[Reverse Recovery Loss MOSFET D BUCK]]+Table1[[#This Row],[Reverse Recovery Loss MOSFET D BOOST]]</f>
        <v>5.0578774937385234</v>
      </c>
      <c r="BR28" s="354">
        <f>Table1[[#This Row],[Total Control Bu MOSFET Loss]]+Table1[[#This Row],[Reverse Recovery Loss MOSFET D BUCK]]*0.66</f>
        <v>3.4577847422512789</v>
      </c>
      <c r="BS28" s="354">
        <f>Table1[[#This Row],[Total Sync Bu MOSFET Loss]]+Table1[[#This Row],[Reverse Recovery Loss MOSFET D BUCK]]*0.33</f>
        <v>0.8859187181780801</v>
      </c>
      <c r="BT28" s="354">
        <f xml:space="preserve"> Table1[[#This Row],[Total Control Bo MOSFET Loss]]+Table1[[#This Row],[Reverse Recovery Loss MOSFET D BOOST]]*0.66</f>
        <v>0</v>
      </c>
      <c r="BU28" s="354">
        <f xml:space="preserve"> Table1[[#This Row],[Total Sync Bo MOSFET Loss]]+Table1[[#This Row],[Reverse Recovery Loss MOSFET D BOOST]]*0.33</f>
        <v>0.71162048130916433</v>
      </c>
      <c r="BV28" s="354">
        <f>Table1[[#This Row],[Isense Shunt Loss]]</f>
        <v>0.11195945260597535</v>
      </c>
      <c r="BZ28" t="s">
        <v>154</v>
      </c>
      <c r="CA28">
        <v>9.9987659999999998</v>
      </c>
      <c r="CB28">
        <v>0.14660000000000001</v>
      </c>
      <c r="CC28">
        <v>5.1213230000000003</v>
      </c>
      <c r="CD28">
        <v>69.885376918691776</v>
      </c>
      <c r="CE28">
        <v>323.52446193379996</v>
      </c>
    </row>
    <row r="29" spans="1:92" x14ac:dyDescent="0.2">
      <c r="A29" s="24" t="s">
        <v>115</v>
      </c>
      <c r="B29" s="15" t="s">
        <v>113</v>
      </c>
      <c r="C29" s="24" t="s">
        <v>80</v>
      </c>
      <c r="D29" s="17" t="s">
        <v>109</v>
      </c>
      <c r="G29">
        <v>20</v>
      </c>
      <c r="H29" s="555">
        <f>VIN_min+(VIN_max-VIN_min)*(Table1[[#This Row],[Step]]/200)</f>
        <v>21.4</v>
      </c>
      <c r="I29" s="4" t="str">
        <f>IF(Mode = 2,IF(Table1[[#This Row],[Vin]]&gt;Vout, "BUCK","BOOST"),IF(Table1[[#This Row],[Vin]]&gt;VIN_BB_to_buck, "BUCK", IF(Table1[[#This Row],[Vin]]&lt;=VIN_boost_to_BB,"BOOST","BUCK-BST")))</f>
        <v>BUCK</v>
      </c>
      <c r="J29">
        <f>IF(Table1[[#This Row],[Mode]]="BOOST",2, IF(Table1[[#This Row],[Mode]]="BUCK", 1,3))</f>
        <v>1</v>
      </c>
      <c r="K29">
        <f t="shared" si="0"/>
        <v>12</v>
      </c>
      <c r="L29" s="4">
        <f>Vout*Table1[[#This Row],[Iout]]/(Table1[[#This Row],[Vin]]*Efficiency)</f>
        <v>8.6178061977373339</v>
      </c>
      <c r="M29" s="711">
        <f>MIN(1/Fsw,CHOOSE(Table1[[#This Row],[Mode Digit]],(Vout+(Rdson2+Rs+Rdcr)*Table1[[#This Row],[Iout]])/(Table1[[#This Row],[Vin]]+(Rs+Rdson2-Rdson1)*Table1[[#This Row],[Iout]])/Fsw,(Vout+(Rdson3+Rdcr)*Table1[[#This Row],[Iin]]-Table1[[#This Row],[Vin]])/(Vout+(Rdson3-Rdson4-Rs)*Table1[[#This Row],[Iin]])/Fsw,t1_Ph_II))</f>
        <v>1.1471457458391664E-6</v>
      </c>
      <c r="N29" s="602">
        <f>CHOOSE(Table1[[#This Row],[Mode Digit]],1/Fsw-Table1[[#This Row],[t1_Ph_II]],1/Fsw-Table1[[#This Row],[t1_Ph_II]],(Vout/Fsw-Table1[[#This Row],[Vin]]*t1_Ph_II)/(Table1[[#This Row],[Vin]]+Vout))</f>
        <v>5.195209208275003E-7</v>
      </c>
      <c r="O29" s="602">
        <f>1/Fsw-(Table1[[#This Row],[t1_Ph_II]]+Table1[[#This Row],[t2_Ph_I]])</f>
        <v>0</v>
      </c>
      <c r="P2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10.522615327328346</v>
      </c>
      <c r="Q29" s="4">
        <f>CHOOSE(Table1[[#This Row],[Mode Digit]],Table1[[#This Row],[I_0]]+1/Lf*(Table1[[#This Row],[Vin]]-Vout)*Table1[[#This Row],[t1_Ph_II]],Table1[[#This Row],[I_0]]+1/Lf*Table1[[#This Row],[Vin]]*Table1[[#This Row],[t1_Ph_II]],Table1[[#This Row],[I_0]]+(Table1[[#This Row],[Vin]]-Vout)/L*Table1[[#This Row],[t1_Ph_II]])</f>
        <v>13.477384672671652</v>
      </c>
      <c r="R29" s="4">
        <f>CHOOSE(Table1[[#This Row],[Mode Digit]],0,0,Table1[[#This Row],[I_1]]+Table1[[#This Row],[Vin]]/L*Table1[[#This Row],[t2_Ph_I]])</f>
        <v>0</v>
      </c>
      <c r="S29" s="4">
        <f>Fsw*(Table1[[#This Row],[I_0]]*Table1[[#This Row],[t1_Ph_II]]+Table1[[#This Row],[I_1]]*Table1[[#This Row],[t2_Ph_I]]+Table1[[#This Row],[I_2]]*Table1[[#This Row],[t3_Ph_III]])</f>
        <v>11.44365402200372</v>
      </c>
      <c r="T29" s="354">
        <f>MIN(1,CHOOSE(Table1[[#This Row],[Mode Digit]],(Vout+(Rdson2+Rs+Rdcr)*Table1[[#This Row],[Iout]])/(Table1[[#This Row],[Vin]]+(Rs+Rdson2-Rdson1)*Table1[[#This Row],[Iout]]),1,Fsw*Table1[[#This Row],[t2_Ph_I]]+Table1[[#This Row],[t1_Ph_II]]))</f>
        <v>0.68828744750349979</v>
      </c>
      <c r="U29" s="354">
        <f>MIN(1,CHOOSE(Table1[[#This Row],[Mode Digit]],0,(Vout+(Rdson3+Rdcr)*Table1[[#This Row],[Iin]]-Table1[[#This Row],[Vin]])/(Vout+(Rdson3-Rdson4-Rs)*Table1[[#This Row],[Iin]]),Fsw*Table1[[#This Row],[t1_Ph_II]]+Table1[[#This Row],[t3_Ph_III]]))</f>
        <v>0</v>
      </c>
      <c r="V29" s="4">
        <f>MAX(Table1[[#This Row],[I_0]:[I_2]])-MIN(Table1[[#This Row],[I_0]:[I_1]])</f>
        <v>2.9547693453433066</v>
      </c>
      <c r="W2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12.030276603512283</v>
      </c>
      <c r="X29" s="354">
        <f>(Table1[[#This Row],[Irms Lf]]^2*Rdcr*(1+Ltc*Ta-Ltc*25))/(1-Table1[[#This Row],[Irms Lf]]^2*Rdcr*Ltc*ThetaCa)</f>
        <v>0.89984782805234487</v>
      </c>
      <c r="Y29" s="354">
        <f>ABS(7.759*10^-3*Fsw^0.9458*(0.00787*Table1[[#This Row],[Ripple Current pk-pk]])^2.304)</f>
        <v>0.39011560876017426</v>
      </c>
      <c r="Z29" s="354">
        <f>Table1[[#This Row],[DCR    Loss]]+Table1[[#This Row],[Core Loss]]</f>
        <v>1.2899634368125192</v>
      </c>
      <c r="AA29" s="4">
        <f>IF(Table1[[#This Row],[Vin]]&gt;Vout, Table1[[#This Row],[Ripple Current pk-pk]]/SQRT(12), SQRT(Table1[[#This Row],[Duty Cycle BOOST Leg]]/(1-Table1[[#This Row],[Duty Cycle BOOST Leg]]))*SQRT(Table1[[#This Row],[Iout]]^2+(Table1[[#This Row],[Ripple Current pk-pk]]^2)/12))</f>
        <v>0.85296843846360626</v>
      </c>
      <c r="AB29" s="354">
        <f>RCoutEsr*Table1[[#This Row],[Irms Cout]]^2</f>
        <v>3.6377757850752142E-3</v>
      </c>
      <c r="AC29" s="354">
        <f>Table1[[#This Row],[Cout ESR Loss]]</f>
        <v>3.6377757850752142E-3</v>
      </c>
      <c r="AD29" s="354">
        <f>IF(Table1[[#This Row],[Vin]]&gt;Vout, SQRT(Table1[[#This Row],[Duty Cycle BUCK Leg]]*(1-Table1[[#This Row],[Duty Cycle BUCK Leg]]))*SQRT(Table1[[#This Row],[Iout]]^2+(Table1[[#This Row],[Ripple Current pk-pk]]^2)/12), Table1[[#This Row],[Ripple Current pk-pk]]/SQRT(12))</f>
        <v>5.5723409739116407</v>
      </c>
      <c r="AE29" s="354">
        <f>RCinEsr*Table1[[#This Row],[Irms Cin]]^2</f>
        <v>6.2101967859069067E-2</v>
      </c>
      <c r="AF29" s="549">
        <f>Table1[[#This Row],[Cin ESR Loss]]</f>
        <v>6.2101967859069067E-2</v>
      </c>
      <c r="AG2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9.9806893310253795</v>
      </c>
      <c r="AH29" s="354">
        <f>Rdson1*Table1[[#This Row],[Irms BuCtrl]]^2</f>
        <v>0.41837946999426417</v>
      </c>
      <c r="AI29" s="354">
        <f>CHOOSE(Table1[[#This Row],[Mode Digit]], (Table1[[#This Row],[Vin]]*Table1[[#This Row],[Iout]]/2)*(Fsw)*(Tr_buck+Tf_buck), 0, (Table1[[#This Row],[Vin]]*Table1[[#This Row],[Avg IL]]/2)*(Fsw/1)*(Tr_buck+Tf_buck))</f>
        <v>2.5465230309153366</v>
      </c>
      <c r="AJ29">
        <f>IF(Table1[[#This Row],[Vin]]&gt;Vout, IF(Table1[[#This Row],[Iout]]&gt;Table1[[#This Row],[Ripple Current pk-pk]]/2,0,ABS(Table1[[#This Row],[Iout]]-Table1[[#This Row],[Ripple Current pk-pk]]/2)*Vsd_Q1*Deadtime*Fsw),0)</f>
        <v>0</v>
      </c>
      <c r="AK29" s="354">
        <f>(Table1[[#This Row],[Dead Time Loss BuCtrl]]+Table1[[#This Row],[Transition Loss BuCtrl]]+Table1[[#This Row],[RDS(on) Loss BuCtrl]]*(1+RdsonTopTc*Ta-RdsonTopTc*25))/(1-Table1[[#This Row],[RDS(on) Loss BuCtrl]]*RdsonTopTc*ThetaJA_Q1)</f>
        <v>3.2958414796560689</v>
      </c>
      <c r="AL29" s="354">
        <f>CHOOSE(Table1[[#This Row],[Mode Digit]],SQRT((Fsw*(Table1[[#This Row],[t2_Ph_I]]+0))*((Table1[[#This Row],[I_0]]*Table1[[#This Row],[I_1]]+((Table1[[#This Row],[I_0]]-Table1[[#This Row],[I_1]])^2)/3))),0,SQRT((Fsw*(Table1[[#This Row],[t3_Ph_III]]+0))*((Table1[[#This Row],[I_0]]*Table1[[#This Row],[I_2]]+((Table1[[#This Row],[I_0]]-Table1[[#This Row],[I_2]])^2)/3))))</f>
        <v>6.7166506262102965</v>
      </c>
      <c r="AM29" s="354">
        <f>Rdson2*Table1[[#This Row],[Irms BuSync]]^2</f>
        <v>0.18947626166519893</v>
      </c>
      <c r="AN2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9" s="354">
        <f>(Table1[[#This Row],[Deadtime Loss BuSync]]+Table1[[#This Row],[RDS(on) Loss BuSync]]*(1+RdsonBotTc*Ta-RdsonBotTc*25))/(1-Table1[[#This Row],[RDS(on) Loss BuSync]]*RdsonBotTc*ThetaJA_Q2)</f>
        <v>0.80338087542934766</v>
      </c>
      <c r="AP29" s="354">
        <f>CHOOSE(Table1[[#This Row],[Mode Digit]],0,SQRT((Fsw*(Table1[[#This Row],[t1_Ph_II]]+0))*((Table1[[#This Row],[I_0]]*Table1[[#This Row],[I_1]]+((Table1[[#This Row],[I_0]]-Table1[[#This Row],[I_1]])^2)/3))),SQRT((Fsw*(Table1[[#This Row],[t2_Ph_I]]+0))*((Table1[[#This Row],[I_1]]*Table1[[#This Row],[I_2]]+((Table1[[#This Row],[I_1]]-Table1[[#This Row],[I_2]])^2)/3))))</f>
        <v>0</v>
      </c>
      <c r="AQ29" s="354">
        <f>Rdson4*Table1[[#This Row],[Irms BoCtlr]]^2</f>
        <v>0</v>
      </c>
      <c r="AR29" s="354">
        <f>CHOOSE(Table1[[#This Row],[Mode Digit]], 0, (Vout*Table1[[#This Row],[Iin]]/2)*(Fsw)*(Tr_boost+Tf_boost), (Vout*Iout/2)*(Fsw/1)*(Tr_boost+Tf_boost))</f>
        <v>0</v>
      </c>
      <c r="AS29">
        <f>IF(Table1[[#This Row],[Vin]]&gt;Vout, 0, IF(Table1[[#This Row],[Iin]]&gt;Table1[[#This Row],[Ripple Current pk-pk]]/2,0,ABS(Table1[[#This Row],[Iin]]-Table1[[#This Row],[Ripple Current pk-pk]]/2)*Vsd_Q4*Deadtime*Fsw))</f>
        <v>0</v>
      </c>
      <c r="AT29" s="354">
        <f>(Table1[[#This Row],[Dead Time Loss BoCtlr]]+Table1[[#This Row],[Transition Loss BoCtlr]]+Table1[[#This Row],[RDS(on) Loss BoCtlr]]*(1+RdsonTopTc*Ta-RdsonTopTc*25))/(1-Table1[[#This Row],[RDS(on) Loss BoCtlr]]*RdsonTopTc*ThetaJA_Q4)</f>
        <v>0</v>
      </c>
      <c r="AU2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12.030276603512283</v>
      </c>
      <c r="AV29" s="354">
        <f>Rdson3*Table1[[#This Row],[Irms BoSync]]^2</f>
        <v>0.60785573165946316</v>
      </c>
      <c r="AW2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9" s="354">
        <f>(Table1[[#This Row],[Deadtime Loss BoSync]]+Table1[[#This Row],[RDS(on) Loss BoSync]]*(1+RdsonBotTc*Ta-RdsonBotTc*25))/(1-Table1[[#This Row],[RDS(on) Loss BoSync]]*RdsonBotTc*ThetaJA_Q3)</f>
        <v>0.71167933939222783</v>
      </c>
      <c r="AY29" s="354">
        <f>CHOOSE(Table1[[#This Row],[Mode Digit]], Rdson3*Table1[[#This Row],[Irms Lf]]^2, Rdson1*Table1[[#This Row],[Irms Lf]]^2, 0)</f>
        <v>0.60785573165946316</v>
      </c>
      <c r="AZ29" s="354">
        <f>CHOOSE(Table1[[#This Row],[Mode Digit]], 2*Deadtime*Fsw*IF(VfdSky_Q2&gt;0,VfdSky_Q2,0)*Table1[[#This Row],[Iout]], 2*Deadtime*Fsw*IF(VfdSky_Q3&gt;0,VfdSky_Q3,0)*Table1[[#This Row],[Iin]], 2*Deadtime*Fsw*IF(VfdSky_Q2&gt;0,VfdSky_Q2,0)*Table1[[#This Row],[Iout]]+2*Deadtime*Fsw*IF(VfdSky_Q3&gt;0,VfdSky_Q3,0)*Table1[[#This Row],[Iin]])</f>
        <v>0</v>
      </c>
      <c r="BA29" s="354">
        <f>CHOOSE(Table1[[#This Row],[Mode Digit]], IF(QrrSky_Q2&gt;0,QrrSky_Q2,Qrr_Q2)*Fsw*(Table1[[#This Row],[Vin]]-Table1[[#This Row],[Iout]]*Rdson1),0,  IF(QrrSky_Q2&gt;0,QrrSky_Q2,Qrr_Q2)*Fsw*(Table1[[#This Row],[Vin]]-Table1[[#This Row],[Iout]]*Rdson1)+IF(QrrSky_Q3&gt;0,QrrSky_Q3,Qrr_Q3)*Fsw*Vout)</f>
        <v>0.25619520000000001</v>
      </c>
      <c r="BB29" s="354">
        <f>CHOOSE(Table1[[#This Row],[Mode Digit]],0, IF(QrrSky_Q3&gt;0,QrrSky_Q3,Qrr_Q3)*Fsw*Vout,  IF(QrrSky_Q2&gt;0,QrrSky_Q2,Qrr_Q2)*Fsw*(Table1[[#This Row],[Vin]]-Table1[[#This Row],[Iout]]*Rdson1)+IF(QrrSky_Q3&gt;0,QrrSky_Q3,Qrr_Q3)*Fsw*Vout)</f>
        <v>0</v>
      </c>
      <c r="BC29" s="354">
        <f>CHOOSE(Table1[[#This Row],[Mode Digit]], Rs*Table1[[#This Row],[Irms BuSync]]^2, Rs*Table1[[#This Row],[Irms BoCtlr]]^2, Rs*(Table1[[#This Row],[Irms BuSync]]^2+Table1[[#This Row],[Irms BoCtlr]]^2))</f>
        <v>0.11278348908642792</v>
      </c>
      <c r="BD29" s="354">
        <f t="shared" si="1"/>
        <v>1.44</v>
      </c>
      <c r="BE29" s="354">
        <f>IF(Vout&gt;8, Iq*Vout, Iq*Table1[[#This Row],[Vin]])</f>
        <v>4.3799999999999999E-2</v>
      </c>
      <c r="BF29" s="354">
        <f>CHOOSE(Table1[[#This Row],[Mode Digit]], (Qg_Q1+Qg_Q2)*Fsw, (Qg_Q3+Qg_Q4)*Fsw, (Qg_Q1+Qg_Q2+Qg_Q3+Qg_Q4)*Fsw)*IF(Vout&gt;8, Vout, Table1[[#This Row],[Vin]])</f>
        <v>0.47303999999999996</v>
      </c>
      <c r="BG29" s="354">
        <f t="shared" si="2"/>
        <v>0.57269042016806726</v>
      </c>
      <c r="BH29" s="354">
        <f>Table1[[#This Row],[IQ Loss]]+Table1[[#This Row],[Switching Current Loss]]</f>
        <v>0.51683999999999997</v>
      </c>
      <c r="BI2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8.4924235640207346</v>
      </c>
      <c r="BJ29">
        <f>Vout*Table1[[#This Row],[Iout]]</f>
        <v>175.2</v>
      </c>
      <c r="BK29" s="550">
        <f>Table1[[#This Row],[Pout]]/(Table1[[#This Row],[Pout]]+Table1[[#This Row],[Total Loss]])</f>
        <v>0.95376824259133941</v>
      </c>
      <c r="BL2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197.75048877936413</v>
      </c>
      <c r="BM29" s="559">
        <f>IF(Table1[[#This Row],[Vin]]&gt;Vout, Table1[[#This Row],[Total Sync Bu MOSFET Loss]]*ThetaJA_Q2, ThetaJA_Q3*Table1[[#This Row],[Total Sync Bo MOSFET Loss]])</f>
        <v>48.202852525760861</v>
      </c>
      <c r="BN29" s="9"/>
      <c r="BO29" s="4">
        <f>Table1[[#This Row],[EFF, h]]*100</f>
        <v>95.37682425913394</v>
      </c>
      <c r="BP29" s="354">
        <f>Table1[[#This Row],[Total Inductor Loss]]</f>
        <v>1.2899634368125192</v>
      </c>
      <c r="BQ29" s="354">
        <f>Table1[[#This Row],[Total Control Bu MOSFET Loss]]+Table1[[#This Row],[Total Sync Bu MOSFET Loss]]+Table1[[#This Row],[Total Control Bo MOSFET Loss]]+Table1[[#This Row],[Total Sync Bo MOSFET Loss]]+Table1[[#This Row],[Reverse Recovery Loss MOSFET D BUCK]]+Table1[[#This Row],[Reverse Recovery Loss MOSFET D BOOST]]</f>
        <v>5.0670968944776442</v>
      </c>
      <c r="BR29" s="354">
        <f>Table1[[#This Row],[Total Control Bu MOSFET Loss]]+Table1[[#This Row],[Reverse Recovery Loss MOSFET D BUCK]]*0.66</f>
        <v>3.4649303116560688</v>
      </c>
      <c r="BS29" s="354">
        <f>Table1[[#This Row],[Total Sync Bu MOSFET Loss]]+Table1[[#This Row],[Reverse Recovery Loss MOSFET D BUCK]]*0.33</f>
        <v>0.88792529142934762</v>
      </c>
      <c r="BT29" s="354">
        <f xml:space="preserve"> Table1[[#This Row],[Total Control Bo MOSFET Loss]]+Table1[[#This Row],[Reverse Recovery Loss MOSFET D BOOST]]*0.66</f>
        <v>0</v>
      </c>
      <c r="BU29" s="354">
        <f xml:space="preserve"> Table1[[#This Row],[Total Sync Bo MOSFET Loss]]+Table1[[#This Row],[Reverse Recovery Loss MOSFET D BOOST]]*0.33</f>
        <v>0.71167933939222783</v>
      </c>
      <c r="BV29" s="354">
        <f>Table1[[#This Row],[Isense Shunt Loss]]</f>
        <v>0.11278348908642792</v>
      </c>
      <c r="BZ29" t="s">
        <v>155</v>
      </c>
      <c r="CA29">
        <v>9.9987899999999996</v>
      </c>
      <c r="CB29">
        <v>0.1958</v>
      </c>
      <c r="CC29">
        <v>5.1217600000000001</v>
      </c>
      <c r="CD29">
        <v>75.662516566515876</v>
      </c>
      <c r="CE29">
        <v>322.57199766699983</v>
      </c>
    </row>
    <row r="30" spans="1:92" x14ac:dyDescent="0.2">
      <c r="A30" s="22" t="s">
        <v>64</v>
      </c>
      <c r="B30" s="27">
        <f>RdsonDRB</f>
        <v>1.5</v>
      </c>
      <c r="C30" s="444" t="s">
        <v>118</v>
      </c>
      <c r="D30" s="440" t="s">
        <v>678</v>
      </c>
      <c r="G30">
        <v>21</v>
      </c>
      <c r="H30" s="555">
        <f>VIN_min+(VIN_max-VIN_min)*(Table1[[#This Row],[Step]]/200)</f>
        <v>21.47</v>
      </c>
      <c r="I30" s="4" t="str">
        <f>IF(Mode = 2,IF(Table1[[#This Row],[Vin]]&gt;Vout, "BUCK","BOOST"),IF(Table1[[#This Row],[Vin]]&gt;VIN_BB_to_buck, "BUCK", IF(Table1[[#This Row],[Vin]]&lt;=VIN_boost_to_BB,"BOOST","BUCK-BST")))</f>
        <v>BUCK</v>
      </c>
      <c r="J30">
        <f>IF(Table1[[#This Row],[Mode]]="BOOST",2, IF(Table1[[#This Row],[Mode]]="BUCK", 1,3))</f>
        <v>1</v>
      </c>
      <c r="K30">
        <f t="shared" si="0"/>
        <v>12</v>
      </c>
      <c r="L30" s="4">
        <f>Vout*Table1[[#This Row],[Iout]]/(Table1[[#This Row],[Vin]]*Efficiency)</f>
        <v>8.5897090187041893</v>
      </c>
      <c r="M30" s="711">
        <f>MIN(1/Fsw,CHOOSE(Table1[[#This Row],[Mode Digit]],(Vout+(Rdson2+Rs+Rdcr)*Table1[[#This Row],[Iout]])/(Table1[[#This Row],[Vin]]+(Rs+Rdson2-Rdson1)*Table1[[#This Row],[Iout]])/Fsw,(Vout+(Rdson3+Rdcr)*Table1[[#This Row],[Iin]]-Table1[[#This Row],[Vin]])/(Vout+(Rdson3-Rdson4-Rs)*Table1[[#This Row],[Iin]])/Fsw,t1_Ph_II))</f>
        <v>1.1434108527131784E-6</v>
      </c>
      <c r="N30" s="602">
        <f>CHOOSE(Table1[[#This Row],[Mode Digit]],1/Fsw-Table1[[#This Row],[t1_Ph_II]],1/Fsw-Table1[[#This Row],[t1_Ph_II]],(Vout/Fsw-Table1[[#This Row],[Vin]]*t1_Ph_II)/(Table1[[#This Row],[Vin]]+Vout))</f>
        <v>5.2325581395348831E-7</v>
      </c>
      <c r="O30" s="602">
        <f>1/Fsw-(Table1[[#This Row],[t1_Ph_II]]+Table1[[#This Row],[t2_Ph_I]])</f>
        <v>0</v>
      </c>
      <c r="P3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10.512266560958421</v>
      </c>
      <c r="Q30" s="4">
        <f>CHOOSE(Table1[[#This Row],[Mode Digit]],Table1[[#This Row],[I_0]]+1/Lf*(Table1[[#This Row],[Vin]]-Vout)*Table1[[#This Row],[t1_Ph_II]],Table1[[#This Row],[I_0]]+1/Lf*Table1[[#This Row],[Vin]]*Table1[[#This Row],[t1_Ph_II]],Table1[[#This Row],[I_0]]+(Table1[[#This Row],[Vin]]-Vout)/L*Table1[[#This Row],[t1_Ph_II]])</f>
        <v>13.487733439041579</v>
      </c>
      <c r="R30" s="4">
        <f>CHOOSE(Table1[[#This Row],[Mode Digit]],0,0,Table1[[#This Row],[I_1]]+Table1[[#This Row],[Vin]]/L*Table1[[#This Row],[t2_Ph_I]])</f>
        <v>0</v>
      </c>
      <c r="S30" s="4">
        <f>Fsw*(Table1[[#This Row],[I_0]]*Table1[[#This Row],[t1_Ph_II]]+Table1[[#This Row],[I_1]]*Table1[[#This Row],[t2_Ph_I]]+Table1[[#This Row],[I_2]]*Table1[[#This Row],[t3_Ph_III]])</f>
        <v>11.446424766868251</v>
      </c>
      <c r="T30" s="354">
        <f>MIN(1,CHOOSE(Table1[[#This Row],[Mode Digit]],(Vout+(Rdson2+Rs+Rdcr)*Table1[[#This Row],[Iout]])/(Table1[[#This Row],[Vin]]+(Rs+Rdson2-Rdson1)*Table1[[#This Row],[Iout]]),1,Fsw*Table1[[#This Row],[t2_Ph_I]]+Table1[[#This Row],[t1_Ph_II]]))</f>
        <v>0.68604651162790697</v>
      </c>
      <c r="U30" s="354">
        <f>MIN(1,CHOOSE(Table1[[#This Row],[Mode Digit]],0,(Vout+(Rdson3+Rdcr)*Table1[[#This Row],[Iin]]-Table1[[#This Row],[Vin]])/(Vout+(Rdson3-Rdson4-Rs)*Table1[[#This Row],[Iin]]),Fsw*Table1[[#This Row],[t1_Ph_II]]+Table1[[#This Row],[t3_Ph_III]]))</f>
        <v>0</v>
      </c>
      <c r="V30" s="4">
        <f>MAX(Table1[[#This Row],[I_0]:[I_2]])-MIN(Table1[[#This Row],[I_0]:[I_1]])</f>
        <v>2.9754668780831572</v>
      </c>
      <c r="W3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12.030701708346614</v>
      </c>
      <c r="X30" s="354">
        <f>(Table1[[#This Row],[Irms Lf]]^2*Rdcr*(1+Ltc*Ta-Ltc*25))/(1-Table1[[#This Row],[Irms Lf]]^2*Rdcr*Ltc*ThetaCa)</f>
        <v>0.89991600212442246</v>
      </c>
      <c r="Y30" s="354">
        <f>ABS(7.759*10^-3*Fsw^0.9458*(0.00787*Table1[[#This Row],[Ripple Current pk-pk]])^2.304)</f>
        <v>0.39644047223130435</v>
      </c>
      <c r="Z30" s="354">
        <f>Table1[[#This Row],[DCR    Loss]]+Table1[[#This Row],[Core Loss]]</f>
        <v>1.2963564743557268</v>
      </c>
      <c r="AA30" s="4">
        <f>IF(Table1[[#This Row],[Vin]]&gt;Vout, Table1[[#This Row],[Ripple Current pk-pk]]/SQRT(12), SQRT(Table1[[#This Row],[Duty Cycle BOOST Leg]]/(1-Table1[[#This Row],[Duty Cycle BOOST Leg]]))*SQRT(Table1[[#This Row],[Iout]]^2+(Table1[[#This Row],[Ripple Current pk-pk]]^2)/12))</f>
        <v>0.8589433015130632</v>
      </c>
      <c r="AB30" s="354">
        <f>RCoutEsr*Table1[[#This Row],[Irms Cout]]^2</f>
        <v>3.6889179760708052E-3</v>
      </c>
      <c r="AC30" s="354">
        <f>Table1[[#This Row],[Cout ESR Loss]]</f>
        <v>3.6889179760708052E-3</v>
      </c>
      <c r="AD30" s="354">
        <f>IF(Table1[[#This Row],[Vin]]&gt;Vout, SQRT(Table1[[#This Row],[Duty Cycle BUCK Leg]]*(1-Table1[[#This Row],[Duty Cycle BUCK Leg]]))*SQRT(Table1[[#This Row],[Iout]]^2+(Table1[[#This Row],[Ripple Current pk-pk]]^2)/12), Table1[[#This Row],[Ripple Current pk-pk]]/SQRT(12))</f>
        <v>5.5834212561987471</v>
      </c>
      <c r="AE30" s="354">
        <f>RCinEsr*Table1[[#This Row],[Irms Cin]]^2</f>
        <v>6.2349185848343994E-2</v>
      </c>
      <c r="AF30" s="549">
        <f>Table1[[#This Row],[Cin ESR Loss]]</f>
        <v>6.2349185848343994E-2</v>
      </c>
      <c r="AG3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9.964780556352034</v>
      </c>
      <c r="AH30" s="354">
        <f>Rdson1*Table1[[#This Row],[Irms BuCtrl]]^2</f>
        <v>0.41704677645225657</v>
      </c>
      <c r="AI30" s="354">
        <f>CHOOSE(Table1[[#This Row],[Mode Digit]], (Table1[[#This Row],[Vin]]*Table1[[#This Row],[Iout]]/2)*(Fsw)*(Tr_buck+Tf_buck), 0, (Table1[[#This Row],[Vin]]*Table1[[#This Row],[Avg IL]]/2)*(Fsw/1)*(Tr_buck+Tf_buck))</f>
        <v>2.554852779147303</v>
      </c>
      <c r="AJ30">
        <f>IF(Table1[[#This Row],[Vin]]&gt;Vout, IF(Table1[[#This Row],[Iout]]&gt;Table1[[#This Row],[Ripple Current pk-pk]]/2,0,ABS(Table1[[#This Row],[Iout]]-Table1[[#This Row],[Ripple Current pk-pk]]/2)*Vsd_Q1*Deadtime*Fsw),0)</f>
        <v>0</v>
      </c>
      <c r="AK30" s="354">
        <f>(Table1[[#This Row],[Dead Time Loss BuCtrl]]+Table1[[#This Row],[Transition Loss BuCtrl]]+Table1[[#This Row],[RDS(on) Loss BuCtrl]]*(1+RdsonTopTc*Ta-RdsonTopTc*25))/(1-Table1[[#This Row],[RDS(on) Loss BuCtrl]]*RdsonTopTc*ThetaJA_Q1)</f>
        <v>3.3024453618124179</v>
      </c>
      <c r="AL30" s="354">
        <f>CHOOSE(Table1[[#This Row],[Mode Digit]],SQRT((Fsw*(Table1[[#This Row],[t2_Ph_I]]+0))*((Table1[[#This Row],[I_0]]*Table1[[#This Row],[I_1]]+((Table1[[#This Row],[I_0]]-Table1[[#This Row],[I_1]])^2)/3))),0,SQRT((Fsw*(Table1[[#This Row],[t3_Ph_III]]+0))*((Table1[[#This Row],[I_0]]*Table1[[#This Row],[I_2]]+((Table1[[#This Row],[I_0]]-Table1[[#This Row],[I_2]])^2)/3))))</f>
        <v>6.7409889525916427</v>
      </c>
      <c r="AM30" s="354">
        <f>Rdson2*Table1[[#This Row],[Irms BuSync]]^2</f>
        <v>0.19085191464764284</v>
      </c>
      <c r="AN3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0" s="354">
        <f>(Table1[[#This Row],[Deadtime Loss BuSync]]+Table1[[#This Row],[RDS(on) Loss BuSync]]*(1+RdsonBotTc*Ta-RdsonBotTc*25))/(1-Table1[[#This Row],[RDS(on) Loss BuSync]]*RdsonBotTc*ThetaJA_Q2)</f>
        <v>0.80510053822819927</v>
      </c>
      <c r="AP30" s="354">
        <f>CHOOSE(Table1[[#This Row],[Mode Digit]],0,SQRT((Fsw*(Table1[[#This Row],[t1_Ph_II]]+0))*((Table1[[#This Row],[I_0]]*Table1[[#This Row],[I_1]]+((Table1[[#This Row],[I_0]]-Table1[[#This Row],[I_1]])^2)/3))),SQRT((Fsw*(Table1[[#This Row],[t2_Ph_I]]+0))*((Table1[[#This Row],[I_1]]*Table1[[#This Row],[I_2]]+((Table1[[#This Row],[I_1]]-Table1[[#This Row],[I_2]])^2)/3))))</f>
        <v>0</v>
      </c>
      <c r="AQ30" s="354">
        <f>Rdson4*Table1[[#This Row],[Irms BoCtlr]]^2</f>
        <v>0</v>
      </c>
      <c r="AR30" s="354">
        <f>CHOOSE(Table1[[#This Row],[Mode Digit]], 0, (Vout*Table1[[#This Row],[Iin]]/2)*(Fsw)*(Tr_boost+Tf_boost), (Vout*Iout/2)*(Fsw/1)*(Tr_boost+Tf_boost))</f>
        <v>0</v>
      </c>
      <c r="AS30">
        <f>IF(Table1[[#This Row],[Vin]]&gt;Vout, 0, IF(Table1[[#This Row],[Iin]]&gt;Table1[[#This Row],[Ripple Current pk-pk]]/2,0,ABS(Table1[[#This Row],[Iin]]-Table1[[#This Row],[Ripple Current pk-pk]]/2)*Vsd_Q4*Deadtime*Fsw))</f>
        <v>0</v>
      </c>
      <c r="AT30" s="354">
        <f>(Table1[[#This Row],[Dead Time Loss BoCtlr]]+Table1[[#This Row],[Transition Loss BoCtlr]]+Table1[[#This Row],[RDS(on) Loss BoCtlr]]*(1+RdsonTopTc*Ta-RdsonTopTc*25))/(1-Table1[[#This Row],[RDS(on) Loss BoCtlr]]*RdsonTopTc*ThetaJA_Q4)</f>
        <v>0</v>
      </c>
      <c r="AU3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12.030701708346614</v>
      </c>
      <c r="AV30" s="354">
        <f>Rdson3*Table1[[#This Row],[Irms BoSync]]^2</f>
        <v>0.60789869109989947</v>
      </c>
      <c r="AW3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0" s="354">
        <f>(Table1[[#This Row],[Deadtime Loss BoSync]]+Table1[[#This Row],[RDS(on) Loss BoSync]]*(1+RdsonBotTc*Ta-RdsonBotTc*25))/(1-Table1[[#This Row],[RDS(on) Loss BoSync]]*RdsonBotTc*ThetaJA_Q3)</f>
        <v>0.7117382280346215</v>
      </c>
      <c r="AY30" s="354">
        <f>CHOOSE(Table1[[#This Row],[Mode Digit]], Rdson3*Table1[[#This Row],[Irms Lf]]^2, Rdson1*Table1[[#This Row],[Irms Lf]]^2, 0)</f>
        <v>0.60789869109989947</v>
      </c>
      <c r="AZ30" s="354">
        <f>CHOOSE(Table1[[#This Row],[Mode Digit]], 2*Deadtime*Fsw*IF(VfdSky_Q2&gt;0,VfdSky_Q2,0)*Table1[[#This Row],[Iout]], 2*Deadtime*Fsw*IF(VfdSky_Q3&gt;0,VfdSky_Q3,0)*Table1[[#This Row],[Iin]], 2*Deadtime*Fsw*IF(VfdSky_Q2&gt;0,VfdSky_Q2,0)*Table1[[#This Row],[Iout]]+2*Deadtime*Fsw*IF(VfdSky_Q3&gt;0,VfdSky_Q3,0)*Table1[[#This Row],[Iin]])</f>
        <v>0</v>
      </c>
      <c r="BA30" s="354">
        <f>CHOOSE(Table1[[#This Row],[Mode Digit]], IF(QrrSky_Q2&gt;0,QrrSky_Q2,Qrr_Q2)*Fsw*(Table1[[#This Row],[Vin]]-Table1[[#This Row],[Iout]]*Rdson1),0,  IF(QrrSky_Q2&gt;0,QrrSky_Q2,Qrr_Q2)*Fsw*(Table1[[#This Row],[Vin]]-Table1[[#This Row],[Iout]]*Rdson1)+IF(QrrSky_Q3&gt;0,QrrSky_Q3,Qrr_Q3)*Fsw*Vout)</f>
        <v>0.25703520000000002</v>
      </c>
      <c r="BB30" s="354">
        <f>CHOOSE(Table1[[#This Row],[Mode Digit]],0, IF(QrrSky_Q3&gt;0,QrrSky_Q3,Qrr_Q3)*Fsw*Vout,  IF(QrrSky_Q2&gt;0,QrrSky_Q2,Qrr_Q2)*Fsw*(Table1[[#This Row],[Vin]]-Table1[[#This Row],[Iout]]*Rdson1)+IF(QrrSky_Q3&gt;0,QrrSky_Q3,Qrr_Q3)*Fsw*Vout)</f>
        <v>0</v>
      </c>
      <c r="BC30" s="354">
        <f>CHOOSE(Table1[[#This Row],[Mode Digit]], Rs*Table1[[#This Row],[Irms BuSync]]^2, Rs*Table1[[#This Row],[Irms BoCtlr]]^2, Rs*(Table1[[#This Row],[Irms BuSync]]^2+Table1[[#This Row],[Irms BoCtlr]]^2))</f>
        <v>0.11360233014740644</v>
      </c>
      <c r="BD30" s="354">
        <f t="shared" si="1"/>
        <v>1.44</v>
      </c>
      <c r="BE30" s="354">
        <f>IF(Vout&gt;8, Iq*Vout, Iq*Table1[[#This Row],[Vin]])</f>
        <v>4.3799999999999999E-2</v>
      </c>
      <c r="BF30" s="354">
        <f>CHOOSE(Table1[[#This Row],[Mode Digit]], (Qg_Q1+Qg_Q2)*Fsw, (Qg_Q3+Qg_Q4)*Fsw, (Qg_Q1+Qg_Q2+Qg_Q3+Qg_Q4)*Fsw)*IF(Vout&gt;8, Vout, Table1[[#This Row],[Vin]])</f>
        <v>0.47303999999999996</v>
      </c>
      <c r="BG30" s="354">
        <f t="shared" si="2"/>
        <v>0.57269042016806726</v>
      </c>
      <c r="BH30" s="354">
        <f>Table1[[#This Row],[IQ Loss]]+Table1[[#This Row],[Switching Current Loss]]</f>
        <v>0.51683999999999997</v>
      </c>
      <c r="BI3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8.5091562364027862</v>
      </c>
      <c r="BJ30">
        <f>Vout*Table1[[#This Row],[Iout]]</f>
        <v>175.2</v>
      </c>
      <c r="BK30" s="550">
        <f>Table1[[#This Row],[Pout]]/(Table1[[#This Row],[Pout]]+Table1[[#This Row],[Total Loss]])</f>
        <v>0.9536813710828167</v>
      </c>
      <c r="BL3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198.14672170874508</v>
      </c>
      <c r="BM30" s="559">
        <f>IF(Table1[[#This Row],[Vin]]&gt;Vout, Table1[[#This Row],[Total Sync Bu MOSFET Loss]]*ThetaJA_Q2, ThetaJA_Q3*Table1[[#This Row],[Total Sync Bo MOSFET Loss]])</f>
        <v>48.306032293691956</v>
      </c>
      <c r="BN30" s="9"/>
      <c r="BO30" s="4">
        <f>Table1[[#This Row],[EFF, h]]*100</f>
        <v>95.368137108281672</v>
      </c>
      <c r="BP30" s="354">
        <f>Table1[[#This Row],[Total Inductor Loss]]</f>
        <v>1.2963564743557268</v>
      </c>
      <c r="BQ30" s="354">
        <f>Table1[[#This Row],[Total Control Bu MOSFET Loss]]+Table1[[#This Row],[Total Sync Bu MOSFET Loss]]+Table1[[#This Row],[Total Control Bo MOSFET Loss]]+Table1[[#This Row],[Total Sync Bo MOSFET Loss]]+Table1[[#This Row],[Reverse Recovery Loss MOSFET D BUCK]]+Table1[[#This Row],[Reverse Recovery Loss MOSFET D BOOST]]</f>
        <v>5.0763193280752388</v>
      </c>
      <c r="BR30" s="354">
        <f>Table1[[#This Row],[Total Control Bu MOSFET Loss]]+Table1[[#This Row],[Reverse Recovery Loss MOSFET D BUCK]]*0.66</f>
        <v>3.4720885938124177</v>
      </c>
      <c r="BS30" s="354">
        <f>Table1[[#This Row],[Total Sync Bu MOSFET Loss]]+Table1[[#This Row],[Reverse Recovery Loss MOSFET D BUCK]]*0.33</f>
        <v>0.88992215422819931</v>
      </c>
      <c r="BT30" s="354">
        <f xml:space="preserve"> Table1[[#This Row],[Total Control Bo MOSFET Loss]]+Table1[[#This Row],[Reverse Recovery Loss MOSFET D BOOST]]*0.66</f>
        <v>0</v>
      </c>
      <c r="BU30" s="354">
        <f xml:space="preserve"> Table1[[#This Row],[Total Sync Bo MOSFET Loss]]+Table1[[#This Row],[Reverse Recovery Loss MOSFET D BOOST]]*0.33</f>
        <v>0.7117382280346215</v>
      </c>
      <c r="BV30" s="354">
        <f>Table1[[#This Row],[Isense Shunt Loss]]</f>
        <v>0.11360233014740644</v>
      </c>
      <c r="CA30">
        <v>9.9987659999999998</v>
      </c>
      <c r="CB30">
        <v>0.2681</v>
      </c>
      <c r="CC30">
        <v>5.1224080000000001</v>
      </c>
      <c r="CD30">
        <v>80.957553445887683</v>
      </c>
      <c r="CE30">
        <v>323.02506068319997</v>
      </c>
    </row>
    <row r="31" spans="1:92" x14ac:dyDescent="0.2">
      <c r="A31" s="22" t="s">
        <v>147</v>
      </c>
      <c r="B31" s="27">
        <v>1</v>
      </c>
      <c r="C31" s="444" t="s">
        <v>118</v>
      </c>
      <c r="D31" s="440" t="s">
        <v>677</v>
      </c>
      <c r="G31">
        <v>22</v>
      </c>
      <c r="H31" s="555">
        <f>VIN_min+(VIN_max-VIN_min)*(Table1[[#This Row],[Step]]/200)</f>
        <v>21.54</v>
      </c>
      <c r="I31" s="4" t="str">
        <f>IF(Mode = 2,IF(Table1[[#This Row],[Vin]]&gt;Vout, "BUCK","BOOST"),IF(Table1[[#This Row],[Vin]]&gt;VIN_BB_to_buck, "BUCK", IF(Table1[[#This Row],[Vin]]&lt;=VIN_boost_to_BB,"BOOST","BUCK-BST")))</f>
        <v>BUCK</v>
      </c>
      <c r="J31">
        <f>IF(Table1[[#This Row],[Mode]]="BOOST",2, IF(Table1[[#This Row],[Mode]]="BUCK", 1,3))</f>
        <v>1</v>
      </c>
      <c r="K31">
        <f t="shared" si="0"/>
        <v>12</v>
      </c>
      <c r="L31" s="4">
        <f>Vout*Table1[[#This Row],[Iout]]/(Table1[[#This Row],[Vin]]*Efficiency)</f>
        <v>8.5617944582905743</v>
      </c>
      <c r="M31" s="711">
        <f>MIN(1/Fsw,CHOOSE(Table1[[#This Row],[Mode Digit]],(Vout+(Rdson2+Rs+Rdcr)*Table1[[#This Row],[Iout]])/(Table1[[#This Row],[Vin]]+(Rs+Rdson2-Rdson1)*Table1[[#This Row],[Iout]])/Fsw,(Vout+(Rdson3+Rdcr)*Table1[[#This Row],[Iin]]-Table1[[#This Row],[Vin]])/(Vout+(Rdson3-Rdson4-Rs)*Table1[[#This Row],[Iin]])/Fsw,t1_Ph_II))</f>
        <v>1.1397002008963065E-6</v>
      </c>
      <c r="N31" s="602">
        <f>CHOOSE(Table1[[#This Row],[Mode Digit]],1/Fsw-Table1[[#This Row],[t1_Ph_II]],1/Fsw-Table1[[#This Row],[t1_Ph_II]],(Vout/Fsw-Table1[[#This Row],[Vin]]*t1_Ph_II)/(Table1[[#This Row],[Vin]]+Vout))</f>
        <v>5.2696646577036016E-7</v>
      </c>
      <c r="O31" s="602">
        <f>1/Fsw-(Table1[[#This Row],[t1_Ph_II]]+Table1[[#This Row],[t2_Ph_I]])</f>
        <v>0</v>
      </c>
      <c r="P3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10.50198496321584</v>
      </c>
      <c r="Q31" s="4">
        <f>CHOOSE(Table1[[#This Row],[Mode Digit]],Table1[[#This Row],[I_0]]+1/Lf*(Table1[[#This Row],[Vin]]-Vout)*Table1[[#This Row],[t1_Ph_II]],Table1[[#This Row],[I_0]]+1/Lf*Table1[[#This Row],[Vin]]*Table1[[#This Row],[t1_Ph_II]],Table1[[#This Row],[I_0]]+(Table1[[#This Row],[Vin]]-Vout)/L*Table1[[#This Row],[t1_Ph_II]])</f>
        <v>13.49801503678416</v>
      </c>
      <c r="R31" s="4">
        <f>CHOOSE(Table1[[#This Row],[Mode Digit]],0,0,Table1[[#This Row],[I_1]]+Table1[[#This Row],[Vin]]/L*Table1[[#This Row],[t2_Ph_I]])</f>
        <v>0</v>
      </c>
      <c r="S31" s="4">
        <f>Fsw*(Table1[[#This Row],[I_0]]*Table1[[#This Row],[t1_Ph_II]]+Table1[[#This Row],[I_1]]*Table1[[#This Row],[t2_Ph_I]]+Table1[[#This Row],[I_2]]*Table1[[#This Row],[t3_Ph_III]])</f>
        <v>11.449269390741845</v>
      </c>
      <c r="T31" s="354">
        <f>MIN(1,CHOOSE(Table1[[#This Row],[Mode Digit]],(Vout+(Rdson2+Rs+Rdcr)*Table1[[#This Row],[Iout]])/(Table1[[#This Row],[Vin]]+(Rs+Rdson2-Rdson1)*Table1[[#This Row],[Iout]]),1,Fsw*Table1[[#This Row],[t2_Ph_I]]+Table1[[#This Row],[t1_Ph_II]]))</f>
        <v>0.68382012053778396</v>
      </c>
      <c r="U31" s="354">
        <f>MIN(1,CHOOSE(Table1[[#This Row],[Mode Digit]],0,(Vout+(Rdson3+Rdcr)*Table1[[#This Row],[Iin]]-Table1[[#This Row],[Vin]])/(Vout+(Rdson3-Rdson4-Rs)*Table1[[#This Row],[Iin]]),Fsw*Table1[[#This Row],[t1_Ph_II]]+Table1[[#This Row],[t3_Ph_III]]))</f>
        <v>0</v>
      </c>
      <c r="V31" s="4">
        <f>MAX(Table1[[#This Row],[I_0]:[I_2]])-MIN(Table1[[#This Row],[I_0]:[I_1]])</f>
        <v>2.9960300735683205</v>
      </c>
      <c r="W3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12.031126977558827</v>
      </c>
      <c r="X31" s="354">
        <f>(Table1[[#This Row],[Irms Lf]]^2*Rdcr*(1+Ltc*Ta-Ltc*25))/(1-Table1[[#This Row],[Irms Lf]]^2*Rdcr*Ltc*ThetaCa)</f>
        <v>0.89998420566229376</v>
      </c>
      <c r="Y31" s="354">
        <f>ABS(7.759*10^-3*Fsw^0.9458*(0.00787*Table1[[#This Row],[Ripple Current pk-pk]])^2.304)</f>
        <v>0.40278135618269306</v>
      </c>
      <c r="Z31" s="354">
        <f>Table1[[#This Row],[DCR    Loss]]+Table1[[#This Row],[Core Loss]]</f>
        <v>1.3027655618449869</v>
      </c>
      <c r="AA31" s="4">
        <f>IF(Table1[[#This Row],[Vin]]&gt;Vout, Table1[[#This Row],[Ripple Current pk-pk]]/SQRT(12), SQRT(Table1[[#This Row],[Duty Cycle BOOST Leg]]/(1-Table1[[#This Row],[Duty Cycle BOOST Leg]]))*SQRT(Table1[[#This Row],[Iout]]^2+(Table1[[#This Row],[Ripple Current pk-pk]]^2)/12))</f>
        <v>0.86487938473744208</v>
      </c>
      <c r="AB31" s="354">
        <f>RCoutEsr*Table1[[#This Row],[Irms Cout]]^2</f>
        <v>3.7400817507190821E-3</v>
      </c>
      <c r="AC31" s="354">
        <f>Table1[[#This Row],[Cout ESR Loss]]</f>
        <v>3.7400817507190821E-3</v>
      </c>
      <c r="AD31" s="354">
        <f>IF(Table1[[#This Row],[Vin]]&gt;Vout, SQRT(Table1[[#This Row],[Duty Cycle BUCK Leg]]*(1-Table1[[#This Row],[Duty Cycle BUCK Leg]]))*SQRT(Table1[[#This Row],[Iout]]^2+(Table1[[#This Row],[Ripple Current pk-pk]]^2)/12), Table1[[#This Row],[Ripple Current pk-pk]]/SQRT(12))</f>
        <v>5.5942821032115582</v>
      </c>
      <c r="AE31" s="354">
        <f>RCinEsr*Table1[[#This Row],[Irms Cin]]^2</f>
        <v>6.2591984500626266E-2</v>
      </c>
      <c r="AF31" s="549">
        <f>Table1[[#This Row],[Cin ESR Loss]]</f>
        <v>6.2591984500626266E-2</v>
      </c>
      <c r="AG3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9.9489499942536881</v>
      </c>
      <c r="AH31" s="354">
        <f>Rdson1*Table1[[#This Row],[Irms BuCtrl]]^2</f>
        <v>0.41572274515027402</v>
      </c>
      <c r="AI31" s="354">
        <f>CHOOSE(Table1[[#This Row],[Mode Digit]], (Table1[[#This Row],[Vin]]*Table1[[#This Row],[Iout]]/2)*(Fsw)*(Tr_buck+Tf_buck), 0, (Table1[[#This Row],[Vin]]*Table1[[#This Row],[Avg IL]]/2)*(Fsw/1)*(Tr_buck+Tf_buck))</f>
        <v>2.563182527379269</v>
      </c>
      <c r="AJ31">
        <f>IF(Table1[[#This Row],[Vin]]&gt;Vout, IF(Table1[[#This Row],[Iout]]&gt;Table1[[#This Row],[Ripple Current pk-pk]]/2,0,ABS(Table1[[#This Row],[Iout]]-Table1[[#This Row],[Ripple Current pk-pk]]/2)*Vsd_Q1*Deadtime*Fsw),0)</f>
        <v>0</v>
      </c>
      <c r="AK31" s="354">
        <f>(Table1[[#This Row],[Dead Time Loss BuCtrl]]+Table1[[#This Row],[Transition Loss BuCtrl]]+Table1[[#This Row],[RDS(on) Loss BuCtrl]]*(1+RdsonTopTc*Ta-RdsonTopTc*25))/(1-Table1[[#This Row],[RDS(on) Loss BuCtrl]]*RdsonTopTc*ThetaJA_Q1)</f>
        <v>3.3090618153492928</v>
      </c>
      <c r="AL31" s="354">
        <f>CHOOSE(Table1[[#This Row],[Mode Digit]],SQRT((Fsw*(Table1[[#This Row],[t2_Ph_I]]+0))*((Table1[[#This Row],[I_0]]*Table1[[#This Row],[I_1]]+((Table1[[#This Row],[I_0]]-Table1[[#This Row],[I_1]])^2)/3))),0,SQRT((Fsw*(Table1[[#This Row],[t3_Ph_III]]+0))*((Table1[[#This Row],[I_0]]*Table1[[#This Row],[I_2]]+((Table1[[#This Row],[I_0]]-Table1[[#This Row],[I_2]])^2)/3))))</f>
        <v>6.7650876093353993</v>
      </c>
      <c r="AM31" s="354">
        <f>Rdson2*Table1[[#This Row],[Irms BuSync]]^2</f>
        <v>0.1922189235203301</v>
      </c>
      <c r="AN3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1" s="354">
        <f>(Table1[[#This Row],[Deadtime Loss BuSync]]+Table1[[#This Row],[RDS(on) Loss BuSync]]*(1+RdsonBotTc*Ta-RdsonBotTc*25))/(1-Table1[[#This Row],[RDS(on) Loss BuSync]]*RdsonBotTc*ThetaJA_Q2)</f>
        <v>0.80681057452034755</v>
      </c>
      <c r="AP31" s="354">
        <f>CHOOSE(Table1[[#This Row],[Mode Digit]],0,SQRT((Fsw*(Table1[[#This Row],[t1_Ph_II]]+0))*((Table1[[#This Row],[I_0]]*Table1[[#This Row],[I_1]]+((Table1[[#This Row],[I_0]]-Table1[[#This Row],[I_1]])^2)/3))),SQRT((Fsw*(Table1[[#This Row],[t2_Ph_I]]+0))*((Table1[[#This Row],[I_1]]*Table1[[#This Row],[I_2]]+((Table1[[#This Row],[I_1]]-Table1[[#This Row],[I_2]])^2)/3))))</f>
        <v>0</v>
      </c>
      <c r="AQ31" s="354">
        <f>Rdson4*Table1[[#This Row],[Irms BoCtlr]]^2</f>
        <v>0</v>
      </c>
      <c r="AR31" s="354">
        <f>CHOOSE(Table1[[#This Row],[Mode Digit]], 0, (Vout*Table1[[#This Row],[Iin]]/2)*(Fsw)*(Tr_boost+Tf_boost), (Vout*Iout/2)*(Fsw/1)*(Tr_boost+Tf_boost))</f>
        <v>0</v>
      </c>
      <c r="AS31">
        <f>IF(Table1[[#This Row],[Vin]]&gt;Vout, 0, IF(Table1[[#This Row],[Iin]]&gt;Table1[[#This Row],[Ripple Current pk-pk]]/2,0,ABS(Table1[[#This Row],[Iin]]-Table1[[#This Row],[Ripple Current pk-pk]]/2)*Vsd_Q4*Deadtime*Fsw))</f>
        <v>0</v>
      </c>
      <c r="AT31" s="354">
        <f>(Table1[[#This Row],[Dead Time Loss BoCtlr]]+Table1[[#This Row],[Transition Loss BoCtlr]]+Table1[[#This Row],[RDS(on) Loss BoCtlr]]*(1+RdsonTopTc*Ta-RdsonTopTc*25))/(1-Table1[[#This Row],[RDS(on) Loss BoCtlr]]*RdsonTopTc*ThetaJA_Q4)</f>
        <v>0</v>
      </c>
      <c r="AU3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12.031126977558827</v>
      </c>
      <c r="AV31" s="354">
        <f>Rdson3*Table1[[#This Row],[Irms BoSync]]^2</f>
        <v>0.60794166867060406</v>
      </c>
      <c r="AW3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1" s="354">
        <f>(Table1[[#This Row],[Deadtime Loss BoSync]]+Table1[[#This Row],[RDS(on) Loss BoSync]]*(1+RdsonBotTc*Ta-RdsonBotTc*25))/(1-Table1[[#This Row],[RDS(on) Loss BoSync]]*RdsonBotTc*ThetaJA_Q3)</f>
        <v>0.71179714295257812</v>
      </c>
      <c r="AY31" s="354">
        <f>CHOOSE(Table1[[#This Row],[Mode Digit]], Rdson3*Table1[[#This Row],[Irms Lf]]^2, Rdson1*Table1[[#This Row],[Irms Lf]]^2, 0)</f>
        <v>0.60794166867060406</v>
      </c>
      <c r="AZ31" s="354">
        <f>CHOOSE(Table1[[#This Row],[Mode Digit]], 2*Deadtime*Fsw*IF(VfdSky_Q2&gt;0,VfdSky_Q2,0)*Table1[[#This Row],[Iout]], 2*Deadtime*Fsw*IF(VfdSky_Q3&gt;0,VfdSky_Q3,0)*Table1[[#This Row],[Iin]], 2*Deadtime*Fsw*IF(VfdSky_Q2&gt;0,VfdSky_Q2,0)*Table1[[#This Row],[Iout]]+2*Deadtime*Fsw*IF(VfdSky_Q3&gt;0,VfdSky_Q3,0)*Table1[[#This Row],[Iin]])</f>
        <v>0</v>
      </c>
      <c r="BA31" s="354">
        <f>CHOOSE(Table1[[#This Row],[Mode Digit]], IF(QrrSky_Q2&gt;0,QrrSky_Q2,Qrr_Q2)*Fsw*(Table1[[#This Row],[Vin]]-Table1[[#This Row],[Iout]]*Rdson1),0,  IF(QrrSky_Q2&gt;0,QrrSky_Q2,Qrr_Q2)*Fsw*(Table1[[#This Row],[Vin]]-Table1[[#This Row],[Iout]]*Rdson1)+IF(QrrSky_Q3&gt;0,QrrSky_Q3,Qrr_Q3)*Fsw*Vout)</f>
        <v>0.25787519999999997</v>
      </c>
      <c r="BB31" s="354">
        <f>CHOOSE(Table1[[#This Row],[Mode Digit]],0, IF(QrrSky_Q3&gt;0,QrrSky_Q3,Qrr_Q3)*Fsw*Vout,  IF(QrrSky_Q2&gt;0,QrrSky_Q2,Qrr_Q2)*Fsw*(Table1[[#This Row],[Vin]]-Table1[[#This Row],[Iout]]*Rdson1)+IF(QrrSky_Q3&gt;0,QrrSky_Q3,Qrr_Q3)*Fsw*Vout)</f>
        <v>0</v>
      </c>
      <c r="BC31" s="354">
        <f>CHOOSE(Table1[[#This Row],[Mode Digit]], Rs*Table1[[#This Row],[Irms BuSync]]^2, Rs*Table1[[#This Row],[Irms BoCtlr]]^2, Rs*(Table1[[#This Row],[Irms BuSync]]^2+Table1[[#This Row],[Irms BoCtlr]]^2))</f>
        <v>0.11441602590495836</v>
      </c>
      <c r="BD31" s="354">
        <f t="shared" si="1"/>
        <v>1.44</v>
      </c>
      <c r="BE31" s="354">
        <f>IF(Vout&gt;8, Iq*Vout, Iq*Table1[[#This Row],[Vin]])</f>
        <v>4.3799999999999999E-2</v>
      </c>
      <c r="BF31" s="354">
        <f>CHOOSE(Table1[[#This Row],[Mode Digit]], (Qg_Q1+Qg_Q2)*Fsw, (Qg_Q3+Qg_Q4)*Fsw, (Qg_Q1+Qg_Q2+Qg_Q3+Qg_Q4)*Fsw)*IF(Vout&gt;8, Vout, Table1[[#This Row],[Vin]])</f>
        <v>0.47303999999999996</v>
      </c>
      <c r="BG31" s="354">
        <f t="shared" si="2"/>
        <v>0.57269042016806726</v>
      </c>
      <c r="BH31" s="354">
        <f>Table1[[#This Row],[IQ Loss]]+Table1[[#This Row],[Switching Current Loss]]</f>
        <v>0.51683999999999997</v>
      </c>
      <c r="BI3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8.5258983868235099</v>
      </c>
      <c r="BJ31">
        <f>Vout*Table1[[#This Row],[Iout]]</f>
        <v>175.2</v>
      </c>
      <c r="BK31" s="550">
        <f>Table1[[#This Row],[Pout]]/(Table1[[#This Row],[Pout]]+Table1[[#This Row],[Total Loss]])</f>
        <v>0.95359446620381871</v>
      </c>
      <c r="BL3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198.54370892095756</v>
      </c>
      <c r="BM31" s="559">
        <f>IF(Table1[[#This Row],[Vin]]&gt;Vout, Table1[[#This Row],[Total Sync Bu MOSFET Loss]]*ThetaJA_Q2, ThetaJA_Q3*Table1[[#This Row],[Total Sync Bo MOSFET Loss]])</f>
        <v>48.40863447122085</v>
      </c>
      <c r="BN31" s="9"/>
      <c r="BO31" s="4">
        <f>Table1[[#This Row],[EFF, h]]*100</f>
        <v>95.359446620381874</v>
      </c>
      <c r="BP31" s="354">
        <f>Table1[[#This Row],[Total Inductor Loss]]</f>
        <v>1.3027655618449869</v>
      </c>
      <c r="BQ31" s="354">
        <f>Table1[[#This Row],[Total Control Bu MOSFET Loss]]+Table1[[#This Row],[Total Sync Bu MOSFET Loss]]+Table1[[#This Row],[Total Control Bo MOSFET Loss]]+Table1[[#This Row],[Total Sync Bo MOSFET Loss]]+Table1[[#This Row],[Reverse Recovery Loss MOSFET D BUCK]]+Table1[[#This Row],[Reverse Recovery Loss MOSFET D BOOST]]</f>
        <v>5.0855447328222185</v>
      </c>
      <c r="BR31" s="354">
        <f>Table1[[#This Row],[Total Control Bu MOSFET Loss]]+Table1[[#This Row],[Reverse Recovery Loss MOSFET D BUCK]]*0.66</f>
        <v>3.4792594473492926</v>
      </c>
      <c r="BS31" s="354">
        <f>Table1[[#This Row],[Total Sync Bu MOSFET Loss]]+Table1[[#This Row],[Reverse Recovery Loss MOSFET D BUCK]]*0.33</f>
        <v>0.89190939052034757</v>
      </c>
      <c r="BT31" s="354">
        <f xml:space="preserve"> Table1[[#This Row],[Total Control Bo MOSFET Loss]]+Table1[[#This Row],[Reverse Recovery Loss MOSFET D BOOST]]*0.66</f>
        <v>0</v>
      </c>
      <c r="BU31" s="354">
        <f xml:space="preserve"> Table1[[#This Row],[Total Sync Bo MOSFET Loss]]+Table1[[#This Row],[Reverse Recovery Loss MOSFET D BOOST]]*0.33</f>
        <v>0.71179714295257812</v>
      </c>
      <c r="BV31" s="354">
        <f>Table1[[#This Row],[Isense Shunt Loss]]</f>
        <v>0.11441602590495836</v>
      </c>
      <c r="CA31">
        <v>9.998704</v>
      </c>
      <c r="CB31">
        <v>0.36549999999999999</v>
      </c>
      <c r="CC31">
        <v>5.123094</v>
      </c>
      <c r="CD31">
        <v>85.419022273213088</v>
      </c>
      <c r="CE31">
        <v>319.63300692320018</v>
      </c>
    </row>
    <row r="32" spans="1:92" x14ac:dyDescent="0.2">
      <c r="A32" s="24" t="s">
        <v>66</v>
      </c>
      <c r="B32" s="15" t="s">
        <v>113</v>
      </c>
      <c r="C32" s="24" t="s">
        <v>80</v>
      </c>
      <c r="D32" s="17" t="s">
        <v>109</v>
      </c>
      <c r="G32">
        <v>23</v>
      </c>
      <c r="H32" s="555">
        <f>VIN_min+(VIN_max-VIN_min)*(Table1[[#This Row],[Step]]/200)</f>
        <v>21.61</v>
      </c>
      <c r="I32" s="4" t="str">
        <f>IF(Mode = 2,IF(Table1[[#This Row],[Vin]]&gt;Vout, "BUCK","BOOST"),IF(Table1[[#This Row],[Vin]]&gt;VIN_BB_to_buck, "BUCK", IF(Table1[[#This Row],[Vin]]&lt;=VIN_boost_to_BB,"BOOST","BUCK-BST")))</f>
        <v>BUCK</v>
      </c>
      <c r="J32">
        <f>IF(Table1[[#This Row],[Mode]]="BOOST",2, IF(Table1[[#This Row],[Mode]]="BUCK", 1,3))</f>
        <v>1</v>
      </c>
      <c r="K32">
        <f t="shared" si="0"/>
        <v>12</v>
      </c>
      <c r="L32" s="4">
        <f>Vout*Table1[[#This Row],[Iout]]/(Table1[[#This Row],[Vin]]*Efficiency)</f>
        <v>8.5340607418592764</v>
      </c>
      <c r="M32" s="711">
        <f>MIN(1/Fsw,CHOOSE(Table1[[#This Row],[Mode Digit]],(Vout+(Rdson2+Rs+Rdcr)*Table1[[#This Row],[Iout]])/(Table1[[#This Row],[Vin]]+(Rs+Rdson2-Rdson1)*Table1[[#This Row],[Iout]])/Fsw,(Vout+(Rdson3+Rdcr)*Table1[[#This Row],[Iin]]-Table1[[#This Row],[Vin]])/(Vout+(Rdson3-Rdson4-Rs)*Table1[[#This Row],[Iin]])/Fsw,t1_Ph_II))</f>
        <v>1.1360135551447937E-6</v>
      </c>
      <c r="N32" s="602">
        <f>CHOOSE(Table1[[#This Row],[Mode Digit]],1/Fsw-Table1[[#This Row],[t1_Ph_II]],1/Fsw-Table1[[#This Row],[t1_Ph_II]],(Vout/Fsw-Table1[[#This Row],[Vin]]*t1_Ph_II)/(Table1[[#This Row],[Vin]]+Vout))</f>
        <v>5.30653111521873E-7</v>
      </c>
      <c r="O32" s="602">
        <f>1/Fsw-(Table1[[#This Row],[t1_Ph_II]]+Table1[[#This Row],[t2_Ph_I]])</f>
        <v>0</v>
      </c>
      <c r="P3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10.491769882279355</v>
      </c>
      <c r="Q32" s="4">
        <f>CHOOSE(Table1[[#This Row],[Mode Digit]],Table1[[#This Row],[I_0]]+1/Lf*(Table1[[#This Row],[Vin]]-Vout)*Table1[[#This Row],[t1_Ph_II]],Table1[[#This Row],[I_0]]+1/Lf*Table1[[#This Row],[Vin]]*Table1[[#This Row],[t1_Ph_II]],Table1[[#This Row],[I_0]]+(Table1[[#This Row],[Vin]]-Vout)/L*Table1[[#This Row],[t1_Ph_II]])</f>
        <v>13.508230117720643</v>
      </c>
      <c r="R32" s="4">
        <f>CHOOSE(Table1[[#This Row],[Mode Digit]],0,0,Table1[[#This Row],[I_1]]+Table1[[#This Row],[Vin]]/L*Table1[[#This Row],[t2_Ph_I]])</f>
        <v>0</v>
      </c>
      <c r="S32" s="4">
        <f>Fsw*(Table1[[#This Row],[I_0]]*Table1[[#This Row],[t1_Ph_II]]+Table1[[#This Row],[I_1]]*Table1[[#This Row],[t2_Ph_I]]+Table1[[#This Row],[I_2]]*Table1[[#This Row],[t3_Ph_III]])</f>
        <v>11.452186288110708</v>
      </c>
      <c r="T32" s="354">
        <f>MIN(1,CHOOSE(Table1[[#This Row],[Mode Digit]],(Vout+(Rdson2+Rs+Rdcr)*Table1[[#This Row],[Iout]])/(Table1[[#This Row],[Vin]]+(Rs+Rdson2-Rdson1)*Table1[[#This Row],[Iout]]),1,Fsw*Table1[[#This Row],[t2_Ph_I]]+Table1[[#This Row],[t1_Ph_II]]))</f>
        <v>0.68160813308687618</v>
      </c>
      <c r="U32" s="354">
        <f>MIN(1,CHOOSE(Table1[[#This Row],[Mode Digit]],0,(Vout+(Rdson3+Rdcr)*Table1[[#This Row],[Iin]]-Table1[[#This Row],[Vin]])/(Vout+(Rdson3-Rdson4-Rs)*Table1[[#This Row],[Iin]]),Fsw*Table1[[#This Row],[t1_Ph_II]]+Table1[[#This Row],[t3_Ph_III]]))</f>
        <v>0</v>
      </c>
      <c r="V32" s="4">
        <f>MAX(Table1[[#This Row],[I_0]:[I_2]])-MIN(Table1[[#This Row],[I_0]:[I_1]])</f>
        <v>3.0164602354412882</v>
      </c>
      <c r="W3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12.031552380968961</v>
      </c>
      <c r="X32" s="354">
        <f>(Table1[[#This Row],[Irms Lf]]^2*Rdcr*(1+Ltc*Ta-Ltc*25))/(1-Table1[[#This Row],[Irms Lf]]^2*Rdcr*Ltc*ThetaCa)</f>
        <v>0.90005243382913069</v>
      </c>
      <c r="Y32" s="354">
        <f>ABS(7.759*10^-3*Fsw^0.9458*(0.00787*Table1[[#This Row],[Ripple Current pk-pk]])^2.304)</f>
        <v>0.40913767117611716</v>
      </c>
      <c r="Z32" s="354">
        <f>Table1[[#This Row],[DCR    Loss]]+Table1[[#This Row],[Core Loss]]</f>
        <v>1.3091901050052479</v>
      </c>
      <c r="AA32" s="4">
        <f>IF(Table1[[#This Row],[Vin]]&gt;Vout, Table1[[#This Row],[Ripple Current pk-pk]]/SQRT(12), SQRT(Table1[[#This Row],[Duty Cycle BOOST Leg]]/(1-Table1[[#This Row],[Duty Cycle BOOST Leg]]))*SQRT(Table1[[#This Row],[Iout]]^2+(Table1[[#This Row],[Ripple Current pk-pk]]^2)/12))</f>
        <v>0.87077706446591485</v>
      </c>
      <c r="AB32" s="354">
        <f>RCoutEsr*Table1[[#This Row],[Irms Cout]]^2</f>
        <v>3.7912634799993801E-3</v>
      </c>
      <c r="AC32" s="354">
        <f>Table1[[#This Row],[Cout ESR Loss]]</f>
        <v>3.7912634799993801E-3</v>
      </c>
      <c r="AD32" s="354">
        <f>IF(Table1[[#This Row],[Vin]]&gt;Vout, SQRT(Table1[[#This Row],[Duty Cycle BUCK Leg]]*(1-Table1[[#This Row],[Duty Cycle BUCK Leg]]))*SQRT(Table1[[#This Row],[Iout]]^2+(Table1[[#This Row],[Ripple Current pk-pk]]^2)/12), Table1[[#This Row],[Ripple Current pk-pk]]/SQRT(12))</f>
        <v>5.6049279063707438</v>
      </c>
      <c r="AE32" s="354">
        <f>RCinEsr*Table1[[#This Row],[Irms Cin]]^2</f>
        <v>6.2830433671227051E-2</v>
      </c>
      <c r="AF32" s="549">
        <f>Table1[[#This Row],[Cin ESR Loss]]</f>
        <v>6.2830433671227051E-2</v>
      </c>
      <c r="AG3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9.9331969863201</v>
      </c>
      <c r="AH32" s="354">
        <f>Rdson1*Table1[[#This Row],[Irms BuCtrl]]^2</f>
        <v>0.41440728994996268</v>
      </c>
      <c r="AI32" s="354">
        <f>CHOOSE(Table1[[#This Row],[Mode Digit]], (Table1[[#This Row],[Vin]]*Table1[[#This Row],[Iout]]/2)*(Fsw)*(Tr_buck+Tf_buck), 0, (Table1[[#This Row],[Vin]]*Table1[[#This Row],[Avg IL]]/2)*(Fsw/1)*(Tr_buck+Tf_buck))</f>
        <v>2.571512275611235</v>
      </c>
      <c r="AJ32">
        <f>IF(Table1[[#This Row],[Vin]]&gt;Vout, IF(Table1[[#This Row],[Iout]]&gt;Table1[[#This Row],[Ripple Current pk-pk]]/2,0,ABS(Table1[[#This Row],[Iout]]-Table1[[#This Row],[Ripple Current pk-pk]]/2)*Vsd_Q1*Deadtime*Fsw),0)</f>
        <v>0</v>
      </c>
      <c r="AK32" s="354">
        <f>(Table1[[#This Row],[Dead Time Loss BuCtrl]]+Table1[[#This Row],[Transition Loss BuCtrl]]+Table1[[#This Row],[RDS(on) Loss BuCtrl]]*(1+RdsonTopTc*Ta-RdsonTopTc*25))/(1-Table1[[#This Row],[RDS(on) Loss BuCtrl]]*RdsonTopTc*ThetaJA_Q1)</f>
        <v>3.3156907010138652</v>
      </c>
      <c r="AL32" s="354">
        <f>CHOOSE(Table1[[#This Row],[Mode Digit]],SQRT((Fsw*(Table1[[#This Row],[t2_Ph_I]]+0))*((Table1[[#This Row],[I_0]]*Table1[[#This Row],[I_1]]+((Table1[[#This Row],[I_0]]-Table1[[#This Row],[I_1]])^2)/3))),0,SQRT((Fsw*(Table1[[#This Row],[t3_Ph_III]]+0))*((Table1[[#This Row],[I_0]]*Table1[[#This Row],[I_2]]+((Table1[[#This Row],[I_0]]-Table1[[#This Row],[I_2]])^2)/3))))</f>
        <v>6.7889506057240636</v>
      </c>
      <c r="AM32" s="354">
        <f>Rdson2*Table1[[#This Row],[Irms BuSync]]^2</f>
        <v>0.19357737137323677</v>
      </c>
      <c r="AN3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2" s="354">
        <f>(Table1[[#This Row],[Deadtime Loss BuSync]]+Table1[[#This Row],[RDS(on) Loss BuSync]]*(1+RdsonBotTc*Ta-RdsonBotTc*25))/(1-Table1[[#This Row],[RDS(on) Loss BuSync]]*RdsonBotTc*ThetaJA_Q2)</f>
        <v>0.80851106725474797</v>
      </c>
      <c r="AP32" s="354">
        <f>CHOOSE(Table1[[#This Row],[Mode Digit]],0,SQRT((Fsw*(Table1[[#This Row],[t1_Ph_II]]+0))*((Table1[[#This Row],[I_0]]*Table1[[#This Row],[I_1]]+((Table1[[#This Row],[I_0]]-Table1[[#This Row],[I_1]])^2)/3))),SQRT((Fsw*(Table1[[#This Row],[t2_Ph_I]]+0))*((Table1[[#This Row],[I_1]]*Table1[[#This Row],[I_2]]+((Table1[[#This Row],[I_1]]-Table1[[#This Row],[I_2]])^2)/3))))</f>
        <v>0</v>
      </c>
      <c r="AQ32" s="354">
        <f>Rdson4*Table1[[#This Row],[Irms BoCtlr]]^2</f>
        <v>0</v>
      </c>
      <c r="AR32" s="354">
        <f>CHOOSE(Table1[[#This Row],[Mode Digit]], 0, (Vout*Table1[[#This Row],[Iin]]/2)*(Fsw)*(Tr_boost+Tf_boost), (Vout*Iout/2)*(Fsw/1)*(Tr_boost+Tf_boost))</f>
        <v>0</v>
      </c>
      <c r="AS32">
        <f>IF(Table1[[#This Row],[Vin]]&gt;Vout, 0, IF(Table1[[#This Row],[Iin]]&gt;Table1[[#This Row],[Ripple Current pk-pk]]/2,0,ABS(Table1[[#This Row],[Iin]]-Table1[[#This Row],[Ripple Current pk-pk]]/2)*Vsd_Q4*Deadtime*Fsw))</f>
        <v>0</v>
      </c>
      <c r="AT32" s="354">
        <f>(Table1[[#This Row],[Dead Time Loss BoCtlr]]+Table1[[#This Row],[Transition Loss BoCtlr]]+Table1[[#This Row],[RDS(on) Loss BoCtlr]]*(1+RdsonTopTc*Ta-RdsonTopTc*25))/(1-Table1[[#This Row],[RDS(on) Loss BoCtlr]]*RdsonTopTc*ThetaJA_Q4)</f>
        <v>0</v>
      </c>
      <c r="AU3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12.031552380968961</v>
      </c>
      <c r="AV32" s="354">
        <f>Rdson3*Table1[[#This Row],[Irms BoSync]]^2</f>
        <v>0.6079846613231995</v>
      </c>
      <c r="AW3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2" s="354">
        <f>(Table1[[#This Row],[Deadtime Loss BoSync]]+Table1[[#This Row],[RDS(on) Loss BoSync]]*(1+RdsonBotTc*Ta-RdsonBotTc*25))/(1-Table1[[#This Row],[RDS(on) Loss BoSync]]*RdsonBotTc*ThetaJA_Q3)</f>
        <v>0.71185607996899358</v>
      </c>
      <c r="AY32" s="354">
        <f>CHOOSE(Table1[[#This Row],[Mode Digit]], Rdson3*Table1[[#This Row],[Irms Lf]]^2, Rdson1*Table1[[#This Row],[Irms Lf]]^2, 0)</f>
        <v>0.6079846613231995</v>
      </c>
      <c r="AZ32" s="354">
        <f>CHOOSE(Table1[[#This Row],[Mode Digit]], 2*Deadtime*Fsw*IF(VfdSky_Q2&gt;0,VfdSky_Q2,0)*Table1[[#This Row],[Iout]], 2*Deadtime*Fsw*IF(VfdSky_Q3&gt;0,VfdSky_Q3,0)*Table1[[#This Row],[Iin]], 2*Deadtime*Fsw*IF(VfdSky_Q2&gt;0,VfdSky_Q2,0)*Table1[[#This Row],[Iout]]+2*Deadtime*Fsw*IF(VfdSky_Q3&gt;0,VfdSky_Q3,0)*Table1[[#This Row],[Iin]])</f>
        <v>0</v>
      </c>
      <c r="BA32" s="354">
        <f>CHOOSE(Table1[[#This Row],[Mode Digit]], IF(QrrSky_Q2&gt;0,QrrSky_Q2,Qrr_Q2)*Fsw*(Table1[[#This Row],[Vin]]-Table1[[#This Row],[Iout]]*Rdson1),0,  IF(QrrSky_Q2&gt;0,QrrSky_Q2,Qrr_Q2)*Fsw*(Table1[[#This Row],[Vin]]-Table1[[#This Row],[Iout]]*Rdson1)+IF(QrrSky_Q3&gt;0,QrrSky_Q3,Qrr_Q3)*Fsw*Vout)</f>
        <v>0.25871519999999998</v>
      </c>
      <c r="BB32" s="354">
        <f>CHOOSE(Table1[[#This Row],[Mode Digit]],0, IF(QrrSky_Q3&gt;0,QrrSky_Q3,Qrr_Q3)*Fsw*Vout,  IF(QrrSky_Q2&gt;0,QrrSky_Q2,Qrr_Q2)*Fsw*(Table1[[#This Row],[Vin]]-Table1[[#This Row],[Iout]]*Rdson1)+IF(QrrSky_Q3&gt;0,QrrSky_Q3,Qrr_Q3)*Fsw*Vout)</f>
        <v>0</v>
      </c>
      <c r="BC32" s="354">
        <f>CHOOSE(Table1[[#This Row],[Mode Digit]], Rs*Table1[[#This Row],[Irms BuSync]]^2, Rs*Table1[[#This Row],[Irms BoCtlr]]^2, Rs*(Table1[[#This Row],[Irms BuSync]]^2+Table1[[#This Row],[Irms BoCtlr]]^2))</f>
        <v>0.11522462581740282</v>
      </c>
      <c r="BD32" s="354">
        <f t="shared" si="1"/>
        <v>1.44</v>
      </c>
      <c r="BE32" s="354">
        <f>IF(Vout&gt;8, Iq*Vout, Iq*Table1[[#This Row],[Vin]])</f>
        <v>4.3799999999999999E-2</v>
      </c>
      <c r="BF32" s="354">
        <f>CHOOSE(Table1[[#This Row],[Mode Digit]], (Qg_Q1+Qg_Q2)*Fsw, (Qg_Q3+Qg_Q4)*Fsw, (Qg_Q1+Qg_Q2+Qg_Q3+Qg_Q4)*Fsw)*IF(Vout&gt;8, Vout, Table1[[#This Row],[Vin]])</f>
        <v>0.47303999999999996</v>
      </c>
      <c r="BG32" s="354">
        <f t="shared" si="2"/>
        <v>0.57269042016806726</v>
      </c>
      <c r="BH32" s="354">
        <f>Table1[[#This Row],[IQ Loss]]+Table1[[#This Row],[Switching Current Loss]]</f>
        <v>0.51683999999999997</v>
      </c>
      <c r="BI3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8.5426494762114835</v>
      </c>
      <c r="BJ32">
        <f>Vout*Table1[[#This Row],[Iout]]</f>
        <v>175.2</v>
      </c>
      <c r="BK32" s="550">
        <f>Table1[[#This Row],[Pout]]/(Table1[[#This Row],[Pout]]+Table1[[#This Row],[Total Loss]])</f>
        <v>0.95350753077435357</v>
      </c>
      <c r="BL3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198.94144206083192</v>
      </c>
      <c r="BM32" s="559">
        <f>IF(Table1[[#This Row],[Vin]]&gt;Vout, Table1[[#This Row],[Total Sync Bu MOSFET Loss]]*ThetaJA_Q2, ThetaJA_Q3*Table1[[#This Row],[Total Sync Bo MOSFET Loss]])</f>
        <v>48.510664035284876</v>
      </c>
      <c r="BN32" s="9"/>
      <c r="BO32" s="4">
        <f>Table1[[#This Row],[EFF, h]]*100</f>
        <v>95.350753077435357</v>
      </c>
      <c r="BP32" s="354">
        <f>Table1[[#This Row],[Total Inductor Loss]]</f>
        <v>1.3091901050052479</v>
      </c>
      <c r="BQ32" s="354">
        <f>Table1[[#This Row],[Total Control Bu MOSFET Loss]]+Table1[[#This Row],[Total Sync Bu MOSFET Loss]]+Table1[[#This Row],[Total Control Bo MOSFET Loss]]+Table1[[#This Row],[Total Sync Bo MOSFET Loss]]+Table1[[#This Row],[Reverse Recovery Loss MOSFET D BUCK]]+Table1[[#This Row],[Reverse Recovery Loss MOSFET D BOOST]]</f>
        <v>5.0947730482376068</v>
      </c>
      <c r="BR32" s="354">
        <f>Table1[[#This Row],[Total Control Bu MOSFET Loss]]+Table1[[#This Row],[Reverse Recovery Loss MOSFET D BUCK]]*0.66</f>
        <v>3.486442733013865</v>
      </c>
      <c r="BS32" s="354">
        <f>Table1[[#This Row],[Total Sync Bu MOSFET Loss]]+Table1[[#This Row],[Reverse Recovery Loss MOSFET D BUCK]]*0.33</f>
        <v>0.89388708325474797</v>
      </c>
      <c r="BT32" s="354">
        <f xml:space="preserve"> Table1[[#This Row],[Total Control Bo MOSFET Loss]]+Table1[[#This Row],[Reverse Recovery Loss MOSFET D BOOST]]*0.66</f>
        <v>0</v>
      </c>
      <c r="BU32" s="354">
        <f xml:space="preserve"> Table1[[#This Row],[Total Sync Bo MOSFET Loss]]+Table1[[#This Row],[Reverse Recovery Loss MOSFET D BOOST]]*0.33</f>
        <v>0.71185607996899358</v>
      </c>
      <c r="BV32" s="354">
        <f>Table1[[#This Row],[Isense Shunt Loss]]</f>
        <v>0.11522462581740282</v>
      </c>
      <c r="CA32">
        <v>9.9987290000000009</v>
      </c>
      <c r="CB32">
        <v>0.49059999999999998</v>
      </c>
      <c r="CC32">
        <v>5.1238169999999998</v>
      </c>
      <c r="CD32">
        <v>88.551850267052174</v>
      </c>
      <c r="CE32">
        <v>324.98153184230057</v>
      </c>
    </row>
    <row r="33" spans="1:83" x14ac:dyDescent="0.2">
      <c r="A33" s="22" t="s">
        <v>66</v>
      </c>
      <c r="B33" s="5">
        <f>Deadtime*1000000000</f>
        <v>40.095238095238095</v>
      </c>
      <c r="C33" s="440" t="s">
        <v>79</v>
      </c>
      <c r="D33" s="21" t="s">
        <v>100</v>
      </c>
      <c r="G33">
        <v>24</v>
      </c>
      <c r="H33" s="555">
        <f>VIN_min+(VIN_max-VIN_min)*(Table1[[#This Row],[Step]]/200)</f>
        <v>21.68</v>
      </c>
      <c r="I33" s="4" t="str">
        <f>IF(Mode = 2,IF(Table1[[#This Row],[Vin]]&gt;Vout, "BUCK","BOOST"),IF(Table1[[#This Row],[Vin]]&gt;VIN_BB_to_buck, "BUCK", IF(Table1[[#This Row],[Vin]]&lt;=VIN_boost_to_BB,"BOOST","BUCK-BST")))</f>
        <v>BUCK</v>
      </c>
      <c r="J33">
        <f>IF(Table1[[#This Row],[Mode]]="BOOST",2, IF(Table1[[#This Row],[Mode]]="BUCK", 1,3))</f>
        <v>1</v>
      </c>
      <c r="K33">
        <f t="shared" si="0"/>
        <v>12</v>
      </c>
      <c r="L33" s="4">
        <f>Vout*Table1[[#This Row],[Iout]]/(Table1[[#This Row],[Vin]]*Efficiency)</f>
        <v>8.506506117692755</v>
      </c>
      <c r="M33" s="711">
        <f>MIN(1/Fsw,CHOOSE(Table1[[#This Row],[Mode Digit]],(Vout+(Rdson2+Rs+Rdcr)*Table1[[#This Row],[Iout]])/(Table1[[#This Row],[Vin]]+(Rs+Rdson2-Rdson1)*Table1[[#This Row],[Iout]])/Fsw,(Vout+(Rdson3+Rdcr)*Table1[[#This Row],[Iin]]-Table1[[#This Row],[Vin]])/(Vout+(Rdson3-Rdson4-Rs)*Table1[[#This Row],[Iin]])/Fsw,t1_Ph_II))</f>
        <v>1.1323506832488867E-6</v>
      </c>
      <c r="N33" s="602">
        <f>CHOOSE(Table1[[#This Row],[Mode Digit]],1/Fsw-Table1[[#This Row],[t1_Ph_II]],1/Fsw-Table1[[#This Row],[t1_Ph_II]],(Vout/Fsw-Table1[[#This Row],[Vin]]*t1_Ph_II)/(Table1[[#This Row],[Vin]]+Vout))</f>
        <v>5.3431598341777991E-7</v>
      </c>
      <c r="O33" s="602">
        <f>1/Fsw-(Table1[[#This Row],[t1_Ph_II]]+Table1[[#This Row],[t2_Ph_I]])</f>
        <v>0</v>
      </c>
      <c r="P3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10.481620674734447</v>
      </c>
      <c r="Q33" s="4">
        <f>CHOOSE(Table1[[#This Row],[Mode Digit]],Table1[[#This Row],[I_0]]+1/Lf*(Table1[[#This Row],[Vin]]-Vout)*Table1[[#This Row],[t1_Ph_II]],Table1[[#This Row],[I_0]]+1/Lf*Table1[[#This Row],[Vin]]*Table1[[#This Row],[t1_Ph_II]],Table1[[#This Row],[I_0]]+(Table1[[#This Row],[Vin]]-Vout)/L*Table1[[#This Row],[t1_Ph_II]])</f>
        <v>13.518379325265553</v>
      </c>
      <c r="R33" s="4">
        <f>CHOOSE(Table1[[#This Row],[Mode Digit]],0,0,Table1[[#This Row],[I_1]]+Table1[[#This Row],[Vin]]/L*Table1[[#This Row],[t2_Ph_I]])</f>
        <v>0</v>
      </c>
      <c r="S33" s="4">
        <f>Fsw*(Table1[[#This Row],[I_0]]*Table1[[#This Row],[t1_Ph_II]]+Table1[[#This Row],[I_1]]*Table1[[#This Row],[t2_Ph_I]]+Table1[[#This Row],[I_2]]*Table1[[#This Row],[t3_Ph_III]])</f>
        <v>11.455173885591035</v>
      </c>
      <c r="T33" s="354">
        <f>MIN(1,CHOOSE(Table1[[#This Row],[Mode Digit]],(Vout+(Rdson2+Rs+Rdcr)*Table1[[#This Row],[Iout]])/(Table1[[#This Row],[Vin]]+(Rs+Rdson2-Rdson1)*Table1[[#This Row],[Iout]]),1,Fsw*Table1[[#This Row],[t2_Ph_I]]+Table1[[#This Row],[t1_Ph_II]]))</f>
        <v>0.67941040994933211</v>
      </c>
      <c r="U33" s="354">
        <f>MIN(1,CHOOSE(Table1[[#This Row],[Mode Digit]],0,(Vout+(Rdson3+Rdcr)*Table1[[#This Row],[Iin]]-Table1[[#This Row],[Vin]])/(Vout+(Rdson3-Rdson4-Rs)*Table1[[#This Row],[Iin]]),Fsw*Table1[[#This Row],[t1_Ph_II]]+Table1[[#This Row],[t3_Ph_III]]))</f>
        <v>0</v>
      </c>
      <c r="V33" s="4">
        <f>MAX(Table1[[#This Row],[I_0]:[I_2]])-MIN(Table1[[#This Row],[I_0]:[I_1]])</f>
        <v>3.0367586505311053</v>
      </c>
      <c r="W3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12.031977889155685</v>
      </c>
      <c r="X33" s="354">
        <f>(Table1[[#This Row],[Irms Lf]]^2*Rdcr*(1+Ltc*Ta-Ltc*25))/(1-Table1[[#This Row],[Irms Lf]]^2*Rdcr*Ltc*ThetaCa)</f>
        <v>0.90012068190890759</v>
      </c>
      <c r="Y33" s="354">
        <f>ABS(7.759*10^-3*Fsw^0.9458*(0.00787*Table1[[#This Row],[Ripple Current pk-pk]])^2.304)</f>
        <v>0.41550883889127527</v>
      </c>
      <c r="Z33" s="354">
        <f>Table1[[#This Row],[DCR    Loss]]+Table1[[#This Row],[Core Loss]]</f>
        <v>1.3156295208001829</v>
      </c>
      <c r="AA33" s="4">
        <f>IF(Table1[[#This Row],[Vin]]&gt;Vout, Table1[[#This Row],[Ripple Current pk-pk]]/SQRT(12), SQRT(Table1[[#This Row],[Duty Cycle BOOST Leg]]/(1-Table1[[#This Row],[Duty Cycle BOOST Leg]]))*SQRT(Table1[[#This Row],[Iout]]^2+(Table1[[#This Row],[Ripple Current pk-pk]]^2)/12))</f>
        <v>0.87663671217402916</v>
      </c>
      <c r="AB33" s="354">
        <f>RCoutEsr*Table1[[#This Row],[Irms Cout]]^2</f>
        <v>3.842459625656458E-3</v>
      </c>
      <c r="AC33" s="354">
        <f>Table1[[#This Row],[Cout ESR Loss]]</f>
        <v>3.842459625656458E-3</v>
      </c>
      <c r="AD33" s="354">
        <f>IF(Table1[[#This Row],[Vin]]&gt;Vout, SQRT(Table1[[#This Row],[Duty Cycle BUCK Leg]]*(1-Table1[[#This Row],[Duty Cycle BUCK Leg]]))*SQRT(Table1[[#This Row],[Iout]]^2+(Table1[[#This Row],[Ripple Current pk-pk]]^2)/12), Table1[[#This Row],[Ripple Current pk-pk]]/SQRT(12))</f>
        <v>5.6153629429894085</v>
      </c>
      <c r="AE33" s="354">
        <f>RCinEsr*Table1[[#This Row],[Irms Cin]]^2</f>
        <v>6.3064601962997346E-2</v>
      </c>
      <c r="AF33" s="549">
        <f>Table1[[#This Row],[Cin ESR Loss]]</f>
        <v>6.3064601962997346E-2</v>
      </c>
      <c r="AG3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9.9175208820854017</v>
      </c>
      <c r="AH33" s="354">
        <f>Rdson1*Table1[[#This Row],[Irms BuCtrl]]^2</f>
        <v>0.4131003258757201</v>
      </c>
      <c r="AI33" s="354">
        <f>CHOOSE(Table1[[#This Row],[Mode Digit]], (Table1[[#This Row],[Vin]]*Table1[[#This Row],[Iout]]/2)*(Fsw)*(Tr_buck+Tf_buck), 0, (Table1[[#This Row],[Vin]]*Table1[[#This Row],[Avg IL]]/2)*(Fsw/1)*(Tr_buck+Tf_buck))</f>
        <v>2.5798420238432005</v>
      </c>
      <c r="AJ33">
        <f>IF(Table1[[#This Row],[Vin]]&gt;Vout, IF(Table1[[#This Row],[Iout]]&gt;Table1[[#This Row],[Ripple Current pk-pk]]/2,0,ABS(Table1[[#This Row],[Iout]]-Table1[[#This Row],[Ripple Current pk-pk]]/2)*Vsd_Q1*Deadtime*Fsw),0)</f>
        <v>0</v>
      </c>
      <c r="AK33" s="354">
        <f>(Table1[[#This Row],[Dead Time Loss BuCtrl]]+Table1[[#This Row],[Transition Loss BuCtrl]]+Table1[[#This Row],[RDS(on) Loss BuCtrl]]*(1+RdsonTopTc*Ta-RdsonTopTc*25))/(1-Table1[[#This Row],[RDS(on) Loss BuCtrl]]*RdsonTopTc*ThetaJA_Q1)</f>
        <v>3.3223318816315497</v>
      </c>
      <c r="AL33" s="354">
        <f>CHOOSE(Table1[[#This Row],[Mode Digit]],SQRT((Fsw*(Table1[[#This Row],[t2_Ph_I]]+0))*((Table1[[#This Row],[I_0]]*Table1[[#This Row],[I_1]]+((Table1[[#This Row],[I_0]]-Table1[[#This Row],[I_1]])^2)/3))),0,SQRT((Fsw*(Table1[[#This Row],[t3_Ph_III]]+0))*((Table1[[#This Row],[I_0]]*Table1[[#This Row],[I_2]]+((Table1[[#This Row],[I_0]]-Table1[[#This Row],[I_2]])^2)/3))))</f>
        <v>6.8125818511436078</v>
      </c>
      <c r="AM33" s="354">
        <f>Rdson2*Table1[[#This Row],[Irms BuSync]]^2</f>
        <v>0.19492734020983135</v>
      </c>
      <c r="AN3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3" s="354">
        <f>(Table1[[#This Row],[Deadtime Loss BuSync]]+Table1[[#This Row],[RDS(on) Loss BuSync]]*(1+RdsonBotTc*Ta-RdsonBotTc*25))/(1-Table1[[#This Row],[RDS(on) Loss BuSync]]*RdsonBotTc*ThetaJA_Q2)</f>
        <v>0.81020209839885504</v>
      </c>
      <c r="AP33" s="354">
        <f>CHOOSE(Table1[[#This Row],[Mode Digit]],0,SQRT((Fsw*(Table1[[#This Row],[t1_Ph_II]]+0))*((Table1[[#This Row],[I_0]]*Table1[[#This Row],[I_1]]+((Table1[[#This Row],[I_0]]-Table1[[#This Row],[I_1]])^2)/3))),SQRT((Fsw*(Table1[[#This Row],[t2_Ph_I]]+0))*((Table1[[#This Row],[I_1]]*Table1[[#This Row],[I_2]]+((Table1[[#This Row],[I_1]]-Table1[[#This Row],[I_2]])^2)/3))))</f>
        <v>0</v>
      </c>
      <c r="AQ33" s="354">
        <f>Rdson4*Table1[[#This Row],[Irms BoCtlr]]^2</f>
        <v>0</v>
      </c>
      <c r="AR33" s="354">
        <f>CHOOSE(Table1[[#This Row],[Mode Digit]], 0, (Vout*Table1[[#This Row],[Iin]]/2)*(Fsw)*(Tr_boost+Tf_boost), (Vout*Iout/2)*(Fsw/1)*(Tr_boost+Tf_boost))</f>
        <v>0</v>
      </c>
      <c r="AS33">
        <f>IF(Table1[[#This Row],[Vin]]&gt;Vout, 0, IF(Table1[[#This Row],[Iin]]&gt;Table1[[#This Row],[Ripple Current pk-pk]]/2,0,ABS(Table1[[#This Row],[Iin]]-Table1[[#This Row],[Ripple Current pk-pk]]/2)*Vsd_Q4*Deadtime*Fsw))</f>
        <v>0</v>
      </c>
      <c r="AT33" s="354">
        <f>(Table1[[#This Row],[Dead Time Loss BoCtlr]]+Table1[[#This Row],[Transition Loss BoCtlr]]+Table1[[#This Row],[RDS(on) Loss BoCtlr]]*(1+RdsonTopTc*Ta-RdsonTopTc*25))/(1-Table1[[#This Row],[RDS(on) Loss BoCtlr]]*RdsonTopTc*ThetaJA_Q4)</f>
        <v>0</v>
      </c>
      <c r="AU3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12.031977889155685</v>
      </c>
      <c r="AV33" s="354">
        <f>Rdson3*Table1[[#This Row],[Irms BoSync]]^2</f>
        <v>0.60802766608555159</v>
      </c>
      <c r="AW3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3" s="354">
        <f>(Table1[[#This Row],[Deadtime Loss BoSync]]+Table1[[#This Row],[RDS(on) Loss BoSync]]*(1+RdsonBotTc*Ta-RdsonBotTc*25))/(1-Table1[[#This Row],[RDS(on) Loss BoSync]]*RdsonBotTc*ThetaJA_Q3)</f>
        <v>0.71191503501088294</v>
      </c>
      <c r="AY33" s="354">
        <f>CHOOSE(Table1[[#This Row],[Mode Digit]], Rdson3*Table1[[#This Row],[Irms Lf]]^2, Rdson1*Table1[[#This Row],[Irms Lf]]^2, 0)</f>
        <v>0.60802766608555159</v>
      </c>
      <c r="AZ33" s="354">
        <f>CHOOSE(Table1[[#This Row],[Mode Digit]], 2*Deadtime*Fsw*IF(VfdSky_Q2&gt;0,VfdSky_Q2,0)*Table1[[#This Row],[Iout]], 2*Deadtime*Fsw*IF(VfdSky_Q3&gt;0,VfdSky_Q3,0)*Table1[[#This Row],[Iin]], 2*Deadtime*Fsw*IF(VfdSky_Q2&gt;0,VfdSky_Q2,0)*Table1[[#This Row],[Iout]]+2*Deadtime*Fsw*IF(VfdSky_Q3&gt;0,VfdSky_Q3,0)*Table1[[#This Row],[Iin]])</f>
        <v>0</v>
      </c>
      <c r="BA33" s="354">
        <f>CHOOSE(Table1[[#This Row],[Mode Digit]], IF(QrrSky_Q2&gt;0,QrrSky_Q2,Qrr_Q2)*Fsw*(Table1[[#This Row],[Vin]]-Table1[[#This Row],[Iout]]*Rdson1),0,  IF(QrrSky_Q2&gt;0,QrrSky_Q2,Qrr_Q2)*Fsw*(Table1[[#This Row],[Vin]]-Table1[[#This Row],[Iout]]*Rdson1)+IF(QrrSky_Q3&gt;0,QrrSky_Q3,Qrr_Q3)*Fsw*Vout)</f>
        <v>0.25955519999999999</v>
      </c>
      <c r="BB33" s="354">
        <f>CHOOSE(Table1[[#This Row],[Mode Digit]],0, IF(QrrSky_Q3&gt;0,QrrSky_Q3,Qrr_Q3)*Fsw*Vout,  IF(QrrSky_Q2&gt;0,QrrSky_Q2,Qrr_Q2)*Fsw*(Table1[[#This Row],[Vin]]-Table1[[#This Row],[Iout]]*Rdson1)+IF(QrrSky_Q3&gt;0,QrrSky_Q3,Qrr_Q3)*Fsw*Vout)</f>
        <v>0</v>
      </c>
      <c r="BC33" s="354">
        <f>CHOOSE(Table1[[#This Row],[Mode Digit]], Rs*Table1[[#This Row],[Irms BuSync]]^2, Rs*Table1[[#This Row],[Irms BoCtlr]]^2, Rs*(Table1[[#This Row],[Irms BuSync]]^2+Table1[[#This Row],[Irms BoCtlr]]^2))</f>
        <v>0.11602817869632817</v>
      </c>
      <c r="BD33" s="354">
        <f t="shared" si="1"/>
        <v>1.44</v>
      </c>
      <c r="BE33" s="354">
        <f>IF(Vout&gt;8, Iq*Vout, Iq*Table1[[#This Row],[Vin]])</f>
        <v>4.3799999999999999E-2</v>
      </c>
      <c r="BF33" s="354">
        <f>CHOOSE(Table1[[#This Row],[Mode Digit]], (Qg_Q1+Qg_Q2)*Fsw, (Qg_Q3+Qg_Q4)*Fsw, (Qg_Q1+Qg_Q2+Qg_Q3+Qg_Q4)*Fsw)*IF(Vout&gt;8, Vout, Table1[[#This Row],[Vin]])</f>
        <v>0.47303999999999996</v>
      </c>
      <c r="BG33" s="354">
        <f t="shared" si="2"/>
        <v>0.57269042016806726</v>
      </c>
      <c r="BH33" s="354">
        <f>Table1[[#This Row],[IQ Loss]]+Table1[[#This Row],[Switching Current Loss]]</f>
        <v>0.51683999999999997</v>
      </c>
      <c r="BI3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8.559408976126452</v>
      </c>
      <c r="BJ33">
        <f>Vout*Table1[[#This Row],[Iout]]</f>
        <v>175.2</v>
      </c>
      <c r="BK33" s="550">
        <f>Table1[[#This Row],[Pout]]/(Table1[[#This Row],[Pout]]+Table1[[#This Row],[Total Loss]])</f>
        <v>0.95342056755723192</v>
      </c>
      <c r="BL3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199.33991289789299</v>
      </c>
      <c r="BM33" s="559">
        <f>IF(Table1[[#This Row],[Vin]]&gt;Vout, Table1[[#This Row],[Total Sync Bu MOSFET Loss]]*ThetaJA_Q2, ThetaJA_Q3*Table1[[#This Row],[Total Sync Bo MOSFET Loss]])</f>
        <v>48.6121259039313</v>
      </c>
      <c r="BN33" s="9"/>
      <c r="BO33" s="4">
        <f>Table1[[#This Row],[EFF, h]]*100</f>
        <v>95.342056755723192</v>
      </c>
      <c r="BP33" s="354">
        <f>Table1[[#This Row],[Total Inductor Loss]]</f>
        <v>1.3156295208001829</v>
      </c>
      <c r="BQ33" s="354">
        <f>Table1[[#This Row],[Total Control Bu MOSFET Loss]]+Table1[[#This Row],[Total Sync Bu MOSFET Loss]]+Table1[[#This Row],[Total Control Bo MOSFET Loss]]+Table1[[#This Row],[Total Sync Bo MOSFET Loss]]+Table1[[#This Row],[Reverse Recovery Loss MOSFET D BUCK]]+Table1[[#This Row],[Reverse Recovery Loss MOSFET D BOOST]]</f>
        <v>5.1040042150412885</v>
      </c>
      <c r="BR33" s="354">
        <f>Table1[[#This Row],[Total Control Bu MOSFET Loss]]+Table1[[#This Row],[Reverse Recovery Loss MOSFET D BUCK]]*0.66</f>
        <v>3.4936383136315499</v>
      </c>
      <c r="BS33" s="354">
        <f>Table1[[#This Row],[Total Sync Bu MOSFET Loss]]+Table1[[#This Row],[Reverse Recovery Loss MOSFET D BUCK]]*0.33</f>
        <v>0.89585531439885502</v>
      </c>
      <c r="BT33" s="354">
        <f xml:space="preserve"> Table1[[#This Row],[Total Control Bo MOSFET Loss]]+Table1[[#This Row],[Reverse Recovery Loss MOSFET D BOOST]]*0.66</f>
        <v>0</v>
      </c>
      <c r="BU33" s="354">
        <f xml:space="preserve"> Table1[[#This Row],[Total Sync Bo MOSFET Loss]]+Table1[[#This Row],[Reverse Recovery Loss MOSFET D BOOST]]*0.33</f>
        <v>0.71191503501088294</v>
      </c>
      <c r="BV33" s="354">
        <f>Table1[[#This Row],[Isense Shunt Loss]]</f>
        <v>0.11602817869632817</v>
      </c>
      <c r="CA33">
        <v>9.9986420000000003</v>
      </c>
      <c r="CB33">
        <v>0.64549999999999996</v>
      </c>
      <c r="CC33">
        <v>5.1237300000000001</v>
      </c>
      <c r="CD33">
        <v>90.41893857119905</v>
      </c>
      <c r="CE33">
        <v>350.45848473660021</v>
      </c>
    </row>
    <row r="34" spans="1:83" x14ac:dyDescent="0.2">
      <c r="A34" s="24" t="s">
        <v>56</v>
      </c>
      <c r="B34" s="15" t="s">
        <v>113</v>
      </c>
      <c r="C34" s="24" t="s">
        <v>80</v>
      </c>
      <c r="D34" s="17" t="s">
        <v>109</v>
      </c>
      <c r="G34">
        <v>25</v>
      </c>
      <c r="H34" s="555">
        <f>VIN_min+(VIN_max-VIN_min)*(Table1[[#This Row],[Step]]/200)</f>
        <v>21.75</v>
      </c>
      <c r="I34" s="4" t="str">
        <f>IF(Mode = 2,IF(Table1[[#This Row],[Vin]]&gt;Vout, "BUCK","BOOST"),IF(Table1[[#This Row],[Vin]]&gt;VIN_BB_to_buck, "BUCK", IF(Table1[[#This Row],[Vin]]&lt;=VIN_boost_to_BB,"BOOST","BUCK-BST")))</f>
        <v>BUCK</v>
      </c>
      <c r="J34">
        <f>IF(Table1[[#This Row],[Mode]]="BOOST",2, IF(Table1[[#This Row],[Mode]]="BUCK", 1,3))</f>
        <v>1</v>
      </c>
      <c r="K34">
        <f t="shared" si="0"/>
        <v>12</v>
      </c>
      <c r="L34" s="4">
        <f>Vout*Table1[[#This Row],[Iout]]/(Table1[[#This Row],[Vin]]*Efficiency)</f>
        <v>8.4791288566243193</v>
      </c>
      <c r="M34" s="711">
        <f>MIN(1/Fsw,CHOOSE(Table1[[#This Row],[Mode Digit]],(Vout+(Rdson2+Rs+Rdcr)*Table1[[#This Row],[Iout]])/(Table1[[#This Row],[Vin]]+(Rs+Rdson2-Rdson1)*Table1[[#This Row],[Iout]])/Fsw,(Vout+(Rdson3+Rdcr)*Table1[[#This Row],[Iin]]-Table1[[#This Row],[Vin]])/(Vout+(Rdson3-Rdson4-Rs)*Table1[[#This Row],[Iin]])/Fsw,t1_Ph_II))</f>
        <v>1.1287113559840832E-6</v>
      </c>
      <c r="N34" s="602">
        <f>CHOOSE(Table1[[#This Row],[Mode Digit]],1/Fsw-Table1[[#This Row],[t1_Ph_II]],1/Fsw-Table1[[#This Row],[t1_Ph_II]],(Vout/Fsw-Table1[[#This Row],[Vin]]*t1_Ph_II)/(Table1[[#This Row],[Vin]]+Vout))</f>
        <v>5.3795531068258347E-7</v>
      </c>
      <c r="O34" s="602">
        <f>1/Fsw-(Table1[[#This Row],[t1_Ph_II]]+Table1[[#This Row],[t2_Ph_I]])</f>
        <v>0</v>
      </c>
      <c r="P3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10.47153670543822</v>
      </c>
      <c r="Q34" s="4">
        <f>CHOOSE(Table1[[#This Row],[Mode Digit]],Table1[[#This Row],[I_0]]+1/Lf*(Table1[[#This Row],[Vin]]-Vout)*Table1[[#This Row],[t1_Ph_II]],Table1[[#This Row],[I_0]]+1/Lf*Table1[[#This Row],[Vin]]*Table1[[#This Row],[t1_Ph_II]],Table1[[#This Row],[I_0]]+(Table1[[#This Row],[Vin]]-Vout)/L*Table1[[#This Row],[t1_Ph_II]])</f>
        <v>13.528463294561778</v>
      </c>
      <c r="R34" s="4">
        <f>CHOOSE(Table1[[#This Row],[Mode Digit]],0,0,Table1[[#This Row],[I_1]]+Table1[[#This Row],[Vin]]/L*Table1[[#This Row],[t2_Ph_I]])</f>
        <v>0</v>
      </c>
      <c r="S34" s="4">
        <f>Fsw*(Table1[[#This Row],[I_0]]*Table1[[#This Row],[t1_Ph_II]]+Table1[[#This Row],[I_1]]*Table1[[#This Row],[t2_Ph_I]]+Table1[[#This Row],[I_2]]*Table1[[#This Row],[t3_Ph_III]])</f>
        <v>11.458230641229708</v>
      </c>
      <c r="T34" s="354">
        <f>MIN(1,CHOOSE(Table1[[#This Row],[Mode Digit]],(Vout+(Rdson2+Rs+Rdcr)*Table1[[#This Row],[Iout]])/(Table1[[#This Row],[Vin]]+(Rs+Rdson2-Rdson1)*Table1[[#This Row],[Iout]]),1,Fsw*Table1[[#This Row],[t2_Ph_I]]+Table1[[#This Row],[t1_Ph_II]]))</f>
        <v>0.67722681359044989</v>
      </c>
      <c r="U34" s="354">
        <f>MIN(1,CHOOSE(Table1[[#This Row],[Mode Digit]],0,(Vout+(Rdson3+Rdcr)*Table1[[#This Row],[Iin]]-Table1[[#This Row],[Vin]])/(Vout+(Rdson3-Rdson4-Rs)*Table1[[#This Row],[Iin]]),Fsw*Table1[[#This Row],[t1_Ph_II]]+Table1[[#This Row],[t3_Ph_III]]))</f>
        <v>0</v>
      </c>
      <c r="V34" s="4">
        <f>MAX(Table1[[#This Row],[I_0]:[I_2]])-MIN(Table1[[#This Row],[I_0]:[I_1]])</f>
        <v>3.0569265891235577</v>
      </c>
      <c r="W3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12.032403473438194</v>
      </c>
      <c r="X34" s="354">
        <f>(Table1[[#This Row],[Irms Lf]]^2*Rdcr*(1+Ltc*Ta-Ltc*25))/(1-Table1[[#This Row],[Irms Lf]]^2*Rdcr*Ltc*ThetaCa)</f>
        <v>0.90018894530352056</v>
      </c>
      <c r="Y34" s="354">
        <f>ABS(7.759*10^-3*Fsw^0.9458*(0.00787*Table1[[#This Row],[Ripple Current pk-pk]])^2.304)</f>
        <v>0.4218942919386513</v>
      </c>
      <c r="Z34" s="354">
        <f>Table1[[#This Row],[DCR    Loss]]+Table1[[#This Row],[Core Loss]]</f>
        <v>1.3220832372421718</v>
      </c>
      <c r="AA34" s="4">
        <f>IF(Table1[[#This Row],[Vin]]&gt;Vout, Table1[[#This Row],[Ripple Current pk-pk]]/SQRT(12), SQRT(Table1[[#This Row],[Duty Cycle BOOST Leg]]/(1-Table1[[#This Row],[Duty Cycle BOOST Leg]]))*SQRT(Table1[[#This Row],[Iout]]^2+(Table1[[#This Row],[Ripple Current pk-pk]]^2)/12))</f>
        <v>0.88245869456170534</v>
      </c>
      <c r="AB34" s="354">
        <f>RCoutEsr*Table1[[#This Row],[Irms Cout]]^2</f>
        <v>3.893666738037746E-3</v>
      </c>
      <c r="AC34" s="354">
        <f>Table1[[#This Row],[Cout ESR Loss]]</f>
        <v>3.893666738037746E-3</v>
      </c>
      <c r="AD34" s="354">
        <f>IF(Table1[[#This Row],[Vin]]&gt;Vout, SQRT(Table1[[#This Row],[Duty Cycle BUCK Leg]]*(1-Table1[[#This Row],[Duty Cycle BUCK Leg]]))*SQRT(Table1[[#This Row],[Iout]]^2+(Table1[[#This Row],[Ripple Current pk-pk]]^2)/12), Table1[[#This Row],[Ripple Current pk-pk]]/SQRT(12))</f>
        <v>5.6255913801257931</v>
      </c>
      <c r="AE34" s="354">
        <f>RCinEsr*Table1[[#This Row],[Irms Cin]]^2</f>
        <v>6.3294556752291245E-2</v>
      </c>
      <c r="AF34" s="549">
        <f>Table1[[#This Row],[Cin ESR Loss]]</f>
        <v>6.3294556752291245E-2</v>
      </c>
      <c r="AG3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9.9019210389025858</v>
      </c>
      <c r="AH34" s="354">
        <f>Rdson1*Table1[[#This Row],[Irms BuCtrl]]^2</f>
        <v>0.41180176909477906</v>
      </c>
      <c r="AI34" s="354">
        <f>CHOOSE(Table1[[#This Row],[Mode Digit]], (Table1[[#This Row],[Vin]]*Table1[[#This Row],[Iout]]/2)*(Fsw)*(Tr_buck+Tf_buck), 0, (Table1[[#This Row],[Vin]]*Table1[[#This Row],[Avg IL]]/2)*(Fsw/1)*(Tr_buck+Tf_buck))</f>
        <v>2.5881717720751674</v>
      </c>
      <c r="AJ34">
        <f>IF(Table1[[#This Row],[Vin]]&gt;Vout, IF(Table1[[#This Row],[Iout]]&gt;Table1[[#This Row],[Ripple Current pk-pk]]/2,0,ABS(Table1[[#This Row],[Iout]]-Table1[[#This Row],[Ripple Current pk-pk]]/2)*Vsd_Q1*Deadtime*Fsw),0)</f>
        <v>0</v>
      </c>
      <c r="AK34" s="354">
        <f>(Table1[[#This Row],[Dead Time Loss BuCtrl]]+Table1[[#This Row],[Transition Loss BuCtrl]]+Table1[[#This Row],[RDS(on) Loss BuCtrl]]*(1+RdsonTopTc*Ta-RdsonTopTc*25))/(1-Table1[[#This Row],[RDS(on) Loss BuCtrl]]*RdsonTopTc*ThetaJA_Q1)</f>
        <v>3.3289852220669585</v>
      </c>
      <c r="AL34" s="354">
        <f>CHOOSE(Table1[[#This Row],[Mode Digit]],SQRT((Fsw*(Table1[[#This Row],[t2_Ph_I]]+0))*((Table1[[#This Row],[I_0]]*Table1[[#This Row],[I_1]]+((Table1[[#This Row],[I_0]]-Table1[[#This Row],[I_1]])^2)/3))),0,SQRT((Fsw*(Table1[[#This Row],[t3_Ph_III]]+0))*((Table1[[#This Row],[I_0]]*Table1[[#This Row],[I_2]]+((Table1[[#This Row],[I_0]]-Table1[[#This Row],[I_2]])^2)/3))))</f>
        <v>6.8359851584790521</v>
      </c>
      <c r="AM34" s="354">
        <f>Rdson2*Table1[[#This Row],[Irms BuSync]]^2</f>
        <v>0.19626891096517268</v>
      </c>
      <c r="AN3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4" s="354">
        <f>(Table1[[#This Row],[Deadtime Loss BuSync]]+Table1[[#This Row],[RDS(on) Loss BuSync]]*(1+RdsonBotTc*Ta-RdsonBotTc*25))/(1-Table1[[#This Row],[RDS(on) Loss BuSync]]*RdsonBotTc*ThetaJA_Q2)</f>
        <v>0.81188374895358728</v>
      </c>
      <c r="AP34" s="354">
        <f>CHOOSE(Table1[[#This Row],[Mode Digit]],0,SQRT((Fsw*(Table1[[#This Row],[t1_Ph_II]]+0))*((Table1[[#This Row],[I_0]]*Table1[[#This Row],[I_1]]+((Table1[[#This Row],[I_0]]-Table1[[#This Row],[I_1]])^2)/3))),SQRT((Fsw*(Table1[[#This Row],[t2_Ph_I]]+0))*((Table1[[#This Row],[I_1]]*Table1[[#This Row],[I_2]]+((Table1[[#This Row],[I_1]]-Table1[[#This Row],[I_2]])^2)/3))))</f>
        <v>0</v>
      </c>
      <c r="AQ34" s="354">
        <f>Rdson4*Table1[[#This Row],[Irms BoCtlr]]^2</f>
        <v>0</v>
      </c>
      <c r="AR34" s="354">
        <f>CHOOSE(Table1[[#This Row],[Mode Digit]], 0, (Vout*Table1[[#This Row],[Iin]]/2)*(Fsw)*(Tr_boost+Tf_boost), (Vout*Iout/2)*(Fsw/1)*(Tr_boost+Tf_boost))</f>
        <v>0</v>
      </c>
      <c r="AS34">
        <f>IF(Table1[[#This Row],[Vin]]&gt;Vout, 0, IF(Table1[[#This Row],[Iin]]&gt;Table1[[#This Row],[Ripple Current pk-pk]]/2,0,ABS(Table1[[#This Row],[Iin]]-Table1[[#This Row],[Ripple Current pk-pk]]/2)*Vsd_Q4*Deadtime*Fsw))</f>
        <v>0</v>
      </c>
      <c r="AT34" s="354">
        <f>(Table1[[#This Row],[Dead Time Loss BoCtlr]]+Table1[[#This Row],[Transition Loss BoCtlr]]+Table1[[#This Row],[RDS(on) Loss BoCtlr]]*(1+RdsonTopTc*Ta-RdsonTopTc*25))/(1-Table1[[#This Row],[RDS(on) Loss BoCtlr]]*RdsonTopTc*ThetaJA_Q4)</f>
        <v>0</v>
      </c>
      <c r="AU3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12.032403473438194</v>
      </c>
      <c r="AV34" s="354">
        <f>Rdson3*Table1[[#This Row],[Irms BoSync]]^2</f>
        <v>0.60807068005995168</v>
      </c>
      <c r="AW3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4" s="354">
        <f>(Table1[[#This Row],[Deadtime Loss BoSync]]+Table1[[#This Row],[RDS(on) Loss BoSync]]*(1+RdsonBotTc*Ta-RdsonBotTc*25))/(1-Table1[[#This Row],[RDS(on) Loss BoSync]]*RdsonBotTc*ThetaJA_Q3)</f>
        <v>0.71197400410690137</v>
      </c>
      <c r="AY34" s="354">
        <f>CHOOSE(Table1[[#This Row],[Mode Digit]], Rdson3*Table1[[#This Row],[Irms Lf]]^2, Rdson1*Table1[[#This Row],[Irms Lf]]^2, 0)</f>
        <v>0.60807068005995168</v>
      </c>
      <c r="AZ34" s="354">
        <f>CHOOSE(Table1[[#This Row],[Mode Digit]], 2*Deadtime*Fsw*IF(VfdSky_Q2&gt;0,VfdSky_Q2,0)*Table1[[#This Row],[Iout]], 2*Deadtime*Fsw*IF(VfdSky_Q3&gt;0,VfdSky_Q3,0)*Table1[[#This Row],[Iin]], 2*Deadtime*Fsw*IF(VfdSky_Q2&gt;0,VfdSky_Q2,0)*Table1[[#This Row],[Iout]]+2*Deadtime*Fsw*IF(VfdSky_Q3&gt;0,VfdSky_Q3,0)*Table1[[#This Row],[Iin]])</f>
        <v>0</v>
      </c>
      <c r="BA34" s="354">
        <f>CHOOSE(Table1[[#This Row],[Mode Digit]], IF(QrrSky_Q2&gt;0,QrrSky_Q2,Qrr_Q2)*Fsw*(Table1[[#This Row],[Vin]]-Table1[[#This Row],[Iout]]*Rdson1),0,  IF(QrrSky_Q2&gt;0,QrrSky_Q2,Qrr_Q2)*Fsw*(Table1[[#This Row],[Vin]]-Table1[[#This Row],[Iout]]*Rdson1)+IF(QrrSky_Q3&gt;0,QrrSky_Q3,Qrr_Q3)*Fsw*Vout)</f>
        <v>0.26039519999999999</v>
      </c>
      <c r="BB34" s="354">
        <f>CHOOSE(Table1[[#This Row],[Mode Digit]],0, IF(QrrSky_Q3&gt;0,QrrSky_Q3,Qrr_Q3)*Fsw*Vout,  IF(QrrSky_Q2&gt;0,QrrSky_Q2,Qrr_Q2)*Fsw*(Table1[[#This Row],[Vin]]-Table1[[#This Row],[Iout]]*Rdson1)+IF(QrrSky_Q3&gt;0,QrrSky_Q3,Qrr_Q3)*Fsw*Vout)</f>
        <v>0</v>
      </c>
      <c r="BC34" s="354">
        <f>CHOOSE(Table1[[#This Row],[Mode Digit]], Rs*Table1[[#This Row],[Irms BuSync]]^2, Rs*Table1[[#This Row],[Irms BoCtlr]]^2, Rs*(Table1[[#This Row],[Irms BuSync]]^2+Table1[[#This Row],[Irms BoCtlr]]^2))</f>
        <v>0.11682673271736467</v>
      </c>
      <c r="BD34" s="354">
        <f t="shared" si="1"/>
        <v>1.44</v>
      </c>
      <c r="BE34" s="354">
        <f>IF(Vout&gt;8, Iq*Vout, Iq*Table1[[#This Row],[Vin]])</f>
        <v>4.3799999999999999E-2</v>
      </c>
      <c r="BF34" s="354">
        <f>CHOOSE(Table1[[#This Row],[Mode Digit]], (Qg_Q1+Qg_Q2)*Fsw, (Qg_Q3+Qg_Q4)*Fsw, (Qg_Q1+Qg_Q2+Qg_Q3+Qg_Q4)*Fsw)*IF(Vout&gt;8, Vout, Table1[[#This Row],[Vin]])</f>
        <v>0.47303999999999996</v>
      </c>
      <c r="BG34" s="354">
        <f t="shared" si="2"/>
        <v>0.57269042016806726</v>
      </c>
      <c r="BH34" s="354">
        <f>Table1[[#This Row],[IQ Loss]]+Table1[[#This Row],[Switching Current Loss]]</f>
        <v>0.51683999999999997</v>
      </c>
      <c r="BI3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8.5761763685773129</v>
      </c>
      <c r="BJ34">
        <f>Vout*Table1[[#This Row],[Iout]]</f>
        <v>175.2</v>
      </c>
      <c r="BK34" s="550">
        <f>Table1[[#This Row],[Pout]]/(Table1[[#This Row],[Pout]]+Table1[[#This Row],[Total Loss]])</f>
        <v>0.95333357925905959</v>
      </c>
      <c r="BL3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199.7391133240175</v>
      </c>
      <c r="BM34" s="559">
        <f>IF(Table1[[#This Row],[Vin]]&gt;Vout, Table1[[#This Row],[Total Sync Bu MOSFET Loss]]*ThetaJA_Q2, ThetaJA_Q3*Table1[[#This Row],[Total Sync Bo MOSFET Loss]])</f>
        <v>48.713024937215238</v>
      </c>
      <c r="BN34" s="9"/>
      <c r="BO34" s="4">
        <f>Table1[[#This Row],[EFF, h]]*100</f>
        <v>95.333357925905958</v>
      </c>
      <c r="BP34" s="354">
        <f>Table1[[#This Row],[Total Inductor Loss]]</f>
        <v>1.3220832372421718</v>
      </c>
      <c r="BQ34" s="354">
        <f>Table1[[#This Row],[Total Control Bu MOSFET Loss]]+Table1[[#This Row],[Total Sync Bu MOSFET Loss]]+Table1[[#This Row],[Total Control Bo MOSFET Loss]]+Table1[[#This Row],[Total Sync Bo MOSFET Loss]]+Table1[[#This Row],[Reverse Recovery Loss MOSFET D BUCK]]+Table1[[#This Row],[Reverse Recovery Loss MOSFET D BOOST]]</f>
        <v>5.1132381751274467</v>
      </c>
      <c r="BR34" s="354">
        <f>Table1[[#This Row],[Total Control Bu MOSFET Loss]]+Table1[[#This Row],[Reverse Recovery Loss MOSFET D BUCK]]*0.66</f>
        <v>3.5008460540669586</v>
      </c>
      <c r="BS34" s="354">
        <f>Table1[[#This Row],[Total Sync Bu MOSFET Loss]]+Table1[[#This Row],[Reverse Recovery Loss MOSFET D BUCK]]*0.33</f>
        <v>0.89781416495358723</v>
      </c>
      <c r="BT34" s="354">
        <f xml:space="preserve"> Table1[[#This Row],[Total Control Bo MOSFET Loss]]+Table1[[#This Row],[Reverse Recovery Loss MOSFET D BOOST]]*0.66</f>
        <v>0</v>
      </c>
      <c r="BU34" s="354">
        <f xml:space="preserve"> Table1[[#This Row],[Total Sync Bo MOSFET Loss]]+Table1[[#This Row],[Reverse Recovery Loss MOSFET D BOOST]]*0.33</f>
        <v>0.71197400410690137</v>
      </c>
      <c r="BV34" s="354">
        <f>Table1[[#This Row],[Isense Shunt Loss]]</f>
        <v>0.11682673271736467</v>
      </c>
      <c r="CA34">
        <v>9.9986049999999995</v>
      </c>
      <c r="CB34">
        <v>0.83240000000000003</v>
      </c>
      <c r="CC34">
        <v>5.1231559999999998</v>
      </c>
      <c r="CD34">
        <v>91.678946361105133</v>
      </c>
      <c r="CE34">
        <v>387.05996035199956</v>
      </c>
    </row>
    <row r="35" spans="1:83" x14ac:dyDescent="0.2">
      <c r="A35" s="22" t="s">
        <v>156</v>
      </c>
      <c r="B35" s="5">
        <f>Iq*1000</f>
        <v>3</v>
      </c>
      <c r="C35" s="440" t="s">
        <v>68</v>
      </c>
      <c r="D35" s="21" t="s">
        <v>159</v>
      </c>
      <c r="G35">
        <v>26</v>
      </c>
      <c r="H35" s="555">
        <f>VIN_min+(VIN_max-VIN_min)*(Table1[[#This Row],[Step]]/200)</f>
        <v>21.82</v>
      </c>
      <c r="I35" s="4" t="str">
        <f>IF(Mode = 2,IF(Table1[[#This Row],[Vin]]&gt;Vout, "BUCK","BOOST"),IF(Table1[[#This Row],[Vin]]&gt;VIN_BB_to_buck, "BUCK", IF(Table1[[#This Row],[Vin]]&lt;=VIN_boost_to_BB,"BOOST","BUCK-BST")))</f>
        <v>BUCK</v>
      </c>
      <c r="J35">
        <f>IF(Table1[[#This Row],[Mode]]="BOOST",2, IF(Table1[[#This Row],[Mode]]="BUCK", 1,3))</f>
        <v>1</v>
      </c>
      <c r="K35">
        <f t="shared" si="0"/>
        <v>12</v>
      </c>
      <c r="L35" s="4">
        <f>Vout*Table1[[#This Row],[Iout]]/(Table1[[#This Row],[Vin]]*Efficiency)</f>
        <v>8.4519272516763948</v>
      </c>
      <c r="M35" s="711">
        <f>MIN(1/Fsw,CHOOSE(Table1[[#This Row],[Mode Digit]],(Vout+(Rdson2+Rs+Rdcr)*Table1[[#This Row],[Iout]])/(Table1[[#This Row],[Vin]]+(Rs+Rdson2-Rdson1)*Table1[[#This Row],[Iout]])/Fsw,(Vout+(Rdson3+Rdcr)*Table1[[#This Row],[Iin]]-Table1[[#This Row],[Vin]])/(Vout+(Rdson3-Rdson4-Rs)*Table1[[#This Row],[Iin]])/Fsw,t1_Ph_II))</f>
        <v>1.1250953470633104E-6</v>
      </c>
      <c r="N35" s="602">
        <f>CHOOSE(Table1[[#This Row],[Mode Digit]],1/Fsw-Table1[[#This Row],[t1_Ph_II]],1/Fsw-Table1[[#This Row],[t1_Ph_II]],(Vout/Fsw-Table1[[#This Row],[Vin]]*t1_Ph_II)/(Table1[[#This Row],[Vin]]+Vout))</f>
        <v>5.4157131960335625E-7</v>
      </c>
      <c r="O35" s="602">
        <f>1/Fsw-(Table1[[#This Row],[t1_Ph_II]]+Table1[[#This Row],[t2_Ph_I]])</f>
        <v>0</v>
      </c>
      <c r="P3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10.461517347386913</v>
      </c>
      <c r="Q35" s="4">
        <f>CHOOSE(Table1[[#This Row],[Mode Digit]],Table1[[#This Row],[I_0]]+1/Lf*(Table1[[#This Row],[Vin]]-Vout)*Table1[[#This Row],[t1_Ph_II]],Table1[[#This Row],[I_0]]+1/Lf*Table1[[#This Row],[Vin]]*Table1[[#This Row],[t1_Ph_II]],Table1[[#This Row],[I_0]]+(Table1[[#This Row],[Vin]]-Vout)/L*Table1[[#This Row],[t1_Ph_II]])</f>
        <v>13.538482652613087</v>
      </c>
      <c r="R35" s="4">
        <f>CHOOSE(Table1[[#This Row],[Mode Digit]],0,0,Table1[[#This Row],[I_1]]+Table1[[#This Row],[Vin]]/L*Table1[[#This Row],[t2_Ph_I]])</f>
        <v>0</v>
      </c>
      <c r="S35" s="4">
        <f>Fsw*(Table1[[#This Row],[I_0]]*Table1[[#This Row],[t1_Ph_II]]+Table1[[#This Row],[I_1]]*Table1[[#This Row],[t2_Ph_I]]+Table1[[#This Row],[I_2]]*Table1[[#This Row],[t3_Ph_III]])</f>
        <v>11.461355043821962</v>
      </c>
      <c r="T35" s="354">
        <f>MIN(1,CHOOSE(Table1[[#This Row],[Mode Digit]],(Vout+(Rdson2+Rs+Rdcr)*Table1[[#This Row],[Iout]])/(Table1[[#This Row],[Vin]]+(Rs+Rdson2-Rdson1)*Table1[[#This Row],[Iout]]),1,Fsw*Table1[[#This Row],[t2_Ph_I]]+Table1[[#This Row],[t1_Ph_II]]))</f>
        <v>0.67505720823798621</v>
      </c>
      <c r="U35" s="354">
        <f>MIN(1,CHOOSE(Table1[[#This Row],[Mode Digit]],0,(Vout+(Rdson3+Rdcr)*Table1[[#This Row],[Iin]]-Table1[[#This Row],[Vin]])/(Vout+(Rdson3-Rdson4-Rs)*Table1[[#This Row],[Iin]]),Fsw*Table1[[#This Row],[t1_Ph_II]]+Table1[[#This Row],[t3_Ph_III]]))</f>
        <v>0</v>
      </c>
      <c r="V35" s="4">
        <f>MAX(Table1[[#This Row],[I_0]:[I_2]])-MIN(Table1[[#This Row],[I_0]:[I_1]])</f>
        <v>3.0769653052261745</v>
      </c>
      <c r="W3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12.032829105858568</v>
      </c>
      <c r="X35" s="354">
        <f>(Table1[[#This Row],[Irms Lf]]^2*Rdcr*(1+Ltc*Ta-Ltc*25))/(1-Table1[[#This Row],[Irms Lf]]^2*Rdcr*Ltc*ThetaCa)</f>
        <v>0.90025721952998705</v>
      </c>
      <c r="Y35" s="354">
        <f>ABS(7.759*10^-3*Fsw^0.9458*(0.00787*Table1[[#This Row],[Ripple Current pk-pk]])^2.304)</f>
        <v>0.42829347367472315</v>
      </c>
      <c r="Z35" s="354">
        <f>Table1[[#This Row],[DCR    Loss]]+Table1[[#This Row],[Core Loss]]</f>
        <v>1.3285506932047102</v>
      </c>
      <c r="AA35" s="4">
        <f>IF(Table1[[#This Row],[Vin]]&gt;Vout, Table1[[#This Row],[Ripple Current pk-pk]]/SQRT(12), SQRT(Table1[[#This Row],[Duty Cycle BOOST Leg]]/(1-Table1[[#This Row],[Duty Cycle BOOST Leg]]))*SQRT(Table1[[#This Row],[Iout]]^2+(Table1[[#This Row],[Ripple Current pk-pk]]^2)/12))</f>
        <v>0.88824337362973549</v>
      </c>
      <c r="AB35" s="354">
        <f>RCoutEsr*Table1[[#This Row],[Irms Cout]]^2</f>
        <v>3.9448814539856693E-3</v>
      </c>
      <c r="AC35" s="354">
        <f>Table1[[#This Row],[Cout ESR Loss]]</f>
        <v>3.9448814539856693E-3</v>
      </c>
      <c r="AD35" s="354">
        <f>IF(Table1[[#This Row],[Vin]]&gt;Vout, SQRT(Table1[[#This Row],[Duty Cycle BUCK Leg]]*(1-Table1[[#This Row],[Duty Cycle BUCK Leg]]))*SQRT(Table1[[#This Row],[Iout]]^2+(Table1[[#This Row],[Ripple Current pk-pk]]^2)/12), Table1[[#This Row],[Ripple Current pk-pk]]/SQRT(12))</f>
        <v>5.6356172782718392</v>
      </c>
      <c r="AE35" s="354">
        <f>RCinEsr*Table1[[#This Row],[Irms Cin]]^2</f>
        <v>6.3520364214312189E-2</v>
      </c>
      <c r="AF35" s="549">
        <f>Table1[[#This Row],[Cin ESR Loss]]</f>
        <v>6.3520364214312189E-2</v>
      </c>
      <c r="AG3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9.8863968218204494</v>
      </c>
      <c r="AH35" s="354">
        <f>Rdson1*Table1[[#This Row],[Irms BuCtrl]]^2</f>
        <v>0.41051153689770631</v>
      </c>
      <c r="AI35" s="354">
        <f>CHOOSE(Table1[[#This Row],[Mode Digit]], (Table1[[#This Row],[Vin]]*Table1[[#This Row],[Iout]]/2)*(Fsw)*(Tr_buck+Tf_buck), 0, (Table1[[#This Row],[Vin]]*Table1[[#This Row],[Avg IL]]/2)*(Fsw/1)*(Tr_buck+Tf_buck))</f>
        <v>2.5965015203071338</v>
      </c>
      <c r="AJ35">
        <f>IF(Table1[[#This Row],[Vin]]&gt;Vout, IF(Table1[[#This Row],[Iout]]&gt;Table1[[#This Row],[Ripple Current pk-pk]]/2,0,ABS(Table1[[#This Row],[Iout]]-Table1[[#This Row],[Ripple Current pk-pk]]/2)*Vsd_Q1*Deadtime*Fsw),0)</f>
        <v>0</v>
      </c>
      <c r="AK35" s="354">
        <f>(Table1[[#This Row],[Dead Time Loss BuCtrl]]+Table1[[#This Row],[Transition Loss BuCtrl]]+Table1[[#This Row],[RDS(on) Loss BuCtrl]]*(1+RdsonTopTc*Ta-RdsonTopTc*25))/(1-Table1[[#This Row],[RDS(on) Loss BuCtrl]]*RdsonTopTc*ThetaJA_Q1)</f>
        <v>3.3356505891857298</v>
      </c>
      <c r="AL35" s="354">
        <f>CHOOSE(Table1[[#This Row],[Mode Digit]],SQRT((Fsw*(Table1[[#This Row],[t2_Ph_I]]+0))*((Table1[[#This Row],[I_0]]*Table1[[#This Row],[I_1]]+((Table1[[#This Row],[I_0]]-Table1[[#This Row],[I_1]])^2)/3))),0,SQRT((Fsw*(Table1[[#This Row],[t3_Ph_III]]+0))*((Table1[[#This Row],[I_0]]*Table1[[#This Row],[I_2]]+((Table1[[#This Row],[I_0]]-Table1[[#This Row],[I_2]])^2)/3))))</f>
        <v>6.8591642473624752</v>
      </c>
      <c r="AM35" s="354">
        <f>Rdson2*Table1[[#This Row],[Irms BuSync]]^2</f>
        <v>0.19760216352364168</v>
      </c>
      <c r="AN3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5" s="354">
        <f>(Table1[[#This Row],[Deadtime Loss BuSync]]+Table1[[#This Row],[RDS(on) Loss BuSync]]*(1+RdsonBotTc*Ta-RdsonBotTc*25))/(1-Table1[[#This Row],[RDS(on) Loss BuSync]]*RdsonBotTc*ThetaJA_Q2)</f>
        <v>0.81355609896801429</v>
      </c>
      <c r="AP35" s="354">
        <f>CHOOSE(Table1[[#This Row],[Mode Digit]],0,SQRT((Fsw*(Table1[[#This Row],[t1_Ph_II]]+0))*((Table1[[#This Row],[I_0]]*Table1[[#This Row],[I_1]]+((Table1[[#This Row],[I_0]]-Table1[[#This Row],[I_1]])^2)/3))),SQRT((Fsw*(Table1[[#This Row],[t2_Ph_I]]+0))*((Table1[[#This Row],[I_1]]*Table1[[#This Row],[I_2]]+((Table1[[#This Row],[I_1]]-Table1[[#This Row],[I_2]])^2)/3))))</f>
        <v>0</v>
      </c>
      <c r="AQ35" s="354">
        <f>Rdson4*Table1[[#This Row],[Irms BoCtlr]]^2</f>
        <v>0</v>
      </c>
      <c r="AR35" s="354">
        <f>CHOOSE(Table1[[#This Row],[Mode Digit]], 0, (Vout*Table1[[#This Row],[Iin]]/2)*(Fsw)*(Tr_boost+Tf_boost), (Vout*Iout/2)*(Fsw/1)*(Tr_boost+Tf_boost))</f>
        <v>0</v>
      </c>
      <c r="AS35">
        <f>IF(Table1[[#This Row],[Vin]]&gt;Vout, 0, IF(Table1[[#This Row],[Iin]]&gt;Table1[[#This Row],[Ripple Current pk-pk]]/2,0,ABS(Table1[[#This Row],[Iin]]-Table1[[#This Row],[Ripple Current pk-pk]]/2)*Vsd_Q4*Deadtime*Fsw))</f>
        <v>0</v>
      </c>
      <c r="AT35" s="354">
        <f>(Table1[[#This Row],[Dead Time Loss BoCtlr]]+Table1[[#This Row],[Transition Loss BoCtlr]]+Table1[[#This Row],[RDS(on) Loss BoCtlr]]*(1+RdsonTopTc*Ta-RdsonTopTc*25))/(1-Table1[[#This Row],[RDS(on) Loss BoCtlr]]*RdsonTopTc*ThetaJA_Q4)</f>
        <v>0</v>
      </c>
      <c r="AU3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12.032829105858568</v>
      </c>
      <c r="AV35" s="354">
        <f>Rdson3*Table1[[#This Row],[Irms BoSync]]^2</f>
        <v>0.60811370042134794</v>
      </c>
      <c r="AW3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5" s="354">
        <f>(Table1[[#This Row],[Deadtime Loss BoSync]]+Table1[[#This Row],[RDS(on) Loss BoSync]]*(1+RdsonBotTc*Ta-RdsonBotTc*25))/(1-Table1[[#This Row],[RDS(on) Loss BoSync]]*RdsonBotTc*ThetaJA_Q3)</f>
        <v>0.71203298338493093</v>
      </c>
      <c r="AY35" s="354">
        <f>CHOOSE(Table1[[#This Row],[Mode Digit]], Rdson3*Table1[[#This Row],[Irms Lf]]^2, Rdson1*Table1[[#This Row],[Irms Lf]]^2, 0)</f>
        <v>0.60811370042134794</v>
      </c>
      <c r="AZ35" s="354">
        <f>CHOOSE(Table1[[#This Row],[Mode Digit]], 2*Deadtime*Fsw*IF(VfdSky_Q2&gt;0,VfdSky_Q2,0)*Table1[[#This Row],[Iout]], 2*Deadtime*Fsw*IF(VfdSky_Q3&gt;0,VfdSky_Q3,0)*Table1[[#This Row],[Iin]], 2*Deadtime*Fsw*IF(VfdSky_Q2&gt;0,VfdSky_Q2,0)*Table1[[#This Row],[Iout]]+2*Deadtime*Fsw*IF(VfdSky_Q3&gt;0,VfdSky_Q3,0)*Table1[[#This Row],[Iin]])</f>
        <v>0</v>
      </c>
      <c r="BA35" s="354">
        <f>CHOOSE(Table1[[#This Row],[Mode Digit]], IF(QrrSky_Q2&gt;0,QrrSky_Q2,Qrr_Q2)*Fsw*(Table1[[#This Row],[Vin]]-Table1[[#This Row],[Iout]]*Rdson1),0,  IF(QrrSky_Q2&gt;0,QrrSky_Q2,Qrr_Q2)*Fsw*(Table1[[#This Row],[Vin]]-Table1[[#This Row],[Iout]]*Rdson1)+IF(QrrSky_Q3&gt;0,QrrSky_Q3,Qrr_Q3)*Fsw*Vout)</f>
        <v>0.2612352</v>
      </c>
      <c r="BB35" s="354">
        <f>CHOOSE(Table1[[#This Row],[Mode Digit]],0, IF(QrrSky_Q3&gt;0,QrrSky_Q3,Qrr_Q3)*Fsw*Vout,  IF(QrrSky_Q2&gt;0,QrrSky_Q2,Qrr_Q2)*Fsw*(Table1[[#This Row],[Vin]]-Table1[[#This Row],[Iout]]*Rdson1)+IF(QrrSky_Q3&gt;0,QrrSky_Q3,Qrr_Q3)*Fsw*Vout)</f>
        <v>0</v>
      </c>
      <c r="BC35" s="354">
        <f>CHOOSE(Table1[[#This Row],[Mode Digit]], Rs*Table1[[#This Row],[Irms BuSync]]^2, Rs*Table1[[#This Row],[Irms BoCtlr]]^2, Rs*(Table1[[#This Row],[Irms BuSync]]^2+Table1[[#This Row],[Irms BoCtlr]]^2))</f>
        <v>0.11762033543073909</v>
      </c>
      <c r="BD35" s="354">
        <f t="shared" si="1"/>
        <v>1.44</v>
      </c>
      <c r="BE35" s="354">
        <f>IF(Vout&gt;8, Iq*Vout, Iq*Table1[[#This Row],[Vin]])</f>
        <v>4.3799999999999999E-2</v>
      </c>
      <c r="BF35" s="354">
        <f>CHOOSE(Table1[[#This Row],[Mode Digit]], (Qg_Q1+Qg_Q2)*Fsw, (Qg_Q3+Qg_Q4)*Fsw, (Qg_Q1+Qg_Q2+Qg_Q3+Qg_Q4)*Fsw)*IF(Vout&gt;8, Vout, Table1[[#This Row],[Vin]])</f>
        <v>0.47303999999999996</v>
      </c>
      <c r="BG35" s="354">
        <f t="shared" si="2"/>
        <v>0.57269042016806726</v>
      </c>
      <c r="BH35" s="354">
        <f>Table1[[#This Row],[IQ Loss]]+Table1[[#This Row],[Switching Current Loss]]</f>
        <v>0.51683999999999997</v>
      </c>
      <c r="BI3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8.5929511458424219</v>
      </c>
      <c r="BJ35">
        <f>Vout*Table1[[#This Row],[Iout]]</f>
        <v>175.2</v>
      </c>
      <c r="BK35" s="550">
        <f>Table1[[#This Row],[Pout]]/(Table1[[#This Row],[Pout]]+Table1[[#This Row],[Total Loss]])</f>
        <v>0.95324656853121759</v>
      </c>
      <c r="BL3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200.13903535114378</v>
      </c>
      <c r="BM35" s="559">
        <f>IF(Table1[[#This Row],[Vin]]&gt;Vout, Table1[[#This Row],[Total Sync Bu MOSFET Loss]]*ThetaJA_Q2, ThetaJA_Q3*Table1[[#This Row],[Total Sync Bo MOSFET Loss]])</f>
        <v>48.813365938080857</v>
      </c>
      <c r="BN35" s="9"/>
      <c r="BO35" s="4">
        <f>Table1[[#This Row],[EFF, h]]*100</f>
        <v>95.324656853121752</v>
      </c>
      <c r="BP35" s="354">
        <f>Table1[[#This Row],[Total Inductor Loss]]</f>
        <v>1.3285506932047102</v>
      </c>
      <c r="BQ35" s="354">
        <f>Table1[[#This Row],[Total Control Bu MOSFET Loss]]+Table1[[#This Row],[Total Sync Bu MOSFET Loss]]+Table1[[#This Row],[Total Control Bo MOSFET Loss]]+Table1[[#This Row],[Total Sync Bo MOSFET Loss]]+Table1[[#This Row],[Reverse Recovery Loss MOSFET D BUCK]]+Table1[[#This Row],[Reverse Recovery Loss MOSFET D BOOST]]</f>
        <v>5.1224748715386745</v>
      </c>
      <c r="BR35" s="354">
        <f>Table1[[#This Row],[Total Control Bu MOSFET Loss]]+Table1[[#This Row],[Reverse Recovery Loss MOSFET D BUCK]]*0.66</f>
        <v>3.5080658211857298</v>
      </c>
      <c r="BS35" s="354">
        <f>Table1[[#This Row],[Total Sync Bu MOSFET Loss]]+Table1[[#This Row],[Reverse Recovery Loss MOSFET D BUCK]]*0.33</f>
        <v>0.89976371496801433</v>
      </c>
      <c r="BT35" s="354">
        <f xml:space="preserve"> Table1[[#This Row],[Total Control Bo MOSFET Loss]]+Table1[[#This Row],[Reverse Recovery Loss MOSFET D BOOST]]*0.66</f>
        <v>0</v>
      </c>
      <c r="BU35" s="354">
        <f xml:space="preserve"> Table1[[#This Row],[Total Sync Bo MOSFET Loss]]+Table1[[#This Row],[Reverse Recovery Loss MOSFET D BOOST]]*0.33</f>
        <v>0.71203298338493093</v>
      </c>
      <c r="BV35" s="354">
        <f>Table1[[#This Row],[Isense Shunt Loss]]</f>
        <v>0.11762033543073909</v>
      </c>
      <c r="CA35">
        <v>9.9986049999999995</v>
      </c>
      <c r="CB35">
        <v>1.0528999999999999</v>
      </c>
      <c r="CC35">
        <v>5.1218219999999999</v>
      </c>
      <c r="CD35">
        <v>92.889938966292178</v>
      </c>
      <c r="CE35">
        <v>412.77762981700039</v>
      </c>
    </row>
    <row r="36" spans="1:83" x14ac:dyDescent="0.2">
      <c r="A36" s="24" t="s">
        <v>725</v>
      </c>
      <c r="B36" s="15" t="s">
        <v>113</v>
      </c>
      <c r="C36" s="24" t="s">
        <v>80</v>
      </c>
      <c r="D36" s="17" t="s">
        <v>109</v>
      </c>
      <c r="G36">
        <v>27</v>
      </c>
      <c r="H36" s="555">
        <f>VIN_min+(VIN_max-VIN_min)*(Table1[[#This Row],[Step]]/200)</f>
        <v>21.89</v>
      </c>
      <c r="I36" s="4" t="str">
        <f>IF(Mode = 2,IF(Table1[[#This Row],[Vin]]&gt;Vout, "BUCK","BOOST"),IF(Table1[[#This Row],[Vin]]&gt;VIN_BB_to_buck, "BUCK", IF(Table1[[#This Row],[Vin]]&lt;=VIN_boost_to_BB,"BOOST","BUCK-BST")))</f>
        <v>BUCK</v>
      </c>
      <c r="J36">
        <f>IF(Table1[[#This Row],[Mode]]="BOOST",2, IF(Table1[[#This Row],[Mode]]="BUCK", 1,3))</f>
        <v>1</v>
      </c>
      <c r="K36">
        <f t="shared" si="0"/>
        <v>12</v>
      </c>
      <c r="L36" s="4">
        <f>Vout*Table1[[#This Row],[Iout]]/(Table1[[#This Row],[Vin]]*Efficiency)</f>
        <v>8.4248996177057531</v>
      </c>
      <c r="M36" s="711">
        <f>MIN(1/Fsw,CHOOSE(Table1[[#This Row],[Mode Digit]],(Vout+(Rdson2+Rs+Rdcr)*Table1[[#This Row],[Iout]])/(Table1[[#This Row],[Vin]]+(Rs+Rdson2-Rdson1)*Table1[[#This Row],[Iout]])/Fsw,(Vout+(Rdson3+Rdcr)*Table1[[#This Row],[Iin]]-Table1[[#This Row],[Vin]])/(Vout+(Rdson3-Rdson4-Rs)*Table1[[#This Row],[Iin]])/Fsw,t1_Ph_II))</f>
        <v>1.1215024330900242E-6</v>
      </c>
      <c r="N36" s="602">
        <f>CHOOSE(Table1[[#This Row],[Mode Digit]],1/Fsw-Table1[[#This Row],[t1_Ph_II]],1/Fsw-Table1[[#This Row],[t1_Ph_II]],(Vout/Fsw-Table1[[#This Row],[Vin]]*t1_Ph_II)/(Table1[[#This Row],[Vin]]+Vout))</f>
        <v>5.451642335766425E-7</v>
      </c>
      <c r="O36" s="602">
        <f>1/Fsw-(Table1[[#This Row],[t1_Ph_II]]+Table1[[#This Row],[t2_Ph_I]])</f>
        <v>0</v>
      </c>
      <c r="P3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10.451561981585932</v>
      </c>
      <c r="Q36" s="4">
        <f>CHOOSE(Table1[[#This Row],[Mode Digit]],Table1[[#This Row],[I_0]]+1/Lf*(Table1[[#This Row],[Vin]]-Vout)*Table1[[#This Row],[t1_Ph_II]],Table1[[#This Row],[I_0]]+1/Lf*Table1[[#This Row],[Vin]]*Table1[[#This Row],[t1_Ph_II]],Table1[[#This Row],[I_0]]+(Table1[[#This Row],[Vin]]-Vout)/L*Table1[[#This Row],[t1_Ph_II]])</f>
        <v>13.548438018414068</v>
      </c>
      <c r="R36" s="4">
        <f>CHOOSE(Table1[[#This Row],[Mode Digit]],0,0,Table1[[#This Row],[I_1]]+Table1[[#This Row],[Vin]]/L*Table1[[#This Row],[t2_Ph_I]])</f>
        <v>0</v>
      </c>
      <c r="S36" s="4">
        <f>Fsw*(Table1[[#This Row],[I_0]]*Table1[[#This Row],[t1_Ph_II]]+Table1[[#This Row],[I_1]]*Table1[[#This Row],[t2_Ph_I]]+Table1[[#This Row],[I_2]]*Table1[[#This Row],[t3_Ph_III]])</f>
        <v>11.464545612245502</v>
      </c>
      <c r="T36" s="354">
        <f>MIN(1,CHOOSE(Table1[[#This Row],[Mode Digit]],(Vout+(Rdson2+Rs+Rdcr)*Table1[[#This Row],[Iout]])/(Table1[[#This Row],[Vin]]+(Rs+Rdson2-Rdson1)*Table1[[#This Row],[Iout]]),1,Fsw*Table1[[#This Row],[t2_Ph_I]]+Table1[[#This Row],[t1_Ph_II]]))</f>
        <v>0.67290145985401451</v>
      </c>
      <c r="U36" s="354">
        <f>MIN(1,CHOOSE(Table1[[#This Row],[Mode Digit]],0,(Vout+(Rdson3+Rdcr)*Table1[[#This Row],[Iin]]-Table1[[#This Row],[Vin]])/(Vout+(Rdson3-Rdson4-Rs)*Table1[[#This Row],[Iin]]),Fsw*Table1[[#This Row],[t1_Ph_II]]+Table1[[#This Row],[t3_Ph_III]]))</f>
        <v>0</v>
      </c>
      <c r="V36" s="4">
        <f>MAX(Table1[[#This Row],[I_0]:[I_2]])-MIN(Table1[[#This Row],[I_0]:[I_1]])</f>
        <v>3.0968760368281352</v>
      </c>
      <c r="W3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12.033254759164567</v>
      </c>
      <c r="X36" s="354">
        <f>(Table1[[#This Row],[Irms Lf]]^2*Rdcr*(1+Ltc*Ta-Ltc*25))/(1-Table1[[#This Row],[Irms Lf]]^2*Rdcr*Ltc*ThetaCa)</f>
        <v>0.90032550021771052</v>
      </c>
      <c r="Y36" s="354">
        <f>ABS(7.759*10^-3*Fsw^0.9458*(0.00787*Table1[[#This Row],[Ripple Current pk-pk]])^2.304)</f>
        <v>0.43470583801952623</v>
      </c>
      <c r="Z36" s="354">
        <f>Table1[[#This Row],[DCR    Loss]]+Table1[[#This Row],[Core Loss]]</f>
        <v>1.3350313382372367</v>
      </c>
      <c r="AA36" s="4">
        <f>IF(Table1[[#This Row],[Vin]]&gt;Vout, Table1[[#This Row],[Ripple Current pk-pk]]/SQRT(12), SQRT(Table1[[#This Row],[Duty Cycle BOOST Leg]]/(1-Table1[[#This Row],[Duty Cycle BOOST Leg]]))*SQRT(Table1[[#This Row],[Iout]]^2+(Table1[[#This Row],[Ripple Current pk-pk]]^2)/12))</f>
        <v>0.89399110675481264</v>
      </c>
      <c r="AB36" s="354">
        <f>RCoutEsr*Table1[[#This Row],[Irms Cout]]^2</f>
        <v>3.9961004947834736E-3</v>
      </c>
      <c r="AC36" s="354">
        <f>Table1[[#This Row],[Cout ESR Loss]]</f>
        <v>3.9961004947834736E-3</v>
      </c>
      <c r="AD36" s="354">
        <f>IF(Table1[[#This Row],[Vin]]&gt;Vout, SQRT(Table1[[#This Row],[Duty Cycle BUCK Leg]]*(1-Table1[[#This Row],[Duty Cycle BUCK Leg]]))*SQRT(Table1[[#This Row],[Iout]]^2+(Table1[[#This Row],[Ripple Current pk-pk]]^2)/12), Table1[[#This Row],[Ripple Current pk-pk]]/SQRT(12))</f>
        <v>5.6454445948861451</v>
      </c>
      <c r="AE36" s="354">
        <f>RCinEsr*Table1[[#This Row],[Irms Cin]]^2</f>
        <v>6.3742089347858383E-2</v>
      </c>
      <c r="AF36" s="549">
        <f>Table1[[#This Row],[Cin ESR Loss]]</f>
        <v>6.3742089347858383E-2</v>
      </c>
      <c r="AG3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9.8709476034629375</v>
      </c>
      <c r="AH36" s="354">
        <f>Rdson1*Table1[[#This Row],[Irms BuCtrl]]^2</f>
        <v>0.40922954767930503</v>
      </c>
      <c r="AI36" s="354">
        <f>CHOOSE(Table1[[#This Row],[Mode Digit]], (Table1[[#This Row],[Vin]]*Table1[[#This Row],[Iout]]/2)*(Fsw)*(Tr_buck+Tf_buck), 0, (Table1[[#This Row],[Vin]]*Table1[[#This Row],[Avg IL]]/2)*(Fsw/1)*(Tr_buck+Tf_buck))</f>
        <v>2.6048312685390993</v>
      </c>
      <c r="AJ36">
        <f>IF(Table1[[#This Row],[Vin]]&gt;Vout, IF(Table1[[#This Row],[Iout]]&gt;Table1[[#This Row],[Ripple Current pk-pk]]/2,0,ABS(Table1[[#This Row],[Iout]]-Table1[[#This Row],[Ripple Current pk-pk]]/2)*Vsd_Q1*Deadtime*Fsw),0)</f>
        <v>0</v>
      </c>
      <c r="AK36" s="354">
        <f>(Table1[[#This Row],[Dead Time Loss BuCtrl]]+Table1[[#This Row],[Transition Loss BuCtrl]]+Table1[[#This Row],[RDS(on) Loss BuCtrl]]*(1+RdsonTopTc*Ta-RdsonTopTc*25))/(1-Table1[[#This Row],[RDS(on) Loss BuCtrl]]*RdsonTopTc*ThetaJA_Q1)</f>
        <v>3.3423278518172301</v>
      </c>
      <c r="AL36" s="354">
        <f>CHOOSE(Table1[[#This Row],[Mode Digit]],SQRT((Fsw*(Table1[[#This Row],[t2_Ph_I]]+0))*((Table1[[#This Row],[I_0]]*Table1[[#This Row],[I_1]]+((Table1[[#This Row],[I_0]]-Table1[[#This Row],[I_1]])^2)/3))),0,SQRT((Fsw*(Table1[[#This Row],[t3_Ph_III]]+0))*((Table1[[#This Row],[I_0]]*Table1[[#This Row],[I_2]]+((Table1[[#This Row],[I_0]]-Table1[[#This Row],[I_2]])^2)/3))))</f>
        <v>6.8821227472812474</v>
      </c>
      <c r="AM36" s="354">
        <f>Rdson2*Table1[[#This Row],[Irms BuSync]]^2</f>
        <v>0.19892717673631316</v>
      </c>
      <c r="AN3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6" s="354">
        <f>(Table1[[#This Row],[Deadtime Loss BuSync]]+Table1[[#This Row],[RDS(on) Loss BuSync]]*(1+RdsonBotTc*Ta-RdsonBotTc*25))/(1-Table1[[#This Row],[RDS(on) Loss BuSync]]*RdsonBotTc*ThetaJA_Q2)</f>
        <v>0.81521922755376441</v>
      </c>
      <c r="AP36" s="354">
        <f>CHOOSE(Table1[[#This Row],[Mode Digit]],0,SQRT((Fsw*(Table1[[#This Row],[t1_Ph_II]]+0))*((Table1[[#This Row],[I_0]]*Table1[[#This Row],[I_1]]+((Table1[[#This Row],[I_0]]-Table1[[#This Row],[I_1]])^2)/3))),SQRT((Fsw*(Table1[[#This Row],[t2_Ph_I]]+0))*((Table1[[#This Row],[I_1]]*Table1[[#This Row],[I_2]]+((Table1[[#This Row],[I_1]]-Table1[[#This Row],[I_2]])^2)/3))))</f>
        <v>0</v>
      </c>
      <c r="AQ36" s="354">
        <f>Rdson4*Table1[[#This Row],[Irms BoCtlr]]^2</f>
        <v>0</v>
      </c>
      <c r="AR36" s="354">
        <f>CHOOSE(Table1[[#This Row],[Mode Digit]], 0, (Vout*Table1[[#This Row],[Iin]]/2)*(Fsw)*(Tr_boost+Tf_boost), (Vout*Iout/2)*(Fsw/1)*(Tr_boost+Tf_boost))</f>
        <v>0</v>
      </c>
      <c r="AS36">
        <f>IF(Table1[[#This Row],[Vin]]&gt;Vout, 0, IF(Table1[[#This Row],[Iin]]&gt;Table1[[#This Row],[Ripple Current pk-pk]]/2,0,ABS(Table1[[#This Row],[Iin]]-Table1[[#This Row],[Ripple Current pk-pk]]/2)*Vsd_Q4*Deadtime*Fsw))</f>
        <v>0</v>
      </c>
      <c r="AT36" s="354">
        <f>(Table1[[#This Row],[Dead Time Loss BoCtlr]]+Table1[[#This Row],[Transition Loss BoCtlr]]+Table1[[#This Row],[RDS(on) Loss BoCtlr]]*(1+RdsonTopTc*Ta-RdsonTopTc*25))/(1-Table1[[#This Row],[RDS(on) Loss BoCtlr]]*RdsonTopTc*ThetaJA_Q4)</f>
        <v>0</v>
      </c>
      <c r="AU3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12.033254759164567</v>
      </c>
      <c r="AV36" s="354">
        <f>Rdson3*Table1[[#This Row],[Irms BoSync]]^2</f>
        <v>0.6081567244156183</v>
      </c>
      <c r="AW3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6" s="354">
        <f>(Table1[[#This Row],[Deadtime Loss BoSync]]+Table1[[#This Row],[RDS(on) Loss BoSync]]*(1+RdsonBotTc*Ta-RdsonBotTc*25))/(1-Table1[[#This Row],[RDS(on) Loss BoSync]]*RdsonBotTc*ThetaJA_Q3)</f>
        <v>0.71209196906972516</v>
      </c>
      <c r="AY36" s="354">
        <f>CHOOSE(Table1[[#This Row],[Mode Digit]], Rdson3*Table1[[#This Row],[Irms Lf]]^2, Rdson1*Table1[[#This Row],[Irms Lf]]^2, 0)</f>
        <v>0.6081567244156183</v>
      </c>
      <c r="AZ36" s="354">
        <f>CHOOSE(Table1[[#This Row],[Mode Digit]], 2*Deadtime*Fsw*IF(VfdSky_Q2&gt;0,VfdSky_Q2,0)*Table1[[#This Row],[Iout]], 2*Deadtime*Fsw*IF(VfdSky_Q3&gt;0,VfdSky_Q3,0)*Table1[[#This Row],[Iin]], 2*Deadtime*Fsw*IF(VfdSky_Q2&gt;0,VfdSky_Q2,0)*Table1[[#This Row],[Iout]]+2*Deadtime*Fsw*IF(VfdSky_Q3&gt;0,VfdSky_Q3,0)*Table1[[#This Row],[Iin]])</f>
        <v>0</v>
      </c>
      <c r="BA36" s="354">
        <f>CHOOSE(Table1[[#This Row],[Mode Digit]], IF(QrrSky_Q2&gt;0,QrrSky_Q2,Qrr_Q2)*Fsw*(Table1[[#This Row],[Vin]]-Table1[[#This Row],[Iout]]*Rdson1),0,  IF(QrrSky_Q2&gt;0,QrrSky_Q2,Qrr_Q2)*Fsw*(Table1[[#This Row],[Vin]]-Table1[[#This Row],[Iout]]*Rdson1)+IF(QrrSky_Q3&gt;0,QrrSky_Q3,Qrr_Q3)*Fsw*Vout)</f>
        <v>0.26207520000000001</v>
      </c>
      <c r="BB36" s="354">
        <f>CHOOSE(Table1[[#This Row],[Mode Digit]],0, IF(QrrSky_Q3&gt;0,QrrSky_Q3,Qrr_Q3)*Fsw*Vout,  IF(QrrSky_Q2&gt;0,QrrSky_Q2,Qrr_Q2)*Fsw*(Table1[[#This Row],[Vin]]-Table1[[#This Row],[Iout]]*Rdson1)+IF(QrrSky_Q3&gt;0,QrrSky_Q3,Qrr_Q3)*Fsw*Vout)</f>
        <v>0</v>
      </c>
      <c r="BC36" s="354">
        <f>CHOOSE(Table1[[#This Row],[Mode Digit]], Rs*Table1[[#This Row],[Irms BuSync]]^2, Rs*Table1[[#This Row],[Irms BoCtlr]]^2, Rs*(Table1[[#This Row],[Irms BuSync]]^2+Table1[[#This Row],[Irms BoCtlr]]^2))</f>
        <v>0.11840903377161496</v>
      </c>
      <c r="BD36" s="354">
        <f t="shared" si="1"/>
        <v>1.44</v>
      </c>
      <c r="BE36" s="354">
        <f>IF(Vout&gt;8, Iq*Vout, Iq*Table1[[#This Row],[Vin]])</f>
        <v>4.3799999999999999E-2</v>
      </c>
      <c r="BF36" s="354">
        <f>CHOOSE(Table1[[#This Row],[Mode Digit]], (Qg_Q1+Qg_Q2)*Fsw, (Qg_Q3+Qg_Q4)*Fsw, (Qg_Q1+Qg_Q2+Qg_Q3+Qg_Q4)*Fsw)*IF(Vout&gt;8, Vout, Table1[[#This Row],[Vin]])</f>
        <v>0.47303999999999996</v>
      </c>
      <c r="BG36" s="354">
        <f t="shared" si="2"/>
        <v>0.57269042016806726</v>
      </c>
      <c r="BH36" s="354">
        <f>Table1[[#This Row],[IQ Loss]]+Table1[[#This Row],[Switching Current Loss]]</f>
        <v>0.51683999999999997</v>
      </c>
      <c r="BI3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8.609732810292213</v>
      </c>
      <c r="BJ36">
        <f>Vout*Table1[[#This Row],[Iout]]</f>
        <v>175.2</v>
      </c>
      <c r="BK36" s="550">
        <f>Table1[[#This Row],[Pout]]/(Table1[[#This Row],[Pout]]+Table1[[#This Row],[Total Loss]])</f>
        <v>0.95315953797083097</v>
      </c>
      <c r="BL3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200.5396711090338</v>
      </c>
      <c r="BM36" s="559">
        <f>IF(Table1[[#This Row],[Vin]]&gt;Vout, Table1[[#This Row],[Total Sync Bu MOSFET Loss]]*ThetaJA_Q2, ThetaJA_Q3*Table1[[#This Row],[Total Sync Bo MOSFET Loss]])</f>
        <v>48.913153653225862</v>
      </c>
      <c r="BN36" s="9"/>
      <c r="BO36" s="4">
        <f>Table1[[#This Row],[EFF, h]]*100</f>
        <v>95.315953797083097</v>
      </c>
      <c r="BP36" s="354">
        <f>Table1[[#This Row],[Total Inductor Loss]]</f>
        <v>1.3350313382372367</v>
      </c>
      <c r="BQ36" s="354">
        <f>Table1[[#This Row],[Total Control Bu MOSFET Loss]]+Table1[[#This Row],[Total Sync Bu MOSFET Loss]]+Table1[[#This Row],[Total Control Bo MOSFET Loss]]+Table1[[#This Row],[Total Sync Bo MOSFET Loss]]+Table1[[#This Row],[Reverse Recovery Loss MOSFET D BUCK]]+Table1[[#This Row],[Reverse Recovery Loss MOSFET D BOOST]]</f>
        <v>5.1317142484407192</v>
      </c>
      <c r="BR36" s="354">
        <f>Table1[[#This Row],[Total Control Bu MOSFET Loss]]+Table1[[#This Row],[Reverse Recovery Loss MOSFET D BUCK]]*0.66</f>
        <v>3.5152974838172302</v>
      </c>
      <c r="BS36" s="354">
        <f>Table1[[#This Row],[Total Sync Bu MOSFET Loss]]+Table1[[#This Row],[Reverse Recovery Loss MOSFET D BUCK]]*0.33</f>
        <v>0.90170404355376443</v>
      </c>
      <c r="BT36" s="354">
        <f xml:space="preserve"> Table1[[#This Row],[Total Control Bo MOSFET Loss]]+Table1[[#This Row],[Reverse Recovery Loss MOSFET D BOOST]]*0.66</f>
        <v>0</v>
      </c>
      <c r="BU36" s="354">
        <f xml:space="preserve"> Table1[[#This Row],[Total Sync Bo MOSFET Loss]]+Table1[[#This Row],[Reverse Recovery Loss MOSFET D BOOST]]*0.33</f>
        <v>0.71209196906972516</v>
      </c>
      <c r="BV36" s="354">
        <f>Table1[[#This Row],[Isense Shunt Loss]]</f>
        <v>0.11840903377161496</v>
      </c>
      <c r="CA36">
        <v>9.9986669999999993</v>
      </c>
      <c r="CB36">
        <v>1.3092999999999999</v>
      </c>
      <c r="CC36">
        <v>5.1195649999999997</v>
      </c>
      <c r="CD36">
        <v>93.690364214923264</v>
      </c>
      <c r="CE36">
        <v>451.42072788069993</v>
      </c>
    </row>
    <row r="37" spans="1:83" x14ac:dyDescent="0.2">
      <c r="A37" s="23" t="s">
        <v>75</v>
      </c>
      <c r="B37" s="5">
        <f>Rdson1*1000</f>
        <v>4.2</v>
      </c>
      <c r="C37" s="442" t="s">
        <v>638</v>
      </c>
      <c r="D37" s="440" t="s">
        <v>728</v>
      </c>
      <c r="G37">
        <v>28</v>
      </c>
      <c r="H37" s="555">
        <f>VIN_min+(VIN_max-VIN_min)*(Table1[[#This Row],[Step]]/200)</f>
        <v>21.96</v>
      </c>
      <c r="I37" s="4" t="str">
        <f>IF(Mode = 2,IF(Table1[[#This Row],[Vin]]&gt;Vout, "BUCK","BOOST"),IF(Table1[[#This Row],[Vin]]&gt;VIN_BB_to_buck, "BUCK", IF(Table1[[#This Row],[Vin]]&lt;=VIN_boost_to_BB,"BOOST","BUCK-BST")))</f>
        <v>BUCK</v>
      </c>
      <c r="J37">
        <f>IF(Table1[[#This Row],[Mode]]="BOOST",2, IF(Table1[[#This Row],[Mode]]="BUCK", 1,3))</f>
        <v>1</v>
      </c>
      <c r="K37">
        <f t="shared" si="0"/>
        <v>12</v>
      </c>
      <c r="L37" s="4">
        <f>Vout*Table1[[#This Row],[Iout]]/(Table1[[#This Row],[Vin]]*Efficiency)</f>
        <v>8.3980442910555073</v>
      </c>
      <c r="M37" s="711">
        <f>MIN(1/Fsw,CHOOSE(Table1[[#This Row],[Mode Digit]],(Vout+(Rdson2+Rs+Rdcr)*Table1[[#This Row],[Iout]])/(Table1[[#This Row],[Vin]]+(Rs+Rdson2-Rdson1)*Table1[[#This Row],[Iout]])/Fsw,(Vout+(Rdson3+Rdcr)*Table1[[#This Row],[Iin]]-Table1[[#This Row],[Vin]])/(Vout+(Rdson3-Rdson4-Rs)*Table1[[#This Row],[Iin]])/Fsw,t1_Ph_II))</f>
        <v>1.1179323935122025E-6</v>
      </c>
      <c r="N37" s="602">
        <f>CHOOSE(Table1[[#This Row],[Mode Digit]],1/Fsw-Table1[[#This Row],[t1_Ph_II]],1/Fsw-Table1[[#This Row],[t1_Ph_II]],(Vout/Fsw-Table1[[#This Row],[Vin]]*t1_Ph_II)/(Table1[[#This Row],[Vin]]+Vout))</f>
        <v>5.4873427315446414E-7</v>
      </c>
      <c r="O37" s="602">
        <f>1/Fsw-(Table1[[#This Row],[t1_Ph_II]]+Table1[[#This Row],[t2_Ph_I]])</f>
        <v>0</v>
      </c>
      <c r="P3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10.441669996922384</v>
      </c>
      <c r="Q37" s="4">
        <f>CHOOSE(Table1[[#This Row],[Mode Digit]],Table1[[#This Row],[I_0]]+1/Lf*(Table1[[#This Row],[Vin]]-Vout)*Table1[[#This Row],[t1_Ph_II]],Table1[[#This Row],[I_0]]+1/Lf*Table1[[#This Row],[Vin]]*Table1[[#This Row],[t1_Ph_II]],Table1[[#This Row],[I_0]]+(Table1[[#This Row],[Vin]]-Vout)/L*Table1[[#This Row],[t1_Ph_II]])</f>
        <v>13.558330003077616</v>
      </c>
      <c r="R37" s="4">
        <f>CHOOSE(Table1[[#This Row],[Mode Digit]],0,0,Table1[[#This Row],[I_1]]+Table1[[#This Row],[Vin]]/L*Table1[[#This Row],[t2_Ph_I]])</f>
        <v>0</v>
      </c>
      <c r="S37" s="4">
        <f>Fsw*(Table1[[#This Row],[I_0]]*Table1[[#This Row],[t1_Ph_II]]+Table1[[#This Row],[I_1]]*Table1[[#This Row],[t2_Ph_I]]+Table1[[#This Row],[I_2]]*Table1[[#This Row],[t3_Ph_III]])</f>
        <v>11.467800894810692</v>
      </c>
      <c r="T37" s="354">
        <f>MIN(1,CHOOSE(Table1[[#This Row],[Mode Digit]],(Vout+(Rdson2+Rs+Rdcr)*Table1[[#This Row],[Iout]])/(Table1[[#This Row],[Vin]]+(Rs+Rdson2-Rdson1)*Table1[[#This Row],[Iout]]),1,Fsw*Table1[[#This Row],[t2_Ph_I]]+Table1[[#This Row],[t1_Ph_II]]))</f>
        <v>0.67075943610732147</v>
      </c>
      <c r="U37" s="354">
        <f>MIN(1,CHOOSE(Table1[[#This Row],[Mode Digit]],0,(Vout+(Rdson3+Rdcr)*Table1[[#This Row],[Iin]]-Table1[[#This Row],[Vin]])/(Vout+(Rdson3-Rdson4-Rs)*Table1[[#This Row],[Iin]]),Fsw*Table1[[#This Row],[t1_Ph_II]]+Table1[[#This Row],[t3_Ph_III]]))</f>
        <v>0</v>
      </c>
      <c r="V37" s="4">
        <f>MAX(Table1[[#This Row],[I_0]:[I_2]])-MIN(Table1[[#This Row],[I_0]:[I_1]])</f>
        <v>3.1166600061552323</v>
      </c>
      <c r="W3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12.03368040679287</v>
      </c>
      <c r="X37" s="354">
        <f>(Table1[[#This Row],[Irms Lf]]^2*Rdcr*(1+Ltc*Ta-Ltc*25))/(1-Table1[[#This Row],[Irms Lf]]^2*Rdcr*Ltc*ThetaCa)</f>
        <v>0.90039378310581708</v>
      </c>
      <c r="Y37" s="354">
        <f>ABS(7.759*10^-3*Fsw^0.9458*(0.00787*Table1[[#This Row],[Ripple Current pk-pk]])^2.304)</f>
        <v>0.44113084927661728</v>
      </c>
      <c r="Z37" s="354">
        <f>Table1[[#This Row],[DCR    Loss]]+Table1[[#This Row],[Core Loss]]</f>
        <v>1.3415246323824344</v>
      </c>
      <c r="AA37" s="4">
        <f>IF(Table1[[#This Row],[Vin]]&gt;Vout, Table1[[#This Row],[Ripple Current pk-pk]]/SQRT(12), SQRT(Table1[[#This Row],[Duty Cycle BOOST Leg]]/(1-Table1[[#This Row],[Duty Cycle BOOST Leg]]))*SQRT(Table1[[#This Row],[Iout]]^2+(Table1[[#This Row],[Ripple Current pk-pk]]^2)/12))</f>
        <v>0.89970224676313204</v>
      </c>
      <c r="AB37" s="354">
        <f>RCoutEsr*Table1[[#This Row],[Irms Cout]]^2</f>
        <v>4.0473206641531388E-3</v>
      </c>
      <c r="AC37" s="354">
        <f>Table1[[#This Row],[Cout ESR Loss]]</f>
        <v>4.0473206641531388E-3</v>
      </c>
      <c r="AD37" s="354">
        <f>IF(Table1[[#This Row],[Vin]]&gt;Vout, SQRT(Table1[[#This Row],[Duty Cycle BUCK Leg]]*(1-Table1[[#This Row],[Duty Cycle BUCK Leg]]))*SQRT(Table1[[#This Row],[Iout]]^2+(Table1[[#This Row],[Ripple Current pk-pk]]^2)/12), Table1[[#This Row],[Ripple Current pk-pk]]/SQRT(12))</f>
        <v>5.6550771877793045</v>
      </c>
      <c r="AE37" s="354">
        <f>RCinEsr*Table1[[#This Row],[Irms Cin]]^2</f>
        <v>6.3959795999483773E-2</v>
      </c>
      <c r="AF37" s="549">
        <f>Table1[[#This Row],[Cin ESR Loss]]</f>
        <v>6.3959795999483773E-2</v>
      </c>
      <c r="AG3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9.8555727639108248</v>
      </c>
      <c r="AH37" s="354">
        <f>Rdson1*Table1[[#This Row],[Irms BuCtrl]]^2</f>
        <v>0.40795572091991167</v>
      </c>
      <c r="AI37" s="354">
        <f>CHOOSE(Table1[[#This Row],[Mode Digit]], (Table1[[#This Row],[Vin]]*Table1[[#This Row],[Iout]]/2)*(Fsw)*(Tr_buck+Tf_buck), 0, (Table1[[#This Row],[Vin]]*Table1[[#This Row],[Avg IL]]/2)*(Fsw/1)*(Tr_buck+Tf_buck))</f>
        <v>2.6131610167710653</v>
      </c>
      <c r="AJ37">
        <f>IF(Table1[[#This Row],[Vin]]&gt;Vout, IF(Table1[[#This Row],[Iout]]&gt;Table1[[#This Row],[Ripple Current pk-pk]]/2,0,ABS(Table1[[#This Row],[Iout]]-Table1[[#This Row],[Ripple Current pk-pk]]/2)*Vsd_Q1*Deadtime*Fsw),0)</f>
        <v>0</v>
      </c>
      <c r="AK37" s="354">
        <f>(Table1[[#This Row],[Dead Time Loss BuCtrl]]+Table1[[#This Row],[Transition Loss BuCtrl]]+Table1[[#This Row],[RDS(on) Loss BuCtrl]]*(1+RdsonTopTc*Ta-RdsonTopTc*25))/(1-Table1[[#This Row],[RDS(on) Loss BuCtrl]]*RdsonTopTc*ThetaJA_Q1)</f>
        <v>3.3490168807180889</v>
      </c>
      <c r="AL37" s="354">
        <f>CHOOSE(Table1[[#This Row],[Mode Digit]],SQRT((Fsw*(Table1[[#This Row],[t2_Ph_I]]+0))*((Table1[[#This Row],[I_0]]*Table1[[#This Row],[I_1]]+((Table1[[#This Row],[I_0]]-Table1[[#This Row],[I_1]])^2)/3))),0,SQRT((Fsw*(Table1[[#This Row],[t3_Ph_III]]+0))*((Table1[[#This Row],[I_0]]*Table1[[#This Row],[I_2]]+((Table1[[#This Row],[I_0]]-Table1[[#This Row],[I_2]])^2)/3))))</f>
        <v>6.9048642005538206</v>
      </c>
      <c r="AM37" s="354">
        <f>Rdson2*Table1[[#This Row],[Irms BuSync]]^2</f>
        <v>0.20024402843797698</v>
      </c>
      <c r="AN3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7" s="354">
        <f>(Table1[[#This Row],[Deadtime Loss BuSync]]+Table1[[#This Row],[RDS(on) Loss BuSync]]*(1+RdsonBotTc*Ta-RdsonBotTc*25))/(1-Table1[[#This Row],[RDS(on) Loss BuSync]]*RdsonBotTc*ThetaJA_Q2)</f>
        <v>0.81687321289916603</v>
      </c>
      <c r="AP37" s="354">
        <f>CHOOSE(Table1[[#This Row],[Mode Digit]],0,SQRT((Fsw*(Table1[[#This Row],[t1_Ph_II]]+0))*((Table1[[#This Row],[I_0]]*Table1[[#This Row],[I_1]]+((Table1[[#This Row],[I_0]]-Table1[[#This Row],[I_1]])^2)/3))),SQRT((Fsw*(Table1[[#This Row],[t2_Ph_I]]+0))*((Table1[[#This Row],[I_1]]*Table1[[#This Row],[I_2]]+((Table1[[#This Row],[I_1]]-Table1[[#This Row],[I_2]])^2)/3))))</f>
        <v>0</v>
      </c>
      <c r="AQ37" s="354">
        <f>Rdson4*Table1[[#This Row],[Irms BoCtlr]]^2</f>
        <v>0</v>
      </c>
      <c r="AR37" s="354">
        <f>CHOOSE(Table1[[#This Row],[Mode Digit]], 0, (Vout*Table1[[#This Row],[Iin]]/2)*(Fsw)*(Tr_boost+Tf_boost), (Vout*Iout/2)*(Fsw/1)*(Tr_boost+Tf_boost))</f>
        <v>0</v>
      </c>
      <c r="AS37">
        <f>IF(Table1[[#This Row],[Vin]]&gt;Vout, 0, IF(Table1[[#This Row],[Iin]]&gt;Table1[[#This Row],[Ripple Current pk-pk]]/2,0,ABS(Table1[[#This Row],[Iin]]-Table1[[#This Row],[Ripple Current pk-pk]]/2)*Vsd_Q4*Deadtime*Fsw))</f>
        <v>0</v>
      </c>
      <c r="AT37" s="354">
        <f>(Table1[[#This Row],[Dead Time Loss BoCtlr]]+Table1[[#This Row],[Transition Loss BoCtlr]]+Table1[[#This Row],[RDS(on) Loss BoCtlr]]*(1+RdsonTopTc*Ta-RdsonTopTc*25))/(1-Table1[[#This Row],[RDS(on) Loss BoCtlr]]*RdsonTopTc*ThetaJA_Q4)</f>
        <v>0</v>
      </c>
      <c r="AU3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12.03368040679287</v>
      </c>
      <c r="AV37" s="354">
        <f>Rdson3*Table1[[#This Row],[Irms BoSync]]^2</f>
        <v>0.60819974935788867</v>
      </c>
      <c r="AW3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7" s="354">
        <f>(Table1[[#This Row],[Deadtime Loss BoSync]]+Table1[[#This Row],[RDS(on) Loss BoSync]]*(1+RdsonBotTc*Ta-RdsonBotTc*25))/(1-Table1[[#This Row],[RDS(on) Loss BoSync]]*RdsonBotTc*ThetaJA_Q3)</f>
        <v>0.7121509574806143</v>
      </c>
      <c r="AY37" s="354">
        <f>CHOOSE(Table1[[#This Row],[Mode Digit]], Rdson3*Table1[[#This Row],[Irms Lf]]^2, Rdson1*Table1[[#This Row],[Irms Lf]]^2, 0)</f>
        <v>0.60819974935788867</v>
      </c>
      <c r="AZ37" s="354">
        <f>CHOOSE(Table1[[#This Row],[Mode Digit]], 2*Deadtime*Fsw*IF(VfdSky_Q2&gt;0,VfdSky_Q2,0)*Table1[[#This Row],[Iout]], 2*Deadtime*Fsw*IF(VfdSky_Q3&gt;0,VfdSky_Q3,0)*Table1[[#This Row],[Iin]], 2*Deadtime*Fsw*IF(VfdSky_Q2&gt;0,VfdSky_Q2,0)*Table1[[#This Row],[Iout]]+2*Deadtime*Fsw*IF(VfdSky_Q3&gt;0,VfdSky_Q3,0)*Table1[[#This Row],[Iin]])</f>
        <v>0</v>
      </c>
      <c r="BA37" s="354">
        <f>CHOOSE(Table1[[#This Row],[Mode Digit]], IF(QrrSky_Q2&gt;0,QrrSky_Q2,Qrr_Q2)*Fsw*(Table1[[#This Row],[Vin]]-Table1[[#This Row],[Iout]]*Rdson1),0,  IF(QrrSky_Q2&gt;0,QrrSky_Q2,Qrr_Q2)*Fsw*(Table1[[#This Row],[Vin]]-Table1[[#This Row],[Iout]]*Rdson1)+IF(QrrSky_Q3&gt;0,QrrSky_Q3,Qrr_Q3)*Fsw*Vout)</f>
        <v>0.26291520000000002</v>
      </c>
      <c r="BB37" s="354">
        <f>CHOOSE(Table1[[#This Row],[Mode Digit]],0, IF(QrrSky_Q3&gt;0,QrrSky_Q3,Qrr_Q3)*Fsw*Vout,  IF(QrrSky_Q2&gt;0,QrrSky_Q2,Qrr_Q2)*Fsw*(Table1[[#This Row],[Vin]]-Table1[[#This Row],[Iout]]*Rdson1)+IF(QrrSky_Q3&gt;0,QrrSky_Q3,Qrr_Q3)*Fsw*Vout)</f>
        <v>0</v>
      </c>
      <c r="BC37" s="354">
        <f>CHOOSE(Table1[[#This Row],[Mode Digit]], Rs*Table1[[#This Row],[Irms BuSync]]^2, Rs*Table1[[#This Row],[Irms BoCtlr]]^2, Rs*(Table1[[#This Row],[Irms BuSync]]^2+Table1[[#This Row],[Irms BoCtlr]]^2))</f>
        <v>0.11919287407022439</v>
      </c>
      <c r="BD37" s="354">
        <f t="shared" si="1"/>
        <v>1.44</v>
      </c>
      <c r="BE37" s="354">
        <f>IF(Vout&gt;8, Iq*Vout, Iq*Table1[[#This Row],[Vin]])</f>
        <v>4.3799999999999999E-2</v>
      </c>
      <c r="BF37" s="354">
        <f>CHOOSE(Table1[[#This Row],[Mode Digit]], (Qg_Q1+Qg_Q2)*Fsw, (Qg_Q3+Qg_Q4)*Fsw, (Qg_Q1+Qg_Q2+Qg_Q3+Qg_Q4)*Fsw)*IF(Vout&gt;8, Vout, Table1[[#This Row],[Vin]])</f>
        <v>0.47303999999999996</v>
      </c>
      <c r="BG37" s="354">
        <f t="shared" si="2"/>
        <v>0.57269042016806726</v>
      </c>
      <c r="BH37" s="354">
        <f>Table1[[#This Row],[IQ Loss]]+Table1[[#This Row],[Switching Current Loss]]</f>
        <v>0.51683999999999997</v>
      </c>
      <c r="BI3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8.6265208742141652</v>
      </c>
      <c r="BJ37">
        <f>Vout*Table1[[#This Row],[Iout]]</f>
        <v>175.2</v>
      </c>
      <c r="BK37" s="550">
        <f>Table1[[#This Row],[Pout]]/(Table1[[#This Row],[Pout]]+Table1[[#This Row],[Total Loss]])</f>
        <v>0.9530724901217219</v>
      </c>
      <c r="BL3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200.94101284308533</v>
      </c>
      <c r="BM37" s="559">
        <f>IF(Table1[[#This Row],[Vin]]&gt;Vout, Table1[[#This Row],[Total Sync Bu MOSFET Loss]]*ThetaJA_Q2, ThetaJA_Q3*Table1[[#This Row],[Total Sync Bo MOSFET Loss]])</f>
        <v>49.012392773949962</v>
      </c>
      <c r="BN37" s="9"/>
      <c r="BO37" s="4">
        <f>Table1[[#This Row],[EFF, h]]*100</f>
        <v>95.307249012172193</v>
      </c>
      <c r="BP37" s="354">
        <f>Table1[[#This Row],[Total Inductor Loss]]</f>
        <v>1.3415246323824344</v>
      </c>
      <c r="BQ37" s="354">
        <f>Table1[[#This Row],[Total Control Bu MOSFET Loss]]+Table1[[#This Row],[Total Sync Bu MOSFET Loss]]+Table1[[#This Row],[Total Control Bo MOSFET Loss]]+Table1[[#This Row],[Total Sync Bo MOSFET Loss]]+Table1[[#This Row],[Reverse Recovery Loss MOSFET D BUCK]]+Table1[[#This Row],[Reverse Recovery Loss MOSFET D BOOST]]</f>
        <v>5.1409562510978697</v>
      </c>
      <c r="BR37" s="354">
        <f>Table1[[#This Row],[Total Control Bu MOSFET Loss]]+Table1[[#This Row],[Reverse Recovery Loss MOSFET D BUCK]]*0.66</f>
        <v>3.5225409127180889</v>
      </c>
      <c r="BS37" s="354">
        <f>Table1[[#This Row],[Total Sync Bu MOSFET Loss]]+Table1[[#This Row],[Reverse Recovery Loss MOSFET D BUCK]]*0.33</f>
        <v>0.90363522889916603</v>
      </c>
      <c r="BT37" s="354">
        <f xml:space="preserve"> Table1[[#This Row],[Total Control Bo MOSFET Loss]]+Table1[[#This Row],[Reverse Recovery Loss MOSFET D BOOST]]*0.66</f>
        <v>0</v>
      </c>
      <c r="BU37" s="354">
        <f xml:space="preserve"> Table1[[#This Row],[Total Sync Bo MOSFET Loss]]+Table1[[#This Row],[Reverse Recovery Loss MOSFET D BOOST]]*0.33</f>
        <v>0.7121509574806143</v>
      </c>
      <c r="BV37" s="354">
        <f>Table1[[#This Row],[Isense Shunt Loss]]</f>
        <v>0.11919287407022439</v>
      </c>
      <c r="CA37">
        <v>9.9985429999999997</v>
      </c>
      <c r="CB37">
        <v>1.6020000000000001</v>
      </c>
      <c r="CC37">
        <v>5.1182809999999996</v>
      </c>
      <c r="CD37">
        <v>93.864473327748414</v>
      </c>
      <c r="CE37">
        <v>535.96589716749952</v>
      </c>
    </row>
    <row r="38" spans="1:83" x14ac:dyDescent="0.2">
      <c r="A38" s="22" t="s">
        <v>83</v>
      </c>
      <c r="B38" s="5">
        <f>RdsonTopTc*1000000</f>
        <v>4000</v>
      </c>
      <c r="C38" s="440" t="s">
        <v>85</v>
      </c>
      <c r="D38" s="21" t="s">
        <v>111</v>
      </c>
      <c r="G38">
        <v>29</v>
      </c>
      <c r="H38" s="555">
        <f>VIN_min+(VIN_max-VIN_min)*(Table1[[#This Row],[Step]]/200)</f>
        <v>22.03</v>
      </c>
      <c r="I38" s="4" t="str">
        <f>IF(Mode = 2,IF(Table1[[#This Row],[Vin]]&gt;Vout, "BUCK","BOOST"),IF(Table1[[#This Row],[Vin]]&gt;VIN_BB_to_buck, "BUCK", IF(Table1[[#This Row],[Vin]]&lt;=VIN_boost_to_BB,"BOOST","BUCK-BST")))</f>
        <v>BUCK</v>
      </c>
      <c r="J38">
        <f>IF(Table1[[#This Row],[Mode]]="BOOST",2, IF(Table1[[#This Row],[Mode]]="BUCK", 1,3))</f>
        <v>1</v>
      </c>
      <c r="K38">
        <f t="shared" si="0"/>
        <v>12</v>
      </c>
      <c r="L38" s="4">
        <f>Vout*Table1[[#This Row],[Iout]]/(Table1[[#This Row],[Vin]]*Efficiency)</f>
        <v>8.3713596292137513</v>
      </c>
      <c r="M38" s="711">
        <f>MIN(1/Fsw,CHOOSE(Table1[[#This Row],[Mode Digit]],(Vout+(Rdson2+Rs+Rdcr)*Table1[[#This Row],[Iout]])/(Table1[[#This Row],[Vin]]+(Rs+Rdson2-Rdson1)*Table1[[#This Row],[Iout]])/Fsw,(Vout+(Rdson3+Rdcr)*Table1[[#This Row],[Iin]]-Table1[[#This Row],[Vin]])/(Vout+(Rdson3-Rdson4-Rs)*Table1[[#This Row],[Iin]])/Fsw,t1_Ph_II))</f>
        <v>1.1143850105772135E-6</v>
      </c>
      <c r="N38" s="602">
        <f>CHOOSE(Table1[[#This Row],[Mode Digit]],1/Fsw-Table1[[#This Row],[t1_Ph_II]],1/Fsw-Table1[[#This Row],[t1_Ph_II]],(Vout/Fsw-Table1[[#This Row],[Vin]]*t1_Ph_II)/(Table1[[#This Row],[Vin]]+Vout))</f>
        <v>5.5228165608945318E-7</v>
      </c>
      <c r="O38" s="602">
        <f>1/Fsw-(Table1[[#This Row],[t1_Ph_II]]+Table1[[#This Row],[t2_Ph_I]])</f>
        <v>0</v>
      </c>
      <c r="P3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10.43184079004002</v>
      </c>
      <c r="Q38" s="4">
        <f>CHOOSE(Table1[[#This Row],[Mode Digit]],Table1[[#This Row],[I_0]]+1/Lf*(Table1[[#This Row],[Vin]]-Vout)*Table1[[#This Row],[t1_Ph_II]],Table1[[#This Row],[I_0]]+1/Lf*Table1[[#This Row],[Vin]]*Table1[[#This Row],[t1_Ph_II]],Table1[[#This Row],[I_0]]+(Table1[[#This Row],[Vin]]-Vout)/L*Table1[[#This Row],[t1_Ph_II]])</f>
        <v>13.568159209959981</v>
      </c>
      <c r="R38" s="4">
        <f>CHOOSE(Table1[[#This Row],[Mode Digit]],0,0,Table1[[#This Row],[I_1]]+Table1[[#This Row],[Vin]]/L*Table1[[#This Row],[t2_Ph_I]])</f>
        <v>0</v>
      </c>
      <c r="S38" s="4">
        <f>Fsw*(Table1[[#This Row],[I_0]]*Table1[[#This Row],[t1_Ph_II]]+Table1[[#This Row],[I_1]]*Table1[[#This Row],[t2_Ph_I]]+Table1[[#This Row],[I_2]]*Table1[[#This Row],[t3_Ph_III]])</f>
        <v>11.471119468626371</v>
      </c>
      <c r="T38" s="354">
        <f>MIN(1,CHOOSE(Table1[[#This Row],[Mode Digit]],(Vout+(Rdson2+Rs+Rdcr)*Table1[[#This Row],[Iout]])/(Table1[[#This Row],[Vin]]+(Rs+Rdson2-Rdson1)*Table1[[#This Row],[Iout]]),1,Fsw*Table1[[#This Row],[t2_Ph_I]]+Table1[[#This Row],[t1_Ph_II]]))</f>
        <v>0.66863100634632811</v>
      </c>
      <c r="U38" s="354">
        <f>MIN(1,CHOOSE(Table1[[#This Row],[Mode Digit]],0,(Vout+(Rdson3+Rdcr)*Table1[[#This Row],[Iin]]-Table1[[#This Row],[Vin]])/(Vout+(Rdson3-Rdson4-Rs)*Table1[[#This Row],[Iin]]),Fsw*Table1[[#This Row],[t1_Ph_II]]+Table1[[#This Row],[t3_Ph_III]]))</f>
        <v>0</v>
      </c>
      <c r="V38" s="4">
        <f>MAX(Table1[[#This Row],[I_0]:[I_2]])-MIN(Table1[[#This Row],[I_0]:[I_1]])</f>
        <v>3.1363184199199612</v>
      </c>
      <c r="W3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12.034106022852749</v>
      </c>
      <c r="X38" s="354">
        <f>(Table1[[#This Row],[Irms Lf]]^2*Rdcr*(1+Ltc*Ta-Ltc*25))/(1-Table1[[#This Row],[Irms Lf]]^2*Rdcr*Ltc*ThetaCa)</f>
        <v>0.90046206404056262</v>
      </c>
      <c r="Y38" s="354">
        <f>ABS(7.759*10^-3*Fsw^0.9458*(0.00787*Table1[[#This Row],[Ripple Current pk-pk]])^2.304)</f>
        <v>0.44756798195543757</v>
      </c>
      <c r="Z38" s="354">
        <f>Table1[[#This Row],[DCR    Loss]]+Table1[[#This Row],[Core Loss]]</f>
        <v>1.3480300459960002</v>
      </c>
      <c r="AA38" s="4">
        <f>IF(Table1[[#This Row],[Vin]]&gt;Vout, Table1[[#This Row],[Ripple Current pk-pk]]/SQRT(12), SQRT(Table1[[#This Row],[Duty Cycle BOOST Leg]]/(1-Table1[[#This Row],[Duty Cycle BOOST Leg]]))*SQRT(Table1[[#This Row],[Iout]]^2+(Table1[[#This Row],[Ripple Current pk-pk]]^2)/12))</f>
        <v>0.90537714200258568</v>
      </c>
      <c r="AB38" s="354">
        <f>RCoutEsr*Table1[[#This Row],[Irms Cout]]^2</f>
        <v>4.0985388463038504E-3</v>
      </c>
      <c r="AC38" s="354">
        <f>Table1[[#This Row],[Cout ESR Loss]]</f>
        <v>4.0985388463038504E-3</v>
      </c>
      <c r="AD38" s="354">
        <f>IF(Table1[[#This Row],[Vin]]&gt;Vout, SQRT(Table1[[#This Row],[Duty Cycle BUCK Leg]]*(1-Table1[[#This Row],[Duty Cycle BUCK Leg]]))*SQRT(Table1[[#This Row],[Iout]]^2+(Table1[[#This Row],[Ripple Current pk-pk]]^2)/12), Table1[[#This Row],[Ripple Current pk-pk]]/SQRT(12))</f>
        <v>5.6645188183591522</v>
      </c>
      <c r="AE38" s="354">
        <f>RCinEsr*Table1[[#This Row],[Irms Cin]]^2</f>
        <v>6.4173546887089927E-2</v>
      </c>
      <c r="AF38" s="549">
        <f>Table1[[#This Row],[Cin ESR Loss]]</f>
        <v>6.4173546887089927E-2</v>
      </c>
      <c r="AG3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9.8402716905856824</v>
      </c>
      <c r="AH38" s="354">
        <f>Rdson1*Table1[[#This Row],[Irms BuCtrl]]^2</f>
        <v>0.4066899771670765</v>
      </c>
      <c r="AI38" s="354">
        <f>CHOOSE(Table1[[#This Row],[Mode Digit]], (Table1[[#This Row],[Vin]]*Table1[[#This Row],[Iout]]/2)*(Fsw)*(Tr_buck+Tf_buck), 0, (Table1[[#This Row],[Vin]]*Table1[[#This Row],[Avg IL]]/2)*(Fsw/1)*(Tr_buck+Tf_buck))</f>
        <v>2.6214907650030312</v>
      </c>
      <c r="AJ38">
        <f>IF(Table1[[#This Row],[Vin]]&gt;Vout, IF(Table1[[#This Row],[Iout]]&gt;Table1[[#This Row],[Ripple Current pk-pk]]/2,0,ABS(Table1[[#This Row],[Iout]]-Table1[[#This Row],[Ripple Current pk-pk]]/2)*Vsd_Q1*Deadtime*Fsw),0)</f>
        <v>0</v>
      </c>
      <c r="AK38" s="354">
        <f>(Table1[[#This Row],[Dead Time Loss BuCtrl]]+Table1[[#This Row],[Transition Loss BuCtrl]]+Table1[[#This Row],[RDS(on) Loss BuCtrl]]*(1+RdsonTopTc*Ta-RdsonTopTc*25))/(1-Table1[[#This Row],[RDS(on) Loss BuCtrl]]*RdsonTopTc*ThetaJA_Q1)</f>
        <v>3.355717548536544</v>
      </c>
      <c r="AL38" s="354">
        <f>CHOOSE(Table1[[#This Row],[Mode Digit]],SQRT((Fsw*(Table1[[#This Row],[t2_Ph_I]]+0))*((Table1[[#This Row],[I_0]]*Table1[[#This Row],[I_1]]+((Table1[[#This Row],[I_0]]-Table1[[#This Row],[I_1]])^2)/3))),0,SQRT((Fsw*(Table1[[#This Row],[t3_Ph_III]]+0))*((Table1[[#This Row],[I_0]]*Table1[[#This Row],[I_2]]+((Table1[[#This Row],[I_0]]-Table1[[#This Row],[I_2]])^2)/3))))</f>
        <v>6.9273920651799985</v>
      </c>
      <c r="AM38" s="354">
        <f>Rdson2*Table1[[#This Row],[Irms BuSync]]^2</f>
        <v>0.20155279546381899</v>
      </c>
      <c r="AN3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8" s="354">
        <f>(Table1[[#This Row],[Deadtime Loss BuSync]]+Table1[[#This Row],[RDS(on) Loss BuSync]]*(1+RdsonBotTc*Ta-RdsonBotTc*25))/(1-Table1[[#This Row],[RDS(on) Loss BuSync]]*RdsonBotTc*ThetaJA_Q2)</f>
        <v>0.81851813228312464</v>
      </c>
      <c r="AP38" s="354">
        <f>CHOOSE(Table1[[#This Row],[Mode Digit]],0,SQRT((Fsw*(Table1[[#This Row],[t1_Ph_II]]+0))*((Table1[[#This Row],[I_0]]*Table1[[#This Row],[I_1]]+((Table1[[#This Row],[I_0]]-Table1[[#This Row],[I_1]])^2)/3))),SQRT((Fsw*(Table1[[#This Row],[t2_Ph_I]]+0))*((Table1[[#This Row],[I_1]]*Table1[[#This Row],[I_2]]+((Table1[[#This Row],[I_1]]-Table1[[#This Row],[I_2]])^2)/3))))</f>
        <v>0</v>
      </c>
      <c r="AQ38" s="354">
        <f>Rdson4*Table1[[#This Row],[Irms BoCtlr]]^2</f>
        <v>0</v>
      </c>
      <c r="AR38" s="354">
        <f>CHOOSE(Table1[[#This Row],[Mode Digit]], 0, (Vout*Table1[[#This Row],[Iin]]/2)*(Fsw)*(Tr_boost+Tf_boost), (Vout*Iout/2)*(Fsw/1)*(Tr_boost+Tf_boost))</f>
        <v>0</v>
      </c>
      <c r="AS38">
        <f>IF(Table1[[#This Row],[Vin]]&gt;Vout, 0, IF(Table1[[#This Row],[Iin]]&gt;Table1[[#This Row],[Ripple Current pk-pk]]/2,0,ABS(Table1[[#This Row],[Iin]]-Table1[[#This Row],[Ripple Current pk-pk]]/2)*Vsd_Q4*Deadtime*Fsw))</f>
        <v>0</v>
      </c>
      <c r="AT38" s="354">
        <f>(Table1[[#This Row],[Dead Time Loss BoCtlr]]+Table1[[#This Row],[Transition Loss BoCtlr]]+Table1[[#This Row],[RDS(on) Loss BoCtlr]]*(1+RdsonTopTc*Ta-RdsonTopTc*25))/(1-Table1[[#This Row],[RDS(on) Loss BoCtlr]]*RdsonTopTc*ThetaJA_Q4)</f>
        <v>0</v>
      </c>
      <c r="AU3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12.034106022852749</v>
      </c>
      <c r="AV38" s="354">
        <f>Rdson3*Table1[[#This Row],[Irms BoSync]]^2</f>
        <v>0.60824277263089543</v>
      </c>
      <c r="AW3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8" s="354">
        <f>(Table1[[#This Row],[Deadtime Loss BoSync]]+Table1[[#This Row],[RDS(on) Loss BoSync]]*(1+RdsonBotTc*Ta-RdsonBotTc*25))/(1-Table1[[#This Row],[RDS(on) Loss BoSync]]*RdsonBotTc*ThetaJA_Q3)</f>
        <v>0.71220994502927193</v>
      </c>
      <c r="AY38" s="354">
        <f>CHOOSE(Table1[[#This Row],[Mode Digit]], Rdson3*Table1[[#This Row],[Irms Lf]]^2, Rdson1*Table1[[#This Row],[Irms Lf]]^2, 0)</f>
        <v>0.60824277263089543</v>
      </c>
      <c r="AZ38" s="354">
        <f>CHOOSE(Table1[[#This Row],[Mode Digit]], 2*Deadtime*Fsw*IF(VfdSky_Q2&gt;0,VfdSky_Q2,0)*Table1[[#This Row],[Iout]], 2*Deadtime*Fsw*IF(VfdSky_Q3&gt;0,VfdSky_Q3,0)*Table1[[#This Row],[Iin]], 2*Deadtime*Fsw*IF(VfdSky_Q2&gt;0,VfdSky_Q2,0)*Table1[[#This Row],[Iout]]+2*Deadtime*Fsw*IF(VfdSky_Q3&gt;0,VfdSky_Q3,0)*Table1[[#This Row],[Iin]])</f>
        <v>0</v>
      </c>
      <c r="BA38" s="354">
        <f>CHOOSE(Table1[[#This Row],[Mode Digit]], IF(QrrSky_Q2&gt;0,QrrSky_Q2,Qrr_Q2)*Fsw*(Table1[[#This Row],[Vin]]-Table1[[#This Row],[Iout]]*Rdson1),0,  IF(QrrSky_Q2&gt;0,QrrSky_Q2,Qrr_Q2)*Fsw*(Table1[[#This Row],[Vin]]-Table1[[#This Row],[Iout]]*Rdson1)+IF(QrrSky_Q3&gt;0,QrrSky_Q3,Qrr_Q3)*Fsw*Vout)</f>
        <v>0.26375520000000002</v>
      </c>
      <c r="BB38" s="354">
        <f>CHOOSE(Table1[[#This Row],[Mode Digit]],0, IF(QrrSky_Q3&gt;0,QrrSky_Q3,Qrr_Q3)*Fsw*Vout,  IF(QrrSky_Q2&gt;0,QrrSky_Q2,Qrr_Q2)*Fsw*(Table1[[#This Row],[Vin]]-Table1[[#This Row],[Iout]]*Rdson1)+IF(QrrSky_Q3&gt;0,QrrSky_Q3,Qrr_Q3)*Fsw*Vout)</f>
        <v>0</v>
      </c>
      <c r="BC38" s="354">
        <f>CHOOSE(Table1[[#This Row],[Mode Digit]], Rs*Table1[[#This Row],[Irms BuSync]]^2, Rs*Table1[[#This Row],[Irms BoCtlr]]^2, Rs*(Table1[[#This Row],[Irms BuSync]]^2+Table1[[#This Row],[Irms BoCtlr]]^2))</f>
        <v>0.119971902061797</v>
      </c>
      <c r="BD38" s="354">
        <f t="shared" si="1"/>
        <v>1.44</v>
      </c>
      <c r="BE38" s="354">
        <f>IF(Vout&gt;8, Iq*Vout, Iq*Table1[[#This Row],[Vin]])</f>
        <v>4.3799999999999999E-2</v>
      </c>
      <c r="BF38" s="354">
        <f>CHOOSE(Table1[[#This Row],[Mode Digit]], (Qg_Q1+Qg_Q2)*Fsw, (Qg_Q3+Qg_Q4)*Fsw, (Qg_Q1+Qg_Q2+Qg_Q3+Qg_Q4)*Fsw)*IF(Vout&gt;8, Vout, Table1[[#This Row],[Vin]])</f>
        <v>0.47303999999999996</v>
      </c>
      <c r="BG38" s="354">
        <f t="shared" si="2"/>
        <v>0.57269042016806726</v>
      </c>
      <c r="BH38" s="354">
        <f>Table1[[#This Row],[IQ Loss]]+Table1[[#This Row],[Switching Current Loss]]</f>
        <v>0.51683999999999997</v>
      </c>
      <c r="BI3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8.6433148596401335</v>
      </c>
      <c r="BJ38">
        <f>Vout*Table1[[#This Row],[Iout]]</f>
        <v>175.2</v>
      </c>
      <c r="BK38" s="550">
        <f>Table1[[#This Row],[Pout]]/(Table1[[#This Row],[Pout]]+Table1[[#This Row],[Total Loss]])</f>
        <v>0.95298542747535264</v>
      </c>
      <c r="BL3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201.34305291219263</v>
      </c>
      <c r="BM38" s="559">
        <f>IF(Table1[[#This Row],[Vin]]&gt;Vout, Table1[[#This Row],[Total Sync Bu MOSFET Loss]]*ThetaJA_Q2, ThetaJA_Q3*Table1[[#This Row],[Total Sync Bo MOSFET Loss]])</f>
        <v>49.111087936987481</v>
      </c>
      <c r="BN38" s="9"/>
      <c r="BO38" s="4">
        <f>Table1[[#This Row],[EFF, h]]*100</f>
        <v>95.298542747535265</v>
      </c>
      <c r="BP38" s="354">
        <f>Table1[[#This Row],[Total Inductor Loss]]</f>
        <v>1.3480300459960002</v>
      </c>
      <c r="BQ38" s="354">
        <f>Table1[[#This Row],[Total Control Bu MOSFET Loss]]+Table1[[#This Row],[Total Sync Bu MOSFET Loss]]+Table1[[#This Row],[Total Control Bo MOSFET Loss]]+Table1[[#This Row],[Total Sync Bo MOSFET Loss]]+Table1[[#This Row],[Reverse Recovery Loss MOSFET D BUCK]]+Table1[[#This Row],[Reverse Recovery Loss MOSFET D BOOST]]</f>
        <v>5.1502008258489411</v>
      </c>
      <c r="BR38" s="354">
        <f>Table1[[#This Row],[Total Control Bu MOSFET Loss]]+Table1[[#This Row],[Reverse Recovery Loss MOSFET D BUCK]]*0.66</f>
        <v>3.529795980536544</v>
      </c>
      <c r="BS38" s="354">
        <f>Table1[[#This Row],[Total Sync Bu MOSFET Loss]]+Table1[[#This Row],[Reverse Recovery Loss MOSFET D BUCK]]*0.33</f>
        <v>0.90555734828312462</v>
      </c>
      <c r="BT38" s="354">
        <f xml:space="preserve"> Table1[[#This Row],[Total Control Bo MOSFET Loss]]+Table1[[#This Row],[Reverse Recovery Loss MOSFET D BOOST]]*0.66</f>
        <v>0</v>
      </c>
      <c r="BU38" s="354">
        <f xml:space="preserve"> Table1[[#This Row],[Total Sync Bo MOSFET Loss]]+Table1[[#This Row],[Reverse Recovery Loss MOSFET D BOOST]]*0.33</f>
        <v>0.71220994502927193</v>
      </c>
      <c r="BV38" s="354">
        <f>Table1[[#This Row],[Isense Shunt Loss]]</f>
        <v>0.119971902061797</v>
      </c>
      <c r="CA38">
        <v>9.9985429999999997</v>
      </c>
      <c r="CB38">
        <v>1.9350000000000001</v>
      </c>
      <c r="CC38">
        <v>5.117146</v>
      </c>
      <c r="CD38">
        <v>94.224527198076927</v>
      </c>
      <c r="CE38">
        <v>606.92116405899924</v>
      </c>
    </row>
    <row r="39" spans="1:83" x14ac:dyDescent="0.2">
      <c r="A39" s="23" t="s">
        <v>74</v>
      </c>
      <c r="B39" s="5">
        <f>Qg_Q1*1000000000</f>
        <v>27</v>
      </c>
      <c r="C39" s="440" t="s">
        <v>69</v>
      </c>
      <c r="D39" s="21" t="s">
        <v>101</v>
      </c>
      <c r="G39">
        <v>30</v>
      </c>
      <c r="H39" s="555">
        <f>VIN_min+(VIN_max-VIN_min)*(Table1[[#This Row],[Step]]/200)</f>
        <v>22.1</v>
      </c>
      <c r="I39" s="4" t="str">
        <f>IF(Mode = 2,IF(Table1[[#This Row],[Vin]]&gt;Vout, "BUCK","BOOST"),IF(Table1[[#This Row],[Vin]]&gt;VIN_BB_to_buck, "BUCK", IF(Table1[[#This Row],[Vin]]&lt;=VIN_boost_to_BB,"BOOST","BUCK-BST")))</f>
        <v>BUCK</v>
      </c>
      <c r="J39">
        <f>IF(Table1[[#This Row],[Mode]]="BOOST",2, IF(Table1[[#This Row],[Mode]]="BUCK", 1,3))</f>
        <v>1</v>
      </c>
      <c r="K39">
        <f t="shared" si="0"/>
        <v>12</v>
      </c>
      <c r="L39" s="4">
        <f>Vout*Table1[[#This Row],[Iout]]/(Table1[[#This Row],[Vin]]*Efficiency)</f>
        <v>8.3448440104786847</v>
      </c>
      <c r="M39" s="711">
        <f>MIN(1/Fsw,CHOOSE(Table1[[#This Row],[Mode Digit]],(Vout+(Rdson2+Rs+Rdcr)*Table1[[#This Row],[Iout]])/(Table1[[#This Row],[Vin]]+(Rs+Rdson2-Rdson1)*Table1[[#This Row],[Iout]])/Fsw,(Vout+(Rdson3+Rdcr)*Table1[[#This Row],[Iin]]-Table1[[#This Row],[Vin]])/(Vout+(Rdson3-Rdson4-Rs)*Table1[[#This Row],[Iin]])/Fsw,t1_Ph_II))</f>
        <v>1.110860069287543E-6</v>
      </c>
      <c r="N39" s="602">
        <f>CHOOSE(Table1[[#This Row],[Mode Digit]],1/Fsw-Table1[[#This Row],[t1_Ph_II]],1/Fsw-Table1[[#This Row],[t1_Ph_II]],(Vout/Fsw-Table1[[#This Row],[Vin]]*t1_Ph_II)/(Table1[[#This Row],[Vin]]+Vout))</f>
        <v>5.5580659737912362E-7</v>
      </c>
      <c r="O39" s="602">
        <f>1/Fsw-(Table1[[#This Row],[t1_Ph_II]]+Table1[[#This Row],[t2_Ph_I]])</f>
        <v>0</v>
      </c>
      <c r="P3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10.422073765216558</v>
      </c>
      <c r="Q39" s="4">
        <f>CHOOSE(Table1[[#This Row],[Mode Digit]],Table1[[#This Row],[I_0]]+1/Lf*(Table1[[#This Row],[Vin]]-Vout)*Table1[[#This Row],[t1_Ph_II]],Table1[[#This Row],[I_0]]+1/Lf*Table1[[#This Row],[Vin]]*Table1[[#This Row],[t1_Ph_II]],Table1[[#This Row],[I_0]]+(Table1[[#This Row],[Vin]]-Vout)/L*Table1[[#This Row],[t1_Ph_II]])</f>
        <v>13.577926234783442</v>
      </c>
      <c r="R39" s="4">
        <f>CHOOSE(Table1[[#This Row],[Mode Digit]],0,0,Table1[[#This Row],[I_1]]+Table1[[#This Row],[Vin]]/L*Table1[[#This Row],[t2_Ph_I]])</f>
        <v>0</v>
      </c>
      <c r="S39" s="4">
        <f>Fsw*(Table1[[#This Row],[I_0]]*Table1[[#This Row],[t1_Ph_II]]+Table1[[#This Row],[I_1]]*Table1[[#This Row],[t2_Ph_I]]+Table1[[#This Row],[I_2]]*Table1[[#This Row],[t3_Ph_III]])</f>
        <v>11.474499938980843</v>
      </c>
      <c r="T39" s="354">
        <f>MIN(1,CHOOSE(Table1[[#This Row],[Mode Digit]],(Vout+(Rdson2+Rs+Rdcr)*Table1[[#This Row],[Iout]])/(Table1[[#This Row],[Vin]]+(Rs+Rdson2-Rdson1)*Table1[[#This Row],[Iout]]),1,Fsw*Table1[[#This Row],[t2_Ph_I]]+Table1[[#This Row],[t1_Ph_II]]))</f>
        <v>0.66651604157252586</v>
      </c>
      <c r="U39" s="354">
        <f>MIN(1,CHOOSE(Table1[[#This Row],[Mode Digit]],0,(Vout+(Rdson3+Rdcr)*Table1[[#This Row],[Iin]]-Table1[[#This Row],[Vin]])/(Vout+(Rdson3-Rdson4-Rs)*Table1[[#This Row],[Iin]]),Fsw*Table1[[#This Row],[t1_Ph_II]]+Table1[[#This Row],[t3_Ph_III]]))</f>
        <v>0</v>
      </c>
      <c r="V39" s="4">
        <f>MAX(Table1[[#This Row],[I_0]:[I_2]])-MIN(Table1[[#This Row],[I_0]:[I_1]])</f>
        <v>3.1558524695668844</v>
      </c>
      <c r="W3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12.034531582110121</v>
      </c>
      <c r="X39" s="354">
        <f>(Table1[[#This Row],[Irms Lf]]^2*Rdcr*(1+Ltc*Ta-Ltc*25))/(1-Table1[[#This Row],[Irms Lf]]^2*Rdcr*Ltc*ThetaCa)</f>
        <v>0.90053033897279733</v>
      </c>
      <c r="Y39" s="354">
        <f>ABS(7.759*10^-3*Fsw^0.9458*(0.00787*Table1[[#This Row],[Ripple Current pk-pk]])^2.304)</f>
        <v>0.45401672059610781</v>
      </c>
      <c r="Z39" s="354">
        <f>Table1[[#This Row],[DCR    Loss]]+Table1[[#This Row],[Core Loss]]</f>
        <v>1.3545470595689051</v>
      </c>
      <c r="AA39" s="4">
        <f>IF(Table1[[#This Row],[Vin]]&gt;Vout, Table1[[#This Row],[Ripple Current pk-pk]]/SQRT(12), SQRT(Table1[[#This Row],[Duty Cycle BOOST Leg]]/(1-Table1[[#This Row],[Duty Cycle BOOST Leg]]))*SQRT(Table1[[#This Row],[Iout]]^2+(Table1[[#This Row],[Ripple Current pk-pk]]^2)/12))</f>
        <v>0.91101613641359303</v>
      </c>
      <c r="AB39" s="354">
        <f>RCoutEsr*Table1[[#This Row],[Irms Cout]]^2</f>
        <v>4.1497520040297518E-3</v>
      </c>
      <c r="AC39" s="354">
        <f>Table1[[#This Row],[Cout ESR Loss]]</f>
        <v>4.1497520040297518E-3</v>
      </c>
      <c r="AD39" s="354">
        <f>IF(Table1[[#This Row],[Vin]]&gt;Vout, SQRT(Table1[[#This Row],[Duty Cycle BUCK Leg]]*(1-Table1[[#This Row],[Duty Cycle BUCK Leg]]))*SQRT(Table1[[#This Row],[Iout]]^2+(Table1[[#This Row],[Ripple Current pk-pk]]^2)/12), Table1[[#This Row],[Ripple Current pk-pk]]/SQRT(12))</f>
        <v>5.6737731547429986</v>
      </c>
      <c r="AE39" s="354">
        <f>RCinEsr*Table1[[#This Row],[Irms Cin]]^2</f>
        <v>6.4383403622964644E-2</v>
      </c>
      <c r="AF39" s="549">
        <f>Table1[[#This Row],[Cin ESR Loss]]</f>
        <v>6.4383403622964644E-2</v>
      </c>
      <c r="AG3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9.8250437781360773</v>
      </c>
      <c r="AH39" s="354">
        <f>Rdson1*Table1[[#This Row],[Irms BuCtrl]]^2</f>
        <v>0.40543223801761991</v>
      </c>
      <c r="AI39" s="354">
        <f>CHOOSE(Table1[[#This Row],[Mode Digit]], (Table1[[#This Row],[Vin]]*Table1[[#This Row],[Iout]]/2)*(Fsw)*(Tr_buck+Tf_buck), 0, (Table1[[#This Row],[Vin]]*Table1[[#This Row],[Avg IL]]/2)*(Fsw/1)*(Tr_buck+Tf_buck))</f>
        <v>2.6298205132349981</v>
      </c>
      <c r="AJ39">
        <f>IF(Table1[[#This Row],[Vin]]&gt;Vout, IF(Table1[[#This Row],[Iout]]&gt;Table1[[#This Row],[Ripple Current pk-pk]]/2,0,ABS(Table1[[#This Row],[Iout]]-Table1[[#This Row],[Ripple Current pk-pk]]/2)*Vsd_Q1*Deadtime*Fsw),0)</f>
        <v>0</v>
      </c>
      <c r="AK39" s="354">
        <f>(Table1[[#This Row],[Dead Time Loss BuCtrl]]+Table1[[#This Row],[Transition Loss BuCtrl]]+Table1[[#This Row],[RDS(on) Loss BuCtrl]]*(1+RdsonTopTc*Ta-RdsonTopTc*25))/(1-Table1[[#This Row],[RDS(on) Loss BuCtrl]]*RdsonTopTc*ThetaJA_Q1)</f>
        <v>3.3624297297775882</v>
      </c>
      <c r="AL39" s="354">
        <f>CHOOSE(Table1[[#This Row],[Mode Digit]],SQRT((Fsw*(Table1[[#This Row],[t2_Ph_I]]+0))*((Table1[[#This Row],[I_0]]*Table1[[#This Row],[I_1]]+((Table1[[#This Row],[I_0]]-Table1[[#This Row],[I_1]])^2)/3))),0,SQRT((Fsw*(Table1[[#This Row],[t3_Ph_III]]+0))*((Table1[[#This Row],[I_0]]*Table1[[#This Row],[I_2]]+((Table1[[#This Row],[I_0]]-Table1[[#This Row],[I_2]])^2)/3))))</f>
        <v>6.9497097175720599</v>
      </c>
      <c r="AM39" s="354">
        <f>Rdson2*Table1[[#This Row],[Irms BuSync]]^2</f>
        <v>0.20285355366576521</v>
      </c>
      <c r="AN3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39" s="354">
        <f>(Table1[[#This Row],[Deadtime Loss BuSync]]+Table1[[#This Row],[RDS(on) Loss BuSync]]*(1+RdsonBotTc*Ta-RdsonBotTc*25))/(1-Table1[[#This Row],[RDS(on) Loss BuSync]]*RdsonBotTc*ThetaJA_Q2)</f>
        <v>0.82015406208874098</v>
      </c>
      <c r="AP39" s="354">
        <f>CHOOSE(Table1[[#This Row],[Mode Digit]],0,SQRT((Fsw*(Table1[[#This Row],[t1_Ph_II]]+0))*((Table1[[#This Row],[I_0]]*Table1[[#This Row],[I_1]]+((Table1[[#This Row],[I_0]]-Table1[[#This Row],[I_1]])^2)/3))),SQRT((Fsw*(Table1[[#This Row],[t2_Ph_I]]+0))*((Table1[[#This Row],[I_1]]*Table1[[#This Row],[I_2]]+((Table1[[#This Row],[I_1]]-Table1[[#This Row],[I_2]])^2)/3))))</f>
        <v>0</v>
      </c>
      <c r="AQ39" s="354">
        <f>Rdson4*Table1[[#This Row],[Irms BoCtlr]]^2</f>
        <v>0</v>
      </c>
      <c r="AR39" s="354">
        <f>CHOOSE(Table1[[#This Row],[Mode Digit]], 0, (Vout*Table1[[#This Row],[Iin]]/2)*(Fsw)*(Tr_boost+Tf_boost), (Vout*Iout/2)*(Fsw/1)*(Tr_boost+Tf_boost))</f>
        <v>0</v>
      </c>
      <c r="AS39">
        <f>IF(Table1[[#This Row],[Vin]]&gt;Vout, 0, IF(Table1[[#This Row],[Iin]]&gt;Table1[[#This Row],[Ripple Current pk-pk]]/2,0,ABS(Table1[[#This Row],[Iin]]-Table1[[#This Row],[Ripple Current pk-pk]]/2)*Vsd_Q4*Deadtime*Fsw))</f>
        <v>0</v>
      </c>
      <c r="AT39" s="354">
        <f>(Table1[[#This Row],[Dead Time Loss BoCtlr]]+Table1[[#This Row],[Transition Loss BoCtlr]]+Table1[[#This Row],[RDS(on) Loss BoCtlr]]*(1+RdsonTopTc*Ta-RdsonTopTc*25))/(1-Table1[[#This Row],[RDS(on) Loss BoCtlr]]*RdsonTopTc*ThetaJA_Q4)</f>
        <v>0</v>
      </c>
      <c r="AU3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12.034531582110121</v>
      </c>
      <c r="AV39" s="354">
        <f>Rdson3*Table1[[#This Row],[Irms BoSync]]^2</f>
        <v>0.60828579168338504</v>
      </c>
      <c r="AW3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39" s="354">
        <f>(Table1[[#This Row],[Deadtime Loss BoSync]]+Table1[[#This Row],[RDS(on) Loss BoSync]]*(1+RdsonBotTc*Ta-RdsonBotTc*25))/(1-Table1[[#This Row],[RDS(on) Loss BoSync]]*RdsonBotTc*ThetaJA_Q3)</f>
        <v>0.71226892821753163</v>
      </c>
      <c r="AY39" s="354">
        <f>CHOOSE(Table1[[#This Row],[Mode Digit]], Rdson3*Table1[[#This Row],[Irms Lf]]^2, Rdson1*Table1[[#This Row],[Irms Lf]]^2, 0)</f>
        <v>0.60828579168338504</v>
      </c>
      <c r="AZ39" s="354">
        <f>CHOOSE(Table1[[#This Row],[Mode Digit]], 2*Deadtime*Fsw*IF(VfdSky_Q2&gt;0,VfdSky_Q2,0)*Table1[[#This Row],[Iout]], 2*Deadtime*Fsw*IF(VfdSky_Q3&gt;0,VfdSky_Q3,0)*Table1[[#This Row],[Iin]], 2*Deadtime*Fsw*IF(VfdSky_Q2&gt;0,VfdSky_Q2,0)*Table1[[#This Row],[Iout]]+2*Deadtime*Fsw*IF(VfdSky_Q3&gt;0,VfdSky_Q3,0)*Table1[[#This Row],[Iin]])</f>
        <v>0</v>
      </c>
      <c r="BA39" s="354">
        <f>CHOOSE(Table1[[#This Row],[Mode Digit]], IF(QrrSky_Q2&gt;0,QrrSky_Q2,Qrr_Q2)*Fsw*(Table1[[#This Row],[Vin]]-Table1[[#This Row],[Iout]]*Rdson1),0,  IF(QrrSky_Q2&gt;0,QrrSky_Q2,Qrr_Q2)*Fsw*(Table1[[#This Row],[Vin]]-Table1[[#This Row],[Iout]]*Rdson1)+IF(QrrSky_Q3&gt;0,QrrSky_Q3,Qrr_Q3)*Fsw*Vout)</f>
        <v>0.26459520000000003</v>
      </c>
      <c r="BB39" s="354">
        <f>CHOOSE(Table1[[#This Row],[Mode Digit]],0, IF(QrrSky_Q3&gt;0,QrrSky_Q3,Qrr_Q3)*Fsw*Vout,  IF(QrrSky_Q2&gt;0,QrrSky_Q2,Qrr_Q2)*Fsw*(Table1[[#This Row],[Vin]]-Table1[[#This Row],[Iout]]*Rdson1)+IF(QrrSky_Q3&gt;0,QrrSky_Q3,Qrr_Q3)*Fsw*Vout)</f>
        <v>0</v>
      </c>
      <c r="BC39" s="354">
        <f>CHOOSE(Table1[[#This Row],[Mode Digit]], Rs*Table1[[#This Row],[Irms BuSync]]^2, Rs*Table1[[#This Row],[Irms BoCtlr]]^2, Rs*(Table1[[#This Row],[Irms BuSync]]^2+Table1[[#This Row],[Irms BoCtlr]]^2))</f>
        <v>0.1207461628962888</v>
      </c>
      <c r="BD39" s="354">
        <f t="shared" si="1"/>
        <v>1.44</v>
      </c>
      <c r="BE39" s="354">
        <f>IF(Vout&gt;8, Iq*Vout, Iq*Table1[[#This Row],[Vin]])</f>
        <v>4.3799999999999999E-2</v>
      </c>
      <c r="BF39" s="354">
        <f>CHOOSE(Table1[[#This Row],[Mode Digit]], (Qg_Q1+Qg_Q2)*Fsw, (Qg_Q3+Qg_Q4)*Fsw, (Qg_Q1+Qg_Q2+Qg_Q3+Qg_Q4)*Fsw)*IF(Vout&gt;8, Vout, Table1[[#This Row],[Vin]])</f>
        <v>0.47303999999999996</v>
      </c>
      <c r="BG39" s="354">
        <f t="shared" si="2"/>
        <v>0.57269042016806726</v>
      </c>
      <c r="BH39" s="354">
        <f>Table1[[#This Row],[IQ Loss]]+Table1[[#This Row],[Switching Current Loss]]</f>
        <v>0.51683999999999997</v>
      </c>
      <c r="BI3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8.6601142981760493</v>
      </c>
      <c r="BJ39">
        <f>Vout*Table1[[#This Row],[Iout]]</f>
        <v>175.2</v>
      </c>
      <c r="BK39" s="550">
        <f>Table1[[#This Row],[Pout]]/(Table1[[#This Row],[Pout]]+Table1[[#This Row],[Total Loss]])</f>
        <v>0.95289835247175225</v>
      </c>
      <c r="BL3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201.74578378665529</v>
      </c>
      <c r="BM39" s="559">
        <f>IF(Table1[[#This Row],[Vin]]&gt;Vout, Table1[[#This Row],[Total Sync Bu MOSFET Loss]]*ThetaJA_Q2, ThetaJA_Q3*Table1[[#This Row],[Total Sync Bo MOSFET Loss]])</f>
        <v>49.209243725324455</v>
      </c>
      <c r="BN39" s="9"/>
      <c r="BO39" s="4">
        <f>Table1[[#This Row],[EFF, h]]*100</f>
        <v>95.289835247175219</v>
      </c>
      <c r="BP39" s="354">
        <f>Table1[[#This Row],[Total Inductor Loss]]</f>
        <v>1.3545470595689051</v>
      </c>
      <c r="BQ39" s="354">
        <f>Table1[[#This Row],[Total Control Bu MOSFET Loss]]+Table1[[#This Row],[Total Sync Bu MOSFET Loss]]+Table1[[#This Row],[Total Control Bo MOSFET Loss]]+Table1[[#This Row],[Total Sync Bo MOSFET Loss]]+Table1[[#This Row],[Reverse Recovery Loss MOSFET D BUCK]]+Table1[[#This Row],[Reverse Recovery Loss MOSFET D BOOST]]</f>
        <v>5.1594479200838617</v>
      </c>
      <c r="BR39" s="354">
        <f>Table1[[#This Row],[Total Control Bu MOSFET Loss]]+Table1[[#This Row],[Reverse Recovery Loss MOSFET D BUCK]]*0.66</f>
        <v>3.5370625617775882</v>
      </c>
      <c r="BS39" s="354">
        <f>Table1[[#This Row],[Total Sync Bu MOSFET Loss]]+Table1[[#This Row],[Reverse Recovery Loss MOSFET D BUCK]]*0.33</f>
        <v>0.90747047808874104</v>
      </c>
      <c r="BT39" s="354">
        <f xml:space="preserve"> Table1[[#This Row],[Total Control Bo MOSFET Loss]]+Table1[[#This Row],[Reverse Recovery Loss MOSFET D BOOST]]*0.66</f>
        <v>0</v>
      </c>
      <c r="BU39" s="354">
        <f xml:space="preserve"> Table1[[#This Row],[Total Sync Bo MOSFET Loss]]+Table1[[#This Row],[Reverse Recovery Loss MOSFET D BOOST]]*0.33</f>
        <v>0.71226892821753163</v>
      </c>
      <c r="BV39" s="354">
        <f>Table1[[#This Row],[Isense Shunt Loss]]</f>
        <v>0.1207461628962888</v>
      </c>
      <c r="CA39">
        <v>9.9985060000000008</v>
      </c>
      <c r="CB39">
        <v>2.31</v>
      </c>
      <c r="CC39">
        <v>5.1166349999999996</v>
      </c>
      <c r="CD39">
        <v>94.492663502717292</v>
      </c>
      <c r="CE39">
        <v>688.87413060200208</v>
      </c>
    </row>
    <row r="40" spans="1:83" x14ac:dyDescent="0.2">
      <c r="A40" s="23" t="s">
        <v>128</v>
      </c>
      <c r="B40" s="5">
        <f>Qgd_Q1*1000000000</f>
        <v>6.2</v>
      </c>
      <c r="C40" s="440" t="s">
        <v>69</v>
      </c>
      <c r="D40" s="21" t="s">
        <v>129</v>
      </c>
      <c r="G40">
        <v>31</v>
      </c>
      <c r="H40" s="555">
        <f>VIN_min+(VIN_max-VIN_min)*(Table1[[#This Row],[Step]]/200)</f>
        <v>22.17</v>
      </c>
      <c r="I40" s="4" t="str">
        <f>IF(Mode = 2,IF(Table1[[#This Row],[Vin]]&gt;Vout, "BUCK","BOOST"),IF(Table1[[#This Row],[Vin]]&gt;VIN_BB_to_buck, "BUCK", IF(Table1[[#This Row],[Vin]]&lt;=VIN_boost_to_BB,"BOOST","BUCK-BST")))</f>
        <v>BUCK</v>
      </c>
      <c r="J40">
        <f>IF(Table1[[#This Row],[Mode]]="BOOST",2, IF(Table1[[#This Row],[Mode]]="BUCK", 1,3))</f>
        <v>1</v>
      </c>
      <c r="K40">
        <f t="shared" si="0"/>
        <v>12</v>
      </c>
      <c r="L40" s="4">
        <f>Vout*Table1[[#This Row],[Iout]]/(Table1[[#This Row],[Vin]]*Efficiency)</f>
        <v>8.3184958336300827</v>
      </c>
      <c r="M40" s="711">
        <f>MIN(1/Fsw,CHOOSE(Table1[[#This Row],[Mode Digit]],(Vout+(Rdson2+Rs+Rdcr)*Table1[[#This Row],[Iout]])/(Table1[[#This Row],[Vin]]+(Rs+Rdson2-Rdson1)*Table1[[#This Row],[Iout]])/Fsw,(Vout+(Rdson3+Rdcr)*Table1[[#This Row],[Iin]]-Table1[[#This Row],[Vin]])/(Vout+(Rdson3-Rdson4-Rs)*Table1[[#This Row],[Iin]])/Fsw,t1_Ph_II))</f>
        <v>1.1073573573573573E-6</v>
      </c>
      <c r="N40" s="602">
        <f>CHOOSE(Table1[[#This Row],[Mode Digit]],1/Fsw-Table1[[#This Row],[t1_Ph_II]],1/Fsw-Table1[[#This Row],[t1_Ph_II]],(Vout/Fsw-Table1[[#This Row],[Vin]]*t1_Ph_II)/(Table1[[#This Row],[Vin]]+Vout))</f>
        <v>5.5930930930930941E-7</v>
      </c>
      <c r="O40" s="602">
        <f>1/Fsw-(Table1[[#This Row],[t1_Ph_II]]+Table1[[#This Row],[t2_Ph_I]])</f>
        <v>0</v>
      </c>
      <c r="P4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10.412368334243334</v>
      </c>
      <c r="Q40" s="4">
        <f>CHOOSE(Table1[[#This Row],[Mode Digit]],Table1[[#This Row],[I_0]]+1/Lf*(Table1[[#This Row],[Vin]]-Vout)*Table1[[#This Row],[t1_Ph_II]],Table1[[#This Row],[I_0]]+1/Lf*Table1[[#This Row],[Vin]]*Table1[[#This Row],[t1_Ph_II]],Table1[[#This Row],[I_0]]+(Table1[[#This Row],[Vin]]-Vout)/L*Table1[[#This Row],[t1_Ph_II]])</f>
        <v>13.587631665756666</v>
      </c>
      <c r="R40" s="4">
        <f>CHOOSE(Table1[[#This Row],[Mode Digit]],0,0,Table1[[#This Row],[I_1]]+Table1[[#This Row],[Vin]]/L*Table1[[#This Row],[t2_Ph_I]])</f>
        <v>0</v>
      </c>
      <c r="S40" s="4">
        <f>Fsw*(Table1[[#This Row],[I_0]]*Table1[[#This Row],[t1_Ph_II]]+Table1[[#This Row],[I_1]]*Table1[[#This Row],[t2_Ph_I]]+Table1[[#This Row],[I_2]]*Table1[[#This Row],[t3_Ph_III]])</f>
        <v>11.477940938737673</v>
      </c>
      <c r="T40" s="354">
        <f>MIN(1,CHOOSE(Table1[[#This Row],[Mode Digit]],(Vout+(Rdson2+Rs+Rdcr)*Table1[[#This Row],[Iout]])/(Table1[[#This Row],[Vin]]+(Rs+Rdson2-Rdson1)*Table1[[#This Row],[Iout]]),1,Fsw*Table1[[#This Row],[t2_Ph_I]]+Table1[[#This Row],[t1_Ph_II]]))</f>
        <v>0.66441441441441429</v>
      </c>
      <c r="U40" s="354">
        <f>MIN(1,CHOOSE(Table1[[#This Row],[Mode Digit]],0,(Vout+(Rdson3+Rdcr)*Table1[[#This Row],[Iin]]-Table1[[#This Row],[Vin]])/(Vout+(Rdson3-Rdson4-Rs)*Table1[[#This Row],[Iin]]),Fsw*Table1[[#This Row],[t1_Ph_II]]+Table1[[#This Row],[t3_Ph_III]]))</f>
        <v>0</v>
      </c>
      <c r="V40" s="4">
        <f>MAX(Table1[[#This Row],[I_0]:[I_2]])-MIN(Table1[[#This Row],[I_0]:[I_1]])</f>
        <v>3.1752633315133316</v>
      </c>
      <c r="W4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12.034957059972051</v>
      </c>
      <c r="X40" s="354">
        <f>(Table1[[#This Row],[Irms Lf]]^2*Rdcr*(1+Ltc*Ta-Ltc*25))/(1-Table1[[#This Row],[Irms Lf]]^2*Rdcr*Ltc*ThetaCa)</f>
        <v>0.90059860395550362</v>
      </c>
      <c r="Y40" s="354">
        <f>ABS(7.759*10^-3*Fsw^0.9458*(0.00787*Table1[[#This Row],[Ripple Current pk-pk]])^2.304)</f>
        <v>0.46047655959664713</v>
      </c>
      <c r="Z40" s="354">
        <f>Table1[[#This Row],[DCR    Loss]]+Table1[[#This Row],[Core Loss]]</f>
        <v>1.3610751635521507</v>
      </c>
      <c r="AA40" s="4">
        <f>IF(Table1[[#This Row],[Vin]]&gt;Vout, Table1[[#This Row],[Ripple Current pk-pk]]/SQRT(12), SQRT(Table1[[#This Row],[Duty Cycle BOOST Leg]]/(1-Table1[[#This Row],[Duty Cycle BOOST Leg]]))*SQRT(Table1[[#This Row],[Iout]]^2+(Table1[[#This Row],[Ripple Current pk-pk]]^2)/12))</f>
        <v>0.91661956959858504</v>
      </c>
      <c r="AB40" s="354">
        <f>RCoutEsr*Table1[[#This Row],[Irms Cout]]^2</f>
        <v>4.2009571768554764E-3</v>
      </c>
      <c r="AC40" s="354">
        <f>Table1[[#This Row],[Cout ESR Loss]]</f>
        <v>4.2009571768554764E-3</v>
      </c>
      <c r="AD40" s="354">
        <f>IF(Table1[[#This Row],[Vin]]&gt;Vout, SQRT(Table1[[#This Row],[Duty Cycle BUCK Leg]]*(1-Table1[[#This Row],[Duty Cycle BUCK Leg]]))*SQRT(Table1[[#This Row],[Iout]]^2+(Table1[[#This Row],[Ripple Current pk-pk]]^2)/12), Table1[[#This Row],[Ripple Current pk-pk]]/SQRT(12))</f>
        <v>5.6828437747434561</v>
      </c>
      <c r="AE40" s="354">
        <f>RCinEsr*Table1[[#This Row],[Irms Cin]]^2</f>
        <v>6.4589426736280917E-2</v>
      </c>
      <c r="AF40" s="549">
        <f>Table1[[#This Row],[Cin ESR Loss]]</f>
        <v>6.4589426736280917E-2</v>
      </c>
      <c r="AG4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9.8098884283259711</v>
      </c>
      <c r="AH40" s="354">
        <f>Rdson1*Table1[[#This Row],[Irms BuCtrl]]^2</f>
        <v>0.40418242610005595</v>
      </c>
      <c r="AI40" s="354">
        <f>CHOOSE(Table1[[#This Row],[Mode Digit]], (Table1[[#This Row],[Vin]]*Table1[[#This Row],[Iout]]/2)*(Fsw)*(Tr_buck+Tf_buck), 0, (Table1[[#This Row],[Vin]]*Table1[[#This Row],[Avg IL]]/2)*(Fsw/1)*(Tr_buck+Tf_buck))</f>
        <v>2.6381502614669636</v>
      </c>
      <c r="AJ40">
        <f>IF(Table1[[#This Row],[Vin]]&gt;Vout, IF(Table1[[#This Row],[Iout]]&gt;Table1[[#This Row],[Ripple Current pk-pk]]/2,0,ABS(Table1[[#This Row],[Iout]]-Table1[[#This Row],[Ripple Current pk-pk]]/2)*Vsd_Q1*Deadtime*Fsw),0)</f>
        <v>0</v>
      </c>
      <c r="AK40" s="354">
        <f>(Table1[[#This Row],[Dead Time Loss BuCtrl]]+Table1[[#This Row],[Transition Loss BuCtrl]]+Table1[[#This Row],[RDS(on) Loss BuCtrl]]*(1+RdsonTopTc*Ta-RdsonTopTc*25))/(1-Table1[[#This Row],[RDS(on) Loss BuCtrl]]*RdsonTopTc*ThetaJA_Q1)</f>
        <v>3.3691533007688865</v>
      </c>
      <c r="AL40" s="354">
        <f>CHOOSE(Table1[[#This Row],[Mode Digit]],SQRT((Fsw*(Table1[[#This Row],[t2_Ph_I]]+0))*((Table1[[#This Row],[I_0]]*Table1[[#This Row],[I_1]]+((Table1[[#This Row],[I_0]]-Table1[[#This Row],[I_1]])^2)/3))),0,SQRT((Fsw*(Table1[[#This Row],[t3_Ph_III]]+0))*((Table1[[#This Row],[I_0]]*Table1[[#This Row],[I_2]]+((Table1[[#This Row],[I_0]]-Table1[[#This Row],[I_2]])^2)/3))))</f>
        <v>6.9718204551729057</v>
      </c>
      <c r="AM40" s="354">
        <f>Rdson2*Table1[[#This Row],[Irms BuSync]]^2</f>
        <v>0.20414637792850288</v>
      </c>
      <c r="AN4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0" s="354">
        <f>(Table1[[#This Row],[Deadtime Loss BuSync]]+Table1[[#This Row],[RDS(on) Loss BuSync]]*(1+RdsonBotTc*Ta-RdsonBotTc*25))/(1-Table1[[#This Row],[RDS(on) Loss BuSync]]*RdsonBotTc*ThetaJA_Q2)</f>
        <v>0.82178107781668097</v>
      </c>
      <c r="AP40" s="354">
        <f>CHOOSE(Table1[[#This Row],[Mode Digit]],0,SQRT((Fsw*(Table1[[#This Row],[t1_Ph_II]]+0))*((Table1[[#This Row],[I_0]]*Table1[[#This Row],[I_1]]+((Table1[[#This Row],[I_0]]-Table1[[#This Row],[I_1]])^2)/3))),SQRT((Fsw*(Table1[[#This Row],[t2_Ph_I]]+0))*((Table1[[#This Row],[I_1]]*Table1[[#This Row],[I_2]]+((Table1[[#This Row],[I_1]]-Table1[[#This Row],[I_2]])^2)/3))))</f>
        <v>0</v>
      </c>
      <c r="AQ40" s="354">
        <f>Rdson4*Table1[[#This Row],[Irms BoCtlr]]^2</f>
        <v>0</v>
      </c>
      <c r="AR40" s="354">
        <f>CHOOSE(Table1[[#This Row],[Mode Digit]], 0, (Vout*Table1[[#This Row],[Iin]]/2)*(Fsw)*(Tr_boost+Tf_boost), (Vout*Iout/2)*(Fsw/1)*(Tr_boost+Tf_boost))</f>
        <v>0</v>
      </c>
      <c r="AS40">
        <f>IF(Table1[[#This Row],[Vin]]&gt;Vout, 0, IF(Table1[[#This Row],[Iin]]&gt;Table1[[#This Row],[Ripple Current pk-pk]]/2,0,ABS(Table1[[#This Row],[Iin]]-Table1[[#This Row],[Ripple Current pk-pk]]/2)*Vsd_Q4*Deadtime*Fsw))</f>
        <v>0</v>
      </c>
      <c r="AT40" s="354">
        <f>(Table1[[#This Row],[Dead Time Loss BoCtlr]]+Table1[[#This Row],[Transition Loss BoCtlr]]+Table1[[#This Row],[RDS(on) Loss BoCtlr]]*(1+RdsonTopTc*Ta-RdsonTopTc*25))/(1-Table1[[#This Row],[RDS(on) Loss BoCtlr]]*RdsonTopTc*ThetaJA_Q4)</f>
        <v>0</v>
      </c>
      <c r="AU4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12.034957059972051</v>
      </c>
      <c r="AV40" s="354">
        <f>Rdson3*Table1[[#This Row],[Irms BoSync]]^2</f>
        <v>0.60832880402855871</v>
      </c>
      <c r="AW4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0" s="354">
        <f>(Table1[[#This Row],[Deadtime Loss BoSync]]+Table1[[#This Row],[RDS(on) Loss BoSync]]*(1+RdsonBotTc*Ta-RdsonBotTc*25))/(1-Table1[[#This Row],[RDS(on) Loss BoSync]]*RdsonBotTc*ThetaJA_Q3)</f>
        <v>0.71232790363526544</v>
      </c>
      <c r="AY40" s="354">
        <f>CHOOSE(Table1[[#This Row],[Mode Digit]], Rdson3*Table1[[#This Row],[Irms Lf]]^2, Rdson1*Table1[[#This Row],[Irms Lf]]^2, 0)</f>
        <v>0.60832880402855871</v>
      </c>
      <c r="AZ40" s="354">
        <f>CHOOSE(Table1[[#This Row],[Mode Digit]], 2*Deadtime*Fsw*IF(VfdSky_Q2&gt;0,VfdSky_Q2,0)*Table1[[#This Row],[Iout]], 2*Deadtime*Fsw*IF(VfdSky_Q3&gt;0,VfdSky_Q3,0)*Table1[[#This Row],[Iin]], 2*Deadtime*Fsw*IF(VfdSky_Q2&gt;0,VfdSky_Q2,0)*Table1[[#This Row],[Iout]]+2*Deadtime*Fsw*IF(VfdSky_Q3&gt;0,VfdSky_Q3,0)*Table1[[#This Row],[Iin]])</f>
        <v>0</v>
      </c>
      <c r="BA40" s="354">
        <f>CHOOSE(Table1[[#This Row],[Mode Digit]], IF(QrrSky_Q2&gt;0,QrrSky_Q2,Qrr_Q2)*Fsw*(Table1[[#This Row],[Vin]]-Table1[[#This Row],[Iout]]*Rdson1),0,  IF(QrrSky_Q2&gt;0,QrrSky_Q2,Qrr_Q2)*Fsw*(Table1[[#This Row],[Vin]]-Table1[[#This Row],[Iout]]*Rdson1)+IF(QrrSky_Q3&gt;0,QrrSky_Q3,Qrr_Q3)*Fsw*Vout)</f>
        <v>0.26543520000000004</v>
      </c>
      <c r="BB40" s="354">
        <f>CHOOSE(Table1[[#This Row],[Mode Digit]],0, IF(QrrSky_Q3&gt;0,QrrSky_Q3,Qrr_Q3)*Fsw*Vout,  IF(QrrSky_Q2&gt;0,QrrSky_Q2,Qrr_Q2)*Fsw*(Table1[[#This Row],[Vin]]-Table1[[#This Row],[Iout]]*Rdson1)+IF(QrrSky_Q3&gt;0,QrrSky_Q3,Qrr_Q3)*Fsw*Vout)</f>
        <v>0</v>
      </c>
      <c r="BC40" s="354">
        <f>CHOOSE(Table1[[#This Row],[Mode Digit]], Rs*Table1[[#This Row],[Irms BuSync]]^2, Rs*Table1[[#This Row],[Irms BoCtlr]]^2, Rs*(Table1[[#This Row],[Irms BuSync]]^2+Table1[[#This Row],[Irms BoCtlr]]^2))</f>
        <v>0.12151570114791836</v>
      </c>
      <c r="BD40" s="354">
        <f t="shared" si="1"/>
        <v>1.44</v>
      </c>
      <c r="BE40" s="354">
        <f>IF(Vout&gt;8, Iq*Vout, Iq*Table1[[#This Row],[Vin]])</f>
        <v>4.3799999999999999E-2</v>
      </c>
      <c r="BF40" s="354">
        <f>CHOOSE(Table1[[#This Row],[Mode Digit]], (Qg_Q1+Qg_Q2)*Fsw, (Qg_Q3+Qg_Q4)*Fsw, (Qg_Q1+Qg_Q2+Qg_Q3+Qg_Q4)*Fsw)*IF(Vout&gt;8, Vout, Table1[[#This Row],[Vin]])</f>
        <v>0.47303999999999996</v>
      </c>
      <c r="BG40" s="354">
        <f t="shared" si="2"/>
        <v>0.57269042016806726</v>
      </c>
      <c r="BH40" s="354">
        <f>Table1[[#This Row],[IQ Loss]]+Table1[[#This Row],[Switching Current Loss]]</f>
        <v>0.51683999999999997</v>
      </c>
      <c r="BI4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8.6769187308340374</v>
      </c>
      <c r="BJ40">
        <f>Vout*Table1[[#This Row],[Iout]]</f>
        <v>175.2</v>
      </c>
      <c r="BK40" s="550">
        <f>Table1[[#This Row],[Pout]]/(Table1[[#This Row],[Pout]]+Table1[[#This Row],[Total Loss]])</f>
        <v>0.95281126750043244</v>
      </c>
      <c r="BL4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202.14919804613319</v>
      </c>
      <c r="BM40" s="559">
        <f>IF(Table1[[#This Row],[Vin]]&gt;Vout, Table1[[#This Row],[Total Sync Bu MOSFET Loss]]*ThetaJA_Q2, ThetaJA_Q3*Table1[[#This Row],[Total Sync Bo MOSFET Loss]])</f>
        <v>49.306864669000859</v>
      </c>
      <c r="BN40" s="9"/>
      <c r="BO40" s="4">
        <f>Table1[[#This Row],[EFF, h]]*100</f>
        <v>95.281126750043242</v>
      </c>
      <c r="BP40" s="354">
        <f>Table1[[#This Row],[Total Inductor Loss]]</f>
        <v>1.3610751635521507</v>
      </c>
      <c r="BQ40" s="354">
        <f>Table1[[#This Row],[Total Control Bu MOSFET Loss]]+Table1[[#This Row],[Total Sync Bu MOSFET Loss]]+Table1[[#This Row],[Total Control Bo MOSFET Loss]]+Table1[[#This Row],[Total Sync Bo MOSFET Loss]]+Table1[[#This Row],[Reverse Recovery Loss MOSFET D BUCK]]+Table1[[#This Row],[Reverse Recovery Loss MOSFET D BOOST]]</f>
        <v>5.1686974822208329</v>
      </c>
      <c r="BR40" s="354">
        <f>Table1[[#This Row],[Total Control Bu MOSFET Loss]]+Table1[[#This Row],[Reverse Recovery Loss MOSFET D BUCK]]*0.66</f>
        <v>3.5443405327688864</v>
      </c>
      <c r="BS40" s="354">
        <f>Table1[[#This Row],[Total Sync Bu MOSFET Loss]]+Table1[[#This Row],[Reverse Recovery Loss MOSFET D BUCK]]*0.33</f>
        <v>0.90937469381668101</v>
      </c>
      <c r="BT40" s="354">
        <f xml:space="preserve"> Table1[[#This Row],[Total Control Bo MOSFET Loss]]+Table1[[#This Row],[Reverse Recovery Loss MOSFET D BOOST]]*0.66</f>
        <v>0</v>
      </c>
      <c r="BU40" s="354">
        <f xml:space="preserve"> Table1[[#This Row],[Total Sync Bo MOSFET Loss]]+Table1[[#This Row],[Reverse Recovery Loss MOSFET D BOOST]]*0.33</f>
        <v>0.71232790363526544</v>
      </c>
      <c r="BV40" s="354">
        <f>Table1[[#This Row],[Isense Shunt Loss]]</f>
        <v>0.12151570114791836</v>
      </c>
      <c r="CA40">
        <v>9.9984319999999993</v>
      </c>
      <c r="CB40">
        <v>2.7269999999999999</v>
      </c>
      <c r="CC40">
        <v>5.115812</v>
      </c>
      <c r="CD40">
        <v>94.558770424517263</v>
      </c>
      <c r="CE40">
        <v>802.77694931200062</v>
      </c>
    </row>
    <row r="41" spans="1:83" x14ac:dyDescent="0.2">
      <c r="A41" s="23" t="s">
        <v>146</v>
      </c>
      <c r="B41" s="5">
        <f>Qgs_Q1*1000000000</f>
        <v>6.2</v>
      </c>
      <c r="C41" s="440" t="s">
        <v>69</v>
      </c>
      <c r="D41" s="21"/>
      <c r="G41">
        <v>32</v>
      </c>
      <c r="H41" s="555">
        <f>VIN_min+(VIN_max-VIN_min)*(Table1[[#This Row],[Step]]/200)</f>
        <v>22.240000000000002</v>
      </c>
      <c r="I41" s="4" t="str">
        <f>IF(Mode = 2,IF(Table1[[#This Row],[Vin]]&gt;Vout, "BUCK","BOOST"),IF(Table1[[#This Row],[Vin]]&gt;VIN_BB_to_buck, "BUCK", IF(Table1[[#This Row],[Vin]]&lt;=VIN_boost_to_BB,"BOOST","BUCK-BST")))</f>
        <v>BUCK</v>
      </c>
      <c r="J41">
        <f>IF(Table1[[#This Row],[Mode]]="BOOST",2, IF(Table1[[#This Row],[Mode]]="BUCK", 1,3))</f>
        <v>1</v>
      </c>
      <c r="K41">
        <f t="shared" si="0"/>
        <v>12</v>
      </c>
      <c r="L41" s="4">
        <f>Vout*Table1[[#This Row],[Iout]]/(Table1[[#This Row],[Vin]]*Efficiency)</f>
        <v>8.2923135176069671</v>
      </c>
      <c r="M41" s="711">
        <f>MIN(1/Fsw,CHOOSE(Table1[[#This Row],[Mode Digit]],(Vout+(Rdson2+Rs+Rdcr)*Table1[[#This Row],[Iout]])/(Table1[[#This Row],[Vin]]+(Rs+Rdson2-Rdson1)*Table1[[#This Row],[Iout]])/Fsw,(Vout+(Rdson3+Rdcr)*Table1[[#This Row],[Iin]]-Table1[[#This Row],[Vin]])/(Vout+(Rdson3-Rdson4-Rs)*Table1[[#This Row],[Iin]])/Fsw,t1_Ph_II))</f>
        <v>1.1038766651698846E-6</v>
      </c>
      <c r="N41" s="602">
        <f>CHOOSE(Table1[[#This Row],[Mode Digit]],1/Fsw-Table1[[#This Row],[t1_Ph_II]],1/Fsw-Table1[[#This Row],[t1_Ph_II]],(Vout/Fsw-Table1[[#This Row],[Vin]]*t1_Ph_II)/(Table1[[#This Row],[Vin]]+Vout))</f>
        <v>5.6279000149678205E-7</v>
      </c>
      <c r="O41" s="602">
        <f>1/Fsw-(Table1[[#This Row],[t1_Ph_II]]+Table1[[#This Row],[t2_Ph_I]])</f>
        <v>0</v>
      </c>
      <c r="P4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10.402723916307211</v>
      </c>
      <c r="Q41" s="4">
        <f>CHOOSE(Table1[[#This Row],[Mode Digit]],Table1[[#This Row],[I_0]]+1/Lf*(Table1[[#This Row],[Vin]]-Vout)*Table1[[#This Row],[t1_Ph_II]],Table1[[#This Row],[I_0]]+1/Lf*Table1[[#This Row],[Vin]]*Table1[[#This Row],[t1_Ph_II]],Table1[[#This Row],[I_0]]+(Table1[[#This Row],[Vin]]-Vout)/L*Table1[[#This Row],[t1_Ph_II]])</f>
        <v>13.597276083692787</v>
      </c>
      <c r="R41" s="4">
        <f>CHOOSE(Table1[[#This Row],[Mode Digit]],0,0,Table1[[#This Row],[I_1]]+Table1[[#This Row],[Vin]]/L*Table1[[#This Row],[t2_Ph_I]])</f>
        <v>0</v>
      </c>
      <c r="S41" s="4">
        <f>Fsw*(Table1[[#This Row],[I_0]]*Table1[[#This Row],[t1_Ph_II]]+Table1[[#This Row],[I_1]]*Table1[[#This Row],[t2_Ph_I]]+Table1[[#This Row],[I_2]]*Table1[[#This Row],[t3_Ph_III]])</f>
        <v>11.481441127745898</v>
      </c>
      <c r="T41" s="354">
        <f>MIN(1,CHOOSE(Table1[[#This Row],[Mode Digit]],(Vout+(Rdson2+Rs+Rdcr)*Table1[[#This Row],[Iout]])/(Table1[[#This Row],[Vin]]+(Rs+Rdson2-Rdson1)*Table1[[#This Row],[Iout]]),1,Fsw*Table1[[#This Row],[t2_Ph_I]]+Table1[[#This Row],[t1_Ph_II]]))</f>
        <v>0.6623259991019308</v>
      </c>
      <c r="U41" s="354">
        <f>MIN(1,CHOOSE(Table1[[#This Row],[Mode Digit]],0,(Vout+(Rdson3+Rdcr)*Table1[[#This Row],[Iin]]-Table1[[#This Row],[Vin]])/(Vout+(Rdson3-Rdson4-Rs)*Table1[[#This Row],[Iin]]),Fsw*Table1[[#This Row],[t1_Ph_II]]+Table1[[#This Row],[t3_Ph_III]]))</f>
        <v>0</v>
      </c>
      <c r="V41" s="4">
        <f>MAX(Table1[[#This Row],[I_0]:[I_2]])-MIN(Table1[[#This Row],[I_0]:[I_1]])</f>
        <v>3.1945521673855755</v>
      </c>
      <c r="W4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12.035382432471584</v>
      </c>
      <c r="X41" s="354">
        <f>(Table1[[#This Row],[Irms Lf]]^2*Rdcr*(1+Ltc*Ta-Ltc*25))/(1-Table1[[#This Row],[Irms Lf]]^2*Rdcr*Ltc*ThetaCa)</f>
        <v>0.90066685514138678</v>
      </c>
      <c r="Y41" s="354">
        <f>ABS(7.759*10^-3*Fsw^0.9458*(0.00787*Table1[[#This Row],[Ripple Current pk-pk]])^2.304)</f>
        <v>0.46694700304263459</v>
      </c>
      <c r="Z41" s="354">
        <f>Table1[[#This Row],[DCR    Loss]]+Table1[[#This Row],[Core Loss]]</f>
        <v>1.3676138581840214</v>
      </c>
      <c r="AA41" s="4">
        <f>IF(Table1[[#This Row],[Vin]]&gt;Vout, Table1[[#This Row],[Ripple Current pk-pk]]/SQRT(12), SQRT(Table1[[#This Row],[Duty Cycle BOOST Leg]]/(1-Table1[[#This Row],[Duty Cycle BOOST Leg]]))*SQRT(Table1[[#This Row],[Iout]]^2+(Table1[[#This Row],[Ripple Current pk-pk]]^2)/12))</f>
        <v>0.92218777689018228</v>
      </c>
      <c r="AB41" s="354">
        <f>RCoutEsr*Table1[[#This Row],[Irms Cout]]^2</f>
        <v>4.2521514792282838E-3</v>
      </c>
      <c r="AC41" s="354">
        <f>Table1[[#This Row],[Cout ESR Loss]]</f>
        <v>4.2521514792282838E-3</v>
      </c>
      <c r="AD41" s="354">
        <f>IF(Table1[[#This Row],[Vin]]&gt;Vout, SQRT(Table1[[#This Row],[Duty Cycle BUCK Leg]]*(1-Table1[[#This Row],[Duty Cycle BUCK Leg]]))*SQRT(Table1[[#This Row],[Iout]]^2+(Table1[[#This Row],[Ripple Current pk-pk]]^2)/12), Table1[[#This Row],[Ripple Current pk-pk]]/SQRT(12))</f>
        <v>5.6917341687341594</v>
      </c>
      <c r="AE41" s="354">
        <f>RCinEsr*Table1[[#This Row],[Irms Cin]]^2</f>
        <v>6.4791675695071854E-2</v>
      </c>
      <c r="AF41" s="549">
        <f>Table1[[#This Row],[Cin ESR Loss]]</f>
        <v>6.4791675695071854E-2</v>
      </c>
      <c r="AG4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9.7948050499252179</v>
      </c>
      <c r="AH41" s="354">
        <f>Rdson1*Table1[[#This Row],[Irms BuCtrl]]^2</f>
        <v>0.40294046505737041</v>
      </c>
      <c r="AI41" s="354">
        <f>CHOOSE(Table1[[#This Row],[Mode Digit]], (Table1[[#This Row],[Vin]]*Table1[[#This Row],[Iout]]/2)*(Fsw)*(Tr_buck+Tf_buck), 0, (Table1[[#This Row],[Vin]]*Table1[[#This Row],[Avg IL]]/2)*(Fsw/1)*(Tr_buck+Tf_buck))</f>
        <v>2.6464800096989296</v>
      </c>
      <c r="AJ41">
        <f>IF(Table1[[#This Row],[Vin]]&gt;Vout, IF(Table1[[#This Row],[Iout]]&gt;Table1[[#This Row],[Ripple Current pk-pk]]/2,0,ABS(Table1[[#This Row],[Iout]]-Table1[[#This Row],[Ripple Current pk-pk]]/2)*Vsd_Q1*Deadtime*Fsw),0)</f>
        <v>0</v>
      </c>
      <c r="AK41" s="354">
        <f>(Table1[[#This Row],[Dead Time Loss BuCtrl]]+Table1[[#This Row],[Transition Loss BuCtrl]]+Table1[[#This Row],[RDS(on) Loss BuCtrl]]*(1+RdsonTopTc*Ta-RdsonTopTc*25))/(1-Table1[[#This Row],[RDS(on) Loss BuCtrl]]*RdsonTopTc*ThetaJA_Q1)</f>
        <v>3.3758881396274552</v>
      </c>
      <c r="AL41" s="354">
        <f>CHOOSE(Table1[[#This Row],[Mode Digit]],SQRT((Fsw*(Table1[[#This Row],[t2_Ph_I]]+0))*((Table1[[#This Row],[I_0]]*Table1[[#This Row],[I_1]]+((Table1[[#This Row],[I_0]]-Table1[[#This Row],[I_1]])^2)/3))),0,SQRT((Fsw*(Table1[[#This Row],[t3_Ph_III]]+0))*((Table1[[#This Row],[I_0]]*Table1[[#This Row],[I_2]]+((Table1[[#This Row],[I_0]]-Table1[[#This Row],[I_2]])^2)/3))))</f>
        <v>6.9937274989668481</v>
      </c>
      <c r="AM41" s="354">
        <f>Rdson2*Table1[[#This Row],[Irms BuSync]]^2</f>
        <v>0.20543134218518139</v>
      </c>
      <c r="AN4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1" s="354">
        <f>(Table1[[#This Row],[Deadtime Loss BuSync]]+Table1[[#This Row],[RDS(on) Loss BuSync]]*(1+RdsonBotTc*Ta-RdsonBotTc*25))/(1-Table1[[#This Row],[RDS(on) Loss BuSync]]*RdsonBotTc*ThetaJA_Q2)</f>
        <v>0.82339925409829551</v>
      </c>
      <c r="AP41" s="354">
        <f>CHOOSE(Table1[[#This Row],[Mode Digit]],0,SQRT((Fsw*(Table1[[#This Row],[t1_Ph_II]]+0))*((Table1[[#This Row],[I_0]]*Table1[[#This Row],[I_1]]+((Table1[[#This Row],[I_0]]-Table1[[#This Row],[I_1]])^2)/3))),SQRT((Fsw*(Table1[[#This Row],[t2_Ph_I]]+0))*((Table1[[#This Row],[I_1]]*Table1[[#This Row],[I_2]]+((Table1[[#This Row],[I_1]]-Table1[[#This Row],[I_2]])^2)/3))))</f>
        <v>0</v>
      </c>
      <c r="AQ41" s="354">
        <f>Rdson4*Table1[[#This Row],[Irms BoCtlr]]^2</f>
        <v>0</v>
      </c>
      <c r="AR41" s="354">
        <f>CHOOSE(Table1[[#This Row],[Mode Digit]], 0, (Vout*Table1[[#This Row],[Iin]]/2)*(Fsw)*(Tr_boost+Tf_boost), (Vout*Iout/2)*(Fsw/1)*(Tr_boost+Tf_boost))</f>
        <v>0</v>
      </c>
      <c r="AS41">
        <f>IF(Table1[[#This Row],[Vin]]&gt;Vout, 0, IF(Table1[[#This Row],[Iin]]&gt;Table1[[#This Row],[Ripple Current pk-pk]]/2,0,ABS(Table1[[#This Row],[Iin]]-Table1[[#This Row],[Ripple Current pk-pk]]/2)*Vsd_Q4*Deadtime*Fsw))</f>
        <v>0</v>
      </c>
      <c r="AT41" s="354">
        <f>(Table1[[#This Row],[Dead Time Loss BoCtlr]]+Table1[[#This Row],[Transition Loss BoCtlr]]+Table1[[#This Row],[RDS(on) Loss BoCtlr]]*(1+RdsonTopTc*Ta-RdsonTopTc*25))/(1-Table1[[#This Row],[RDS(on) Loss BoCtlr]]*RdsonTopTc*ThetaJA_Q4)</f>
        <v>0</v>
      </c>
      <c r="AU4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12.035382432471584</v>
      </c>
      <c r="AV41" s="354">
        <f>Rdson3*Table1[[#This Row],[Irms BoSync]]^2</f>
        <v>0.60837180724255169</v>
      </c>
      <c r="AW4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1" s="354">
        <f>(Table1[[#This Row],[Deadtime Loss BoSync]]+Table1[[#This Row],[RDS(on) Loss BoSync]]*(1+RdsonBotTc*Ta-RdsonBotTc*25))/(1-Table1[[#This Row],[RDS(on) Loss BoSync]]*RdsonBotTc*ThetaJA_Q3)</f>
        <v>0.71238686795830952</v>
      </c>
      <c r="AY41" s="354">
        <f>CHOOSE(Table1[[#This Row],[Mode Digit]], Rdson3*Table1[[#This Row],[Irms Lf]]^2, Rdson1*Table1[[#This Row],[Irms Lf]]^2, 0)</f>
        <v>0.60837180724255169</v>
      </c>
      <c r="AZ41" s="354">
        <f>CHOOSE(Table1[[#This Row],[Mode Digit]], 2*Deadtime*Fsw*IF(VfdSky_Q2&gt;0,VfdSky_Q2,0)*Table1[[#This Row],[Iout]], 2*Deadtime*Fsw*IF(VfdSky_Q3&gt;0,VfdSky_Q3,0)*Table1[[#This Row],[Iin]], 2*Deadtime*Fsw*IF(VfdSky_Q2&gt;0,VfdSky_Q2,0)*Table1[[#This Row],[Iout]]+2*Deadtime*Fsw*IF(VfdSky_Q3&gt;0,VfdSky_Q3,0)*Table1[[#This Row],[Iin]])</f>
        <v>0</v>
      </c>
      <c r="BA41" s="354">
        <f>CHOOSE(Table1[[#This Row],[Mode Digit]], IF(QrrSky_Q2&gt;0,QrrSky_Q2,Qrr_Q2)*Fsw*(Table1[[#This Row],[Vin]]-Table1[[#This Row],[Iout]]*Rdson1),0,  IF(QrrSky_Q2&gt;0,QrrSky_Q2,Qrr_Q2)*Fsw*(Table1[[#This Row],[Vin]]-Table1[[#This Row],[Iout]]*Rdson1)+IF(QrrSky_Q3&gt;0,QrrSky_Q3,Qrr_Q3)*Fsw*Vout)</f>
        <v>0.26627520000000005</v>
      </c>
      <c r="BB41" s="354">
        <f>CHOOSE(Table1[[#This Row],[Mode Digit]],0, IF(QrrSky_Q3&gt;0,QrrSky_Q3,Qrr_Q3)*Fsw*Vout,  IF(QrrSky_Q2&gt;0,QrrSky_Q2,Qrr_Q2)*Fsw*(Table1[[#This Row],[Vin]]-Table1[[#This Row],[Iout]]*Rdson1)+IF(QrrSky_Q3&gt;0,QrrSky_Q3,Qrr_Q3)*Fsw*Vout)</f>
        <v>0</v>
      </c>
      <c r="BC41" s="354">
        <f>CHOOSE(Table1[[#This Row],[Mode Digit]], Rs*Table1[[#This Row],[Irms BuSync]]^2, Rs*Table1[[#This Row],[Irms BoCtlr]]^2, Rs*(Table1[[#This Row],[Irms BuSync]]^2+Table1[[#This Row],[Irms BoCtlr]]^2))</f>
        <v>0.12228056082451272</v>
      </c>
      <c r="BD41" s="354">
        <f t="shared" si="1"/>
        <v>1.44</v>
      </c>
      <c r="BE41" s="354">
        <f>IF(Vout&gt;8, Iq*Vout, Iq*Table1[[#This Row],[Vin]])</f>
        <v>4.3799999999999999E-2</v>
      </c>
      <c r="BF41" s="354">
        <f>CHOOSE(Table1[[#This Row],[Mode Digit]], (Qg_Q1+Qg_Q2)*Fsw, (Qg_Q3+Qg_Q4)*Fsw, (Qg_Q1+Qg_Q2+Qg_Q3+Qg_Q4)*Fsw)*IF(Vout&gt;8, Vout, Table1[[#This Row],[Vin]])</f>
        <v>0.47303999999999996</v>
      </c>
      <c r="BG41" s="354">
        <f t="shared" si="2"/>
        <v>0.57269042016806726</v>
      </c>
      <c r="BH41" s="354">
        <f>Table1[[#This Row],[IQ Loss]]+Table1[[#This Row],[Switching Current Loss]]</f>
        <v>0.51683999999999997</v>
      </c>
      <c r="BI4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8.6937277078668949</v>
      </c>
      <c r="BJ41">
        <f>Vout*Table1[[#This Row],[Iout]]</f>
        <v>175.2</v>
      </c>
      <c r="BK41" s="550">
        <f>Table1[[#This Row],[Pout]]/(Table1[[#This Row],[Pout]]+Table1[[#This Row],[Total Loss]])</f>
        <v>0.95272417490129013</v>
      </c>
      <c r="BL4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202.55328837764731</v>
      </c>
      <c r="BM41" s="559">
        <f>IF(Table1[[#This Row],[Vin]]&gt;Vout, Table1[[#This Row],[Total Sync Bu MOSFET Loss]]*ThetaJA_Q2, ThetaJA_Q3*Table1[[#This Row],[Total Sync Bo MOSFET Loss]])</f>
        <v>49.403955245897734</v>
      </c>
      <c r="BN41" s="9"/>
      <c r="BO41" s="4">
        <f>Table1[[#This Row],[EFF, h]]*100</f>
        <v>95.272417490129016</v>
      </c>
      <c r="BP41" s="354">
        <f>Table1[[#This Row],[Total Inductor Loss]]</f>
        <v>1.3676138581840214</v>
      </c>
      <c r="BQ41" s="354">
        <f>Table1[[#This Row],[Total Control Bu MOSFET Loss]]+Table1[[#This Row],[Total Sync Bu MOSFET Loss]]+Table1[[#This Row],[Total Control Bo MOSFET Loss]]+Table1[[#This Row],[Total Sync Bo MOSFET Loss]]+Table1[[#This Row],[Reverse Recovery Loss MOSFET D BUCK]]+Table1[[#This Row],[Reverse Recovery Loss MOSFET D BOOST]]</f>
        <v>5.1779494616840598</v>
      </c>
      <c r="BR41" s="354">
        <f>Table1[[#This Row],[Total Control Bu MOSFET Loss]]+Table1[[#This Row],[Reverse Recovery Loss MOSFET D BUCK]]*0.66</f>
        <v>3.5516297716274554</v>
      </c>
      <c r="BS41" s="354">
        <f>Table1[[#This Row],[Total Sync Bu MOSFET Loss]]+Table1[[#This Row],[Reverse Recovery Loss MOSFET D BUCK]]*0.33</f>
        <v>0.91127007009829553</v>
      </c>
      <c r="BT41" s="354">
        <f xml:space="preserve"> Table1[[#This Row],[Total Control Bo MOSFET Loss]]+Table1[[#This Row],[Reverse Recovery Loss MOSFET D BOOST]]*0.66</f>
        <v>0</v>
      </c>
      <c r="BU41" s="354">
        <f xml:space="preserve"> Table1[[#This Row],[Total Sync Bo MOSFET Loss]]+Table1[[#This Row],[Reverse Recovery Loss MOSFET D BOOST]]*0.33</f>
        <v>0.71238686795830952</v>
      </c>
      <c r="BV41" s="354">
        <f>Table1[[#This Row],[Isense Shunt Loss]]</f>
        <v>0.12228056082451272</v>
      </c>
      <c r="CA41">
        <v>9.9985180000000007</v>
      </c>
      <c r="CB41">
        <v>3.1859999999999999</v>
      </c>
      <c r="CC41">
        <v>5.1148889999999998</v>
      </c>
      <c r="CD41">
        <v>94.58411932633652</v>
      </c>
      <c r="CE41">
        <v>933.10990806000302</v>
      </c>
    </row>
    <row r="42" spans="1:83" x14ac:dyDescent="0.2">
      <c r="A42" s="23" t="s">
        <v>93</v>
      </c>
      <c r="B42" s="5">
        <f>Rgate1</f>
        <v>4.7</v>
      </c>
      <c r="C42" s="444" t="s">
        <v>118</v>
      </c>
      <c r="D42" s="21" t="s">
        <v>102</v>
      </c>
      <c r="G42">
        <v>33</v>
      </c>
      <c r="H42" s="555">
        <f>VIN_min+(VIN_max-VIN_min)*(Table1[[#This Row],[Step]]/200)</f>
        <v>22.31</v>
      </c>
      <c r="I42" s="4" t="str">
        <f>IF(Mode = 2,IF(Table1[[#This Row],[Vin]]&gt;Vout, "BUCK","BOOST"),IF(Table1[[#This Row],[Vin]]&gt;VIN_BB_to_buck, "BUCK", IF(Table1[[#This Row],[Vin]]&lt;=VIN_boost_to_BB,"BOOST","BUCK-BST")))</f>
        <v>BUCK</v>
      </c>
      <c r="J42">
        <f>IF(Table1[[#This Row],[Mode]]="BOOST",2, IF(Table1[[#This Row],[Mode]]="BUCK", 1,3))</f>
        <v>1</v>
      </c>
      <c r="K42">
        <f t="shared" si="0"/>
        <v>12</v>
      </c>
      <c r="L42" s="4">
        <f>Vout*Table1[[#This Row],[Iout]]/(Table1[[#This Row],[Vin]]*Efficiency)</f>
        <v>8.2662955011913475</v>
      </c>
      <c r="M42" s="711">
        <f>MIN(1/Fsw,CHOOSE(Table1[[#This Row],[Mode Digit]],(Vout+(Rdson2+Rs+Rdcr)*Table1[[#This Row],[Iout]])/(Table1[[#This Row],[Vin]]+(Rs+Rdson2-Rdson1)*Table1[[#This Row],[Iout]])/Fsw,(Vout+(Rdson3+Rdcr)*Table1[[#This Row],[Iin]]-Table1[[#This Row],[Vin]])/(Vout+(Rdson3-Rdson4-Rs)*Table1[[#This Row],[Iin]])/Fsw,t1_Ph_II))</f>
        <v>1.1004177857356012E-6</v>
      </c>
      <c r="N42" s="602">
        <f>CHOOSE(Table1[[#This Row],[Mode Digit]],1/Fsw-Table1[[#This Row],[t1_Ph_II]],1/Fsw-Table1[[#This Row],[t1_Ph_II]],(Vout/Fsw-Table1[[#This Row],[Vin]]*t1_Ph_II)/(Table1[[#This Row],[Vin]]+Vout))</f>
        <v>5.6624888093106544E-7</v>
      </c>
      <c r="O42" s="602">
        <f>1/Fsw-(Table1[[#This Row],[t1_Ph_II]]+Table1[[#This Row],[t2_Ph_I]])</f>
        <v>0</v>
      </c>
      <c r="P4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10.393139937874718</v>
      </c>
      <c r="Q42" s="4">
        <f>CHOOSE(Table1[[#This Row],[Mode Digit]],Table1[[#This Row],[I_0]]+1/Lf*(Table1[[#This Row],[Vin]]-Vout)*Table1[[#This Row],[t1_Ph_II]],Table1[[#This Row],[I_0]]+1/Lf*Table1[[#This Row],[Vin]]*Table1[[#This Row],[t1_Ph_II]],Table1[[#This Row],[I_0]]+(Table1[[#This Row],[Vin]]-Vout)/L*Table1[[#This Row],[t1_Ph_II]])</f>
        <v>13.60686006212528</v>
      </c>
      <c r="R42" s="4">
        <f>CHOOSE(Table1[[#This Row],[Mode Digit]],0,0,Table1[[#This Row],[I_1]]+Table1[[#This Row],[Vin]]/L*Table1[[#This Row],[t2_Ph_I]])</f>
        <v>0</v>
      </c>
      <c r="S42" s="4">
        <f>Fsw*(Table1[[#This Row],[I_0]]*Table1[[#This Row],[t1_Ph_II]]+Table1[[#This Row],[I_1]]*Table1[[#This Row],[t2_Ph_I]]+Table1[[#This Row],[I_2]]*Table1[[#This Row],[t3_Ph_III]])</f>
        <v>11.484999192264233</v>
      </c>
      <c r="T42" s="354">
        <f>MIN(1,CHOOSE(Table1[[#This Row],[Mode Digit]],(Vout+(Rdson2+Rs+Rdcr)*Table1[[#This Row],[Iout]])/(Table1[[#This Row],[Vin]]+(Rs+Rdson2-Rdson1)*Table1[[#This Row],[Iout]]),1,Fsw*Table1[[#This Row],[t2_Ph_I]]+Table1[[#This Row],[t1_Ph_II]]))</f>
        <v>0.66025067144136074</v>
      </c>
      <c r="U42" s="354">
        <f>MIN(1,CHOOSE(Table1[[#This Row],[Mode Digit]],0,(Vout+(Rdson3+Rdcr)*Table1[[#This Row],[Iin]]-Table1[[#This Row],[Vin]])/(Vout+(Rdson3-Rdson4-Rs)*Table1[[#This Row],[Iin]]),Fsw*Table1[[#This Row],[t1_Ph_II]]+Table1[[#This Row],[t3_Ph_III]]))</f>
        <v>0</v>
      </c>
      <c r="V42" s="4">
        <f>MAX(Table1[[#This Row],[I_0]:[I_2]])-MIN(Table1[[#This Row],[I_0]:[I_1]])</f>
        <v>3.2137201242505622</v>
      </c>
      <c r="W4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12.035807676253016</v>
      </c>
      <c r="X42" s="354">
        <f>(Table1[[#This Row],[Irms Lf]]^2*Rdcr*(1+Ltc*Ta-Ltc*25))/(1-Table1[[#This Row],[Irms Lf]]^2*Rdcr*Ltc*ThetaCa)</f>
        <v>0.90073508878053432</v>
      </c>
      <c r="Y42" s="354">
        <f>ABS(7.759*10^-3*Fsw^0.9458*(0.00787*Table1[[#This Row],[Ripple Current pk-pk]])^2.304)</f>
        <v>0.47342756453931534</v>
      </c>
      <c r="Z42" s="354">
        <f>Table1[[#This Row],[DCR    Loss]]+Table1[[#This Row],[Core Loss]]</f>
        <v>1.3741626533198497</v>
      </c>
      <c r="AA42" s="4">
        <f>IF(Table1[[#This Row],[Vin]]&gt;Vout, Table1[[#This Row],[Ripple Current pk-pk]]/SQRT(12), SQRT(Table1[[#This Row],[Duty Cycle BOOST Leg]]/(1-Table1[[#This Row],[Duty Cycle BOOST Leg]]))*SQRT(Table1[[#This Row],[Iout]]^2+(Table1[[#This Row],[Ripple Current pk-pk]]^2)/12))</f>
        <v>0.92772108941808984</v>
      </c>
      <c r="AB42" s="354">
        <f>RCoutEsr*Table1[[#This Row],[Irms Cout]]^2</f>
        <v>4.3033320987554378E-3</v>
      </c>
      <c r="AC42" s="354">
        <f>Table1[[#This Row],[Cout ESR Loss]]</f>
        <v>4.3033320987554378E-3</v>
      </c>
      <c r="AD42" s="354">
        <f>IF(Table1[[#This Row],[Vin]]&gt;Vout, SQRT(Table1[[#This Row],[Duty Cycle BUCK Leg]]*(1-Table1[[#This Row],[Duty Cycle BUCK Leg]]))*SQRT(Table1[[#This Row],[Iout]]^2+(Table1[[#This Row],[Ripple Current pk-pk]]^2)/12), Table1[[#This Row],[Ripple Current pk-pk]]/SQRT(12))</f>
        <v>5.7004477424012165</v>
      </c>
      <c r="AE42" s="354">
        <f>RCinEsr*Table1[[#This Row],[Irms Cin]]^2</f>
        <v>6.4990208927694262E-2</v>
      </c>
      <c r="AF42" s="549">
        <f>Table1[[#This Row],[Cin ESR Loss]]</f>
        <v>6.4990208927694262E-2</v>
      </c>
      <c r="AG4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9.7797930586021913</v>
      </c>
      <c r="AH42" s="354">
        <f>Rdson1*Table1[[#This Row],[Irms BuCtrl]]^2</f>
        <v>0.40170627953015114</v>
      </c>
      <c r="AI42" s="354">
        <f>CHOOSE(Table1[[#This Row],[Mode Digit]], (Table1[[#This Row],[Vin]]*Table1[[#This Row],[Iout]]/2)*(Fsw)*(Tr_buck+Tf_buck), 0, (Table1[[#This Row],[Vin]]*Table1[[#This Row],[Avg IL]]/2)*(Fsw/1)*(Tr_buck+Tf_buck))</f>
        <v>2.6548097579308951</v>
      </c>
      <c r="AJ42">
        <f>IF(Table1[[#This Row],[Vin]]&gt;Vout, IF(Table1[[#This Row],[Iout]]&gt;Table1[[#This Row],[Ripple Current pk-pk]]/2,0,ABS(Table1[[#This Row],[Iout]]-Table1[[#This Row],[Ripple Current pk-pk]]/2)*Vsd_Q1*Deadtime*Fsw),0)</f>
        <v>0</v>
      </c>
      <c r="AK42" s="354">
        <f>(Table1[[#This Row],[Dead Time Loss BuCtrl]]+Table1[[#This Row],[Transition Loss BuCtrl]]+Table1[[#This Row],[RDS(on) Loss BuCtrl]]*(1+RdsonTopTc*Ta-RdsonTopTc*25))/(1-Table1[[#This Row],[RDS(on) Loss BuCtrl]]*RdsonTopTc*ThetaJA_Q1)</f>
        <v>3.3826341262270612</v>
      </c>
      <c r="AL42" s="354">
        <f>CHOOSE(Table1[[#This Row],[Mode Digit]],SQRT((Fsw*(Table1[[#This Row],[t2_Ph_I]]+0))*((Table1[[#This Row],[I_0]]*Table1[[#This Row],[I_1]]+((Table1[[#This Row],[I_0]]-Table1[[#This Row],[I_1]])^2)/3))),0,SQRT((Fsw*(Table1[[#This Row],[t3_Ph_III]]+0))*((Table1[[#This Row],[I_0]]*Table1[[#This Row],[I_2]]+((Table1[[#This Row],[I_0]]-Table1[[#This Row],[I_2]])^2)/3))))</f>
        <v>7.0154339958884542</v>
      </c>
      <c r="AM42" s="354">
        <f>Rdson2*Table1[[#This Row],[Irms BuSync]]^2</f>
        <v>0.2067085194328033</v>
      </c>
      <c r="AN4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2" s="354">
        <f>(Table1[[#This Row],[Deadtime Loss BuSync]]+Table1[[#This Row],[RDS(on) Loss BuSync]]*(1+RdsonBotTc*Ta-RdsonBotTc*25))/(1-Table1[[#This Row],[RDS(on) Loss BuSync]]*RdsonBotTc*ThetaJA_Q2)</f>
        <v>0.82500866470850276</v>
      </c>
      <c r="AP42" s="354">
        <f>CHOOSE(Table1[[#This Row],[Mode Digit]],0,SQRT((Fsw*(Table1[[#This Row],[t1_Ph_II]]+0))*((Table1[[#This Row],[I_0]]*Table1[[#This Row],[I_1]]+((Table1[[#This Row],[I_0]]-Table1[[#This Row],[I_1]])^2)/3))),SQRT((Fsw*(Table1[[#This Row],[t2_Ph_I]]+0))*((Table1[[#This Row],[I_1]]*Table1[[#This Row],[I_2]]+((Table1[[#This Row],[I_1]]-Table1[[#This Row],[I_2]])^2)/3))))</f>
        <v>0</v>
      </c>
      <c r="AQ42" s="354">
        <f>Rdson4*Table1[[#This Row],[Irms BoCtlr]]^2</f>
        <v>0</v>
      </c>
      <c r="AR42" s="354">
        <f>CHOOSE(Table1[[#This Row],[Mode Digit]], 0, (Vout*Table1[[#This Row],[Iin]]/2)*(Fsw)*(Tr_boost+Tf_boost), (Vout*Iout/2)*(Fsw/1)*(Tr_boost+Tf_boost))</f>
        <v>0</v>
      </c>
      <c r="AS42">
        <f>IF(Table1[[#This Row],[Vin]]&gt;Vout, 0, IF(Table1[[#This Row],[Iin]]&gt;Table1[[#This Row],[Ripple Current pk-pk]]/2,0,ABS(Table1[[#This Row],[Iin]]-Table1[[#This Row],[Ripple Current pk-pk]]/2)*Vsd_Q4*Deadtime*Fsw))</f>
        <v>0</v>
      </c>
      <c r="AT42" s="354">
        <f>(Table1[[#This Row],[Dead Time Loss BoCtlr]]+Table1[[#This Row],[Transition Loss BoCtlr]]+Table1[[#This Row],[RDS(on) Loss BoCtlr]]*(1+RdsonTopTc*Ta-RdsonTopTc*25))/(1-Table1[[#This Row],[RDS(on) Loss BoCtlr]]*RdsonTopTc*ThetaJA_Q4)</f>
        <v>0</v>
      </c>
      <c r="AU4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12.035807676253016</v>
      </c>
      <c r="AV42" s="354">
        <f>Rdson3*Table1[[#This Row],[Irms BoSync]]^2</f>
        <v>0.60841479896295436</v>
      </c>
      <c r="AW4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2" s="354">
        <f>(Table1[[#This Row],[Deadtime Loss BoSync]]+Table1[[#This Row],[RDS(on) Loss BoSync]]*(1+RdsonBotTc*Ta-RdsonBotTc*25))/(1-Table1[[#This Row],[RDS(on) Loss BoSync]]*RdsonBotTc*ThetaJA_Q3)</f>
        <v>0.71244581794644679</v>
      </c>
      <c r="AY42" s="354">
        <f>CHOOSE(Table1[[#This Row],[Mode Digit]], Rdson3*Table1[[#This Row],[Irms Lf]]^2, Rdson1*Table1[[#This Row],[Irms Lf]]^2, 0)</f>
        <v>0.60841479896295436</v>
      </c>
      <c r="AZ42" s="354">
        <f>CHOOSE(Table1[[#This Row],[Mode Digit]], 2*Deadtime*Fsw*IF(VfdSky_Q2&gt;0,VfdSky_Q2,0)*Table1[[#This Row],[Iout]], 2*Deadtime*Fsw*IF(VfdSky_Q3&gt;0,VfdSky_Q3,0)*Table1[[#This Row],[Iin]], 2*Deadtime*Fsw*IF(VfdSky_Q2&gt;0,VfdSky_Q2,0)*Table1[[#This Row],[Iout]]+2*Deadtime*Fsw*IF(VfdSky_Q3&gt;0,VfdSky_Q3,0)*Table1[[#This Row],[Iin]])</f>
        <v>0</v>
      </c>
      <c r="BA42" s="354">
        <f>CHOOSE(Table1[[#This Row],[Mode Digit]], IF(QrrSky_Q2&gt;0,QrrSky_Q2,Qrr_Q2)*Fsw*(Table1[[#This Row],[Vin]]-Table1[[#This Row],[Iout]]*Rdson1),0,  IF(QrrSky_Q2&gt;0,QrrSky_Q2,Qrr_Q2)*Fsw*(Table1[[#This Row],[Vin]]-Table1[[#This Row],[Iout]]*Rdson1)+IF(QrrSky_Q3&gt;0,QrrSky_Q3,Qrr_Q3)*Fsw*Vout)</f>
        <v>0.2671152</v>
      </c>
      <c r="BB42" s="354">
        <f>CHOOSE(Table1[[#This Row],[Mode Digit]],0, IF(QrrSky_Q3&gt;0,QrrSky_Q3,Qrr_Q3)*Fsw*Vout,  IF(QrrSky_Q2&gt;0,QrrSky_Q2,Qrr_Q2)*Fsw*(Table1[[#This Row],[Vin]]-Table1[[#This Row],[Iout]]*Rdson1)+IF(QrrSky_Q3&gt;0,QrrSky_Q3,Qrr_Q3)*Fsw*Vout)</f>
        <v>0</v>
      </c>
      <c r="BC42" s="354">
        <f>CHOOSE(Table1[[#This Row],[Mode Digit]], Rs*Table1[[#This Row],[Irms BuSync]]^2, Rs*Table1[[#This Row],[Irms BoCtlr]]^2, Rs*(Table1[[#This Row],[Irms BuSync]]^2+Table1[[#This Row],[Irms BoCtlr]]^2))</f>
        <v>0.12304078537666861</v>
      </c>
      <c r="BD42" s="354">
        <f t="shared" si="1"/>
        <v>1.44</v>
      </c>
      <c r="BE42" s="354">
        <f>IF(Vout&gt;8, Iq*Vout, Iq*Table1[[#This Row],[Vin]])</f>
        <v>4.3799999999999999E-2</v>
      </c>
      <c r="BF42" s="354">
        <f>CHOOSE(Table1[[#This Row],[Mode Digit]], (Qg_Q1+Qg_Q2)*Fsw, (Qg_Q3+Qg_Q4)*Fsw, (Qg_Q1+Qg_Q2+Qg_Q3+Qg_Q4)*Fsw)*IF(Vout&gt;8, Vout, Table1[[#This Row],[Vin]])</f>
        <v>0.47303999999999996</v>
      </c>
      <c r="BG42" s="354">
        <f t="shared" si="2"/>
        <v>0.57269042016806726</v>
      </c>
      <c r="BH42" s="354">
        <f>Table1[[#This Row],[IQ Loss]]+Table1[[#This Row],[Switching Current Loss]]</f>
        <v>0.51683999999999997</v>
      </c>
      <c r="BI4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8.7105407886049786</v>
      </c>
      <c r="BJ42">
        <f>Vout*Table1[[#This Row],[Iout]]</f>
        <v>175.2</v>
      </c>
      <c r="BK42" s="550">
        <f>Table1[[#This Row],[Pout]]/(Table1[[#This Row],[Pout]]+Table1[[#This Row],[Total Loss]])</f>
        <v>0.95263707696549449</v>
      </c>
      <c r="BL4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202.95804757362367</v>
      </c>
      <c r="BM42" s="559">
        <f>IF(Table1[[#This Row],[Vin]]&gt;Vout, Table1[[#This Row],[Total Sync Bu MOSFET Loss]]*ThetaJA_Q2, ThetaJA_Q3*Table1[[#This Row],[Total Sync Bo MOSFET Loss]])</f>
        <v>49.500519882510169</v>
      </c>
      <c r="BN42" s="9"/>
      <c r="BO42" s="4">
        <f>Table1[[#This Row],[EFF, h]]*100</f>
        <v>95.263707696549446</v>
      </c>
      <c r="BP42" s="354">
        <f>Table1[[#This Row],[Total Inductor Loss]]</f>
        <v>1.3741626533198497</v>
      </c>
      <c r="BQ42" s="354">
        <f>Table1[[#This Row],[Total Control Bu MOSFET Loss]]+Table1[[#This Row],[Total Sync Bu MOSFET Loss]]+Table1[[#This Row],[Total Control Bo MOSFET Loss]]+Table1[[#This Row],[Total Sync Bo MOSFET Loss]]+Table1[[#This Row],[Reverse Recovery Loss MOSFET D BUCK]]+Table1[[#This Row],[Reverse Recovery Loss MOSFET D BOOST]]</f>
        <v>5.1872038088820114</v>
      </c>
      <c r="BR42" s="354">
        <f>Table1[[#This Row],[Total Control Bu MOSFET Loss]]+Table1[[#This Row],[Reverse Recovery Loss MOSFET D BUCK]]*0.66</f>
        <v>3.5589301582270614</v>
      </c>
      <c r="BS42" s="354">
        <f>Table1[[#This Row],[Total Sync Bu MOSFET Loss]]+Table1[[#This Row],[Reverse Recovery Loss MOSFET D BUCK]]*0.33</f>
        <v>0.91315668070850275</v>
      </c>
      <c r="BT42" s="354">
        <f xml:space="preserve"> Table1[[#This Row],[Total Control Bo MOSFET Loss]]+Table1[[#This Row],[Reverse Recovery Loss MOSFET D BOOST]]*0.66</f>
        <v>0</v>
      </c>
      <c r="BU42" s="354">
        <f xml:space="preserve"> Table1[[#This Row],[Total Sync Bo MOSFET Loss]]+Table1[[#This Row],[Reverse Recovery Loss MOSFET D BOOST]]*0.33</f>
        <v>0.71244581794644679</v>
      </c>
      <c r="BV42" s="354">
        <f>Table1[[#This Row],[Isense Shunt Loss]]</f>
        <v>0.12304078537666861</v>
      </c>
      <c r="CA42">
        <v>9.9984190000000002</v>
      </c>
      <c r="CB42">
        <v>3.6920000000000002</v>
      </c>
      <c r="CC42">
        <v>5.1137540000000001</v>
      </c>
      <c r="CD42">
        <v>94.441363374789603</v>
      </c>
      <c r="CE42">
        <v>1111.2391205219994</v>
      </c>
    </row>
    <row r="43" spans="1:83" x14ac:dyDescent="0.2">
      <c r="A43" s="23" t="s">
        <v>73</v>
      </c>
      <c r="B43" s="5">
        <f>Gfs_Q1</f>
        <v>80</v>
      </c>
      <c r="C43" s="440" t="s">
        <v>70</v>
      </c>
      <c r="D43" s="21" t="s">
        <v>103</v>
      </c>
      <c r="G43">
        <v>34</v>
      </c>
      <c r="H43" s="555">
        <f>VIN_min+(VIN_max-VIN_min)*(Table1[[#This Row],[Step]]/200)</f>
        <v>22.38</v>
      </c>
      <c r="I43" s="4" t="str">
        <f>IF(Mode = 2,IF(Table1[[#This Row],[Vin]]&gt;Vout, "BUCK","BOOST"),IF(Table1[[#This Row],[Vin]]&gt;VIN_BB_to_buck, "BUCK", IF(Table1[[#This Row],[Vin]]&lt;=VIN_boost_to_BB,"BOOST","BUCK-BST")))</f>
        <v>BUCK</v>
      </c>
      <c r="J43">
        <f>IF(Table1[[#This Row],[Mode]]="BOOST",2, IF(Table1[[#This Row],[Mode]]="BUCK", 1,3))</f>
        <v>1</v>
      </c>
      <c r="K43">
        <f t="shared" si="0"/>
        <v>12</v>
      </c>
      <c r="L43" s="4">
        <f>Vout*Table1[[#This Row],[Iout]]/(Table1[[#This Row],[Vin]]*Efficiency)</f>
        <v>8.2404402426978969</v>
      </c>
      <c r="M43" s="711">
        <f>MIN(1/Fsw,CHOOSE(Table1[[#This Row],[Mode Digit]],(Vout+(Rdson2+Rs+Rdcr)*Table1[[#This Row],[Iout]])/(Table1[[#This Row],[Vin]]+(Rs+Rdson2-Rdson1)*Table1[[#This Row],[Iout]])/Fsw,(Vout+(Rdson3+Rdcr)*Table1[[#This Row],[Iin]]-Table1[[#This Row],[Vin]])/(Vout+(Rdson3-Rdson4-Rs)*Table1[[#This Row],[Iin]])/Fsw,t1_Ph_II))</f>
        <v>1.0969805146511973E-6</v>
      </c>
      <c r="N43" s="602">
        <f>CHOOSE(Table1[[#This Row],[Mode Digit]],1/Fsw-Table1[[#This Row],[t1_Ph_II]],1/Fsw-Table1[[#This Row],[t1_Ph_II]],(Vout/Fsw-Table1[[#This Row],[Vin]]*t1_Ph_II)/(Table1[[#This Row],[Vin]]+Vout))</f>
        <v>5.6968615201546934E-7</v>
      </c>
      <c r="O43" s="602">
        <f>1/Fsw-(Table1[[#This Row],[t1_Ph_II]]+Table1[[#This Row],[t2_Ph_I]])</f>
        <v>0</v>
      </c>
      <c r="P4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10.38361583257835</v>
      </c>
      <c r="Q43" s="4">
        <f>CHOOSE(Table1[[#This Row],[Mode Digit]],Table1[[#This Row],[I_0]]+1/Lf*(Table1[[#This Row],[Vin]]-Vout)*Table1[[#This Row],[t1_Ph_II]],Table1[[#This Row],[I_0]]+1/Lf*Table1[[#This Row],[Vin]]*Table1[[#This Row],[t1_Ph_II]],Table1[[#This Row],[I_0]]+(Table1[[#This Row],[Vin]]-Vout)/L*Table1[[#This Row],[t1_Ph_II]])</f>
        <v>13.616384167421652</v>
      </c>
      <c r="R43" s="4">
        <f>CHOOSE(Table1[[#This Row],[Mode Digit]],0,0,Table1[[#This Row],[I_1]]+Table1[[#This Row],[Vin]]/L*Table1[[#This Row],[t2_Ph_I]])</f>
        <v>0</v>
      </c>
      <c r="S43" s="4">
        <f>Fsw*(Table1[[#This Row],[I_0]]*Table1[[#This Row],[t1_Ph_II]]+Table1[[#This Row],[I_1]]*Table1[[#This Row],[t2_Ph_I]]+Table1[[#This Row],[I_2]]*Table1[[#This Row],[t3_Ph_III]])</f>
        <v>11.488613844398953</v>
      </c>
      <c r="T43" s="354">
        <f>MIN(1,CHOOSE(Table1[[#This Row],[Mode Digit]],(Vout+(Rdson2+Rs+Rdcr)*Table1[[#This Row],[Iout]])/(Table1[[#This Row],[Vin]]+(Rs+Rdson2-Rdson1)*Table1[[#This Row],[Iout]]),1,Fsw*Table1[[#This Row],[t2_Ph_I]]+Table1[[#This Row],[t1_Ph_II]]))</f>
        <v>0.65818830879071843</v>
      </c>
      <c r="U43" s="354">
        <f>MIN(1,CHOOSE(Table1[[#This Row],[Mode Digit]],0,(Vout+(Rdson3+Rdcr)*Table1[[#This Row],[Iin]]-Table1[[#This Row],[Vin]])/(Vout+(Rdson3-Rdson4-Rs)*Table1[[#This Row],[Iin]]),Fsw*Table1[[#This Row],[t1_Ph_II]]+Table1[[#This Row],[t3_Ph_III]]))</f>
        <v>0</v>
      </c>
      <c r="V43" s="4">
        <f>MAX(Table1[[#This Row],[I_0]:[I_2]])-MIN(Table1[[#This Row],[I_0]:[I_1]])</f>
        <v>3.2327683348433016</v>
      </c>
      <c r="W4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12.036232768557491</v>
      </c>
      <c r="X43" s="354">
        <f>(Table1[[#This Row],[Irms Lf]]^2*Rdcr*(1+Ltc*Ta-Ltc*25))/(1-Table1[[#This Row],[Irms Lf]]^2*Rdcr*Ltc*ThetaCa)</f>
        <v>0.90080330121812735</v>
      </c>
      <c r="Y43" s="354">
        <f>ABS(7.759*10^-3*Fsw^0.9458*(0.00787*Table1[[#This Row],[Ripple Current pk-pk]])^2.304)</f>
        <v>0.47991776704614708</v>
      </c>
      <c r="Z43" s="354">
        <f>Table1[[#This Row],[DCR    Loss]]+Table1[[#This Row],[Core Loss]]</f>
        <v>1.3807210682642745</v>
      </c>
      <c r="AA43" s="4">
        <f>IF(Table1[[#This Row],[Vin]]&gt;Vout, Table1[[#This Row],[Ripple Current pk-pk]]/SQRT(12), SQRT(Table1[[#This Row],[Duty Cycle BOOST Leg]]/(1-Table1[[#This Row],[Duty Cycle BOOST Leg]]))*SQRT(Table1[[#This Row],[Iout]]^2+(Table1[[#This Row],[Ripple Current pk-pk]]^2)/12))</f>
        <v>0.9332198341747393</v>
      </c>
      <c r="AB43" s="354">
        <f>RCoutEsr*Table1[[#This Row],[Irms Cout]]^2</f>
        <v>4.3544962944856401E-3</v>
      </c>
      <c r="AC43" s="354">
        <f>Table1[[#This Row],[Cout ESR Loss]]</f>
        <v>4.3544962944856401E-3</v>
      </c>
      <c r="AD43" s="354">
        <f>IF(Table1[[#This Row],[Vin]]&gt;Vout, SQRT(Table1[[#This Row],[Duty Cycle BUCK Leg]]*(1-Table1[[#This Row],[Duty Cycle BUCK Leg]]))*SQRT(Table1[[#This Row],[Iout]]^2+(Table1[[#This Row],[Ripple Current pk-pk]]^2)/12), Table1[[#This Row],[Ripple Current pk-pk]]/SQRT(12))</f>
        <v>5.7089878193859809</v>
      </c>
      <c r="AE43" s="354">
        <f>RCinEsr*Table1[[#This Row],[Irms Cin]]^2</f>
        <v>6.5185083843794997E-2</v>
      </c>
      <c r="AF43" s="549">
        <f>Table1[[#This Row],[Cin ESR Loss]]</f>
        <v>6.5185083843794997E-2</v>
      </c>
      <c r="AG4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9.7648518768184118</v>
      </c>
      <c r="AH43" s="354">
        <f>Rdson1*Table1[[#This Row],[Irms BuCtrl]]^2</f>
        <v>0.4004797951400571</v>
      </c>
      <c r="AI43" s="354">
        <f>CHOOSE(Table1[[#This Row],[Mode Digit]], (Table1[[#This Row],[Vin]]*Table1[[#This Row],[Iout]]/2)*(Fsw)*(Tr_buck+Tf_buck), 0, (Table1[[#This Row],[Vin]]*Table1[[#This Row],[Avg IL]]/2)*(Fsw/1)*(Tr_buck+Tf_buck))</f>
        <v>2.6631395061628615</v>
      </c>
      <c r="AJ43">
        <f>IF(Table1[[#This Row],[Vin]]&gt;Vout, IF(Table1[[#This Row],[Iout]]&gt;Table1[[#This Row],[Ripple Current pk-pk]]/2,0,ABS(Table1[[#This Row],[Iout]]-Table1[[#This Row],[Ripple Current pk-pk]]/2)*Vsd_Q1*Deadtime*Fsw),0)</f>
        <v>0</v>
      </c>
      <c r="AK43" s="354">
        <f>(Table1[[#This Row],[Dead Time Loss BuCtrl]]+Table1[[#This Row],[Transition Loss BuCtrl]]+Table1[[#This Row],[RDS(on) Loss BuCtrl]]*(1+RdsonTopTc*Ta-RdsonTopTc*25))/(1-Table1[[#This Row],[RDS(on) Loss BuCtrl]]*RdsonTopTc*ThetaJA_Q1)</f>
        <v>3.3893911421663523</v>
      </c>
      <c r="AL43" s="354">
        <f>CHOOSE(Table1[[#This Row],[Mode Digit]],SQRT((Fsw*(Table1[[#This Row],[t2_Ph_I]]+0))*((Table1[[#This Row],[I_0]]*Table1[[#This Row],[I_1]]+((Table1[[#This Row],[I_0]]-Table1[[#This Row],[I_1]])^2)/3))),0,SQRT((Fsw*(Table1[[#This Row],[t3_Ph_III]]+0))*((Table1[[#This Row],[I_0]]*Table1[[#This Row],[I_2]]+((Table1[[#This Row],[I_0]]-Table1[[#This Row],[I_2]])^2)/3))))</f>
        <v>7.0369430211344683</v>
      </c>
      <c r="AM43" s="354">
        <f>Rdson2*Table1[[#This Row],[Irms BuSync]]^2</f>
        <v>0.20797798174731102</v>
      </c>
      <c r="AN4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3" s="354">
        <f>(Table1[[#This Row],[Deadtime Loss BuSync]]+Table1[[#This Row],[RDS(on) Loss BuSync]]*(1+RdsonBotTc*Ta-RdsonBotTc*25))/(1-Table1[[#This Row],[RDS(on) Loss BuSync]]*RdsonBotTc*ThetaJA_Q2)</f>
        <v>0.82660938257843231</v>
      </c>
      <c r="AP43" s="354">
        <f>CHOOSE(Table1[[#This Row],[Mode Digit]],0,SQRT((Fsw*(Table1[[#This Row],[t1_Ph_II]]+0))*((Table1[[#This Row],[I_0]]*Table1[[#This Row],[I_1]]+((Table1[[#This Row],[I_0]]-Table1[[#This Row],[I_1]])^2)/3))),SQRT((Fsw*(Table1[[#This Row],[t2_Ph_I]]+0))*((Table1[[#This Row],[I_1]]*Table1[[#This Row],[I_2]]+((Table1[[#This Row],[I_1]]-Table1[[#This Row],[I_2]])^2)/3))))</f>
        <v>0</v>
      </c>
      <c r="AQ43" s="354">
        <f>Rdson4*Table1[[#This Row],[Irms BoCtlr]]^2</f>
        <v>0</v>
      </c>
      <c r="AR43" s="354">
        <f>CHOOSE(Table1[[#This Row],[Mode Digit]], 0, (Vout*Table1[[#This Row],[Iin]]/2)*(Fsw)*(Tr_boost+Tf_boost), (Vout*Iout/2)*(Fsw/1)*(Tr_boost+Tf_boost))</f>
        <v>0</v>
      </c>
      <c r="AS43">
        <f>IF(Table1[[#This Row],[Vin]]&gt;Vout, 0, IF(Table1[[#This Row],[Iin]]&gt;Table1[[#This Row],[Ripple Current pk-pk]]/2,0,ABS(Table1[[#This Row],[Iin]]-Table1[[#This Row],[Ripple Current pk-pk]]/2)*Vsd_Q4*Deadtime*Fsw))</f>
        <v>0</v>
      </c>
      <c r="AT43" s="354">
        <f>(Table1[[#This Row],[Dead Time Loss BoCtlr]]+Table1[[#This Row],[Transition Loss BoCtlr]]+Table1[[#This Row],[RDS(on) Loss BoCtlr]]*(1+RdsonTopTc*Ta-RdsonTopTc*25))/(1-Table1[[#This Row],[RDS(on) Loss BoCtlr]]*RdsonTopTc*ThetaJA_Q4)</f>
        <v>0</v>
      </c>
      <c r="AU4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12.036232768557491</v>
      </c>
      <c r="AV43" s="354">
        <f>Rdson3*Table1[[#This Row],[Irms BoSync]]^2</f>
        <v>0.60845777688736813</v>
      </c>
      <c r="AW4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3" s="354">
        <f>(Table1[[#This Row],[Deadtime Loss BoSync]]+Table1[[#This Row],[RDS(on) Loss BoSync]]*(1+RdsonBotTc*Ta-RdsonBotTc*25))/(1-Table1[[#This Row],[RDS(on) Loss BoSync]]*RdsonBotTc*ThetaJA_Q3)</f>
        <v>0.71250475044143669</v>
      </c>
      <c r="AY43" s="354">
        <f>CHOOSE(Table1[[#This Row],[Mode Digit]], Rdson3*Table1[[#This Row],[Irms Lf]]^2, Rdson1*Table1[[#This Row],[Irms Lf]]^2, 0)</f>
        <v>0.60845777688736813</v>
      </c>
      <c r="AZ43" s="354">
        <f>CHOOSE(Table1[[#This Row],[Mode Digit]], 2*Deadtime*Fsw*IF(VfdSky_Q2&gt;0,VfdSky_Q2,0)*Table1[[#This Row],[Iout]], 2*Deadtime*Fsw*IF(VfdSky_Q3&gt;0,VfdSky_Q3,0)*Table1[[#This Row],[Iin]], 2*Deadtime*Fsw*IF(VfdSky_Q2&gt;0,VfdSky_Q2,0)*Table1[[#This Row],[Iout]]+2*Deadtime*Fsw*IF(VfdSky_Q3&gt;0,VfdSky_Q3,0)*Table1[[#This Row],[Iin]])</f>
        <v>0</v>
      </c>
      <c r="BA43" s="354">
        <f>CHOOSE(Table1[[#This Row],[Mode Digit]], IF(QrrSky_Q2&gt;0,QrrSky_Q2,Qrr_Q2)*Fsw*(Table1[[#This Row],[Vin]]-Table1[[#This Row],[Iout]]*Rdson1),0,  IF(QrrSky_Q2&gt;0,QrrSky_Q2,Qrr_Q2)*Fsw*(Table1[[#This Row],[Vin]]-Table1[[#This Row],[Iout]]*Rdson1)+IF(QrrSky_Q3&gt;0,QrrSky_Q3,Qrr_Q3)*Fsw*Vout)</f>
        <v>0.2679552</v>
      </c>
      <c r="BB43" s="354">
        <f>CHOOSE(Table1[[#This Row],[Mode Digit]],0, IF(QrrSky_Q3&gt;0,QrrSky_Q3,Qrr_Q3)*Fsw*Vout,  IF(QrrSky_Q2&gt;0,QrrSky_Q2,Qrr_Q2)*Fsw*(Table1[[#This Row],[Vin]]-Table1[[#This Row],[Iout]]*Rdson1)+IF(QrrSky_Q3&gt;0,QrrSky_Q3,Qrr_Q3)*Fsw*Vout)</f>
        <v>0</v>
      </c>
      <c r="BC43" s="354">
        <f>CHOOSE(Table1[[#This Row],[Mode Digit]], Rs*Table1[[#This Row],[Irms BuSync]]^2, Rs*Table1[[#This Row],[Irms BoCtlr]]^2, Rs*(Table1[[#This Row],[Irms BuSync]]^2+Table1[[#This Row],[Irms BoCtlr]]^2))</f>
        <v>0.12379641770673275</v>
      </c>
      <c r="BD43" s="354">
        <f t="shared" si="1"/>
        <v>1.44</v>
      </c>
      <c r="BE43" s="354">
        <f>IF(Vout&gt;8, Iq*Vout, Iq*Table1[[#This Row],[Vin]])</f>
        <v>4.3799999999999999E-2</v>
      </c>
      <c r="BF43" s="354">
        <f>CHOOSE(Table1[[#This Row],[Mode Digit]], (Qg_Q1+Qg_Q2)*Fsw, (Qg_Q3+Qg_Q4)*Fsw, (Qg_Q1+Qg_Q2+Qg_Q3+Qg_Q4)*Fsw)*IF(Vout&gt;8, Vout, Table1[[#This Row],[Vin]])</f>
        <v>0.47303999999999996</v>
      </c>
      <c r="BG43" s="354">
        <f t="shared" si="2"/>
        <v>0.57269042016806726</v>
      </c>
      <c r="BH43" s="354">
        <f>Table1[[#This Row],[IQ Loss]]+Table1[[#This Row],[Switching Current Loss]]</f>
        <v>0.51683999999999997</v>
      </c>
      <c r="BI4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8.7273575412955111</v>
      </c>
      <c r="BJ43">
        <f>Vout*Table1[[#This Row],[Iout]]</f>
        <v>175.2</v>
      </c>
      <c r="BK43" s="550">
        <f>Table1[[#This Row],[Pout]]/(Table1[[#This Row],[Pout]]+Table1[[#This Row],[Total Loss]])</f>
        <v>0.9525499759363637</v>
      </c>
      <c r="BL4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203.36346852998113</v>
      </c>
      <c r="BM43" s="559">
        <f>IF(Table1[[#This Row],[Vin]]&gt;Vout, Table1[[#This Row],[Total Sync Bu MOSFET Loss]]*ThetaJA_Q2, ThetaJA_Q3*Table1[[#This Row],[Total Sync Bo MOSFET Loss]])</f>
        <v>49.596562954705938</v>
      </c>
      <c r="BN43" s="9"/>
      <c r="BO43" s="4">
        <f>Table1[[#This Row],[EFF, h]]*100</f>
        <v>95.254997593636375</v>
      </c>
      <c r="BP43" s="354">
        <f>Table1[[#This Row],[Total Inductor Loss]]</f>
        <v>1.3807210682642745</v>
      </c>
      <c r="BQ43" s="354">
        <f>Table1[[#This Row],[Total Control Bu MOSFET Loss]]+Table1[[#This Row],[Total Sync Bu MOSFET Loss]]+Table1[[#This Row],[Total Control Bo MOSFET Loss]]+Table1[[#This Row],[Total Sync Bo MOSFET Loss]]+Table1[[#This Row],[Reverse Recovery Loss MOSFET D BUCK]]+Table1[[#This Row],[Reverse Recovery Loss MOSFET D BOOST]]</f>
        <v>5.196460475186222</v>
      </c>
      <c r="BR43" s="354">
        <f>Table1[[#This Row],[Total Control Bu MOSFET Loss]]+Table1[[#This Row],[Reverse Recovery Loss MOSFET D BUCK]]*0.66</f>
        <v>3.5662415741663525</v>
      </c>
      <c r="BS43" s="354">
        <f>Table1[[#This Row],[Total Sync Bu MOSFET Loss]]+Table1[[#This Row],[Reverse Recovery Loss MOSFET D BUCK]]*0.33</f>
        <v>0.91503459857843228</v>
      </c>
      <c r="BT43" s="354">
        <f xml:space="preserve"> Table1[[#This Row],[Total Control Bo MOSFET Loss]]+Table1[[#This Row],[Reverse Recovery Loss MOSFET D BOOST]]*0.66</f>
        <v>0</v>
      </c>
      <c r="BU43" s="354">
        <f xml:space="preserve"> Table1[[#This Row],[Total Sync Bo MOSFET Loss]]+Table1[[#This Row],[Reverse Recovery Loss MOSFET D BOOST]]*0.33</f>
        <v>0.71250475044143669</v>
      </c>
      <c r="BV43" s="354">
        <f>Table1[[#This Row],[Isense Shunt Loss]]</f>
        <v>0.12379641770673275</v>
      </c>
      <c r="CA43">
        <v>9.998246</v>
      </c>
      <c r="CB43">
        <v>4.2430000000000003</v>
      </c>
      <c r="CC43">
        <v>5.1120590000000004</v>
      </c>
      <c r="CD43">
        <v>94.267178615859891</v>
      </c>
      <c r="CE43">
        <v>1319.0970775599953</v>
      </c>
    </row>
    <row r="44" spans="1:83" x14ac:dyDescent="0.2">
      <c r="A44" s="23" t="s">
        <v>95</v>
      </c>
      <c r="B44" s="5">
        <f>Vth_Q1</f>
        <v>2.2999999999999998</v>
      </c>
      <c r="C44" s="440" t="s">
        <v>0</v>
      </c>
      <c r="D44" s="21" t="s">
        <v>104</v>
      </c>
      <c r="G44">
        <v>35</v>
      </c>
      <c r="H44" s="555">
        <f>VIN_min+(VIN_max-VIN_min)*(Table1[[#This Row],[Step]]/200)</f>
        <v>22.45</v>
      </c>
      <c r="I44" s="4" t="str">
        <f>IF(Mode = 2,IF(Table1[[#This Row],[Vin]]&gt;Vout, "BUCK","BOOST"),IF(Table1[[#This Row],[Vin]]&gt;VIN_BB_to_buck, "BUCK", IF(Table1[[#This Row],[Vin]]&lt;=VIN_boost_to_BB,"BOOST","BUCK-BST")))</f>
        <v>BUCK</v>
      </c>
      <c r="J44">
        <f>IF(Table1[[#This Row],[Mode]]="BOOST",2, IF(Table1[[#This Row],[Mode]]="BUCK", 1,3))</f>
        <v>1</v>
      </c>
      <c r="K44">
        <f t="shared" si="0"/>
        <v>12</v>
      </c>
      <c r="L44" s="4">
        <f>Vout*Table1[[#This Row],[Iout]]/(Table1[[#This Row],[Vin]]*Efficiency)</f>
        <v>8.2147462196694416</v>
      </c>
      <c r="M44" s="711">
        <f>MIN(1/Fsw,CHOOSE(Table1[[#This Row],[Mode Digit]],(Vout+(Rdson2+Rs+Rdcr)*Table1[[#This Row],[Iout]])/(Table1[[#This Row],[Vin]]+(Rs+Rdson2-Rdson1)*Table1[[#This Row],[Iout]])/Fsw,(Vout+(Rdson3+Rdcr)*Table1[[#This Row],[Iin]]-Table1[[#This Row],[Vin]])/(Vout+(Rdson3-Rdson4-Rs)*Table1[[#This Row],[Iin]])/Fsw,t1_Ph_II))</f>
        <v>1.0935646500593119E-6</v>
      </c>
      <c r="N44" s="602">
        <f>CHOOSE(Table1[[#This Row],[Mode Digit]],1/Fsw-Table1[[#This Row],[t1_Ph_II]],1/Fsw-Table1[[#This Row],[t1_Ph_II]],(Vout/Fsw-Table1[[#This Row],[Vin]]*t1_Ph_II)/(Table1[[#This Row],[Vin]]+Vout))</f>
        <v>5.7310201660735478E-7</v>
      </c>
      <c r="O44" s="602">
        <f>1/Fsw-(Table1[[#This Row],[t1_Ph_II]]+Table1[[#This Row],[t2_Ph_I]])</f>
        <v>0</v>
      </c>
      <c r="P4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10.374151041105</v>
      </c>
      <c r="Q44" s="4">
        <f>CHOOSE(Table1[[#This Row],[Mode Digit]],Table1[[#This Row],[I_0]]+1/Lf*(Table1[[#This Row],[Vin]]-Vout)*Table1[[#This Row],[t1_Ph_II]],Table1[[#This Row],[I_0]]+1/Lf*Table1[[#This Row],[Vin]]*Table1[[#This Row],[t1_Ph_II]],Table1[[#This Row],[I_0]]+(Table1[[#This Row],[Vin]]-Vout)/L*Table1[[#This Row],[t1_Ph_II]])</f>
        <v>13.625848958894998</v>
      </c>
      <c r="R44" s="4">
        <f>CHOOSE(Table1[[#This Row],[Mode Digit]],0,0,Table1[[#This Row],[I_1]]+Table1[[#This Row],[Vin]]/L*Table1[[#This Row],[t2_Ph_I]])</f>
        <v>0</v>
      </c>
      <c r="S44" s="4">
        <f>Fsw*(Table1[[#This Row],[I_0]]*Table1[[#This Row],[t1_Ph_II]]+Table1[[#This Row],[I_1]]*Table1[[#This Row],[t2_Ph_I]]+Table1[[#This Row],[I_2]]*Table1[[#This Row],[t3_Ph_III]])</f>
        <v>11.492283821555031</v>
      </c>
      <c r="T44" s="354">
        <f>MIN(1,CHOOSE(Table1[[#This Row],[Mode Digit]],(Vout+(Rdson2+Rs+Rdcr)*Table1[[#This Row],[Iout]])/(Table1[[#This Row],[Vin]]+(Rs+Rdson2-Rdson1)*Table1[[#This Row],[Iout]]),1,Fsw*Table1[[#This Row],[t2_Ph_I]]+Table1[[#This Row],[t1_Ph_II]]))</f>
        <v>0.65613879003558717</v>
      </c>
      <c r="U44" s="354">
        <f>MIN(1,CHOOSE(Table1[[#This Row],[Mode Digit]],0,(Vout+(Rdson3+Rdcr)*Table1[[#This Row],[Iin]]-Table1[[#This Row],[Vin]])/(Vout+(Rdson3-Rdson4-Rs)*Table1[[#This Row],[Iin]]),Fsw*Table1[[#This Row],[t1_Ph_II]]+Table1[[#This Row],[t3_Ph_III]]))</f>
        <v>0</v>
      </c>
      <c r="V44" s="4">
        <f>MAX(Table1[[#This Row],[I_0]:[I_2]])-MIN(Table1[[#This Row],[I_0]:[I_1]])</f>
        <v>3.2516979177899987</v>
      </c>
      <c r="W4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12.036657687208963</v>
      </c>
      <c r="X44" s="354">
        <f>(Table1[[#This Row],[Irms Lf]]^2*Rdcr*(1+Ltc*Ta-Ltc*25))/(1-Table1[[#This Row],[Irms Lf]]^2*Rdcr*Ltc*ThetaCa)</f>
        <v>0.90087148889220969</v>
      </c>
      <c r="Y44" s="354">
        <f>ABS(7.759*10^-3*Fsw^0.9458*(0.00787*Table1[[#This Row],[Ripple Current pk-pk]])^2.304)</f>
        <v>0.48641714271377889</v>
      </c>
      <c r="Z44" s="354">
        <f>Table1[[#This Row],[DCR    Loss]]+Table1[[#This Row],[Core Loss]]</f>
        <v>1.3872886316059887</v>
      </c>
      <c r="AA44" s="4">
        <f>IF(Table1[[#This Row],[Vin]]&gt;Vout, Table1[[#This Row],[Ripple Current pk-pk]]/SQRT(12), SQRT(Table1[[#This Row],[Duty Cycle BOOST Leg]]/(1-Table1[[#This Row],[Duty Cycle BOOST Leg]]))*SQRT(Table1[[#This Row],[Iout]]^2+(Table1[[#This Row],[Ripple Current pk-pk]]^2)/12))</f>
        <v>0.93868433407970076</v>
      </c>
      <c r="AB44" s="354">
        <f>RCoutEsr*Table1[[#This Row],[Irms Cout]]^2</f>
        <v>4.4056413952332568E-3</v>
      </c>
      <c r="AC44" s="354">
        <f>Table1[[#This Row],[Cout ESR Loss]]</f>
        <v>4.4056413952332568E-3</v>
      </c>
      <c r="AD44" s="354">
        <f>IF(Table1[[#This Row],[Vin]]&gt;Vout, SQRT(Table1[[#This Row],[Duty Cycle BUCK Leg]]*(1-Table1[[#This Row],[Duty Cycle BUCK Leg]]))*SQRT(Table1[[#This Row],[Iout]]^2+(Table1[[#This Row],[Ripple Current pk-pk]]^2)/12), Table1[[#This Row],[Ripple Current pk-pk]]/SQRT(12))</f>
        <v>5.7173576438243323</v>
      </c>
      <c r="AE44" s="354">
        <f>RCinEsr*Table1[[#This Row],[Irms Cin]]^2</f>
        <v>6.5376356854793052E-2</v>
      </c>
      <c r="AF44" s="549">
        <f>Table1[[#This Row],[Cin ESR Loss]]</f>
        <v>6.5376356854793052E-2</v>
      </c>
      <c r="AG4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9.7499809337251708</v>
      </c>
      <c r="AH44" s="354">
        <f>Rdson1*Table1[[#This Row],[Irms BuCtrl]]^2</f>
        <v>0.39926093847361832</v>
      </c>
      <c r="AI44" s="354">
        <f>CHOOSE(Table1[[#This Row],[Mode Digit]], (Table1[[#This Row],[Vin]]*Table1[[#This Row],[Iout]]/2)*(Fsw)*(Tr_buck+Tf_buck), 0, (Table1[[#This Row],[Vin]]*Table1[[#This Row],[Avg IL]]/2)*(Fsw/1)*(Tr_buck+Tf_buck))</f>
        <v>2.6714692543948275</v>
      </c>
      <c r="AJ44">
        <f>IF(Table1[[#This Row],[Vin]]&gt;Vout, IF(Table1[[#This Row],[Iout]]&gt;Table1[[#This Row],[Ripple Current pk-pk]]/2,0,ABS(Table1[[#This Row],[Iout]]-Table1[[#This Row],[Ripple Current pk-pk]]/2)*Vsd_Q1*Deadtime*Fsw),0)</f>
        <v>0</v>
      </c>
      <c r="AK44" s="354">
        <f>(Table1[[#This Row],[Dead Time Loss BuCtrl]]+Table1[[#This Row],[Transition Loss BuCtrl]]+Table1[[#This Row],[RDS(on) Loss BuCtrl]]*(1+RdsonTopTc*Ta-RdsonTopTc*25))/(1-Table1[[#This Row],[RDS(on) Loss BuCtrl]]*RdsonTopTc*ThetaJA_Q1)</f>
        <v>3.3961590707376645</v>
      </c>
      <c r="AL44" s="354">
        <f>CHOOSE(Table1[[#This Row],[Mode Digit]],SQRT((Fsw*(Table1[[#This Row],[t2_Ph_I]]+0))*((Table1[[#This Row],[I_0]]*Table1[[#This Row],[I_1]]+((Table1[[#This Row],[I_0]]-Table1[[#This Row],[I_1]])^2)/3))),0,SQRT((Fsw*(Table1[[#This Row],[t3_Ph_III]]+0))*((Table1[[#This Row],[I_0]]*Table1[[#This Row],[I_2]]+((Table1[[#This Row],[I_0]]-Table1[[#This Row],[I_2]])^2)/3))))</f>
        <v>7.0582575803835814</v>
      </c>
      <c r="AM44" s="354">
        <f>Rdson2*Table1[[#This Row],[Irms BuSync]]^2</f>
        <v>0.20923980029837763</v>
      </c>
      <c r="AN4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4" s="354">
        <f>(Table1[[#This Row],[Deadtime Loss BuSync]]+Table1[[#This Row],[RDS(on) Loss BuSync]]*(1+RdsonBotTc*Ta-RdsonBotTc*25))/(1-Table1[[#This Row],[RDS(on) Loss BuSync]]*RdsonBotTc*ThetaJA_Q2)</f>
        <v>0.82820147980784142</v>
      </c>
      <c r="AP44" s="354">
        <f>CHOOSE(Table1[[#This Row],[Mode Digit]],0,SQRT((Fsw*(Table1[[#This Row],[t1_Ph_II]]+0))*((Table1[[#This Row],[I_0]]*Table1[[#This Row],[I_1]]+((Table1[[#This Row],[I_0]]-Table1[[#This Row],[I_1]])^2)/3))),SQRT((Fsw*(Table1[[#This Row],[t2_Ph_I]]+0))*((Table1[[#This Row],[I_1]]*Table1[[#This Row],[I_2]]+((Table1[[#This Row],[I_1]]-Table1[[#This Row],[I_2]])^2)/3))))</f>
        <v>0</v>
      </c>
      <c r="AQ44" s="354">
        <f>Rdson4*Table1[[#This Row],[Irms BoCtlr]]^2</f>
        <v>0</v>
      </c>
      <c r="AR44" s="354">
        <f>CHOOSE(Table1[[#This Row],[Mode Digit]], 0, (Vout*Table1[[#This Row],[Iin]]/2)*(Fsw)*(Tr_boost+Tf_boost), (Vout*Iout/2)*(Fsw/1)*(Tr_boost+Tf_boost))</f>
        <v>0</v>
      </c>
      <c r="AS44">
        <f>IF(Table1[[#This Row],[Vin]]&gt;Vout, 0, IF(Table1[[#This Row],[Iin]]&gt;Table1[[#This Row],[Ripple Current pk-pk]]/2,0,ABS(Table1[[#This Row],[Iin]]-Table1[[#This Row],[Ripple Current pk-pk]]/2)*Vsd_Q4*Deadtime*Fsw))</f>
        <v>0</v>
      </c>
      <c r="AT44" s="354">
        <f>(Table1[[#This Row],[Dead Time Loss BoCtlr]]+Table1[[#This Row],[Transition Loss BoCtlr]]+Table1[[#This Row],[RDS(on) Loss BoCtlr]]*(1+RdsonTopTc*Ta-RdsonTopTc*25))/(1-Table1[[#This Row],[RDS(on) Loss BoCtlr]]*RdsonTopTc*ThetaJA_Q4)</f>
        <v>0</v>
      </c>
      <c r="AU4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12.036657687208963</v>
      </c>
      <c r="AV44" s="354">
        <f>Rdson3*Table1[[#This Row],[Irms BoSync]]^2</f>
        <v>0.60850073877199595</v>
      </c>
      <c r="AW4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4" s="354">
        <f>(Table1[[#This Row],[Deadtime Loss BoSync]]+Table1[[#This Row],[RDS(on) Loss BoSync]]*(1+RdsonBotTc*Ta-RdsonBotTc*25))/(1-Table1[[#This Row],[RDS(on) Loss BoSync]]*RdsonBotTc*ThetaJA_Q3)</f>
        <v>0.71256366236509316</v>
      </c>
      <c r="AY44" s="354">
        <f>CHOOSE(Table1[[#This Row],[Mode Digit]], Rdson3*Table1[[#This Row],[Irms Lf]]^2, Rdson1*Table1[[#This Row],[Irms Lf]]^2, 0)</f>
        <v>0.60850073877199595</v>
      </c>
      <c r="AZ44" s="354">
        <f>CHOOSE(Table1[[#This Row],[Mode Digit]], 2*Deadtime*Fsw*IF(VfdSky_Q2&gt;0,VfdSky_Q2,0)*Table1[[#This Row],[Iout]], 2*Deadtime*Fsw*IF(VfdSky_Q3&gt;0,VfdSky_Q3,0)*Table1[[#This Row],[Iin]], 2*Deadtime*Fsw*IF(VfdSky_Q2&gt;0,VfdSky_Q2,0)*Table1[[#This Row],[Iout]]+2*Deadtime*Fsw*IF(VfdSky_Q3&gt;0,VfdSky_Q3,0)*Table1[[#This Row],[Iin]])</f>
        <v>0</v>
      </c>
      <c r="BA44" s="354">
        <f>CHOOSE(Table1[[#This Row],[Mode Digit]], IF(QrrSky_Q2&gt;0,QrrSky_Q2,Qrr_Q2)*Fsw*(Table1[[#This Row],[Vin]]-Table1[[#This Row],[Iout]]*Rdson1),0,  IF(QrrSky_Q2&gt;0,QrrSky_Q2,Qrr_Q2)*Fsw*(Table1[[#This Row],[Vin]]-Table1[[#This Row],[Iout]]*Rdson1)+IF(QrrSky_Q3&gt;0,QrrSky_Q3,Qrr_Q3)*Fsw*Vout)</f>
        <v>0.26879520000000001</v>
      </c>
      <c r="BB44" s="354">
        <f>CHOOSE(Table1[[#This Row],[Mode Digit]],0, IF(QrrSky_Q3&gt;0,QrrSky_Q3,Qrr_Q3)*Fsw*Vout,  IF(QrrSky_Q2&gt;0,QrrSky_Q2,Qrr_Q2)*Fsw*(Table1[[#This Row],[Vin]]-Table1[[#This Row],[Iout]]*Rdson1)+IF(QrrSky_Q3&gt;0,QrrSky_Q3,Qrr_Q3)*Fsw*Vout)</f>
        <v>0</v>
      </c>
      <c r="BC44" s="354">
        <f>CHOOSE(Table1[[#This Row],[Mode Digit]], Rs*Table1[[#This Row],[Irms BuSync]]^2, Rs*Table1[[#This Row],[Irms BoCtlr]]^2, Rs*(Table1[[#This Row],[Irms BuSync]]^2+Table1[[#This Row],[Irms BoCtlr]]^2))</f>
        <v>0.12454750017760573</v>
      </c>
      <c r="BD44" s="354">
        <f t="shared" si="1"/>
        <v>1.44</v>
      </c>
      <c r="BE44" s="354">
        <f>IF(Vout&gt;8, Iq*Vout, Iq*Table1[[#This Row],[Vin]])</f>
        <v>4.3799999999999999E-2</v>
      </c>
      <c r="BF44" s="354">
        <f>CHOOSE(Table1[[#This Row],[Mode Digit]], (Qg_Q1+Qg_Q2)*Fsw, (Qg_Q3+Qg_Q4)*Fsw, (Qg_Q1+Qg_Q2+Qg_Q3+Qg_Q4)*Fsw)*IF(Vout&gt;8, Vout, Table1[[#This Row],[Vin]])</f>
        <v>0.47303999999999996</v>
      </c>
      <c r="BG44" s="354">
        <f t="shared" si="2"/>
        <v>0.57269042016806726</v>
      </c>
      <c r="BH44" s="354">
        <f>Table1[[#This Row],[IQ Loss]]+Table1[[#This Row],[Switching Current Loss]]</f>
        <v>0.51683999999999997</v>
      </c>
      <c r="BI4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8.7441775429442199</v>
      </c>
      <c r="BJ44">
        <f>Vout*Table1[[#This Row],[Iout]]</f>
        <v>175.2</v>
      </c>
      <c r="BK44" s="550">
        <f>Table1[[#This Row],[Pout]]/(Table1[[#This Row],[Pout]]+Table1[[#This Row],[Total Loss]])</f>
        <v>0.95246287401022645</v>
      </c>
      <c r="BL4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203.76954424425986</v>
      </c>
      <c r="BM44" s="559">
        <f>IF(Table1[[#This Row],[Vin]]&gt;Vout, Table1[[#This Row],[Total Sync Bu MOSFET Loss]]*ThetaJA_Q2, ThetaJA_Q3*Table1[[#This Row],[Total Sync Bo MOSFET Loss]])</f>
        <v>49.692088788470485</v>
      </c>
      <c r="BN44" s="9"/>
      <c r="BO44" s="4">
        <f>Table1[[#This Row],[EFF, h]]*100</f>
        <v>95.246287401022641</v>
      </c>
      <c r="BP44" s="354">
        <f>Table1[[#This Row],[Total Inductor Loss]]</f>
        <v>1.3872886316059887</v>
      </c>
      <c r="BQ44" s="354">
        <f>Table1[[#This Row],[Total Control Bu MOSFET Loss]]+Table1[[#This Row],[Total Sync Bu MOSFET Loss]]+Table1[[#This Row],[Total Control Bo MOSFET Loss]]+Table1[[#This Row],[Total Sync Bo MOSFET Loss]]+Table1[[#This Row],[Reverse Recovery Loss MOSFET D BUCK]]+Table1[[#This Row],[Reverse Recovery Loss MOSFET D BOOST]]</f>
        <v>5.2057194129105984</v>
      </c>
      <c r="BR44" s="354">
        <f>Table1[[#This Row],[Total Control Bu MOSFET Loss]]+Table1[[#This Row],[Reverse Recovery Loss MOSFET D BUCK]]*0.66</f>
        <v>3.5735639027376647</v>
      </c>
      <c r="BS44" s="354">
        <f>Table1[[#This Row],[Total Sync Bu MOSFET Loss]]+Table1[[#This Row],[Reverse Recovery Loss MOSFET D BUCK]]*0.33</f>
        <v>0.91690389580784148</v>
      </c>
      <c r="BT44" s="354">
        <f xml:space="preserve"> Table1[[#This Row],[Total Control Bo MOSFET Loss]]+Table1[[#This Row],[Reverse Recovery Loss MOSFET D BOOST]]*0.66</f>
        <v>0</v>
      </c>
      <c r="BU44" s="354">
        <f xml:space="preserve"> Table1[[#This Row],[Total Sync Bo MOSFET Loss]]+Table1[[#This Row],[Reverse Recovery Loss MOSFET D BOOST]]*0.33</f>
        <v>0.71256366236509316</v>
      </c>
      <c r="BV44" s="354">
        <f>Table1[[#This Row],[Isense Shunt Loss]]</f>
        <v>0.12454750017760573</v>
      </c>
      <c r="CA44">
        <v>9.9981469999999995</v>
      </c>
      <c r="CB44">
        <v>4.8490000000000002</v>
      </c>
      <c r="CC44">
        <v>5.1107740000000002</v>
      </c>
      <c r="CD44">
        <v>93.953815994681278</v>
      </c>
      <c r="CE44">
        <v>1594.7983209009985</v>
      </c>
    </row>
    <row r="45" spans="1:83" x14ac:dyDescent="0.2">
      <c r="A45" s="28" t="s">
        <v>145</v>
      </c>
      <c r="B45" s="447">
        <f>Vsp_Q1</f>
        <v>2.4499999999999997</v>
      </c>
      <c r="C45" s="445" t="s">
        <v>0</v>
      </c>
      <c r="G45">
        <v>36</v>
      </c>
      <c r="H45" s="555">
        <f>VIN_min+(VIN_max-VIN_min)*(Table1[[#This Row],[Step]]/200)</f>
        <v>22.52</v>
      </c>
      <c r="I45" s="4" t="str">
        <f>IF(Mode = 2,IF(Table1[[#This Row],[Vin]]&gt;Vout, "BUCK","BOOST"),IF(Table1[[#This Row],[Vin]]&gt;VIN_BB_to_buck, "BUCK", IF(Table1[[#This Row],[Vin]]&lt;=VIN_boost_to_BB,"BOOST","BUCK-BST")))</f>
        <v>BUCK</v>
      </c>
      <c r="J45">
        <f>IF(Table1[[#This Row],[Mode]]="BOOST",2, IF(Table1[[#This Row],[Mode]]="BUCK", 1,3))</f>
        <v>1</v>
      </c>
      <c r="K45">
        <f t="shared" si="0"/>
        <v>12</v>
      </c>
      <c r="L45" s="4">
        <f>Vout*Table1[[#This Row],[Iout]]/(Table1[[#This Row],[Vin]]*Efficiency)</f>
        <v>8.1892119285781053</v>
      </c>
      <c r="M45" s="711">
        <f>MIN(1/Fsw,CHOOSE(Table1[[#This Row],[Mode Digit]],(Vout+(Rdson2+Rs+Rdcr)*Table1[[#This Row],[Iout]])/(Table1[[#This Row],[Vin]]+(Rs+Rdson2-Rdson1)*Table1[[#This Row],[Iout]])/Fsw,(Vout+(Rdson3+Rdcr)*Table1[[#This Row],[Iin]]-Table1[[#This Row],[Vin]])/(Vout+(Rdson3-Rdson4-Rs)*Table1[[#This Row],[Iin]])/Fsw,t1_Ph_II))</f>
        <v>1.0901699926090168E-6</v>
      </c>
      <c r="N45" s="602">
        <f>CHOOSE(Table1[[#This Row],[Mode Digit]],1/Fsw-Table1[[#This Row],[t1_Ph_II]],1/Fsw-Table1[[#This Row],[t1_Ph_II]],(Vout/Fsw-Table1[[#This Row],[Vin]]*t1_Ph_II)/(Table1[[#This Row],[Vin]]+Vout))</f>
        <v>5.7649667405764982E-7</v>
      </c>
      <c r="O45" s="602">
        <f>1/Fsw-(Table1[[#This Row],[t1_Ph_II]]+Table1[[#This Row],[t2_Ph_I]])</f>
        <v>0</v>
      </c>
      <c r="P4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10.364745011086475</v>
      </c>
      <c r="Q45" s="4">
        <f>CHOOSE(Table1[[#This Row],[Mode Digit]],Table1[[#This Row],[I_0]]+1/Lf*(Table1[[#This Row],[Vin]]-Vout)*Table1[[#This Row],[t1_Ph_II]],Table1[[#This Row],[I_0]]+1/Lf*Table1[[#This Row],[Vin]]*Table1[[#This Row],[t1_Ph_II]],Table1[[#This Row],[I_0]]+(Table1[[#This Row],[Vin]]-Vout)/L*Table1[[#This Row],[t1_Ph_II]])</f>
        <v>13.635254988913525</v>
      </c>
      <c r="R45" s="4">
        <f>CHOOSE(Table1[[#This Row],[Mode Digit]],0,0,Table1[[#This Row],[I_1]]+Table1[[#This Row],[Vin]]/L*Table1[[#This Row],[t2_Ph_I]])</f>
        <v>0</v>
      </c>
      <c r="S45" s="4">
        <f>Fsw*(Table1[[#This Row],[I_0]]*Table1[[#This Row],[t1_Ph_II]]+Table1[[#This Row],[I_1]]*Table1[[#This Row],[t2_Ph_I]]+Table1[[#This Row],[I_2]]*Table1[[#This Row],[t3_Ph_III]])</f>
        <v>11.496007885900266</v>
      </c>
      <c r="T45" s="354">
        <f>MIN(1,CHOOSE(Table1[[#This Row],[Mode Digit]],(Vout+(Rdson2+Rs+Rdcr)*Table1[[#This Row],[Iout]])/(Table1[[#This Row],[Vin]]+(Rs+Rdson2-Rdson1)*Table1[[#This Row],[Iout]]),1,Fsw*Table1[[#This Row],[t2_Ph_I]]+Table1[[#This Row],[t1_Ph_II]]))</f>
        <v>0.65410199556541015</v>
      </c>
      <c r="U45" s="354">
        <f>MIN(1,CHOOSE(Table1[[#This Row],[Mode Digit]],0,(Vout+(Rdson3+Rdcr)*Table1[[#This Row],[Iin]]-Table1[[#This Row],[Vin]])/(Vout+(Rdson3-Rdson4-Rs)*Table1[[#This Row],[Iin]]),Fsw*Table1[[#This Row],[t1_Ph_II]]+Table1[[#This Row],[t3_Ph_III]]))</f>
        <v>0</v>
      </c>
      <c r="V45" s="4">
        <f>MAX(Table1[[#This Row],[I_0]:[I_2]])-MIN(Table1[[#This Row],[I_0]:[I_1]])</f>
        <v>3.2705099778270501</v>
      </c>
      <c r="W4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12.037082410600538</v>
      </c>
      <c r="X45" s="354">
        <f>(Table1[[#This Row],[Irms Lf]]^2*Rdcr*(1+Ltc*Ta-Ltc*25))/(1-Table1[[#This Row],[Irms Lf]]^2*Rdcr*Ltc*ThetaCa)</f>
        <v>0.90093964833151963</v>
      </c>
      <c r="Y45" s="354">
        <f>ABS(7.759*10^-3*Fsw^0.9458*(0.00787*Table1[[#This Row],[Ripple Current pk-pk]])^2.304)</f>
        <v>0.49292523272347771</v>
      </c>
      <c r="Z45" s="354">
        <f>Table1[[#This Row],[DCR    Loss]]+Table1[[#This Row],[Core Loss]]</f>
        <v>1.3938648810549974</v>
      </c>
      <c r="AA45" s="4">
        <f>IF(Table1[[#This Row],[Vin]]&gt;Vout, Table1[[#This Row],[Ripple Current pk-pk]]/SQRT(12), SQRT(Table1[[#This Row],[Duty Cycle BOOST Leg]]/(1-Table1[[#This Row],[Duty Cycle BOOST Leg]]))*SQRT(Table1[[#This Row],[Iout]]^2+(Table1[[#This Row],[Ripple Current pk-pk]]^2)/12))</f>
        <v>0.94411490804290221</v>
      </c>
      <c r="AB45" s="354">
        <f>RCoutEsr*Table1[[#This Row],[Irms Cout]]^2</f>
        <v>4.456764797944289E-3</v>
      </c>
      <c r="AC45" s="354">
        <f>Table1[[#This Row],[Cout ESR Loss]]</f>
        <v>4.456764797944289E-3</v>
      </c>
      <c r="AD45" s="354">
        <f>IF(Table1[[#This Row],[Vin]]&gt;Vout, SQRT(Table1[[#This Row],[Duty Cycle BUCK Leg]]*(1-Table1[[#This Row],[Duty Cycle BUCK Leg]]))*SQRT(Table1[[#This Row],[Iout]]^2+(Table1[[#This Row],[Ripple Current pk-pk]]^2)/12), Table1[[#This Row],[Ripple Current pk-pk]]/SQRT(12))</f>
        <v>5.725560382787422</v>
      </c>
      <c r="AE45" s="354">
        <f>RCinEsr*Table1[[#This Row],[Irms Cin]]^2</f>
        <v>6.5564083393889708E-2</v>
      </c>
      <c r="AF45" s="549">
        <f>Table1[[#This Row],[Cin ESR Loss]]</f>
        <v>6.5564083393889708E-2</v>
      </c>
      <c r="AG4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9.7351796650621338</v>
      </c>
      <c r="AH45" s="354">
        <f>Rdson1*Table1[[#This Row],[Irms BuCtrl]]^2</f>
        <v>0.39804963706636504</v>
      </c>
      <c r="AI45" s="354">
        <f>CHOOSE(Table1[[#This Row],[Mode Digit]], (Table1[[#This Row],[Vin]]*Table1[[#This Row],[Iout]]/2)*(Fsw)*(Tr_buck+Tf_buck), 0, (Table1[[#This Row],[Vin]]*Table1[[#This Row],[Avg IL]]/2)*(Fsw/1)*(Tr_buck+Tf_buck))</f>
        <v>2.6797990026267939</v>
      </c>
      <c r="AJ45">
        <f>IF(Table1[[#This Row],[Vin]]&gt;Vout, IF(Table1[[#This Row],[Iout]]&gt;Table1[[#This Row],[Ripple Current pk-pk]]/2,0,ABS(Table1[[#This Row],[Iout]]-Table1[[#This Row],[Ripple Current pk-pk]]/2)*Vsd_Q1*Deadtime*Fsw),0)</f>
        <v>0</v>
      </c>
      <c r="AK45" s="354">
        <f>(Table1[[#This Row],[Dead Time Loss BuCtrl]]+Table1[[#This Row],[Transition Loss BuCtrl]]+Table1[[#This Row],[RDS(on) Loss BuCtrl]]*(1+RdsonTopTc*Ta-RdsonTopTc*25))/(1-Table1[[#This Row],[RDS(on) Loss BuCtrl]]*RdsonTopTc*ThetaJA_Q1)</f>
        <v>3.4029377968965386</v>
      </c>
      <c r="AL45" s="354">
        <f>CHOOSE(Table1[[#This Row],[Mode Digit]],SQRT((Fsw*(Table1[[#This Row],[t2_Ph_I]]+0))*((Table1[[#This Row],[I_0]]*Table1[[#This Row],[I_1]]+((Table1[[#This Row],[I_0]]-Table1[[#This Row],[I_1]])^2)/3))),0,SQRT((Fsw*(Table1[[#This Row],[t3_Ph_III]]+0))*((Table1[[#This Row],[I_0]]*Table1[[#This Row],[I_2]]+((Table1[[#This Row],[I_0]]-Table1[[#This Row],[I_2]])^2)/3))))</f>
        <v>7.0793806119285323</v>
      </c>
      <c r="AM45" s="354">
        <f>Rdson2*Table1[[#This Row],[Irms BuSync]]^2</f>
        <v>0.21049404536390834</v>
      </c>
      <c r="AN4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5" s="354">
        <f>(Table1[[#This Row],[Deadtime Loss BuSync]]+Table1[[#This Row],[RDS(on) Loss BuSync]]*(1+RdsonBotTc*Ta-RdsonBotTc*25))/(1-Table1[[#This Row],[RDS(on) Loss BuSync]]*RdsonBotTc*ThetaJA_Q2)</f>
        <v>0.82978502767730455</v>
      </c>
      <c r="AP45" s="354">
        <f>CHOOSE(Table1[[#This Row],[Mode Digit]],0,SQRT((Fsw*(Table1[[#This Row],[t1_Ph_II]]+0))*((Table1[[#This Row],[I_0]]*Table1[[#This Row],[I_1]]+((Table1[[#This Row],[I_0]]-Table1[[#This Row],[I_1]])^2)/3))),SQRT((Fsw*(Table1[[#This Row],[t2_Ph_I]]+0))*((Table1[[#This Row],[I_1]]*Table1[[#This Row],[I_2]]+((Table1[[#This Row],[I_1]]-Table1[[#This Row],[I_2]])^2)/3))))</f>
        <v>0</v>
      </c>
      <c r="AQ45" s="354">
        <f>Rdson4*Table1[[#This Row],[Irms BoCtlr]]^2</f>
        <v>0</v>
      </c>
      <c r="AR45" s="354">
        <f>CHOOSE(Table1[[#This Row],[Mode Digit]], 0, (Vout*Table1[[#This Row],[Iin]]/2)*(Fsw)*(Tr_boost+Tf_boost), (Vout*Iout/2)*(Fsw/1)*(Tr_boost+Tf_boost))</f>
        <v>0</v>
      </c>
      <c r="AS45">
        <f>IF(Table1[[#This Row],[Vin]]&gt;Vout, 0, IF(Table1[[#This Row],[Iin]]&gt;Table1[[#This Row],[Ripple Current pk-pk]]/2,0,ABS(Table1[[#This Row],[Iin]]-Table1[[#This Row],[Ripple Current pk-pk]]/2)*Vsd_Q4*Deadtime*Fsw))</f>
        <v>0</v>
      </c>
      <c r="AT45" s="354">
        <f>(Table1[[#This Row],[Dead Time Loss BoCtlr]]+Table1[[#This Row],[Transition Loss BoCtlr]]+Table1[[#This Row],[RDS(on) Loss BoCtlr]]*(1+RdsonTopTc*Ta-RdsonTopTc*25))/(1-Table1[[#This Row],[RDS(on) Loss BoCtlr]]*RdsonTopTc*ThetaJA_Q4)</f>
        <v>0</v>
      </c>
      <c r="AU4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12.037082410600538</v>
      </c>
      <c r="AV45" s="354">
        <f>Rdson3*Table1[[#This Row],[Irms BoSync]]^2</f>
        <v>0.60854368243027324</v>
      </c>
      <c r="AW4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5" s="354">
        <f>(Table1[[#This Row],[Deadtime Loss BoSync]]+Table1[[#This Row],[RDS(on) Loss BoSync]]*(1+RdsonBotTc*Ta-RdsonBotTc*25))/(1-Table1[[#This Row],[RDS(on) Loss BoSync]]*RdsonBotTc*ThetaJA_Q3)</f>
        <v>0.71262255071741665</v>
      </c>
      <c r="AY45" s="354">
        <f>CHOOSE(Table1[[#This Row],[Mode Digit]], Rdson3*Table1[[#This Row],[Irms Lf]]^2, Rdson1*Table1[[#This Row],[Irms Lf]]^2, 0)</f>
        <v>0.60854368243027324</v>
      </c>
      <c r="AZ45" s="354">
        <f>CHOOSE(Table1[[#This Row],[Mode Digit]], 2*Deadtime*Fsw*IF(VfdSky_Q2&gt;0,VfdSky_Q2,0)*Table1[[#This Row],[Iout]], 2*Deadtime*Fsw*IF(VfdSky_Q3&gt;0,VfdSky_Q3,0)*Table1[[#This Row],[Iin]], 2*Deadtime*Fsw*IF(VfdSky_Q2&gt;0,VfdSky_Q2,0)*Table1[[#This Row],[Iout]]+2*Deadtime*Fsw*IF(VfdSky_Q3&gt;0,VfdSky_Q3,0)*Table1[[#This Row],[Iin]])</f>
        <v>0</v>
      </c>
      <c r="BA45" s="354">
        <f>CHOOSE(Table1[[#This Row],[Mode Digit]], IF(QrrSky_Q2&gt;0,QrrSky_Q2,Qrr_Q2)*Fsw*(Table1[[#This Row],[Vin]]-Table1[[#This Row],[Iout]]*Rdson1),0,  IF(QrrSky_Q2&gt;0,QrrSky_Q2,Qrr_Q2)*Fsw*(Table1[[#This Row],[Vin]]-Table1[[#This Row],[Iout]]*Rdson1)+IF(QrrSky_Q3&gt;0,QrrSky_Q3,Qrr_Q3)*Fsw*Vout)</f>
        <v>0.26963520000000002</v>
      </c>
      <c r="BB45" s="354">
        <f>CHOOSE(Table1[[#This Row],[Mode Digit]],0, IF(QrrSky_Q3&gt;0,QrrSky_Q3,Qrr_Q3)*Fsw*Vout,  IF(QrrSky_Q2&gt;0,QrrSky_Q2,Qrr_Q2)*Fsw*(Table1[[#This Row],[Vin]]-Table1[[#This Row],[Iout]]*Rdson1)+IF(QrrSky_Q3&gt;0,QrrSky_Q3,Qrr_Q3)*Fsw*Vout)</f>
        <v>0</v>
      </c>
      <c r="BC45" s="354">
        <f>CHOOSE(Table1[[#This Row],[Mode Digit]], Rs*Table1[[#This Row],[Irms BuSync]]^2, Rs*Table1[[#This Row],[Irms BoCtlr]]^2, Rs*(Table1[[#This Row],[Irms BuSync]]^2+Table1[[#This Row],[Irms BoCtlr]]^2))</f>
        <v>0.12529407462137399</v>
      </c>
      <c r="BD45" s="354">
        <f t="shared" si="1"/>
        <v>1.44</v>
      </c>
      <c r="BE45" s="354">
        <f>IF(Vout&gt;8, Iq*Vout, Iq*Table1[[#This Row],[Vin]])</f>
        <v>4.3799999999999999E-2</v>
      </c>
      <c r="BF45" s="354">
        <f>CHOOSE(Table1[[#This Row],[Mode Digit]], (Qg_Q1+Qg_Q2)*Fsw, (Qg_Q3+Qg_Q4)*Fsw, (Qg_Q1+Qg_Q2+Qg_Q3+Qg_Q4)*Fsw)*IF(Vout&gt;8, Vout, Table1[[#This Row],[Vin]])</f>
        <v>0.47303999999999996</v>
      </c>
      <c r="BG45" s="354">
        <f t="shared" si="2"/>
        <v>0.57269042016806726</v>
      </c>
      <c r="BH45" s="354">
        <f>Table1[[#This Row],[IQ Loss]]+Table1[[#This Row],[Switching Current Loss]]</f>
        <v>0.51683999999999997</v>
      </c>
      <c r="BI4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8.7610003791594639</v>
      </c>
      <c r="BJ45">
        <f>Vout*Table1[[#This Row],[Iout]]</f>
        <v>175.2</v>
      </c>
      <c r="BK45" s="550">
        <f>Table1[[#This Row],[Pout]]/(Table1[[#This Row],[Pout]]+Table1[[#This Row],[Total Loss]])</f>
        <v>0.95237577333727097</v>
      </c>
      <c r="BL4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204.17626781379232</v>
      </c>
      <c r="BM45" s="559">
        <f>IF(Table1[[#This Row],[Vin]]&gt;Vout, Table1[[#This Row],[Total Sync Bu MOSFET Loss]]*ThetaJA_Q2, ThetaJA_Q3*Table1[[#This Row],[Total Sync Bo MOSFET Loss]])</f>
        <v>49.787101660638271</v>
      </c>
      <c r="BN45" s="9"/>
      <c r="BO45" s="4">
        <f>Table1[[#This Row],[EFF, h]]*100</f>
        <v>95.237577333727103</v>
      </c>
      <c r="BP45" s="354">
        <f>Table1[[#This Row],[Total Inductor Loss]]</f>
        <v>1.3938648810549974</v>
      </c>
      <c r="BQ45" s="354">
        <f>Table1[[#This Row],[Total Control Bu MOSFET Loss]]+Table1[[#This Row],[Total Sync Bu MOSFET Loss]]+Table1[[#This Row],[Total Control Bo MOSFET Loss]]+Table1[[#This Row],[Total Sync Bo MOSFET Loss]]+Table1[[#This Row],[Reverse Recovery Loss MOSFET D BUCK]]+Table1[[#This Row],[Reverse Recovery Loss MOSFET D BOOST]]</f>
        <v>5.2149805752912588</v>
      </c>
      <c r="BR45" s="354">
        <f>Table1[[#This Row],[Total Control Bu MOSFET Loss]]+Table1[[#This Row],[Reverse Recovery Loss MOSFET D BUCK]]*0.66</f>
        <v>3.5808970288965387</v>
      </c>
      <c r="BS45" s="354">
        <f>Table1[[#This Row],[Total Sync Bu MOSFET Loss]]+Table1[[#This Row],[Reverse Recovery Loss MOSFET D BUCK]]*0.33</f>
        <v>0.91876464367730459</v>
      </c>
      <c r="BT45" s="354">
        <f xml:space="preserve"> Table1[[#This Row],[Total Control Bo MOSFET Loss]]+Table1[[#This Row],[Reverse Recovery Loss MOSFET D BOOST]]*0.66</f>
        <v>0</v>
      </c>
      <c r="BU45" s="354">
        <f xml:space="preserve"> Table1[[#This Row],[Total Sync Bo MOSFET Loss]]+Table1[[#This Row],[Reverse Recovery Loss MOSFET D BOOST]]*0.33</f>
        <v>0.71262255071741665</v>
      </c>
      <c r="BV45" s="354">
        <f>Table1[[#This Row],[Isense Shunt Loss]]</f>
        <v>0.12529407462137399</v>
      </c>
      <c r="CA45">
        <v>9.9979859999999992</v>
      </c>
      <c r="CB45">
        <v>5.4960000000000004</v>
      </c>
      <c r="CC45">
        <v>5.1097890000000001</v>
      </c>
      <c r="CD45">
        <v>93.599771362833366</v>
      </c>
      <c r="CE45">
        <v>1920.3056923499939</v>
      </c>
    </row>
    <row r="46" spans="1:83" x14ac:dyDescent="0.2">
      <c r="A46" s="75" t="s">
        <v>235</v>
      </c>
      <c r="B46" s="5">
        <f>Vsd_Q1</f>
        <v>1</v>
      </c>
      <c r="C46" s="445" t="s">
        <v>0</v>
      </c>
      <c r="G46">
        <v>37</v>
      </c>
      <c r="H46" s="555">
        <f>VIN_min+(VIN_max-VIN_min)*(Table1[[#This Row],[Step]]/200)</f>
        <v>22.59</v>
      </c>
      <c r="I46" s="4" t="str">
        <f>IF(Mode = 2,IF(Table1[[#This Row],[Vin]]&gt;Vout, "BUCK","BOOST"),IF(Table1[[#This Row],[Vin]]&gt;VIN_BB_to_buck, "BUCK", IF(Table1[[#This Row],[Vin]]&lt;=VIN_boost_to_BB,"BOOST","BUCK-BST")))</f>
        <v>BUCK</v>
      </c>
      <c r="J46">
        <f>IF(Table1[[#This Row],[Mode]]="BOOST",2, IF(Table1[[#This Row],[Mode]]="BUCK", 1,3))</f>
        <v>1</v>
      </c>
      <c r="K46">
        <f t="shared" si="0"/>
        <v>12</v>
      </c>
      <c r="L46" s="4">
        <f>Vout*Table1[[#This Row],[Iout]]/(Table1[[#This Row],[Vin]]*Efficiency)</f>
        <v>8.1638358845320464</v>
      </c>
      <c r="M46" s="711">
        <f>MIN(1/Fsw,CHOOSE(Table1[[#This Row],[Mode Digit]],(Vout+(Rdson2+Rs+Rdcr)*Table1[[#This Row],[Iout]])/(Table1[[#This Row],[Vin]]+(Rs+Rdson2-Rdson1)*Table1[[#This Row],[Iout]])/Fsw,(Vout+(Rdson3+Rdcr)*Table1[[#This Row],[Iin]]-Table1[[#This Row],[Vin]])/(Vout+(Rdson3-Rdson4-Rs)*Table1[[#This Row],[Iin]])/Fsw,t1_Ph_II))</f>
        <v>1.0867963454170351E-6</v>
      </c>
      <c r="N46" s="602">
        <f>CHOOSE(Table1[[#This Row],[Mode Digit]],1/Fsw-Table1[[#This Row],[t1_Ph_II]],1/Fsw-Table1[[#This Row],[t1_Ph_II]],(Vout/Fsw-Table1[[#This Row],[Vin]]*t1_Ph_II)/(Table1[[#This Row],[Vin]]+Vout))</f>
        <v>5.7987032124963158E-7</v>
      </c>
      <c r="O46" s="602">
        <f>1/Fsw-(Table1[[#This Row],[t1_Ph_II]]+Table1[[#This Row],[t2_Ph_I]])</f>
        <v>0</v>
      </c>
      <c r="P4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10.355397196992024</v>
      </c>
      <c r="Q46" s="4">
        <f>CHOOSE(Table1[[#This Row],[Mode Digit]],Table1[[#This Row],[I_0]]+1/Lf*(Table1[[#This Row],[Vin]]-Vout)*Table1[[#This Row],[t1_Ph_II]],Table1[[#This Row],[I_0]]+1/Lf*Table1[[#This Row],[Vin]]*Table1[[#This Row],[t1_Ph_II]],Table1[[#This Row],[I_0]]+(Table1[[#This Row],[Vin]]-Vout)/L*Table1[[#This Row],[t1_Ph_II]])</f>
        <v>13.644602803007976</v>
      </c>
      <c r="R46" s="4">
        <f>CHOOSE(Table1[[#This Row],[Mode Digit]],0,0,Table1[[#This Row],[I_1]]+Table1[[#This Row],[Vin]]/L*Table1[[#This Row],[t2_Ph_I]])</f>
        <v>0</v>
      </c>
      <c r="S46" s="4">
        <f>Fsw*(Table1[[#This Row],[I_0]]*Table1[[#This Row],[t1_Ph_II]]+Table1[[#This Row],[I_1]]*Table1[[#This Row],[t2_Ph_I]]+Table1[[#This Row],[I_2]]*Table1[[#This Row],[t3_Ph_III]])</f>
        <v>11.49978482384196</v>
      </c>
      <c r="T46" s="354">
        <f>MIN(1,CHOOSE(Table1[[#This Row],[Mode Digit]],(Vout+(Rdson2+Rs+Rdcr)*Table1[[#This Row],[Iout]])/(Table1[[#This Row],[Vin]]+(Rs+Rdson2-Rdson1)*Table1[[#This Row],[Iout]]),1,Fsw*Table1[[#This Row],[t2_Ph_I]]+Table1[[#This Row],[t1_Ph_II]]))</f>
        <v>0.65207780725022102</v>
      </c>
      <c r="U46" s="354">
        <f>MIN(1,CHOOSE(Table1[[#This Row],[Mode Digit]],0,(Vout+(Rdson3+Rdcr)*Table1[[#This Row],[Iin]]-Table1[[#This Row],[Vin]])/(Vout+(Rdson3-Rdson4-Rs)*Table1[[#This Row],[Iin]]),Fsw*Table1[[#This Row],[t1_Ph_II]]+Table1[[#This Row],[t3_Ph_III]]))</f>
        <v>0</v>
      </c>
      <c r="V46" s="4">
        <f>MAX(Table1[[#This Row],[I_0]:[I_2]])-MIN(Table1[[#This Row],[I_0]:[I_1]])</f>
        <v>3.2892056060159511</v>
      </c>
      <c r="W4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12.03750691768111</v>
      </c>
      <c r="X46" s="354">
        <f>(Table1[[#This Row],[Irms Lf]]^2*Rdcr*(1+Ltc*Ta-Ltc*25))/(1-Table1[[#This Row],[Irms Lf]]^2*Rdcr*Ltc*ThetaCa)</f>
        <v>0.90100777615336414</v>
      </c>
      <c r="Y46" s="354">
        <f>ABS(7.759*10^-3*Fsw^0.9458*(0.00787*Table1[[#This Row],[Ripple Current pk-pk]])^2.304)</f>
        <v>0.49944158712896403</v>
      </c>
      <c r="Z46" s="354">
        <f>Table1[[#This Row],[DCR    Loss]]+Table1[[#This Row],[Core Loss]]</f>
        <v>1.4004493632823283</v>
      </c>
      <c r="AA46" s="4">
        <f>IF(Table1[[#This Row],[Vin]]&gt;Vout, Table1[[#This Row],[Ripple Current pk-pk]]/SQRT(12), SQRT(Table1[[#This Row],[Duty Cycle BOOST Leg]]/(1-Table1[[#This Row],[Duty Cycle BOOST Leg]]))*SQRT(Table1[[#This Row],[Iout]]^2+(Table1[[#This Row],[Ripple Current pk-pk]]^2)/12))</f>
        <v>0.94951187102666779</v>
      </c>
      <c r="AB46" s="354">
        <f>RCoutEsr*Table1[[#This Row],[Irms Cout]]^2</f>
        <v>4.5078639661028166E-3</v>
      </c>
      <c r="AC46" s="354">
        <f>Table1[[#This Row],[Cout ESR Loss]]</f>
        <v>4.5078639661028166E-3</v>
      </c>
      <c r="AD46" s="354">
        <f>IF(Table1[[#This Row],[Vin]]&gt;Vout, SQRT(Table1[[#This Row],[Duty Cycle BUCK Leg]]*(1-Table1[[#This Row],[Duty Cycle BUCK Leg]]))*SQRT(Table1[[#This Row],[Iout]]^2+(Table1[[#This Row],[Ripple Current pk-pk]]^2)/12), Table1[[#This Row],[Ripple Current pk-pk]]/SQRT(12))</f>
        <v>5.7335991286285282</v>
      </c>
      <c r="AE46" s="354">
        <f>RCinEsr*Table1[[#This Row],[Irms Cin]]^2</f>
        <v>6.5748317935619638E-2</v>
      </c>
      <c r="AF46" s="549">
        <f>Table1[[#This Row],[Cin ESR Loss]]</f>
        <v>6.5748317935619638E-2</v>
      </c>
      <c r="AG4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9.720447513057799</v>
      </c>
      <c r="AH46" s="354">
        <f>Rdson1*Table1[[#This Row],[Irms BuCtrl]]^2</f>
        <v>0.39684581938726854</v>
      </c>
      <c r="AI46" s="354">
        <f>CHOOSE(Table1[[#This Row],[Mode Digit]], (Table1[[#This Row],[Vin]]*Table1[[#This Row],[Iout]]/2)*(Fsw)*(Tr_buck+Tf_buck), 0, (Table1[[#This Row],[Vin]]*Table1[[#This Row],[Avg IL]]/2)*(Fsw/1)*(Tr_buck+Tf_buck))</f>
        <v>2.6881287508587599</v>
      </c>
      <c r="AJ46">
        <f>IF(Table1[[#This Row],[Vin]]&gt;Vout, IF(Table1[[#This Row],[Iout]]&gt;Table1[[#This Row],[Ripple Current pk-pk]]/2,0,ABS(Table1[[#This Row],[Iout]]-Table1[[#This Row],[Ripple Current pk-pk]]/2)*Vsd_Q1*Deadtime*Fsw),0)</f>
        <v>0</v>
      </c>
      <c r="AK46" s="354">
        <f>(Table1[[#This Row],[Dead Time Loss BuCtrl]]+Table1[[#This Row],[Transition Loss BuCtrl]]+Table1[[#This Row],[RDS(on) Loss BuCtrl]]*(1+RdsonTopTc*Ta-RdsonTopTc*25))/(1-Table1[[#This Row],[RDS(on) Loss BuCtrl]]*RdsonTopTc*ThetaJA_Q1)</f>
        <v>3.409727207231867</v>
      </c>
      <c r="AL46" s="354">
        <f>CHOOSE(Table1[[#This Row],[Mode Digit]],SQRT((Fsw*(Table1[[#This Row],[t2_Ph_I]]+0))*((Table1[[#This Row],[I_0]]*Table1[[#This Row],[I_1]]+((Table1[[#This Row],[I_0]]-Table1[[#This Row],[I_1]])^2)/3))),0,SQRT((Fsw*(Table1[[#This Row],[t3_Ph_III]]+0))*((Table1[[#This Row],[I_0]]*Table1[[#This Row],[I_2]]+((Table1[[#This Row],[I_0]]-Table1[[#This Row],[I_2]])^2)/3))))</f>
        <v>7.1003149887247261</v>
      </c>
      <c r="AM46" s="354">
        <f>Rdson2*Table1[[#This Row],[Irms BuSync]]^2</f>
        <v>0.21174078634425789</v>
      </c>
      <c r="AN4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6" s="354">
        <f>(Table1[[#This Row],[Deadtime Loss BuSync]]+Table1[[#This Row],[RDS(on) Loss BuSync]]*(1+RdsonBotTc*Ta-RdsonBotTc*25))/(1-Table1[[#This Row],[RDS(on) Loss BuSync]]*RdsonBotTc*ThetaJA_Q2)</f>
        <v>0.83136009666018207</v>
      </c>
      <c r="AP46" s="354">
        <f>CHOOSE(Table1[[#This Row],[Mode Digit]],0,SQRT((Fsw*(Table1[[#This Row],[t1_Ph_II]]+0))*((Table1[[#This Row],[I_0]]*Table1[[#This Row],[I_1]]+((Table1[[#This Row],[I_0]]-Table1[[#This Row],[I_1]])^2)/3))),SQRT((Fsw*(Table1[[#This Row],[t2_Ph_I]]+0))*((Table1[[#This Row],[I_1]]*Table1[[#This Row],[I_2]]+((Table1[[#This Row],[I_1]]-Table1[[#This Row],[I_2]])^2)/3))))</f>
        <v>0</v>
      </c>
      <c r="AQ46" s="354">
        <f>Rdson4*Table1[[#This Row],[Irms BoCtlr]]^2</f>
        <v>0</v>
      </c>
      <c r="AR46" s="354">
        <f>CHOOSE(Table1[[#This Row],[Mode Digit]], 0, (Vout*Table1[[#This Row],[Iin]]/2)*(Fsw)*(Tr_boost+Tf_boost), (Vout*Iout/2)*(Fsw/1)*(Tr_boost+Tf_boost))</f>
        <v>0</v>
      </c>
      <c r="AS46">
        <f>IF(Table1[[#This Row],[Vin]]&gt;Vout, 0, IF(Table1[[#This Row],[Iin]]&gt;Table1[[#This Row],[Ripple Current pk-pk]]/2,0,ABS(Table1[[#This Row],[Iin]]-Table1[[#This Row],[Ripple Current pk-pk]]/2)*Vsd_Q4*Deadtime*Fsw))</f>
        <v>0</v>
      </c>
      <c r="AT46" s="354">
        <f>(Table1[[#This Row],[Dead Time Loss BoCtlr]]+Table1[[#This Row],[Transition Loss BoCtlr]]+Table1[[#This Row],[RDS(on) Loss BoCtlr]]*(1+RdsonTopTc*Ta-RdsonTopTc*25))/(1-Table1[[#This Row],[RDS(on) Loss BoCtlr]]*RdsonTopTc*ThetaJA_Q4)</f>
        <v>0</v>
      </c>
      <c r="AU4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12.03750691768111</v>
      </c>
      <c r="AV46" s="354">
        <f>Rdson3*Table1[[#This Row],[Irms BoSync]]^2</f>
        <v>0.60858660573152656</v>
      </c>
      <c r="AW4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6" s="354">
        <f>(Table1[[#This Row],[Deadtime Loss BoSync]]+Table1[[#This Row],[RDS(on) Loss BoSync]]*(1+RdsonBotTc*Ta-RdsonBotTc*25))/(1-Table1[[#This Row],[RDS(on) Loss BoSync]]*RdsonBotTc*ThetaJA_Q3)</f>
        <v>0.71268141257476481</v>
      </c>
      <c r="AY46" s="354">
        <f>CHOOSE(Table1[[#This Row],[Mode Digit]], Rdson3*Table1[[#This Row],[Irms Lf]]^2, Rdson1*Table1[[#This Row],[Irms Lf]]^2, 0)</f>
        <v>0.60858660573152656</v>
      </c>
      <c r="AZ46" s="354">
        <f>CHOOSE(Table1[[#This Row],[Mode Digit]], 2*Deadtime*Fsw*IF(VfdSky_Q2&gt;0,VfdSky_Q2,0)*Table1[[#This Row],[Iout]], 2*Deadtime*Fsw*IF(VfdSky_Q3&gt;0,VfdSky_Q3,0)*Table1[[#This Row],[Iin]], 2*Deadtime*Fsw*IF(VfdSky_Q2&gt;0,VfdSky_Q2,0)*Table1[[#This Row],[Iout]]+2*Deadtime*Fsw*IF(VfdSky_Q3&gt;0,VfdSky_Q3,0)*Table1[[#This Row],[Iin]])</f>
        <v>0</v>
      </c>
      <c r="BA46" s="354">
        <f>CHOOSE(Table1[[#This Row],[Mode Digit]], IF(QrrSky_Q2&gt;0,QrrSky_Q2,Qrr_Q2)*Fsw*(Table1[[#This Row],[Vin]]-Table1[[#This Row],[Iout]]*Rdson1),0,  IF(QrrSky_Q2&gt;0,QrrSky_Q2,Qrr_Q2)*Fsw*(Table1[[#This Row],[Vin]]-Table1[[#This Row],[Iout]]*Rdson1)+IF(QrrSky_Q3&gt;0,QrrSky_Q3,Qrr_Q3)*Fsw*Vout)</f>
        <v>0.27047520000000003</v>
      </c>
      <c r="BB46" s="354">
        <f>CHOOSE(Table1[[#This Row],[Mode Digit]],0, IF(QrrSky_Q3&gt;0,QrrSky_Q3,Qrr_Q3)*Fsw*Vout,  IF(QrrSky_Q2&gt;0,QrrSky_Q2,Qrr_Q2)*Fsw*(Table1[[#This Row],[Vin]]-Table1[[#This Row],[Iout]]*Rdson1)+IF(QrrSky_Q3&gt;0,QrrSky_Q3,Qrr_Q3)*Fsw*Vout)</f>
        <v>0</v>
      </c>
      <c r="BC46" s="354">
        <f>CHOOSE(Table1[[#This Row],[Mode Digit]], Rs*Table1[[#This Row],[Irms BuSync]]^2, Rs*Table1[[#This Row],[Irms BoCtlr]]^2, Rs*(Table1[[#This Row],[Irms BuSync]]^2+Table1[[#This Row],[Irms BoCtlr]]^2))</f>
        <v>0.12603618234777253</v>
      </c>
      <c r="BD46" s="354">
        <f t="shared" si="1"/>
        <v>1.44</v>
      </c>
      <c r="BE46" s="354">
        <f>IF(Vout&gt;8, Iq*Vout, Iq*Table1[[#This Row],[Vin]])</f>
        <v>4.3799999999999999E-2</v>
      </c>
      <c r="BF46" s="354">
        <f>CHOOSE(Table1[[#This Row],[Mode Digit]], (Qg_Q1+Qg_Q2)*Fsw, (Qg_Q3+Qg_Q4)*Fsw, (Qg_Q1+Qg_Q2+Qg_Q3+Qg_Q4)*Fsw)*IF(Vout&gt;8, Vout, Table1[[#This Row],[Vin]])</f>
        <v>0.47303999999999996</v>
      </c>
      <c r="BG46" s="354">
        <f t="shared" si="2"/>
        <v>0.57269042016806726</v>
      </c>
      <c r="BH46" s="354">
        <f>Table1[[#This Row],[IQ Loss]]+Table1[[#This Row],[Switching Current Loss]]</f>
        <v>0.51683999999999997</v>
      </c>
      <c r="BI4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8.7778256439986375</v>
      </c>
      <c r="BJ46">
        <f>Vout*Table1[[#This Row],[Iout]]</f>
        <v>175.2</v>
      </c>
      <c r="BK46" s="550">
        <f>Table1[[#This Row],[Pout]]/(Table1[[#This Row],[Pout]]+Table1[[#This Row],[Total Loss]])</f>
        <v>0.95228867602238154</v>
      </c>
      <c r="BL4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204.58363243391202</v>
      </c>
      <c r="BM46" s="559">
        <f>IF(Table1[[#This Row],[Vin]]&gt;Vout, Table1[[#This Row],[Total Sync Bu MOSFET Loss]]*ThetaJA_Q2, ThetaJA_Q3*Table1[[#This Row],[Total Sync Bo MOSFET Loss]])</f>
        <v>49.881605799610924</v>
      </c>
      <c r="BN46" s="9"/>
      <c r="BO46" s="4">
        <f>Table1[[#This Row],[EFF, h]]*100</f>
        <v>95.228867602238154</v>
      </c>
      <c r="BP46" s="354">
        <f>Table1[[#This Row],[Total Inductor Loss]]</f>
        <v>1.4004493632823283</v>
      </c>
      <c r="BQ46" s="354">
        <f>Table1[[#This Row],[Total Control Bu MOSFET Loss]]+Table1[[#This Row],[Total Sync Bu MOSFET Loss]]+Table1[[#This Row],[Total Control Bo MOSFET Loss]]+Table1[[#This Row],[Total Sync Bo MOSFET Loss]]+Table1[[#This Row],[Reverse Recovery Loss MOSFET D BUCK]]+Table1[[#This Row],[Reverse Recovery Loss MOSFET D BOOST]]</f>
        <v>5.2242439164668131</v>
      </c>
      <c r="BR46" s="354">
        <f>Table1[[#This Row],[Total Control Bu MOSFET Loss]]+Table1[[#This Row],[Reverse Recovery Loss MOSFET D BUCK]]*0.66</f>
        <v>3.588240839231867</v>
      </c>
      <c r="BS46" s="354">
        <f>Table1[[#This Row],[Total Sync Bu MOSFET Loss]]+Table1[[#This Row],[Reverse Recovery Loss MOSFET D BUCK]]*0.33</f>
        <v>0.92061691266018209</v>
      </c>
      <c r="BT46" s="354">
        <f xml:space="preserve"> Table1[[#This Row],[Total Control Bo MOSFET Loss]]+Table1[[#This Row],[Reverse Recovery Loss MOSFET D BOOST]]*0.66</f>
        <v>0</v>
      </c>
      <c r="BU46" s="354">
        <f xml:space="preserve"> Table1[[#This Row],[Total Sync Bo MOSFET Loss]]+Table1[[#This Row],[Reverse Recovery Loss MOSFET D BOOST]]*0.33</f>
        <v>0.71268141257476481</v>
      </c>
      <c r="BV46" s="354">
        <f>Table1[[#This Row],[Isense Shunt Loss]]</f>
        <v>0.12603618234777253</v>
      </c>
      <c r="CA46">
        <v>9.9978999999999996</v>
      </c>
      <c r="CB46">
        <v>6.1950000000000003</v>
      </c>
      <c r="CC46">
        <v>5.109191</v>
      </c>
      <c r="CD46">
        <v>93.156651672159526</v>
      </c>
      <c r="CE46">
        <v>2325.1351758999972</v>
      </c>
    </row>
    <row r="47" spans="1:83" ht="15.75" x14ac:dyDescent="0.3">
      <c r="A47" s="446" t="s">
        <v>644</v>
      </c>
      <c r="B47" s="5">
        <f>ThetaJA_Q1</f>
        <v>60</v>
      </c>
      <c r="C47" s="441" t="s">
        <v>237</v>
      </c>
      <c r="D47" s="21" t="s">
        <v>105</v>
      </c>
      <c r="G47">
        <v>38</v>
      </c>
      <c r="H47" s="555">
        <f>VIN_min+(VIN_max-VIN_min)*(Table1[[#This Row],[Step]]/200)</f>
        <v>22.66</v>
      </c>
      <c r="I47" s="4" t="str">
        <f>IF(Mode = 2,IF(Table1[[#This Row],[Vin]]&gt;Vout, "BUCK","BOOST"),IF(Table1[[#This Row],[Vin]]&gt;VIN_BB_to_buck, "BUCK", IF(Table1[[#This Row],[Vin]]&lt;=VIN_boost_to_BB,"BOOST","BUCK-BST")))</f>
        <v>BUCK</v>
      </c>
      <c r="J47">
        <f>IF(Table1[[#This Row],[Mode]]="BOOST",2, IF(Table1[[#This Row],[Mode]]="BUCK", 1,3))</f>
        <v>1</v>
      </c>
      <c r="K47">
        <f t="shared" si="0"/>
        <v>12</v>
      </c>
      <c r="L47" s="4">
        <f>Vout*Table1[[#This Row],[Iout]]/(Table1[[#This Row],[Vin]]*Efficiency)</f>
        <v>8.1386166209875981</v>
      </c>
      <c r="M47" s="711">
        <f>MIN(1/Fsw,CHOOSE(Table1[[#This Row],[Mode Digit]],(Vout+(Rdson2+Rs+Rdcr)*Table1[[#This Row],[Iout]])/(Table1[[#This Row],[Vin]]+(Rs+Rdson2-Rdson1)*Table1[[#This Row],[Iout]])/Fsw,(Vout+(Rdson3+Rdcr)*Table1[[#This Row],[Iin]]-Table1[[#This Row],[Vin]])/(Vout+(Rdson3-Rdson4-Rs)*Table1[[#This Row],[Iin]])/Fsw,t1_Ph_II))</f>
        <v>1.0834435140296753E-6</v>
      </c>
      <c r="N47" s="602">
        <f>CHOOSE(Table1[[#This Row],[Mode Digit]],1/Fsw-Table1[[#This Row],[t1_Ph_II]],1/Fsw-Table1[[#This Row],[t1_Ph_II]],(Vout/Fsw-Table1[[#This Row],[Vin]]*t1_Ph_II)/(Table1[[#This Row],[Vin]]+Vout))</f>
        <v>5.8322315263699133E-7</v>
      </c>
      <c r="O47" s="602">
        <f>1/Fsw-(Table1[[#This Row],[t1_Ph_II]]+Table1[[#This Row],[t2_Ph_I]])</f>
        <v>0</v>
      </c>
      <c r="P4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10.346107060022883</v>
      </c>
      <c r="Q47" s="4">
        <f>CHOOSE(Table1[[#This Row],[Mode Digit]],Table1[[#This Row],[I_0]]+1/Lf*(Table1[[#This Row],[Vin]]-Vout)*Table1[[#This Row],[t1_Ph_II]],Table1[[#This Row],[I_0]]+1/Lf*Table1[[#This Row],[Vin]]*Table1[[#This Row],[t1_Ph_II]],Table1[[#This Row],[I_0]]+(Table1[[#This Row],[Vin]]-Vout)/L*Table1[[#This Row],[t1_Ph_II]])</f>
        <v>13.653892939977119</v>
      </c>
      <c r="R47" s="4">
        <f>CHOOSE(Table1[[#This Row],[Mode Digit]],0,0,Table1[[#This Row],[I_1]]+Table1[[#This Row],[Vin]]/L*Table1[[#This Row],[t2_Ph_I]])</f>
        <v>0</v>
      </c>
      <c r="S47" s="4">
        <f>Fsw*(Table1[[#This Row],[I_0]]*Table1[[#This Row],[t1_Ph_II]]+Table1[[#This Row],[I_1]]*Table1[[#This Row],[t2_Ph_I]]+Table1[[#This Row],[I_2]]*Table1[[#This Row],[t3_Ph_III]])</f>
        <v>11.503613445515905</v>
      </c>
      <c r="T47" s="354">
        <f>MIN(1,CHOOSE(Table1[[#This Row],[Mode Digit]],(Vout+(Rdson2+Rs+Rdcr)*Table1[[#This Row],[Iout]])/(Table1[[#This Row],[Vin]]+(Rs+Rdson2-Rdson1)*Table1[[#This Row],[Iout]]),1,Fsw*Table1[[#This Row],[t2_Ph_I]]+Table1[[#This Row],[t1_Ph_II]]))</f>
        <v>0.65006610841780521</v>
      </c>
      <c r="U47" s="354">
        <f>MIN(1,CHOOSE(Table1[[#This Row],[Mode Digit]],0,(Vout+(Rdson3+Rdcr)*Table1[[#This Row],[Iin]]-Table1[[#This Row],[Vin]])/(Vout+(Rdson3-Rdson4-Rs)*Table1[[#This Row],[Iin]]),Fsw*Table1[[#This Row],[t1_Ph_II]]+Table1[[#This Row],[t3_Ph_III]]))</f>
        <v>0</v>
      </c>
      <c r="V47" s="4">
        <f>MAX(Table1[[#This Row],[I_0]:[I_2]])-MIN(Table1[[#This Row],[I_0]:[I_1]])</f>
        <v>3.3077858799542366</v>
      </c>
      <c r="W4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12.037931187942362</v>
      </c>
      <c r="X47" s="354">
        <f>(Table1[[#This Row],[Irms Lf]]^2*Rdcr*(1+Ltc*Ta-Ltc*25))/(1-Table1[[#This Row],[Irms Lf]]^2*Rdcr*Ltc*ThetaCa)</f>
        <v>0.9010758690615549</v>
      </c>
      <c r="Y47" s="354">
        <f>ABS(7.759*10^-3*Fsw^0.9458*(0.00787*Table1[[#This Row],[Ripple Current pk-pk]])^2.304)</f>
        <v>0.50596576470067733</v>
      </c>
      <c r="Z47" s="354">
        <f>Table1[[#This Row],[DCR    Loss]]+Table1[[#This Row],[Core Loss]]</f>
        <v>1.4070416337622322</v>
      </c>
      <c r="AA47" s="4">
        <f>IF(Table1[[#This Row],[Vin]]&gt;Vout, Table1[[#This Row],[Ripple Current pk-pk]]/SQRT(12), SQRT(Table1[[#This Row],[Duty Cycle BOOST Leg]]/(1-Table1[[#This Row],[Duty Cycle BOOST Leg]]))*SQRT(Table1[[#This Row],[Iout]]^2+(Table1[[#This Row],[Ripple Current pk-pk]]^2)/12))</f>
        <v>0.95487553410661086</v>
      </c>
      <c r="AB47" s="354">
        <f>RCoutEsr*Table1[[#This Row],[Irms Cout]]^2</f>
        <v>4.5589364281769266E-3</v>
      </c>
      <c r="AC47" s="354">
        <f>Table1[[#This Row],[Cout ESR Loss]]</f>
        <v>4.5589364281769266E-3</v>
      </c>
      <c r="AD47" s="354">
        <f>IF(Table1[[#This Row],[Vin]]&gt;Vout, SQRT(Table1[[#This Row],[Duty Cycle BUCK Leg]]*(1-Table1[[#This Row],[Duty Cycle BUCK Leg]]))*SQRT(Table1[[#This Row],[Iout]]^2+(Table1[[#This Row],[Ripple Current pk-pk]]^2)/12), Table1[[#This Row],[Ripple Current pk-pk]]/SQRT(12))</f>
        <v>5.7414769012404046</v>
      </c>
      <c r="AE47" s="354">
        <f>RCinEsr*Table1[[#This Row],[Irms Cin]]^2</f>
        <v>6.5929114014954243E-2</v>
      </c>
      <c r="AF47" s="549">
        <f>Table1[[#This Row],[Cin ESR Loss]]</f>
        <v>6.5929114014954243E-2</v>
      </c>
      <c r="AG4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9.7057839263318542</v>
      </c>
      <c r="AH47" s="354">
        <f>Rdson1*Table1[[#This Row],[Irms BuCtrl]]^2</f>
        <v>0.39564941482349558</v>
      </c>
      <c r="AI47" s="354">
        <f>CHOOSE(Table1[[#This Row],[Mode Digit]], (Table1[[#This Row],[Vin]]*Table1[[#This Row],[Iout]]/2)*(Fsw)*(Tr_buck+Tf_buck), 0, (Table1[[#This Row],[Vin]]*Table1[[#This Row],[Avg IL]]/2)*(Fsw/1)*(Tr_buck+Tf_buck))</f>
        <v>2.6964584990907259</v>
      </c>
      <c r="AJ47">
        <f>IF(Table1[[#This Row],[Vin]]&gt;Vout, IF(Table1[[#This Row],[Iout]]&gt;Table1[[#This Row],[Ripple Current pk-pk]]/2,0,ABS(Table1[[#This Row],[Iout]]-Table1[[#This Row],[Ripple Current pk-pk]]/2)*Vsd_Q1*Deadtime*Fsw),0)</f>
        <v>0</v>
      </c>
      <c r="AK47" s="354">
        <f>(Table1[[#This Row],[Dead Time Loss BuCtrl]]+Table1[[#This Row],[Transition Loss BuCtrl]]+Table1[[#This Row],[RDS(on) Loss BuCtrl]]*(1+RdsonTopTc*Ta-RdsonTopTc*25))/(1-Table1[[#This Row],[RDS(on) Loss BuCtrl]]*RdsonTopTc*ThetaJA_Q1)</f>
        <v>3.4165271899367062</v>
      </c>
      <c r="AL47" s="354">
        <f>CHOOSE(Table1[[#This Row],[Mode Digit]],SQRT((Fsw*(Table1[[#This Row],[t2_Ph_I]]+0))*((Table1[[#This Row],[I_0]]*Table1[[#This Row],[I_1]]+((Table1[[#This Row],[I_0]]-Table1[[#This Row],[I_1]])^2)/3))),0,SQRT((Fsw*(Table1[[#This Row],[t3_Ph_III]]+0))*((Table1[[#This Row],[I_0]]*Table1[[#This Row],[I_2]]+((Table1[[#This Row],[I_0]]-Table1[[#This Row],[I_2]])^2)/3))))</f>
        <v>7.1210635203594137</v>
      </c>
      <c r="AM47" s="354">
        <f>Rdson2*Table1[[#This Row],[Irms BuSync]]^2</f>
        <v>0.21298009177617316</v>
      </c>
      <c r="AN4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7" s="354">
        <f>(Table1[[#This Row],[Deadtime Loss BuSync]]+Table1[[#This Row],[RDS(on) Loss BuSync]]*(1+RdsonBotTc*Ta-RdsonBotTc*25))/(1-Table1[[#This Row],[RDS(on) Loss BuSync]]*RdsonBotTc*ThetaJA_Q2)</f>
        <v>0.83292675643437541</v>
      </c>
      <c r="AP47" s="354">
        <f>CHOOSE(Table1[[#This Row],[Mode Digit]],0,SQRT((Fsw*(Table1[[#This Row],[t1_Ph_II]]+0))*((Table1[[#This Row],[I_0]]*Table1[[#This Row],[I_1]]+((Table1[[#This Row],[I_0]]-Table1[[#This Row],[I_1]])^2)/3))),SQRT((Fsw*(Table1[[#This Row],[t2_Ph_I]]+0))*((Table1[[#This Row],[I_1]]*Table1[[#This Row],[I_2]]+((Table1[[#This Row],[I_1]]-Table1[[#This Row],[I_2]])^2)/3))))</f>
        <v>0</v>
      </c>
      <c r="AQ47" s="354">
        <f>Rdson4*Table1[[#This Row],[Irms BoCtlr]]^2</f>
        <v>0</v>
      </c>
      <c r="AR47" s="354">
        <f>CHOOSE(Table1[[#This Row],[Mode Digit]], 0, (Vout*Table1[[#This Row],[Iin]]/2)*(Fsw)*(Tr_boost+Tf_boost), (Vout*Iout/2)*(Fsw/1)*(Tr_boost+Tf_boost))</f>
        <v>0</v>
      </c>
      <c r="AS47">
        <f>IF(Table1[[#This Row],[Vin]]&gt;Vout, 0, IF(Table1[[#This Row],[Iin]]&gt;Table1[[#This Row],[Ripple Current pk-pk]]/2,0,ABS(Table1[[#This Row],[Iin]]-Table1[[#This Row],[Ripple Current pk-pk]]/2)*Vsd_Q4*Deadtime*Fsw))</f>
        <v>0</v>
      </c>
      <c r="AT47" s="354">
        <f>(Table1[[#This Row],[Dead Time Loss BoCtlr]]+Table1[[#This Row],[Transition Loss BoCtlr]]+Table1[[#This Row],[RDS(on) Loss BoCtlr]]*(1+RdsonTopTc*Ta-RdsonTopTc*25))/(1-Table1[[#This Row],[RDS(on) Loss BoCtlr]]*RdsonTopTc*ThetaJA_Q4)</f>
        <v>0</v>
      </c>
      <c r="AU4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12.037931187942362</v>
      </c>
      <c r="AV47" s="354">
        <f>Rdson3*Table1[[#This Row],[Irms BoSync]]^2</f>
        <v>0.60862950659966886</v>
      </c>
      <c r="AW4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7" s="354">
        <f>(Table1[[#This Row],[Deadtime Loss BoSync]]+Table1[[#This Row],[RDS(on) Loss BoSync]]*(1+RdsonBotTc*Ta-RdsonBotTc*25))/(1-Table1[[#This Row],[RDS(on) Loss BoSync]]*RdsonBotTc*ThetaJA_Q3)</f>
        <v>0.71274024508807221</v>
      </c>
      <c r="AY47" s="354">
        <f>CHOOSE(Table1[[#This Row],[Mode Digit]], Rdson3*Table1[[#This Row],[Irms Lf]]^2, Rdson1*Table1[[#This Row],[Irms Lf]]^2, 0)</f>
        <v>0.60862950659966886</v>
      </c>
      <c r="AZ47" s="354">
        <f>CHOOSE(Table1[[#This Row],[Mode Digit]], 2*Deadtime*Fsw*IF(VfdSky_Q2&gt;0,VfdSky_Q2,0)*Table1[[#This Row],[Iout]], 2*Deadtime*Fsw*IF(VfdSky_Q3&gt;0,VfdSky_Q3,0)*Table1[[#This Row],[Iin]], 2*Deadtime*Fsw*IF(VfdSky_Q2&gt;0,VfdSky_Q2,0)*Table1[[#This Row],[Iout]]+2*Deadtime*Fsw*IF(VfdSky_Q3&gt;0,VfdSky_Q3,0)*Table1[[#This Row],[Iin]])</f>
        <v>0</v>
      </c>
      <c r="BA47" s="354">
        <f>CHOOSE(Table1[[#This Row],[Mode Digit]], IF(QrrSky_Q2&gt;0,QrrSky_Q2,Qrr_Q2)*Fsw*(Table1[[#This Row],[Vin]]-Table1[[#This Row],[Iout]]*Rdson1),0,  IF(QrrSky_Q2&gt;0,QrrSky_Q2,Qrr_Q2)*Fsw*(Table1[[#This Row],[Vin]]-Table1[[#This Row],[Iout]]*Rdson1)+IF(QrrSky_Q3&gt;0,QrrSky_Q3,Qrr_Q3)*Fsw*Vout)</f>
        <v>0.27131520000000003</v>
      </c>
      <c r="BB47" s="354">
        <f>CHOOSE(Table1[[#This Row],[Mode Digit]],0, IF(QrrSky_Q3&gt;0,QrrSky_Q3,Qrr_Q3)*Fsw*Vout,  IF(QrrSky_Q2&gt;0,QrrSky_Q2,Qrr_Q2)*Fsw*(Table1[[#This Row],[Vin]]-Table1[[#This Row],[Iout]]*Rdson1)+IF(QrrSky_Q3&gt;0,QrrSky_Q3,Qrr_Q3)*Fsw*Vout)</f>
        <v>0</v>
      </c>
      <c r="BC47" s="354">
        <f>CHOOSE(Table1[[#This Row],[Mode Digit]], Rs*Table1[[#This Row],[Irms BuSync]]^2, Rs*Table1[[#This Row],[Irms BoCtlr]]^2, Rs*(Table1[[#This Row],[Irms BuSync]]^2+Table1[[#This Row],[Irms BoCtlr]]^2))</f>
        <v>0.12677386415248401</v>
      </c>
      <c r="BD47" s="354">
        <f t="shared" si="1"/>
        <v>1.44</v>
      </c>
      <c r="BE47" s="354">
        <f>IF(Vout&gt;8, Iq*Vout, Iq*Table1[[#This Row],[Vin]])</f>
        <v>4.3799999999999999E-2</v>
      </c>
      <c r="BF47" s="354">
        <f>CHOOSE(Table1[[#This Row],[Mode Digit]], (Qg_Q1+Qg_Q2)*Fsw, (Qg_Q3+Qg_Q4)*Fsw, (Qg_Q1+Qg_Q2+Qg_Q3+Qg_Q4)*Fsw)*IF(Vout&gt;8, Vout, Table1[[#This Row],[Vin]])</f>
        <v>0.47303999999999996</v>
      </c>
      <c r="BG47" s="354">
        <f t="shared" si="2"/>
        <v>0.57269042016806726</v>
      </c>
      <c r="BH47" s="354">
        <f>Table1[[#This Row],[IQ Loss]]+Table1[[#This Row],[Switching Current Loss]]</f>
        <v>0.51683999999999997</v>
      </c>
      <c r="BI4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8.7946529398170021</v>
      </c>
      <c r="BJ47">
        <f>Vout*Table1[[#This Row],[Iout]]</f>
        <v>175.2</v>
      </c>
      <c r="BK47" s="550">
        <f>Table1[[#This Row],[Pout]]/(Table1[[#This Row],[Pout]]+Table1[[#This Row],[Total Loss]])</f>
        <v>0.95220158412596012</v>
      </c>
      <c r="BL4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204.99163139620237</v>
      </c>
      <c r="BM47" s="559">
        <f>IF(Table1[[#This Row],[Vin]]&gt;Vout, Table1[[#This Row],[Total Sync Bu MOSFET Loss]]*ThetaJA_Q2, ThetaJA_Q3*Table1[[#This Row],[Total Sync Bo MOSFET Loss]])</f>
        <v>49.975605386062526</v>
      </c>
      <c r="BN47" s="9"/>
      <c r="BO47" s="4">
        <f>Table1[[#This Row],[EFF, h]]*100</f>
        <v>95.220158412596007</v>
      </c>
      <c r="BP47" s="354">
        <f>Table1[[#This Row],[Total Inductor Loss]]</f>
        <v>1.4070416337622322</v>
      </c>
      <c r="BQ47" s="354">
        <f>Table1[[#This Row],[Total Control Bu MOSFET Loss]]+Table1[[#This Row],[Total Sync Bu MOSFET Loss]]+Table1[[#This Row],[Total Control Bo MOSFET Loss]]+Table1[[#This Row],[Total Sync Bo MOSFET Loss]]+Table1[[#This Row],[Reverse Recovery Loss MOSFET D BUCK]]+Table1[[#This Row],[Reverse Recovery Loss MOSFET D BOOST]]</f>
        <v>5.2335093914591546</v>
      </c>
      <c r="BR47" s="354">
        <f>Table1[[#This Row],[Total Control Bu MOSFET Loss]]+Table1[[#This Row],[Reverse Recovery Loss MOSFET D BUCK]]*0.66</f>
        <v>3.5955952219367062</v>
      </c>
      <c r="BS47" s="354">
        <f>Table1[[#This Row],[Total Sync Bu MOSFET Loss]]+Table1[[#This Row],[Reverse Recovery Loss MOSFET D BUCK]]*0.33</f>
        <v>0.92246077243437541</v>
      </c>
      <c r="BT47" s="354">
        <f xml:space="preserve"> Table1[[#This Row],[Total Control Bo MOSFET Loss]]+Table1[[#This Row],[Reverse Recovery Loss MOSFET D BOOST]]*0.66</f>
        <v>0</v>
      </c>
      <c r="BU47" s="354">
        <f xml:space="preserve"> Table1[[#This Row],[Total Sync Bo MOSFET Loss]]+Table1[[#This Row],[Reverse Recovery Loss MOSFET D BOOST]]*0.33</f>
        <v>0.71274024508807221</v>
      </c>
      <c r="BV47" s="354">
        <f>Table1[[#This Row],[Isense Shunt Loss]]</f>
        <v>0.12677386415248401</v>
      </c>
      <c r="CA47">
        <v>9.9976269999999996</v>
      </c>
      <c r="CB47">
        <v>6.9470000000000001</v>
      </c>
      <c r="CC47">
        <v>5.1086669999999996</v>
      </c>
      <c r="CD47">
        <v>92.656807634751772</v>
      </c>
      <c r="CE47">
        <v>2812.6290012010018</v>
      </c>
    </row>
    <row r="48" spans="1:83" x14ac:dyDescent="0.2">
      <c r="A48" s="24" t="s">
        <v>726</v>
      </c>
      <c r="B48" s="15" t="s">
        <v>113</v>
      </c>
      <c r="C48" s="24" t="s">
        <v>80</v>
      </c>
      <c r="D48" s="17" t="s">
        <v>109</v>
      </c>
      <c r="G48">
        <v>39</v>
      </c>
      <c r="H48" s="555">
        <f>VIN_min+(VIN_max-VIN_min)*(Table1[[#This Row],[Step]]/200)</f>
        <v>22.73</v>
      </c>
      <c r="I48" s="4" t="str">
        <f>IF(Mode = 2,IF(Table1[[#This Row],[Vin]]&gt;Vout, "BUCK","BOOST"),IF(Table1[[#This Row],[Vin]]&gt;VIN_BB_to_buck, "BUCK", IF(Table1[[#This Row],[Vin]]&lt;=VIN_boost_to_BB,"BOOST","BUCK-BST")))</f>
        <v>BUCK</v>
      </c>
      <c r="J48">
        <f>IF(Table1[[#This Row],[Mode]]="BOOST",2, IF(Table1[[#This Row],[Mode]]="BUCK", 1,3))</f>
        <v>1</v>
      </c>
      <c r="K48">
        <f t="shared" si="0"/>
        <v>12</v>
      </c>
      <c r="L48" s="4">
        <f>Vout*Table1[[#This Row],[Iout]]/(Table1[[#This Row],[Vin]]*Efficiency)</f>
        <v>8.1135526894667382</v>
      </c>
      <c r="M48" s="711">
        <f>MIN(1/Fsw,CHOOSE(Table1[[#This Row],[Mode Digit]],(Vout+(Rdson2+Rs+Rdcr)*Table1[[#This Row],[Iout]])/(Table1[[#This Row],[Vin]]+(Rs+Rdson2-Rdson1)*Table1[[#This Row],[Iout]])/Fsw,(Vout+(Rdson3+Rdcr)*Table1[[#This Row],[Iin]]-Table1[[#This Row],[Vin]])/(Vout+(Rdson3-Rdson4-Rs)*Table1[[#This Row],[Iin]])/Fsw,t1_Ph_II))</f>
        <v>1.0801113063854715E-6</v>
      </c>
      <c r="N48" s="602">
        <f>CHOOSE(Table1[[#This Row],[Mode Digit]],1/Fsw-Table1[[#This Row],[t1_Ph_II]],1/Fsw-Table1[[#This Row],[t1_Ph_II]],(Vout/Fsw-Table1[[#This Row],[Vin]]*t1_Ph_II)/(Table1[[#This Row],[Vin]]+Vout))</f>
        <v>5.8655536028119512E-7</v>
      </c>
      <c r="O48" s="602">
        <f>1/Fsw-(Table1[[#This Row],[t1_Ph_II]]+Table1[[#This Row],[t2_Ph_I]])</f>
        <v>0</v>
      </c>
      <c r="P4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10.336874068008735</v>
      </c>
      <c r="Q48" s="4">
        <f>CHOOSE(Table1[[#This Row],[Mode Digit]],Table1[[#This Row],[I_0]]+1/Lf*(Table1[[#This Row],[Vin]]-Vout)*Table1[[#This Row],[t1_Ph_II]],Table1[[#This Row],[I_0]]+1/Lf*Table1[[#This Row],[Vin]]*Table1[[#This Row],[t1_Ph_II]],Table1[[#This Row],[I_0]]+(Table1[[#This Row],[Vin]]-Vout)/L*Table1[[#This Row],[t1_Ph_II]])</f>
        <v>13.663125931991267</v>
      </c>
      <c r="R48" s="4">
        <f>CHOOSE(Table1[[#This Row],[Mode Digit]],0,0,Table1[[#This Row],[I_1]]+Table1[[#This Row],[Vin]]/L*Table1[[#This Row],[t2_Ph_I]])</f>
        <v>0</v>
      </c>
      <c r="S48" s="4">
        <f>Fsw*(Table1[[#This Row],[I_0]]*Table1[[#This Row],[t1_Ph_II]]+Table1[[#This Row],[I_1]]*Table1[[#This Row],[t2_Ph_I]]+Table1[[#This Row],[I_2]]*Table1[[#This Row],[t3_Ph_III]])</f>
        <v>11.507492584287297</v>
      </c>
      <c r="T48" s="354">
        <f>MIN(1,CHOOSE(Table1[[#This Row],[Mode Digit]],(Vout+(Rdson2+Rs+Rdcr)*Table1[[#This Row],[Iout]])/(Table1[[#This Row],[Vin]]+(Rs+Rdson2-Rdson1)*Table1[[#This Row],[Iout]]),1,Fsw*Table1[[#This Row],[t2_Ph_I]]+Table1[[#This Row],[t1_Ph_II]]))</f>
        <v>0.64806678383128291</v>
      </c>
      <c r="U48" s="354">
        <f>MIN(1,CHOOSE(Table1[[#This Row],[Mode Digit]],0,(Vout+(Rdson3+Rdcr)*Table1[[#This Row],[Iin]]-Table1[[#This Row],[Vin]])/(Vout+(Rdson3-Rdson4-Rs)*Table1[[#This Row],[Iin]]),Fsw*Table1[[#This Row],[t1_Ph_II]]+Table1[[#This Row],[t3_Ph_III]]))</f>
        <v>0</v>
      </c>
      <c r="V48" s="4">
        <f>MAX(Table1[[#This Row],[I_0]:[I_2]])-MIN(Table1[[#This Row],[I_0]:[I_1]])</f>
        <v>3.3262518639825327</v>
      </c>
      <c r="W4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12.038355201406072</v>
      </c>
      <c r="X48" s="354">
        <f>(Table1[[#This Row],[Irms Lf]]^2*Rdcr*(1+Ltc*Ta-Ltc*25))/(1-Table1[[#This Row],[Irms Lf]]^2*Rdcr*Ltc*ThetaCa)</f>
        <v>0.90114392384439157</v>
      </c>
      <c r="Y48" s="354">
        <f>ABS(7.759*10^-3*Fsw^0.9458*(0.00787*Table1[[#This Row],[Ripple Current pk-pk]])^2.304)</f>
        <v>0.51249733277243059</v>
      </c>
      <c r="Z48" s="354">
        <f>Table1[[#This Row],[DCR    Loss]]+Table1[[#This Row],[Core Loss]]</f>
        <v>1.4136412566168222</v>
      </c>
      <c r="AA48" s="4">
        <f>IF(Table1[[#This Row],[Vin]]&gt;Vout, Table1[[#This Row],[Ripple Current pk-pk]]/SQRT(12), SQRT(Table1[[#This Row],[Duty Cycle BOOST Leg]]/(1-Table1[[#This Row],[Duty Cycle BOOST Leg]]))*SQRT(Table1[[#This Row],[Iout]]^2+(Table1[[#This Row],[Ripple Current pk-pk]]^2)/12))</f>
        <v>0.96020620453140493</v>
      </c>
      <c r="AB48" s="354">
        <f>RCoutEsr*Table1[[#This Row],[Irms Cout]]^2</f>
        <v>4.609979776103031E-3</v>
      </c>
      <c r="AC48" s="354">
        <f>Table1[[#This Row],[Cout ESR Loss]]</f>
        <v>4.609979776103031E-3</v>
      </c>
      <c r="AD48" s="354">
        <f>IF(Table1[[#This Row],[Vin]]&gt;Vout, SQRT(Table1[[#This Row],[Duty Cycle BUCK Leg]]*(1-Table1[[#This Row],[Duty Cycle BUCK Leg]]))*SQRT(Table1[[#This Row],[Iout]]^2+(Table1[[#This Row],[Ripple Current pk-pk]]^2)/12), Table1[[#This Row],[Ripple Current pk-pk]]/SQRT(12))</f>
        <v>5.7491966502272884</v>
      </c>
      <c r="AE48" s="354">
        <f>RCinEsr*Table1[[#This Row],[Irms Cin]]^2</f>
        <v>6.6106524245969356E-2</v>
      </c>
      <c r="AF48" s="549">
        <f>Table1[[#This Row],[Cin ESR Loss]]</f>
        <v>6.6106524245969356E-2</v>
      </c>
      <c r="AG4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9.6911883597993302</v>
      </c>
      <c r="AH48" s="354">
        <f>Rdson1*Table1[[#This Row],[Irms BuCtrl]]^2</f>
        <v>0.39446035366546217</v>
      </c>
      <c r="AI48" s="354">
        <f>CHOOSE(Table1[[#This Row],[Mode Digit]], (Table1[[#This Row],[Vin]]*Table1[[#This Row],[Iout]]/2)*(Fsw)*(Tr_buck+Tf_buck), 0, (Table1[[#This Row],[Vin]]*Table1[[#This Row],[Avg IL]]/2)*(Fsw/1)*(Tr_buck+Tf_buck))</f>
        <v>2.7047882473226919</v>
      </c>
      <c r="AJ48">
        <f>IF(Table1[[#This Row],[Vin]]&gt;Vout, IF(Table1[[#This Row],[Iout]]&gt;Table1[[#This Row],[Ripple Current pk-pk]]/2,0,ABS(Table1[[#This Row],[Iout]]-Table1[[#This Row],[Ripple Current pk-pk]]/2)*Vsd_Q1*Deadtime*Fsw),0)</f>
        <v>0</v>
      </c>
      <c r="AK48" s="354">
        <f>(Table1[[#This Row],[Dead Time Loss BuCtrl]]+Table1[[#This Row],[Transition Loss BuCtrl]]+Table1[[#This Row],[RDS(on) Loss BuCtrl]]*(1+RdsonTopTc*Ta-RdsonTopTc*25))/(1-Table1[[#This Row],[RDS(on) Loss BuCtrl]]*RdsonTopTc*ThetaJA_Q1)</f>
        <v>3.423337634779712</v>
      </c>
      <c r="AL48" s="354">
        <f>CHOOSE(Table1[[#This Row],[Mode Digit]],SQRT((Fsw*(Table1[[#This Row],[t2_Ph_I]]+0))*((Table1[[#This Row],[I_0]]*Table1[[#This Row],[I_1]]+((Table1[[#This Row],[I_0]]-Table1[[#This Row],[I_1]])^2)/3))),0,SQRT((Fsw*(Table1[[#This Row],[t3_Ph_III]]+0))*((Table1[[#This Row],[I_0]]*Table1[[#This Row],[I_2]]+((Table1[[#This Row],[I_0]]-Table1[[#This Row],[I_2]])^2)/3))))</f>
        <v>7.1416289549451255</v>
      </c>
      <c r="AM48" s="354">
        <f>Rdson2*Table1[[#This Row],[Irms BuSync]]^2</f>
        <v>0.21421202934646455</v>
      </c>
      <c r="AN4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8" s="354">
        <f>(Table1[[#This Row],[Deadtime Loss BuSync]]+Table1[[#This Row],[RDS(on) Loss BuSync]]*(1+RdsonBotTc*Ta-RdsonBotTc*25))/(1-Table1[[#This Row],[RDS(on) Loss BuSync]]*RdsonBotTc*ThetaJA_Q2)</f>
        <v>0.83448507589386844</v>
      </c>
      <c r="AP48" s="354">
        <f>CHOOSE(Table1[[#This Row],[Mode Digit]],0,SQRT((Fsw*(Table1[[#This Row],[t1_Ph_II]]+0))*((Table1[[#This Row],[I_0]]*Table1[[#This Row],[I_1]]+((Table1[[#This Row],[I_0]]-Table1[[#This Row],[I_1]])^2)/3))),SQRT((Fsw*(Table1[[#This Row],[t2_Ph_I]]+0))*((Table1[[#This Row],[I_1]]*Table1[[#This Row],[I_2]]+((Table1[[#This Row],[I_1]]-Table1[[#This Row],[I_2]])^2)/3))))</f>
        <v>0</v>
      </c>
      <c r="AQ48" s="354">
        <f>Rdson4*Table1[[#This Row],[Irms BoCtlr]]^2</f>
        <v>0</v>
      </c>
      <c r="AR48" s="354">
        <f>CHOOSE(Table1[[#This Row],[Mode Digit]], 0, (Vout*Table1[[#This Row],[Iin]]/2)*(Fsw)*(Tr_boost+Tf_boost), (Vout*Iout/2)*(Fsw/1)*(Tr_boost+Tf_boost))</f>
        <v>0</v>
      </c>
      <c r="AS48">
        <f>IF(Table1[[#This Row],[Vin]]&gt;Vout, 0, IF(Table1[[#This Row],[Iin]]&gt;Table1[[#This Row],[Ripple Current pk-pk]]/2,0,ABS(Table1[[#This Row],[Iin]]-Table1[[#This Row],[Ripple Current pk-pk]]/2)*Vsd_Q4*Deadtime*Fsw))</f>
        <v>0</v>
      </c>
      <c r="AT48" s="354">
        <f>(Table1[[#This Row],[Dead Time Loss BoCtlr]]+Table1[[#This Row],[Transition Loss BoCtlr]]+Table1[[#This Row],[RDS(on) Loss BoCtlr]]*(1+RdsonTopTc*Ta-RdsonTopTc*25))/(1-Table1[[#This Row],[RDS(on) Loss BoCtlr]]*RdsonTopTc*ThetaJA_Q4)</f>
        <v>0</v>
      </c>
      <c r="AU4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12.038355201406072</v>
      </c>
      <c r="AV48" s="354">
        <f>Rdson3*Table1[[#This Row],[Irms BoSync]]^2</f>
        <v>0.60867238301192661</v>
      </c>
      <c r="AW4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8" s="354">
        <f>(Table1[[#This Row],[Deadtime Loss BoSync]]+Table1[[#This Row],[RDS(on) Loss BoSync]]*(1+RdsonBotTc*Ta-RdsonBotTc*25))/(1-Table1[[#This Row],[RDS(on) Loss BoSync]]*RdsonBotTc*ThetaJA_Q3)</f>
        <v>0.71279904548111461</v>
      </c>
      <c r="AY48" s="354">
        <f>CHOOSE(Table1[[#This Row],[Mode Digit]], Rdson3*Table1[[#This Row],[Irms Lf]]^2, Rdson1*Table1[[#This Row],[Irms Lf]]^2, 0)</f>
        <v>0.60867238301192661</v>
      </c>
      <c r="AZ48" s="354">
        <f>CHOOSE(Table1[[#This Row],[Mode Digit]], 2*Deadtime*Fsw*IF(VfdSky_Q2&gt;0,VfdSky_Q2,0)*Table1[[#This Row],[Iout]], 2*Deadtime*Fsw*IF(VfdSky_Q3&gt;0,VfdSky_Q3,0)*Table1[[#This Row],[Iin]], 2*Deadtime*Fsw*IF(VfdSky_Q2&gt;0,VfdSky_Q2,0)*Table1[[#This Row],[Iout]]+2*Deadtime*Fsw*IF(VfdSky_Q3&gt;0,VfdSky_Q3,0)*Table1[[#This Row],[Iin]])</f>
        <v>0</v>
      </c>
      <c r="BA48" s="354">
        <f>CHOOSE(Table1[[#This Row],[Mode Digit]], IF(QrrSky_Q2&gt;0,QrrSky_Q2,Qrr_Q2)*Fsw*(Table1[[#This Row],[Vin]]-Table1[[#This Row],[Iout]]*Rdson1),0,  IF(QrrSky_Q2&gt;0,QrrSky_Q2,Qrr_Q2)*Fsw*(Table1[[#This Row],[Vin]]-Table1[[#This Row],[Iout]]*Rdson1)+IF(QrrSky_Q3&gt;0,QrrSky_Q3,Qrr_Q3)*Fsw*Vout)</f>
        <v>0.27215519999999999</v>
      </c>
      <c r="BB48" s="354">
        <f>CHOOSE(Table1[[#This Row],[Mode Digit]],0, IF(QrrSky_Q3&gt;0,QrrSky_Q3,Qrr_Q3)*Fsw*Vout,  IF(QrrSky_Q2&gt;0,QrrSky_Q2,Qrr_Q2)*Fsw*(Table1[[#This Row],[Vin]]-Table1[[#This Row],[Iout]]*Rdson1)+IF(QrrSky_Q3&gt;0,QrrSky_Q3,Qrr_Q3)*Fsw*Vout)</f>
        <v>0</v>
      </c>
      <c r="BC48" s="354">
        <f>CHOOSE(Table1[[#This Row],[Mode Digit]], Rs*Table1[[#This Row],[Irms BuSync]]^2, Rs*Table1[[#This Row],[Irms BoCtlr]]^2, Rs*(Table1[[#This Row],[Irms BuSync]]^2+Table1[[#This Row],[Irms BoCtlr]]^2))</f>
        <v>0.12750716032527651</v>
      </c>
      <c r="BD48" s="354">
        <f t="shared" si="1"/>
        <v>1.44</v>
      </c>
      <c r="BE48" s="354">
        <f>IF(Vout&gt;8, Iq*Vout, Iq*Table1[[#This Row],[Vin]])</f>
        <v>4.3799999999999999E-2</v>
      </c>
      <c r="BF48" s="354">
        <f>CHOOSE(Table1[[#This Row],[Mode Digit]], (Qg_Q1+Qg_Q2)*Fsw, (Qg_Q3+Qg_Q4)*Fsw, (Qg_Q1+Qg_Q2+Qg_Q3+Qg_Q4)*Fsw)*IF(Vout&gt;8, Vout, Table1[[#This Row],[Vin]])</f>
        <v>0.47303999999999996</v>
      </c>
      <c r="BG48" s="354">
        <f t="shared" si="2"/>
        <v>0.57269042016806726</v>
      </c>
      <c r="BH48" s="354">
        <f>Table1[[#This Row],[IQ Loss]]+Table1[[#This Row],[Switching Current Loss]]</f>
        <v>0.51683999999999997</v>
      </c>
      <c r="BI4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8.8114818771188652</v>
      </c>
      <c r="BJ48">
        <f>Vout*Table1[[#This Row],[Iout]]</f>
        <v>175.2</v>
      </c>
      <c r="BK48" s="550">
        <f>Table1[[#This Row],[Pout]]/(Table1[[#This Row],[Pout]]+Table1[[#This Row],[Total Loss]])</f>
        <v>0.95211449966473782</v>
      </c>
      <c r="BL4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205.40025808678271</v>
      </c>
      <c r="BM48" s="559">
        <f>IF(Table1[[#This Row],[Vin]]&gt;Vout, Table1[[#This Row],[Total Sync Bu MOSFET Loss]]*ThetaJA_Q2, ThetaJA_Q3*Table1[[#This Row],[Total Sync Bo MOSFET Loss]])</f>
        <v>50.069104553632108</v>
      </c>
      <c r="BN48" s="9"/>
      <c r="BO48" s="4">
        <f>Table1[[#This Row],[EFF, h]]*100</f>
        <v>95.211449966473779</v>
      </c>
      <c r="BP48" s="354">
        <f>Table1[[#This Row],[Total Inductor Loss]]</f>
        <v>1.4136412566168222</v>
      </c>
      <c r="BQ48" s="354">
        <f>Table1[[#This Row],[Total Control Bu MOSFET Loss]]+Table1[[#This Row],[Total Sync Bu MOSFET Loss]]+Table1[[#This Row],[Total Control Bo MOSFET Loss]]+Table1[[#This Row],[Total Sync Bo MOSFET Loss]]+Table1[[#This Row],[Reverse Recovery Loss MOSFET D BUCK]]+Table1[[#This Row],[Reverse Recovery Loss MOSFET D BOOST]]</f>
        <v>5.2427769561546951</v>
      </c>
      <c r="BR48" s="354">
        <f>Table1[[#This Row],[Total Control Bu MOSFET Loss]]+Table1[[#This Row],[Reverse Recovery Loss MOSFET D BUCK]]*0.66</f>
        <v>3.6029600667797119</v>
      </c>
      <c r="BS48" s="354">
        <f>Table1[[#This Row],[Total Sync Bu MOSFET Loss]]+Table1[[#This Row],[Reverse Recovery Loss MOSFET D BUCK]]*0.33</f>
        <v>0.92429629189386842</v>
      </c>
      <c r="BT48" s="354">
        <f xml:space="preserve"> Table1[[#This Row],[Total Control Bo MOSFET Loss]]+Table1[[#This Row],[Reverse Recovery Loss MOSFET D BOOST]]*0.66</f>
        <v>0</v>
      </c>
      <c r="BU48" s="354">
        <f xml:space="preserve"> Table1[[#This Row],[Total Sync Bo MOSFET Loss]]+Table1[[#This Row],[Reverse Recovery Loss MOSFET D BOOST]]*0.33</f>
        <v>0.71279904548111461</v>
      </c>
      <c r="BV48" s="354">
        <f>Table1[[#This Row],[Isense Shunt Loss]]</f>
        <v>0.12750716032527651</v>
      </c>
      <c r="CA48">
        <v>9.9975280000000009</v>
      </c>
      <c r="CB48">
        <v>7.7530000000000001</v>
      </c>
      <c r="CC48">
        <v>5.10853</v>
      </c>
      <c r="CD48">
        <v>92.034336419785248</v>
      </c>
      <c r="CE48">
        <v>3427.976173640001</v>
      </c>
    </row>
    <row r="49" spans="1:83" x14ac:dyDescent="0.2">
      <c r="A49" s="23" t="s">
        <v>72</v>
      </c>
      <c r="B49" s="5">
        <f>Rdson2*1000</f>
        <v>4.2</v>
      </c>
      <c r="C49" s="442" t="s">
        <v>638</v>
      </c>
      <c r="D49" s="440" t="s">
        <v>727</v>
      </c>
      <c r="G49">
        <v>40</v>
      </c>
      <c r="H49" s="555">
        <f>VIN_min+(VIN_max-VIN_min)*(Table1[[#This Row],[Step]]/200)</f>
        <v>22.8</v>
      </c>
      <c r="I49" s="4" t="str">
        <f>IF(Mode = 2,IF(Table1[[#This Row],[Vin]]&gt;Vout, "BUCK","BOOST"),IF(Table1[[#This Row],[Vin]]&gt;VIN_BB_to_buck, "BUCK", IF(Table1[[#This Row],[Vin]]&lt;=VIN_boost_to_BB,"BOOST","BUCK-BST")))</f>
        <v>BUCK</v>
      </c>
      <c r="J49">
        <f>IF(Table1[[#This Row],[Mode]]="BOOST",2, IF(Table1[[#This Row],[Mode]]="BUCK", 1,3))</f>
        <v>1</v>
      </c>
      <c r="K49">
        <f t="shared" si="0"/>
        <v>12</v>
      </c>
      <c r="L49" s="4">
        <f>Vout*Table1[[#This Row],[Iout]]/(Table1[[#This Row],[Vin]]*Efficiency)</f>
        <v>8.0886426592797775</v>
      </c>
      <c r="M49" s="711">
        <f>MIN(1/Fsw,CHOOSE(Table1[[#This Row],[Mode Digit]],(Vout+(Rdson2+Rs+Rdcr)*Table1[[#This Row],[Iout]])/(Table1[[#This Row],[Vin]]+(Rs+Rdson2-Rdson1)*Table1[[#This Row],[Iout]])/Fsw,(Vout+(Rdson3+Rdcr)*Table1[[#This Row],[Iin]]-Table1[[#This Row],[Vin]])/(Vout+(Rdson3-Rdson4-Rs)*Table1[[#This Row],[Iin]])/Fsw,t1_Ph_II))</f>
        <v>1.0767995327785078E-6</v>
      </c>
      <c r="N49" s="602">
        <f>CHOOSE(Table1[[#This Row],[Mode Digit]],1/Fsw-Table1[[#This Row],[t1_Ph_II]],1/Fsw-Table1[[#This Row],[t1_Ph_II]],(Vout/Fsw-Table1[[#This Row],[Vin]]*t1_Ph_II)/(Table1[[#This Row],[Vin]]+Vout))</f>
        <v>5.8986713388815889E-7</v>
      </c>
      <c r="O49" s="602">
        <f>1/Fsw-(Table1[[#This Row],[t1_Ph_II]]+Table1[[#This Row],[t2_Ph_I]])</f>
        <v>0</v>
      </c>
      <c r="P4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10.327697695306105</v>
      </c>
      <c r="Q49" s="4">
        <f>CHOOSE(Table1[[#This Row],[Mode Digit]],Table1[[#This Row],[I_0]]+1/Lf*(Table1[[#This Row],[Vin]]-Vout)*Table1[[#This Row],[t1_Ph_II]],Table1[[#This Row],[I_0]]+1/Lf*Table1[[#This Row],[Vin]]*Table1[[#This Row],[t1_Ph_II]],Table1[[#This Row],[I_0]]+(Table1[[#This Row],[Vin]]-Vout)/L*Table1[[#This Row],[t1_Ph_II]])</f>
        <v>13.672302304693893</v>
      </c>
      <c r="R49" s="4">
        <f>CHOOSE(Table1[[#This Row],[Mode Digit]],0,0,Table1[[#This Row],[I_1]]+Table1[[#This Row],[Vin]]/L*Table1[[#This Row],[t2_Ph_I]])</f>
        <v>0</v>
      </c>
      <c r="S49" s="4">
        <f>Fsw*(Table1[[#This Row],[I_0]]*Table1[[#This Row],[t1_Ph_II]]+Table1[[#This Row],[I_1]]*Table1[[#This Row],[t2_Ph_I]]+Table1[[#This Row],[I_2]]*Table1[[#This Row],[t3_Ph_III]])</f>
        <v>11.511421096263327</v>
      </c>
      <c r="T49" s="354">
        <f>MIN(1,CHOOSE(Table1[[#This Row],[Mode Digit]],(Vout+(Rdson2+Rs+Rdcr)*Table1[[#This Row],[Iout]])/(Table1[[#This Row],[Vin]]+(Rs+Rdson2-Rdson1)*Table1[[#This Row],[Iout]]),1,Fsw*Table1[[#This Row],[t2_Ph_I]]+Table1[[#This Row],[t1_Ph_II]]))</f>
        <v>0.64607971966710465</v>
      </c>
      <c r="U49" s="354">
        <f>MIN(1,CHOOSE(Table1[[#This Row],[Mode Digit]],0,(Vout+(Rdson3+Rdcr)*Table1[[#This Row],[Iin]]-Table1[[#This Row],[Vin]])/(Vout+(Rdson3-Rdson4-Rs)*Table1[[#This Row],[Iin]]),Fsw*Table1[[#This Row],[t1_Ph_II]]+Table1[[#This Row],[t3_Ph_III]]))</f>
        <v>0</v>
      </c>
      <c r="V49" s="4">
        <f>MAX(Table1[[#This Row],[I_0]:[I_2]])-MIN(Table1[[#This Row],[I_0]:[I_1]])</f>
        <v>3.3446046093877886</v>
      </c>
      <c r="W4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12.038778938611735</v>
      </c>
      <c r="X49" s="354">
        <f>(Table1[[#This Row],[Irms Lf]]^2*Rdcr*(1+Ltc*Ta-Ltc*25))/(1-Table1[[#This Row],[Irms Lf]]^2*Rdcr*Ltc*ThetaCa)</f>
        <v>0.90121193737269489</v>
      </c>
      <c r="Y49" s="354">
        <f>ABS(7.759*10^-3*Fsw^0.9458*(0.00787*Table1[[#This Row],[Ripple Current pk-pk]])^2.304)</f>
        <v>0.51903586709046623</v>
      </c>
      <c r="Z49" s="354">
        <f>Table1[[#This Row],[DCR    Loss]]+Table1[[#This Row],[Core Loss]]</f>
        <v>1.4202478044631612</v>
      </c>
      <c r="AA49" s="4">
        <f>IF(Table1[[#This Row],[Vin]]&gt;Vout, Table1[[#This Row],[Ripple Current pk-pk]]/SQRT(12), SQRT(Table1[[#This Row],[Duty Cycle BOOST Leg]]/(1-Table1[[#This Row],[Duty Cycle BOOST Leg]]))*SQRT(Table1[[#This Row],[Iout]]^2+(Table1[[#This Row],[Ripple Current pk-pk]]^2)/12))</f>
        <v>0.96550418578145147</v>
      </c>
      <c r="AB49" s="354">
        <f>RCoutEsr*Table1[[#This Row],[Irms Cout]]^2</f>
        <v>4.6609916638075182E-3</v>
      </c>
      <c r="AC49" s="354">
        <f>Table1[[#This Row],[Cout ESR Loss]]</f>
        <v>4.6609916638075182E-3</v>
      </c>
      <c r="AD49" s="354">
        <f>IF(Table1[[#This Row],[Vin]]&gt;Vout, SQRT(Table1[[#This Row],[Duty Cycle BUCK Leg]]*(1-Table1[[#This Row],[Duty Cycle BUCK Leg]]))*SQRT(Table1[[#This Row],[Iout]]^2+(Table1[[#This Row],[Ripple Current pk-pk]]^2)/12), Table1[[#This Row],[Ripple Current pk-pk]]/SQRT(12))</f>
        <v>5.7567612569954765</v>
      </c>
      <c r="AE49" s="354">
        <f>RCinEsr*Table1[[#This Row],[Irms Cin]]^2</f>
        <v>6.6280600340088272E-2</v>
      </c>
      <c r="AF49" s="549">
        <f>Table1[[#This Row],[Cin ESR Loss]]</f>
        <v>6.6280600340088272E-2</v>
      </c>
      <c r="AG4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9.6766602745765411</v>
      </c>
      <c r="AH49" s="354">
        <f>Rdson1*Table1[[#This Row],[Irms BuCtrl]]^2</f>
        <v>0.39327856709218456</v>
      </c>
      <c r="AI49" s="354">
        <f>CHOOSE(Table1[[#This Row],[Mode Digit]], (Table1[[#This Row],[Vin]]*Table1[[#This Row],[Iout]]/2)*(Fsw)*(Tr_buck+Tf_buck), 0, (Table1[[#This Row],[Vin]]*Table1[[#This Row],[Avg IL]]/2)*(Fsw/1)*(Tr_buck+Tf_buck))</f>
        <v>2.7131179955546578</v>
      </c>
      <c r="AJ49">
        <f>IF(Table1[[#This Row],[Vin]]&gt;Vout, IF(Table1[[#This Row],[Iout]]&gt;Table1[[#This Row],[Ripple Current pk-pk]]/2,0,ABS(Table1[[#This Row],[Iout]]-Table1[[#This Row],[Ripple Current pk-pk]]/2)*Vsd_Q1*Deadtime*Fsw),0)</f>
        <v>0</v>
      </c>
      <c r="AK49" s="354">
        <f>(Table1[[#This Row],[Dead Time Loss BuCtrl]]+Table1[[#This Row],[Transition Loss BuCtrl]]+Table1[[#This Row],[RDS(on) Loss BuCtrl]]*(1+RdsonTopTc*Ta-RdsonTopTc*25))/(1-Table1[[#This Row],[RDS(on) Loss BuCtrl]]*RdsonTopTc*ThetaJA_Q1)</f>
        <v>3.4301584330771866</v>
      </c>
      <c r="AL49" s="354">
        <f>CHOOSE(Table1[[#This Row],[Mode Digit]],SQRT((Fsw*(Table1[[#This Row],[t2_Ph_I]]+0))*((Table1[[#This Row],[I_0]]*Table1[[#This Row],[I_1]]+((Table1[[#This Row],[I_0]]-Table1[[#This Row],[I_1]])^2)/3))),0,SQRT((Fsw*(Table1[[#This Row],[t3_Ph_III]]+0))*((Table1[[#This Row],[I_0]]*Table1[[#This Row],[I_2]]+((Table1[[#This Row],[I_0]]-Table1[[#This Row],[I_2]])^2)/3))))</f>
        <v>7.1620139809409569</v>
      </c>
      <c r="AM49" s="354">
        <f>Rdson2*Table1[[#This Row],[Irms BuSync]]^2</f>
        <v>0.21543666590541372</v>
      </c>
      <c r="AN4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49" s="354">
        <f>(Table1[[#This Row],[Deadtime Loss BuSync]]+Table1[[#This Row],[RDS(on) Loss BuSync]]*(1+RdsonBotTc*Ta-RdsonBotTc*25))/(1-Table1[[#This Row],[RDS(on) Loss BuSync]]*RdsonBotTc*ThetaJA_Q2)</f>
        <v>0.83603512316006456</v>
      </c>
      <c r="AP49" s="354">
        <f>CHOOSE(Table1[[#This Row],[Mode Digit]],0,SQRT((Fsw*(Table1[[#This Row],[t1_Ph_II]]+0))*((Table1[[#This Row],[I_0]]*Table1[[#This Row],[I_1]]+((Table1[[#This Row],[I_0]]-Table1[[#This Row],[I_1]])^2)/3))),SQRT((Fsw*(Table1[[#This Row],[t2_Ph_I]]+0))*((Table1[[#This Row],[I_1]]*Table1[[#This Row],[I_2]]+((Table1[[#This Row],[I_1]]-Table1[[#This Row],[I_2]])^2)/3))))</f>
        <v>0</v>
      </c>
      <c r="AQ49" s="354">
        <f>Rdson4*Table1[[#This Row],[Irms BoCtlr]]^2</f>
        <v>0</v>
      </c>
      <c r="AR49" s="354">
        <f>CHOOSE(Table1[[#This Row],[Mode Digit]], 0, (Vout*Table1[[#This Row],[Iin]]/2)*(Fsw)*(Tr_boost+Tf_boost), (Vout*Iout/2)*(Fsw/1)*(Tr_boost+Tf_boost))</f>
        <v>0</v>
      </c>
      <c r="AS49">
        <f>IF(Table1[[#This Row],[Vin]]&gt;Vout, 0, IF(Table1[[#This Row],[Iin]]&gt;Table1[[#This Row],[Ripple Current pk-pk]]/2,0,ABS(Table1[[#This Row],[Iin]]-Table1[[#This Row],[Ripple Current pk-pk]]/2)*Vsd_Q4*Deadtime*Fsw))</f>
        <v>0</v>
      </c>
      <c r="AT49" s="354">
        <f>(Table1[[#This Row],[Dead Time Loss BoCtlr]]+Table1[[#This Row],[Transition Loss BoCtlr]]+Table1[[#This Row],[RDS(on) Loss BoCtlr]]*(1+RdsonTopTc*Ta-RdsonTopTc*25))/(1-Table1[[#This Row],[RDS(on) Loss BoCtlr]]*RdsonTopTc*ThetaJA_Q4)</f>
        <v>0</v>
      </c>
      <c r="AU4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12.038778938611735</v>
      </c>
      <c r="AV49" s="354">
        <f>Rdson3*Table1[[#This Row],[Irms BoSync]]^2</f>
        <v>0.60871523299759833</v>
      </c>
      <c r="AW4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49" s="354">
        <f>(Table1[[#This Row],[Deadtime Loss BoSync]]+Table1[[#This Row],[RDS(on) Loss BoSync]]*(1+RdsonBotTc*Ta-RdsonBotTc*25))/(1-Table1[[#This Row],[RDS(on) Loss BoSync]]*RdsonBotTc*ThetaJA_Q3)</f>
        <v>0.7128578110488154</v>
      </c>
      <c r="AY49" s="354">
        <f>CHOOSE(Table1[[#This Row],[Mode Digit]], Rdson3*Table1[[#This Row],[Irms Lf]]^2, Rdson1*Table1[[#This Row],[Irms Lf]]^2, 0)</f>
        <v>0.60871523299759833</v>
      </c>
      <c r="AZ49" s="354">
        <f>CHOOSE(Table1[[#This Row],[Mode Digit]], 2*Deadtime*Fsw*IF(VfdSky_Q2&gt;0,VfdSky_Q2,0)*Table1[[#This Row],[Iout]], 2*Deadtime*Fsw*IF(VfdSky_Q3&gt;0,VfdSky_Q3,0)*Table1[[#This Row],[Iin]], 2*Deadtime*Fsw*IF(VfdSky_Q2&gt;0,VfdSky_Q2,0)*Table1[[#This Row],[Iout]]+2*Deadtime*Fsw*IF(VfdSky_Q3&gt;0,VfdSky_Q3,0)*Table1[[#This Row],[Iin]])</f>
        <v>0</v>
      </c>
      <c r="BA49" s="354">
        <f>CHOOSE(Table1[[#This Row],[Mode Digit]], IF(QrrSky_Q2&gt;0,QrrSky_Q2,Qrr_Q2)*Fsw*(Table1[[#This Row],[Vin]]-Table1[[#This Row],[Iout]]*Rdson1),0,  IF(QrrSky_Q2&gt;0,QrrSky_Q2,Qrr_Q2)*Fsw*(Table1[[#This Row],[Vin]]-Table1[[#This Row],[Iout]]*Rdson1)+IF(QrrSky_Q3&gt;0,QrrSky_Q3,Qrr_Q3)*Fsw*Vout)</f>
        <v>0.27299519999999999</v>
      </c>
      <c r="BB49" s="354">
        <f>CHOOSE(Table1[[#This Row],[Mode Digit]],0, IF(QrrSky_Q3&gt;0,QrrSky_Q3,Qrr_Q3)*Fsw*Vout,  IF(QrrSky_Q2&gt;0,QrrSky_Q2,Qrr_Q2)*Fsw*(Table1[[#This Row],[Vin]]-Table1[[#This Row],[Iout]]*Rdson1)+IF(QrrSky_Q3&gt;0,QrrSky_Q3,Qrr_Q3)*Fsw*Vout)</f>
        <v>0</v>
      </c>
      <c r="BC49" s="354">
        <f>CHOOSE(Table1[[#This Row],[Mode Digit]], Rs*Table1[[#This Row],[Irms BuSync]]^2, Rs*Table1[[#This Row],[Irms BoCtlr]]^2, Rs*(Table1[[#This Row],[Irms BuSync]]^2+Table1[[#This Row],[Irms BoCtlr]]^2))</f>
        <v>0.12823611065798432</v>
      </c>
      <c r="BD49" s="354">
        <f t="shared" si="1"/>
        <v>1.44</v>
      </c>
      <c r="BE49" s="354">
        <f>IF(Vout&gt;8, Iq*Vout, Iq*Table1[[#This Row],[Vin]])</f>
        <v>4.3799999999999999E-2</v>
      </c>
      <c r="BF49" s="354">
        <f>CHOOSE(Table1[[#This Row],[Mode Digit]], (Qg_Q1+Qg_Q2)*Fsw, (Qg_Q3+Qg_Q4)*Fsw, (Qg_Q1+Qg_Q2+Qg_Q3+Qg_Q4)*Fsw)*IF(Vout&gt;8, Vout, Table1[[#This Row],[Vin]])</f>
        <v>0.47303999999999996</v>
      </c>
      <c r="BG49" s="354">
        <f t="shared" si="2"/>
        <v>0.57269042016806726</v>
      </c>
      <c r="BH49" s="354">
        <f>Table1[[#This Row],[IQ Loss]]+Table1[[#This Row],[Switching Current Loss]]</f>
        <v>0.51683999999999997</v>
      </c>
      <c r="BI4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8.8283120744111088</v>
      </c>
      <c r="BJ49">
        <f>Vout*Table1[[#This Row],[Iout]]</f>
        <v>175.2</v>
      </c>
      <c r="BK49" s="550">
        <f>Table1[[#This Row],[Pout]]/(Table1[[#This Row],[Pout]]+Table1[[#This Row],[Total Loss]])</f>
        <v>0.95202742461257039</v>
      </c>
      <c r="BL4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205.80950598463119</v>
      </c>
      <c r="BM49" s="559">
        <f>IF(Table1[[#This Row],[Vin]]&gt;Vout, Table1[[#This Row],[Total Sync Bu MOSFET Loss]]*ThetaJA_Q2, ThetaJA_Q3*Table1[[#This Row],[Total Sync Bo MOSFET Loss]])</f>
        <v>50.162107389603875</v>
      </c>
      <c r="BN49" s="9"/>
      <c r="BO49" s="4">
        <f>Table1[[#This Row],[EFF, h]]*100</f>
        <v>95.202742461257046</v>
      </c>
      <c r="BP49" s="354">
        <f>Table1[[#This Row],[Total Inductor Loss]]</f>
        <v>1.4202478044631612</v>
      </c>
      <c r="BQ49" s="354">
        <f>Table1[[#This Row],[Total Control Bu MOSFET Loss]]+Table1[[#This Row],[Total Sync Bu MOSFET Loss]]+Table1[[#This Row],[Total Control Bo MOSFET Loss]]+Table1[[#This Row],[Total Sync Bo MOSFET Loss]]+Table1[[#This Row],[Reverse Recovery Loss MOSFET D BUCK]]+Table1[[#This Row],[Reverse Recovery Loss MOSFET D BOOST]]</f>
        <v>5.252046567286067</v>
      </c>
      <c r="BR49" s="354">
        <f>Table1[[#This Row],[Total Control Bu MOSFET Loss]]+Table1[[#This Row],[Reverse Recovery Loss MOSFET D BUCK]]*0.66</f>
        <v>3.6103352650771865</v>
      </c>
      <c r="BS49" s="354">
        <f>Table1[[#This Row],[Total Sync Bu MOSFET Loss]]+Table1[[#This Row],[Reverse Recovery Loss MOSFET D BUCK]]*0.33</f>
        <v>0.92612353916006462</v>
      </c>
      <c r="BT49" s="354">
        <f xml:space="preserve"> Table1[[#This Row],[Total Control Bo MOSFET Loss]]+Table1[[#This Row],[Reverse Recovery Loss MOSFET D BOOST]]*0.66</f>
        <v>0</v>
      </c>
      <c r="BU49" s="354">
        <f xml:space="preserve"> Table1[[#This Row],[Total Sync Bo MOSFET Loss]]+Table1[[#This Row],[Reverse Recovery Loss MOSFET D BOOST]]*0.33</f>
        <v>0.7128578110488154</v>
      </c>
      <c r="BV49" s="354">
        <f>Table1[[#This Row],[Isense Shunt Loss]]</f>
        <v>0.12823611065798432</v>
      </c>
      <c r="CA49">
        <v>9.9970090000000003</v>
      </c>
      <c r="CB49">
        <v>8.6120000000000001</v>
      </c>
      <c r="CC49">
        <v>5.1085419999999999</v>
      </c>
      <c r="CD49">
        <v>91.346378256658895</v>
      </c>
      <c r="CE49">
        <v>4167.8065612820019</v>
      </c>
    </row>
    <row r="50" spans="1:83" x14ac:dyDescent="0.2">
      <c r="A50" s="23" t="s">
        <v>84</v>
      </c>
      <c r="B50" s="5">
        <f>RdsonBotTc*1000000</f>
        <v>4000</v>
      </c>
      <c r="C50" s="440" t="s">
        <v>85</v>
      </c>
      <c r="D50" s="21" t="s">
        <v>106</v>
      </c>
      <c r="G50">
        <v>41</v>
      </c>
      <c r="H50" s="555">
        <f>VIN_min+(VIN_max-VIN_min)*(Table1[[#This Row],[Step]]/200)</f>
        <v>22.87</v>
      </c>
      <c r="I50" s="4" t="str">
        <f>IF(Mode = 2,IF(Table1[[#This Row],[Vin]]&gt;Vout, "BUCK","BOOST"),IF(Table1[[#This Row],[Vin]]&gt;VIN_BB_to_buck, "BUCK", IF(Table1[[#This Row],[Vin]]&lt;=VIN_boost_to_BB,"BOOST","BUCK-BST")))</f>
        <v>BUCK</v>
      </c>
      <c r="J50">
        <f>IF(Table1[[#This Row],[Mode]]="BOOST",2, IF(Table1[[#This Row],[Mode]]="BUCK", 1,3))</f>
        <v>1</v>
      </c>
      <c r="K50">
        <f t="shared" si="0"/>
        <v>12</v>
      </c>
      <c r="L50" s="4">
        <f>Vout*Table1[[#This Row],[Iout]]/(Table1[[#This Row],[Vin]]*Efficiency)</f>
        <v>8.0638851172531236</v>
      </c>
      <c r="M50" s="711">
        <f>MIN(1/Fsw,CHOOSE(Table1[[#This Row],[Mode Digit]],(Vout+(Rdson2+Rs+Rdcr)*Table1[[#This Row],[Iout]])/(Table1[[#This Row],[Vin]]+(Rs+Rdson2-Rdson1)*Table1[[#This Row],[Iout]])/Fsw,(Vout+(Rdson3+Rdcr)*Table1[[#This Row],[Iin]]-Table1[[#This Row],[Vin]])/(Vout+(Rdson3-Rdson4-Rs)*Table1[[#This Row],[Iin]])/Fsw,t1_Ph_II))</f>
        <v>1.0735080058224162E-6</v>
      </c>
      <c r="N50" s="602">
        <f>CHOOSE(Table1[[#This Row],[Mode Digit]],1/Fsw-Table1[[#This Row],[t1_Ph_II]],1/Fsw-Table1[[#This Row],[t1_Ph_II]],(Vout/Fsw-Table1[[#This Row],[Vin]]*t1_Ph_II)/(Table1[[#This Row],[Vin]]+Vout))</f>
        <v>5.9315866084425051E-7</v>
      </c>
      <c r="O50" s="602">
        <f>1/Fsw-(Table1[[#This Row],[t1_Ph_II]]+Table1[[#This Row],[t2_Ph_I]])</f>
        <v>0</v>
      </c>
      <c r="P5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10.318577422698601</v>
      </c>
      <c r="Q50" s="4">
        <f>CHOOSE(Table1[[#This Row],[Mode Digit]],Table1[[#This Row],[I_0]]+1/Lf*(Table1[[#This Row],[Vin]]-Vout)*Table1[[#This Row],[t1_Ph_II]],Table1[[#This Row],[I_0]]+1/Lf*Table1[[#This Row],[Vin]]*Table1[[#This Row],[t1_Ph_II]],Table1[[#This Row],[I_0]]+(Table1[[#This Row],[Vin]]-Vout)/L*Table1[[#This Row],[t1_Ph_II]])</f>
        <v>13.681422577301397</v>
      </c>
      <c r="R50" s="4">
        <f>CHOOSE(Table1[[#This Row],[Mode Digit]],0,0,Table1[[#This Row],[I_1]]+Table1[[#This Row],[Vin]]/L*Table1[[#This Row],[t2_Ph_I]])</f>
        <v>0</v>
      </c>
      <c r="S50" s="4">
        <f>Fsw*(Table1[[#This Row],[I_0]]*Table1[[#This Row],[t1_Ph_II]]+Table1[[#This Row],[I_1]]*Table1[[#This Row],[t2_Ph_I]]+Table1[[#This Row],[I_2]]*Table1[[#This Row],[t3_Ph_III]])</f>
        <v>11.515397859817066</v>
      </c>
      <c r="T50" s="354">
        <f>MIN(1,CHOOSE(Table1[[#This Row],[Mode Digit]],(Vout+(Rdson2+Rs+Rdcr)*Table1[[#This Row],[Iout]])/(Table1[[#This Row],[Vin]]+(Rs+Rdson2-Rdson1)*Table1[[#This Row],[Iout]]),1,Fsw*Table1[[#This Row],[t2_Ph_I]]+Table1[[#This Row],[t1_Ph_II]]))</f>
        <v>0.64410480349344967</v>
      </c>
      <c r="U50" s="354">
        <f>MIN(1,CHOOSE(Table1[[#This Row],[Mode Digit]],0,(Vout+(Rdson3+Rdcr)*Table1[[#This Row],[Iin]]-Table1[[#This Row],[Vin]])/(Vout+(Rdson3-Rdson4-Rs)*Table1[[#This Row],[Iin]]),Fsw*Table1[[#This Row],[t1_Ph_II]]+Table1[[#This Row],[t3_Ph_III]]))</f>
        <v>0</v>
      </c>
      <c r="V50" s="4">
        <f>MAX(Table1[[#This Row],[I_0]:[I_2]])-MIN(Table1[[#This Row],[I_0]:[I_1]])</f>
        <v>3.3628451546027964</v>
      </c>
      <c r="W5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12.039202380604495</v>
      </c>
      <c r="X50" s="354">
        <f>(Table1[[#This Row],[Irms Lf]]^2*Rdcr*(1+Ltc*Ta-Ltc*25))/(1-Table1[[#This Row],[Irms Lf]]^2*Rdcr*Ltc*ThetaCa)</f>
        <v>0.90127990659788837</v>
      </c>
      <c r="Y50" s="354">
        <f>ABS(7.759*10^-3*Fsw^0.9458*(0.00787*Table1[[#This Row],[Ripple Current pk-pk]])^2.304)</f>
        <v>0.52558095166487984</v>
      </c>
      <c r="Z50" s="354">
        <f>Table1[[#This Row],[DCR    Loss]]+Table1[[#This Row],[Core Loss]]</f>
        <v>1.4268608582627682</v>
      </c>
      <c r="AA50" s="4">
        <f>IF(Table1[[#This Row],[Vin]]&gt;Vout, Table1[[#This Row],[Ripple Current pk-pk]]/SQRT(12), SQRT(Table1[[#This Row],[Duty Cycle BOOST Leg]]/(1-Table1[[#This Row],[Duty Cycle BOOST Leg]]))*SQRT(Table1[[#This Row],[Iout]]^2+(Table1[[#This Row],[Ripple Current pk-pk]]^2)/12))</f>
        <v>0.97076977762647665</v>
      </c>
      <c r="AB50" s="354">
        <f>RCoutEsr*Table1[[#This Row],[Irms Cout]]^2</f>
        <v>4.711969805764795E-3</v>
      </c>
      <c r="AC50" s="354">
        <f>Table1[[#This Row],[Cout ESR Loss]]</f>
        <v>4.711969805764795E-3</v>
      </c>
      <c r="AD50" s="354">
        <f>IF(Table1[[#This Row],[Vin]]&gt;Vout, SQRT(Table1[[#This Row],[Duty Cycle BUCK Leg]]*(1-Table1[[#This Row],[Duty Cycle BUCK Leg]]))*SQRT(Table1[[#This Row],[Iout]]^2+(Table1[[#This Row],[Ripple Current pk-pk]]^2)/12), Table1[[#This Row],[Ripple Current pk-pk]]/SQRT(12))</f>
        <v>5.7641735367661804</v>
      </c>
      <c r="AE50" s="354">
        <f>RCinEsr*Table1[[#This Row],[Irms Cin]]^2</f>
        <v>6.6451393123911073E-2</v>
      </c>
      <c r="AF50" s="549">
        <f>Table1[[#This Row],[Cin ESR Loss]]</f>
        <v>6.6451393123911073E-2</v>
      </c>
      <c r="AG5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9.6621991378887753</v>
      </c>
      <c r="AH50" s="354">
        <f>Rdson1*Table1[[#This Row],[Irms BuCtrl]]^2</f>
        <v>0.39210398715691813</v>
      </c>
      <c r="AI50" s="354">
        <f>CHOOSE(Table1[[#This Row],[Mode Digit]], (Table1[[#This Row],[Vin]]*Table1[[#This Row],[Iout]]/2)*(Fsw)*(Tr_buck+Tf_buck), 0, (Table1[[#This Row],[Vin]]*Table1[[#This Row],[Avg IL]]/2)*(Fsw/1)*(Tr_buck+Tf_buck))</f>
        <v>2.7214477437866242</v>
      </c>
      <c r="AJ50">
        <f>IF(Table1[[#This Row],[Vin]]&gt;Vout, IF(Table1[[#This Row],[Iout]]&gt;Table1[[#This Row],[Ripple Current pk-pk]]/2,0,ABS(Table1[[#This Row],[Iout]]-Table1[[#This Row],[Ripple Current pk-pk]]/2)*Vsd_Q1*Deadtime*Fsw),0)</f>
        <v>0</v>
      </c>
      <c r="AK50" s="354">
        <f>(Table1[[#This Row],[Dead Time Loss BuCtrl]]+Table1[[#This Row],[Transition Loss BuCtrl]]+Table1[[#This Row],[RDS(on) Loss BuCtrl]]*(1+RdsonTopTc*Ta-RdsonTopTc*25))/(1-Table1[[#This Row],[RDS(on) Loss BuCtrl]]*RdsonTopTc*ThetaJA_Q1)</f>
        <v>3.4369894776657279</v>
      </c>
      <c r="AL50" s="354">
        <f>CHOOSE(Table1[[#This Row],[Mode Digit]],SQRT((Fsw*(Table1[[#This Row],[t2_Ph_I]]+0))*((Table1[[#This Row],[I_0]]*Table1[[#This Row],[I_1]]+((Table1[[#This Row],[I_0]]-Table1[[#This Row],[I_1]])^2)/3))),0,SQRT((Fsw*(Table1[[#This Row],[t3_Ph_III]]+0))*((Table1[[#This Row],[I_0]]*Table1[[#This Row],[I_2]]+((Table1[[#This Row],[I_0]]-Table1[[#This Row],[I_2]])^2)/3))))</f>
        <v>7.1822212289050489</v>
      </c>
      <c r="AM50" s="354">
        <f>Rdson2*Table1[[#This Row],[Irms BuSync]]^2</f>
        <v>0.21665406747992433</v>
      </c>
      <c r="AN5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0" s="354">
        <f>(Table1[[#This Row],[Deadtime Loss BuSync]]+Table1[[#This Row],[RDS(on) Loss BuSync]]*(1+RdsonBotTc*Ta-RdsonBotTc*25))/(1-Table1[[#This Row],[RDS(on) Loss BuSync]]*RdsonBotTc*ThetaJA_Q2)</f>
        <v>0.83757696559292061</v>
      </c>
      <c r="AP50" s="354">
        <f>CHOOSE(Table1[[#This Row],[Mode Digit]],0,SQRT((Fsw*(Table1[[#This Row],[t1_Ph_II]]+0))*((Table1[[#This Row],[I_0]]*Table1[[#This Row],[I_1]]+((Table1[[#This Row],[I_0]]-Table1[[#This Row],[I_1]])^2)/3))),SQRT((Fsw*(Table1[[#This Row],[t2_Ph_I]]+0))*((Table1[[#This Row],[I_1]]*Table1[[#This Row],[I_2]]+((Table1[[#This Row],[I_1]]-Table1[[#This Row],[I_2]])^2)/3))))</f>
        <v>0</v>
      </c>
      <c r="AQ50" s="354">
        <f>Rdson4*Table1[[#This Row],[Irms BoCtlr]]^2</f>
        <v>0</v>
      </c>
      <c r="AR50" s="354">
        <f>CHOOSE(Table1[[#This Row],[Mode Digit]], 0, (Vout*Table1[[#This Row],[Iin]]/2)*(Fsw)*(Tr_boost+Tf_boost), (Vout*Iout/2)*(Fsw/1)*(Tr_boost+Tf_boost))</f>
        <v>0</v>
      </c>
      <c r="AS50">
        <f>IF(Table1[[#This Row],[Vin]]&gt;Vout, 0, IF(Table1[[#This Row],[Iin]]&gt;Table1[[#This Row],[Ripple Current pk-pk]]/2,0,ABS(Table1[[#This Row],[Iin]]-Table1[[#This Row],[Ripple Current pk-pk]]/2)*Vsd_Q4*Deadtime*Fsw))</f>
        <v>0</v>
      </c>
      <c r="AT50" s="354">
        <f>(Table1[[#This Row],[Dead Time Loss BoCtlr]]+Table1[[#This Row],[Transition Loss BoCtlr]]+Table1[[#This Row],[RDS(on) Loss BoCtlr]]*(1+RdsonTopTc*Ta-RdsonTopTc*25))/(1-Table1[[#This Row],[RDS(on) Loss BoCtlr]]*RdsonTopTc*ThetaJA_Q4)</f>
        <v>0</v>
      </c>
      <c r="AU5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12.039202380604495</v>
      </c>
      <c r="AV50" s="354">
        <f>Rdson3*Table1[[#This Row],[Irms BoSync]]^2</f>
        <v>0.60875805463684241</v>
      </c>
      <c r="AW5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0" s="354">
        <f>(Table1[[#This Row],[Deadtime Loss BoSync]]+Table1[[#This Row],[RDS(on) Loss BoSync]]*(1+RdsonBotTc*Ta-RdsonBotTc*25))/(1-Table1[[#This Row],[RDS(on) Loss BoSync]]*RdsonBotTc*ThetaJA_Q3)</f>
        <v>0.7129165391555915</v>
      </c>
      <c r="AY50" s="354">
        <f>CHOOSE(Table1[[#This Row],[Mode Digit]], Rdson3*Table1[[#This Row],[Irms Lf]]^2, Rdson1*Table1[[#This Row],[Irms Lf]]^2, 0)</f>
        <v>0.60875805463684241</v>
      </c>
      <c r="AZ50" s="354">
        <f>CHOOSE(Table1[[#This Row],[Mode Digit]], 2*Deadtime*Fsw*IF(VfdSky_Q2&gt;0,VfdSky_Q2,0)*Table1[[#This Row],[Iout]], 2*Deadtime*Fsw*IF(VfdSky_Q3&gt;0,VfdSky_Q3,0)*Table1[[#This Row],[Iin]], 2*Deadtime*Fsw*IF(VfdSky_Q2&gt;0,VfdSky_Q2,0)*Table1[[#This Row],[Iout]]+2*Deadtime*Fsw*IF(VfdSky_Q3&gt;0,VfdSky_Q3,0)*Table1[[#This Row],[Iin]])</f>
        <v>0</v>
      </c>
      <c r="BA50" s="354">
        <f>CHOOSE(Table1[[#This Row],[Mode Digit]], IF(QrrSky_Q2&gt;0,QrrSky_Q2,Qrr_Q2)*Fsw*(Table1[[#This Row],[Vin]]-Table1[[#This Row],[Iout]]*Rdson1),0,  IF(QrrSky_Q2&gt;0,QrrSky_Q2,Qrr_Q2)*Fsw*(Table1[[#This Row],[Vin]]-Table1[[#This Row],[Iout]]*Rdson1)+IF(QrrSky_Q3&gt;0,QrrSky_Q3,Qrr_Q3)*Fsw*Vout)</f>
        <v>0.2738352</v>
      </c>
      <c r="BB50" s="354">
        <f>CHOOSE(Table1[[#This Row],[Mode Digit]],0, IF(QrrSky_Q3&gt;0,QrrSky_Q3,Qrr_Q3)*Fsw*Vout,  IF(QrrSky_Q2&gt;0,QrrSky_Q2,Qrr_Q2)*Fsw*(Table1[[#This Row],[Vin]]-Table1[[#This Row],[Iout]]*Rdson1)+IF(QrrSky_Q3&gt;0,QrrSky_Q3,Qrr_Q3)*Fsw*Vout)</f>
        <v>0</v>
      </c>
      <c r="BC50" s="354">
        <f>CHOOSE(Table1[[#This Row],[Mode Digit]], Rs*Table1[[#This Row],[Irms BuSync]]^2, Rs*Table1[[#This Row],[Irms BoCtlr]]^2, Rs*(Table1[[#This Row],[Irms BuSync]]^2+Table1[[#This Row],[Irms BoCtlr]]^2))</f>
        <v>0.12896075445233587</v>
      </c>
      <c r="BD50" s="354">
        <f t="shared" si="1"/>
        <v>1.44</v>
      </c>
      <c r="BE50" s="354">
        <f>IF(Vout&gt;8, Iq*Vout, Iq*Table1[[#This Row],[Vin]])</f>
        <v>4.3799999999999999E-2</v>
      </c>
      <c r="BF50" s="354">
        <f>CHOOSE(Table1[[#This Row],[Mode Digit]], (Qg_Q1+Qg_Q2)*Fsw, (Qg_Q3+Qg_Q4)*Fsw, (Qg_Q1+Qg_Q2+Qg_Q3+Qg_Q4)*Fsw)*IF(Vout&gt;8, Vout, Table1[[#This Row],[Vin]])</f>
        <v>0.47303999999999996</v>
      </c>
      <c r="BG50" s="354">
        <f t="shared" si="2"/>
        <v>0.57269042016806726</v>
      </c>
      <c r="BH50" s="354">
        <f>Table1[[#This Row],[IQ Loss]]+Table1[[#This Row],[Switching Current Loss]]</f>
        <v>0.51683999999999997</v>
      </c>
      <c r="BI5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8.8451431580590185</v>
      </c>
      <c r="BJ50">
        <f>Vout*Table1[[#This Row],[Iout]]</f>
        <v>175.2</v>
      </c>
      <c r="BK50" s="550">
        <f>Table1[[#This Row],[Pout]]/(Table1[[#This Row],[Pout]]+Table1[[#This Row],[Total Loss]])</f>
        <v>0.95194036090122325</v>
      </c>
      <c r="BL5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206.21936865994368</v>
      </c>
      <c r="BM50" s="559">
        <f>IF(Table1[[#This Row],[Vin]]&gt;Vout, Table1[[#This Row],[Total Sync Bu MOSFET Loss]]*ThetaJA_Q2, ThetaJA_Q3*Table1[[#This Row],[Total Sync Bo MOSFET Loss]])</f>
        <v>50.25461793557524</v>
      </c>
      <c r="BN50" s="9"/>
      <c r="BO50" s="4">
        <f>Table1[[#This Row],[EFF, h]]*100</f>
        <v>95.194036090122324</v>
      </c>
      <c r="BP50" s="354">
        <f>Table1[[#This Row],[Total Inductor Loss]]</f>
        <v>1.4268608582627682</v>
      </c>
      <c r="BQ50" s="354">
        <f>Table1[[#This Row],[Total Control Bu MOSFET Loss]]+Table1[[#This Row],[Total Sync Bu MOSFET Loss]]+Table1[[#This Row],[Total Control Bo MOSFET Loss]]+Table1[[#This Row],[Total Sync Bo MOSFET Loss]]+Table1[[#This Row],[Reverse Recovery Loss MOSFET D BUCK]]+Table1[[#This Row],[Reverse Recovery Loss MOSFET D BOOST]]</f>
        <v>5.2613181824142394</v>
      </c>
      <c r="BR50" s="354">
        <f>Table1[[#This Row],[Total Control Bu MOSFET Loss]]+Table1[[#This Row],[Reverse Recovery Loss MOSFET D BUCK]]*0.66</f>
        <v>3.6177207096657278</v>
      </c>
      <c r="BS50" s="354">
        <f>Table1[[#This Row],[Total Sync Bu MOSFET Loss]]+Table1[[#This Row],[Reverse Recovery Loss MOSFET D BUCK]]*0.33</f>
        <v>0.92794258159292065</v>
      </c>
      <c r="BT50" s="354">
        <f xml:space="preserve"> Table1[[#This Row],[Total Control Bo MOSFET Loss]]+Table1[[#This Row],[Reverse Recovery Loss MOSFET D BOOST]]*0.66</f>
        <v>0</v>
      </c>
      <c r="BU50" s="354">
        <f xml:space="preserve"> Table1[[#This Row],[Total Sync Bo MOSFET Loss]]+Table1[[#This Row],[Reverse Recovery Loss MOSFET D BOOST]]*0.33</f>
        <v>0.7129165391555915</v>
      </c>
      <c r="BV50" s="354">
        <f>Table1[[#This Row],[Isense Shunt Loss]]</f>
        <v>0.12896075445233587</v>
      </c>
      <c r="CA50">
        <v>9.9969590000000004</v>
      </c>
      <c r="CB50">
        <v>9.5229999999999997</v>
      </c>
      <c r="CC50">
        <v>5.1087540000000002</v>
      </c>
      <c r="CD50">
        <v>90.547826191651922</v>
      </c>
      <c r="CE50">
        <v>5078.5816240809982</v>
      </c>
    </row>
    <row r="51" spans="1:83" x14ac:dyDescent="0.2">
      <c r="A51" s="23" t="s">
        <v>71</v>
      </c>
      <c r="B51" s="5">
        <f>Qg_Q2*1000000000</f>
        <v>27</v>
      </c>
      <c r="C51" s="440" t="s">
        <v>69</v>
      </c>
      <c r="D51" s="21" t="s">
        <v>101</v>
      </c>
      <c r="G51">
        <v>42</v>
      </c>
      <c r="H51" s="555">
        <f>VIN_min+(VIN_max-VIN_min)*(Table1[[#This Row],[Step]]/200)</f>
        <v>22.94</v>
      </c>
      <c r="I51" s="4" t="str">
        <f>IF(Mode = 2,IF(Table1[[#This Row],[Vin]]&gt;Vout, "BUCK","BOOST"),IF(Table1[[#This Row],[Vin]]&gt;VIN_BB_to_buck, "BUCK", IF(Table1[[#This Row],[Vin]]&lt;=VIN_boost_to_BB,"BOOST","BUCK-BST")))</f>
        <v>BUCK</v>
      </c>
      <c r="J51">
        <f>IF(Table1[[#This Row],[Mode]]="BOOST",2, IF(Table1[[#This Row],[Mode]]="BUCK", 1,3))</f>
        <v>1</v>
      </c>
      <c r="K51">
        <f t="shared" si="0"/>
        <v>12</v>
      </c>
      <c r="L51" s="4">
        <f>Vout*Table1[[#This Row],[Iout]]/(Table1[[#This Row],[Vin]]*Efficiency)</f>
        <v>8.0392786674620282</v>
      </c>
      <c r="M51" s="711">
        <f>MIN(1/Fsw,CHOOSE(Table1[[#This Row],[Mode Digit]],(Vout+(Rdson2+Rs+Rdcr)*Table1[[#This Row],[Iout]])/(Table1[[#This Row],[Vin]]+(Rs+Rdson2-Rdson1)*Table1[[#This Row],[Iout]])/Fsw,(Vout+(Rdson3+Rdcr)*Table1[[#This Row],[Iin]]-Table1[[#This Row],[Vin]])/(Vout+(Rdson3-Rdson4-Rs)*Table1[[#This Row],[Iin]])/Fsw,t1_Ph_II))</f>
        <v>1.070236540415034E-6</v>
      </c>
      <c r="N51" s="602">
        <f>CHOOSE(Table1[[#This Row],[Mode Digit]],1/Fsw-Table1[[#This Row],[t1_Ph_II]],1/Fsw-Table1[[#This Row],[t1_Ph_II]],(Vout/Fsw-Table1[[#This Row],[Vin]]*t1_Ph_II)/(Table1[[#This Row],[Vin]]+Vout))</f>
        <v>5.9643012625163267E-7</v>
      </c>
      <c r="O51" s="602">
        <f>1/Fsw-(Table1[[#This Row],[t1_Ph_II]]+Table1[[#This Row],[t2_Ph_I]])</f>
        <v>0</v>
      </c>
      <c r="P5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10.309512737298981</v>
      </c>
      <c r="Q51" s="4">
        <f>CHOOSE(Table1[[#This Row],[Mode Digit]],Table1[[#This Row],[I_0]]+1/Lf*(Table1[[#This Row],[Vin]]-Vout)*Table1[[#This Row],[t1_Ph_II]],Table1[[#This Row],[I_0]]+1/Lf*Table1[[#This Row],[Vin]]*Table1[[#This Row],[t1_Ph_II]],Table1[[#This Row],[I_0]]+(Table1[[#This Row],[Vin]]-Vout)/L*Table1[[#This Row],[t1_Ph_II]])</f>
        <v>13.690487262701021</v>
      </c>
      <c r="R51" s="4">
        <f>CHOOSE(Table1[[#This Row],[Mode Digit]],0,0,Table1[[#This Row],[I_1]]+Table1[[#This Row],[Vin]]/L*Table1[[#This Row],[t2_Ph_I]])</f>
        <v>0</v>
      </c>
      <c r="S51" s="4">
        <f>Fsw*(Table1[[#This Row],[I_0]]*Table1[[#This Row],[t1_Ph_II]]+Table1[[#This Row],[I_1]]*Table1[[#This Row],[t2_Ph_I]]+Table1[[#This Row],[I_2]]*Table1[[#This Row],[t3_Ph_III]])</f>
        <v>11.519421775122439</v>
      </c>
      <c r="T51" s="354">
        <f>MIN(1,CHOOSE(Table1[[#This Row],[Mode Digit]],(Vout+(Rdson2+Rs+Rdcr)*Table1[[#This Row],[Iout]])/(Table1[[#This Row],[Vin]]+(Rs+Rdson2-Rdson1)*Table1[[#This Row],[Iout]]),1,Fsw*Table1[[#This Row],[t2_Ph_I]]+Table1[[#This Row],[t1_Ph_II]]))</f>
        <v>0.64214192424902039</v>
      </c>
      <c r="U51" s="354">
        <f>MIN(1,CHOOSE(Table1[[#This Row],[Mode Digit]],0,(Vout+(Rdson3+Rdcr)*Table1[[#This Row],[Iin]]-Table1[[#This Row],[Vin]])/(Vout+(Rdson3-Rdson4-Rs)*Table1[[#This Row],[Iin]]),Fsw*Table1[[#This Row],[t1_Ph_II]]+Table1[[#This Row],[t3_Ph_III]]))</f>
        <v>0</v>
      </c>
      <c r="V51" s="4">
        <f>MAX(Table1[[#This Row],[I_0]:[I_2]])-MIN(Table1[[#This Row],[I_0]:[I_1]])</f>
        <v>3.3809745254020402</v>
      </c>
      <c r="W5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12.039625508923363</v>
      </c>
      <c r="X51" s="354">
        <f>(Table1[[#This Row],[Irms Lf]]^2*Rdcr*(1+Ltc*Ta-Ltc*25))/(1-Table1[[#This Row],[Irms Lf]]^2*Rdcr*Ltc*ThetaCa)</f>
        <v>0.90134782855012718</v>
      </c>
      <c r="Y51" s="354">
        <f>ABS(7.759*10^-3*Fsw^0.9458*(0.00787*Table1[[#This Row],[Ripple Current pk-pk]])^2.304)</f>
        <v>0.53213217862338946</v>
      </c>
      <c r="Z51" s="354">
        <f>Table1[[#This Row],[DCR    Loss]]+Table1[[#This Row],[Core Loss]]</f>
        <v>1.4334800071735168</v>
      </c>
      <c r="AA51" s="4">
        <f>IF(Table1[[#This Row],[Vin]]&gt;Vout, Table1[[#This Row],[Ripple Current pk-pk]]/SQRT(12), SQRT(Table1[[#This Row],[Duty Cycle BOOST Leg]]/(1-Table1[[#This Row],[Duty Cycle BOOST Leg]]))*SQRT(Table1[[#This Row],[Iout]]^2+(Table1[[#This Row],[Ripple Current pk-pk]]^2)/12))</f>
        <v>0.97600327618206761</v>
      </c>
      <c r="AB51" s="354">
        <f>RCoutEsr*Table1[[#This Row],[Irms Cout]]^2</f>
        <v>4.7629119755906472E-3</v>
      </c>
      <c r="AC51" s="354">
        <f>Table1[[#This Row],[Cout ESR Loss]]</f>
        <v>4.7629119755906472E-3</v>
      </c>
      <c r="AD51" s="354">
        <f>IF(Table1[[#This Row],[Vin]]&gt;Vout, SQRT(Table1[[#This Row],[Duty Cycle BUCK Leg]]*(1-Table1[[#This Row],[Duty Cycle BUCK Leg]]))*SQRT(Table1[[#This Row],[Iout]]^2+(Table1[[#This Row],[Ripple Current pk-pk]]^2)/12), Table1[[#This Row],[Ripple Current pk-pk]]/SQRT(12))</f>
        <v>5.7714362405141824</v>
      </c>
      <c r="AE51" s="354">
        <f>RCinEsr*Table1[[#This Row],[Irms Cin]]^2</f>
        <v>6.6618952556640965E-2</v>
      </c>
      <c r="AF51" s="549">
        <f>Table1[[#This Row],[Cin ESR Loss]]</f>
        <v>6.6618952556640965E-2</v>
      </c>
      <c r="AG5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9.6478044229796573</v>
      </c>
      <c r="AH51" s="354">
        <f>Rdson1*Table1[[#This Row],[Irms BuCtrl]]^2</f>
        <v>0.3909365467730766</v>
      </c>
      <c r="AI51" s="354">
        <f>CHOOSE(Table1[[#This Row],[Mode Digit]], (Table1[[#This Row],[Vin]]*Table1[[#This Row],[Iout]]/2)*(Fsw)*(Tr_buck+Tf_buck), 0, (Table1[[#This Row],[Vin]]*Table1[[#This Row],[Avg IL]]/2)*(Fsw/1)*(Tr_buck+Tf_buck))</f>
        <v>2.7297774920185907</v>
      </c>
      <c r="AJ51">
        <f>IF(Table1[[#This Row],[Vin]]&gt;Vout, IF(Table1[[#This Row],[Iout]]&gt;Table1[[#This Row],[Ripple Current pk-pk]]/2,0,ABS(Table1[[#This Row],[Iout]]-Table1[[#This Row],[Ripple Current pk-pk]]/2)*Vsd_Q1*Deadtime*Fsw),0)</f>
        <v>0</v>
      </c>
      <c r="AK51" s="354">
        <f>(Table1[[#This Row],[Dead Time Loss BuCtrl]]+Table1[[#This Row],[Transition Loss BuCtrl]]+Table1[[#This Row],[RDS(on) Loss BuCtrl]]*(1+RdsonTopTc*Ta-RdsonTopTc*25))/(1-Table1[[#This Row],[RDS(on) Loss BuCtrl]]*RdsonTopTc*ThetaJA_Q1)</f>
        <v>3.4438306628754507</v>
      </c>
      <c r="AL51" s="354">
        <f>CHOOSE(Table1[[#This Row],[Mode Digit]],SQRT((Fsw*(Table1[[#This Row],[t2_Ph_I]]+0))*((Table1[[#This Row],[I_0]]*Table1[[#This Row],[I_1]]+((Table1[[#This Row],[I_0]]-Table1[[#This Row],[I_1]])^2)/3))),0,SQRT((Fsw*(Table1[[#This Row],[t3_Ph_III]]+0))*((Table1[[#This Row],[I_0]]*Table1[[#This Row],[I_2]]+((Table1[[#This Row],[I_0]]-Table1[[#This Row],[I_2]])^2)/3))))</f>
        <v>7.202253273181408</v>
      </c>
      <c r="AM51" s="354">
        <f>Rdson2*Table1[[#This Row],[Irms BuSync]]^2</f>
        <v>0.2178642992864197</v>
      </c>
      <c r="AN5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1" s="354">
        <f>(Table1[[#This Row],[Deadtime Loss BuSync]]+Table1[[#This Row],[RDS(on) Loss BuSync]]*(1+RdsonBotTc*Ta-RdsonBotTc*25))/(1-Table1[[#This Row],[RDS(on) Loss BuSync]]*RdsonBotTc*ThetaJA_Q2)</f>
        <v>0.8391106698018832</v>
      </c>
      <c r="AP51" s="354">
        <f>CHOOSE(Table1[[#This Row],[Mode Digit]],0,SQRT((Fsw*(Table1[[#This Row],[t1_Ph_II]]+0))*((Table1[[#This Row],[I_0]]*Table1[[#This Row],[I_1]]+((Table1[[#This Row],[I_0]]-Table1[[#This Row],[I_1]])^2)/3))),SQRT((Fsw*(Table1[[#This Row],[t2_Ph_I]]+0))*((Table1[[#This Row],[I_1]]*Table1[[#This Row],[I_2]]+((Table1[[#This Row],[I_1]]-Table1[[#This Row],[I_2]])^2)/3))))</f>
        <v>0</v>
      </c>
      <c r="AQ51" s="354">
        <f>Rdson4*Table1[[#This Row],[Irms BoCtlr]]^2</f>
        <v>0</v>
      </c>
      <c r="AR51" s="354">
        <f>CHOOSE(Table1[[#This Row],[Mode Digit]], 0, (Vout*Table1[[#This Row],[Iin]]/2)*(Fsw)*(Tr_boost+Tf_boost), (Vout*Iout/2)*(Fsw/1)*(Tr_boost+Tf_boost))</f>
        <v>0</v>
      </c>
      <c r="AS51">
        <f>IF(Table1[[#This Row],[Vin]]&gt;Vout, 0, IF(Table1[[#This Row],[Iin]]&gt;Table1[[#This Row],[Ripple Current pk-pk]]/2,0,ABS(Table1[[#This Row],[Iin]]-Table1[[#This Row],[Ripple Current pk-pk]]/2)*Vsd_Q4*Deadtime*Fsw))</f>
        <v>0</v>
      </c>
      <c r="AT51" s="354">
        <f>(Table1[[#This Row],[Dead Time Loss BoCtlr]]+Table1[[#This Row],[Transition Loss BoCtlr]]+Table1[[#This Row],[RDS(on) Loss BoCtlr]]*(1+RdsonTopTc*Ta-RdsonTopTc*25))/(1-Table1[[#This Row],[RDS(on) Loss BoCtlr]]*RdsonTopTc*ThetaJA_Q4)</f>
        <v>0</v>
      </c>
      <c r="AU5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12.039625508923363</v>
      </c>
      <c r="AV51" s="354">
        <f>Rdson3*Table1[[#This Row],[Irms BoSync]]^2</f>
        <v>0.60880084605949636</v>
      </c>
      <c r="AW5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1" s="354">
        <f>(Table1[[#This Row],[Deadtime Loss BoSync]]+Table1[[#This Row],[RDS(on) Loss BoSync]]*(1+RdsonBotTc*Ta-RdsonBotTc*25))/(1-Table1[[#This Row],[RDS(on) Loss BoSync]]*RdsonBotTc*ThetaJA_Q3)</f>
        <v>0.71297522723374396</v>
      </c>
      <c r="AY51" s="354">
        <f>CHOOSE(Table1[[#This Row],[Mode Digit]], Rdson3*Table1[[#This Row],[Irms Lf]]^2, Rdson1*Table1[[#This Row],[Irms Lf]]^2, 0)</f>
        <v>0.60880084605949636</v>
      </c>
      <c r="AZ51" s="354">
        <f>CHOOSE(Table1[[#This Row],[Mode Digit]], 2*Deadtime*Fsw*IF(VfdSky_Q2&gt;0,VfdSky_Q2,0)*Table1[[#This Row],[Iout]], 2*Deadtime*Fsw*IF(VfdSky_Q3&gt;0,VfdSky_Q3,0)*Table1[[#This Row],[Iin]], 2*Deadtime*Fsw*IF(VfdSky_Q2&gt;0,VfdSky_Q2,0)*Table1[[#This Row],[Iout]]+2*Deadtime*Fsw*IF(VfdSky_Q3&gt;0,VfdSky_Q3,0)*Table1[[#This Row],[Iin]])</f>
        <v>0</v>
      </c>
      <c r="BA51" s="354">
        <f>CHOOSE(Table1[[#This Row],[Mode Digit]], IF(QrrSky_Q2&gt;0,QrrSky_Q2,Qrr_Q2)*Fsw*(Table1[[#This Row],[Vin]]-Table1[[#This Row],[Iout]]*Rdson1),0,  IF(QrrSky_Q2&gt;0,QrrSky_Q2,Qrr_Q2)*Fsw*(Table1[[#This Row],[Vin]]-Table1[[#This Row],[Iout]]*Rdson1)+IF(QrrSky_Q3&gt;0,QrrSky_Q3,Qrr_Q3)*Fsw*Vout)</f>
        <v>0.27467520000000001</v>
      </c>
      <c r="BB51" s="354">
        <f>CHOOSE(Table1[[#This Row],[Mode Digit]],0, IF(QrrSky_Q3&gt;0,QrrSky_Q3,Qrr_Q3)*Fsw*Vout,  IF(QrrSky_Q2&gt;0,QrrSky_Q2,Qrr_Q2)*Fsw*(Table1[[#This Row],[Vin]]-Table1[[#This Row],[Iout]]*Rdson1)+IF(QrrSky_Q3&gt;0,QrrSky_Q3,Qrr_Q3)*Fsw*Vout)</f>
        <v>0</v>
      </c>
      <c r="BC51" s="354">
        <f>CHOOSE(Table1[[#This Row],[Mode Digit]], Rs*Table1[[#This Row],[Irms BuSync]]^2, Rs*Table1[[#This Row],[Irms BoCtlr]]^2, Rs*(Table1[[#This Row],[Irms BuSync]]^2+Table1[[#This Row],[Irms BoCtlr]]^2))</f>
        <v>0.12968113052763078</v>
      </c>
      <c r="BD51" s="354">
        <f t="shared" si="1"/>
        <v>1.44</v>
      </c>
      <c r="BE51" s="354">
        <f>IF(Vout&gt;8, Iq*Vout, Iq*Table1[[#This Row],[Vin]])</f>
        <v>4.3799999999999999E-2</v>
      </c>
      <c r="BF51" s="354">
        <f>CHOOSE(Table1[[#This Row],[Mode Digit]], (Qg_Q1+Qg_Q2)*Fsw, (Qg_Q3+Qg_Q4)*Fsw, (Qg_Q1+Qg_Q2+Qg_Q3+Qg_Q4)*Fsw)*IF(Vout&gt;8, Vout, Table1[[#This Row],[Vin]])</f>
        <v>0.47303999999999996</v>
      </c>
      <c r="BG51" s="354">
        <f t="shared" si="2"/>
        <v>0.57269042016806726</v>
      </c>
      <c r="BH51" s="354">
        <f>Table1[[#This Row],[IQ Loss]]+Table1[[#This Row],[Switching Current Loss]]</f>
        <v>0.51683999999999997</v>
      </c>
      <c r="BI5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8.8619747621444578</v>
      </c>
      <c r="BJ51">
        <f>Vout*Table1[[#This Row],[Iout]]</f>
        <v>175.2</v>
      </c>
      <c r="BK51" s="550">
        <f>Table1[[#This Row],[Pout]]/(Table1[[#This Row],[Pout]]+Table1[[#This Row],[Total Loss]])</f>
        <v>0.95185331042114263</v>
      </c>
      <c r="BL5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206.62983977252705</v>
      </c>
      <c r="BM51" s="559">
        <f>IF(Table1[[#This Row],[Vin]]&gt;Vout, Table1[[#This Row],[Total Sync Bu MOSFET Loss]]*ThetaJA_Q2, ThetaJA_Q3*Table1[[#This Row],[Total Sync Bo MOSFET Loss]])</f>
        <v>50.346640188112993</v>
      </c>
      <c r="BN51" s="9"/>
      <c r="BO51" s="4">
        <f>Table1[[#This Row],[EFF, h]]*100</f>
        <v>95.185331042114257</v>
      </c>
      <c r="BP51" s="354">
        <f>Table1[[#This Row],[Total Inductor Loss]]</f>
        <v>1.4334800071735168</v>
      </c>
      <c r="BQ51" s="354">
        <f>Table1[[#This Row],[Total Control Bu MOSFET Loss]]+Table1[[#This Row],[Total Sync Bu MOSFET Loss]]+Table1[[#This Row],[Total Control Bo MOSFET Loss]]+Table1[[#This Row],[Total Sync Bo MOSFET Loss]]+Table1[[#This Row],[Reverse Recovery Loss MOSFET D BUCK]]+Table1[[#This Row],[Reverse Recovery Loss MOSFET D BOOST]]</f>
        <v>5.2705917599110776</v>
      </c>
      <c r="BR51" s="354">
        <f>Table1[[#This Row],[Total Control Bu MOSFET Loss]]+Table1[[#This Row],[Reverse Recovery Loss MOSFET D BUCK]]*0.66</f>
        <v>3.6251162948754505</v>
      </c>
      <c r="BS51" s="354">
        <f>Table1[[#This Row],[Total Sync Bu MOSFET Loss]]+Table1[[#This Row],[Reverse Recovery Loss MOSFET D BUCK]]*0.33</f>
        <v>0.92975348580188322</v>
      </c>
      <c r="BT51" s="354">
        <f xml:space="preserve"> Table1[[#This Row],[Total Control Bo MOSFET Loss]]+Table1[[#This Row],[Reverse Recovery Loss MOSFET D BOOST]]*0.66</f>
        <v>0</v>
      </c>
      <c r="BU51" s="354">
        <f xml:space="preserve"> Table1[[#This Row],[Total Sync Bo MOSFET Loss]]+Table1[[#This Row],[Reverse Recovery Loss MOSFET D BOOST]]*0.33</f>
        <v>0.71297522723374396</v>
      </c>
      <c r="BV51" s="354">
        <f>Table1[[#This Row],[Isense Shunt Loss]]</f>
        <v>0.12968113052763078</v>
      </c>
      <c r="CA51">
        <v>9.9964639999999996</v>
      </c>
      <c r="CB51">
        <v>10.493</v>
      </c>
      <c r="CC51">
        <v>5.1092279999999999</v>
      </c>
      <c r="CD51">
        <v>89.626660259106615</v>
      </c>
      <c r="CE51">
        <v>6204.9221585439973</v>
      </c>
    </row>
    <row r="52" spans="1:83" x14ac:dyDescent="0.2">
      <c r="A52" s="23" t="s">
        <v>94</v>
      </c>
      <c r="B52" s="5">
        <f>Rgate2</f>
        <v>4.7</v>
      </c>
      <c r="C52" s="444" t="s">
        <v>118</v>
      </c>
      <c r="D52" s="21" t="s">
        <v>102</v>
      </c>
      <c r="G52">
        <v>43</v>
      </c>
      <c r="H52" s="555">
        <f>VIN_min+(VIN_max-VIN_min)*(Table1[[#This Row],[Step]]/200)</f>
        <v>23.009999999999998</v>
      </c>
      <c r="I52" s="4" t="str">
        <f>IF(Mode = 2,IF(Table1[[#This Row],[Vin]]&gt;Vout, "BUCK","BOOST"),IF(Table1[[#This Row],[Vin]]&gt;VIN_BB_to_buck, "BUCK", IF(Table1[[#This Row],[Vin]]&lt;=VIN_boost_to_BB,"BOOST","BUCK-BST")))</f>
        <v>BUCK</v>
      </c>
      <c r="J52">
        <f>IF(Table1[[#This Row],[Mode]]="BOOST",2, IF(Table1[[#This Row],[Mode]]="BUCK", 1,3))</f>
        <v>1</v>
      </c>
      <c r="K52">
        <f t="shared" si="0"/>
        <v>12</v>
      </c>
      <c r="L52" s="4">
        <f>Vout*Table1[[#This Row],[Iout]]/(Table1[[#This Row],[Vin]]*Efficiency)</f>
        <v>8.01482193096823</v>
      </c>
      <c r="M52" s="711">
        <f>MIN(1/Fsw,CHOOSE(Table1[[#This Row],[Mode Digit]],(Vout+(Rdson2+Rs+Rdcr)*Table1[[#This Row],[Iout]])/(Table1[[#This Row],[Vin]]+(Rs+Rdson2-Rdson1)*Table1[[#This Row],[Iout]])/Fsw,(Vout+(Rdson3+Rdcr)*Table1[[#This Row],[Iin]]-Table1[[#This Row],[Vin]])/(Vout+(Rdson3-Rdson4-Rs)*Table1[[#This Row],[Iin]])/Fsw,t1_Ph_II))</f>
        <v>1.0669849537037036E-6</v>
      </c>
      <c r="N52" s="602">
        <f>CHOOSE(Table1[[#This Row],[Mode Digit]],1/Fsw-Table1[[#This Row],[t1_Ph_II]],1/Fsw-Table1[[#This Row],[t1_Ph_II]],(Vout/Fsw-Table1[[#This Row],[Vin]]*t1_Ph_II)/(Table1[[#This Row],[Vin]]+Vout))</f>
        <v>5.9968171296296306E-7</v>
      </c>
      <c r="O52" s="602">
        <f>1/Fsw-(Table1[[#This Row],[t1_Ph_II]]+Table1[[#This Row],[t2_Ph_I]])</f>
        <v>0</v>
      </c>
      <c r="P5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10.300503132453002</v>
      </c>
      <c r="Q52" s="4">
        <f>CHOOSE(Table1[[#This Row],[Mode Digit]],Table1[[#This Row],[I_0]]+1/Lf*(Table1[[#This Row],[Vin]]-Vout)*Table1[[#This Row],[t1_Ph_II]],Table1[[#This Row],[I_0]]+1/Lf*Table1[[#This Row],[Vin]]*Table1[[#This Row],[t1_Ph_II]],Table1[[#This Row],[I_0]]+(Table1[[#This Row],[Vin]]-Vout)/L*Table1[[#This Row],[t1_Ph_II]])</f>
        <v>13.699496867546998</v>
      </c>
      <c r="R52" s="4">
        <f>CHOOSE(Table1[[#This Row],[Mode Digit]],0,0,Table1[[#This Row],[I_1]]+Table1[[#This Row],[Vin]]/L*Table1[[#This Row],[t2_Ph_I]])</f>
        <v>0</v>
      </c>
      <c r="S52" s="4">
        <f>Fsw*(Table1[[#This Row],[I_0]]*Table1[[#This Row],[t1_Ph_II]]+Table1[[#This Row],[I_1]]*Table1[[#This Row],[t2_Ph_I]]+Table1[[#This Row],[I_2]]*Table1[[#This Row],[t3_Ph_III]])</f>
        <v>11.52349176369993</v>
      </c>
      <c r="T52" s="354">
        <f>MIN(1,CHOOSE(Table1[[#This Row],[Mode Digit]],(Vout+(Rdson2+Rs+Rdcr)*Table1[[#This Row],[Iout]])/(Table1[[#This Row],[Vin]]+(Rs+Rdson2-Rdson1)*Table1[[#This Row],[Iout]]),1,Fsw*Table1[[#This Row],[t2_Ph_I]]+Table1[[#This Row],[t1_Ph_II]]))</f>
        <v>0.64019097222222221</v>
      </c>
      <c r="U52" s="354">
        <f>MIN(1,CHOOSE(Table1[[#This Row],[Mode Digit]],0,(Vout+(Rdson3+Rdcr)*Table1[[#This Row],[Iin]]-Table1[[#This Row],[Vin]])/(Vout+(Rdson3-Rdson4-Rs)*Table1[[#This Row],[Iin]]),Fsw*Table1[[#This Row],[t1_Ph_II]]+Table1[[#This Row],[t3_Ph_III]]))</f>
        <v>0</v>
      </c>
      <c r="V52" s="4">
        <f>MAX(Table1[[#This Row],[I_0]:[I_2]])-MIN(Table1[[#This Row],[I_0]:[I_1]])</f>
        <v>3.3989937350939954</v>
      </c>
      <c r="W5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12.040048305589726</v>
      </c>
      <c r="X52" s="354">
        <f>(Table1[[#This Row],[Irms Lf]]^2*Rdcr*(1+Ltc*Ta-Ltc*25))/(1-Table1[[#This Row],[Irms Lf]]^2*Rdcr*Ltc*ThetaCa)</f>
        <v>0.90141570033647223</v>
      </c>
      <c r="Y52" s="354">
        <f>ABS(7.759*10^-3*Fsw^0.9458*(0.00787*Table1[[#This Row],[Ripple Current pk-pk]])^2.304)</f>
        <v>0.53868914806746193</v>
      </c>
      <c r="Z52" s="354">
        <f>Table1[[#This Row],[DCR    Loss]]+Table1[[#This Row],[Core Loss]]</f>
        <v>1.440104848403934</v>
      </c>
      <c r="AA52" s="4">
        <f>IF(Table1[[#This Row],[Vin]]&gt;Vout, Table1[[#This Row],[Ripple Current pk-pk]]/SQRT(12), SQRT(Table1[[#This Row],[Duty Cycle BOOST Leg]]/(1-Table1[[#This Row],[Duty Cycle BOOST Leg]]))*SQRT(Table1[[#This Row],[Iout]]^2+(Table1[[#This Row],[Ripple Current pk-pk]]^2)/12))</f>
        <v>0.98120497396518491</v>
      </c>
      <c r="AB52" s="354">
        <f>RCoutEsr*Table1[[#This Row],[Irms Cout]]^2</f>
        <v>4.8138160046700962E-3</v>
      </c>
      <c r="AC52" s="354">
        <f>Table1[[#This Row],[Cout ESR Loss]]</f>
        <v>4.8138160046700962E-3</v>
      </c>
      <c r="AD52" s="354">
        <f>IF(Table1[[#This Row],[Vin]]&gt;Vout, SQRT(Table1[[#This Row],[Duty Cycle BUCK Leg]]*(1-Table1[[#This Row],[Duty Cycle BUCK Leg]]))*SQRT(Table1[[#This Row],[Iout]]^2+(Table1[[#This Row],[Ripple Current pk-pk]]^2)/12), Table1[[#This Row],[Ripple Current pk-pk]]/SQRT(12))</f>
        <v>5.778552056835597</v>
      </c>
      <c r="AE52" s="354">
        <f>RCinEsr*Table1[[#This Row],[Irms Cin]]^2</f>
        <v>6.6783327747117829E-2</v>
      </c>
      <c r="AF52" s="549">
        <f>Table1[[#This Row],[Cin ESR Loss]]</f>
        <v>6.6783327747117829E-2</v>
      </c>
      <c r="AG5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9.633475609022204</v>
      </c>
      <c r="AH52" s="354">
        <f>Rdson1*Table1[[#This Row],[Irms BuCtrl]]^2</f>
        <v>0.3897761797004281</v>
      </c>
      <c r="AI52" s="354">
        <f>CHOOSE(Table1[[#This Row],[Mode Digit]], (Table1[[#This Row],[Vin]]*Table1[[#This Row],[Iout]]/2)*(Fsw)*(Tr_buck+Tf_buck), 0, (Table1[[#This Row],[Vin]]*Table1[[#This Row],[Avg IL]]/2)*(Fsw/1)*(Tr_buck+Tf_buck))</f>
        <v>2.7381072402505562</v>
      </c>
      <c r="AJ52">
        <f>IF(Table1[[#This Row],[Vin]]&gt;Vout, IF(Table1[[#This Row],[Iout]]&gt;Table1[[#This Row],[Ripple Current pk-pk]]/2,0,ABS(Table1[[#This Row],[Iout]]-Table1[[#This Row],[Ripple Current pk-pk]]/2)*Vsd_Q1*Deadtime*Fsw),0)</f>
        <v>0</v>
      </c>
      <c r="AK52" s="354">
        <f>(Table1[[#This Row],[Dead Time Loss BuCtrl]]+Table1[[#This Row],[Transition Loss BuCtrl]]+Table1[[#This Row],[RDS(on) Loss BuCtrl]]*(1+RdsonTopTc*Ta-RdsonTopTc*25))/(1-Table1[[#This Row],[RDS(on) Loss BuCtrl]]*RdsonTopTc*ThetaJA_Q1)</f>
        <v>3.4506818845037914</v>
      </c>
      <c r="AL52" s="354">
        <f>CHOOSE(Table1[[#This Row],[Mode Digit]],SQRT((Fsw*(Table1[[#This Row],[t2_Ph_I]]+0))*((Table1[[#This Row],[I_0]]*Table1[[#This Row],[I_1]]+((Table1[[#This Row],[I_0]]-Table1[[#This Row],[I_1]])^2)/3))),0,SQRT((Fsw*(Table1[[#This Row],[t3_Ph_III]]+0))*((Table1[[#This Row],[I_0]]*Table1[[#This Row],[I_2]]+((Table1[[#This Row],[I_0]]-Table1[[#This Row],[I_2]])^2)/3))))</f>
        <v>7.2221126335240928</v>
      </c>
      <c r="AM52" s="354">
        <f>Rdson2*Table1[[#This Row],[Irms BuSync]]^2</f>
        <v>0.21906742574349494</v>
      </c>
      <c r="AN5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2" s="354">
        <f>(Table1[[#This Row],[Deadtime Loss BuSync]]+Table1[[#This Row],[RDS(on) Loss BuSync]]*(1+RdsonBotTc*Ta-RdsonBotTc*25))/(1-Table1[[#This Row],[RDS(on) Loss BuSync]]*RdsonBotTc*ThetaJA_Q2)</f>
        <v>0.8406363016566315</v>
      </c>
      <c r="AP52" s="354">
        <f>CHOOSE(Table1[[#This Row],[Mode Digit]],0,SQRT((Fsw*(Table1[[#This Row],[t1_Ph_II]]+0))*((Table1[[#This Row],[I_0]]*Table1[[#This Row],[I_1]]+((Table1[[#This Row],[I_0]]-Table1[[#This Row],[I_1]])^2)/3))),SQRT((Fsw*(Table1[[#This Row],[t2_Ph_I]]+0))*((Table1[[#This Row],[I_1]]*Table1[[#This Row],[I_2]]+((Table1[[#This Row],[I_1]]-Table1[[#This Row],[I_2]])^2)/3))))</f>
        <v>0</v>
      </c>
      <c r="AQ52" s="354">
        <f>Rdson4*Table1[[#This Row],[Irms BoCtlr]]^2</f>
        <v>0</v>
      </c>
      <c r="AR52" s="354">
        <f>CHOOSE(Table1[[#This Row],[Mode Digit]], 0, (Vout*Table1[[#This Row],[Iin]]/2)*(Fsw)*(Tr_boost+Tf_boost), (Vout*Iout/2)*(Fsw/1)*(Tr_boost+Tf_boost))</f>
        <v>0</v>
      </c>
      <c r="AS52">
        <f>IF(Table1[[#This Row],[Vin]]&gt;Vout, 0, IF(Table1[[#This Row],[Iin]]&gt;Table1[[#This Row],[Ripple Current pk-pk]]/2,0,ABS(Table1[[#This Row],[Iin]]-Table1[[#This Row],[Ripple Current pk-pk]]/2)*Vsd_Q4*Deadtime*Fsw))</f>
        <v>0</v>
      </c>
      <c r="AT52" s="354">
        <f>(Table1[[#This Row],[Dead Time Loss BoCtlr]]+Table1[[#This Row],[Transition Loss BoCtlr]]+Table1[[#This Row],[RDS(on) Loss BoCtlr]]*(1+RdsonTopTc*Ta-RdsonTopTc*25))/(1-Table1[[#This Row],[RDS(on) Loss BoCtlr]]*RdsonTopTc*ThetaJA_Q4)</f>
        <v>0</v>
      </c>
      <c r="AU5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12.040048305589726</v>
      </c>
      <c r="AV52" s="354">
        <f>Rdson3*Table1[[#This Row],[Irms BoSync]]^2</f>
        <v>0.60884360544392302</v>
      </c>
      <c r="AW5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2" s="354">
        <f>(Table1[[#This Row],[Deadtime Loss BoSync]]+Table1[[#This Row],[RDS(on) Loss BoSync]]*(1+RdsonBotTc*Ta-RdsonBotTc*25))/(1-Table1[[#This Row],[RDS(on) Loss BoSync]]*RdsonBotTc*ThetaJA_Q3)</f>
        <v>0.71303387278188257</v>
      </c>
      <c r="AY52" s="354">
        <f>CHOOSE(Table1[[#This Row],[Mode Digit]], Rdson3*Table1[[#This Row],[Irms Lf]]^2, Rdson1*Table1[[#This Row],[Irms Lf]]^2, 0)</f>
        <v>0.60884360544392302</v>
      </c>
      <c r="AZ52" s="354">
        <f>CHOOSE(Table1[[#This Row],[Mode Digit]], 2*Deadtime*Fsw*IF(VfdSky_Q2&gt;0,VfdSky_Q2,0)*Table1[[#This Row],[Iout]], 2*Deadtime*Fsw*IF(VfdSky_Q3&gt;0,VfdSky_Q3,0)*Table1[[#This Row],[Iin]], 2*Deadtime*Fsw*IF(VfdSky_Q2&gt;0,VfdSky_Q2,0)*Table1[[#This Row],[Iout]]+2*Deadtime*Fsw*IF(VfdSky_Q3&gt;0,VfdSky_Q3,0)*Table1[[#This Row],[Iin]])</f>
        <v>0</v>
      </c>
      <c r="BA52" s="354">
        <f>CHOOSE(Table1[[#This Row],[Mode Digit]], IF(QrrSky_Q2&gt;0,QrrSky_Q2,Qrr_Q2)*Fsw*(Table1[[#This Row],[Vin]]-Table1[[#This Row],[Iout]]*Rdson1),0,  IF(QrrSky_Q2&gt;0,QrrSky_Q2,Qrr_Q2)*Fsw*(Table1[[#This Row],[Vin]]-Table1[[#This Row],[Iout]]*Rdson1)+IF(QrrSky_Q3&gt;0,QrrSky_Q3,Qrr_Q3)*Fsw*Vout)</f>
        <v>0.27551519999999996</v>
      </c>
      <c r="BB52" s="354">
        <f>CHOOSE(Table1[[#This Row],[Mode Digit]],0, IF(QrrSky_Q3&gt;0,QrrSky_Q3,Qrr_Q3)*Fsw*Vout,  IF(QrrSky_Q2&gt;0,QrrSky_Q2,Qrr_Q2)*Fsw*(Table1[[#This Row],[Vin]]-Table1[[#This Row],[Iout]]*Rdson1)+IF(QrrSky_Q3&gt;0,QrrSky_Q3,Qrr_Q3)*Fsw*Vout)</f>
        <v>0</v>
      </c>
      <c r="BC52" s="354">
        <f>CHOOSE(Table1[[#This Row],[Mode Digit]], Rs*Table1[[#This Row],[Irms BuSync]]^2, Rs*Table1[[#This Row],[Irms BoCtlr]]^2, Rs*(Table1[[#This Row],[Irms BuSync]]^2+Table1[[#This Row],[Irms BoCtlr]]^2))</f>
        <v>0.13039727722827077</v>
      </c>
      <c r="BD52" s="354">
        <f t="shared" si="1"/>
        <v>1.44</v>
      </c>
      <c r="BE52" s="354">
        <f>IF(Vout&gt;8, Iq*Vout, Iq*Table1[[#This Row],[Vin]])</f>
        <v>4.3799999999999999E-2</v>
      </c>
      <c r="BF52" s="354">
        <f>CHOOSE(Table1[[#This Row],[Mode Digit]], (Qg_Q1+Qg_Q2)*Fsw, (Qg_Q3+Qg_Q4)*Fsw, (Qg_Q1+Qg_Q2+Qg_Q3+Qg_Q4)*Fsw)*IF(Vout&gt;8, Vout, Table1[[#This Row],[Vin]])</f>
        <v>0.47303999999999996</v>
      </c>
      <c r="BG52" s="354">
        <f t="shared" si="2"/>
        <v>0.57269042016806726</v>
      </c>
      <c r="BH52" s="354">
        <f>Table1[[#This Row],[IQ Loss]]+Table1[[#This Row],[Switching Current Loss]]</f>
        <v>0.51683999999999997</v>
      </c>
      <c r="BI5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8.8788065283262991</v>
      </c>
      <c r="BJ52">
        <f>Vout*Table1[[#This Row],[Iout]]</f>
        <v>175.2</v>
      </c>
      <c r="BK52" s="550">
        <f>Table1[[#This Row],[Pout]]/(Table1[[#This Row],[Pout]]+Table1[[#This Row],[Total Loss]])</f>
        <v>0.95176627502221445</v>
      </c>
      <c r="BL5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207.04091307022748</v>
      </c>
      <c r="BM52" s="559">
        <f>IF(Table1[[#This Row],[Vin]]&gt;Vout, Table1[[#This Row],[Total Sync Bu MOSFET Loss]]*ThetaJA_Q2, ThetaJA_Q3*Table1[[#This Row],[Total Sync Bo MOSFET Loss]])</f>
        <v>50.438178099397888</v>
      </c>
      <c r="BN52" s="9"/>
      <c r="BO52" s="4">
        <f>Table1[[#This Row],[EFF, h]]*100</f>
        <v>95.17662750222145</v>
      </c>
      <c r="BP52" s="354">
        <f>Table1[[#This Row],[Total Inductor Loss]]</f>
        <v>1.440104848403934</v>
      </c>
      <c r="BQ52" s="354">
        <f>Table1[[#This Row],[Total Control Bu MOSFET Loss]]+Table1[[#This Row],[Total Sync Bu MOSFET Loss]]+Table1[[#This Row],[Total Control Bo MOSFET Loss]]+Table1[[#This Row],[Total Sync Bo MOSFET Loss]]+Table1[[#This Row],[Reverse Recovery Loss MOSFET D BUCK]]+Table1[[#This Row],[Reverse Recovery Loss MOSFET D BOOST]]</f>
        <v>5.2798672589423052</v>
      </c>
      <c r="BR52" s="354">
        <f>Table1[[#This Row],[Total Control Bu MOSFET Loss]]+Table1[[#This Row],[Reverse Recovery Loss MOSFET D BUCK]]*0.66</f>
        <v>3.6325219165037916</v>
      </c>
      <c r="BS52" s="354">
        <f>Table1[[#This Row],[Total Sync Bu MOSFET Loss]]+Table1[[#This Row],[Reverse Recovery Loss MOSFET D BUCK]]*0.33</f>
        <v>0.93155631765663149</v>
      </c>
      <c r="BT52" s="354">
        <f xml:space="preserve"> Table1[[#This Row],[Total Control Bo MOSFET Loss]]+Table1[[#This Row],[Reverse Recovery Loss MOSFET D BOOST]]*0.66</f>
        <v>0</v>
      </c>
      <c r="BU52" s="354">
        <f xml:space="preserve"> Table1[[#This Row],[Total Sync Bo MOSFET Loss]]+Table1[[#This Row],[Reverse Recovery Loss MOSFET D BOOST]]*0.33</f>
        <v>0.71303387278188257</v>
      </c>
      <c r="BV52" s="354">
        <f>Table1[[#This Row],[Isense Shunt Loss]]</f>
        <v>0.13039727722827077</v>
      </c>
      <c r="CA52">
        <v>9.9959819999999997</v>
      </c>
      <c r="CB52">
        <v>11.519</v>
      </c>
      <c r="CC52">
        <v>5.1101260000000002</v>
      </c>
      <c r="CD52">
        <v>88.591390420220321</v>
      </c>
      <c r="CE52">
        <v>7580.3207309739973</v>
      </c>
    </row>
    <row r="53" spans="1:83" x14ac:dyDescent="0.2">
      <c r="A53" s="23" t="s">
        <v>76</v>
      </c>
      <c r="B53" s="5">
        <f>Vsd_Q2</f>
        <v>1</v>
      </c>
      <c r="C53" s="440" t="s">
        <v>0</v>
      </c>
      <c r="D53" s="21" t="s">
        <v>107</v>
      </c>
      <c r="G53">
        <v>44</v>
      </c>
      <c r="H53" s="555">
        <f>VIN_min+(VIN_max-VIN_min)*(Table1[[#This Row],[Step]]/200)</f>
        <v>23.08</v>
      </c>
      <c r="I53" s="4" t="str">
        <f>IF(Mode = 2,IF(Table1[[#This Row],[Vin]]&gt;Vout, "BUCK","BOOST"),IF(Table1[[#This Row],[Vin]]&gt;VIN_BB_to_buck, "BUCK", IF(Table1[[#This Row],[Vin]]&lt;=VIN_boost_to_BB,"BOOST","BUCK-BST")))</f>
        <v>BUCK</v>
      </c>
      <c r="J53">
        <f>IF(Table1[[#This Row],[Mode]]="BOOST",2, IF(Table1[[#This Row],[Mode]]="BUCK", 1,3))</f>
        <v>1</v>
      </c>
      <c r="K53">
        <f t="shared" si="0"/>
        <v>12</v>
      </c>
      <c r="L53" s="4">
        <f>Vout*Table1[[#This Row],[Iout]]/(Table1[[#This Row],[Vin]]*Efficiency)</f>
        <v>7.9905135455623464</v>
      </c>
      <c r="M53" s="711">
        <f>MIN(1/Fsw,CHOOSE(Table1[[#This Row],[Mode Digit]],(Vout+(Rdson2+Rs+Rdcr)*Table1[[#This Row],[Iout]])/(Table1[[#This Row],[Vin]]+(Rs+Rdson2-Rdson1)*Table1[[#This Row],[Iout]])/Fsw,(Vout+(Rdson3+Rdcr)*Table1[[#This Row],[Iin]]-Table1[[#This Row],[Vin]])/(Vout+(Rdson3-Rdson4-Rs)*Table1[[#This Row],[Iin]])/Fsw,t1_Ph_II))</f>
        <v>1.0637530650512044E-6</v>
      </c>
      <c r="N53" s="602">
        <f>CHOOSE(Table1[[#This Row],[Mode Digit]],1/Fsw-Table1[[#This Row],[t1_Ph_II]],1/Fsw-Table1[[#This Row],[t1_Ph_II]],(Vout/Fsw-Table1[[#This Row],[Vin]]*t1_Ph_II)/(Table1[[#This Row],[Vin]]+Vout))</f>
        <v>6.0291360161546227E-7</v>
      </c>
      <c r="O53" s="602">
        <f>1/Fsw-(Table1[[#This Row],[t1_Ph_II]]+Table1[[#This Row],[t2_Ph_I]])</f>
        <v>0</v>
      </c>
      <c r="P5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10.291548107645035</v>
      </c>
      <c r="Q53" s="4">
        <f>CHOOSE(Table1[[#This Row],[Mode Digit]],Table1[[#This Row],[I_0]]+1/Lf*(Table1[[#This Row],[Vin]]-Vout)*Table1[[#This Row],[t1_Ph_II]],Table1[[#This Row],[I_0]]+1/Lf*Table1[[#This Row],[Vin]]*Table1[[#This Row],[t1_Ph_II]],Table1[[#This Row],[I_0]]+(Table1[[#This Row],[Vin]]-Vout)/L*Table1[[#This Row],[t1_Ph_II]])</f>
        <v>13.708451892354963</v>
      </c>
      <c r="R53" s="4">
        <f>CHOOSE(Table1[[#This Row],[Mode Digit]],0,0,Table1[[#This Row],[I_1]]+Table1[[#This Row],[Vin]]/L*Table1[[#This Row],[t2_Ph_I]])</f>
        <v>0</v>
      </c>
      <c r="S53" s="4">
        <f>Fsw*(Table1[[#This Row],[I_0]]*Table1[[#This Row],[t1_Ph_II]]+Table1[[#This Row],[I_1]]*Table1[[#This Row],[t2_Ph_I]]+Table1[[#This Row],[I_2]]*Table1[[#This Row],[t3_Ph_III]])</f>
        <v>11.527606767972815</v>
      </c>
      <c r="T53" s="354">
        <f>MIN(1,CHOOSE(Table1[[#This Row],[Mode Digit]],(Vout+(Rdson2+Rs+Rdcr)*Table1[[#This Row],[Iout]])/(Table1[[#This Row],[Vin]]+(Rs+Rdson2-Rdson1)*Table1[[#This Row],[Iout]]),1,Fsw*Table1[[#This Row],[t2_Ph_I]]+Table1[[#This Row],[t1_Ph_II]]))</f>
        <v>0.63825183903072269</v>
      </c>
      <c r="U53" s="354">
        <f>MIN(1,CHOOSE(Table1[[#This Row],[Mode Digit]],0,(Vout+(Rdson3+Rdcr)*Table1[[#This Row],[Iin]]-Table1[[#This Row],[Vin]])/(Vout+(Rdson3-Rdson4-Rs)*Table1[[#This Row],[Iin]]),Fsw*Table1[[#This Row],[t1_Ph_II]]+Table1[[#This Row],[t3_Ph_III]]))</f>
        <v>0</v>
      </c>
      <c r="V53" s="4">
        <f>MAX(Table1[[#This Row],[I_0]:[I_2]])-MIN(Table1[[#This Row],[I_0]:[I_1]])</f>
        <v>3.4169037847099286</v>
      </c>
      <c r="W5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12.040470753096148</v>
      </c>
      <c r="X53" s="354">
        <f>(Table1[[#This Row],[Irms Lf]]^2*Rdcr*(1+Ltc*Ta-Ltc*25))/(1-Table1[[#This Row],[Irms Lf]]^2*Rdcr*Ltc*ThetaCa)</f>
        <v>0.9014835191391104</v>
      </c>
      <c r="Y53" s="354">
        <f>ABS(7.759*10^-3*Fsw^0.9458*(0.00787*Table1[[#This Row],[Ripple Current pk-pk]])^2.304)</f>
        <v>0.54525146793074053</v>
      </c>
      <c r="Z53" s="354">
        <f>Table1[[#This Row],[DCR    Loss]]+Table1[[#This Row],[Core Loss]]</f>
        <v>1.4467349870698509</v>
      </c>
      <c r="AA53" s="4">
        <f>IF(Table1[[#This Row],[Vin]]&gt;Vout, Table1[[#This Row],[Ripple Current pk-pk]]/SQRT(12), SQRT(Table1[[#This Row],[Duty Cycle BOOST Leg]]/(1-Table1[[#This Row],[Duty Cycle BOOST Leg]]))*SQRT(Table1[[#This Row],[Iout]]^2+(Table1[[#This Row],[Ripple Current pk-pk]]^2)/12))</f>
        <v>0.9863751599486642</v>
      </c>
      <c r="AB53" s="354">
        <f>RCoutEsr*Table1[[#This Row],[Irms Cout]]^2</f>
        <v>4.8646797808187649E-3</v>
      </c>
      <c r="AC53" s="354">
        <f>Table1[[#This Row],[Cout ESR Loss]]</f>
        <v>4.8646797808187649E-3</v>
      </c>
      <c r="AD53" s="354">
        <f>IF(Table1[[#This Row],[Vin]]&gt;Vout, SQRT(Table1[[#This Row],[Duty Cycle BUCK Leg]]*(1-Table1[[#This Row],[Duty Cycle BUCK Leg]]))*SQRT(Table1[[#This Row],[Iout]]^2+(Table1[[#This Row],[Ripple Current pk-pk]]^2)/12), Table1[[#This Row],[Ripple Current pk-pk]]/SQRT(12))</f>
        <v>5.7855236137479018</v>
      </c>
      <c r="AE53" s="354">
        <f>RCinEsr*Table1[[#This Row],[Irms Cin]]^2</f>
        <v>6.6944566970469174E-2</v>
      </c>
      <c r="AF53" s="549">
        <f>Table1[[#This Row],[Cin ESR Loss]]</f>
        <v>6.6944566970469174E-2</v>
      </c>
      <c r="AG5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9.6192121810314948</v>
      </c>
      <c r="AH53" s="354">
        <f>Rdson1*Table1[[#This Row],[Irms BuCtrl]]^2</f>
        <v>0.38862282053155978</v>
      </c>
      <c r="AI53" s="354">
        <f>CHOOSE(Table1[[#This Row],[Mode Digit]], (Table1[[#This Row],[Vin]]*Table1[[#This Row],[Iout]]/2)*(Fsw)*(Tr_buck+Tf_buck), 0, (Table1[[#This Row],[Vin]]*Table1[[#This Row],[Avg IL]]/2)*(Fsw/1)*(Tr_buck+Tf_buck))</f>
        <v>2.7464369884825222</v>
      </c>
      <c r="AJ53">
        <f>IF(Table1[[#This Row],[Vin]]&gt;Vout, IF(Table1[[#This Row],[Iout]]&gt;Table1[[#This Row],[Ripple Current pk-pk]]/2,0,ABS(Table1[[#This Row],[Iout]]-Table1[[#This Row],[Ripple Current pk-pk]]/2)*Vsd_Q1*Deadtime*Fsw),0)</f>
        <v>0</v>
      </c>
      <c r="AK53" s="354">
        <f>(Table1[[#This Row],[Dead Time Loss BuCtrl]]+Table1[[#This Row],[Transition Loss BuCtrl]]+Table1[[#This Row],[RDS(on) Loss BuCtrl]]*(1+RdsonTopTc*Ta-RdsonTopTc*25))/(1-Table1[[#This Row],[RDS(on) Loss BuCtrl]]*RdsonTopTc*ThetaJA_Q1)</f>
        <v>3.4575430397898574</v>
      </c>
      <c r="AL53" s="354">
        <f>CHOOSE(Table1[[#This Row],[Mode Digit]],SQRT((Fsw*(Table1[[#This Row],[t2_Ph_I]]+0))*((Table1[[#This Row],[I_0]]*Table1[[#This Row],[I_1]]+((Table1[[#This Row],[I_0]]-Table1[[#This Row],[I_1]])^2)/3))),0,SQRT((Fsw*(Table1[[#This Row],[t3_Ph_III]]+0))*((Table1[[#This Row],[I_0]]*Table1[[#This Row],[I_2]]+((Table1[[#This Row],[I_0]]-Table1[[#This Row],[I_2]])^2)/3))))</f>
        <v>7.2418017766615961</v>
      </c>
      <c r="AM53" s="354">
        <f>Rdson2*Table1[[#This Row],[Irms BuSync]]^2</f>
        <v>0.22026351048432802</v>
      </c>
      <c r="AN5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3" s="354">
        <f>(Table1[[#This Row],[Deadtime Loss BuSync]]+Table1[[#This Row],[RDS(on) Loss BuSync]]*(1+RdsonBotTc*Ta-RdsonBotTc*25))/(1-Table1[[#This Row],[RDS(on) Loss BuSync]]*RdsonBotTc*ThetaJA_Q2)</f>
        <v>0.84215392629763086</v>
      </c>
      <c r="AP53" s="354">
        <f>CHOOSE(Table1[[#This Row],[Mode Digit]],0,SQRT((Fsw*(Table1[[#This Row],[t1_Ph_II]]+0))*((Table1[[#This Row],[I_0]]*Table1[[#This Row],[I_1]]+((Table1[[#This Row],[I_0]]-Table1[[#This Row],[I_1]])^2)/3))),SQRT((Fsw*(Table1[[#This Row],[t2_Ph_I]]+0))*((Table1[[#This Row],[I_1]]*Table1[[#This Row],[I_2]]+((Table1[[#This Row],[I_1]]-Table1[[#This Row],[I_2]])^2)/3))))</f>
        <v>0</v>
      </c>
      <c r="AQ53" s="354">
        <f>Rdson4*Table1[[#This Row],[Irms BoCtlr]]^2</f>
        <v>0</v>
      </c>
      <c r="AR53" s="354">
        <f>CHOOSE(Table1[[#This Row],[Mode Digit]], 0, (Vout*Table1[[#This Row],[Iin]]/2)*(Fsw)*(Tr_boost+Tf_boost), (Vout*Iout/2)*(Fsw/1)*(Tr_boost+Tf_boost))</f>
        <v>0</v>
      </c>
      <c r="AS53">
        <f>IF(Table1[[#This Row],[Vin]]&gt;Vout, 0, IF(Table1[[#This Row],[Iin]]&gt;Table1[[#This Row],[Ripple Current pk-pk]]/2,0,ABS(Table1[[#This Row],[Iin]]-Table1[[#This Row],[Ripple Current pk-pk]]/2)*Vsd_Q4*Deadtime*Fsw))</f>
        <v>0</v>
      </c>
      <c r="AT53" s="354">
        <f>(Table1[[#This Row],[Dead Time Loss BoCtlr]]+Table1[[#This Row],[Transition Loss BoCtlr]]+Table1[[#This Row],[RDS(on) Loss BoCtlr]]*(1+RdsonTopTc*Ta-RdsonTopTc*25))/(1-Table1[[#This Row],[RDS(on) Loss BoCtlr]]*RdsonTopTc*ThetaJA_Q4)</f>
        <v>0</v>
      </c>
      <c r="AU5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12.040470753096148</v>
      </c>
      <c r="AV53" s="354">
        <f>Rdson3*Table1[[#This Row],[Irms BoSync]]^2</f>
        <v>0.60888633101588774</v>
      </c>
      <c r="AW5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3" s="354">
        <f>(Table1[[#This Row],[Deadtime Loss BoSync]]+Table1[[#This Row],[RDS(on) Loss BoSync]]*(1+RdsonBotTc*Ta-RdsonBotTc*25))/(1-Table1[[#This Row],[RDS(on) Loss BoSync]]*RdsonBotTc*ThetaJA_Q3)</f>
        <v>0.71309247336339565</v>
      </c>
      <c r="AY53" s="354">
        <f>CHOOSE(Table1[[#This Row],[Mode Digit]], Rdson3*Table1[[#This Row],[Irms Lf]]^2, Rdson1*Table1[[#This Row],[Irms Lf]]^2, 0)</f>
        <v>0.60888633101588774</v>
      </c>
      <c r="AZ53" s="354">
        <f>CHOOSE(Table1[[#This Row],[Mode Digit]], 2*Deadtime*Fsw*IF(VfdSky_Q2&gt;0,VfdSky_Q2,0)*Table1[[#This Row],[Iout]], 2*Deadtime*Fsw*IF(VfdSky_Q3&gt;0,VfdSky_Q3,0)*Table1[[#This Row],[Iin]], 2*Deadtime*Fsw*IF(VfdSky_Q2&gt;0,VfdSky_Q2,0)*Table1[[#This Row],[Iout]]+2*Deadtime*Fsw*IF(VfdSky_Q3&gt;0,VfdSky_Q3,0)*Table1[[#This Row],[Iin]])</f>
        <v>0</v>
      </c>
      <c r="BA53" s="354">
        <f>CHOOSE(Table1[[#This Row],[Mode Digit]], IF(QrrSky_Q2&gt;0,QrrSky_Q2,Qrr_Q2)*Fsw*(Table1[[#This Row],[Vin]]-Table1[[#This Row],[Iout]]*Rdson1),0,  IF(QrrSky_Q2&gt;0,QrrSky_Q2,Qrr_Q2)*Fsw*(Table1[[#This Row],[Vin]]-Table1[[#This Row],[Iout]]*Rdson1)+IF(QrrSky_Q3&gt;0,QrrSky_Q3,Qrr_Q3)*Fsw*Vout)</f>
        <v>0.27635519999999997</v>
      </c>
      <c r="BB53" s="354">
        <f>CHOOSE(Table1[[#This Row],[Mode Digit]],0, IF(QrrSky_Q3&gt;0,QrrSky_Q3,Qrr_Q3)*Fsw*Vout,  IF(QrrSky_Q2&gt;0,QrrSky_Q2,Qrr_Q2)*Fsw*(Table1[[#This Row],[Vin]]-Table1[[#This Row],[Iout]]*Rdson1)+IF(QrrSky_Q3&gt;0,QrrSky_Q3,Qrr_Q3)*Fsw*Vout)</f>
        <v>0</v>
      </c>
      <c r="BC53" s="354">
        <f>CHOOSE(Table1[[#This Row],[Mode Digit]], Rs*Table1[[#This Row],[Irms BuSync]]^2, Rs*Table1[[#This Row],[Irms BoCtlr]]^2, Rs*(Table1[[#This Row],[Irms BuSync]]^2+Table1[[#This Row],[Irms BoCtlr]]^2))</f>
        <v>0.13110923243114761</v>
      </c>
      <c r="BD53" s="354">
        <f t="shared" si="1"/>
        <v>1.44</v>
      </c>
      <c r="BE53" s="354">
        <f>IF(Vout&gt;8, Iq*Vout, Iq*Table1[[#This Row],[Vin]])</f>
        <v>4.3799999999999999E-2</v>
      </c>
      <c r="BF53" s="354">
        <f>CHOOSE(Table1[[#This Row],[Mode Digit]], (Qg_Q1+Qg_Q2)*Fsw, (Qg_Q3+Qg_Q4)*Fsw, (Qg_Q1+Qg_Q2+Qg_Q3+Qg_Q4)*Fsw)*IF(Vout&gt;8, Vout, Table1[[#This Row],[Vin]])</f>
        <v>0.47303999999999996</v>
      </c>
      <c r="BG53" s="354">
        <f t="shared" si="2"/>
        <v>0.57269042016806726</v>
      </c>
      <c r="BH53" s="354">
        <f>Table1[[#This Row],[IQ Loss]]+Table1[[#This Row],[Switching Current Loss]]</f>
        <v>0.51683999999999997</v>
      </c>
      <c r="BI5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8.8956381057031706</v>
      </c>
      <c r="BJ53">
        <f>Vout*Table1[[#This Row],[Iout]]</f>
        <v>175.2</v>
      </c>
      <c r="BK53" s="550">
        <f>Table1[[#This Row],[Pout]]/(Table1[[#This Row],[Pout]]+Table1[[#This Row],[Total Loss]])</f>
        <v>0.95167925651451057</v>
      </c>
      <c r="BL5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207.45258238739146</v>
      </c>
      <c r="BM53" s="559">
        <f>IF(Table1[[#This Row],[Vin]]&gt;Vout, Table1[[#This Row],[Total Sync Bu MOSFET Loss]]*ThetaJA_Q2, ThetaJA_Q3*Table1[[#This Row],[Total Sync Bo MOSFET Loss]])</f>
        <v>50.529235577857854</v>
      </c>
      <c r="BN53" s="9"/>
      <c r="BO53" s="4">
        <f>Table1[[#This Row],[EFF, h]]*100</f>
        <v>95.167925651451057</v>
      </c>
      <c r="BP53" s="354">
        <f>Table1[[#This Row],[Total Inductor Loss]]</f>
        <v>1.4467349870698509</v>
      </c>
      <c r="BQ53" s="354">
        <f>Table1[[#This Row],[Total Control Bu MOSFET Loss]]+Table1[[#This Row],[Total Sync Bu MOSFET Loss]]+Table1[[#This Row],[Total Control Bo MOSFET Loss]]+Table1[[#This Row],[Total Sync Bo MOSFET Loss]]+Table1[[#This Row],[Reverse Recovery Loss MOSFET D BUCK]]+Table1[[#This Row],[Reverse Recovery Loss MOSFET D BOOST]]</f>
        <v>5.2891446394508845</v>
      </c>
      <c r="BR53" s="354">
        <f>Table1[[#This Row],[Total Control Bu MOSFET Loss]]+Table1[[#This Row],[Reverse Recovery Loss MOSFET D BUCK]]*0.66</f>
        <v>3.6399374717898576</v>
      </c>
      <c r="BS53" s="354">
        <f>Table1[[#This Row],[Total Sync Bu MOSFET Loss]]+Table1[[#This Row],[Reverse Recovery Loss MOSFET D BUCK]]*0.33</f>
        <v>0.93335114229763083</v>
      </c>
      <c r="BT53" s="354">
        <f xml:space="preserve"> Table1[[#This Row],[Total Control Bo MOSFET Loss]]+Table1[[#This Row],[Reverse Recovery Loss MOSFET D BOOST]]*0.66</f>
        <v>0</v>
      </c>
      <c r="BU53" s="354">
        <f xml:space="preserve"> Table1[[#This Row],[Total Sync Bo MOSFET Loss]]+Table1[[#This Row],[Reverse Recovery Loss MOSFET D BOOST]]*0.33</f>
        <v>0.71309247336339565</v>
      </c>
      <c r="BV53" s="354">
        <f>Table1[[#This Row],[Isense Shunt Loss]]</f>
        <v>0.13110923243114761</v>
      </c>
      <c r="CA53">
        <v>9.9955739999999995</v>
      </c>
      <c r="CB53">
        <v>12.605</v>
      </c>
      <c r="CC53">
        <v>5.1111979999999999</v>
      </c>
      <c r="CD53">
        <v>87.386508098290477</v>
      </c>
      <c r="CE53">
        <v>9299.4335961019988</v>
      </c>
    </row>
    <row r="54" spans="1:83" x14ac:dyDescent="0.2">
      <c r="A54" s="23" t="s">
        <v>77</v>
      </c>
      <c r="B54" s="5">
        <f>Qrr_Q2*1000000000</f>
        <v>20</v>
      </c>
      <c r="C54" s="440" t="s">
        <v>69</v>
      </c>
      <c r="D54" s="21" t="s">
        <v>112</v>
      </c>
      <c r="G54">
        <v>45</v>
      </c>
      <c r="H54" s="555">
        <f>VIN_min+(VIN_max-VIN_min)*(Table1[[#This Row],[Step]]/200)</f>
        <v>23.15</v>
      </c>
      <c r="I54" s="4" t="str">
        <f>IF(Mode = 2,IF(Table1[[#This Row],[Vin]]&gt;Vout, "BUCK","BOOST"),IF(Table1[[#This Row],[Vin]]&gt;VIN_BB_to_buck, "BUCK", IF(Table1[[#This Row],[Vin]]&lt;=VIN_boost_to_BB,"BOOST","BUCK-BST")))</f>
        <v>BUCK</v>
      </c>
      <c r="J54">
        <f>IF(Table1[[#This Row],[Mode]]="BOOST",2, IF(Table1[[#This Row],[Mode]]="BUCK", 1,3))</f>
        <v>1</v>
      </c>
      <c r="K54">
        <f t="shared" si="0"/>
        <v>12</v>
      </c>
      <c r="L54" s="4">
        <f>Vout*Table1[[#This Row],[Iout]]/(Table1[[#This Row],[Vin]]*Efficiency)</f>
        <v>7.9663521655109708</v>
      </c>
      <c r="M54" s="711">
        <f>MIN(1/Fsw,CHOOSE(Table1[[#This Row],[Mode Digit]],(Vout+(Rdson2+Rs+Rdcr)*Table1[[#This Row],[Iout]])/(Table1[[#This Row],[Vin]]+(Rs+Rdson2-Rdson1)*Table1[[#This Row],[Iout]])/Fsw,(Vout+(Rdson3+Rdcr)*Table1[[#This Row],[Iin]]-Table1[[#This Row],[Vin]])/(Vout+(Rdson3-Rdson4-Rs)*Table1[[#This Row],[Iin]])/Fsw,t1_Ph_II))</f>
        <v>1.0605406960023008E-6</v>
      </c>
      <c r="N54" s="602">
        <f>CHOOSE(Table1[[#This Row],[Mode Digit]],1/Fsw-Table1[[#This Row],[t1_Ph_II]],1/Fsw-Table1[[#This Row],[t1_Ph_II]],(Vout/Fsw-Table1[[#This Row],[Vin]]*t1_Ph_II)/(Table1[[#This Row],[Vin]]+Vout))</f>
        <v>6.0612597066436583E-7</v>
      </c>
      <c r="O54" s="602">
        <f>1/Fsw-(Table1[[#This Row],[t1_Ph_II]]+Table1[[#This Row],[t2_Ph_I]])</f>
        <v>0</v>
      </c>
      <c r="P5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10.282647168405365</v>
      </c>
      <c r="Q54" s="4">
        <f>CHOOSE(Table1[[#This Row],[Mode Digit]],Table1[[#This Row],[I_0]]+1/Lf*(Table1[[#This Row],[Vin]]-Vout)*Table1[[#This Row],[t1_Ph_II]],Table1[[#This Row],[I_0]]+1/Lf*Table1[[#This Row],[Vin]]*Table1[[#This Row],[t1_Ph_II]],Table1[[#This Row],[I_0]]+(Table1[[#This Row],[Vin]]-Vout)/L*Table1[[#This Row],[t1_Ph_II]])</f>
        <v>13.717352831594635</v>
      </c>
      <c r="R54" s="4">
        <f>CHOOSE(Table1[[#This Row],[Mode Digit]],0,0,Table1[[#This Row],[I_1]]+Table1[[#This Row],[Vin]]/L*Table1[[#This Row],[t2_Ph_I]])</f>
        <v>0</v>
      </c>
      <c r="S54" s="4">
        <f>Fsw*(Table1[[#This Row],[I_0]]*Table1[[#This Row],[t1_Ph_II]]+Table1[[#This Row],[I_1]]*Table1[[#This Row],[t2_Ph_I]]+Table1[[#This Row],[I_2]]*Table1[[#This Row],[t3_Ph_III]])</f>
        <v>11.531765750833559</v>
      </c>
      <c r="T54" s="354">
        <f>MIN(1,CHOOSE(Table1[[#This Row],[Mode Digit]],(Vout+(Rdson2+Rs+Rdcr)*Table1[[#This Row],[Iout]])/(Table1[[#This Row],[Vin]]+(Rs+Rdson2-Rdson1)*Table1[[#This Row],[Iout]]),1,Fsw*Table1[[#This Row],[t2_Ph_I]]+Table1[[#This Row],[t1_Ph_II]]))</f>
        <v>0.63632441760138048</v>
      </c>
      <c r="U54" s="354">
        <f>MIN(1,CHOOSE(Table1[[#This Row],[Mode Digit]],0,(Vout+(Rdson3+Rdcr)*Table1[[#This Row],[Iin]]-Table1[[#This Row],[Vin]])/(Vout+(Rdson3-Rdson4-Rs)*Table1[[#This Row],[Iin]]),Fsw*Table1[[#This Row],[t1_Ph_II]]+Table1[[#This Row],[t3_Ph_III]]))</f>
        <v>0</v>
      </c>
      <c r="V54" s="4">
        <f>MAX(Table1[[#This Row],[I_0]:[I_2]])-MIN(Table1[[#This Row],[I_0]:[I_1]])</f>
        <v>3.4347056631892698</v>
      </c>
      <c r="W5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12.040892834395436</v>
      </c>
      <c r="X54" s="354">
        <f>(Table1[[#This Row],[Irms Lf]]^2*Rdcr*(1+Ltc*Ta-Ltc*25))/(1-Table1[[#This Row],[Irms Lf]]^2*Rdcr*Ltc*ThetaCa)</f>
        <v>0.90155128221361769</v>
      </c>
      <c r="Y54" s="354">
        <f>ABS(7.759*10^-3*Fsw^0.9458*(0.00787*Table1[[#This Row],[Ripple Current pk-pk]])^2.304)</f>
        <v>0.55181875383977319</v>
      </c>
      <c r="Z54" s="354">
        <f>Table1[[#This Row],[DCR    Loss]]+Table1[[#This Row],[Core Loss]]</f>
        <v>1.453370036053391</v>
      </c>
      <c r="AA54" s="4">
        <f>IF(Table1[[#This Row],[Vin]]&gt;Vout, Table1[[#This Row],[Ripple Current pk-pk]]/SQRT(12), SQRT(Table1[[#This Row],[Duty Cycle BOOST Leg]]/(1-Table1[[#This Row],[Duty Cycle BOOST Leg]]))*SQRT(Table1[[#This Row],[Iout]]^2+(Table1[[#This Row],[Ripple Current pk-pk]]^2)/12))</f>
        <v>0.99151411961472857</v>
      </c>
      <c r="AB54" s="354">
        <f>RCoutEsr*Table1[[#This Row],[Irms Cout]]^2</f>
        <v>4.9155012469768514E-3</v>
      </c>
      <c r="AC54" s="354">
        <f>Table1[[#This Row],[Cout ESR Loss]]</f>
        <v>4.9155012469768514E-3</v>
      </c>
      <c r="AD54" s="354">
        <f>IF(Table1[[#This Row],[Vin]]&gt;Vout, SQRT(Table1[[#This Row],[Duty Cycle BUCK Leg]]*(1-Table1[[#This Row],[Duty Cycle BUCK Leg]]))*SQRT(Table1[[#This Row],[Iout]]^2+(Table1[[#This Row],[Ripple Current pk-pk]]^2)/12), Table1[[#This Row],[Ripple Current pk-pk]]/SQRT(12))</f>
        <v>5.7923534804252004</v>
      </c>
      <c r="AE54" s="354">
        <f>RCinEsr*Table1[[#This Row],[Irms Cin]]^2</f>
        <v>6.7102717684387872E-2</v>
      </c>
      <c r="AF54" s="549">
        <f>Table1[[#This Row],[Cin ESR Loss]]</f>
        <v>6.7102717684387872E-2</v>
      </c>
      <c r="AG5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9.6050136297789326</v>
      </c>
      <c r="AH54" s="354">
        <f>Rdson1*Table1[[#This Row],[Irms BuCtrl]]^2</f>
        <v>0.38747640467860417</v>
      </c>
      <c r="AI54" s="354">
        <f>CHOOSE(Table1[[#This Row],[Mode Digit]], (Table1[[#This Row],[Vin]]*Table1[[#This Row],[Iout]]/2)*(Fsw)*(Tr_buck+Tf_buck), 0, (Table1[[#This Row],[Vin]]*Table1[[#This Row],[Avg IL]]/2)*(Fsw/1)*(Tr_buck+Tf_buck))</f>
        <v>2.7547667367144877</v>
      </c>
      <c r="AJ54">
        <f>IF(Table1[[#This Row],[Vin]]&gt;Vout, IF(Table1[[#This Row],[Iout]]&gt;Table1[[#This Row],[Ripple Current pk-pk]]/2,0,ABS(Table1[[#This Row],[Iout]]-Table1[[#This Row],[Ripple Current pk-pk]]/2)*Vsd_Q1*Deadtime*Fsw),0)</f>
        <v>0</v>
      </c>
      <c r="AK54" s="354">
        <f>(Table1[[#This Row],[Dead Time Loss BuCtrl]]+Table1[[#This Row],[Transition Loss BuCtrl]]+Table1[[#This Row],[RDS(on) Loss BuCtrl]]*(1+RdsonTopTc*Ta-RdsonTopTc*25))/(1-Table1[[#This Row],[RDS(on) Loss BuCtrl]]*RdsonTopTc*ThetaJA_Q1)</f>
        <v>3.4644140273893167</v>
      </c>
      <c r="AL54" s="354">
        <f>CHOOSE(Table1[[#This Row],[Mode Digit]],SQRT((Fsw*(Table1[[#This Row],[t2_Ph_I]]+0))*((Table1[[#This Row],[I_0]]*Table1[[#This Row],[I_1]]+((Table1[[#This Row],[I_0]]-Table1[[#This Row],[I_1]])^2)/3))),0,SQRT((Fsw*(Table1[[#This Row],[t3_Ph_III]]+0))*((Table1[[#This Row],[I_0]]*Table1[[#This Row],[I_2]]+((Table1[[#This Row],[I_0]]-Table1[[#This Row],[I_2]])^2)/3))))</f>
        <v>7.2613231178041033</v>
      </c>
      <c r="AM54" s="354">
        <f>Rdson2*Table1[[#This Row],[Irms BuSync]]^2</f>
        <v>0.22145261636885649</v>
      </c>
      <c r="AN5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4" s="354">
        <f>(Table1[[#This Row],[Deadtime Loss BuSync]]+Table1[[#This Row],[RDS(on) Loss BuSync]]*(1+RdsonBotTc*Ta-RdsonBotTc*25))/(1-Table1[[#This Row],[RDS(on) Loss BuSync]]*RdsonBotTc*ThetaJA_Q2)</f>
        <v>0.84366360814650077</v>
      </c>
      <c r="AP54" s="354">
        <f>CHOOSE(Table1[[#This Row],[Mode Digit]],0,SQRT((Fsw*(Table1[[#This Row],[t1_Ph_II]]+0))*((Table1[[#This Row],[I_0]]*Table1[[#This Row],[I_1]]+((Table1[[#This Row],[I_0]]-Table1[[#This Row],[I_1]])^2)/3))),SQRT((Fsw*(Table1[[#This Row],[t2_Ph_I]]+0))*((Table1[[#This Row],[I_1]]*Table1[[#This Row],[I_2]]+((Table1[[#This Row],[I_1]]-Table1[[#This Row],[I_2]])^2)/3))))</f>
        <v>0</v>
      </c>
      <c r="AQ54" s="354">
        <f>Rdson4*Table1[[#This Row],[Irms BoCtlr]]^2</f>
        <v>0</v>
      </c>
      <c r="AR54" s="354">
        <f>CHOOSE(Table1[[#This Row],[Mode Digit]], 0, (Vout*Table1[[#This Row],[Iin]]/2)*(Fsw)*(Tr_boost+Tf_boost), (Vout*Iout/2)*(Fsw/1)*(Tr_boost+Tf_boost))</f>
        <v>0</v>
      </c>
      <c r="AS54">
        <f>IF(Table1[[#This Row],[Vin]]&gt;Vout, 0, IF(Table1[[#This Row],[Iin]]&gt;Table1[[#This Row],[Ripple Current pk-pk]]/2,0,ABS(Table1[[#This Row],[Iin]]-Table1[[#This Row],[Ripple Current pk-pk]]/2)*Vsd_Q4*Deadtime*Fsw))</f>
        <v>0</v>
      </c>
      <c r="AT54" s="354">
        <f>(Table1[[#This Row],[Dead Time Loss BoCtlr]]+Table1[[#This Row],[Transition Loss BoCtlr]]+Table1[[#This Row],[RDS(on) Loss BoCtlr]]*(1+RdsonTopTc*Ta-RdsonTopTc*25))/(1-Table1[[#This Row],[RDS(on) Loss BoCtlr]]*RdsonTopTc*ThetaJA_Q4)</f>
        <v>0</v>
      </c>
      <c r="AU5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12.040892834395436</v>
      </c>
      <c r="AV54" s="354">
        <f>Rdson3*Table1[[#This Row],[Irms BoSync]]^2</f>
        <v>0.60892902104746061</v>
      </c>
      <c r="AW5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4" s="354">
        <f>(Table1[[#This Row],[Deadtime Loss BoSync]]+Table1[[#This Row],[RDS(on) Loss BoSync]]*(1+RdsonBotTc*Ta-RdsonBotTc*25))/(1-Table1[[#This Row],[RDS(on) Loss BoSync]]*RdsonBotTc*ThetaJA_Q3)</f>
        <v>0.71315102660495133</v>
      </c>
      <c r="AY54" s="354">
        <f>CHOOSE(Table1[[#This Row],[Mode Digit]], Rdson3*Table1[[#This Row],[Irms Lf]]^2, Rdson1*Table1[[#This Row],[Irms Lf]]^2, 0)</f>
        <v>0.60892902104746061</v>
      </c>
      <c r="AZ54" s="354">
        <f>CHOOSE(Table1[[#This Row],[Mode Digit]], 2*Deadtime*Fsw*IF(VfdSky_Q2&gt;0,VfdSky_Q2,0)*Table1[[#This Row],[Iout]], 2*Deadtime*Fsw*IF(VfdSky_Q3&gt;0,VfdSky_Q3,0)*Table1[[#This Row],[Iin]], 2*Deadtime*Fsw*IF(VfdSky_Q2&gt;0,VfdSky_Q2,0)*Table1[[#This Row],[Iout]]+2*Deadtime*Fsw*IF(VfdSky_Q3&gt;0,VfdSky_Q3,0)*Table1[[#This Row],[Iin]])</f>
        <v>0</v>
      </c>
      <c r="BA54" s="354">
        <f>CHOOSE(Table1[[#This Row],[Mode Digit]], IF(QrrSky_Q2&gt;0,QrrSky_Q2,Qrr_Q2)*Fsw*(Table1[[#This Row],[Vin]]-Table1[[#This Row],[Iout]]*Rdson1),0,  IF(QrrSky_Q2&gt;0,QrrSky_Q2,Qrr_Q2)*Fsw*(Table1[[#This Row],[Vin]]-Table1[[#This Row],[Iout]]*Rdson1)+IF(QrrSky_Q3&gt;0,QrrSky_Q3,Qrr_Q3)*Fsw*Vout)</f>
        <v>0.27719519999999997</v>
      </c>
      <c r="BB54" s="354">
        <f>CHOOSE(Table1[[#This Row],[Mode Digit]],0, IF(QrrSky_Q3&gt;0,QrrSky_Q3,Qrr_Q3)*Fsw*Vout,  IF(QrrSky_Q2&gt;0,QrrSky_Q2,Qrr_Q2)*Fsw*(Table1[[#This Row],[Vin]]-Table1[[#This Row],[Iout]]*Rdson1)+IF(QrrSky_Q3&gt;0,QrrSky_Q3,Qrr_Q3)*Fsw*Vout)</f>
        <v>0</v>
      </c>
      <c r="BC54" s="354">
        <f>CHOOSE(Table1[[#This Row],[Mode Digit]], Rs*Table1[[#This Row],[Irms BuSync]]^2, Rs*Table1[[#This Row],[Irms BoCtlr]]^2, Rs*(Table1[[#This Row],[Irms BuSync]]^2+Table1[[#This Row],[Irms BoCtlr]]^2))</f>
        <v>0.13181703355289076</v>
      </c>
      <c r="BD54" s="354">
        <f t="shared" si="1"/>
        <v>1.44</v>
      </c>
      <c r="BE54" s="354">
        <f>IF(Vout&gt;8, Iq*Vout, Iq*Table1[[#This Row],[Vin]])</f>
        <v>4.3799999999999999E-2</v>
      </c>
      <c r="BF54" s="354">
        <f>CHOOSE(Table1[[#This Row],[Mode Digit]], (Qg_Q1+Qg_Q2)*Fsw, (Qg_Q3+Qg_Q4)*Fsw, (Qg_Q1+Qg_Q2+Qg_Q3+Qg_Q4)*Fsw)*IF(Vout&gt;8, Vout, Table1[[#This Row],[Vin]])</f>
        <v>0.47303999999999996</v>
      </c>
      <c r="BG54" s="354">
        <f t="shared" si="2"/>
        <v>0.57269042016806726</v>
      </c>
      <c r="BH54" s="354">
        <f>Table1[[#This Row],[IQ Loss]]+Table1[[#This Row],[Switching Current Loss]]</f>
        <v>0.51683999999999997</v>
      </c>
      <c r="BI5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8.9124691506784153</v>
      </c>
      <c r="BJ54">
        <f>Vout*Table1[[#This Row],[Iout]]</f>
        <v>175.2</v>
      </c>
      <c r="BK54" s="550">
        <f>Table1[[#This Row],[Pout]]/(Table1[[#This Row],[Pout]]+Table1[[#This Row],[Total Loss]])</f>
        <v>0.95159225666902325</v>
      </c>
      <c r="BL5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207.864841643359</v>
      </c>
      <c r="BM54" s="559">
        <f>IF(Table1[[#This Row],[Vin]]&gt;Vout, Table1[[#This Row],[Total Sync Bu MOSFET Loss]]*ThetaJA_Q2, ThetaJA_Q3*Table1[[#This Row],[Total Sync Bo MOSFET Loss]])</f>
        <v>50.619816488790043</v>
      </c>
      <c r="BN54" s="9"/>
      <c r="BO54" s="4">
        <f>Table1[[#This Row],[EFF, h]]*100</f>
        <v>95.15922566690233</v>
      </c>
      <c r="BP54" s="354">
        <f>Table1[[#This Row],[Total Inductor Loss]]</f>
        <v>1.453370036053391</v>
      </c>
      <c r="BQ54" s="354">
        <f>Table1[[#This Row],[Total Control Bu MOSFET Loss]]+Table1[[#This Row],[Total Sync Bu MOSFET Loss]]+Table1[[#This Row],[Total Control Bo MOSFET Loss]]+Table1[[#This Row],[Total Sync Bo MOSFET Loss]]+Table1[[#This Row],[Reverse Recovery Loss MOSFET D BUCK]]+Table1[[#This Row],[Reverse Recovery Loss MOSFET D BOOST]]</f>
        <v>5.2984238621407691</v>
      </c>
      <c r="BR54" s="354">
        <f>Table1[[#This Row],[Total Control Bu MOSFET Loss]]+Table1[[#This Row],[Reverse Recovery Loss MOSFET D BUCK]]*0.66</f>
        <v>3.6473628593893168</v>
      </c>
      <c r="BS54" s="354">
        <f>Table1[[#This Row],[Total Sync Bu MOSFET Loss]]+Table1[[#This Row],[Reverse Recovery Loss MOSFET D BUCK]]*0.33</f>
        <v>0.93513802414650082</v>
      </c>
      <c r="BT54" s="354">
        <f xml:space="preserve"> Table1[[#This Row],[Total Control Bo MOSFET Loss]]+Table1[[#This Row],[Reverse Recovery Loss MOSFET D BOOST]]*0.66</f>
        <v>0</v>
      </c>
      <c r="BU54" s="354">
        <f xml:space="preserve"> Table1[[#This Row],[Total Sync Bo MOSFET Loss]]+Table1[[#This Row],[Reverse Recovery Loss MOSFET D BOOST]]*0.33</f>
        <v>0.71315102660495133</v>
      </c>
      <c r="BV54" s="354">
        <f>Table1[[#This Row],[Isense Shunt Loss]]</f>
        <v>0.13181703355289076</v>
      </c>
      <c r="CA54">
        <v>9.9949670000000008</v>
      </c>
      <c r="CB54">
        <v>13.75</v>
      </c>
      <c r="CC54">
        <v>5.1122329999999998</v>
      </c>
      <c r="CD54">
        <v>85.985113444924963</v>
      </c>
      <c r="CE54">
        <v>11457.230537720005</v>
      </c>
    </row>
    <row r="55" spans="1:83" x14ac:dyDescent="0.2">
      <c r="A55" s="23" t="s">
        <v>78</v>
      </c>
      <c r="B55" s="5">
        <f>Trr_Q2*1000000000</f>
        <v>40</v>
      </c>
      <c r="C55" s="440" t="s">
        <v>79</v>
      </c>
      <c r="D55" s="74" t="s">
        <v>108</v>
      </c>
      <c r="G55">
        <v>46</v>
      </c>
      <c r="H55" s="555">
        <f>VIN_min+(VIN_max-VIN_min)*(Table1[[#This Row],[Step]]/200)</f>
        <v>23.22</v>
      </c>
      <c r="I55" s="4" t="str">
        <f>IF(Mode = 2,IF(Table1[[#This Row],[Vin]]&gt;Vout, "BUCK","BOOST"),IF(Table1[[#This Row],[Vin]]&gt;VIN_BB_to_buck, "BUCK", IF(Table1[[#This Row],[Vin]]&lt;=VIN_boost_to_BB,"BOOST","BUCK-BST")))</f>
        <v>BUCK</v>
      </c>
      <c r="J55">
        <f>IF(Table1[[#This Row],[Mode]]="BOOST",2, IF(Table1[[#This Row],[Mode]]="BUCK", 1,3))</f>
        <v>1</v>
      </c>
      <c r="K55">
        <f t="shared" si="0"/>
        <v>12</v>
      </c>
      <c r="L55" s="4">
        <f>Vout*Table1[[#This Row],[Iout]]/(Table1[[#This Row],[Vin]]*Efficiency)</f>
        <v>7.9423364613083098</v>
      </c>
      <c r="M55" s="711">
        <f>MIN(1/Fsw,CHOOSE(Table1[[#This Row],[Mode Digit]],(Vout+(Rdson2+Rs+Rdcr)*Table1[[#This Row],[Iout]])/(Table1[[#This Row],[Vin]]+(Rs+Rdson2-Rdson1)*Table1[[#This Row],[Iout]])/Fsw,(Vout+(Rdson3+Rdcr)*Table1[[#This Row],[Iin]]-Table1[[#This Row],[Vin]])/(Vout+(Rdson3-Rdson4-Rs)*Table1[[#This Row],[Iin]])/Fsw,t1_Ph_II))</f>
        <v>1.057347670250896E-6</v>
      </c>
      <c r="N55" s="602">
        <f>CHOOSE(Table1[[#This Row],[Mode Digit]],1/Fsw-Table1[[#This Row],[t1_Ph_II]],1/Fsw-Table1[[#This Row],[t1_Ph_II]],(Vout/Fsw-Table1[[#This Row],[Vin]]*t1_Ph_II)/(Table1[[#This Row],[Vin]]+Vout))</f>
        <v>6.0931899641577069E-7</v>
      </c>
      <c r="O55" s="602">
        <f>1/Fsw-(Table1[[#This Row],[t1_Ph_II]]+Table1[[#This Row],[t2_Ph_I]])</f>
        <v>0</v>
      </c>
      <c r="P5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10.273799826219182</v>
      </c>
      <c r="Q55" s="4">
        <f>CHOOSE(Table1[[#This Row],[Mode Digit]],Table1[[#This Row],[I_0]]+1/Lf*(Table1[[#This Row],[Vin]]-Vout)*Table1[[#This Row],[t1_Ph_II]],Table1[[#This Row],[I_0]]+1/Lf*Table1[[#This Row],[Vin]]*Table1[[#This Row],[t1_Ph_II]],Table1[[#This Row],[I_0]]+(Table1[[#This Row],[Vin]]-Vout)/L*Table1[[#This Row],[t1_Ph_II]])</f>
        <v>13.726200173780819</v>
      </c>
      <c r="R55" s="4">
        <f>CHOOSE(Table1[[#This Row],[Mode Digit]],0,0,Table1[[#This Row],[I_1]]+Table1[[#This Row],[Vin]]/L*Table1[[#This Row],[t2_Ph_I]])</f>
        <v>0</v>
      </c>
      <c r="S55" s="4">
        <f>Fsw*(Table1[[#This Row],[I_0]]*Table1[[#This Row],[t1_Ph_II]]+Table1[[#This Row],[I_1]]*Table1[[#This Row],[t2_Ph_I]]+Table1[[#This Row],[I_2]]*Table1[[#This Row],[t3_Ph_III]])</f>
        <v>11.535967695220211</v>
      </c>
      <c r="T55" s="354">
        <f>MIN(1,CHOOSE(Table1[[#This Row],[Mode Digit]],(Vout+(Rdson2+Rs+Rdcr)*Table1[[#This Row],[Iout]])/(Table1[[#This Row],[Vin]]+(Rs+Rdson2-Rdson1)*Table1[[#This Row],[Iout]]),1,Fsw*Table1[[#This Row],[t2_Ph_I]]+Table1[[#This Row],[t1_Ph_II]]))</f>
        <v>0.63440860215053763</v>
      </c>
      <c r="U55" s="354">
        <f>MIN(1,CHOOSE(Table1[[#This Row],[Mode Digit]],0,(Vout+(Rdson3+Rdcr)*Table1[[#This Row],[Iin]]-Table1[[#This Row],[Vin]])/(Vout+(Rdson3-Rdson4-Rs)*Table1[[#This Row],[Iin]]),Fsw*Table1[[#This Row],[t1_Ph_II]]+Table1[[#This Row],[t3_Ph_III]]))</f>
        <v>0</v>
      </c>
      <c r="V55" s="4">
        <f>MAX(Table1[[#This Row],[I_0]:[I_2]])-MIN(Table1[[#This Row],[I_0]:[I_1]])</f>
        <v>3.4524003475616372</v>
      </c>
      <c r="W5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12.041314532889961</v>
      </c>
      <c r="X55" s="354">
        <f>(Table1[[#This Row],[Irms Lf]]^2*Rdcr*(1+Ltc*Ta-Ltc*25))/(1-Table1[[#This Row],[Irms Lf]]^2*Rdcr*Ltc*ThetaCa)</f>
        <v>0.90161898688726194</v>
      </c>
      <c r="Y55" s="354">
        <f>ABS(7.759*10^-3*Fsw^0.9458*(0.00787*Table1[[#This Row],[Ripple Current pk-pk]])^2.304)</f>
        <v>0.55839062897701663</v>
      </c>
      <c r="Z55" s="354">
        <f>Table1[[#This Row],[DCR    Loss]]+Table1[[#This Row],[Core Loss]]</f>
        <v>1.4600096158642786</v>
      </c>
      <c r="AA55" s="4">
        <f>IF(Table1[[#This Row],[Vin]]&gt;Vout, Table1[[#This Row],[Ripple Current pk-pk]]/SQRT(12), SQRT(Table1[[#This Row],[Duty Cycle BOOST Leg]]/(1-Table1[[#This Row],[Duty Cycle BOOST Leg]]))*SQRT(Table1[[#This Row],[Iout]]^2+(Table1[[#This Row],[Ripple Current pk-pk]]^2)/12))</f>
        <v>0.99662213500753449</v>
      </c>
      <c r="AB55" s="354">
        <f>RCoutEsr*Table1[[#This Row],[Irms Cout]]^2</f>
        <v>4.9662783999348814E-3</v>
      </c>
      <c r="AC55" s="354">
        <f>Table1[[#This Row],[Cout ESR Loss]]</f>
        <v>4.9662783999348814E-3</v>
      </c>
      <c r="AD55" s="354">
        <f>IF(Table1[[#This Row],[Vin]]&gt;Vout, SQRT(Table1[[#This Row],[Duty Cycle BUCK Leg]]*(1-Table1[[#This Row],[Duty Cycle BUCK Leg]]))*SQRT(Table1[[#This Row],[Iout]]^2+(Table1[[#This Row],[Ripple Current pk-pk]]^2)/12), Table1[[#This Row],[Ripple Current pk-pk]]/SQRT(12))</f>
        <v>5.7990441688715642</v>
      </c>
      <c r="AE55" s="354">
        <f>RCinEsr*Table1[[#This Row],[Irms Cin]]^2</f>
        <v>6.7257826545046584E-2</v>
      </c>
      <c r="AF55" s="549">
        <f>Table1[[#This Row],[Cin ESR Loss]]</f>
        <v>6.7257826545046584E-2</v>
      </c>
      <c r="AG5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9.5908794517080675</v>
      </c>
      <c r="AH55" s="354">
        <f>Rdson1*Table1[[#This Row],[Irms BuCtrl]]^2</f>
        <v>0.38633686836022346</v>
      </c>
      <c r="AI55" s="354">
        <f>CHOOSE(Table1[[#This Row],[Mode Digit]], (Table1[[#This Row],[Vin]]*Table1[[#This Row],[Iout]]/2)*(Fsw)*(Tr_buck+Tf_buck), 0, (Table1[[#This Row],[Vin]]*Table1[[#This Row],[Avg IL]]/2)*(Fsw/1)*(Tr_buck+Tf_buck))</f>
        <v>2.7630964849464541</v>
      </c>
      <c r="AJ55">
        <f>IF(Table1[[#This Row],[Vin]]&gt;Vout, IF(Table1[[#This Row],[Iout]]&gt;Table1[[#This Row],[Ripple Current pk-pk]]/2,0,ABS(Table1[[#This Row],[Iout]]-Table1[[#This Row],[Ripple Current pk-pk]]/2)*Vsd_Q1*Deadtime*Fsw),0)</f>
        <v>0</v>
      </c>
      <c r="AK55" s="354">
        <f>(Table1[[#This Row],[Dead Time Loss BuCtrl]]+Table1[[#This Row],[Transition Loss BuCtrl]]+Table1[[#This Row],[RDS(on) Loss BuCtrl]]*(1+RdsonTopTc*Ta-RdsonTopTc*25))/(1-Table1[[#This Row],[RDS(on) Loss BuCtrl]]*RdsonTopTc*ThetaJA_Q1)</f>
        <v>3.4712947473498188</v>
      </c>
      <c r="AL55" s="354">
        <f>CHOOSE(Table1[[#This Row],[Mode Digit]],SQRT((Fsw*(Table1[[#This Row],[t2_Ph_I]]+0))*((Table1[[#This Row],[I_0]]*Table1[[#This Row],[I_1]]+((Table1[[#This Row],[I_0]]-Table1[[#This Row],[I_1]])^2)/3))),0,SQRT((Fsw*(Table1[[#This Row],[t3_Ph_III]]+0))*((Table1[[#This Row],[I_0]]*Table1[[#This Row],[I_2]]+((Table1[[#This Row],[I_0]]-Table1[[#This Row],[I_2]])^2)/3))))</f>
        <v>7.2806790220961499</v>
      </c>
      <c r="AM55" s="354">
        <f>Rdson2*Table1[[#This Row],[Irms BuSync]]^2</f>
        <v>0.22263480549572204</v>
      </c>
      <c r="AN5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5" s="354">
        <f>(Table1[[#This Row],[Deadtime Loss BuSync]]+Table1[[#This Row],[RDS(on) Loss BuSync]]*(1+RdsonBotTc*Ta-RdsonBotTc*25))/(1-Table1[[#This Row],[RDS(on) Loss BuSync]]*RdsonBotTc*ThetaJA_Q2)</f>
        <v>0.84516541091620023</v>
      </c>
      <c r="AP55" s="354">
        <f>CHOOSE(Table1[[#This Row],[Mode Digit]],0,SQRT((Fsw*(Table1[[#This Row],[t1_Ph_II]]+0))*((Table1[[#This Row],[I_0]]*Table1[[#This Row],[I_1]]+((Table1[[#This Row],[I_0]]-Table1[[#This Row],[I_1]])^2)/3))),SQRT((Fsw*(Table1[[#This Row],[t2_Ph_I]]+0))*((Table1[[#This Row],[I_1]]*Table1[[#This Row],[I_2]]+((Table1[[#This Row],[I_1]]-Table1[[#This Row],[I_2]])^2)/3))))</f>
        <v>0</v>
      </c>
      <c r="AQ55" s="354">
        <f>Rdson4*Table1[[#This Row],[Irms BoCtlr]]^2</f>
        <v>0</v>
      </c>
      <c r="AR55" s="354">
        <f>CHOOSE(Table1[[#This Row],[Mode Digit]], 0, (Vout*Table1[[#This Row],[Iin]]/2)*(Fsw)*(Tr_boost+Tf_boost), (Vout*Iout/2)*(Fsw/1)*(Tr_boost+Tf_boost))</f>
        <v>0</v>
      </c>
      <c r="AS55">
        <f>IF(Table1[[#This Row],[Vin]]&gt;Vout, 0, IF(Table1[[#This Row],[Iin]]&gt;Table1[[#This Row],[Ripple Current pk-pk]]/2,0,ABS(Table1[[#This Row],[Iin]]-Table1[[#This Row],[Ripple Current pk-pk]]/2)*Vsd_Q4*Deadtime*Fsw))</f>
        <v>0</v>
      </c>
      <c r="AT55" s="354">
        <f>(Table1[[#This Row],[Dead Time Loss BoCtlr]]+Table1[[#This Row],[Transition Loss BoCtlr]]+Table1[[#This Row],[RDS(on) Loss BoCtlr]]*(1+RdsonTopTc*Ta-RdsonTopTc*25))/(1-Table1[[#This Row],[RDS(on) Loss BoCtlr]]*RdsonTopTc*ThetaJA_Q4)</f>
        <v>0</v>
      </c>
      <c r="AU5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12.041314532889961</v>
      </c>
      <c r="AV55" s="354">
        <f>Rdson3*Table1[[#This Row],[Irms BoSync]]^2</f>
        <v>0.60897167385594542</v>
      </c>
      <c r="AW5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5" s="354">
        <f>(Table1[[#This Row],[Deadtime Loss BoSync]]+Table1[[#This Row],[RDS(on) Loss BoSync]]*(1+RdsonBotTc*Ta-RdsonBotTc*25))/(1-Table1[[#This Row],[RDS(on) Loss BoSync]]*RdsonBotTc*ThetaJA_Q3)</f>
        <v>0.71320953019503774</v>
      </c>
      <c r="AY55" s="354">
        <f>CHOOSE(Table1[[#This Row],[Mode Digit]], Rdson3*Table1[[#This Row],[Irms Lf]]^2, Rdson1*Table1[[#This Row],[Irms Lf]]^2, 0)</f>
        <v>0.60897167385594542</v>
      </c>
      <c r="AZ55" s="354">
        <f>CHOOSE(Table1[[#This Row],[Mode Digit]], 2*Deadtime*Fsw*IF(VfdSky_Q2&gt;0,VfdSky_Q2,0)*Table1[[#This Row],[Iout]], 2*Deadtime*Fsw*IF(VfdSky_Q3&gt;0,VfdSky_Q3,0)*Table1[[#This Row],[Iin]], 2*Deadtime*Fsw*IF(VfdSky_Q2&gt;0,VfdSky_Q2,0)*Table1[[#This Row],[Iout]]+2*Deadtime*Fsw*IF(VfdSky_Q3&gt;0,VfdSky_Q3,0)*Table1[[#This Row],[Iin]])</f>
        <v>0</v>
      </c>
      <c r="BA55" s="354">
        <f>CHOOSE(Table1[[#This Row],[Mode Digit]], IF(QrrSky_Q2&gt;0,QrrSky_Q2,Qrr_Q2)*Fsw*(Table1[[#This Row],[Vin]]-Table1[[#This Row],[Iout]]*Rdson1),0,  IF(QrrSky_Q2&gt;0,QrrSky_Q2,Qrr_Q2)*Fsw*(Table1[[#This Row],[Vin]]-Table1[[#This Row],[Iout]]*Rdson1)+IF(QrrSky_Q3&gt;0,QrrSky_Q3,Qrr_Q3)*Fsw*Vout)</f>
        <v>0.27803519999999998</v>
      </c>
      <c r="BB55" s="354">
        <f>CHOOSE(Table1[[#This Row],[Mode Digit]],0, IF(QrrSky_Q3&gt;0,QrrSky_Q3,Qrr_Q3)*Fsw*Vout,  IF(QrrSky_Q2&gt;0,QrrSky_Q2,Qrr_Q2)*Fsw*(Table1[[#This Row],[Vin]]-Table1[[#This Row],[Iout]]*Rdson1)+IF(QrrSky_Q3&gt;0,QrrSky_Q3,Qrr_Q3)*Fsw*Vout)</f>
        <v>0</v>
      </c>
      <c r="BC55" s="354">
        <f>CHOOSE(Table1[[#This Row],[Mode Digit]], Rs*Table1[[#This Row],[Irms BuSync]]^2, Rs*Table1[[#This Row],[Irms BoCtlr]]^2, Rs*(Table1[[#This Row],[Irms BuSync]]^2+Table1[[#This Row],[Irms BoCtlr]]^2))</f>
        <v>0.13252071755697739</v>
      </c>
      <c r="BD55" s="354">
        <f t="shared" si="1"/>
        <v>1.44</v>
      </c>
      <c r="BE55" s="354">
        <f>IF(Vout&gt;8, Iq*Vout, Iq*Table1[[#This Row],[Vin]])</f>
        <v>4.3799999999999999E-2</v>
      </c>
      <c r="BF55" s="354">
        <f>CHOOSE(Table1[[#This Row],[Mode Digit]], (Qg_Q1+Qg_Q2)*Fsw, (Qg_Q3+Qg_Q4)*Fsw, (Qg_Q1+Qg_Q2+Qg_Q3+Qg_Q4)*Fsw)*IF(Vout&gt;8, Vout, Table1[[#This Row],[Vin]])</f>
        <v>0.47303999999999996</v>
      </c>
      <c r="BG55" s="354">
        <f t="shared" si="2"/>
        <v>0.57269042016806726</v>
      </c>
      <c r="BH55" s="354">
        <f>Table1[[#This Row],[IQ Loss]]+Table1[[#This Row],[Switching Current Loss]]</f>
        <v>0.51683999999999997</v>
      </c>
      <c r="BI5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8.9292993268272944</v>
      </c>
      <c r="BJ55">
        <f>Vout*Table1[[#This Row],[Iout]]</f>
        <v>175.2</v>
      </c>
      <c r="BK55" s="550">
        <f>Table1[[#This Row],[Pout]]/(Table1[[#This Row],[Pout]]+Table1[[#This Row],[Total Loss]])</f>
        <v>0.95150527721838607</v>
      </c>
      <c r="BL5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208.27768484098914</v>
      </c>
      <c r="BM55" s="559">
        <f>IF(Table1[[#This Row],[Vin]]&gt;Vout, Table1[[#This Row],[Total Sync Bu MOSFET Loss]]*ThetaJA_Q2, ThetaJA_Q3*Table1[[#This Row],[Total Sync Bo MOSFET Loss]])</f>
        <v>50.709924654972014</v>
      </c>
      <c r="BN55" s="9"/>
      <c r="BO55" s="4">
        <f>Table1[[#This Row],[EFF, h]]*100</f>
        <v>95.150527721838614</v>
      </c>
      <c r="BP55" s="354">
        <f>Table1[[#This Row],[Total Inductor Loss]]</f>
        <v>1.4600096158642786</v>
      </c>
      <c r="BQ55" s="354">
        <f>Table1[[#This Row],[Total Control Bu MOSFET Loss]]+Table1[[#This Row],[Total Sync Bu MOSFET Loss]]+Table1[[#This Row],[Total Control Bo MOSFET Loss]]+Table1[[#This Row],[Total Sync Bo MOSFET Loss]]+Table1[[#This Row],[Reverse Recovery Loss MOSFET D BUCK]]+Table1[[#This Row],[Reverse Recovery Loss MOSFET D BOOST]]</f>
        <v>5.3077048884610569</v>
      </c>
      <c r="BR55" s="354">
        <f>Table1[[#This Row],[Total Control Bu MOSFET Loss]]+Table1[[#This Row],[Reverse Recovery Loss MOSFET D BUCK]]*0.66</f>
        <v>3.6547979793498189</v>
      </c>
      <c r="BS55" s="354">
        <f>Table1[[#This Row],[Total Sync Bu MOSFET Loss]]+Table1[[#This Row],[Reverse Recovery Loss MOSFET D BUCK]]*0.33</f>
        <v>0.93691702691620027</v>
      </c>
      <c r="BT55" s="354">
        <f xml:space="preserve"> Table1[[#This Row],[Total Control Bo MOSFET Loss]]+Table1[[#This Row],[Reverse Recovery Loss MOSFET D BOOST]]*0.66</f>
        <v>0</v>
      </c>
      <c r="BU55" s="354">
        <f xml:space="preserve"> Table1[[#This Row],[Total Sync Bo MOSFET Loss]]+Table1[[#This Row],[Reverse Recovery Loss MOSFET D BOOST]]*0.33</f>
        <v>0.71320953019503774</v>
      </c>
      <c r="BV55" s="354">
        <f>Table1[[#This Row],[Isense Shunt Loss]]</f>
        <v>0.13252071755697739</v>
      </c>
      <c r="CA55">
        <v>9.9943860000000004</v>
      </c>
      <c r="CB55">
        <v>14.954000000000001</v>
      </c>
      <c r="CC55">
        <v>5.1130310000000003</v>
      </c>
      <c r="CD55">
        <v>84.352650264578628</v>
      </c>
      <c r="CE55">
        <v>14183.318533699994</v>
      </c>
    </row>
    <row r="56" spans="1:83" ht="15.75" x14ac:dyDescent="0.3">
      <c r="A56" s="446" t="s">
        <v>643</v>
      </c>
      <c r="B56" s="5">
        <f>ThetaJA_Q2</f>
        <v>60</v>
      </c>
      <c r="C56" s="441" t="s">
        <v>237</v>
      </c>
      <c r="D56" s="74" t="s">
        <v>105</v>
      </c>
      <c r="E56" s="2"/>
      <c r="G56">
        <v>47</v>
      </c>
      <c r="H56" s="555">
        <f>VIN_min+(VIN_max-VIN_min)*(Table1[[#This Row],[Step]]/200)</f>
        <v>23.29</v>
      </c>
      <c r="I56" s="4" t="str">
        <f>IF(Mode = 2,IF(Table1[[#This Row],[Vin]]&gt;Vout, "BUCK","BOOST"),IF(Table1[[#This Row],[Vin]]&gt;VIN_BB_to_buck, "BUCK", IF(Table1[[#This Row],[Vin]]&lt;=VIN_boost_to_BB,"BOOST","BUCK-BST")))</f>
        <v>BUCK</v>
      </c>
      <c r="J56">
        <f>IF(Table1[[#This Row],[Mode]]="BOOST",2, IF(Table1[[#This Row],[Mode]]="BUCK", 1,3))</f>
        <v>1</v>
      </c>
      <c r="K56">
        <f t="shared" si="0"/>
        <v>12</v>
      </c>
      <c r="L56" s="4">
        <f>Vout*Table1[[#This Row],[Iout]]/(Table1[[#This Row],[Vin]]*Efficiency)</f>
        <v>7.9184651194323292</v>
      </c>
      <c r="M56" s="711">
        <f>MIN(1/Fsw,CHOOSE(Table1[[#This Row],[Mode Digit]],(Vout+(Rdson2+Rs+Rdcr)*Table1[[#This Row],[Iout]])/(Table1[[#This Row],[Vin]]+(Rs+Rdson2-Rdson1)*Table1[[#This Row],[Iout]])/Fsw,(Vout+(Rdson3+Rdcr)*Table1[[#This Row],[Iin]]-Table1[[#This Row],[Vin]])/(Vout+(Rdson3-Rdson4-Rs)*Table1[[#This Row],[Iin]])/Fsw,t1_Ph_II))</f>
        <v>1.054173813607776E-6</v>
      </c>
      <c r="N56" s="602">
        <f>CHOOSE(Table1[[#This Row],[Mode Digit]],1/Fsw-Table1[[#This Row],[t1_Ph_II]],1/Fsw-Table1[[#This Row],[t1_Ph_II]],(Vout/Fsw-Table1[[#This Row],[Vin]]*t1_Ph_II)/(Table1[[#This Row],[Vin]]+Vout))</f>
        <v>6.1249285305889068E-7</v>
      </c>
      <c r="O56" s="602">
        <f>1/Fsw-(Table1[[#This Row],[t1_Ph_II]]+Table1[[#This Row],[t2_Ph_I]])</f>
        <v>0</v>
      </c>
      <c r="P5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10.265005598437202</v>
      </c>
      <c r="Q56" s="4">
        <f>CHOOSE(Table1[[#This Row],[Mode Digit]],Table1[[#This Row],[I_0]]+1/Lf*(Table1[[#This Row],[Vin]]-Vout)*Table1[[#This Row],[t1_Ph_II]],Table1[[#This Row],[I_0]]+1/Lf*Table1[[#This Row],[Vin]]*Table1[[#This Row],[t1_Ph_II]],Table1[[#This Row],[I_0]]+(Table1[[#This Row],[Vin]]-Vout)/L*Table1[[#This Row],[t1_Ph_II]])</f>
        <v>13.734994401562798</v>
      </c>
      <c r="R56" s="4">
        <f>CHOOSE(Table1[[#This Row],[Mode Digit]],0,0,Table1[[#This Row],[I_1]]+Table1[[#This Row],[Vin]]/L*Table1[[#This Row],[t2_Ph_I]])</f>
        <v>0</v>
      </c>
      <c r="S56" s="4">
        <f>Fsw*(Table1[[#This Row],[I_0]]*Table1[[#This Row],[t1_Ph_II]]+Table1[[#This Row],[I_1]]*Table1[[#This Row],[t2_Ph_I]]+Table1[[#This Row],[I_2]]*Table1[[#This Row],[t3_Ph_III]])</f>
        <v>11.540211603702483</v>
      </c>
      <c r="T56" s="354">
        <f>MIN(1,CHOOSE(Table1[[#This Row],[Mode Digit]],(Vout+(Rdson2+Rs+Rdcr)*Table1[[#This Row],[Iout]])/(Table1[[#This Row],[Vin]]+(Rs+Rdson2-Rdson1)*Table1[[#This Row],[Iout]]),1,Fsw*Table1[[#This Row],[t2_Ph_I]]+Table1[[#This Row],[t1_Ph_II]]))</f>
        <v>0.63250428816466553</v>
      </c>
      <c r="U56" s="354">
        <f>MIN(1,CHOOSE(Table1[[#This Row],[Mode Digit]],0,(Vout+(Rdson3+Rdcr)*Table1[[#This Row],[Iin]]-Table1[[#This Row],[Vin]])/(Vout+(Rdson3-Rdson4-Rs)*Table1[[#This Row],[Iin]]),Fsw*Table1[[#This Row],[t1_Ph_II]]+Table1[[#This Row],[t3_Ph_III]]))</f>
        <v>0</v>
      </c>
      <c r="V56" s="4">
        <f>MAX(Table1[[#This Row],[I_0]:[I_2]])-MIN(Table1[[#This Row],[I_0]:[I_1]])</f>
        <v>3.4699888031255952</v>
      </c>
      <c r="W5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12.041735832421258</v>
      </c>
      <c r="X56" s="354">
        <f>(Table1[[#This Row],[Irms Lf]]^2*Rdcr*(1+Ltc*Ta-Ltc*25))/(1-Table1[[#This Row],[Irms Lf]]^2*Rdcr*Ltc*ThetaCa)</f>
        <v>0.90168663055735043</v>
      </c>
      <c r="Y56" s="354">
        <f>ABS(7.759*10^-3*Fsw^0.9458*(0.00787*Table1[[#This Row],[Ripple Current pk-pk]])^2.304)</f>
        <v>0.56496672394608782</v>
      </c>
      <c r="Z56" s="354">
        <f>Table1[[#This Row],[DCR    Loss]]+Table1[[#This Row],[Core Loss]]</f>
        <v>1.4666533545034381</v>
      </c>
      <c r="AA56" s="4">
        <f>IF(Table1[[#This Row],[Vin]]&gt;Vout, Table1[[#This Row],[Ripple Current pk-pk]]/SQRT(12), SQRT(Table1[[#This Row],[Duty Cycle BOOST Leg]]/(1-Table1[[#This Row],[Duty Cycle BOOST Leg]]))*SQRT(Table1[[#This Row],[Iout]]^2+(Table1[[#This Row],[Ripple Current pk-pk]]^2)/12))</f>
        <v>1.0016994847847749</v>
      </c>
      <c r="AB56" s="354">
        <f>RCoutEsr*Table1[[#This Row],[Irms Cout]]^2</f>
        <v>5.0170092890904176E-3</v>
      </c>
      <c r="AC56" s="354">
        <f>Table1[[#This Row],[Cout ESR Loss]]</f>
        <v>5.0170092890904176E-3</v>
      </c>
      <c r="AD56" s="354">
        <f>IF(Table1[[#This Row],[Vin]]&gt;Vout, SQRT(Table1[[#This Row],[Duty Cycle BUCK Leg]]*(1-Table1[[#This Row],[Duty Cycle BUCK Leg]]))*SQRT(Table1[[#This Row],[Iout]]^2+(Table1[[#This Row],[Ripple Current pk-pk]]^2)/12), Table1[[#This Row],[Ripple Current pk-pk]]/SQRT(12))</f>
        <v>5.8055981355351154</v>
      </c>
      <c r="AE56" s="354">
        <f>RCinEsr*Table1[[#This Row],[Irms Cin]]^2</f>
        <v>6.7409939422657619E-2</v>
      </c>
      <c r="AF56" s="549">
        <f>Table1[[#This Row],[Cin ESR Loss]]</f>
        <v>6.7409939422657619E-2</v>
      </c>
      <c r="AG5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9.5768091488519378</v>
      </c>
      <c r="AH56" s="354">
        <f>Rdson1*Table1[[#This Row],[Irms BuCtrl]]^2</f>
        <v>0.38520414858884361</v>
      </c>
      <c r="AI56" s="354">
        <f>CHOOSE(Table1[[#This Row],[Mode Digit]], (Table1[[#This Row],[Vin]]*Table1[[#This Row],[Iout]]/2)*(Fsw)*(Tr_buck+Tf_buck), 0, (Table1[[#This Row],[Vin]]*Table1[[#This Row],[Avg IL]]/2)*(Fsw/1)*(Tr_buck+Tf_buck))</f>
        <v>2.7714262331784205</v>
      </c>
      <c r="AJ56">
        <f>IF(Table1[[#This Row],[Vin]]&gt;Vout, IF(Table1[[#This Row],[Iout]]&gt;Table1[[#This Row],[Ripple Current pk-pk]]/2,0,ABS(Table1[[#This Row],[Iout]]-Table1[[#This Row],[Ripple Current pk-pk]]/2)*Vsd_Q1*Deadtime*Fsw),0)</f>
        <v>0</v>
      </c>
      <c r="AK56" s="354">
        <f>(Table1[[#This Row],[Dead Time Loss BuCtrl]]+Table1[[#This Row],[Transition Loss BuCtrl]]+Table1[[#This Row],[RDS(on) Loss BuCtrl]]*(1+RdsonTopTc*Ta-RdsonTopTc*25))/(1-Table1[[#This Row],[RDS(on) Loss BuCtrl]]*RdsonTopTc*ThetaJA_Q1)</f>
        <v>3.4781851010869258</v>
      </c>
      <c r="AL56" s="354">
        <f>CHOOSE(Table1[[#This Row],[Mode Digit]],SQRT((Fsw*(Table1[[#This Row],[t2_Ph_I]]+0))*((Table1[[#This Row],[I_0]]*Table1[[#This Row],[I_1]]+((Table1[[#This Row],[I_0]]-Table1[[#This Row],[I_1]])^2)/3))),0,SQRT((Fsw*(Table1[[#This Row],[t3_Ph_III]]+0))*((Table1[[#This Row],[I_0]]*Table1[[#This Row],[I_2]]+((Table1[[#This Row],[I_0]]-Table1[[#This Row],[I_2]])^2)/3))))</f>
        <v>7.2998718060171379</v>
      </c>
      <c r="AM56" s="354">
        <f>Rdson2*Table1[[#This Row],[Irms BuSync]]^2</f>
        <v>0.22381013921399245</v>
      </c>
      <c r="AN5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6" s="354">
        <f>(Table1[[#This Row],[Deadtime Loss BuSync]]+Table1[[#This Row],[RDS(on) Loss BuSync]]*(1+RdsonBotTc*Ta-RdsonBotTc*25))/(1-Table1[[#This Row],[RDS(on) Loss BuSync]]*RdsonBotTc*ThetaJA_Q2)</f>
        <v>0.84665939762103681</v>
      </c>
      <c r="AP56" s="354">
        <f>CHOOSE(Table1[[#This Row],[Mode Digit]],0,SQRT((Fsw*(Table1[[#This Row],[t1_Ph_II]]+0))*((Table1[[#This Row],[I_0]]*Table1[[#This Row],[I_1]]+((Table1[[#This Row],[I_0]]-Table1[[#This Row],[I_1]])^2)/3))),SQRT((Fsw*(Table1[[#This Row],[t2_Ph_I]]+0))*((Table1[[#This Row],[I_1]]*Table1[[#This Row],[I_2]]+((Table1[[#This Row],[I_1]]-Table1[[#This Row],[I_2]])^2)/3))))</f>
        <v>0</v>
      </c>
      <c r="AQ56" s="354">
        <f>Rdson4*Table1[[#This Row],[Irms BoCtlr]]^2</f>
        <v>0</v>
      </c>
      <c r="AR56" s="354">
        <f>CHOOSE(Table1[[#This Row],[Mode Digit]], 0, (Vout*Table1[[#This Row],[Iin]]/2)*(Fsw)*(Tr_boost+Tf_boost), (Vout*Iout/2)*(Fsw/1)*(Tr_boost+Tf_boost))</f>
        <v>0</v>
      </c>
      <c r="AS56">
        <f>IF(Table1[[#This Row],[Vin]]&gt;Vout, 0, IF(Table1[[#This Row],[Iin]]&gt;Table1[[#This Row],[Ripple Current pk-pk]]/2,0,ABS(Table1[[#This Row],[Iin]]-Table1[[#This Row],[Ripple Current pk-pk]]/2)*Vsd_Q4*Deadtime*Fsw))</f>
        <v>0</v>
      </c>
      <c r="AT56" s="354">
        <f>(Table1[[#This Row],[Dead Time Loss BoCtlr]]+Table1[[#This Row],[Transition Loss BoCtlr]]+Table1[[#This Row],[RDS(on) Loss BoCtlr]]*(1+RdsonTopTc*Ta-RdsonTopTc*25))/(1-Table1[[#This Row],[RDS(on) Loss BoCtlr]]*RdsonTopTc*ThetaJA_Q4)</f>
        <v>0</v>
      </c>
      <c r="AU5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12.041735832421258</v>
      </c>
      <c r="AV56" s="354">
        <f>Rdson3*Table1[[#This Row],[Irms BoSync]]^2</f>
        <v>0.60901428780283606</v>
      </c>
      <c r="AW5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6" s="354">
        <f>(Table1[[#This Row],[Deadtime Loss BoSync]]+Table1[[#This Row],[RDS(on) Loss BoSync]]*(1+RdsonBotTc*Ta-RdsonBotTc*25))/(1-Table1[[#This Row],[RDS(on) Loss BoSync]]*RdsonBotTc*ThetaJA_Q3)</f>
        <v>0.71326798188253859</v>
      </c>
      <c r="AY56" s="354">
        <f>CHOOSE(Table1[[#This Row],[Mode Digit]], Rdson3*Table1[[#This Row],[Irms Lf]]^2, Rdson1*Table1[[#This Row],[Irms Lf]]^2, 0)</f>
        <v>0.60901428780283606</v>
      </c>
      <c r="AZ56" s="354">
        <f>CHOOSE(Table1[[#This Row],[Mode Digit]], 2*Deadtime*Fsw*IF(VfdSky_Q2&gt;0,VfdSky_Q2,0)*Table1[[#This Row],[Iout]], 2*Deadtime*Fsw*IF(VfdSky_Q3&gt;0,VfdSky_Q3,0)*Table1[[#This Row],[Iin]], 2*Deadtime*Fsw*IF(VfdSky_Q2&gt;0,VfdSky_Q2,0)*Table1[[#This Row],[Iout]]+2*Deadtime*Fsw*IF(VfdSky_Q3&gt;0,VfdSky_Q3,0)*Table1[[#This Row],[Iin]])</f>
        <v>0</v>
      </c>
      <c r="BA56" s="354">
        <f>CHOOSE(Table1[[#This Row],[Mode Digit]], IF(QrrSky_Q2&gt;0,QrrSky_Q2,Qrr_Q2)*Fsw*(Table1[[#This Row],[Vin]]-Table1[[#This Row],[Iout]]*Rdson1),0,  IF(QrrSky_Q2&gt;0,QrrSky_Q2,Qrr_Q2)*Fsw*(Table1[[#This Row],[Vin]]-Table1[[#This Row],[Iout]]*Rdson1)+IF(QrrSky_Q3&gt;0,QrrSky_Q3,Qrr_Q3)*Fsw*Vout)</f>
        <v>0.27887519999999999</v>
      </c>
      <c r="BB56" s="354">
        <f>CHOOSE(Table1[[#This Row],[Mode Digit]],0, IF(QrrSky_Q3&gt;0,QrrSky_Q3,Qrr_Q3)*Fsw*Vout,  IF(QrrSky_Q2&gt;0,QrrSky_Q2,Qrr_Q2)*Fsw*(Table1[[#This Row],[Vin]]-Table1[[#This Row],[Iout]]*Rdson1)+IF(QrrSky_Q3&gt;0,QrrSky_Q3,Qrr_Q3)*Fsw*Vout)</f>
        <v>0</v>
      </c>
      <c r="BC56" s="354">
        <f>CHOOSE(Table1[[#This Row],[Mode Digit]], Rs*Table1[[#This Row],[Irms BuSync]]^2, Rs*Table1[[#This Row],[Irms BoCtlr]]^2, Rs*(Table1[[#This Row],[Irms BuSync]]^2+Table1[[#This Row],[Irms BoCtlr]]^2))</f>
        <v>0.13322032096070976</v>
      </c>
      <c r="BD56" s="354">
        <f t="shared" si="1"/>
        <v>1.44</v>
      </c>
      <c r="BE56" s="354">
        <f>IF(Vout&gt;8, Iq*Vout, Iq*Table1[[#This Row],[Vin]])</f>
        <v>4.3799999999999999E-2</v>
      </c>
      <c r="BF56" s="354">
        <f>CHOOSE(Table1[[#This Row],[Mode Digit]], (Qg_Q1+Qg_Q2)*Fsw, (Qg_Q3+Qg_Q4)*Fsw, (Qg_Q1+Qg_Q2+Qg_Q3+Qg_Q4)*Fsw)*IF(Vout&gt;8, Vout, Table1[[#This Row],[Vin]])</f>
        <v>0.47303999999999996</v>
      </c>
      <c r="BG56" s="354">
        <f t="shared" si="2"/>
        <v>0.57269042016806726</v>
      </c>
      <c r="BH56" s="354">
        <f>Table1[[#This Row],[IQ Loss]]+Table1[[#This Row],[Switching Current Loss]]</f>
        <v>0.51683999999999997</v>
      </c>
      <c r="BI5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8.9461283047663986</v>
      </c>
      <c r="BJ56">
        <f>Vout*Table1[[#This Row],[Iout]]</f>
        <v>175.2</v>
      </c>
      <c r="BK56" s="550">
        <f>Table1[[#This Row],[Pout]]/(Table1[[#This Row],[Pout]]+Table1[[#This Row],[Total Loss]])</f>
        <v>0.95141831985758429</v>
      </c>
      <c r="BL5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208.69110606521554</v>
      </c>
      <c r="BM56" s="559">
        <f>IF(Table1[[#This Row],[Vin]]&gt;Vout, Table1[[#This Row],[Total Sync Bu MOSFET Loss]]*ThetaJA_Q2, ThetaJA_Q3*Table1[[#This Row],[Total Sync Bo MOSFET Loss]])</f>
        <v>50.799563857262207</v>
      </c>
      <c r="BN56" s="9"/>
      <c r="BO56" s="4">
        <f>Table1[[#This Row],[EFF, h]]*100</f>
        <v>95.141831985758429</v>
      </c>
      <c r="BP56" s="354">
        <f>Table1[[#This Row],[Total Inductor Loss]]</f>
        <v>1.4666533545034381</v>
      </c>
      <c r="BQ56" s="354">
        <f>Table1[[#This Row],[Total Control Bu MOSFET Loss]]+Table1[[#This Row],[Total Sync Bu MOSFET Loss]]+Table1[[#This Row],[Total Control Bo MOSFET Loss]]+Table1[[#This Row],[Total Sync Bo MOSFET Loss]]+Table1[[#This Row],[Reverse Recovery Loss MOSFET D BUCK]]+Table1[[#This Row],[Reverse Recovery Loss MOSFET D BOOST]]</f>
        <v>5.3169876805905014</v>
      </c>
      <c r="BR56" s="354">
        <f>Table1[[#This Row],[Total Control Bu MOSFET Loss]]+Table1[[#This Row],[Reverse Recovery Loss MOSFET D BUCK]]*0.66</f>
        <v>3.6622427330869258</v>
      </c>
      <c r="BS56" s="354">
        <f>Table1[[#This Row],[Total Sync Bu MOSFET Loss]]+Table1[[#This Row],[Reverse Recovery Loss MOSFET D BUCK]]*0.33</f>
        <v>0.93868821362103683</v>
      </c>
      <c r="BT56" s="354">
        <f xml:space="preserve"> Table1[[#This Row],[Total Control Bo MOSFET Loss]]+Table1[[#This Row],[Reverse Recovery Loss MOSFET D BOOST]]*0.66</f>
        <v>0</v>
      </c>
      <c r="BU56" s="354">
        <f xml:space="preserve"> Table1[[#This Row],[Total Sync Bo MOSFET Loss]]+Table1[[#This Row],[Reverse Recovery Loss MOSFET D BOOST]]*0.33</f>
        <v>0.71326798188253859</v>
      </c>
      <c r="BV56" s="354">
        <f>Table1[[#This Row],[Isense Shunt Loss]]</f>
        <v>0.13322032096070976</v>
      </c>
      <c r="CB56" s="18"/>
      <c r="CC56" s="19"/>
    </row>
    <row r="57" spans="1:83" x14ac:dyDescent="0.2">
      <c r="A57" s="24" t="s">
        <v>275</v>
      </c>
      <c r="B57" s="15" t="s">
        <v>113</v>
      </c>
      <c r="C57" s="24" t="s">
        <v>80</v>
      </c>
      <c r="D57" s="24" t="s">
        <v>245</v>
      </c>
      <c r="G57">
        <v>48</v>
      </c>
      <c r="H57" s="555">
        <f>VIN_min+(VIN_max-VIN_min)*(Table1[[#This Row],[Step]]/200)</f>
        <v>23.36</v>
      </c>
      <c r="I57" s="4" t="str">
        <f>IF(Mode = 2,IF(Table1[[#This Row],[Vin]]&gt;Vout, "BUCK","BOOST"),IF(Table1[[#This Row],[Vin]]&gt;VIN_BB_to_buck, "BUCK", IF(Table1[[#This Row],[Vin]]&lt;=VIN_boost_to_BB,"BOOST","BUCK-BST")))</f>
        <v>BUCK</v>
      </c>
      <c r="J57">
        <f>IF(Table1[[#This Row],[Mode]]="BOOST",2, IF(Table1[[#This Row],[Mode]]="BUCK", 1,3))</f>
        <v>1</v>
      </c>
      <c r="K57">
        <f t="shared" si="0"/>
        <v>12</v>
      </c>
      <c r="L57" s="4">
        <f>Vout*Table1[[#This Row],[Iout]]/(Table1[[#This Row],[Vin]]*Efficiency)</f>
        <v>7.8947368421052628</v>
      </c>
      <c r="M57" s="711">
        <f>MIN(1/Fsw,CHOOSE(Table1[[#This Row],[Mode Digit]],(Vout+(Rdson2+Rs+Rdcr)*Table1[[#This Row],[Iout]])/(Table1[[#This Row],[Vin]]+(Rs+Rdson2-Rdson1)*Table1[[#This Row],[Iout]])/Fsw,(Vout+(Rdson3+Rdcr)*Table1[[#This Row],[Iin]]-Table1[[#This Row],[Vin]])/(Vout+(Rdson3-Rdson4-Rs)*Table1[[#This Row],[Iin]])/Fsw,t1_Ph_II))</f>
        <v>1.0510189539689326E-6</v>
      </c>
      <c r="N57" s="602">
        <f>CHOOSE(Table1[[#This Row],[Mode Digit]],1/Fsw-Table1[[#This Row],[t1_Ph_II]],1/Fsw-Table1[[#This Row],[t1_Ph_II]],(Vout/Fsw-Table1[[#This Row],[Vin]]*t1_Ph_II)/(Table1[[#This Row],[Vin]]+Vout))</f>
        <v>6.1564771269773402E-7</v>
      </c>
      <c r="O57" s="602">
        <f>1/Fsw-(Table1[[#This Row],[t1_Ph_II]]+Table1[[#This Row],[t2_Ph_I]])</f>
        <v>0</v>
      </c>
      <c r="P5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10.256264008187907</v>
      </c>
      <c r="Q57" s="4">
        <f>CHOOSE(Table1[[#This Row],[Mode Digit]],Table1[[#This Row],[I_0]]+1/Lf*(Table1[[#This Row],[Vin]]-Vout)*Table1[[#This Row],[t1_Ph_II]],Table1[[#This Row],[I_0]]+1/Lf*Table1[[#This Row],[Vin]]*Table1[[#This Row],[t1_Ph_II]],Table1[[#This Row],[I_0]]+(Table1[[#This Row],[Vin]]-Vout)/L*Table1[[#This Row],[t1_Ph_II]])</f>
        <v>13.743735991812093</v>
      </c>
      <c r="R57" s="4">
        <f>CHOOSE(Table1[[#This Row],[Mode Digit]],0,0,Table1[[#This Row],[I_1]]+Table1[[#This Row],[Vin]]/L*Table1[[#This Row],[t2_Ph_I]])</f>
        <v>0</v>
      </c>
      <c r="S57" s="4">
        <f>Fsw*(Table1[[#This Row],[I_0]]*Table1[[#This Row],[t1_Ph_II]]+Table1[[#This Row],[I_1]]*Table1[[#This Row],[t2_Ph_I]]+Table1[[#This Row],[I_2]]*Table1[[#This Row],[t3_Ph_III]])</f>
        <v>11.544496498077303</v>
      </c>
      <c r="T57" s="354">
        <f>MIN(1,CHOOSE(Table1[[#This Row],[Mode Digit]],(Vout+(Rdson2+Rs+Rdcr)*Table1[[#This Row],[Iout]])/(Table1[[#This Row],[Vin]]+(Rs+Rdson2-Rdson1)*Table1[[#This Row],[Iout]]),1,Fsw*Table1[[#This Row],[t2_Ph_I]]+Table1[[#This Row],[t1_Ph_II]]))</f>
        <v>0.63061137238135956</v>
      </c>
      <c r="U57" s="354">
        <f>MIN(1,CHOOSE(Table1[[#This Row],[Mode Digit]],0,(Vout+(Rdson3+Rdcr)*Table1[[#This Row],[Iin]]-Table1[[#This Row],[Vin]])/(Vout+(Rdson3-Rdson4-Rs)*Table1[[#This Row],[Iin]]),Fsw*Table1[[#This Row],[t1_Ph_II]]+Table1[[#This Row],[t3_Ph_III]]))</f>
        <v>0</v>
      </c>
      <c r="V57" s="4">
        <f>MAX(Table1[[#This Row],[I_0]:[I_2]])-MIN(Table1[[#This Row],[I_0]:[I_1]])</f>
        <v>3.4874719836241859</v>
      </c>
      <c r="W5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12.042156717259868</v>
      </c>
      <c r="X57" s="354">
        <f>(Table1[[#This Row],[Irms Lf]]^2*Rdcr*(1+Ltc*Ta-Ltc*25))/(1-Table1[[#This Row],[Irms Lf]]^2*Rdcr*Ltc*ThetaCa)</f>
        <v>0.90175421068961614</v>
      </c>
      <c r="Y57" s="354">
        <f>ABS(7.759*10^-3*Fsw^0.9458*(0.00787*Table1[[#This Row],[Ripple Current pk-pk]])^2.304)</f>
        <v>0.57154667663924841</v>
      </c>
      <c r="Z57" s="354">
        <f>Table1[[#This Row],[DCR    Loss]]+Table1[[#This Row],[Core Loss]]</f>
        <v>1.4733008873288647</v>
      </c>
      <c r="AA57" s="4">
        <f>IF(Table1[[#This Row],[Vin]]&gt;Vout, Table1[[#This Row],[Ripple Current pk-pk]]/SQRT(12), SQRT(Table1[[#This Row],[Duty Cycle BOOST Leg]]/(1-Table1[[#This Row],[Duty Cycle BOOST Leg]]))*SQRT(Table1[[#This Row],[Iout]]^2+(Table1[[#This Row],[Ripple Current pk-pk]]^2)/12))</f>
        <v>1.0067464442683509</v>
      </c>
      <c r="AB57" s="354">
        <f>RCoutEsr*Table1[[#This Row],[Irms Cout]]^2</f>
        <v>5.0676920152348389E-3</v>
      </c>
      <c r="AC57" s="354">
        <f>Table1[[#This Row],[Cout ESR Loss]]</f>
        <v>5.0676920152348389E-3</v>
      </c>
      <c r="AD57" s="354">
        <f>IF(Table1[[#This Row],[Vin]]&gt;Vout, SQRT(Table1[[#This Row],[Duty Cycle BUCK Leg]]*(1-Table1[[#This Row],[Duty Cycle BUCK Leg]]))*SQRT(Table1[[#This Row],[Iout]]^2+(Table1[[#This Row],[Ripple Current pk-pk]]^2)/12), Table1[[#This Row],[Ripple Current pk-pk]]/SQRT(12))</f>
        <v>5.8120177828654143</v>
      </c>
      <c r="AE57" s="354">
        <f>RCinEsr*Table1[[#This Row],[Irms Cin]]^2</f>
        <v>6.7559101416687611E-2</v>
      </c>
      <c r="AF57" s="549">
        <f>Table1[[#This Row],[Cin ESR Loss]]</f>
        <v>6.7559101416687611E-2</v>
      </c>
      <c r="AG5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9.5628022287519059</v>
      </c>
      <c r="AH57" s="354">
        <f>Rdson1*Table1[[#This Row],[Irms BuCtrl]]^2</f>
        <v>0.38407818315813419</v>
      </c>
      <c r="AI57" s="354">
        <f>CHOOSE(Table1[[#This Row],[Mode Digit]], (Table1[[#This Row],[Vin]]*Table1[[#This Row],[Iout]]/2)*(Fsw)*(Tr_buck+Tf_buck), 0, (Table1[[#This Row],[Vin]]*Table1[[#This Row],[Avg IL]]/2)*(Fsw/1)*(Tr_buck+Tf_buck))</f>
        <v>2.7797559814103865</v>
      </c>
      <c r="AJ57">
        <f>IF(Table1[[#This Row],[Vin]]&gt;Vout, IF(Table1[[#This Row],[Iout]]&gt;Table1[[#This Row],[Ripple Current pk-pk]]/2,0,ABS(Table1[[#This Row],[Iout]]-Table1[[#This Row],[Ripple Current pk-pk]]/2)*Vsd_Q1*Deadtime*Fsw),0)</f>
        <v>0</v>
      </c>
      <c r="AK57" s="354">
        <f>(Table1[[#This Row],[Dead Time Loss BuCtrl]]+Table1[[#This Row],[Transition Loss BuCtrl]]+Table1[[#This Row],[RDS(on) Loss BuCtrl]]*(1+RdsonTopTc*Ta-RdsonTopTc*25))/(1-Table1[[#This Row],[RDS(on) Loss BuCtrl]]*RdsonTopTc*ThetaJA_Q1)</f>
        <v>3.4850849913605462</v>
      </c>
      <c r="AL57" s="354">
        <f>CHOOSE(Table1[[#This Row],[Mode Digit]],SQRT((Fsw*(Table1[[#This Row],[t2_Ph_I]]+0))*((Table1[[#This Row],[I_0]]*Table1[[#This Row],[I_1]]+((Table1[[#This Row],[I_0]]-Table1[[#This Row],[I_1]])^2)/3))),0,SQRT((Fsw*(Table1[[#This Row],[t3_Ph_III]]+0))*((Table1[[#This Row],[I_0]]*Table1[[#This Row],[I_2]]+((Table1[[#This Row],[I_0]]-Table1[[#This Row],[I_2]])^2)/3))))</f>
        <v>7.3189037387319509</v>
      </c>
      <c r="AM57" s="354">
        <f>Rdson2*Table1[[#This Row],[Irms BuSync]]^2</f>
        <v>0.22497867813466307</v>
      </c>
      <c r="AN5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7" s="354">
        <f>(Table1[[#This Row],[Deadtime Loss BuSync]]+Table1[[#This Row],[RDS(on) Loss BuSync]]*(1+RdsonBotTc*Ta-RdsonBotTc*25))/(1-Table1[[#This Row],[RDS(on) Loss BuSync]]*RdsonBotTc*ThetaJA_Q2)</f>
        <v>0.8481456305865015</v>
      </c>
      <c r="AP57" s="354">
        <f>CHOOSE(Table1[[#This Row],[Mode Digit]],0,SQRT((Fsw*(Table1[[#This Row],[t1_Ph_II]]+0))*((Table1[[#This Row],[I_0]]*Table1[[#This Row],[I_1]]+((Table1[[#This Row],[I_0]]-Table1[[#This Row],[I_1]])^2)/3))),SQRT((Fsw*(Table1[[#This Row],[t2_Ph_I]]+0))*((Table1[[#This Row],[I_1]]*Table1[[#This Row],[I_2]]+((Table1[[#This Row],[I_1]]-Table1[[#This Row],[I_2]])^2)/3))))</f>
        <v>0</v>
      </c>
      <c r="AQ57" s="354">
        <f>Rdson4*Table1[[#This Row],[Irms BoCtlr]]^2</f>
        <v>0</v>
      </c>
      <c r="AR57" s="354">
        <f>CHOOSE(Table1[[#This Row],[Mode Digit]], 0, (Vout*Table1[[#This Row],[Iin]]/2)*(Fsw)*(Tr_boost+Tf_boost), (Vout*Iout/2)*(Fsw/1)*(Tr_boost+Tf_boost))</f>
        <v>0</v>
      </c>
      <c r="AS57">
        <f>IF(Table1[[#This Row],[Vin]]&gt;Vout, 0, IF(Table1[[#This Row],[Iin]]&gt;Table1[[#This Row],[Ripple Current pk-pk]]/2,0,ABS(Table1[[#This Row],[Iin]]-Table1[[#This Row],[Ripple Current pk-pk]]/2)*Vsd_Q4*Deadtime*Fsw))</f>
        <v>0</v>
      </c>
      <c r="AT57" s="354">
        <f>(Table1[[#This Row],[Dead Time Loss BoCtlr]]+Table1[[#This Row],[Transition Loss BoCtlr]]+Table1[[#This Row],[RDS(on) Loss BoCtlr]]*(1+RdsonTopTc*Ta-RdsonTopTc*25))/(1-Table1[[#This Row],[RDS(on) Loss BoCtlr]]*RdsonTopTc*ThetaJA_Q4)</f>
        <v>0</v>
      </c>
      <c r="AU5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12.042156717259868</v>
      </c>
      <c r="AV57" s="354">
        <f>Rdson3*Table1[[#This Row],[Irms BoSync]]^2</f>
        <v>0.60905686129279735</v>
      </c>
      <c r="AW5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7" s="354">
        <f>(Table1[[#This Row],[Deadtime Loss BoSync]]+Table1[[#This Row],[RDS(on) Loss BoSync]]*(1+RdsonBotTc*Ta-RdsonBotTc*25))/(1-Table1[[#This Row],[RDS(on) Loss BoSync]]*RdsonBotTc*ThetaJA_Q3)</f>
        <v>0.71332637947534305</v>
      </c>
      <c r="AY57" s="354">
        <f>CHOOSE(Table1[[#This Row],[Mode Digit]], Rdson3*Table1[[#This Row],[Irms Lf]]^2, Rdson1*Table1[[#This Row],[Irms Lf]]^2, 0)</f>
        <v>0.60905686129279735</v>
      </c>
      <c r="AZ57" s="354">
        <f>CHOOSE(Table1[[#This Row],[Mode Digit]], 2*Deadtime*Fsw*IF(VfdSky_Q2&gt;0,VfdSky_Q2,0)*Table1[[#This Row],[Iout]], 2*Deadtime*Fsw*IF(VfdSky_Q3&gt;0,VfdSky_Q3,0)*Table1[[#This Row],[Iin]], 2*Deadtime*Fsw*IF(VfdSky_Q2&gt;0,VfdSky_Q2,0)*Table1[[#This Row],[Iout]]+2*Deadtime*Fsw*IF(VfdSky_Q3&gt;0,VfdSky_Q3,0)*Table1[[#This Row],[Iin]])</f>
        <v>0</v>
      </c>
      <c r="BA57" s="354">
        <f>CHOOSE(Table1[[#This Row],[Mode Digit]], IF(QrrSky_Q2&gt;0,QrrSky_Q2,Qrr_Q2)*Fsw*(Table1[[#This Row],[Vin]]-Table1[[#This Row],[Iout]]*Rdson1),0,  IF(QrrSky_Q2&gt;0,QrrSky_Q2,Qrr_Q2)*Fsw*(Table1[[#This Row],[Vin]]-Table1[[#This Row],[Iout]]*Rdson1)+IF(QrrSky_Q3&gt;0,QrrSky_Q3,Qrr_Q3)*Fsw*Vout)</f>
        <v>0.2797152</v>
      </c>
      <c r="BB57" s="354">
        <f>CHOOSE(Table1[[#This Row],[Mode Digit]],0, IF(QrrSky_Q3&gt;0,QrrSky_Q3,Qrr_Q3)*Fsw*Vout,  IF(QrrSky_Q2&gt;0,QrrSky_Q2,Qrr_Q2)*Fsw*(Table1[[#This Row],[Vin]]-Table1[[#This Row],[Iout]]*Rdson1)+IF(QrrSky_Q3&gt;0,QrrSky_Q3,Qrr_Q3)*Fsw*Vout)</f>
        <v>0</v>
      </c>
      <c r="BC57" s="354">
        <f>CHOOSE(Table1[[#This Row],[Mode Digit]], Rs*Table1[[#This Row],[Irms BuSync]]^2, Rs*Table1[[#This Row],[Irms BoCtlr]]^2, Rs*(Table1[[#This Row],[Irms BuSync]]^2+Table1[[#This Row],[Irms BoCtlr]]^2))</f>
        <v>0.13391587984206133</v>
      </c>
      <c r="BD57" s="354">
        <f t="shared" si="1"/>
        <v>1.44</v>
      </c>
      <c r="BE57" s="354">
        <f>IF(Vout&gt;8, Iq*Vout, Iq*Table1[[#This Row],[Vin]])</f>
        <v>4.3799999999999999E-2</v>
      </c>
      <c r="BF57" s="354">
        <f>CHOOSE(Table1[[#This Row],[Mode Digit]], (Qg_Q1+Qg_Q2)*Fsw, (Qg_Q3+Qg_Q4)*Fsw, (Qg_Q1+Qg_Q2+Qg_Q3+Qg_Q4)*Fsw)*IF(Vout&gt;8, Vout, Table1[[#This Row],[Vin]])</f>
        <v>0.47303999999999996</v>
      </c>
      <c r="BG57" s="354">
        <f t="shared" si="2"/>
        <v>0.57269042016806726</v>
      </c>
      <c r="BH57" s="354">
        <f>Table1[[#This Row],[IQ Loss]]+Table1[[#This Row],[Switching Current Loss]]</f>
        <v>0.51683999999999997</v>
      </c>
      <c r="BI5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8.9629557620252402</v>
      </c>
      <c r="BJ57">
        <f>Vout*Table1[[#This Row],[Iout]]</f>
        <v>175.2</v>
      </c>
      <c r="BK57" s="550">
        <f>Table1[[#This Row],[Pout]]/(Table1[[#This Row],[Pout]]+Table1[[#This Row],[Total Loss]])</f>
        <v>0.95133138624465197</v>
      </c>
      <c r="BL5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209.10509948163278</v>
      </c>
      <c r="BM57" s="559">
        <f>IF(Table1[[#This Row],[Vin]]&gt;Vout, Table1[[#This Row],[Total Sync Bu MOSFET Loss]]*ThetaJA_Q2, ThetaJA_Q3*Table1[[#This Row],[Total Sync Bo MOSFET Loss]])</f>
        <v>50.888737835190092</v>
      </c>
      <c r="BN57" s="9"/>
      <c r="BO57" s="4">
        <f>Table1[[#This Row],[EFF, h]]*100</f>
        <v>95.133138624465204</v>
      </c>
      <c r="BP57" s="354">
        <f>Table1[[#This Row],[Total Inductor Loss]]</f>
        <v>1.4733008873288647</v>
      </c>
      <c r="BQ57" s="354">
        <f>Table1[[#This Row],[Total Control Bu MOSFET Loss]]+Table1[[#This Row],[Total Sync Bu MOSFET Loss]]+Table1[[#This Row],[Total Control Bo MOSFET Loss]]+Table1[[#This Row],[Total Sync Bo MOSFET Loss]]+Table1[[#This Row],[Reverse Recovery Loss MOSFET D BUCK]]+Table1[[#This Row],[Reverse Recovery Loss MOSFET D BOOST]]</f>
        <v>5.3262722014223911</v>
      </c>
      <c r="BR57" s="354">
        <f>Table1[[#This Row],[Total Control Bu MOSFET Loss]]+Table1[[#This Row],[Reverse Recovery Loss MOSFET D BUCK]]*0.66</f>
        <v>3.6696970233605462</v>
      </c>
      <c r="BS57" s="354">
        <f>Table1[[#This Row],[Total Sync Bu MOSFET Loss]]+Table1[[#This Row],[Reverse Recovery Loss MOSFET D BUCK]]*0.33</f>
        <v>0.94045164658650149</v>
      </c>
      <c r="BT57" s="354">
        <f xml:space="preserve"> Table1[[#This Row],[Total Control Bo MOSFET Loss]]+Table1[[#This Row],[Reverse Recovery Loss MOSFET D BOOST]]*0.66</f>
        <v>0</v>
      </c>
      <c r="BU57" s="354">
        <f xml:space="preserve"> Table1[[#This Row],[Total Sync Bo MOSFET Loss]]+Table1[[#This Row],[Reverse Recovery Loss MOSFET D BOOST]]*0.33</f>
        <v>0.71332637947534305</v>
      </c>
      <c r="BV57" s="354">
        <f>Table1[[#This Row],[Isense Shunt Loss]]</f>
        <v>0.13391587984206133</v>
      </c>
      <c r="CB57" s="18"/>
      <c r="CC57" s="19"/>
    </row>
    <row r="58" spans="1:83" x14ac:dyDescent="0.2">
      <c r="A58" s="23" t="s">
        <v>228</v>
      </c>
      <c r="B58" s="71">
        <f>VfdSky_Q2</f>
        <v>0</v>
      </c>
      <c r="C58" s="440" t="s">
        <v>0</v>
      </c>
      <c r="D58" s="74" t="s">
        <v>231</v>
      </c>
      <c r="G58">
        <v>49</v>
      </c>
      <c r="H58" s="555">
        <f>VIN_min+(VIN_max-VIN_min)*(Table1[[#This Row],[Step]]/200)</f>
        <v>23.43</v>
      </c>
      <c r="I58" s="4" t="str">
        <f>IF(Mode = 2,IF(Table1[[#This Row],[Vin]]&gt;Vout, "BUCK","BOOST"),IF(Table1[[#This Row],[Vin]]&gt;VIN_BB_to_buck, "BUCK", IF(Table1[[#This Row],[Vin]]&lt;=VIN_boost_to_BB,"BOOST","BUCK-BST")))</f>
        <v>BUCK</v>
      </c>
      <c r="J58">
        <f>IF(Table1[[#This Row],[Mode]]="BOOST",2, IF(Table1[[#This Row],[Mode]]="BUCK", 1,3))</f>
        <v>1</v>
      </c>
      <c r="K58">
        <f t="shared" si="0"/>
        <v>12</v>
      </c>
      <c r="L58" s="4">
        <f>Vout*Table1[[#This Row],[Iout]]/(Table1[[#This Row],[Vin]]*Efficiency)</f>
        <v>7.8711503470584274</v>
      </c>
      <c r="M58" s="711">
        <f>MIN(1/Fsw,CHOOSE(Table1[[#This Row],[Mode Digit]],(Vout+(Rdson2+Rs+Rdcr)*Table1[[#This Row],[Iout]])/(Table1[[#This Row],[Vin]]+(Rs+Rdson2-Rdson1)*Table1[[#This Row],[Iout]])/Fsw,(Vout+(Rdson3+Rdcr)*Table1[[#This Row],[Iin]]-Table1[[#This Row],[Vin]])/(Vout+(Rdson3-Rdson4-Rs)*Table1[[#This Row],[Iin]])/Fsw,t1_Ph_II))</f>
        <v>1.0478829212844558E-6</v>
      </c>
      <c r="N58" s="602">
        <f>CHOOSE(Table1[[#This Row],[Mode Digit]],1/Fsw-Table1[[#This Row],[t1_Ph_II]],1/Fsw-Table1[[#This Row],[t1_Ph_II]],(Vout/Fsw-Table1[[#This Row],[Vin]]*t1_Ph_II)/(Table1[[#This Row],[Vin]]+Vout))</f>
        <v>6.1878374538221082E-7</v>
      </c>
      <c r="O58" s="602">
        <f>1/Fsw-(Table1[[#This Row],[t1_Ph_II]]+Table1[[#This Row],[t2_Ph_I]])</f>
        <v>0</v>
      </c>
      <c r="P5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10.247574584291335</v>
      </c>
      <c r="Q58" s="4">
        <f>CHOOSE(Table1[[#This Row],[Mode Digit]],Table1[[#This Row],[I_0]]+1/Lf*(Table1[[#This Row],[Vin]]-Vout)*Table1[[#This Row],[t1_Ph_II]],Table1[[#This Row],[I_0]]+1/Lf*Table1[[#This Row],[Vin]]*Table1[[#This Row],[t1_Ph_II]],Table1[[#This Row],[I_0]]+(Table1[[#This Row],[Vin]]-Vout)/L*Table1[[#This Row],[t1_Ph_II]])</f>
        <v>13.752425415708663</v>
      </c>
      <c r="R58" s="4">
        <f>CHOOSE(Table1[[#This Row],[Mode Digit]],0,0,Table1[[#This Row],[I_1]]+Table1[[#This Row],[Vin]]/L*Table1[[#This Row],[t2_Ph_I]])</f>
        <v>0</v>
      </c>
      <c r="S58" s="4">
        <f>Fsw*(Table1[[#This Row],[I_0]]*Table1[[#This Row],[t1_Ph_II]]+Table1[[#This Row],[I_1]]*Table1[[#This Row],[t2_Ph_I]]+Table1[[#This Row],[I_2]]*Table1[[#This Row],[t3_Ph_III]])</f>
        <v>11.548821418973557</v>
      </c>
      <c r="T58" s="354">
        <f>MIN(1,CHOOSE(Table1[[#This Row],[Mode Digit]],(Vout+(Rdson2+Rs+Rdcr)*Table1[[#This Row],[Iout]])/(Table1[[#This Row],[Vin]]+(Rs+Rdson2-Rdson1)*Table1[[#This Row],[Iout]]),1,Fsw*Table1[[#This Row],[t2_Ph_I]]+Table1[[#This Row],[t1_Ph_II]]))</f>
        <v>0.62872975277067344</v>
      </c>
      <c r="U58" s="354">
        <f>MIN(1,CHOOSE(Table1[[#This Row],[Mode Digit]],0,(Vout+(Rdson3+Rdcr)*Table1[[#This Row],[Iin]]-Table1[[#This Row],[Vin]])/(Vout+(Rdson3-Rdson4-Rs)*Table1[[#This Row],[Iin]]),Fsw*Table1[[#This Row],[t1_Ph_II]]+Table1[[#This Row],[t3_Ph_III]]))</f>
        <v>0</v>
      </c>
      <c r="V58" s="4">
        <f>MAX(Table1[[#This Row],[I_0]:[I_2]])-MIN(Table1[[#This Row],[I_0]:[I_1]])</f>
        <v>3.5048508314173272</v>
      </c>
      <c r="W5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12.042577172095427</v>
      </c>
      <c r="X58" s="354">
        <f>(Table1[[#This Row],[Irms Lf]]^2*Rdcr*(1+Ltc*Ta-Ltc*25))/(1-Table1[[#This Row],[Irms Lf]]^2*Rdcr*Ltc*ThetaCa)</f>
        <v>0.90182172481664202</v>
      </c>
      <c r="Y58" s="354">
        <f>ABS(7.759*10^-3*Fsw^0.9458*(0.00787*Table1[[#This Row],[Ripple Current pk-pk]])^2.304)</f>
        <v>0.5781301321070822</v>
      </c>
      <c r="Z58" s="354">
        <f>Table1[[#This Row],[DCR    Loss]]+Table1[[#This Row],[Core Loss]]</f>
        <v>1.4799518569237242</v>
      </c>
      <c r="AA58" s="4">
        <f>IF(Table1[[#This Row],[Vin]]&gt;Vout, Table1[[#This Row],[Ripple Current pk-pk]]/SQRT(12), SQRT(Table1[[#This Row],[Duty Cycle BOOST Leg]]/(1-Table1[[#This Row],[Duty Cycle BOOST Leg]]))*SQRT(Table1[[#This Row],[Iout]]^2+(Table1[[#This Row],[Ripple Current pk-pk]]^2)/12))</f>
        <v>1.0117632854941387</v>
      </c>
      <c r="AB58" s="354">
        <f>RCoutEsr*Table1[[#This Row],[Irms Cout]]^2</f>
        <v>5.1183247293694698E-3</v>
      </c>
      <c r="AC58" s="354">
        <f>Table1[[#This Row],[Cout ESR Loss]]</f>
        <v>5.1183247293694698E-3</v>
      </c>
      <c r="AD58" s="354">
        <f>IF(Table1[[#This Row],[Vin]]&gt;Vout, SQRT(Table1[[#This Row],[Duty Cycle BUCK Leg]]*(1-Table1[[#This Row],[Duty Cycle BUCK Leg]]))*SQRT(Table1[[#This Row],[Iout]]^2+(Table1[[#This Row],[Ripple Current pk-pk]]^2)/12), Table1[[#This Row],[Ripple Current pk-pk]]/SQRT(12))</f>
        <v>5.8183054608165463</v>
      </c>
      <c r="AE58" s="354">
        <f>RCinEsr*Table1[[#This Row],[Irms Cin]]^2</f>
        <v>6.7705356870735284E-2</v>
      </c>
      <c r="AF58" s="549">
        <f>Table1[[#This Row],[Cin ESR Loss]]</f>
        <v>6.7705356870735284E-2</v>
      </c>
      <c r="AG5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9.5488582043779608</v>
      </c>
      <c r="AH58" s="354">
        <f>Rdson1*Table1[[#This Row],[Irms BuCtrl]]^2</f>
        <v>0.38295891063072851</v>
      </c>
      <c r="AI58" s="354">
        <f>CHOOSE(Table1[[#This Row],[Mode Digit]], (Table1[[#This Row],[Vin]]*Table1[[#This Row],[Iout]]/2)*(Fsw)*(Tr_buck+Tf_buck), 0, (Table1[[#This Row],[Vin]]*Table1[[#This Row],[Avg IL]]/2)*(Fsw/1)*(Tr_buck+Tf_buck))</f>
        <v>2.788085729642352</v>
      </c>
      <c r="AJ58">
        <f>IF(Table1[[#This Row],[Vin]]&gt;Vout, IF(Table1[[#This Row],[Iout]]&gt;Table1[[#This Row],[Ripple Current pk-pk]]/2,0,ABS(Table1[[#This Row],[Iout]]-Table1[[#This Row],[Ripple Current pk-pk]]/2)*Vsd_Q1*Deadtime*Fsw),0)</f>
        <v>0</v>
      </c>
      <c r="AK58" s="354">
        <f>(Table1[[#This Row],[Dead Time Loss BuCtrl]]+Table1[[#This Row],[Transition Loss BuCtrl]]+Table1[[#This Row],[RDS(on) Loss BuCtrl]]*(1+RdsonTopTc*Ta-RdsonTopTc*25))/(1-Table1[[#This Row],[RDS(on) Loss BuCtrl]]*RdsonTopTc*ThetaJA_Q1)</f>
        <v>3.4919943222518639</v>
      </c>
      <c r="AL58" s="354">
        <f>CHOOSE(Table1[[#This Row],[Mode Digit]],SQRT((Fsw*(Table1[[#This Row],[t2_Ph_I]]+0))*((Table1[[#This Row],[I_0]]*Table1[[#This Row],[I_1]]+((Table1[[#This Row],[I_0]]-Table1[[#This Row],[I_1]])^2)/3))),0,SQRT((Fsw*(Table1[[#This Row],[t3_Ph_III]]+0))*((Table1[[#This Row],[I_0]]*Table1[[#This Row],[I_2]]+((Table1[[#This Row],[I_0]]-Table1[[#This Row],[I_2]])^2)/3))))</f>
        <v>7.3377770433938379</v>
      </c>
      <c r="AM58" s="354">
        <f>Rdson2*Table1[[#This Row],[Irms BuSync]]^2</f>
        <v>0.22614048214194199</v>
      </c>
      <c r="AN5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8" s="354">
        <f>(Table1[[#This Row],[Deadtime Loss BuSync]]+Table1[[#This Row],[RDS(on) Loss BuSync]]*(1+RdsonBotTc*Ta-RdsonBotTc*25))/(1-Table1[[#This Row],[RDS(on) Loss BuSync]]*RdsonBotTc*ThetaJA_Q2)</f>
        <v>0.84962417145893154</v>
      </c>
      <c r="AP58" s="354">
        <f>CHOOSE(Table1[[#This Row],[Mode Digit]],0,SQRT((Fsw*(Table1[[#This Row],[t1_Ph_II]]+0))*((Table1[[#This Row],[I_0]]*Table1[[#This Row],[I_1]]+((Table1[[#This Row],[I_0]]-Table1[[#This Row],[I_1]])^2)/3))),SQRT((Fsw*(Table1[[#This Row],[t2_Ph_I]]+0))*((Table1[[#This Row],[I_1]]*Table1[[#This Row],[I_2]]+((Table1[[#This Row],[I_1]]-Table1[[#This Row],[I_2]])^2)/3))))</f>
        <v>0</v>
      </c>
      <c r="AQ58" s="354">
        <f>Rdson4*Table1[[#This Row],[Irms BoCtlr]]^2</f>
        <v>0</v>
      </c>
      <c r="AR58" s="354">
        <f>CHOOSE(Table1[[#This Row],[Mode Digit]], 0, (Vout*Table1[[#This Row],[Iin]]/2)*(Fsw)*(Tr_boost+Tf_boost), (Vout*Iout/2)*(Fsw/1)*(Tr_boost+Tf_boost))</f>
        <v>0</v>
      </c>
      <c r="AS58">
        <f>IF(Table1[[#This Row],[Vin]]&gt;Vout, 0, IF(Table1[[#This Row],[Iin]]&gt;Table1[[#This Row],[Ripple Current pk-pk]]/2,0,ABS(Table1[[#This Row],[Iin]]-Table1[[#This Row],[Ripple Current pk-pk]]/2)*Vsd_Q4*Deadtime*Fsw))</f>
        <v>0</v>
      </c>
      <c r="AT58" s="354">
        <f>(Table1[[#This Row],[Dead Time Loss BoCtlr]]+Table1[[#This Row],[Transition Loss BoCtlr]]+Table1[[#This Row],[RDS(on) Loss BoCtlr]]*(1+RdsonTopTc*Ta-RdsonTopTc*25))/(1-Table1[[#This Row],[RDS(on) Loss BoCtlr]]*RdsonTopTc*ThetaJA_Q4)</f>
        <v>0</v>
      </c>
      <c r="AU5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12.042577172095427</v>
      </c>
      <c r="AV58" s="354">
        <f>Rdson3*Table1[[#This Row],[Irms BoSync]]^2</f>
        <v>0.60909939277267044</v>
      </c>
      <c r="AW5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8" s="354">
        <f>(Table1[[#This Row],[Deadtime Loss BoSync]]+Table1[[#This Row],[RDS(on) Loss BoSync]]*(1+RdsonBotTc*Ta-RdsonBotTc*25))/(1-Table1[[#This Row],[RDS(on) Loss BoSync]]*RdsonBotTc*ThetaJA_Q3)</f>
        <v>0.71338472083898952</v>
      </c>
      <c r="AY58" s="354">
        <f>CHOOSE(Table1[[#This Row],[Mode Digit]], Rdson3*Table1[[#This Row],[Irms Lf]]^2, Rdson1*Table1[[#This Row],[Irms Lf]]^2, 0)</f>
        <v>0.60909939277267044</v>
      </c>
      <c r="AZ58" s="354">
        <f>CHOOSE(Table1[[#This Row],[Mode Digit]], 2*Deadtime*Fsw*IF(VfdSky_Q2&gt;0,VfdSky_Q2,0)*Table1[[#This Row],[Iout]], 2*Deadtime*Fsw*IF(VfdSky_Q3&gt;0,VfdSky_Q3,0)*Table1[[#This Row],[Iin]], 2*Deadtime*Fsw*IF(VfdSky_Q2&gt;0,VfdSky_Q2,0)*Table1[[#This Row],[Iout]]+2*Deadtime*Fsw*IF(VfdSky_Q3&gt;0,VfdSky_Q3,0)*Table1[[#This Row],[Iin]])</f>
        <v>0</v>
      </c>
      <c r="BA58" s="354">
        <f>CHOOSE(Table1[[#This Row],[Mode Digit]], IF(QrrSky_Q2&gt;0,QrrSky_Q2,Qrr_Q2)*Fsw*(Table1[[#This Row],[Vin]]-Table1[[#This Row],[Iout]]*Rdson1),0,  IF(QrrSky_Q2&gt;0,QrrSky_Q2,Qrr_Q2)*Fsw*(Table1[[#This Row],[Vin]]-Table1[[#This Row],[Iout]]*Rdson1)+IF(QrrSky_Q3&gt;0,QrrSky_Q3,Qrr_Q3)*Fsw*Vout)</f>
        <v>0.2805552</v>
      </c>
      <c r="BB58" s="354">
        <f>CHOOSE(Table1[[#This Row],[Mode Digit]],0, IF(QrrSky_Q3&gt;0,QrrSky_Q3,Qrr_Q3)*Fsw*Vout,  IF(QrrSky_Q2&gt;0,QrrSky_Q2,Qrr_Q2)*Fsw*(Table1[[#This Row],[Vin]]-Table1[[#This Row],[Iout]]*Rdson1)+IF(QrrSky_Q3&gt;0,QrrSky_Q3,Qrr_Q3)*Fsw*Vout)</f>
        <v>0</v>
      </c>
      <c r="BC58" s="354">
        <f>CHOOSE(Table1[[#This Row],[Mode Digit]], Rs*Table1[[#This Row],[Irms BuSync]]^2, Rs*Table1[[#This Row],[Irms BoCtlr]]^2, Rs*(Table1[[#This Row],[Irms BuSync]]^2+Table1[[#This Row],[Irms BoCtlr]]^2))</f>
        <v>0.13460742984639404</v>
      </c>
      <c r="BD58" s="354">
        <f t="shared" si="1"/>
        <v>1.44</v>
      </c>
      <c r="BE58" s="354">
        <f>IF(Vout&gt;8, Iq*Vout, Iq*Table1[[#This Row],[Vin]])</f>
        <v>4.3799999999999999E-2</v>
      </c>
      <c r="BF58" s="354">
        <f>CHOOSE(Table1[[#This Row],[Mode Digit]], (Qg_Q1+Qg_Q2)*Fsw, (Qg_Q3+Qg_Q4)*Fsw, (Qg_Q1+Qg_Q2+Qg_Q3+Qg_Q4)*Fsw)*IF(Vout&gt;8, Vout, Table1[[#This Row],[Vin]])</f>
        <v>0.47303999999999996</v>
      </c>
      <c r="BG58" s="354">
        <f t="shared" si="2"/>
        <v>0.57269042016806726</v>
      </c>
      <c r="BH58" s="354">
        <f>Table1[[#This Row],[IQ Loss]]+Table1[[#This Row],[Switching Current Loss]]</f>
        <v>0.51683999999999997</v>
      </c>
      <c r="BI5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8.9797813829200095</v>
      </c>
      <c r="BJ58">
        <f>Vout*Table1[[#This Row],[Iout]]</f>
        <v>175.2</v>
      </c>
      <c r="BK58" s="550">
        <f>Table1[[#This Row],[Pout]]/(Table1[[#This Row],[Pout]]+Table1[[#This Row],[Total Loss]])</f>
        <v>0.95124447800135814</v>
      </c>
      <c r="BL5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209.51965933511184</v>
      </c>
      <c r="BM58" s="559">
        <f>IF(Table1[[#This Row],[Vin]]&gt;Vout, Table1[[#This Row],[Total Sync Bu MOSFET Loss]]*ThetaJA_Q2, ThetaJA_Q3*Table1[[#This Row],[Total Sync Bo MOSFET Loss]])</f>
        <v>50.977450287535895</v>
      </c>
      <c r="BN58" s="9"/>
      <c r="BO58" s="4">
        <f>Table1[[#This Row],[EFF, h]]*100</f>
        <v>95.124447800135812</v>
      </c>
      <c r="BP58" s="354">
        <f>Table1[[#This Row],[Total Inductor Loss]]</f>
        <v>1.4799518569237242</v>
      </c>
      <c r="BQ58" s="354">
        <f>Table1[[#This Row],[Total Control Bu MOSFET Loss]]+Table1[[#This Row],[Total Sync Bu MOSFET Loss]]+Table1[[#This Row],[Total Control Bo MOSFET Loss]]+Table1[[#This Row],[Total Sync Bo MOSFET Loss]]+Table1[[#This Row],[Reverse Recovery Loss MOSFET D BUCK]]+Table1[[#This Row],[Reverse Recovery Loss MOSFET D BOOST]]</f>
        <v>5.3355584145497854</v>
      </c>
      <c r="BR58" s="354">
        <f>Table1[[#This Row],[Total Control Bu MOSFET Loss]]+Table1[[#This Row],[Reverse Recovery Loss MOSFET D BUCK]]*0.66</f>
        <v>3.6771607542518638</v>
      </c>
      <c r="BS58" s="354">
        <f>Table1[[#This Row],[Total Sync Bu MOSFET Loss]]+Table1[[#This Row],[Reverse Recovery Loss MOSFET D BUCK]]*0.33</f>
        <v>0.94220738745893151</v>
      </c>
      <c r="BT58" s="354">
        <f xml:space="preserve"> Table1[[#This Row],[Total Control Bo MOSFET Loss]]+Table1[[#This Row],[Reverse Recovery Loss MOSFET D BOOST]]*0.66</f>
        <v>0</v>
      </c>
      <c r="BU58" s="354">
        <f xml:space="preserve"> Table1[[#This Row],[Total Sync Bo MOSFET Loss]]+Table1[[#This Row],[Reverse Recovery Loss MOSFET D BOOST]]*0.33</f>
        <v>0.71338472083898952</v>
      </c>
      <c r="BV58" s="354">
        <f>Table1[[#This Row],[Isense Shunt Loss]]</f>
        <v>0.13460742984639404</v>
      </c>
      <c r="CB58" s="18"/>
      <c r="CC58" s="19"/>
    </row>
    <row r="59" spans="1:83" x14ac:dyDescent="0.2">
      <c r="A59" s="23" t="s">
        <v>229</v>
      </c>
      <c r="B59" s="71">
        <f>QrrSky_Q2*1000000000</f>
        <v>0</v>
      </c>
      <c r="C59" s="440" t="s">
        <v>69</v>
      </c>
      <c r="D59" s="74" t="s">
        <v>232</v>
      </c>
      <c r="G59">
        <v>50</v>
      </c>
      <c r="H59" s="555">
        <f>VIN_min+(VIN_max-VIN_min)*(Table1[[#This Row],[Step]]/200)</f>
        <v>23.5</v>
      </c>
      <c r="I59" s="4" t="str">
        <f>IF(Mode = 2,IF(Table1[[#This Row],[Vin]]&gt;Vout, "BUCK","BOOST"),IF(Table1[[#This Row],[Vin]]&gt;VIN_BB_to_buck, "BUCK", IF(Table1[[#This Row],[Vin]]&lt;=VIN_boost_to_BB,"BOOST","BUCK-BST")))</f>
        <v>BUCK</v>
      </c>
      <c r="J59">
        <f>IF(Table1[[#This Row],[Mode]]="BOOST",2, IF(Table1[[#This Row],[Mode]]="BUCK", 1,3))</f>
        <v>1</v>
      </c>
      <c r="K59">
        <f t="shared" si="0"/>
        <v>12</v>
      </c>
      <c r="L59" s="4">
        <f>Vout*Table1[[#This Row],[Iout]]/(Table1[[#This Row],[Vin]]*Efficiency)</f>
        <v>7.8477043673012314</v>
      </c>
      <c r="M59" s="711">
        <f>MIN(1/Fsw,CHOOSE(Table1[[#This Row],[Mode Digit]],(Vout+(Rdson2+Rs+Rdcr)*Table1[[#This Row],[Iout]])/(Table1[[#This Row],[Vin]]+(Rs+Rdson2-Rdson1)*Table1[[#This Row],[Iout]])/Fsw,(Vout+(Rdson3+Rdcr)*Table1[[#This Row],[Iin]]-Table1[[#This Row],[Vin]])/(Vout+(Rdson3-Rdson4-Rs)*Table1[[#This Row],[Iin]])/Fsw,t1_Ph_II))</f>
        <v>1.0447655475279785E-6</v>
      </c>
      <c r="N59" s="602">
        <f>CHOOSE(Table1[[#This Row],[Mode Digit]],1/Fsw-Table1[[#This Row],[t1_Ph_II]],1/Fsw-Table1[[#This Row],[t1_Ph_II]],(Vout/Fsw-Table1[[#This Row],[Vin]]*t1_Ph_II)/(Table1[[#This Row],[Vin]]+Vout))</f>
        <v>6.2190111913868816E-7</v>
      </c>
      <c r="O59" s="602">
        <f>1/Fsw-(Table1[[#This Row],[t1_Ph_II]]+Table1[[#This Row],[t2_Ph_I]])</f>
        <v>0</v>
      </c>
      <c r="P5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10.23893686117443</v>
      </c>
      <c r="Q59" s="4">
        <f>CHOOSE(Table1[[#This Row],[Mode Digit]],Table1[[#This Row],[I_0]]+1/Lf*(Table1[[#This Row],[Vin]]-Vout)*Table1[[#This Row],[t1_Ph_II]],Table1[[#This Row],[I_0]]+1/Lf*Table1[[#This Row],[Vin]]*Table1[[#This Row],[t1_Ph_II]],Table1[[#This Row],[I_0]]+(Table1[[#This Row],[Vin]]-Vout)/L*Table1[[#This Row],[t1_Ph_II]])</f>
        <v>13.76106313882557</v>
      </c>
      <c r="R59" s="4">
        <f>CHOOSE(Table1[[#This Row],[Mode Digit]],0,0,Table1[[#This Row],[I_1]]+Table1[[#This Row],[Vin]]/L*Table1[[#This Row],[t2_Ph_I]])</f>
        <v>0</v>
      </c>
      <c r="S59" s="4">
        <f>Fsw*(Table1[[#This Row],[I_0]]*Table1[[#This Row],[t1_Ph_II]]+Table1[[#This Row],[I_1]]*Table1[[#This Row],[t2_Ph_I]]+Table1[[#This Row],[I_2]]*Table1[[#This Row],[t3_Ph_III]])</f>
        <v>11.553185425465845</v>
      </c>
      <c r="T59" s="354">
        <f>MIN(1,CHOOSE(Table1[[#This Row],[Mode Digit]],(Vout+(Rdson2+Rs+Rdcr)*Table1[[#This Row],[Iout]])/(Table1[[#This Row],[Vin]]+(Rs+Rdson2-Rdson1)*Table1[[#This Row],[Iout]]),1,Fsw*Table1[[#This Row],[t2_Ph_I]]+Table1[[#This Row],[t1_Ph_II]]))</f>
        <v>0.62685932851678705</v>
      </c>
      <c r="U59" s="354">
        <f>MIN(1,CHOOSE(Table1[[#This Row],[Mode Digit]],0,(Vout+(Rdson3+Rdcr)*Table1[[#This Row],[Iin]]-Table1[[#This Row],[Vin]])/(Vout+(Rdson3-Rdson4-Rs)*Table1[[#This Row],[Iin]]),Fsw*Table1[[#This Row],[t1_Ph_II]]+Table1[[#This Row],[t3_Ph_III]]))</f>
        <v>0</v>
      </c>
      <c r="V59" s="4">
        <f>MAX(Table1[[#This Row],[I_0]:[I_2]])-MIN(Table1[[#This Row],[I_0]:[I_1]])</f>
        <v>3.5221262776511395</v>
      </c>
      <c r="W5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12.042997182026991</v>
      </c>
      <c r="X59" s="354">
        <f>(Table1[[#This Row],[Irms Lf]]^2*Rdcr*(1+Ltc*Ta-Ltc*25))/(1-Table1[[#This Row],[Irms Lf]]^2*Rdcr*Ltc*ThetaCa)</f>
        <v>0.90188917053632423</v>
      </c>
      <c r="Y59" s="354">
        <f>ABS(7.759*10^-3*Fsw^0.9458*(0.00787*Table1[[#This Row],[Ripple Current pk-pk]])^2.304)</f>
        <v>0.5847167424303612</v>
      </c>
      <c r="Z59" s="354">
        <f>Table1[[#This Row],[DCR    Loss]]+Table1[[#This Row],[Core Loss]]</f>
        <v>1.4866059129666853</v>
      </c>
      <c r="AA59" s="4">
        <f>IF(Table1[[#This Row],[Vin]]&gt;Vout, Table1[[#This Row],[Ripple Current pk-pk]]/SQRT(12), SQRT(Table1[[#This Row],[Duty Cycle BOOST Leg]]/(1-Table1[[#This Row],[Duty Cycle BOOST Leg]]))*SQRT(Table1[[#This Row],[Iout]]^2+(Table1[[#This Row],[Ripple Current pk-pk]]^2)/12))</f>
        <v>1.0167502772608701</v>
      </c>
      <c r="AB59" s="354">
        <f>RCoutEsr*Table1[[#This Row],[Irms Cout]]^2</f>
        <v>5.1689056315502814E-3</v>
      </c>
      <c r="AC59" s="354">
        <f>Table1[[#This Row],[Cout ESR Loss]]</f>
        <v>5.1689056315502814E-3</v>
      </c>
      <c r="AD59" s="354">
        <f>IF(Table1[[#This Row],[Vin]]&gt;Vout, SQRT(Table1[[#This Row],[Duty Cycle BUCK Leg]]*(1-Table1[[#This Row],[Duty Cycle BUCK Leg]]))*SQRT(Table1[[#This Row],[Iout]]^2+(Table1[[#This Row],[Ripple Current pk-pk]]^2)/12), Table1[[#This Row],[Ripple Current pk-pk]]/SQRT(12))</f>
        <v>5.8244634682982062</v>
      </c>
      <c r="AE59" s="354">
        <f>RCinEsr*Table1[[#This Row],[Irms Cin]]^2</f>
        <v>6.7848749387080742E-2</v>
      </c>
      <c r="AF59" s="549">
        <f>Table1[[#This Row],[Cin ESR Loss]]</f>
        <v>6.7848749387080742E-2</v>
      </c>
      <c r="AG5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9.5349765940504216</v>
      </c>
      <c r="AH59" s="354">
        <f>Rdson1*Table1[[#This Row],[Irms BuCtrl]]^2</f>
        <v>0.38184627032617541</v>
      </c>
      <c r="AI59" s="354">
        <f>CHOOSE(Table1[[#This Row],[Mode Digit]], (Table1[[#This Row],[Vin]]*Table1[[#This Row],[Iout]]/2)*(Fsw)*(Tr_buck+Tf_buck), 0, (Table1[[#This Row],[Vin]]*Table1[[#This Row],[Avg IL]]/2)*(Fsw/1)*(Tr_buck+Tf_buck))</f>
        <v>2.7964154778743184</v>
      </c>
      <c r="AJ59">
        <f>IF(Table1[[#This Row],[Vin]]&gt;Vout, IF(Table1[[#This Row],[Iout]]&gt;Table1[[#This Row],[Ripple Current pk-pk]]/2,0,ABS(Table1[[#This Row],[Iout]]-Table1[[#This Row],[Ripple Current pk-pk]]/2)*Vsd_Q1*Deadtime*Fsw),0)</f>
        <v>0</v>
      </c>
      <c r="AK59" s="354">
        <f>(Table1[[#This Row],[Dead Time Loss BuCtrl]]+Table1[[#This Row],[Transition Loss BuCtrl]]+Table1[[#This Row],[RDS(on) Loss BuCtrl]]*(1+RdsonTopTc*Ta-RdsonTopTc*25))/(1-Table1[[#This Row],[RDS(on) Loss BuCtrl]]*RdsonTopTc*ThetaJA_Q1)</f>
        <v>3.4989129991407326</v>
      </c>
      <c r="AL59" s="354">
        <f>CHOOSE(Table1[[#This Row],[Mode Digit]],SQRT((Fsw*(Table1[[#This Row],[t2_Ph_I]]+0))*((Table1[[#This Row],[I_0]]*Table1[[#This Row],[I_1]]+((Table1[[#This Row],[I_0]]-Table1[[#This Row],[I_1]])^2)/3))),0,SQRT((Fsw*(Table1[[#This Row],[t3_Ph_III]]+0))*((Table1[[#This Row],[I_0]]*Table1[[#This Row],[I_2]]+((Table1[[#This Row],[I_0]]-Table1[[#This Row],[I_2]])^2)/3))))</f>
        <v>7.3564938984016468</v>
      </c>
      <c r="AM59" s="354">
        <f>Rdson2*Table1[[#This Row],[Irms BuSync]]^2</f>
        <v>0.2272956104043268</v>
      </c>
      <c r="AN5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59" s="354">
        <f>(Table1[[#This Row],[Deadtime Loss BuSync]]+Table1[[#This Row],[RDS(on) Loss BuSync]]*(1+RdsonBotTc*Ta-RdsonBotTc*25))/(1-Table1[[#This Row],[RDS(on) Loss BuSync]]*RdsonBotTc*ThetaJA_Q2)</f>
        <v>0.85109508121500776</v>
      </c>
      <c r="AP59" s="354">
        <f>CHOOSE(Table1[[#This Row],[Mode Digit]],0,SQRT((Fsw*(Table1[[#This Row],[t1_Ph_II]]+0))*((Table1[[#This Row],[I_0]]*Table1[[#This Row],[I_1]]+((Table1[[#This Row],[I_0]]-Table1[[#This Row],[I_1]])^2)/3))),SQRT((Fsw*(Table1[[#This Row],[t2_Ph_I]]+0))*((Table1[[#This Row],[I_1]]*Table1[[#This Row],[I_2]]+((Table1[[#This Row],[I_1]]-Table1[[#This Row],[I_2]])^2)/3))))</f>
        <v>0</v>
      </c>
      <c r="AQ59" s="354">
        <f>Rdson4*Table1[[#This Row],[Irms BoCtlr]]^2</f>
        <v>0</v>
      </c>
      <c r="AR59" s="354">
        <f>CHOOSE(Table1[[#This Row],[Mode Digit]], 0, (Vout*Table1[[#This Row],[Iin]]/2)*(Fsw)*(Tr_boost+Tf_boost), (Vout*Iout/2)*(Fsw/1)*(Tr_boost+Tf_boost))</f>
        <v>0</v>
      </c>
      <c r="AS59">
        <f>IF(Table1[[#This Row],[Vin]]&gt;Vout, 0, IF(Table1[[#This Row],[Iin]]&gt;Table1[[#This Row],[Ripple Current pk-pk]]/2,0,ABS(Table1[[#This Row],[Iin]]-Table1[[#This Row],[Ripple Current pk-pk]]/2)*Vsd_Q4*Deadtime*Fsw))</f>
        <v>0</v>
      </c>
      <c r="AT59" s="354">
        <f>(Table1[[#This Row],[Dead Time Loss BoCtlr]]+Table1[[#This Row],[Transition Loss BoCtlr]]+Table1[[#This Row],[RDS(on) Loss BoCtlr]]*(1+RdsonTopTc*Ta-RdsonTopTc*25))/(1-Table1[[#This Row],[RDS(on) Loss BoCtlr]]*RdsonTopTc*ThetaJA_Q4)</f>
        <v>0</v>
      </c>
      <c r="AU5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12.042997182026991</v>
      </c>
      <c r="AV59" s="354">
        <f>Rdson3*Table1[[#This Row],[Irms BoSync]]^2</f>
        <v>0.60914188073050224</v>
      </c>
      <c r="AW5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59" s="354">
        <f>(Table1[[#This Row],[Deadtime Loss BoSync]]+Table1[[#This Row],[RDS(on) Loss BoSync]]*(1+RdsonBotTc*Ta-RdsonBotTc*25))/(1-Table1[[#This Row],[RDS(on) Loss BoSync]]*RdsonBotTc*ThetaJA_Q3)</f>
        <v>0.71344300389534065</v>
      </c>
      <c r="AY59" s="354">
        <f>CHOOSE(Table1[[#This Row],[Mode Digit]], Rdson3*Table1[[#This Row],[Irms Lf]]^2, Rdson1*Table1[[#This Row],[Irms Lf]]^2, 0)</f>
        <v>0.60914188073050224</v>
      </c>
      <c r="AZ59" s="354">
        <f>CHOOSE(Table1[[#This Row],[Mode Digit]], 2*Deadtime*Fsw*IF(VfdSky_Q2&gt;0,VfdSky_Q2,0)*Table1[[#This Row],[Iout]], 2*Deadtime*Fsw*IF(VfdSky_Q3&gt;0,VfdSky_Q3,0)*Table1[[#This Row],[Iin]], 2*Deadtime*Fsw*IF(VfdSky_Q2&gt;0,VfdSky_Q2,0)*Table1[[#This Row],[Iout]]+2*Deadtime*Fsw*IF(VfdSky_Q3&gt;0,VfdSky_Q3,0)*Table1[[#This Row],[Iin]])</f>
        <v>0</v>
      </c>
      <c r="BA59" s="354">
        <f>CHOOSE(Table1[[#This Row],[Mode Digit]], IF(QrrSky_Q2&gt;0,QrrSky_Q2,Qrr_Q2)*Fsw*(Table1[[#This Row],[Vin]]-Table1[[#This Row],[Iout]]*Rdson1),0,  IF(QrrSky_Q2&gt;0,QrrSky_Q2,Qrr_Q2)*Fsw*(Table1[[#This Row],[Vin]]-Table1[[#This Row],[Iout]]*Rdson1)+IF(QrrSky_Q3&gt;0,QrrSky_Q3,Qrr_Q3)*Fsw*Vout)</f>
        <v>0.28139520000000001</v>
      </c>
      <c r="BB59" s="354">
        <f>CHOOSE(Table1[[#This Row],[Mode Digit]],0, IF(QrrSky_Q3&gt;0,QrrSky_Q3,Qrr_Q3)*Fsw*Vout,  IF(QrrSky_Q2&gt;0,QrrSky_Q2,Qrr_Q2)*Fsw*(Table1[[#This Row],[Vin]]-Table1[[#This Row],[Iout]]*Rdson1)+IF(QrrSky_Q3&gt;0,QrrSky_Q3,Qrr_Q3)*Fsw*Vout)</f>
        <v>0</v>
      </c>
      <c r="BC59" s="354">
        <f>CHOOSE(Table1[[#This Row],[Mode Digit]], Rs*Table1[[#This Row],[Irms BuSync]]^2, Rs*Table1[[#This Row],[Irms BoCtlr]]^2, Rs*(Table1[[#This Row],[Irms BuSync]]^2+Table1[[#This Row],[Irms BoCtlr]]^2))</f>
        <v>0.13529500619305165</v>
      </c>
      <c r="BD59" s="354">
        <f t="shared" si="1"/>
        <v>1.44</v>
      </c>
      <c r="BE59" s="354">
        <f>IF(Vout&gt;8, Iq*Vout, Iq*Table1[[#This Row],[Vin]])</f>
        <v>4.3799999999999999E-2</v>
      </c>
      <c r="BF59" s="354">
        <f>CHOOSE(Table1[[#This Row],[Mode Digit]], (Qg_Q1+Qg_Q2)*Fsw, (Qg_Q3+Qg_Q4)*Fsw, (Qg_Q1+Qg_Q2+Qg_Q3+Qg_Q4)*Fsw)*IF(Vout&gt;8, Vout, Table1[[#This Row],[Vin]])</f>
        <v>0.47303999999999996</v>
      </c>
      <c r="BG59" s="354">
        <f t="shared" si="2"/>
        <v>0.57269042016806726</v>
      </c>
      <c r="BH59" s="354">
        <f>Table1[[#This Row],[IQ Loss]]+Table1[[#This Row],[Switching Current Loss]]</f>
        <v>0.51683999999999997</v>
      </c>
      <c r="BI5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8.9966048584294498</v>
      </c>
      <c r="BJ59">
        <f>Vout*Table1[[#This Row],[Iout]]</f>
        <v>175.2</v>
      </c>
      <c r="BK59" s="550">
        <f>Table1[[#This Row],[Pout]]/(Table1[[#This Row],[Pout]]+Table1[[#This Row],[Total Loss]])</f>
        <v>0.95115759671388023</v>
      </c>
      <c r="BL5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209.93477994844395</v>
      </c>
      <c r="BM59" s="559">
        <f>IF(Table1[[#This Row],[Vin]]&gt;Vout, Table1[[#This Row],[Total Sync Bu MOSFET Loss]]*ThetaJA_Q2, ThetaJA_Q3*Table1[[#This Row],[Total Sync Bo MOSFET Loss]])</f>
        <v>51.065704872900469</v>
      </c>
      <c r="BN59" s="9"/>
      <c r="BO59" s="4">
        <f>Table1[[#This Row],[EFF, h]]*100</f>
        <v>95.11575967138802</v>
      </c>
      <c r="BP59" s="354">
        <f>Table1[[#This Row],[Total Inductor Loss]]</f>
        <v>1.4866059129666853</v>
      </c>
      <c r="BQ59" s="354">
        <f>Table1[[#This Row],[Total Control Bu MOSFET Loss]]+Table1[[#This Row],[Total Sync Bu MOSFET Loss]]+Table1[[#This Row],[Total Control Bo MOSFET Loss]]+Table1[[#This Row],[Total Sync Bo MOSFET Loss]]+Table1[[#This Row],[Reverse Recovery Loss MOSFET D BUCK]]+Table1[[#This Row],[Reverse Recovery Loss MOSFET D BOOST]]</f>
        <v>5.3448462842510818</v>
      </c>
      <c r="BR59" s="354">
        <f>Table1[[#This Row],[Total Control Bu MOSFET Loss]]+Table1[[#This Row],[Reverse Recovery Loss MOSFET D BUCK]]*0.66</f>
        <v>3.6846338311407325</v>
      </c>
      <c r="BS59" s="354">
        <f>Table1[[#This Row],[Total Sync Bu MOSFET Loss]]+Table1[[#This Row],[Reverse Recovery Loss MOSFET D BUCK]]*0.33</f>
        <v>0.94395549721500782</v>
      </c>
      <c r="BT59" s="354">
        <f xml:space="preserve"> Table1[[#This Row],[Total Control Bo MOSFET Loss]]+Table1[[#This Row],[Reverse Recovery Loss MOSFET D BOOST]]*0.66</f>
        <v>0</v>
      </c>
      <c r="BU59" s="354">
        <f xml:space="preserve"> Table1[[#This Row],[Total Sync Bo MOSFET Loss]]+Table1[[#This Row],[Reverse Recovery Loss MOSFET D BOOST]]*0.33</f>
        <v>0.71344300389534065</v>
      </c>
      <c r="BV59" s="354">
        <f>Table1[[#This Row],[Isense Shunt Loss]]</f>
        <v>0.13529500619305165</v>
      </c>
      <c r="CB59" s="18"/>
      <c r="CC59" s="19"/>
    </row>
    <row r="60" spans="1:83" x14ac:dyDescent="0.2">
      <c r="A60" s="23" t="s">
        <v>230</v>
      </c>
      <c r="B60" s="71">
        <f>Ireverse</f>
        <v>0</v>
      </c>
      <c r="C60" s="440" t="s">
        <v>68</v>
      </c>
      <c r="D60" s="74" t="s">
        <v>233</v>
      </c>
      <c r="E60" s="2"/>
      <c r="G60">
        <v>51</v>
      </c>
      <c r="H60" s="555">
        <f>VIN_min+(VIN_max-VIN_min)*(Table1[[#This Row],[Step]]/200)</f>
        <v>23.57</v>
      </c>
      <c r="I60" s="4" t="str">
        <f>IF(Mode = 2,IF(Table1[[#This Row],[Vin]]&gt;Vout, "BUCK","BOOST"),IF(Table1[[#This Row],[Vin]]&gt;VIN_BB_to_buck, "BUCK", IF(Table1[[#This Row],[Vin]]&lt;=VIN_boost_to_BB,"BOOST","BUCK-BST")))</f>
        <v>BUCK</v>
      </c>
      <c r="J60">
        <f>IF(Table1[[#This Row],[Mode]]="BOOST",2, IF(Table1[[#This Row],[Mode]]="BUCK", 1,3))</f>
        <v>1</v>
      </c>
      <c r="K60">
        <f t="shared" si="0"/>
        <v>12</v>
      </c>
      <c r="L60" s="4">
        <f>Vout*Table1[[#This Row],[Iout]]/(Table1[[#This Row],[Vin]]*Efficiency)</f>
        <v>7.8243976508943121</v>
      </c>
      <c r="M60" s="711">
        <f>MIN(1/Fsw,CHOOSE(Table1[[#This Row],[Mode Digit]],(Vout+(Rdson2+Rs+Rdcr)*Table1[[#This Row],[Iout]])/(Table1[[#This Row],[Vin]]+(Rs+Rdson2-Rdson1)*Table1[[#This Row],[Iout]])/Fsw,(Vout+(Rdson3+Rdcr)*Table1[[#This Row],[Iin]]-Table1[[#This Row],[Vin]])/(Vout+(Rdson3-Rdson4-Rs)*Table1[[#This Row],[Iin]])/Fsw,t1_Ph_II))</f>
        <v>1.0416666666666667E-6</v>
      </c>
      <c r="N60" s="602">
        <f>CHOOSE(Table1[[#This Row],[Mode Digit]],1/Fsw-Table1[[#This Row],[t1_Ph_II]],1/Fsw-Table1[[#This Row],[t1_Ph_II]],(Vout/Fsw-Table1[[#This Row],[Vin]]*t1_Ph_II)/(Table1[[#This Row],[Vin]]+Vout))</f>
        <v>6.2499999999999995E-7</v>
      </c>
      <c r="O60" s="602">
        <f>1/Fsw-(Table1[[#This Row],[t1_Ph_II]]+Table1[[#This Row],[t2_Ph_I]])</f>
        <v>0</v>
      </c>
      <c r="P6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10.230350378787879</v>
      </c>
      <c r="Q60" s="4">
        <f>CHOOSE(Table1[[#This Row],[Mode Digit]],Table1[[#This Row],[I_0]]+1/Lf*(Table1[[#This Row],[Vin]]-Vout)*Table1[[#This Row],[t1_Ph_II]],Table1[[#This Row],[I_0]]+1/Lf*Table1[[#This Row],[Vin]]*Table1[[#This Row],[t1_Ph_II]],Table1[[#This Row],[I_0]]+(Table1[[#This Row],[Vin]]-Vout)/L*Table1[[#This Row],[t1_Ph_II]])</f>
        <v>13.769649621212121</v>
      </c>
      <c r="R60" s="4">
        <f>CHOOSE(Table1[[#This Row],[Mode Digit]],0,0,Table1[[#This Row],[I_1]]+Table1[[#This Row],[Vin]]/L*Table1[[#This Row],[t2_Ph_I]])</f>
        <v>0</v>
      </c>
      <c r="S60" s="4">
        <f>Fsw*(Table1[[#This Row],[I_0]]*Table1[[#This Row],[t1_Ph_II]]+Table1[[#This Row],[I_1]]*Table1[[#This Row],[t2_Ph_I]]+Table1[[#This Row],[I_2]]*Table1[[#This Row],[t3_Ph_III]])</f>
        <v>11.557587594696971</v>
      </c>
      <c r="T60" s="354">
        <f>MIN(1,CHOOSE(Table1[[#This Row],[Mode Digit]],(Vout+(Rdson2+Rs+Rdcr)*Table1[[#This Row],[Iout]])/(Table1[[#This Row],[Vin]]+(Rs+Rdson2-Rdson1)*Table1[[#This Row],[Iout]]),1,Fsw*Table1[[#This Row],[t2_Ph_I]]+Table1[[#This Row],[t1_Ph_II]]))</f>
        <v>0.625</v>
      </c>
      <c r="U60" s="354">
        <f>MIN(1,CHOOSE(Table1[[#This Row],[Mode Digit]],0,(Vout+(Rdson3+Rdcr)*Table1[[#This Row],[Iin]]-Table1[[#This Row],[Vin]])/(Vout+(Rdson3-Rdson4-Rs)*Table1[[#This Row],[Iin]]),Fsw*Table1[[#This Row],[t1_Ph_II]]+Table1[[#This Row],[t3_Ph_III]]))</f>
        <v>0</v>
      </c>
      <c r="V60" s="4">
        <f>MAX(Table1[[#This Row],[I_0]:[I_2]])-MIN(Table1[[#This Row],[I_0]:[I_1]])</f>
        <v>3.5392992424242422</v>
      </c>
      <c r="W6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12.043416732553602</v>
      </c>
      <c r="X60" s="354">
        <f>(Table1[[#This Row],[Irms Lf]]^2*Rdcr*(1+Ltc*Ta-Ltc*25))/(1-Table1[[#This Row],[Irms Lf]]^2*Rdcr*Ltc*ThetaCa)</f>
        <v>0.90195654551037341</v>
      </c>
      <c r="Y60" s="354">
        <f>ABS(7.759*10^-3*Fsw^0.9458*(0.00787*Table1[[#This Row],[Ripple Current pk-pk]])^2.304)</f>
        <v>0.5913061665940581</v>
      </c>
      <c r="Z60" s="354">
        <f>Table1[[#This Row],[DCR    Loss]]+Table1[[#This Row],[Core Loss]]</f>
        <v>1.4932627121044315</v>
      </c>
      <c r="AA60" s="4">
        <f>IF(Table1[[#This Row],[Vin]]&gt;Vout, Table1[[#This Row],[Ripple Current pk-pk]]/SQRT(12), SQRT(Table1[[#This Row],[Duty Cycle BOOST Leg]]/(1-Table1[[#This Row],[Duty Cycle BOOST Leg]]))*SQRT(Table1[[#This Row],[Iout]]^2+(Table1[[#This Row],[Ripple Current pk-pk]]^2)/12))</f>
        <v>1.0217076851781375</v>
      </c>
      <c r="AB60" s="354">
        <f>RCoutEsr*Table1[[#This Row],[Irms Cout]]^2</f>
        <v>5.2194329697603402E-3</v>
      </c>
      <c r="AC60" s="354">
        <f>Table1[[#This Row],[Cout ESR Loss]]</f>
        <v>5.2194329697603402E-3</v>
      </c>
      <c r="AD60" s="354">
        <f>IF(Table1[[#This Row],[Vin]]&gt;Vout, SQRT(Table1[[#This Row],[Duty Cycle BUCK Leg]]*(1-Table1[[#This Row],[Duty Cycle BUCK Leg]]))*SQRT(Table1[[#This Row],[Iout]]^2+(Table1[[#This Row],[Ripple Current pk-pk]]^2)/12), Table1[[#This Row],[Ripple Current pk-pk]]/SQRT(12))</f>
        <v>5.830494054576981</v>
      </c>
      <c r="AE60" s="354">
        <f>RCinEsr*Table1[[#This Row],[Irms Cin]]^2</f>
        <v>6.7989321840915051E-2</v>
      </c>
      <c r="AF60" s="549">
        <f>Table1[[#This Row],[Cin ESR Loss]]</f>
        <v>6.7989321840915051E-2</v>
      </c>
      <c r="AG6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9.5211569213630778</v>
      </c>
      <c r="AH60" s="354">
        <f>Rdson1*Table1[[#This Row],[Irms BuCtrl]]^2</f>
        <v>0.3807402023091242</v>
      </c>
      <c r="AI60" s="354">
        <f>CHOOSE(Table1[[#This Row],[Mode Digit]], (Table1[[#This Row],[Vin]]*Table1[[#This Row],[Iout]]/2)*(Fsw)*(Tr_buck+Tf_buck), 0, (Table1[[#This Row],[Vin]]*Table1[[#This Row],[Avg IL]]/2)*(Fsw/1)*(Tr_buck+Tf_buck))</f>
        <v>2.8047452261062853</v>
      </c>
      <c r="AJ60">
        <f>IF(Table1[[#This Row],[Vin]]&gt;Vout, IF(Table1[[#This Row],[Iout]]&gt;Table1[[#This Row],[Ripple Current pk-pk]]/2,0,ABS(Table1[[#This Row],[Iout]]-Table1[[#This Row],[Ripple Current pk-pk]]/2)*Vsd_Q1*Deadtime*Fsw),0)</f>
        <v>0</v>
      </c>
      <c r="AK60" s="354">
        <f>(Table1[[#This Row],[Dead Time Loss BuCtrl]]+Table1[[#This Row],[Transition Loss BuCtrl]]+Table1[[#This Row],[RDS(on) Loss BuCtrl]]*(1+RdsonTopTc*Ta-RdsonTopTc*25))/(1-Table1[[#This Row],[RDS(on) Loss BuCtrl]]*RdsonTopTc*ThetaJA_Q1)</f>
        <v>3.5058409286835497</v>
      </c>
      <c r="AL60" s="354">
        <f>CHOOSE(Table1[[#This Row],[Mode Digit]],SQRT((Fsw*(Table1[[#This Row],[t2_Ph_I]]+0))*((Table1[[#This Row],[I_0]]*Table1[[#This Row],[I_1]]+((Table1[[#This Row],[I_0]]-Table1[[#This Row],[I_1]])^2)/3))),0,SQRT((Fsw*(Table1[[#This Row],[t3_Ph_III]]+0))*((Table1[[#This Row],[I_0]]*Table1[[#This Row],[I_2]]+((Table1[[#This Row],[I_0]]-Table1[[#This Row],[I_2]])^2)/3))))</f>
        <v>7.3750564386133357</v>
      </c>
      <c r="AM60" s="354">
        <f>Rdson2*Table1[[#This Row],[Irms BuSync]]^2</f>
        <v>0.22844412138547451</v>
      </c>
      <c r="AN6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0" s="354">
        <f>(Table1[[#This Row],[Deadtime Loss BuSync]]+Table1[[#This Row],[RDS(on) Loss BuSync]]*(1+RdsonBotTc*Ta-RdsonBotTc*25))/(1-Table1[[#This Row],[RDS(on) Loss BuSync]]*RdsonBotTc*ThetaJA_Q2)</f>
        <v>0.85255842017108852</v>
      </c>
      <c r="AP60" s="354">
        <f>CHOOSE(Table1[[#This Row],[Mode Digit]],0,SQRT((Fsw*(Table1[[#This Row],[t1_Ph_II]]+0))*((Table1[[#This Row],[I_0]]*Table1[[#This Row],[I_1]]+((Table1[[#This Row],[I_0]]-Table1[[#This Row],[I_1]])^2)/3))),SQRT((Fsw*(Table1[[#This Row],[t2_Ph_I]]+0))*((Table1[[#This Row],[I_1]]*Table1[[#This Row],[I_2]]+((Table1[[#This Row],[I_1]]-Table1[[#This Row],[I_2]])^2)/3))))</f>
        <v>0</v>
      </c>
      <c r="AQ60" s="354">
        <f>Rdson4*Table1[[#This Row],[Irms BoCtlr]]^2</f>
        <v>0</v>
      </c>
      <c r="AR60" s="354">
        <f>CHOOSE(Table1[[#This Row],[Mode Digit]], 0, (Vout*Table1[[#This Row],[Iin]]/2)*(Fsw)*(Tr_boost+Tf_boost), (Vout*Iout/2)*(Fsw/1)*(Tr_boost+Tf_boost))</f>
        <v>0</v>
      </c>
      <c r="AS60">
        <f>IF(Table1[[#This Row],[Vin]]&gt;Vout, 0, IF(Table1[[#This Row],[Iin]]&gt;Table1[[#This Row],[Ripple Current pk-pk]]/2,0,ABS(Table1[[#This Row],[Iin]]-Table1[[#This Row],[Ripple Current pk-pk]]/2)*Vsd_Q4*Deadtime*Fsw))</f>
        <v>0</v>
      </c>
      <c r="AT60" s="354">
        <f>(Table1[[#This Row],[Dead Time Loss BoCtlr]]+Table1[[#This Row],[Transition Loss BoCtlr]]+Table1[[#This Row],[RDS(on) Loss BoCtlr]]*(1+RdsonTopTc*Ta-RdsonTopTc*25))/(1-Table1[[#This Row],[RDS(on) Loss BoCtlr]]*RdsonTopTc*ThetaJA_Q4)</f>
        <v>0</v>
      </c>
      <c r="AU6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12.043416732553602</v>
      </c>
      <c r="AV60" s="354">
        <f>Rdson3*Table1[[#This Row],[Irms BoSync]]^2</f>
        <v>0.60918432369459885</v>
      </c>
      <c r="AW6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0" s="354">
        <f>(Table1[[#This Row],[Deadtime Loss BoSync]]+Table1[[#This Row],[RDS(on) Loss BoSync]]*(1+RdsonBotTc*Ta-RdsonBotTc*25))/(1-Table1[[#This Row],[RDS(on) Loss BoSync]]*RdsonBotTc*ThetaJA_Q3)</f>
        <v>0.71350122662129301</v>
      </c>
      <c r="AY60" s="354">
        <f>CHOOSE(Table1[[#This Row],[Mode Digit]], Rdson3*Table1[[#This Row],[Irms Lf]]^2, Rdson1*Table1[[#This Row],[Irms Lf]]^2, 0)</f>
        <v>0.60918432369459885</v>
      </c>
      <c r="AZ60" s="354">
        <f>CHOOSE(Table1[[#This Row],[Mode Digit]], 2*Deadtime*Fsw*IF(VfdSky_Q2&gt;0,VfdSky_Q2,0)*Table1[[#This Row],[Iout]], 2*Deadtime*Fsw*IF(VfdSky_Q3&gt;0,VfdSky_Q3,0)*Table1[[#This Row],[Iin]], 2*Deadtime*Fsw*IF(VfdSky_Q2&gt;0,VfdSky_Q2,0)*Table1[[#This Row],[Iout]]+2*Deadtime*Fsw*IF(VfdSky_Q3&gt;0,VfdSky_Q3,0)*Table1[[#This Row],[Iin]])</f>
        <v>0</v>
      </c>
      <c r="BA60" s="354">
        <f>CHOOSE(Table1[[#This Row],[Mode Digit]], IF(QrrSky_Q2&gt;0,QrrSky_Q2,Qrr_Q2)*Fsw*(Table1[[#This Row],[Vin]]-Table1[[#This Row],[Iout]]*Rdson1),0,  IF(QrrSky_Q2&gt;0,QrrSky_Q2,Qrr_Q2)*Fsw*(Table1[[#This Row],[Vin]]-Table1[[#This Row],[Iout]]*Rdson1)+IF(QrrSky_Q3&gt;0,QrrSky_Q3,Qrr_Q3)*Fsw*Vout)</f>
        <v>0.28223520000000002</v>
      </c>
      <c r="BB60" s="354">
        <f>CHOOSE(Table1[[#This Row],[Mode Digit]],0, IF(QrrSky_Q3&gt;0,QrrSky_Q3,Qrr_Q3)*Fsw*Vout,  IF(QrrSky_Q2&gt;0,QrrSky_Q2,Qrr_Q2)*Fsw*(Table1[[#This Row],[Vin]]-Table1[[#This Row],[Iout]]*Rdson1)+IF(QrrSky_Q3&gt;0,QrrSky_Q3,Qrr_Q3)*Fsw*Vout)</f>
        <v>0</v>
      </c>
      <c r="BC60" s="354">
        <f>CHOOSE(Table1[[#This Row],[Mode Digit]], Rs*Table1[[#This Row],[Irms BuSync]]^2, Rs*Table1[[#This Row],[Irms BoCtlr]]^2, Rs*(Table1[[#This Row],[Irms BuSync]]^2+Table1[[#This Row],[Irms BoCtlr]]^2))</f>
        <v>0.13597864368183005</v>
      </c>
      <c r="BD60" s="354">
        <f t="shared" si="1"/>
        <v>1.44</v>
      </c>
      <c r="BE60" s="354">
        <f>IF(Vout&gt;8, Iq*Vout, Iq*Table1[[#This Row],[Vin]])</f>
        <v>4.3799999999999999E-2</v>
      </c>
      <c r="BF60" s="354">
        <f>CHOOSE(Table1[[#This Row],[Mode Digit]], (Qg_Q1+Qg_Q2)*Fsw, (Qg_Q3+Qg_Q4)*Fsw, (Qg_Q1+Qg_Q2+Qg_Q3+Qg_Q4)*Fsw)*IF(Vout&gt;8, Vout, Table1[[#This Row],[Vin]])</f>
        <v>0.47303999999999996</v>
      </c>
      <c r="BG60" s="354">
        <f t="shared" si="2"/>
        <v>0.57269042016806726</v>
      </c>
      <c r="BH60" s="354">
        <f>Table1[[#This Row],[IQ Loss]]+Table1[[#This Row],[Switching Current Loss]]</f>
        <v>0.51683999999999997</v>
      </c>
      <c r="BI6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9.0134258860728682</v>
      </c>
      <c r="BJ60">
        <f>Vout*Table1[[#This Row],[Iout]]</f>
        <v>175.2</v>
      </c>
      <c r="BK60" s="550">
        <f>Table1[[#This Row],[Pout]]/(Table1[[#This Row],[Pout]]+Table1[[#This Row],[Total Loss]])</f>
        <v>0.95107074393346747</v>
      </c>
      <c r="BL6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210.35045572101299</v>
      </c>
      <c r="BM60" s="559">
        <f>IF(Table1[[#This Row],[Vin]]&gt;Vout, Table1[[#This Row],[Total Sync Bu MOSFET Loss]]*ThetaJA_Q2, ThetaJA_Q3*Table1[[#This Row],[Total Sync Bo MOSFET Loss]])</f>
        <v>51.153505210265308</v>
      </c>
      <c r="BN60" s="9"/>
      <c r="BO60" s="4">
        <f>Table1[[#This Row],[EFF, h]]*100</f>
        <v>95.10707439334675</v>
      </c>
      <c r="BP60" s="354">
        <f>Table1[[#This Row],[Total Inductor Loss]]</f>
        <v>1.4932627121044315</v>
      </c>
      <c r="BQ60" s="354">
        <f>Table1[[#This Row],[Total Control Bu MOSFET Loss]]+Table1[[#This Row],[Total Sync Bu MOSFET Loss]]+Table1[[#This Row],[Total Control Bo MOSFET Loss]]+Table1[[#This Row],[Total Sync Bo MOSFET Loss]]+Table1[[#This Row],[Reverse Recovery Loss MOSFET D BUCK]]+Table1[[#This Row],[Reverse Recovery Loss MOSFET D BOOST]]</f>
        <v>5.3541357754759309</v>
      </c>
      <c r="BR60" s="354">
        <f>Table1[[#This Row],[Total Control Bu MOSFET Loss]]+Table1[[#This Row],[Reverse Recovery Loss MOSFET D BUCK]]*0.66</f>
        <v>3.6921161606835495</v>
      </c>
      <c r="BS60" s="354">
        <f>Table1[[#This Row],[Total Sync Bu MOSFET Loss]]+Table1[[#This Row],[Reverse Recovery Loss MOSFET D BUCK]]*0.33</f>
        <v>0.94569603617108855</v>
      </c>
      <c r="BT60" s="354">
        <f xml:space="preserve"> Table1[[#This Row],[Total Control Bo MOSFET Loss]]+Table1[[#This Row],[Reverse Recovery Loss MOSFET D BOOST]]*0.66</f>
        <v>0</v>
      </c>
      <c r="BU60" s="354">
        <f xml:space="preserve"> Table1[[#This Row],[Total Sync Bo MOSFET Loss]]+Table1[[#This Row],[Reverse Recovery Loss MOSFET D BOOST]]*0.33</f>
        <v>0.71350122662129301</v>
      </c>
      <c r="BV60" s="354">
        <f>Table1[[#This Row],[Isense Shunt Loss]]</f>
        <v>0.13597864368183005</v>
      </c>
      <c r="CB60" s="18"/>
      <c r="CC60" s="19"/>
    </row>
    <row r="61" spans="1:83" x14ac:dyDescent="0.2">
      <c r="A61" s="24" t="s">
        <v>119</v>
      </c>
      <c r="B61" s="15" t="s">
        <v>113</v>
      </c>
      <c r="C61" s="24" t="s">
        <v>80</v>
      </c>
      <c r="D61" s="24" t="s">
        <v>245</v>
      </c>
      <c r="G61">
        <v>52</v>
      </c>
      <c r="H61" s="555">
        <f>VIN_min+(VIN_max-VIN_min)*(Table1[[#This Row],[Step]]/200)</f>
        <v>23.64</v>
      </c>
      <c r="I61" s="4" t="str">
        <f>IF(Mode = 2,IF(Table1[[#This Row],[Vin]]&gt;Vout, "BUCK","BOOST"),IF(Table1[[#This Row],[Vin]]&gt;VIN_BB_to_buck, "BUCK", IF(Table1[[#This Row],[Vin]]&lt;=VIN_boost_to_BB,"BOOST","BUCK-BST")))</f>
        <v>BUCK</v>
      </c>
      <c r="J61">
        <f>IF(Table1[[#This Row],[Mode]]="BOOST",2, IF(Table1[[#This Row],[Mode]]="BUCK", 1,3))</f>
        <v>1</v>
      </c>
      <c r="K61">
        <f t="shared" si="0"/>
        <v>12</v>
      </c>
      <c r="L61" s="4">
        <f>Vout*Table1[[#This Row],[Iout]]/(Table1[[#This Row],[Vin]]*Efficiency)</f>
        <v>7.8012289607266903</v>
      </c>
      <c r="M61" s="711">
        <f>MIN(1/Fsw,CHOOSE(Table1[[#This Row],[Mode Digit]],(Vout+(Rdson2+Rs+Rdcr)*Table1[[#This Row],[Iout]])/(Table1[[#This Row],[Vin]]+(Rs+Rdson2-Rdson1)*Table1[[#This Row],[Iout]])/Fsw,(Vout+(Rdson3+Rdcr)*Table1[[#This Row],[Iin]]-Table1[[#This Row],[Vin]])/(Vout+(Rdson3-Rdson4-Rs)*Table1[[#This Row],[Iin]])/Fsw,t1_Ph_II))</f>
        <v>1.0385861146317419E-6</v>
      </c>
      <c r="N61" s="602">
        <f>CHOOSE(Table1[[#This Row],[Mode Digit]],1/Fsw-Table1[[#This Row],[t1_Ph_II]],1/Fsw-Table1[[#This Row],[t1_Ph_II]],(Vout/Fsw-Table1[[#This Row],[Vin]]*t1_Ph_II)/(Table1[[#This Row],[Vin]]+Vout))</f>
        <v>6.280805520349248E-7</v>
      </c>
      <c r="O61" s="602">
        <f>1/Fsw-(Table1[[#This Row],[t1_Ph_II]]+Table1[[#This Row],[t2_Ph_I]])</f>
        <v>0</v>
      </c>
      <c r="P6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10.221814682524442</v>
      </c>
      <c r="Q61" s="4">
        <f>CHOOSE(Table1[[#This Row],[Mode Digit]],Table1[[#This Row],[I_0]]+1/Lf*(Table1[[#This Row],[Vin]]-Vout)*Table1[[#This Row],[t1_Ph_II]],Table1[[#This Row],[I_0]]+1/Lf*Table1[[#This Row],[Vin]]*Table1[[#This Row],[t1_Ph_II]],Table1[[#This Row],[I_0]]+(Table1[[#This Row],[Vin]]-Vout)/L*Table1[[#This Row],[t1_Ph_II]])</f>
        <v>13.778185317475559</v>
      </c>
      <c r="R61" s="4">
        <f>CHOOSE(Table1[[#This Row],[Mode Digit]],0,0,Table1[[#This Row],[I_1]]+Table1[[#This Row],[Vin]]/L*Table1[[#This Row],[t2_Ph_I]])</f>
        <v>0</v>
      </c>
      <c r="S61" s="4">
        <f>Fsw*(Table1[[#This Row],[I_0]]*Table1[[#This Row],[t1_Ph_II]]+Table1[[#This Row],[I_1]]*Table1[[#This Row],[t2_Ph_I]]+Table1[[#This Row],[I_2]]*Table1[[#This Row],[t3_Ph_III]])</f>
        <v>11.562027021508978</v>
      </c>
      <c r="T61" s="354">
        <f>MIN(1,CHOOSE(Table1[[#This Row],[Mode Digit]],(Vout+(Rdson2+Rs+Rdcr)*Table1[[#This Row],[Iout]])/(Table1[[#This Row],[Vin]]+(Rs+Rdson2-Rdson1)*Table1[[#This Row],[Iout]]),1,Fsw*Table1[[#This Row],[t2_Ph_I]]+Table1[[#This Row],[t1_Ph_II]]))</f>
        <v>0.62315166877904515</v>
      </c>
      <c r="U61" s="354">
        <f>MIN(1,CHOOSE(Table1[[#This Row],[Mode Digit]],0,(Vout+(Rdson3+Rdcr)*Table1[[#This Row],[Iin]]-Table1[[#This Row],[Vin]])/(Vout+(Rdson3-Rdson4-Rs)*Table1[[#This Row],[Iin]]),Fsw*Table1[[#This Row],[t1_Ph_II]]+Table1[[#This Row],[t3_Ph_III]]))</f>
        <v>0</v>
      </c>
      <c r="V61" s="4">
        <f>MAX(Table1[[#This Row],[I_0]:[I_2]])-MIN(Table1[[#This Row],[I_0]:[I_1]])</f>
        <v>3.5563706349511168</v>
      </c>
      <c r="W6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12.043835809565071</v>
      </c>
      <c r="X61" s="354">
        <f>(Table1[[#This Row],[Irms Lf]]^2*Rdcr*(1+Ltc*Ta-Ltc*25))/(1-Table1[[#This Row],[Irms Lf]]^2*Rdcr*Ltc*ThetaCa)</f>
        <v>0.90202384746284803</v>
      </c>
      <c r="Y61" s="354">
        <f>ABS(7.759*10^-3*Fsw^0.9458*(0.00787*Table1[[#This Row],[Ripple Current pk-pk]])^2.304)</f>
        <v>0.59789807036348053</v>
      </c>
      <c r="Z61" s="354">
        <f>Table1[[#This Row],[DCR    Loss]]+Table1[[#This Row],[Core Loss]]</f>
        <v>1.4999219178263286</v>
      </c>
      <c r="AA61" s="4">
        <f>IF(Table1[[#This Row],[Vin]]&gt;Vout, Table1[[#This Row],[Ripple Current pk-pk]]/SQRT(12), SQRT(Table1[[#This Row],[Duty Cycle BOOST Leg]]/(1-Table1[[#This Row],[Duty Cycle BOOST Leg]]))*SQRT(Table1[[#This Row],[Iout]]^2+(Table1[[#This Row],[Ripple Current pk-pk]]^2)/12))</f>
        <v>1.0266357717135539</v>
      </c>
      <c r="AB61" s="354">
        <f>RCoutEsr*Table1[[#This Row],[Irms Cout]]^2</f>
        <v>5.2699050388094219E-3</v>
      </c>
      <c r="AC61" s="354">
        <f>Table1[[#This Row],[Cout ESR Loss]]</f>
        <v>5.2699050388094219E-3</v>
      </c>
      <c r="AD61" s="354">
        <f>IF(Table1[[#This Row],[Vin]]&gt;Vout, SQRT(Table1[[#This Row],[Duty Cycle BUCK Leg]]*(1-Table1[[#This Row],[Duty Cycle BUCK Leg]]))*SQRT(Table1[[#This Row],[Iout]]^2+(Table1[[#This Row],[Ripple Current pk-pk]]^2)/12), Table1[[#This Row],[Ripple Current pk-pk]]/SQRT(12))</f>
        <v>5.8363994206298644</v>
      </c>
      <c r="AE61" s="354">
        <f>RCinEsr*Table1[[#This Row],[Irms Cin]]^2</f>
        <v>6.8127116394257226E-2</v>
      </c>
      <c r="AF61" s="549">
        <f>Table1[[#This Row],[Cin ESR Loss]]</f>
        <v>6.8127116394257226E-2</v>
      </c>
      <c r="AG6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9.5073987151076587</v>
      </c>
      <c r="AH61" s="354">
        <f>Rdson1*Table1[[#This Row],[Irms BuCtrl]]^2</f>
        <v>0.37964064737772923</v>
      </c>
      <c r="AI61" s="354">
        <f>CHOOSE(Table1[[#This Row],[Mode Digit]], (Table1[[#This Row],[Vin]]*Table1[[#This Row],[Iout]]/2)*(Fsw)*(Tr_buck+Tf_buck), 0, (Table1[[#This Row],[Vin]]*Table1[[#This Row],[Avg IL]]/2)*(Fsw/1)*(Tr_buck+Tf_buck))</f>
        <v>2.8130749743382508</v>
      </c>
      <c r="AJ61">
        <f>IF(Table1[[#This Row],[Vin]]&gt;Vout, IF(Table1[[#This Row],[Iout]]&gt;Table1[[#This Row],[Ripple Current pk-pk]]/2,0,ABS(Table1[[#This Row],[Iout]]-Table1[[#This Row],[Ripple Current pk-pk]]/2)*Vsd_Q1*Deadtime*Fsw),0)</f>
        <v>0</v>
      </c>
      <c r="AK61" s="354">
        <f>(Table1[[#This Row],[Dead Time Loss BuCtrl]]+Table1[[#This Row],[Transition Loss BuCtrl]]+Table1[[#This Row],[RDS(on) Loss BuCtrl]]*(1+RdsonTopTc*Ta-RdsonTopTc*25))/(1-Table1[[#This Row],[RDS(on) Loss BuCtrl]]*RdsonTopTc*ThetaJA_Q1)</f>
        <v>3.5127780187915696</v>
      </c>
      <c r="AL61" s="354">
        <f>CHOOSE(Table1[[#This Row],[Mode Digit]],SQRT((Fsw*(Table1[[#This Row],[t2_Ph_I]]+0))*((Table1[[#This Row],[I_0]]*Table1[[#This Row],[I_1]]+((Table1[[#This Row],[I_0]]-Table1[[#This Row],[I_1]])^2)/3))),0,SQRT((Fsw*(Table1[[#This Row],[t3_Ph_III]]+0))*((Table1[[#This Row],[I_0]]*Table1[[#This Row],[I_2]]+((Table1[[#This Row],[I_0]]-Table1[[#This Row],[I_2]])^2)/3))))</f>
        <v>7.3934667565176193</v>
      </c>
      <c r="AM61" s="354">
        <f>Rdson2*Table1[[#This Row],[Irms BuSync]]^2</f>
        <v>0.22958607285487093</v>
      </c>
      <c r="AN6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1" s="354">
        <f>(Table1[[#This Row],[Deadtime Loss BuSync]]+Table1[[#This Row],[RDS(on) Loss BuSync]]*(1+RdsonBotTc*Ta-RdsonBotTc*25))/(1-Table1[[#This Row],[RDS(on) Loss BuSync]]*RdsonBotTc*ThetaJA_Q2)</f>
        <v>0.8540142479923819</v>
      </c>
      <c r="AP61" s="354">
        <f>CHOOSE(Table1[[#This Row],[Mode Digit]],0,SQRT((Fsw*(Table1[[#This Row],[t1_Ph_II]]+0))*((Table1[[#This Row],[I_0]]*Table1[[#This Row],[I_1]]+((Table1[[#This Row],[I_0]]-Table1[[#This Row],[I_1]])^2)/3))),SQRT((Fsw*(Table1[[#This Row],[t2_Ph_I]]+0))*((Table1[[#This Row],[I_1]]*Table1[[#This Row],[I_2]]+((Table1[[#This Row],[I_1]]-Table1[[#This Row],[I_2]])^2)/3))))</f>
        <v>0</v>
      </c>
      <c r="AQ61" s="354">
        <f>Rdson4*Table1[[#This Row],[Irms BoCtlr]]^2</f>
        <v>0</v>
      </c>
      <c r="AR61" s="354">
        <f>CHOOSE(Table1[[#This Row],[Mode Digit]], 0, (Vout*Table1[[#This Row],[Iin]]/2)*(Fsw)*(Tr_boost+Tf_boost), (Vout*Iout/2)*(Fsw/1)*(Tr_boost+Tf_boost))</f>
        <v>0</v>
      </c>
      <c r="AS61">
        <f>IF(Table1[[#This Row],[Vin]]&gt;Vout, 0, IF(Table1[[#This Row],[Iin]]&gt;Table1[[#This Row],[Ripple Current pk-pk]]/2,0,ABS(Table1[[#This Row],[Iin]]-Table1[[#This Row],[Ripple Current pk-pk]]/2)*Vsd_Q4*Deadtime*Fsw))</f>
        <v>0</v>
      </c>
      <c r="AT61" s="354">
        <f>(Table1[[#This Row],[Dead Time Loss BoCtlr]]+Table1[[#This Row],[Transition Loss BoCtlr]]+Table1[[#This Row],[RDS(on) Loss BoCtlr]]*(1+RdsonTopTc*Ta-RdsonTopTc*25))/(1-Table1[[#This Row],[RDS(on) Loss BoCtlr]]*RdsonTopTc*ThetaJA_Q4)</f>
        <v>0</v>
      </c>
      <c r="AU6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12.043835809565071</v>
      </c>
      <c r="AV61" s="354">
        <f>Rdson3*Table1[[#This Row],[Irms BoSync]]^2</f>
        <v>0.60922672023260016</v>
      </c>
      <c r="AW6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1" s="354">
        <f>(Table1[[#This Row],[Deadtime Loss BoSync]]+Table1[[#This Row],[RDS(on) Loss BoSync]]*(1+RdsonBotTc*Ta-RdsonBotTc*25))/(1-Table1[[#This Row],[RDS(on) Loss BoSync]]*RdsonBotTc*ThetaJA_Q3)</f>
        <v>0.71355938704751409</v>
      </c>
      <c r="AY61" s="354">
        <f>CHOOSE(Table1[[#This Row],[Mode Digit]], Rdson3*Table1[[#This Row],[Irms Lf]]^2, Rdson1*Table1[[#This Row],[Irms Lf]]^2, 0)</f>
        <v>0.60922672023260016</v>
      </c>
      <c r="AZ61" s="354">
        <f>CHOOSE(Table1[[#This Row],[Mode Digit]], 2*Deadtime*Fsw*IF(VfdSky_Q2&gt;0,VfdSky_Q2,0)*Table1[[#This Row],[Iout]], 2*Deadtime*Fsw*IF(VfdSky_Q3&gt;0,VfdSky_Q3,0)*Table1[[#This Row],[Iin]], 2*Deadtime*Fsw*IF(VfdSky_Q2&gt;0,VfdSky_Q2,0)*Table1[[#This Row],[Iout]]+2*Deadtime*Fsw*IF(VfdSky_Q3&gt;0,VfdSky_Q3,0)*Table1[[#This Row],[Iin]])</f>
        <v>0</v>
      </c>
      <c r="BA61" s="354">
        <f>CHOOSE(Table1[[#This Row],[Mode Digit]], IF(QrrSky_Q2&gt;0,QrrSky_Q2,Qrr_Q2)*Fsw*(Table1[[#This Row],[Vin]]-Table1[[#This Row],[Iout]]*Rdson1),0,  IF(QrrSky_Q2&gt;0,QrrSky_Q2,Qrr_Q2)*Fsw*(Table1[[#This Row],[Vin]]-Table1[[#This Row],[Iout]]*Rdson1)+IF(QrrSky_Q3&gt;0,QrrSky_Q3,Qrr_Q3)*Fsw*Vout)</f>
        <v>0.28307520000000003</v>
      </c>
      <c r="BB61" s="354">
        <f>CHOOSE(Table1[[#This Row],[Mode Digit]],0, IF(QrrSky_Q3&gt;0,QrrSky_Q3,Qrr_Q3)*Fsw*Vout,  IF(QrrSky_Q2&gt;0,QrrSky_Q2,Qrr_Q2)*Fsw*(Table1[[#This Row],[Vin]]-Table1[[#This Row],[Iout]]*Rdson1)+IF(QrrSky_Q3&gt;0,QrrSky_Q3,Qrr_Q3)*Fsw*Vout)</f>
        <v>0</v>
      </c>
      <c r="BC61" s="354">
        <f>CHOOSE(Table1[[#This Row],[Mode Digit]], Rs*Table1[[#This Row],[Irms BuSync]]^2, Rs*Table1[[#This Row],[Irms BoCtlr]]^2, Rs*(Table1[[#This Row],[Irms BuSync]]^2+Table1[[#This Row],[Irms BoCtlr]]^2))</f>
        <v>0.13665837669932793</v>
      </c>
      <c r="BD61" s="354">
        <f t="shared" si="1"/>
        <v>1.44</v>
      </c>
      <c r="BE61" s="354">
        <f>IF(Vout&gt;8, Iq*Vout, Iq*Table1[[#This Row],[Vin]])</f>
        <v>4.3799999999999999E-2</v>
      </c>
      <c r="BF61" s="354">
        <f>CHOOSE(Table1[[#This Row],[Mode Digit]], (Qg_Q1+Qg_Q2)*Fsw, (Qg_Q3+Qg_Q4)*Fsw, (Qg_Q1+Qg_Q2+Qg_Q3+Qg_Q4)*Fsw)*IF(Vout&gt;8, Vout, Table1[[#This Row],[Vin]])</f>
        <v>0.47303999999999996</v>
      </c>
      <c r="BG61" s="354">
        <f t="shared" si="2"/>
        <v>0.57269042016806726</v>
      </c>
      <c r="BH61" s="354">
        <f>Table1[[#This Row],[IQ Loss]]+Table1[[#This Row],[Switching Current Loss]]</f>
        <v>0.51683999999999997</v>
      </c>
      <c r="BI6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9.0302441697901887</v>
      </c>
      <c r="BJ61">
        <f>Vout*Table1[[#This Row],[Iout]]</f>
        <v>175.2</v>
      </c>
      <c r="BK61" s="550">
        <f>Table1[[#This Row],[Pout]]/(Table1[[#This Row],[Pout]]+Table1[[#This Row],[Total Loss]])</f>
        <v>0.95098392117709107</v>
      </c>
      <c r="BL6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210.76668112749417</v>
      </c>
      <c r="BM61" s="559">
        <f>IF(Table1[[#This Row],[Vin]]&gt;Vout, Table1[[#This Row],[Total Sync Bu MOSFET Loss]]*ThetaJA_Q2, ThetaJA_Q3*Table1[[#This Row],[Total Sync Bo MOSFET Loss]])</f>
        <v>51.240854879542916</v>
      </c>
      <c r="BN61" s="9"/>
      <c r="BO61" s="4">
        <f>Table1[[#This Row],[EFF, h]]*100</f>
        <v>95.09839211770911</v>
      </c>
      <c r="BP61" s="354">
        <f>Table1[[#This Row],[Total Inductor Loss]]</f>
        <v>1.4999219178263286</v>
      </c>
      <c r="BQ61" s="354">
        <f>Table1[[#This Row],[Total Control Bu MOSFET Loss]]+Table1[[#This Row],[Total Sync Bu MOSFET Loss]]+Table1[[#This Row],[Total Control Bo MOSFET Loss]]+Table1[[#This Row],[Total Sync Bo MOSFET Loss]]+Table1[[#This Row],[Reverse Recovery Loss MOSFET D BUCK]]+Table1[[#This Row],[Reverse Recovery Loss MOSFET D BOOST]]</f>
        <v>5.3634268538314656</v>
      </c>
      <c r="BR61" s="354">
        <f>Table1[[#This Row],[Total Control Bu MOSFET Loss]]+Table1[[#This Row],[Reverse Recovery Loss MOSFET D BUCK]]*0.66</f>
        <v>3.6996076507915694</v>
      </c>
      <c r="BS61" s="354">
        <f>Table1[[#This Row],[Total Sync Bu MOSFET Loss]]+Table1[[#This Row],[Reverse Recovery Loss MOSFET D BUCK]]*0.33</f>
        <v>0.94742906399238191</v>
      </c>
      <c r="BT61" s="354">
        <f xml:space="preserve"> Table1[[#This Row],[Total Control Bo MOSFET Loss]]+Table1[[#This Row],[Reverse Recovery Loss MOSFET D BOOST]]*0.66</f>
        <v>0</v>
      </c>
      <c r="BU61" s="354">
        <f xml:space="preserve"> Table1[[#This Row],[Total Sync Bo MOSFET Loss]]+Table1[[#This Row],[Reverse Recovery Loss MOSFET D BOOST]]*0.33</f>
        <v>0.71355938704751409</v>
      </c>
      <c r="BV61" s="354">
        <f>Table1[[#This Row],[Isense Shunt Loss]]</f>
        <v>0.13665837669932793</v>
      </c>
      <c r="CB61" s="18"/>
      <c r="CC61" s="19"/>
    </row>
    <row r="62" spans="1:83" ht="15.75" x14ac:dyDescent="0.3">
      <c r="A62" s="446" t="s">
        <v>642</v>
      </c>
      <c r="B62" s="72">
        <v>30</v>
      </c>
      <c r="C62" s="441" t="s">
        <v>237</v>
      </c>
      <c r="D62" s="74" t="s">
        <v>105</v>
      </c>
      <c r="G62">
        <v>53</v>
      </c>
      <c r="H62" s="555">
        <f>VIN_min+(VIN_max-VIN_min)*(Table1[[#This Row],[Step]]/200)</f>
        <v>23.71</v>
      </c>
      <c r="I62" s="4" t="str">
        <f>IF(Mode = 2,IF(Table1[[#This Row],[Vin]]&gt;Vout, "BUCK","BOOST"),IF(Table1[[#This Row],[Vin]]&gt;VIN_BB_to_buck, "BUCK", IF(Table1[[#This Row],[Vin]]&lt;=VIN_boost_to_BB,"BOOST","BUCK-BST")))</f>
        <v>BUCK</v>
      </c>
      <c r="J62">
        <f>IF(Table1[[#This Row],[Mode]]="BOOST",2, IF(Table1[[#This Row],[Mode]]="BUCK", 1,3))</f>
        <v>1</v>
      </c>
      <c r="K62">
        <f t="shared" si="0"/>
        <v>12</v>
      </c>
      <c r="L62" s="4">
        <f>Vout*Table1[[#This Row],[Iout]]/(Table1[[#This Row],[Vin]]*Efficiency)</f>
        <v>7.7781970742968767</v>
      </c>
      <c r="M62" s="711">
        <f>MIN(1/Fsw,CHOOSE(Table1[[#This Row],[Mode Digit]],(Vout+(Rdson2+Rs+Rdcr)*Table1[[#This Row],[Iout]])/(Table1[[#This Row],[Vin]]+(Rs+Rdson2-Rdson1)*Table1[[#This Row],[Iout]])/Fsw,(Vout+(Rdson3+Rdcr)*Table1[[#This Row],[Iin]]-Table1[[#This Row],[Vin]])/(Vout+(Rdson3-Rdson4-Rs)*Table1[[#This Row],[Iin]])/Fsw,t1_Ph_II))</f>
        <v>1.0355237292895253E-6</v>
      </c>
      <c r="N62" s="602">
        <f>CHOOSE(Table1[[#This Row],[Mode Digit]],1/Fsw-Table1[[#This Row],[t1_Ph_II]],1/Fsw-Table1[[#This Row],[t1_Ph_II]],(Vout/Fsw-Table1[[#This Row],[Vin]]*t1_Ph_II)/(Table1[[#This Row],[Vin]]+Vout))</f>
        <v>6.3114293737714141E-7</v>
      </c>
      <c r="O62" s="602">
        <f>1/Fsw-(Table1[[#This Row],[t1_Ph_II]]+Table1[[#This Row],[t2_Ph_I]])</f>
        <v>0</v>
      </c>
      <c r="P6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10.213329323138716</v>
      </c>
      <c r="Q62" s="4">
        <f>CHOOSE(Table1[[#This Row],[Mode Digit]],Table1[[#This Row],[I_0]]+1/Lf*(Table1[[#This Row],[Vin]]-Vout)*Table1[[#This Row],[t1_Ph_II]],Table1[[#This Row],[I_0]]+1/Lf*Table1[[#This Row],[Vin]]*Table1[[#This Row],[t1_Ph_II]],Table1[[#This Row],[I_0]]+(Table1[[#This Row],[Vin]]-Vout)/L*Table1[[#This Row],[t1_Ph_II]])</f>
        <v>13.786670676861283</v>
      </c>
      <c r="R62" s="4">
        <f>CHOOSE(Table1[[#This Row],[Mode Digit]],0,0,Table1[[#This Row],[I_1]]+Table1[[#This Row],[Vin]]/L*Table1[[#This Row],[t2_Ph_I]])</f>
        <v>0</v>
      </c>
      <c r="S62" s="4">
        <f>Fsw*(Table1[[#This Row],[I_0]]*Table1[[#This Row],[t1_Ph_II]]+Table1[[#This Row],[I_1]]*Table1[[#This Row],[t2_Ph_I]]+Table1[[#This Row],[I_2]]*Table1[[#This Row],[t3_Ph_III]])</f>
        <v>11.566502818082519</v>
      </c>
      <c r="T62" s="354">
        <f>MIN(1,CHOOSE(Table1[[#This Row],[Mode Digit]],(Vout+(Rdson2+Rs+Rdcr)*Table1[[#This Row],[Iout]])/(Table1[[#This Row],[Vin]]+(Rs+Rdson2-Rdson1)*Table1[[#This Row],[Iout]]),1,Fsw*Table1[[#This Row],[t2_Ph_I]]+Table1[[#This Row],[t1_Ph_II]]))</f>
        <v>0.62131423757371518</v>
      </c>
      <c r="U62" s="354">
        <f>MIN(1,CHOOSE(Table1[[#This Row],[Mode Digit]],0,(Vout+(Rdson3+Rdcr)*Table1[[#This Row],[Iin]]-Table1[[#This Row],[Vin]])/(Vout+(Rdson3-Rdson4-Rs)*Table1[[#This Row],[Iin]]),Fsw*Table1[[#This Row],[t1_Ph_II]]+Table1[[#This Row],[t3_Ph_III]]))</f>
        <v>0</v>
      </c>
      <c r="V62" s="4">
        <f>MAX(Table1[[#This Row],[I_0]:[I_2]])-MIN(Table1[[#This Row],[I_0]:[I_1]])</f>
        <v>3.5733413537225669</v>
      </c>
      <c r="W6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12.044254399332985</v>
      </c>
      <c r="X62" s="354">
        <f>(Table1[[#This Row],[Irms Lf]]^2*Rdcr*(1+Ltc*Ta-Ltc*25))/(1-Table1[[#This Row],[Irms Lf]]^2*Rdcr*Ltc*ThetaCa)</f>
        <v>0.90209107417872814</v>
      </c>
      <c r="Y62" s="354">
        <f>ABS(7.759*10^-3*Fsw^0.9458*(0.00787*Table1[[#This Row],[Ripple Current pk-pk]])^2.304)</f>
        <v>0.60449212616251735</v>
      </c>
      <c r="Z62" s="354">
        <f>Table1[[#This Row],[DCR    Loss]]+Table1[[#This Row],[Core Loss]]</f>
        <v>1.5065832003412454</v>
      </c>
      <c r="AA62" s="4">
        <f>IF(Table1[[#This Row],[Vin]]&gt;Vout, Table1[[#This Row],[Ripple Current pk-pk]]/SQRT(12), SQRT(Table1[[#This Row],[Duty Cycle BOOST Leg]]/(1-Table1[[#This Row],[Duty Cycle BOOST Leg]]))*SQRT(Table1[[#This Row],[Iout]]^2+(Table1[[#This Row],[Ripple Current pk-pk]]^2)/12))</f>
        <v>1.0315347962390728</v>
      </c>
      <c r="AB62" s="354">
        <f>RCoutEsr*Table1[[#This Row],[Irms Cout]]^2</f>
        <v>5.320320179259928E-3</v>
      </c>
      <c r="AC62" s="354">
        <f>Table1[[#This Row],[Cout ESR Loss]]</f>
        <v>5.320320179259928E-3</v>
      </c>
      <c r="AD62" s="354">
        <f>IF(Table1[[#This Row],[Vin]]&gt;Vout, SQRT(Table1[[#This Row],[Duty Cycle BUCK Leg]]*(1-Table1[[#This Row],[Duty Cycle BUCK Leg]]))*SQRT(Table1[[#This Row],[Iout]]^2+(Table1[[#This Row],[Ripple Current pk-pk]]^2)/12), Table1[[#This Row],[Ripple Current pk-pk]]/SQRT(12))</f>
        <v>5.8421817204520075</v>
      </c>
      <c r="AE62" s="354">
        <f>RCinEsr*Table1[[#This Row],[Irms Cin]]^2</f>
        <v>6.8262174509567161E-2</v>
      </c>
      <c r="AF62" s="549">
        <f>Table1[[#This Row],[Cin ESR Loss]]</f>
        <v>6.8262174509567161E-2</v>
      </c>
      <c r="AG6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9.4937015091996635</v>
      </c>
      <c r="AH62" s="354">
        <f>Rdson1*Table1[[#This Row],[Irms BuCtrl]]^2</f>
        <v>0.37854754705227595</v>
      </c>
      <c r="AI62" s="354">
        <f>CHOOSE(Table1[[#This Row],[Mode Digit]], (Table1[[#This Row],[Vin]]*Table1[[#This Row],[Iout]]/2)*(Fsw)*(Tr_buck+Tf_buck), 0, (Table1[[#This Row],[Vin]]*Table1[[#This Row],[Avg IL]]/2)*(Fsw/1)*(Tr_buck+Tf_buck))</f>
        <v>2.8214047225702168</v>
      </c>
      <c r="AJ62">
        <f>IF(Table1[[#This Row],[Vin]]&gt;Vout, IF(Table1[[#This Row],[Iout]]&gt;Table1[[#This Row],[Ripple Current pk-pk]]/2,0,ABS(Table1[[#This Row],[Iout]]-Table1[[#This Row],[Ripple Current pk-pk]]/2)*Vsd_Q1*Deadtime*Fsw),0)</f>
        <v>0</v>
      </c>
      <c r="AK62" s="354">
        <f>(Table1[[#This Row],[Dead Time Loss BuCtrl]]+Table1[[#This Row],[Transition Loss BuCtrl]]+Table1[[#This Row],[RDS(on) Loss BuCtrl]]*(1+RdsonTopTc*Ta-RdsonTopTc*25))/(1-Table1[[#This Row],[RDS(on) Loss BuCtrl]]*RdsonTopTc*ThetaJA_Q1)</f>
        <v>3.5197241786096805</v>
      </c>
      <c r="AL62" s="354">
        <f>CHOOSE(Table1[[#This Row],[Mode Digit]],SQRT((Fsw*(Table1[[#This Row],[t2_Ph_I]]+0))*((Table1[[#This Row],[I_0]]*Table1[[#This Row],[I_1]]+((Table1[[#This Row],[I_0]]-Table1[[#This Row],[I_1]])^2)/3))),0,SQRT((Fsw*(Table1[[#This Row],[t3_Ph_III]]+0))*((Table1[[#This Row],[I_0]]*Table1[[#This Row],[I_2]]+((Table1[[#This Row],[I_0]]-Table1[[#This Row],[I_2]])^2)/3))))</f>
        <v>7.411726903365504</v>
      </c>
      <c r="AM62" s="354">
        <f>Rdson2*Table1[[#This Row],[Irms BuSync]]^2</f>
        <v>0.23072152189830245</v>
      </c>
      <c r="AN6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2" s="354">
        <f>(Table1[[#This Row],[Deadtime Loss BuSync]]+Table1[[#This Row],[RDS(on) Loss BuSync]]*(1+RdsonBotTc*Ta-RdsonBotTc*25))/(1-Table1[[#This Row],[RDS(on) Loss BuSync]]*RdsonBotTc*ThetaJA_Q2)</f>
        <v>0.85546262370196247</v>
      </c>
      <c r="AP62" s="354">
        <f>CHOOSE(Table1[[#This Row],[Mode Digit]],0,SQRT((Fsw*(Table1[[#This Row],[t1_Ph_II]]+0))*((Table1[[#This Row],[I_0]]*Table1[[#This Row],[I_1]]+((Table1[[#This Row],[I_0]]-Table1[[#This Row],[I_1]])^2)/3))),SQRT((Fsw*(Table1[[#This Row],[t2_Ph_I]]+0))*((Table1[[#This Row],[I_1]]*Table1[[#This Row],[I_2]]+((Table1[[#This Row],[I_1]]-Table1[[#This Row],[I_2]])^2)/3))))</f>
        <v>0</v>
      </c>
      <c r="AQ62" s="354">
        <f>Rdson4*Table1[[#This Row],[Irms BoCtlr]]^2</f>
        <v>0</v>
      </c>
      <c r="AR62" s="354">
        <f>CHOOSE(Table1[[#This Row],[Mode Digit]], 0, (Vout*Table1[[#This Row],[Iin]]/2)*(Fsw)*(Tr_boost+Tf_boost), (Vout*Iout/2)*(Fsw/1)*(Tr_boost+Tf_boost))</f>
        <v>0</v>
      </c>
      <c r="AS62">
        <f>IF(Table1[[#This Row],[Vin]]&gt;Vout, 0, IF(Table1[[#This Row],[Iin]]&gt;Table1[[#This Row],[Ripple Current pk-pk]]/2,0,ABS(Table1[[#This Row],[Iin]]-Table1[[#This Row],[Ripple Current pk-pk]]/2)*Vsd_Q4*Deadtime*Fsw))</f>
        <v>0</v>
      </c>
      <c r="AT62" s="354">
        <f>(Table1[[#This Row],[Dead Time Loss BoCtlr]]+Table1[[#This Row],[Transition Loss BoCtlr]]+Table1[[#This Row],[RDS(on) Loss BoCtlr]]*(1+RdsonTopTc*Ta-RdsonTopTc*25))/(1-Table1[[#This Row],[RDS(on) Loss BoCtlr]]*RdsonTopTc*ThetaJA_Q4)</f>
        <v>0</v>
      </c>
      <c r="AU6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12.044254399332985</v>
      </c>
      <c r="AV62" s="354">
        <f>Rdson3*Table1[[#This Row],[Irms BoSync]]^2</f>
        <v>0.60926906895057842</v>
      </c>
      <c r="AW6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2" s="354">
        <f>(Table1[[#This Row],[Deadtime Loss BoSync]]+Table1[[#This Row],[RDS(on) Loss BoSync]]*(1+RdsonBotTc*Ta-RdsonBotTc*25))/(1-Table1[[#This Row],[RDS(on) Loss BoSync]]*RdsonBotTc*ThetaJA_Q3)</f>
        <v>0.71361748325721286</v>
      </c>
      <c r="AY62" s="354">
        <f>CHOOSE(Table1[[#This Row],[Mode Digit]], Rdson3*Table1[[#This Row],[Irms Lf]]^2, Rdson1*Table1[[#This Row],[Irms Lf]]^2, 0)</f>
        <v>0.60926906895057842</v>
      </c>
      <c r="AZ62" s="354">
        <f>CHOOSE(Table1[[#This Row],[Mode Digit]], 2*Deadtime*Fsw*IF(VfdSky_Q2&gt;0,VfdSky_Q2,0)*Table1[[#This Row],[Iout]], 2*Deadtime*Fsw*IF(VfdSky_Q3&gt;0,VfdSky_Q3,0)*Table1[[#This Row],[Iin]], 2*Deadtime*Fsw*IF(VfdSky_Q2&gt;0,VfdSky_Q2,0)*Table1[[#This Row],[Iout]]+2*Deadtime*Fsw*IF(VfdSky_Q3&gt;0,VfdSky_Q3,0)*Table1[[#This Row],[Iin]])</f>
        <v>0</v>
      </c>
      <c r="BA62" s="354">
        <f>CHOOSE(Table1[[#This Row],[Mode Digit]], IF(QrrSky_Q2&gt;0,QrrSky_Q2,Qrr_Q2)*Fsw*(Table1[[#This Row],[Vin]]-Table1[[#This Row],[Iout]]*Rdson1),0,  IF(QrrSky_Q2&gt;0,QrrSky_Q2,Qrr_Q2)*Fsw*(Table1[[#This Row],[Vin]]-Table1[[#This Row],[Iout]]*Rdson1)+IF(QrrSky_Q3&gt;0,QrrSky_Q3,Qrr_Q3)*Fsw*Vout)</f>
        <v>0.28391520000000003</v>
      </c>
      <c r="BB62" s="354">
        <f>CHOOSE(Table1[[#This Row],[Mode Digit]],0, IF(QrrSky_Q3&gt;0,QrrSky_Q3,Qrr_Q3)*Fsw*Vout,  IF(QrrSky_Q2&gt;0,QrrSky_Q2,Qrr_Q2)*Fsw*(Table1[[#This Row],[Vin]]-Table1[[#This Row],[Iout]]*Rdson1)+IF(QrrSky_Q3&gt;0,QrrSky_Q3,Qrr_Q3)*Fsw*Vout)</f>
        <v>0</v>
      </c>
      <c r="BC62" s="354">
        <f>CHOOSE(Table1[[#This Row],[Mode Digit]], Rs*Table1[[#This Row],[Irms BuSync]]^2, Rs*Table1[[#This Row],[Irms BoCtlr]]^2, Rs*(Table1[[#This Row],[Irms BuSync]]^2+Table1[[#This Row],[Irms BoCtlr]]^2))</f>
        <v>0.13733423922518001</v>
      </c>
      <c r="BD62" s="354">
        <f t="shared" si="1"/>
        <v>1.44</v>
      </c>
      <c r="BE62" s="354">
        <f>IF(Vout&gt;8, Iq*Vout, Iq*Table1[[#This Row],[Vin]])</f>
        <v>4.3799999999999999E-2</v>
      </c>
      <c r="BF62" s="354">
        <f>CHOOSE(Table1[[#This Row],[Mode Digit]], (Qg_Q1+Qg_Q2)*Fsw, (Qg_Q3+Qg_Q4)*Fsw, (Qg_Q1+Qg_Q2+Qg_Q3+Qg_Q4)*Fsw)*IF(Vout&gt;8, Vout, Table1[[#This Row],[Vin]])</f>
        <v>0.47303999999999996</v>
      </c>
      <c r="BG62" s="354">
        <f t="shared" si="2"/>
        <v>0.57269042016806726</v>
      </c>
      <c r="BH62" s="354">
        <f>Table1[[#This Row],[IQ Loss]]+Table1[[#This Row],[Switching Current Loss]]</f>
        <v>0.51683999999999997</v>
      </c>
      <c r="BI6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9.0470594198241088</v>
      </c>
      <c r="BJ62">
        <f>Vout*Table1[[#This Row],[Iout]]</f>
        <v>175.2</v>
      </c>
      <c r="BK62" s="550">
        <f>Table1[[#This Row],[Pout]]/(Table1[[#This Row],[Pout]]+Table1[[#This Row],[Total Loss]])</f>
        <v>0.95089712992808451</v>
      </c>
      <c r="BL6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211.18345071658084</v>
      </c>
      <c r="BM62" s="559">
        <f>IF(Table1[[#This Row],[Vin]]&gt;Vout, Table1[[#This Row],[Total Sync Bu MOSFET Loss]]*ThetaJA_Q2, ThetaJA_Q3*Table1[[#This Row],[Total Sync Bo MOSFET Loss]])</f>
        <v>51.327757422117749</v>
      </c>
      <c r="BN62" s="9"/>
      <c r="BO62" s="4">
        <f>Table1[[#This Row],[EFF, h]]*100</f>
        <v>95.089712992808444</v>
      </c>
      <c r="BP62" s="354">
        <f>Table1[[#This Row],[Total Inductor Loss]]</f>
        <v>1.5065832003412454</v>
      </c>
      <c r="BQ62" s="354">
        <f>Table1[[#This Row],[Total Control Bu MOSFET Loss]]+Table1[[#This Row],[Total Sync Bu MOSFET Loss]]+Table1[[#This Row],[Total Control Bo MOSFET Loss]]+Table1[[#This Row],[Total Sync Bo MOSFET Loss]]+Table1[[#This Row],[Reverse Recovery Loss MOSFET D BUCK]]+Table1[[#This Row],[Reverse Recovery Loss MOSFET D BOOST]]</f>
        <v>5.3727194855688563</v>
      </c>
      <c r="BR62" s="354">
        <f>Table1[[#This Row],[Total Control Bu MOSFET Loss]]+Table1[[#This Row],[Reverse Recovery Loss MOSFET D BUCK]]*0.66</f>
        <v>3.7071082106096807</v>
      </c>
      <c r="BS62" s="354">
        <f>Table1[[#This Row],[Total Sync Bu MOSFET Loss]]+Table1[[#This Row],[Reverse Recovery Loss MOSFET D BUCK]]*0.33</f>
        <v>0.94915463970196245</v>
      </c>
      <c r="BT62" s="354">
        <f xml:space="preserve"> Table1[[#This Row],[Total Control Bo MOSFET Loss]]+Table1[[#This Row],[Reverse Recovery Loss MOSFET D BOOST]]*0.66</f>
        <v>0</v>
      </c>
      <c r="BU62" s="354">
        <f xml:space="preserve"> Table1[[#This Row],[Total Sync Bo MOSFET Loss]]+Table1[[#This Row],[Reverse Recovery Loss MOSFET D BOOST]]*0.33</f>
        <v>0.71361748325721286</v>
      </c>
      <c r="BV62" s="354">
        <f>Table1[[#This Row],[Isense Shunt Loss]]</f>
        <v>0.13733423922518001</v>
      </c>
      <c r="CB62" s="18"/>
      <c r="CC62" s="19"/>
    </row>
    <row r="63" spans="1:83" x14ac:dyDescent="0.2">
      <c r="A63" s="23" t="s">
        <v>120</v>
      </c>
      <c r="B63" s="72">
        <v>2</v>
      </c>
      <c r="C63" s="441" t="s">
        <v>237</v>
      </c>
      <c r="D63" s="21" t="s">
        <v>105</v>
      </c>
      <c r="G63">
        <v>54</v>
      </c>
      <c r="H63" s="555">
        <f>VIN_min+(VIN_max-VIN_min)*(Table1[[#This Row],[Step]]/200)</f>
        <v>23.78</v>
      </c>
      <c r="I63" s="4" t="str">
        <f>IF(Mode = 2,IF(Table1[[#This Row],[Vin]]&gt;Vout, "BUCK","BOOST"),IF(Table1[[#This Row],[Vin]]&gt;VIN_BB_to_buck, "BUCK", IF(Table1[[#This Row],[Vin]]&lt;=VIN_boost_to_BB,"BOOST","BUCK-BST")))</f>
        <v>BUCK</v>
      </c>
      <c r="J63">
        <f>IF(Table1[[#This Row],[Mode]]="BOOST",2, IF(Table1[[#This Row],[Mode]]="BUCK", 1,3))</f>
        <v>1</v>
      </c>
      <c r="K63">
        <f t="shared" si="0"/>
        <v>12</v>
      </c>
      <c r="L63" s="4">
        <f>Vout*Table1[[#This Row],[Iout]]/(Table1[[#This Row],[Vin]]*Efficiency)</f>
        <v>7.7553007834978525</v>
      </c>
      <c r="M63" s="711">
        <f>MIN(1/Fsw,CHOOSE(Table1[[#This Row],[Mode Digit]],(Vout+(Rdson2+Rs+Rdcr)*Table1[[#This Row],[Iout]])/(Table1[[#This Row],[Vin]]+(Rs+Rdson2-Rdson1)*Table1[[#This Row],[Iout]])/Fsw,(Vout+(Rdson3+Rdcr)*Table1[[#This Row],[Iin]]-Table1[[#This Row],[Vin]])/(Vout+(Rdson3-Rdson4-Rs)*Table1[[#This Row],[Iin]])/Fsw,t1_Ph_II))</f>
        <v>1.0324793504129916E-6</v>
      </c>
      <c r="N63" s="602">
        <f>CHOOSE(Table1[[#This Row],[Mode Digit]],1/Fsw-Table1[[#This Row],[t1_Ph_II]],1/Fsw-Table1[[#This Row],[t1_Ph_II]],(Vout/Fsw-Table1[[#This Row],[Vin]]*t1_Ph_II)/(Table1[[#This Row],[Vin]]+Vout))</f>
        <v>6.3418731625367509E-7</v>
      </c>
      <c r="O63" s="602">
        <f>1/Fsw-(Table1[[#This Row],[t1_Ph_II]]+Table1[[#This Row],[t2_Ph_I]])</f>
        <v>0</v>
      </c>
      <c r="P6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10.20489385666832</v>
      </c>
      <c r="Q63" s="4">
        <f>CHOOSE(Table1[[#This Row],[Mode Digit]],Table1[[#This Row],[I_0]]+1/Lf*(Table1[[#This Row],[Vin]]-Vout)*Table1[[#This Row],[t1_Ph_II]],Table1[[#This Row],[I_0]]+1/Lf*Table1[[#This Row],[Vin]]*Table1[[#This Row],[t1_Ph_II]],Table1[[#This Row],[I_0]]+(Table1[[#This Row],[Vin]]-Vout)/L*Table1[[#This Row],[t1_Ph_II]])</f>
        <v>13.795106143331678</v>
      </c>
      <c r="R63" s="4">
        <f>CHOOSE(Table1[[#This Row],[Mode Digit]],0,0,Table1[[#This Row],[I_1]]+Table1[[#This Row],[Vin]]/L*Table1[[#This Row],[t2_Ph_I]])</f>
        <v>0</v>
      </c>
      <c r="S63" s="4">
        <f>Fsw*(Table1[[#This Row],[I_0]]*Table1[[#This Row],[t1_Ph_II]]+Table1[[#This Row],[I_1]]*Table1[[#This Row],[t2_Ph_I]]+Table1[[#This Row],[I_2]]*Table1[[#This Row],[t3_Ph_III]])</f>
        <v>11.571014113584322</v>
      </c>
      <c r="T63" s="354">
        <f>MIN(1,CHOOSE(Table1[[#This Row],[Mode Digit]],(Vout+(Rdson2+Rs+Rdcr)*Table1[[#This Row],[Iout]])/(Table1[[#This Row],[Vin]]+(Rs+Rdson2-Rdson1)*Table1[[#This Row],[Iout]]),1,Fsw*Table1[[#This Row],[t2_Ph_I]]+Table1[[#This Row],[t1_Ph_II]]))</f>
        <v>0.61948761024779497</v>
      </c>
      <c r="U63" s="354">
        <f>MIN(1,CHOOSE(Table1[[#This Row],[Mode Digit]],0,(Vout+(Rdson3+Rdcr)*Table1[[#This Row],[Iin]]-Table1[[#This Row],[Vin]])/(Vout+(Rdson3-Rdson4-Rs)*Table1[[#This Row],[Iin]]),Fsw*Table1[[#This Row],[t1_Ph_II]]+Table1[[#This Row],[t3_Ph_III]]))</f>
        <v>0</v>
      </c>
      <c r="V63" s="4">
        <f>MAX(Table1[[#This Row],[I_0]:[I_2]])-MIN(Table1[[#This Row],[I_0]:[I_1]])</f>
        <v>3.5902122866633572</v>
      </c>
      <c r="W6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12.044672488501947</v>
      </c>
      <c r="X63" s="354">
        <f>(Table1[[#This Row],[Irms Lf]]^2*Rdcr*(1+Ltc*Ta-Ltc*25))/(1-Table1[[#This Row],[Irms Lf]]^2*Rdcr*Ltc*ThetaCa)</f>
        <v>0.90215822350252062</v>
      </c>
      <c r="Y63" s="354">
        <f>ABS(7.759*10^-3*Fsw^0.9458*(0.00787*Table1[[#This Row],[Ripple Current pk-pk]])^2.304)</f>
        <v>0.61108801295394122</v>
      </c>
      <c r="Z63" s="354">
        <f>Table1[[#This Row],[DCR    Loss]]+Table1[[#This Row],[Core Loss]]</f>
        <v>1.5132462364564618</v>
      </c>
      <c r="AA63" s="4">
        <f>IF(Table1[[#This Row],[Vin]]&gt;Vout, Table1[[#This Row],[Ripple Current pk-pk]]/SQRT(12), SQRT(Table1[[#This Row],[Duty Cycle BOOST Leg]]/(1-Table1[[#This Row],[Duty Cycle BOOST Leg]]))*SQRT(Table1[[#This Row],[Iout]]^2+(Table1[[#This Row],[Ripple Current pk-pk]]^2)/12))</f>
        <v>1.0364050150764956</v>
      </c>
      <c r="AB63" s="354">
        <f>RCoutEsr*Table1[[#This Row],[Irms Cout]]^2</f>
        <v>5.3706767763785556E-3</v>
      </c>
      <c r="AC63" s="354">
        <f>Table1[[#This Row],[Cout ESR Loss]]</f>
        <v>5.3706767763785556E-3</v>
      </c>
      <c r="AD63" s="354">
        <f>IF(Table1[[#This Row],[Vin]]&gt;Vout, SQRT(Table1[[#This Row],[Duty Cycle BUCK Leg]]*(1-Table1[[#This Row],[Duty Cycle BUCK Leg]]))*SQRT(Table1[[#This Row],[Iout]]^2+(Table1[[#This Row],[Ripple Current pk-pk]]^2)/12), Table1[[#This Row],[Ripple Current pk-pk]]/SQRT(12))</f>
        <v>5.8478430623205542</v>
      </c>
      <c r="AE63" s="354">
        <f>RCinEsr*Table1[[#This Row],[Irms Cin]]^2</f>
        <v>6.8394536963061275E-2</v>
      </c>
      <c r="AF63" s="549">
        <f>Table1[[#This Row],[Cin ESR Loss]]</f>
        <v>6.8394536963061275E-2</v>
      </c>
      <c r="AG6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9.4800648426055005</v>
      </c>
      <c r="AH63" s="354">
        <f>Rdson1*Table1[[#This Row],[Irms BuCtrl]]^2</f>
        <v>0.37746084356402043</v>
      </c>
      <c r="AI63" s="354">
        <f>CHOOSE(Table1[[#This Row],[Mode Digit]], (Table1[[#This Row],[Vin]]*Table1[[#This Row],[Iout]]/2)*(Fsw)*(Tr_buck+Tf_buck), 0, (Table1[[#This Row],[Vin]]*Table1[[#This Row],[Avg IL]]/2)*(Fsw/1)*(Tr_buck+Tf_buck))</f>
        <v>2.8297344708021828</v>
      </c>
      <c r="AJ63">
        <f>IF(Table1[[#This Row],[Vin]]&gt;Vout, IF(Table1[[#This Row],[Iout]]&gt;Table1[[#This Row],[Ripple Current pk-pk]]/2,0,ABS(Table1[[#This Row],[Iout]]-Table1[[#This Row],[Ripple Current pk-pk]]/2)*Vsd_Q1*Deadtime*Fsw),0)</f>
        <v>0</v>
      </c>
      <c r="AK63" s="354">
        <f>(Table1[[#This Row],[Dead Time Loss BuCtrl]]+Table1[[#This Row],[Transition Loss BuCtrl]]+Table1[[#This Row],[RDS(on) Loss BuCtrl]]*(1+RdsonTopTc*Ta-RdsonTopTc*25))/(1-Table1[[#This Row],[RDS(on) Loss BuCtrl]]*RdsonTopTc*ThetaJA_Q1)</f>
        <v>3.5266793184955949</v>
      </c>
      <c r="AL63" s="354">
        <f>CHOOSE(Table1[[#This Row],[Mode Digit]],SQRT((Fsw*(Table1[[#This Row],[t2_Ph_I]]+0))*((Table1[[#This Row],[I_0]]*Table1[[#This Row],[I_1]]+((Table1[[#This Row],[I_0]]-Table1[[#This Row],[I_1]])^2)/3))),0,SQRT((Fsw*(Table1[[#This Row],[t3_Ph_III]]+0))*((Table1[[#This Row],[I_0]]*Table1[[#This Row],[I_2]]+((Table1[[#This Row],[I_0]]-Table1[[#This Row],[I_2]])^2)/3))))</f>
        <v>7.4298388902634223</v>
      </c>
      <c r="AM63" s="354">
        <f>Rdson2*Table1[[#This Row],[Irms BuSync]]^2</f>
        <v>0.2318505249281374</v>
      </c>
      <c r="AN6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3" s="354">
        <f>(Table1[[#This Row],[Deadtime Loss BuSync]]+Table1[[#This Row],[RDS(on) Loss BuSync]]*(1+RdsonBotTc*Ta-RdsonBotTc*25))/(1-Table1[[#This Row],[RDS(on) Loss BuSync]]*RdsonBotTc*ThetaJA_Q2)</f>
        <v>0.85690360568963519</v>
      </c>
      <c r="AP63" s="354">
        <f>CHOOSE(Table1[[#This Row],[Mode Digit]],0,SQRT((Fsw*(Table1[[#This Row],[t1_Ph_II]]+0))*((Table1[[#This Row],[I_0]]*Table1[[#This Row],[I_1]]+((Table1[[#This Row],[I_0]]-Table1[[#This Row],[I_1]])^2)/3))),SQRT((Fsw*(Table1[[#This Row],[t2_Ph_I]]+0))*((Table1[[#This Row],[I_1]]*Table1[[#This Row],[I_2]]+((Table1[[#This Row],[I_1]]-Table1[[#This Row],[I_2]])^2)/3))))</f>
        <v>0</v>
      </c>
      <c r="AQ63" s="354">
        <f>Rdson4*Table1[[#This Row],[Irms BoCtlr]]^2</f>
        <v>0</v>
      </c>
      <c r="AR63" s="354">
        <f>CHOOSE(Table1[[#This Row],[Mode Digit]], 0, (Vout*Table1[[#This Row],[Iin]]/2)*(Fsw)*(Tr_boost+Tf_boost), (Vout*Iout/2)*(Fsw/1)*(Tr_boost+Tf_boost))</f>
        <v>0</v>
      </c>
      <c r="AS63">
        <f>IF(Table1[[#This Row],[Vin]]&gt;Vout, 0, IF(Table1[[#This Row],[Iin]]&gt;Table1[[#This Row],[Ripple Current pk-pk]]/2,0,ABS(Table1[[#This Row],[Iin]]-Table1[[#This Row],[Ripple Current pk-pk]]/2)*Vsd_Q4*Deadtime*Fsw))</f>
        <v>0</v>
      </c>
      <c r="AT63" s="354">
        <f>(Table1[[#This Row],[Dead Time Loss BoCtlr]]+Table1[[#This Row],[Transition Loss BoCtlr]]+Table1[[#This Row],[RDS(on) Loss BoCtlr]]*(1+RdsonTopTc*Ta-RdsonTopTc*25))/(1-Table1[[#This Row],[RDS(on) Loss BoCtlr]]*RdsonTopTc*ThetaJA_Q4)</f>
        <v>0</v>
      </c>
      <c r="AU6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12.044672488501947</v>
      </c>
      <c r="AV63" s="354">
        <f>Rdson3*Table1[[#This Row],[Irms BoSync]]^2</f>
        <v>0.60931136849215795</v>
      </c>
      <c r="AW6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3" s="354">
        <f>(Table1[[#This Row],[Deadtime Loss BoSync]]+Table1[[#This Row],[RDS(on) Loss BoSync]]*(1+RdsonBotTc*Ta-RdsonBotTc*25))/(1-Table1[[#This Row],[RDS(on) Loss BoSync]]*RdsonBotTc*ThetaJA_Q3)</f>
        <v>0.71367551338493884</v>
      </c>
      <c r="AY63" s="354">
        <f>CHOOSE(Table1[[#This Row],[Mode Digit]], Rdson3*Table1[[#This Row],[Irms Lf]]^2, Rdson1*Table1[[#This Row],[Irms Lf]]^2, 0)</f>
        <v>0.60931136849215795</v>
      </c>
      <c r="AZ63" s="354">
        <f>CHOOSE(Table1[[#This Row],[Mode Digit]], 2*Deadtime*Fsw*IF(VfdSky_Q2&gt;0,VfdSky_Q2,0)*Table1[[#This Row],[Iout]], 2*Deadtime*Fsw*IF(VfdSky_Q3&gt;0,VfdSky_Q3,0)*Table1[[#This Row],[Iin]], 2*Deadtime*Fsw*IF(VfdSky_Q2&gt;0,VfdSky_Q2,0)*Table1[[#This Row],[Iout]]+2*Deadtime*Fsw*IF(VfdSky_Q3&gt;0,VfdSky_Q3,0)*Table1[[#This Row],[Iin]])</f>
        <v>0</v>
      </c>
      <c r="BA63" s="354">
        <f>CHOOSE(Table1[[#This Row],[Mode Digit]], IF(QrrSky_Q2&gt;0,QrrSky_Q2,Qrr_Q2)*Fsw*(Table1[[#This Row],[Vin]]-Table1[[#This Row],[Iout]]*Rdson1),0,  IF(QrrSky_Q2&gt;0,QrrSky_Q2,Qrr_Q2)*Fsw*(Table1[[#This Row],[Vin]]-Table1[[#This Row],[Iout]]*Rdson1)+IF(QrrSky_Q3&gt;0,QrrSky_Q3,Qrr_Q3)*Fsw*Vout)</f>
        <v>0.28475520000000004</v>
      </c>
      <c r="BB63" s="354">
        <f>CHOOSE(Table1[[#This Row],[Mode Digit]],0, IF(QrrSky_Q3&gt;0,QrrSky_Q3,Qrr_Q3)*Fsw*Vout,  IF(QrrSky_Q2&gt;0,QrrSky_Q2,Qrr_Q2)*Fsw*(Table1[[#This Row],[Vin]]-Table1[[#This Row],[Iout]]*Rdson1)+IF(QrrSky_Q3&gt;0,QrrSky_Q3,Qrr_Q3)*Fsw*Vout)</f>
        <v>0</v>
      </c>
      <c r="BC63" s="354">
        <f>CHOOSE(Table1[[#This Row],[Mode Digit]], Rs*Table1[[#This Row],[Irms BuSync]]^2, Rs*Table1[[#This Row],[Irms BoCtlr]]^2, Rs*(Table1[[#This Row],[Irms BuSync]]^2+Table1[[#This Row],[Irms BoCtlr]]^2))</f>
        <v>0.13800626483817699</v>
      </c>
      <c r="BD63" s="354">
        <f t="shared" si="1"/>
        <v>1.44</v>
      </c>
      <c r="BE63" s="354">
        <f>IF(Vout&gt;8, Iq*Vout, Iq*Table1[[#This Row],[Vin]])</f>
        <v>4.3799999999999999E-2</v>
      </c>
      <c r="BF63" s="354">
        <f>CHOOSE(Table1[[#This Row],[Mode Digit]], (Qg_Q1+Qg_Q2)*Fsw, (Qg_Q3+Qg_Q4)*Fsw, (Qg_Q1+Qg_Q2+Qg_Q3+Qg_Q4)*Fsw)*IF(Vout&gt;8, Vout, Table1[[#This Row],[Vin]])</f>
        <v>0.47303999999999996</v>
      </c>
      <c r="BG63" s="354">
        <f t="shared" si="2"/>
        <v>0.57269042016806726</v>
      </c>
      <c r="BH63" s="354">
        <f>Table1[[#This Row],[IQ Loss]]+Table1[[#This Row],[Switching Current Loss]]</f>
        <v>0.51683999999999997</v>
      </c>
      <c r="BI6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9.0638713526042487</v>
      </c>
      <c r="BJ63">
        <f>Vout*Table1[[#This Row],[Iout]]</f>
        <v>175.2</v>
      </c>
      <c r="BK63" s="550">
        <f>Table1[[#This Row],[Pout]]/(Table1[[#This Row],[Pout]]+Table1[[#This Row],[Total Loss]])</f>
        <v>0.95081037163677207</v>
      </c>
      <c r="BL6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211.60075910973569</v>
      </c>
      <c r="BM63" s="559">
        <f>IF(Table1[[#This Row],[Vin]]&gt;Vout, Table1[[#This Row],[Total Sync Bu MOSFET Loss]]*ThetaJA_Q2, ThetaJA_Q3*Table1[[#This Row],[Total Sync Bo MOSFET Loss]])</f>
        <v>51.414216341378115</v>
      </c>
      <c r="BN63" s="9"/>
      <c r="BO63" s="4">
        <f>Table1[[#This Row],[EFF, h]]*100</f>
        <v>95.081037163677209</v>
      </c>
      <c r="BP63" s="354">
        <f>Table1[[#This Row],[Total Inductor Loss]]</f>
        <v>1.5132462364564618</v>
      </c>
      <c r="BQ63" s="354">
        <f>Table1[[#This Row],[Total Control Bu MOSFET Loss]]+Table1[[#This Row],[Total Sync Bu MOSFET Loss]]+Table1[[#This Row],[Total Control Bo MOSFET Loss]]+Table1[[#This Row],[Total Sync Bo MOSFET Loss]]+Table1[[#This Row],[Reverse Recovery Loss MOSFET D BUCK]]+Table1[[#This Row],[Reverse Recovery Loss MOSFET D BOOST]]</f>
        <v>5.3820136375701688</v>
      </c>
      <c r="BR63" s="354">
        <f>Table1[[#This Row],[Total Control Bu MOSFET Loss]]+Table1[[#This Row],[Reverse Recovery Loss MOSFET D BUCK]]*0.66</f>
        <v>3.7146177504955951</v>
      </c>
      <c r="BS63" s="354">
        <f>Table1[[#This Row],[Total Sync Bu MOSFET Loss]]+Table1[[#This Row],[Reverse Recovery Loss MOSFET D BUCK]]*0.33</f>
        <v>0.95087282168963516</v>
      </c>
      <c r="BT63" s="354">
        <f xml:space="preserve"> Table1[[#This Row],[Total Control Bo MOSFET Loss]]+Table1[[#This Row],[Reverse Recovery Loss MOSFET D BOOST]]*0.66</f>
        <v>0</v>
      </c>
      <c r="BU63" s="354">
        <f xml:space="preserve"> Table1[[#This Row],[Total Sync Bo MOSFET Loss]]+Table1[[#This Row],[Reverse Recovery Loss MOSFET D BOOST]]*0.33</f>
        <v>0.71367551338493884</v>
      </c>
      <c r="BV63" s="354">
        <f>Table1[[#This Row],[Isense Shunt Loss]]</f>
        <v>0.13800626483817699</v>
      </c>
      <c r="CB63" s="18"/>
      <c r="CC63" s="19"/>
    </row>
    <row r="64" spans="1:83" x14ac:dyDescent="0.2">
      <c r="A64" s="73"/>
      <c r="B64" s="30"/>
      <c r="G64">
        <v>55</v>
      </c>
      <c r="H64" s="555">
        <f>VIN_min+(VIN_max-VIN_min)*(Table1[[#This Row],[Step]]/200)</f>
        <v>23.85</v>
      </c>
      <c r="I64" s="4" t="str">
        <f>IF(Mode = 2,IF(Table1[[#This Row],[Vin]]&gt;Vout, "BUCK","BOOST"),IF(Table1[[#This Row],[Vin]]&gt;VIN_BB_to_buck, "BUCK", IF(Table1[[#This Row],[Vin]]&lt;=VIN_boost_to_BB,"BOOST","BUCK-BST")))</f>
        <v>BUCK</v>
      </c>
      <c r="J64">
        <f>IF(Table1[[#This Row],[Mode]]="BOOST",2, IF(Table1[[#This Row],[Mode]]="BUCK", 1,3))</f>
        <v>1</v>
      </c>
      <c r="K64">
        <f t="shared" si="0"/>
        <v>12</v>
      </c>
      <c r="L64" s="4">
        <f>Vout*Table1[[#This Row],[Iout]]/(Table1[[#This Row],[Vin]]*Efficiency)</f>
        <v>7.7325388944058258</v>
      </c>
      <c r="M64" s="711">
        <f>MIN(1/Fsw,CHOOSE(Table1[[#This Row],[Mode Digit]],(Vout+(Rdson2+Rs+Rdcr)*Table1[[#This Row],[Iout]])/(Table1[[#This Row],[Vin]]+(Rs+Rdson2-Rdson1)*Table1[[#This Row],[Iout]])/Fsw,(Vout+(Rdson3+Rdcr)*Table1[[#This Row],[Iin]]-Table1[[#This Row],[Vin]])/(Vout+(Rdson3-Rdson4-Rs)*Table1[[#This Row],[Iin]])/Fsw,t1_Ph_II))</f>
        <v>1.0294528196538246E-6</v>
      </c>
      <c r="N64" s="602">
        <f>CHOOSE(Table1[[#This Row],[Mode Digit]],1/Fsw-Table1[[#This Row],[t1_Ph_II]],1/Fsw-Table1[[#This Row],[t1_Ph_II]],(Vout/Fsw-Table1[[#This Row],[Vin]]*t1_Ph_II)/(Table1[[#This Row],[Vin]]+Vout))</f>
        <v>6.3721384701284203E-7</v>
      </c>
      <c r="O64" s="602">
        <f>1/Fsw-(Table1[[#This Row],[t1_Ph_II]]+Table1[[#This Row],[t2_Ph_I]])</f>
        <v>0</v>
      </c>
      <c r="P6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10.196507844356463</v>
      </c>
      <c r="Q64" s="4">
        <f>CHOOSE(Table1[[#This Row],[Mode Digit]],Table1[[#This Row],[I_0]]+1/Lf*(Table1[[#This Row],[Vin]]-Vout)*Table1[[#This Row],[t1_Ph_II]],Table1[[#This Row],[I_0]]+1/Lf*Table1[[#This Row],[Vin]]*Table1[[#This Row],[t1_Ph_II]],Table1[[#This Row],[I_0]]+(Table1[[#This Row],[Vin]]-Vout)/L*Table1[[#This Row],[t1_Ph_II]])</f>
        <v>13.803492155643537</v>
      </c>
      <c r="R64" s="4">
        <f>CHOOSE(Table1[[#This Row],[Mode Digit]],0,0,Table1[[#This Row],[I_1]]+Table1[[#This Row],[Vin]]/L*Table1[[#This Row],[t2_Ph_I]])</f>
        <v>0</v>
      </c>
      <c r="S64" s="4">
        <f>Fsw*(Table1[[#This Row],[I_0]]*Table1[[#This Row],[t1_Ph_II]]+Table1[[#This Row],[I_1]]*Table1[[#This Row],[t2_Ph_I]]+Table1[[#This Row],[I_2]]*Table1[[#This Row],[t3_Ph_III]])</f>
        <v>11.575560053822585</v>
      </c>
      <c r="T64" s="354">
        <f>MIN(1,CHOOSE(Table1[[#This Row],[Mode Digit]],(Vout+(Rdson2+Rs+Rdcr)*Table1[[#This Row],[Iout]])/(Table1[[#This Row],[Vin]]+(Rs+Rdson2-Rdson1)*Table1[[#This Row],[Iout]]),1,Fsw*Table1[[#This Row],[t2_Ph_I]]+Table1[[#This Row],[t1_Ph_II]]))</f>
        <v>0.61767169179229475</v>
      </c>
      <c r="U64" s="354">
        <f>MIN(1,CHOOSE(Table1[[#This Row],[Mode Digit]],0,(Vout+(Rdson3+Rdcr)*Table1[[#This Row],[Iin]]-Table1[[#This Row],[Vin]])/(Vout+(Rdson3-Rdson4-Rs)*Table1[[#This Row],[Iin]]),Fsw*Table1[[#This Row],[t1_Ph_II]]+Table1[[#This Row],[t3_Ph_III]]))</f>
        <v>0</v>
      </c>
      <c r="V64" s="4">
        <f>MAX(Table1[[#This Row],[I_0]:[I_2]])-MIN(Table1[[#This Row],[I_0]:[I_1]])</f>
        <v>3.606984311287075</v>
      </c>
      <c r="W6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12.045090064080991</v>
      </c>
      <c r="X64" s="354">
        <f>(Table1[[#This Row],[Irms Lf]]^2*Rdcr*(1+Ltc*Ta-Ltc*25))/(1-Table1[[#This Row],[Irms Lf]]^2*Rdcr*Ltc*ThetaCa)</f>
        <v>0.90222529333689683</v>
      </c>
      <c r="Y64" s="354">
        <f>ABS(7.759*10^-3*Fsw^0.9458*(0.00787*Table1[[#This Row],[Ripple Current pk-pk]])^2.304)</f>
        <v>0.61768541612177308</v>
      </c>
      <c r="Z64" s="354">
        <f>Table1[[#This Row],[DCR    Loss]]+Table1[[#This Row],[Core Loss]]</f>
        <v>1.5199107094586699</v>
      </c>
      <c r="AA64" s="4">
        <f>IF(Table1[[#This Row],[Vin]]&gt;Vout, Table1[[#This Row],[Ripple Current pk-pk]]/SQRT(12), SQRT(Table1[[#This Row],[Duty Cycle BOOST Leg]]/(1-Table1[[#This Row],[Duty Cycle BOOST Leg]]))*SQRT(Table1[[#This Row],[Iout]]^2+(Table1[[#This Row],[Ripple Current pk-pk]]^2)/12))</f>
        <v>1.0412466815421748</v>
      </c>
      <c r="AB64" s="354">
        <f>RCoutEsr*Table1[[#This Row],[Irms Cout]]^2</f>
        <v>5.4209732591129559E-3</v>
      </c>
      <c r="AC64" s="354">
        <f>Table1[[#This Row],[Cout ESR Loss]]</f>
        <v>5.4209732591129559E-3</v>
      </c>
      <c r="AD64" s="354">
        <f>IF(Table1[[#This Row],[Vin]]&gt;Vout, SQRT(Table1[[#This Row],[Duty Cycle BUCK Leg]]*(1-Table1[[#This Row],[Duty Cycle BUCK Leg]]))*SQRT(Table1[[#This Row],[Iout]]^2+(Table1[[#This Row],[Ripple Current pk-pk]]^2)/12), Table1[[#This Row],[Ripple Current pk-pk]]/SQRT(12))</f>
        <v>5.8533855100163619</v>
      </c>
      <c r="AE64" s="354">
        <f>RCinEsr*Table1[[#This Row],[Irms Cin]]^2</f>
        <v>6.8524243857739017E-2</v>
      </c>
      <c r="AF64" s="549">
        <f>Table1[[#This Row],[Cin ESR Loss]]</f>
        <v>6.8524243857739017E-2</v>
      </c>
      <c r="AG6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9.4664882592709034</v>
      </c>
      <c r="AH64" s="354">
        <f>Rdson1*Table1[[#This Row],[Irms BuCtrl]]^2</f>
        <v>0.37638047984423828</v>
      </c>
      <c r="AI64" s="354">
        <f>CHOOSE(Table1[[#This Row],[Mode Digit]], (Table1[[#This Row],[Vin]]*Table1[[#This Row],[Iout]]/2)*(Fsw)*(Tr_buck+Tf_buck), 0, (Table1[[#This Row],[Vin]]*Table1[[#This Row],[Avg IL]]/2)*(Fsw/1)*(Tr_buck+Tf_buck))</f>
        <v>2.8380642190341492</v>
      </c>
      <c r="AJ64">
        <f>IF(Table1[[#This Row],[Vin]]&gt;Vout, IF(Table1[[#This Row],[Iout]]&gt;Table1[[#This Row],[Ripple Current pk-pk]]/2,0,ABS(Table1[[#This Row],[Iout]]-Table1[[#This Row],[Ripple Current pk-pk]]/2)*Vsd_Q1*Deadtime*Fsw),0)</f>
        <v>0</v>
      </c>
      <c r="AK64" s="354">
        <f>(Table1[[#This Row],[Dead Time Loss BuCtrl]]+Table1[[#This Row],[Transition Loss BuCtrl]]+Table1[[#This Row],[RDS(on) Loss BuCtrl]]*(1+RdsonTopTc*Ta-RdsonTopTc*25))/(1-Table1[[#This Row],[RDS(on) Loss BuCtrl]]*RdsonTopTc*ThetaJA_Q1)</f>
        <v>3.5336433499994766</v>
      </c>
      <c r="AL64" s="354">
        <f>CHOOSE(Table1[[#This Row],[Mode Digit]],SQRT((Fsw*(Table1[[#This Row],[t2_Ph_I]]+0))*((Table1[[#This Row],[I_0]]*Table1[[#This Row],[I_1]]+((Table1[[#This Row],[I_0]]-Table1[[#This Row],[I_1]])^2)/3))),0,SQRT((Fsw*(Table1[[#This Row],[t3_Ph_III]]+0))*((Table1[[#This Row],[I_0]]*Table1[[#This Row],[I_2]]+((Table1[[#This Row],[I_0]]-Table1[[#This Row],[I_2]])^2)/3))))</f>
        <v>7.4478046892294856</v>
      </c>
      <c r="AM64" s="354">
        <f>Rdson2*Table1[[#This Row],[Irms BuSync]]^2</f>
        <v>0.23297313769341663</v>
      </c>
      <c r="AN6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4" s="354">
        <f>(Table1[[#This Row],[Deadtime Loss BuSync]]+Table1[[#This Row],[RDS(on) Loss BuSync]]*(1+RdsonBotTc*Ta-RdsonBotTc*25))/(1-Table1[[#This Row],[RDS(on) Loss BuSync]]*RdsonBotTc*ThetaJA_Q2)</f>
        <v>0.8583372517206459</v>
      </c>
      <c r="AP64" s="354">
        <f>CHOOSE(Table1[[#This Row],[Mode Digit]],0,SQRT((Fsw*(Table1[[#This Row],[t1_Ph_II]]+0))*((Table1[[#This Row],[I_0]]*Table1[[#This Row],[I_1]]+((Table1[[#This Row],[I_0]]-Table1[[#This Row],[I_1]])^2)/3))),SQRT((Fsw*(Table1[[#This Row],[t2_Ph_I]]+0))*((Table1[[#This Row],[I_1]]*Table1[[#This Row],[I_2]]+((Table1[[#This Row],[I_1]]-Table1[[#This Row],[I_2]])^2)/3))))</f>
        <v>0</v>
      </c>
      <c r="AQ64" s="354">
        <f>Rdson4*Table1[[#This Row],[Irms BoCtlr]]^2</f>
        <v>0</v>
      </c>
      <c r="AR64" s="354">
        <f>CHOOSE(Table1[[#This Row],[Mode Digit]], 0, (Vout*Table1[[#This Row],[Iin]]/2)*(Fsw)*(Tr_boost+Tf_boost), (Vout*Iout/2)*(Fsw/1)*(Tr_boost+Tf_boost))</f>
        <v>0</v>
      </c>
      <c r="AS64">
        <f>IF(Table1[[#This Row],[Vin]]&gt;Vout, 0, IF(Table1[[#This Row],[Iin]]&gt;Table1[[#This Row],[Ripple Current pk-pk]]/2,0,ABS(Table1[[#This Row],[Iin]]-Table1[[#This Row],[Ripple Current pk-pk]]/2)*Vsd_Q4*Deadtime*Fsw))</f>
        <v>0</v>
      </c>
      <c r="AT64" s="354">
        <f>(Table1[[#This Row],[Dead Time Loss BoCtlr]]+Table1[[#This Row],[Transition Loss BoCtlr]]+Table1[[#This Row],[RDS(on) Loss BoCtlr]]*(1+RdsonTopTc*Ta-RdsonTopTc*25))/(1-Table1[[#This Row],[RDS(on) Loss BoCtlr]]*RdsonTopTc*ThetaJA_Q4)</f>
        <v>0</v>
      </c>
      <c r="AU6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12.045090064080991</v>
      </c>
      <c r="AV64" s="354">
        <f>Rdson3*Table1[[#This Row],[Irms BoSync]]^2</f>
        <v>0.60935361753765516</v>
      </c>
      <c r="AW6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4" s="354">
        <f>(Table1[[#This Row],[Deadtime Loss BoSync]]+Table1[[#This Row],[RDS(on) Loss BoSync]]*(1+RdsonBotTc*Ta-RdsonBotTc*25))/(1-Table1[[#This Row],[RDS(on) Loss BoSync]]*RdsonBotTc*ThetaJA_Q3)</f>
        <v>0.71373347561540867</v>
      </c>
      <c r="AY64" s="354">
        <f>CHOOSE(Table1[[#This Row],[Mode Digit]], Rdson3*Table1[[#This Row],[Irms Lf]]^2, Rdson1*Table1[[#This Row],[Irms Lf]]^2, 0)</f>
        <v>0.60935361753765516</v>
      </c>
      <c r="AZ64" s="354">
        <f>CHOOSE(Table1[[#This Row],[Mode Digit]], 2*Deadtime*Fsw*IF(VfdSky_Q2&gt;0,VfdSky_Q2,0)*Table1[[#This Row],[Iout]], 2*Deadtime*Fsw*IF(VfdSky_Q3&gt;0,VfdSky_Q3,0)*Table1[[#This Row],[Iin]], 2*Deadtime*Fsw*IF(VfdSky_Q2&gt;0,VfdSky_Q2,0)*Table1[[#This Row],[Iout]]+2*Deadtime*Fsw*IF(VfdSky_Q3&gt;0,VfdSky_Q3,0)*Table1[[#This Row],[Iin]])</f>
        <v>0</v>
      </c>
      <c r="BA64" s="354">
        <f>CHOOSE(Table1[[#This Row],[Mode Digit]], IF(QrrSky_Q2&gt;0,QrrSky_Q2,Qrr_Q2)*Fsw*(Table1[[#This Row],[Vin]]-Table1[[#This Row],[Iout]]*Rdson1),0,  IF(QrrSky_Q2&gt;0,QrrSky_Q2,Qrr_Q2)*Fsw*(Table1[[#This Row],[Vin]]-Table1[[#This Row],[Iout]]*Rdson1)+IF(QrrSky_Q3&gt;0,QrrSky_Q3,Qrr_Q3)*Fsw*Vout)</f>
        <v>0.28559520000000005</v>
      </c>
      <c r="BB64" s="354">
        <f>CHOOSE(Table1[[#This Row],[Mode Digit]],0, IF(QrrSky_Q3&gt;0,QrrSky_Q3,Qrr_Q3)*Fsw*Vout,  IF(QrrSky_Q2&gt;0,QrrSky_Q2,Qrr_Q2)*Fsw*(Table1[[#This Row],[Vin]]-Table1[[#This Row],[Iout]]*Rdson1)+IF(QrrSky_Q3&gt;0,QrrSky_Q3,Qrr_Q3)*Fsw*Vout)</f>
        <v>0</v>
      </c>
      <c r="BC64" s="354">
        <f>CHOOSE(Table1[[#This Row],[Mode Digit]], Rs*Table1[[#This Row],[Irms BuSync]]^2, Rs*Table1[[#This Row],[Irms BoCtlr]]^2, Rs*(Table1[[#This Row],[Irms BuSync]]^2+Table1[[#This Row],[Irms BoCtlr]]^2))</f>
        <v>0.13867448672227178</v>
      </c>
      <c r="BD64" s="354">
        <f t="shared" si="1"/>
        <v>1.44</v>
      </c>
      <c r="BE64" s="354">
        <f>IF(Vout&gt;8, Iq*Vout, Iq*Table1[[#This Row],[Vin]])</f>
        <v>4.3799999999999999E-2</v>
      </c>
      <c r="BF64" s="354">
        <f>CHOOSE(Table1[[#This Row],[Mode Digit]], (Qg_Q1+Qg_Q2)*Fsw, (Qg_Q3+Qg_Q4)*Fsw, (Qg_Q1+Qg_Q2+Qg_Q3+Qg_Q4)*Fsw)*IF(Vout&gt;8, Vout, Table1[[#This Row],[Vin]])</f>
        <v>0.47303999999999996</v>
      </c>
      <c r="BG64" s="354">
        <f t="shared" si="2"/>
        <v>0.57269042016806726</v>
      </c>
      <c r="BH64" s="354">
        <f>Table1[[#This Row],[IQ Loss]]+Table1[[#This Row],[Switching Current Loss]]</f>
        <v>0.51683999999999997</v>
      </c>
      <c r="BI6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9.0806796906333247</v>
      </c>
      <c r="BJ64">
        <f>Vout*Table1[[#This Row],[Iout]]</f>
        <v>175.2</v>
      </c>
      <c r="BK64" s="550">
        <f>Table1[[#This Row],[Pout]]/(Table1[[#This Row],[Pout]]+Table1[[#This Row],[Total Loss]])</f>
        <v>0.9507236477210862</v>
      </c>
      <c r="BL6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212.01860099996858</v>
      </c>
      <c r="BM64" s="559">
        <f>IF(Table1[[#This Row],[Vin]]&gt;Vout, Table1[[#This Row],[Total Sync Bu MOSFET Loss]]*ThetaJA_Q2, ThetaJA_Q3*Table1[[#This Row],[Total Sync Bo MOSFET Loss]])</f>
        <v>51.500235103238751</v>
      </c>
      <c r="BN64" s="9"/>
      <c r="BO64" s="4">
        <f>Table1[[#This Row],[EFF, h]]*100</f>
        <v>95.072364772108614</v>
      </c>
      <c r="BP64" s="354">
        <f>Table1[[#This Row],[Total Inductor Loss]]</f>
        <v>1.5199107094586699</v>
      </c>
      <c r="BQ64" s="354">
        <f>Table1[[#This Row],[Total Control Bu MOSFET Loss]]+Table1[[#This Row],[Total Sync Bu MOSFET Loss]]+Table1[[#This Row],[Total Control Bo MOSFET Loss]]+Table1[[#This Row],[Total Sync Bo MOSFET Loss]]+Table1[[#This Row],[Reverse Recovery Loss MOSFET D BUCK]]+Table1[[#This Row],[Reverse Recovery Loss MOSFET D BOOST]]</f>
        <v>5.391309277335532</v>
      </c>
      <c r="BR64" s="354">
        <f>Table1[[#This Row],[Total Control Bu MOSFET Loss]]+Table1[[#This Row],[Reverse Recovery Loss MOSFET D BUCK]]*0.66</f>
        <v>3.7221361819994767</v>
      </c>
      <c r="BS64" s="354">
        <f>Table1[[#This Row],[Total Sync Bu MOSFET Loss]]+Table1[[#This Row],[Reverse Recovery Loss MOSFET D BUCK]]*0.33</f>
        <v>0.95258366772064595</v>
      </c>
      <c r="BT64" s="354">
        <f xml:space="preserve"> Table1[[#This Row],[Total Control Bo MOSFET Loss]]+Table1[[#This Row],[Reverse Recovery Loss MOSFET D BOOST]]*0.66</f>
        <v>0</v>
      </c>
      <c r="BU64" s="354">
        <f xml:space="preserve"> Table1[[#This Row],[Total Sync Bo MOSFET Loss]]+Table1[[#This Row],[Reverse Recovery Loss MOSFET D BOOST]]*0.33</f>
        <v>0.71373347561540867</v>
      </c>
      <c r="BV64" s="354">
        <f>Table1[[#This Row],[Isense Shunt Loss]]</f>
        <v>0.13867448672227178</v>
      </c>
      <c r="CB64" s="18"/>
      <c r="CC64" s="19"/>
    </row>
    <row r="65" spans="1:81" x14ac:dyDescent="0.2">
      <c r="G65">
        <v>56</v>
      </c>
      <c r="H65" s="555">
        <f>VIN_min+(VIN_max-VIN_min)*(Table1[[#This Row],[Step]]/200)</f>
        <v>23.92</v>
      </c>
      <c r="I65" s="4" t="str">
        <f>IF(Mode = 2,IF(Table1[[#This Row],[Vin]]&gt;Vout, "BUCK","BOOST"),IF(Table1[[#This Row],[Vin]]&gt;VIN_BB_to_buck, "BUCK", IF(Table1[[#This Row],[Vin]]&lt;=VIN_boost_to_BB,"BOOST","BUCK-BST")))</f>
        <v>BUCK</v>
      </c>
      <c r="J65">
        <f>IF(Table1[[#This Row],[Mode]]="BOOST",2, IF(Table1[[#This Row],[Mode]]="BUCK", 1,3))</f>
        <v>1</v>
      </c>
      <c r="K65">
        <f t="shared" si="0"/>
        <v>12</v>
      </c>
      <c r="L65" s="4">
        <f>Vout*Table1[[#This Row],[Iout]]/(Table1[[#This Row],[Vin]]*Efficiency)</f>
        <v>7.7099102270726982</v>
      </c>
      <c r="M65" s="711">
        <f>MIN(1/Fsw,CHOOSE(Table1[[#This Row],[Mode Digit]],(Vout+(Rdson2+Rs+Rdcr)*Table1[[#This Row],[Iout]])/(Table1[[#This Row],[Vin]]+(Rs+Rdson2-Rdson1)*Table1[[#This Row],[Iout]])/Fsw,(Vout+(Rdson3+Rdcr)*Table1[[#This Row],[Iin]]-Table1[[#This Row],[Vin]])/(Vout+(Rdson3-Rdson4-Rs)*Table1[[#This Row],[Iin]])/Fsw,t1_Ph_II))</f>
        <v>1.0264439805149616E-6</v>
      </c>
      <c r="N65" s="602">
        <f>CHOOSE(Table1[[#This Row],[Mode Digit]],1/Fsw-Table1[[#This Row],[t1_Ph_II]],1/Fsw-Table1[[#This Row],[t1_Ph_II]],(Vout/Fsw-Table1[[#This Row],[Vin]]*t1_Ph_II)/(Table1[[#This Row],[Vin]]+Vout))</f>
        <v>6.4022268615170503E-7</v>
      </c>
      <c r="O65" s="602">
        <f>1/Fsw-(Table1[[#This Row],[t1_Ph_II]]+Table1[[#This Row],[t2_Ph_I]])</f>
        <v>0</v>
      </c>
      <c r="P6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10.188170852575862</v>
      </c>
      <c r="Q65" s="4">
        <f>CHOOSE(Table1[[#This Row],[Mode Digit]],Table1[[#This Row],[I_0]]+1/Lf*(Table1[[#This Row],[Vin]]-Vout)*Table1[[#This Row],[t1_Ph_II]],Table1[[#This Row],[I_0]]+1/Lf*Table1[[#This Row],[Vin]]*Table1[[#This Row],[t1_Ph_II]],Table1[[#This Row],[I_0]]+(Table1[[#This Row],[Vin]]-Vout)/L*Table1[[#This Row],[t1_Ph_II]])</f>
        <v>13.811829147424136</v>
      </c>
      <c r="R65" s="4">
        <f>CHOOSE(Table1[[#This Row],[Mode Digit]],0,0,Table1[[#This Row],[I_1]]+Table1[[#This Row],[Vin]]/L*Table1[[#This Row],[t2_Ph_I]])</f>
        <v>0</v>
      </c>
      <c r="S65" s="4">
        <f>Fsw*(Table1[[#This Row],[I_0]]*Table1[[#This Row],[t1_Ph_II]]+Table1[[#This Row],[I_1]]*Table1[[#This Row],[t2_Ph_I]]+Table1[[#This Row],[I_2]]*Table1[[#This Row],[t3_Ph_III]])</f>
        <v>11.580139800910063</v>
      </c>
      <c r="T65" s="354">
        <f>MIN(1,CHOOSE(Table1[[#This Row],[Mode Digit]],(Vout+(Rdson2+Rs+Rdcr)*Table1[[#This Row],[Iout]])/(Table1[[#This Row],[Vin]]+(Rs+Rdson2-Rdson1)*Table1[[#This Row],[Iout]]),1,Fsw*Table1[[#This Row],[t2_Ph_I]]+Table1[[#This Row],[t1_Ph_II]]))</f>
        <v>0.615866388308977</v>
      </c>
      <c r="U65" s="354">
        <f>MIN(1,CHOOSE(Table1[[#This Row],[Mode Digit]],0,(Vout+(Rdson3+Rdcr)*Table1[[#This Row],[Iin]]-Table1[[#This Row],[Vin]])/(Vout+(Rdson3-Rdson4-Rs)*Table1[[#This Row],[Iin]]),Fsw*Table1[[#This Row],[t1_Ph_II]]+Table1[[#This Row],[t3_Ph_III]]))</f>
        <v>0</v>
      </c>
      <c r="V65" s="4">
        <f>MAX(Table1[[#This Row],[I_0]:[I_2]])-MIN(Table1[[#This Row],[I_0]:[I_1]])</f>
        <v>3.6236582948482745</v>
      </c>
      <c r="W6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12.045507113435223</v>
      </c>
      <c r="X65" s="354">
        <f>(Table1[[#This Row],[Irms Lf]]^2*Rdcr*(1+Ltc*Ta-Ltc*25))/(1-Table1[[#This Row],[Irms Lf]]^2*Rdcr*Ltc*ThetaCa)</f>
        <v>0.90229228164136199</v>
      </c>
      <c r="Y65" s="354">
        <f>ABS(7.759*10^-3*Fsw^0.9458*(0.00787*Table1[[#This Row],[Ripple Current pk-pk]])^2.304)</f>
        <v>0.62428402735565114</v>
      </c>
      <c r="Z65" s="354">
        <f>Table1[[#This Row],[DCR    Loss]]+Table1[[#This Row],[Core Loss]]</f>
        <v>1.5265763089970132</v>
      </c>
      <c r="AA65" s="4">
        <f>IF(Table1[[#This Row],[Vin]]&gt;Vout, Table1[[#This Row],[Ripple Current pk-pk]]/SQRT(12), SQRT(Table1[[#This Row],[Duty Cycle BOOST Leg]]/(1-Table1[[#This Row],[Duty Cycle BOOST Leg]]))*SQRT(Table1[[#This Row],[Iout]]^2+(Table1[[#This Row],[Ripple Current pk-pk]]^2)/12))</f>
        <v>1.0460600459909359</v>
      </c>
      <c r="AB65" s="354">
        <f>RCoutEsr*Table1[[#This Row],[Irms Cout]]^2</f>
        <v>5.4712080990927947E-3</v>
      </c>
      <c r="AC65" s="354">
        <f>Table1[[#This Row],[Cout ESR Loss]]</f>
        <v>5.4712080990927947E-3</v>
      </c>
      <c r="AD65" s="354">
        <f>IF(Table1[[#This Row],[Vin]]&gt;Vout, SQRT(Table1[[#This Row],[Duty Cycle BUCK Leg]]*(1-Table1[[#This Row],[Duty Cycle BUCK Leg]]))*SQRT(Table1[[#This Row],[Iout]]^2+(Table1[[#This Row],[Ripple Current pk-pk]]^2)/12), Table1[[#This Row],[Ripple Current pk-pk]]/SQRT(12))</f>
        <v>5.8588110840052918</v>
      </c>
      <c r="AE65" s="354">
        <f>RCinEsr*Table1[[#This Row],[Irms Cin]]^2</f>
        <v>6.8651334636126521E-2</v>
      </c>
      <c r="AF65" s="549">
        <f>Table1[[#This Row],[Cin ESR Loss]]</f>
        <v>6.8651334636126521E-2</v>
      </c>
      <c r="AG6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9.452971308050591</v>
      </c>
      <c r="AH65" s="354">
        <f>Rdson1*Table1[[#This Row],[Irms BuCtrl]]^2</f>
        <v>0.37530639951347644</v>
      </c>
      <c r="AI65" s="354">
        <f>CHOOSE(Table1[[#This Row],[Mode Digit]], (Table1[[#This Row],[Vin]]*Table1[[#This Row],[Iout]]/2)*(Fsw)*(Tr_buck+Tf_buck), 0, (Table1[[#This Row],[Vin]]*Table1[[#This Row],[Avg IL]]/2)*(Fsw/1)*(Tr_buck+Tf_buck))</f>
        <v>2.8463939672661147</v>
      </c>
      <c r="AJ65">
        <f>IF(Table1[[#This Row],[Vin]]&gt;Vout, IF(Table1[[#This Row],[Iout]]&gt;Table1[[#This Row],[Ripple Current pk-pk]]/2,0,ABS(Table1[[#This Row],[Iout]]-Table1[[#This Row],[Ripple Current pk-pk]]/2)*Vsd_Q1*Deadtime*Fsw),0)</f>
        <v>0</v>
      </c>
      <c r="AK65" s="354">
        <f>(Table1[[#This Row],[Dead Time Loss BuCtrl]]+Table1[[#This Row],[Transition Loss BuCtrl]]+Table1[[#This Row],[RDS(on) Loss BuCtrl]]*(1+RdsonTopTc*Ta-RdsonTopTc*25))/(1-Table1[[#This Row],[RDS(on) Loss BuCtrl]]*RdsonTopTc*ThetaJA_Q1)</f>
        <v>3.5406161858439678</v>
      </c>
      <c r="AL65" s="354">
        <f>CHOOSE(Table1[[#This Row],[Mode Digit]],SQRT((Fsw*(Table1[[#This Row],[t2_Ph_I]]+0))*((Table1[[#This Row],[I_0]]*Table1[[#This Row],[I_1]]+((Table1[[#This Row],[I_0]]-Table1[[#This Row],[I_1]])^2)/3))),0,SQRT((Fsw*(Table1[[#This Row],[t3_Ph_III]]+0))*((Table1[[#This Row],[I_0]]*Table1[[#This Row],[I_2]]+((Table1[[#This Row],[I_0]]-Table1[[#This Row],[I_2]])^2)/3))))</f>
        <v>7.4656262342144375</v>
      </c>
      <c r="AM65" s="354">
        <f>Rdson2*Table1[[#This Row],[Irms BuSync]]^2</f>
        <v>0.23408941528976157</v>
      </c>
      <c r="AN6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5" s="354">
        <f>(Table1[[#This Row],[Deadtime Loss BuSync]]+Table1[[#This Row],[RDS(on) Loss BuSync]]*(1+RdsonBotTc*Ta-RdsonBotTc*25))/(1-Table1[[#This Row],[RDS(on) Loss BuSync]]*RdsonBotTc*ThetaJA_Q2)</f>
        <v>0.85976361894424647</v>
      </c>
      <c r="AP65" s="354">
        <f>CHOOSE(Table1[[#This Row],[Mode Digit]],0,SQRT((Fsw*(Table1[[#This Row],[t1_Ph_II]]+0))*((Table1[[#This Row],[I_0]]*Table1[[#This Row],[I_1]]+((Table1[[#This Row],[I_0]]-Table1[[#This Row],[I_1]])^2)/3))),SQRT((Fsw*(Table1[[#This Row],[t2_Ph_I]]+0))*((Table1[[#This Row],[I_1]]*Table1[[#This Row],[I_2]]+((Table1[[#This Row],[I_1]]-Table1[[#This Row],[I_2]])^2)/3))))</f>
        <v>0</v>
      </c>
      <c r="AQ65" s="354">
        <f>Rdson4*Table1[[#This Row],[Irms BoCtlr]]^2</f>
        <v>0</v>
      </c>
      <c r="AR65" s="354">
        <f>CHOOSE(Table1[[#This Row],[Mode Digit]], 0, (Vout*Table1[[#This Row],[Iin]]/2)*(Fsw)*(Tr_boost+Tf_boost), (Vout*Iout/2)*(Fsw/1)*(Tr_boost+Tf_boost))</f>
        <v>0</v>
      </c>
      <c r="AS65">
        <f>IF(Table1[[#This Row],[Vin]]&gt;Vout, 0, IF(Table1[[#This Row],[Iin]]&gt;Table1[[#This Row],[Ripple Current pk-pk]]/2,0,ABS(Table1[[#This Row],[Iin]]-Table1[[#This Row],[Ripple Current pk-pk]]/2)*Vsd_Q4*Deadtime*Fsw))</f>
        <v>0</v>
      </c>
      <c r="AT65" s="354">
        <f>(Table1[[#This Row],[Dead Time Loss BoCtlr]]+Table1[[#This Row],[Transition Loss BoCtlr]]+Table1[[#This Row],[RDS(on) Loss BoCtlr]]*(1+RdsonTopTc*Ta-RdsonTopTc*25))/(1-Table1[[#This Row],[RDS(on) Loss BoCtlr]]*RdsonTopTc*ThetaJA_Q4)</f>
        <v>0</v>
      </c>
      <c r="AU6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12.045507113435223</v>
      </c>
      <c r="AV65" s="354">
        <f>Rdson3*Table1[[#This Row],[Irms BoSync]]^2</f>
        <v>0.60939581480323801</v>
      </c>
      <c r="AW6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5" s="354">
        <f>(Table1[[#This Row],[Deadtime Loss BoSync]]+Table1[[#This Row],[RDS(on) Loss BoSync]]*(1+RdsonBotTc*Ta-RdsonBotTc*25))/(1-Table1[[#This Row],[RDS(on) Loss BoSync]]*RdsonBotTc*ThetaJA_Q3)</f>
        <v>0.71379136818235966</v>
      </c>
      <c r="AY65" s="354">
        <f>CHOOSE(Table1[[#This Row],[Mode Digit]], Rdson3*Table1[[#This Row],[Irms Lf]]^2, Rdson1*Table1[[#This Row],[Irms Lf]]^2, 0)</f>
        <v>0.60939581480323801</v>
      </c>
      <c r="AZ65" s="354">
        <f>CHOOSE(Table1[[#This Row],[Mode Digit]], 2*Deadtime*Fsw*IF(VfdSky_Q2&gt;0,VfdSky_Q2,0)*Table1[[#This Row],[Iout]], 2*Deadtime*Fsw*IF(VfdSky_Q3&gt;0,VfdSky_Q3,0)*Table1[[#This Row],[Iin]], 2*Deadtime*Fsw*IF(VfdSky_Q2&gt;0,VfdSky_Q2,0)*Table1[[#This Row],[Iout]]+2*Deadtime*Fsw*IF(VfdSky_Q3&gt;0,VfdSky_Q3,0)*Table1[[#This Row],[Iin]])</f>
        <v>0</v>
      </c>
      <c r="BA65" s="354">
        <f>CHOOSE(Table1[[#This Row],[Mode Digit]], IF(QrrSky_Q2&gt;0,QrrSky_Q2,Qrr_Q2)*Fsw*(Table1[[#This Row],[Vin]]-Table1[[#This Row],[Iout]]*Rdson1),0,  IF(QrrSky_Q2&gt;0,QrrSky_Q2,Qrr_Q2)*Fsw*(Table1[[#This Row],[Vin]]-Table1[[#This Row],[Iout]]*Rdson1)+IF(QrrSky_Q3&gt;0,QrrSky_Q3,Qrr_Q3)*Fsw*Vout)</f>
        <v>0.28643520000000006</v>
      </c>
      <c r="BB65" s="354">
        <f>CHOOSE(Table1[[#This Row],[Mode Digit]],0, IF(QrrSky_Q3&gt;0,QrrSky_Q3,Qrr_Q3)*Fsw*Vout,  IF(QrrSky_Q2&gt;0,QrrSky_Q2,Qrr_Q2)*Fsw*(Table1[[#This Row],[Vin]]-Table1[[#This Row],[Iout]]*Rdson1)+IF(QrrSky_Q3&gt;0,QrrSky_Q3,Qrr_Q3)*Fsw*Vout)</f>
        <v>0</v>
      </c>
      <c r="BC65" s="354">
        <f>CHOOSE(Table1[[#This Row],[Mode Digit]], Rs*Table1[[#This Row],[Irms BuSync]]^2, Rs*Table1[[#This Row],[Irms BoCtlr]]^2, Rs*(Table1[[#This Row],[Irms BuSync]]^2+Table1[[#This Row],[Irms BoCtlr]]^2))</f>
        <v>0.1393389376724771</v>
      </c>
      <c r="BD65" s="354">
        <f t="shared" si="1"/>
        <v>1.44</v>
      </c>
      <c r="BE65" s="354">
        <f>IF(Vout&gt;8, Iq*Vout, Iq*Table1[[#This Row],[Vin]])</f>
        <v>4.3799999999999999E-2</v>
      </c>
      <c r="BF65" s="354">
        <f>CHOOSE(Table1[[#This Row],[Mode Digit]], (Qg_Q1+Qg_Q2)*Fsw, (Qg_Q3+Qg_Q4)*Fsw, (Qg_Q1+Qg_Q2+Qg_Q3+Qg_Q4)*Fsw)*IF(Vout&gt;8, Vout, Table1[[#This Row],[Vin]])</f>
        <v>0.47303999999999996</v>
      </c>
      <c r="BG65" s="354">
        <f t="shared" si="2"/>
        <v>0.57269042016806726</v>
      </c>
      <c r="BH65" s="354">
        <f>Table1[[#This Row],[IQ Loss]]+Table1[[#This Row],[Switching Current Loss]]</f>
        <v>0.51683999999999997</v>
      </c>
      <c r="BI6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9.0974841623752827</v>
      </c>
      <c r="BJ65">
        <f>Vout*Table1[[#This Row],[Iout]]</f>
        <v>175.2</v>
      </c>
      <c r="BK65" s="550">
        <f>Table1[[#This Row],[Pout]]/(Table1[[#This Row],[Pout]]+Table1[[#This Row],[Total Loss]])</f>
        <v>0.95063695956717487</v>
      </c>
      <c r="BL6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212.43697115063807</v>
      </c>
      <c r="BM65" s="559">
        <f>IF(Table1[[#This Row],[Vin]]&gt;Vout, Table1[[#This Row],[Total Sync Bu MOSFET Loss]]*ThetaJA_Q2, ThetaJA_Q3*Table1[[#This Row],[Total Sync Bo MOSFET Loss]])</f>
        <v>51.585817136654789</v>
      </c>
      <c r="BN65" s="9"/>
      <c r="BO65" s="4">
        <f>Table1[[#This Row],[EFF, h]]*100</f>
        <v>95.063695956717481</v>
      </c>
      <c r="BP65" s="354">
        <f>Table1[[#This Row],[Total Inductor Loss]]</f>
        <v>1.5265763089970132</v>
      </c>
      <c r="BQ65" s="354">
        <f>Table1[[#This Row],[Total Control Bu MOSFET Loss]]+Table1[[#This Row],[Total Sync Bu MOSFET Loss]]+Table1[[#This Row],[Total Control Bo MOSFET Loss]]+Table1[[#This Row],[Total Sync Bo MOSFET Loss]]+Table1[[#This Row],[Reverse Recovery Loss MOSFET D BUCK]]+Table1[[#This Row],[Reverse Recovery Loss MOSFET D BOOST]]</f>
        <v>5.4006063729705733</v>
      </c>
      <c r="BR65" s="354">
        <f>Table1[[#This Row],[Total Control Bu MOSFET Loss]]+Table1[[#This Row],[Reverse Recovery Loss MOSFET D BUCK]]*0.66</f>
        <v>3.7296634178439678</v>
      </c>
      <c r="BS65" s="354">
        <f>Table1[[#This Row],[Total Sync Bu MOSFET Loss]]+Table1[[#This Row],[Reverse Recovery Loss MOSFET D BUCK]]*0.33</f>
        <v>0.9542872349442465</v>
      </c>
      <c r="BT65" s="354">
        <f xml:space="preserve"> Table1[[#This Row],[Total Control Bo MOSFET Loss]]+Table1[[#This Row],[Reverse Recovery Loss MOSFET D BOOST]]*0.66</f>
        <v>0</v>
      </c>
      <c r="BU65" s="354">
        <f xml:space="preserve"> Table1[[#This Row],[Total Sync Bo MOSFET Loss]]+Table1[[#This Row],[Reverse Recovery Loss MOSFET D BOOST]]*0.33</f>
        <v>0.71379136818235966</v>
      </c>
      <c r="BV65" s="354">
        <f>Table1[[#This Row],[Isense Shunt Loss]]</f>
        <v>0.1393389376724771</v>
      </c>
      <c r="CB65" s="18"/>
      <c r="CC65" s="19"/>
    </row>
    <row r="66" spans="1:81" x14ac:dyDescent="0.2">
      <c r="A66" s="11" t="s">
        <v>81</v>
      </c>
      <c r="B66" s="31"/>
      <c r="C66" s="31"/>
      <c r="G66">
        <v>57</v>
      </c>
      <c r="H66" s="555">
        <f>VIN_min+(VIN_max-VIN_min)*(Table1[[#This Row],[Step]]/200)</f>
        <v>23.99</v>
      </c>
      <c r="I66" s="4" t="str">
        <f>IF(Mode = 2,IF(Table1[[#This Row],[Vin]]&gt;Vout, "BUCK","BOOST"),IF(Table1[[#This Row],[Vin]]&gt;VIN_BB_to_buck, "BUCK", IF(Table1[[#This Row],[Vin]]&lt;=VIN_boost_to_BB,"BOOST","BUCK-BST")))</f>
        <v>BUCK</v>
      </c>
      <c r="J66">
        <f>IF(Table1[[#This Row],[Mode]]="BOOST",2, IF(Table1[[#This Row],[Mode]]="BUCK", 1,3))</f>
        <v>1</v>
      </c>
      <c r="K66">
        <f t="shared" si="0"/>
        <v>12</v>
      </c>
      <c r="L66" s="4">
        <f>Vout*Table1[[#This Row],[Iout]]/(Table1[[#This Row],[Vin]]*Efficiency)</f>
        <v>7.6874136153221739</v>
      </c>
      <c r="M66" s="711">
        <f>MIN(1/Fsw,CHOOSE(Table1[[#This Row],[Mode Digit]],(Vout+(Rdson2+Rs+Rdcr)*Table1[[#This Row],[Iout]])/(Table1[[#This Row],[Vin]]+(Rs+Rdson2-Rdson1)*Table1[[#This Row],[Iout]])/Fsw,(Vout+(Rdson3+Rdcr)*Table1[[#This Row],[Iin]]-Table1[[#This Row],[Vin]])/(Vout+(Rdson3-Rdson4-Rs)*Table1[[#This Row],[Iin]])/Fsw,t1_Ph_II))</f>
        <v>1.0234526783236192E-6</v>
      </c>
      <c r="N66" s="602">
        <f>CHOOSE(Table1[[#This Row],[Mode Digit]],1/Fsw-Table1[[#This Row],[t1_Ph_II]],1/Fsw-Table1[[#This Row],[t1_Ph_II]],(Vout/Fsw-Table1[[#This Row],[Vin]]*t1_Ph_II)/(Table1[[#This Row],[Vin]]+Vout))</f>
        <v>6.4321398834304746E-7</v>
      </c>
      <c r="O66" s="602">
        <f>1/Fsw-(Table1[[#This Row],[t1_Ph_II]]+Table1[[#This Row],[t2_Ph_I]])</f>
        <v>0</v>
      </c>
      <c r="P6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10.179882452754018</v>
      </c>
      <c r="Q66" s="4">
        <f>CHOOSE(Table1[[#This Row],[Mode Digit]],Table1[[#This Row],[I_0]]+1/Lf*(Table1[[#This Row],[Vin]]-Vout)*Table1[[#This Row],[t1_Ph_II]],Table1[[#This Row],[I_0]]+1/Lf*Table1[[#This Row],[Vin]]*Table1[[#This Row],[t1_Ph_II]],Table1[[#This Row],[I_0]]+(Table1[[#This Row],[Vin]]-Vout)/L*Table1[[#This Row],[t1_Ph_II]])</f>
        <v>13.820117547245982</v>
      </c>
      <c r="R66" s="4">
        <f>CHOOSE(Table1[[#This Row],[Mode Digit]],0,0,Table1[[#This Row],[I_1]]+Table1[[#This Row],[Vin]]/L*Table1[[#This Row],[t2_Ph_I]])</f>
        <v>0</v>
      </c>
      <c r="S66" s="4">
        <f>Fsw*(Table1[[#This Row],[I_0]]*Table1[[#This Row],[t1_Ph_II]]+Table1[[#This Row],[I_1]]*Table1[[#This Row],[t2_Ph_I]]+Table1[[#This Row],[I_2]]*Table1[[#This Row],[t3_Ph_III]])</f>
        <v>11.584752532934722</v>
      </c>
      <c r="T66" s="354">
        <f>MIN(1,CHOOSE(Table1[[#This Row],[Mode Digit]],(Vout+(Rdson2+Rs+Rdcr)*Table1[[#This Row],[Iout]])/(Table1[[#This Row],[Vin]]+(Rs+Rdson2-Rdson1)*Table1[[#This Row],[Iout]]),1,Fsw*Table1[[#This Row],[t2_Ph_I]]+Table1[[#This Row],[t1_Ph_II]]))</f>
        <v>0.61407160699417151</v>
      </c>
      <c r="U66" s="354">
        <f>MIN(1,CHOOSE(Table1[[#This Row],[Mode Digit]],0,(Vout+(Rdson3+Rdcr)*Table1[[#This Row],[Iin]]-Table1[[#This Row],[Vin]])/(Vout+(Rdson3-Rdson4-Rs)*Table1[[#This Row],[Iin]]),Fsw*Table1[[#This Row],[t1_Ph_II]]+Table1[[#This Row],[t3_Ph_III]]))</f>
        <v>0</v>
      </c>
      <c r="V66" s="4">
        <f>MAX(Table1[[#This Row],[I_0]:[I_2]])-MIN(Table1[[#This Row],[I_0]:[I_1]])</f>
        <v>3.6402350944919633</v>
      </c>
      <c r="W6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12.045923624277671</v>
      </c>
      <c r="X66" s="354">
        <f>(Table1[[#This Row],[Irms Lf]]^2*Rdcr*(1+Ltc*Ta-Ltc*25))/(1-Table1[[#This Row],[Irms Lf]]^2*Rdcr*Ltc*ThetaCa)</f>
        <v>0.90235918643096225</v>
      </c>
      <c r="Y66" s="354">
        <f>ABS(7.759*10^-3*Fsw^0.9458*(0.00787*Table1[[#This Row],[Ripple Current pk-pk]])^2.304)</f>
        <v>0.63088354453719464</v>
      </c>
      <c r="Z66" s="354">
        <f>Table1[[#This Row],[DCR    Loss]]+Table1[[#This Row],[Core Loss]]</f>
        <v>1.5332427309681569</v>
      </c>
      <c r="AA66" s="4">
        <f>IF(Table1[[#This Row],[Vin]]&gt;Vout, Table1[[#This Row],[Ripple Current pk-pk]]/SQRT(12), SQRT(Table1[[#This Row],[Duty Cycle BOOST Leg]]/(1-Table1[[#This Row],[Duty Cycle BOOST Leg]]))*SQRT(Table1[[#This Row],[Iout]]^2+(Table1[[#This Row],[Ripple Current pk-pk]]^2)/12))</f>
        <v>1.050845355859229</v>
      </c>
      <c r="AB66" s="354">
        <f>RCoutEsr*Table1[[#This Row],[Irms Cout]]^2</f>
        <v>5.521379809654549E-3</v>
      </c>
      <c r="AC66" s="354">
        <f>Table1[[#This Row],[Cout ESR Loss]]</f>
        <v>5.521379809654549E-3</v>
      </c>
      <c r="AD66" s="354">
        <f>IF(Table1[[#This Row],[Vin]]&gt;Vout, SQRT(Table1[[#This Row],[Duty Cycle BUCK Leg]]*(1-Table1[[#This Row],[Duty Cycle BUCK Leg]]))*SQRT(Table1[[#This Row],[Iout]]^2+(Table1[[#This Row],[Ripple Current pk-pk]]^2)/12), Table1[[#This Row],[Ripple Current pk-pk]]/SQRT(12))</f>
        <v>5.8641217625806963</v>
      </c>
      <c r="AE66" s="354">
        <f>RCinEsr*Table1[[#This Row],[Irms Cin]]^2</f>
        <v>6.8775848092745062E-2</v>
      </c>
      <c r="AF66" s="549">
        <f>Table1[[#This Row],[Cin ESR Loss]]</f>
        <v>6.8775848092745062E-2</v>
      </c>
      <c r="AG6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9.4395135426391885</v>
      </c>
      <c r="AH66" s="354">
        <f>Rdson1*Table1[[#This Row],[Irms BuCtrl]]^2</f>
        <v>0.37423854687100838</v>
      </c>
      <c r="AI66" s="354">
        <f>CHOOSE(Table1[[#This Row],[Mode Digit]], (Table1[[#This Row],[Vin]]*Table1[[#This Row],[Iout]]/2)*(Fsw)*(Tr_buck+Tf_buck), 0, (Table1[[#This Row],[Vin]]*Table1[[#This Row],[Avg IL]]/2)*(Fsw/1)*(Tr_buck+Tf_buck))</f>
        <v>2.8547237154980811</v>
      </c>
      <c r="AJ66">
        <f>IF(Table1[[#This Row],[Vin]]&gt;Vout, IF(Table1[[#This Row],[Iout]]&gt;Table1[[#This Row],[Ripple Current pk-pk]]/2,0,ABS(Table1[[#This Row],[Iout]]-Table1[[#This Row],[Ripple Current pk-pk]]/2)*Vsd_Q1*Deadtime*Fsw),0)</f>
        <v>0</v>
      </c>
      <c r="AK66" s="354">
        <f>(Table1[[#This Row],[Dead Time Loss BuCtrl]]+Table1[[#This Row],[Transition Loss BuCtrl]]+Table1[[#This Row],[RDS(on) Loss BuCtrl]]*(1+RdsonTopTc*Ta-RdsonTopTc*25))/(1-Table1[[#This Row],[RDS(on) Loss BuCtrl]]*RdsonTopTc*ThetaJA_Q1)</f>
        <v>3.5475977399046381</v>
      </c>
      <c r="AL66" s="354">
        <f>CHOOSE(Table1[[#This Row],[Mode Digit]],SQRT((Fsw*(Table1[[#This Row],[t2_Ph_I]]+0))*((Table1[[#This Row],[I_0]]*Table1[[#This Row],[I_1]]+((Table1[[#This Row],[I_0]]-Table1[[#This Row],[I_1]])^2)/3))),0,SQRT((Fsw*(Table1[[#This Row],[t3_Ph_III]]+0))*((Table1[[#This Row],[I_0]]*Table1[[#This Row],[I_2]]+((Table1[[#This Row],[I_0]]-Table1[[#This Row],[I_2]])^2)/3))))</f>
        <v>7.4833054220887085</v>
      </c>
      <c r="AM66" s="354">
        <f>Rdson2*Table1[[#This Row],[Irms BuSync]]^2</f>
        <v>0.23519941216910153</v>
      </c>
      <c r="AN6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6" s="354">
        <f>(Table1[[#This Row],[Deadtime Loss BuSync]]+Table1[[#This Row],[RDS(on) Loss BuSync]]*(1+RdsonBotTc*Ta-RdsonBotTc*25))/(1-Table1[[#This Row],[RDS(on) Loss BuSync]]*RdsonBotTc*ThetaJA_Q2)</f>
        <v>0.86118276390211557</v>
      </c>
      <c r="AP66" s="354">
        <f>CHOOSE(Table1[[#This Row],[Mode Digit]],0,SQRT((Fsw*(Table1[[#This Row],[t1_Ph_II]]+0))*((Table1[[#This Row],[I_0]]*Table1[[#This Row],[I_1]]+((Table1[[#This Row],[I_0]]-Table1[[#This Row],[I_1]])^2)/3))),SQRT((Fsw*(Table1[[#This Row],[t2_Ph_I]]+0))*((Table1[[#This Row],[I_1]]*Table1[[#This Row],[I_2]]+((Table1[[#This Row],[I_1]]-Table1[[#This Row],[I_2]])^2)/3))))</f>
        <v>0</v>
      </c>
      <c r="AQ66" s="354">
        <f>Rdson4*Table1[[#This Row],[Irms BoCtlr]]^2</f>
        <v>0</v>
      </c>
      <c r="AR66" s="354">
        <f>CHOOSE(Table1[[#This Row],[Mode Digit]], 0, (Vout*Table1[[#This Row],[Iin]]/2)*(Fsw)*(Tr_boost+Tf_boost), (Vout*Iout/2)*(Fsw/1)*(Tr_boost+Tf_boost))</f>
        <v>0</v>
      </c>
      <c r="AS66">
        <f>IF(Table1[[#This Row],[Vin]]&gt;Vout, 0, IF(Table1[[#This Row],[Iin]]&gt;Table1[[#This Row],[Ripple Current pk-pk]]/2,0,ABS(Table1[[#This Row],[Iin]]-Table1[[#This Row],[Ripple Current pk-pk]]/2)*Vsd_Q4*Deadtime*Fsw))</f>
        <v>0</v>
      </c>
      <c r="AT66" s="354">
        <f>(Table1[[#This Row],[Dead Time Loss BoCtlr]]+Table1[[#This Row],[Transition Loss BoCtlr]]+Table1[[#This Row],[RDS(on) Loss BoCtlr]]*(1+RdsonTopTc*Ta-RdsonTopTc*25))/(1-Table1[[#This Row],[RDS(on) Loss BoCtlr]]*RdsonTopTc*ThetaJA_Q4)</f>
        <v>0</v>
      </c>
      <c r="AU6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12.045923624277671</v>
      </c>
      <c r="AV66" s="354">
        <f>Rdson3*Table1[[#This Row],[Irms BoSync]]^2</f>
        <v>0.60943795904010989</v>
      </c>
      <c r="AW6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6" s="354">
        <f>(Table1[[#This Row],[Deadtime Loss BoSync]]+Table1[[#This Row],[RDS(on) Loss BoSync]]*(1+RdsonBotTc*Ta-RdsonBotTc*25))/(1-Table1[[#This Row],[RDS(on) Loss BoSync]]*RdsonBotTc*ThetaJA_Q3)</f>
        <v>0.71384918936743647</v>
      </c>
      <c r="AY66" s="354">
        <f>CHOOSE(Table1[[#This Row],[Mode Digit]], Rdson3*Table1[[#This Row],[Irms Lf]]^2, Rdson1*Table1[[#This Row],[Irms Lf]]^2, 0)</f>
        <v>0.60943795904010989</v>
      </c>
      <c r="AZ66" s="354">
        <f>CHOOSE(Table1[[#This Row],[Mode Digit]], 2*Deadtime*Fsw*IF(VfdSky_Q2&gt;0,VfdSky_Q2,0)*Table1[[#This Row],[Iout]], 2*Deadtime*Fsw*IF(VfdSky_Q3&gt;0,VfdSky_Q3,0)*Table1[[#This Row],[Iin]], 2*Deadtime*Fsw*IF(VfdSky_Q2&gt;0,VfdSky_Q2,0)*Table1[[#This Row],[Iout]]+2*Deadtime*Fsw*IF(VfdSky_Q3&gt;0,VfdSky_Q3,0)*Table1[[#This Row],[Iin]])</f>
        <v>0</v>
      </c>
      <c r="BA66" s="354">
        <f>CHOOSE(Table1[[#This Row],[Mode Digit]], IF(QrrSky_Q2&gt;0,QrrSky_Q2,Qrr_Q2)*Fsw*(Table1[[#This Row],[Vin]]-Table1[[#This Row],[Iout]]*Rdson1),0,  IF(QrrSky_Q2&gt;0,QrrSky_Q2,Qrr_Q2)*Fsw*(Table1[[#This Row],[Vin]]-Table1[[#This Row],[Iout]]*Rdson1)+IF(QrrSky_Q3&gt;0,QrrSky_Q3,Qrr_Q3)*Fsw*Vout)</f>
        <v>0.28727520000000001</v>
      </c>
      <c r="BB66" s="354">
        <f>CHOOSE(Table1[[#This Row],[Mode Digit]],0, IF(QrrSky_Q3&gt;0,QrrSky_Q3,Qrr_Q3)*Fsw*Vout,  IF(QrrSky_Q2&gt;0,QrrSky_Q2,Qrr_Q2)*Fsw*(Table1[[#This Row],[Vin]]-Table1[[#This Row],[Iout]]*Rdson1)+IF(QrrSky_Q3&gt;0,QrrSky_Q3,Qrr_Q3)*Fsw*Vout)</f>
        <v>0</v>
      </c>
      <c r="BC66" s="354">
        <f>CHOOSE(Table1[[#This Row],[Mode Digit]], Rs*Table1[[#This Row],[Irms BuSync]]^2, Rs*Table1[[#This Row],[Irms BoCtlr]]^2, Rs*(Table1[[#This Row],[Irms BuSync]]^2+Table1[[#This Row],[Irms BoCtlr]]^2))</f>
        <v>0.13999965010065565</v>
      </c>
      <c r="BD66" s="354">
        <f t="shared" si="1"/>
        <v>1.44</v>
      </c>
      <c r="BE66" s="354">
        <f>IF(Vout&gt;8, Iq*Vout, Iq*Table1[[#This Row],[Vin]])</f>
        <v>4.3799999999999999E-2</v>
      </c>
      <c r="BF66" s="354">
        <f>CHOOSE(Table1[[#This Row],[Mode Digit]], (Qg_Q1+Qg_Q2)*Fsw, (Qg_Q3+Qg_Q4)*Fsw, (Qg_Q1+Qg_Q2+Qg_Q3+Qg_Q4)*Fsw)*IF(Vout&gt;8, Vout, Table1[[#This Row],[Vin]])</f>
        <v>0.47303999999999996</v>
      </c>
      <c r="BG66" s="354">
        <f t="shared" si="2"/>
        <v>0.57269042016806726</v>
      </c>
      <c r="BH66" s="354">
        <f>Table1[[#This Row],[IQ Loss]]+Table1[[#This Row],[Switching Current Loss]]</f>
        <v>0.51683999999999997</v>
      </c>
      <c r="BI6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9.1142845021454004</v>
      </c>
      <c r="BJ66">
        <f>Vout*Table1[[#This Row],[Iout]]</f>
        <v>175.2</v>
      </c>
      <c r="BK66" s="550">
        <f>Table1[[#This Row],[Pout]]/(Table1[[#This Row],[Pout]]+Table1[[#This Row],[Total Loss]])</f>
        <v>0.95055030852999722</v>
      </c>
      <c r="BL6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212.85586439427829</v>
      </c>
      <c r="BM66" s="559">
        <f>IF(Table1[[#This Row],[Vin]]&gt;Vout, Table1[[#This Row],[Total Sync Bu MOSFET Loss]]*ThetaJA_Q2, ThetaJA_Q3*Table1[[#This Row],[Total Sync Bo MOSFET Loss]])</f>
        <v>51.670965834126932</v>
      </c>
      <c r="BN66" s="9"/>
      <c r="BO66" s="4">
        <f>Table1[[#This Row],[EFF, h]]*100</f>
        <v>95.055030852999721</v>
      </c>
      <c r="BP66" s="354">
        <f>Table1[[#This Row],[Total Inductor Loss]]</f>
        <v>1.5332427309681569</v>
      </c>
      <c r="BQ66" s="354">
        <f>Table1[[#This Row],[Total Control Bu MOSFET Loss]]+Table1[[#This Row],[Total Sync Bu MOSFET Loss]]+Table1[[#This Row],[Total Control Bo MOSFET Loss]]+Table1[[#This Row],[Total Sync Bo MOSFET Loss]]+Table1[[#This Row],[Reverse Recovery Loss MOSFET D BUCK]]+Table1[[#This Row],[Reverse Recovery Loss MOSFET D BOOST]]</f>
        <v>5.4099048931741898</v>
      </c>
      <c r="BR66" s="354">
        <f>Table1[[#This Row],[Total Control Bu MOSFET Loss]]+Table1[[#This Row],[Reverse Recovery Loss MOSFET D BUCK]]*0.66</f>
        <v>3.7371993719046381</v>
      </c>
      <c r="BS66" s="354">
        <f>Table1[[#This Row],[Total Sync Bu MOSFET Loss]]+Table1[[#This Row],[Reverse Recovery Loss MOSFET D BUCK]]*0.33</f>
        <v>0.95598357990211558</v>
      </c>
      <c r="BT66" s="354">
        <f xml:space="preserve"> Table1[[#This Row],[Total Control Bo MOSFET Loss]]+Table1[[#This Row],[Reverse Recovery Loss MOSFET D BOOST]]*0.66</f>
        <v>0</v>
      </c>
      <c r="BU66" s="354">
        <f xml:space="preserve"> Table1[[#This Row],[Total Sync Bo MOSFET Loss]]+Table1[[#This Row],[Reverse Recovery Loss MOSFET D BOOST]]*0.33</f>
        <v>0.71384918936743647</v>
      </c>
      <c r="BV66" s="354">
        <f>Table1[[#This Row],[Isense Shunt Loss]]</f>
        <v>0.13999965010065565</v>
      </c>
      <c r="CB66" s="18"/>
      <c r="CC66" s="19"/>
    </row>
    <row r="67" spans="1:81" x14ac:dyDescent="0.2">
      <c r="A67" s="14" t="s">
        <v>59</v>
      </c>
      <c r="B67" s="15" t="s">
        <v>8</v>
      </c>
      <c r="C67" s="15" t="s">
        <v>80</v>
      </c>
      <c r="G67">
        <v>58</v>
      </c>
      <c r="H67" s="555">
        <f>VIN_min+(VIN_max-VIN_min)*(Table1[[#This Row],[Step]]/200)</f>
        <v>24.06</v>
      </c>
      <c r="I67" s="4" t="str">
        <f>IF(Mode = 2,IF(Table1[[#This Row],[Vin]]&gt;Vout, "BUCK","BOOST"),IF(Table1[[#This Row],[Vin]]&gt;VIN_BB_to_buck, "BUCK", IF(Table1[[#This Row],[Vin]]&lt;=VIN_boost_to_BB,"BOOST","BUCK-BST")))</f>
        <v>BUCK</v>
      </c>
      <c r="J67">
        <f>IF(Table1[[#This Row],[Mode]]="BOOST",2, IF(Table1[[#This Row],[Mode]]="BUCK", 1,3))</f>
        <v>1</v>
      </c>
      <c r="K67">
        <f t="shared" si="0"/>
        <v>12</v>
      </c>
      <c r="L67" s="4">
        <f>Vout*Table1[[#This Row],[Iout]]/(Table1[[#This Row],[Vin]]*Efficiency)</f>
        <v>7.6650479065494155</v>
      </c>
      <c r="M67" s="711">
        <f>MIN(1/Fsw,CHOOSE(Table1[[#This Row],[Mode Digit]],(Vout+(Rdson2+Rs+Rdcr)*Table1[[#This Row],[Iout]])/(Table1[[#This Row],[Vin]]+(Rs+Rdson2-Rdson1)*Table1[[#This Row],[Iout]])/Fsw,(Vout+(Rdson3+Rdcr)*Table1[[#This Row],[Iin]]-Table1[[#This Row],[Vin]])/(Vout+(Rdson3-Rdson4-Rs)*Table1[[#This Row],[Iin]])/Fsw,t1_Ph_II))</f>
        <v>1.0204787602047876E-6</v>
      </c>
      <c r="N67" s="602">
        <f>CHOOSE(Table1[[#This Row],[Mode Digit]],1/Fsw-Table1[[#This Row],[t1_Ph_II]],1/Fsw-Table1[[#This Row],[t1_Ph_II]],(Vout/Fsw-Table1[[#This Row],[Vin]]*t1_Ph_II)/(Table1[[#This Row],[Vin]]+Vout))</f>
        <v>6.4618790646187904E-7</v>
      </c>
      <c r="O67" s="602">
        <f>1/Fsw-(Table1[[#This Row],[t1_Ph_II]]+Table1[[#This Row],[t2_Ph_I]])</f>
        <v>0</v>
      </c>
      <c r="P6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10.171642221299756</v>
      </c>
      <c r="Q67" s="4">
        <f>CHOOSE(Table1[[#This Row],[Mode Digit]],Table1[[#This Row],[I_0]]+1/Lf*(Table1[[#This Row],[Vin]]-Vout)*Table1[[#This Row],[t1_Ph_II]],Table1[[#This Row],[I_0]]+1/Lf*Table1[[#This Row],[Vin]]*Table1[[#This Row],[t1_Ph_II]],Table1[[#This Row],[I_0]]+(Table1[[#This Row],[Vin]]-Vout)/L*Table1[[#This Row],[t1_Ph_II]])</f>
        <v>13.828357778700244</v>
      </c>
      <c r="R67" s="4">
        <f>CHOOSE(Table1[[#This Row],[Mode Digit]],0,0,Table1[[#This Row],[I_1]]+Table1[[#This Row],[Vin]]/L*Table1[[#This Row],[t2_Ph_I]])</f>
        <v>0</v>
      </c>
      <c r="S67" s="4">
        <f>Fsw*(Table1[[#This Row],[I_0]]*Table1[[#This Row],[t1_Ph_II]]+Table1[[#This Row],[I_1]]*Table1[[#This Row],[t2_Ph_I]]+Table1[[#This Row],[I_2]]*Table1[[#This Row],[t3_Ph_III]])</f>
        <v>11.589397443637678</v>
      </c>
      <c r="T67" s="354">
        <f>MIN(1,CHOOSE(Table1[[#This Row],[Mode Digit]],(Vout+(Rdson2+Rs+Rdcr)*Table1[[#This Row],[Iout]])/(Table1[[#This Row],[Vin]]+(Rs+Rdson2-Rdson1)*Table1[[#This Row],[Iout]]),1,Fsw*Table1[[#This Row],[t2_Ph_I]]+Table1[[#This Row],[t1_Ph_II]]))</f>
        <v>0.6122872561228726</v>
      </c>
      <c r="U67" s="354">
        <f>MIN(1,CHOOSE(Table1[[#This Row],[Mode Digit]],0,(Vout+(Rdson3+Rdcr)*Table1[[#This Row],[Iin]]-Table1[[#This Row],[Vin]])/(Vout+(Rdson3-Rdson4-Rs)*Table1[[#This Row],[Iin]]),Fsw*Table1[[#This Row],[t1_Ph_II]]+Table1[[#This Row],[t3_Ph_III]]))</f>
        <v>0</v>
      </c>
      <c r="V67" s="4">
        <f>MAX(Table1[[#This Row],[I_0]:[I_2]])-MIN(Table1[[#This Row],[I_0]:[I_1]])</f>
        <v>3.6567155574004886</v>
      </c>
      <c r="W6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12.046339584661304</v>
      </c>
      <c r="X67" s="354">
        <f>(Table1[[#This Row],[Irms Lf]]^2*Rdcr*(1+Ltc*Ta-Ltc*25))/(1-Table1[[#This Row],[Irms Lf]]^2*Rdcr*Ltc*ThetaCa)</f>
        <v>0.9024260057750142</v>
      </c>
      <c r="Y67" s="354">
        <f>ABS(7.759*10^-3*Fsw^0.9458*(0.00787*Table1[[#This Row],[Ripple Current pk-pk]])^2.304)</f>
        <v>0.63748367162834119</v>
      </c>
      <c r="Z67" s="354">
        <f>Table1[[#This Row],[DCR    Loss]]+Table1[[#This Row],[Core Loss]]</f>
        <v>1.5399096774033554</v>
      </c>
      <c r="AA67" s="4">
        <f>IF(Table1[[#This Row],[Vin]]&gt;Vout, Table1[[#This Row],[Ripple Current pk-pk]]/SQRT(12), SQRT(Table1[[#This Row],[Duty Cycle BOOST Leg]]/(1-Table1[[#This Row],[Duty Cycle BOOST Leg]]))*SQRT(Table1[[#This Row],[Iout]]^2+(Table1[[#This Row],[Ripple Current pk-pk]]^2)/12))</f>
        <v>1.0556028557075323</v>
      </c>
      <c r="AB67" s="354">
        <f>RCoutEsr*Table1[[#This Row],[Irms Cout]]^2</f>
        <v>5.5714869448894866E-3</v>
      </c>
      <c r="AC67" s="354">
        <f>Table1[[#This Row],[Cout ESR Loss]]</f>
        <v>5.5714869448894866E-3</v>
      </c>
      <c r="AD67" s="354">
        <f>IF(Table1[[#This Row],[Vin]]&gt;Vout, SQRT(Table1[[#This Row],[Duty Cycle BUCK Leg]]*(1-Table1[[#This Row],[Duty Cycle BUCK Leg]]))*SQRT(Table1[[#This Row],[Iout]]^2+(Table1[[#This Row],[Ripple Current pk-pk]]^2)/12), Table1[[#This Row],[Ripple Current pk-pk]]/SQRT(12))</f>
        <v>5.869319482968641</v>
      </c>
      <c r="AE67" s="354">
        <f>RCinEsr*Table1[[#This Row],[Irms Cin]]^2</f>
        <v>6.889782238631055E-2</v>
      </c>
      <c r="AF67" s="549">
        <f>Table1[[#This Row],[Cin ESR Loss]]</f>
        <v>6.889782238631055E-2</v>
      </c>
      <c r="AG6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9.4261145215033224</v>
      </c>
      <c r="AH67" s="354">
        <f>Rdson1*Table1[[#This Row],[Irms BuCtrl]]^2</f>
        <v>0.37317686688448243</v>
      </c>
      <c r="AI67" s="354">
        <f>CHOOSE(Table1[[#This Row],[Mode Digit]], (Table1[[#This Row],[Vin]]*Table1[[#This Row],[Iout]]/2)*(Fsw)*(Tr_buck+Tf_buck), 0, (Table1[[#This Row],[Vin]]*Table1[[#This Row],[Avg IL]]/2)*(Fsw/1)*(Tr_buck+Tf_buck))</f>
        <v>2.8630534637300467</v>
      </c>
      <c r="AJ67">
        <f>IF(Table1[[#This Row],[Vin]]&gt;Vout, IF(Table1[[#This Row],[Iout]]&gt;Table1[[#This Row],[Ripple Current pk-pk]]/2,0,ABS(Table1[[#This Row],[Iout]]-Table1[[#This Row],[Ripple Current pk-pk]]/2)*Vsd_Q1*Deadtime*Fsw),0)</f>
        <v>0</v>
      </c>
      <c r="AK67" s="354">
        <f>(Table1[[#This Row],[Dead Time Loss BuCtrl]]+Table1[[#This Row],[Transition Loss BuCtrl]]+Table1[[#This Row],[RDS(on) Loss BuCtrl]]*(1+RdsonTopTc*Ta-RdsonTopTc*25))/(1-Table1[[#This Row],[RDS(on) Loss BuCtrl]]*RdsonTopTc*ThetaJA_Q1)</f>
        <v>3.5545879271908016</v>
      </c>
      <c r="AL67" s="354">
        <f>CHOOSE(Table1[[#This Row],[Mode Digit]],SQRT((Fsw*(Table1[[#This Row],[t2_Ph_I]]+0))*((Table1[[#This Row],[I_0]]*Table1[[#This Row],[I_1]]+((Table1[[#This Row],[I_0]]-Table1[[#This Row],[I_1]])^2)/3))),0,SQRT((Fsw*(Table1[[#This Row],[t3_Ph_III]]+0))*((Table1[[#This Row],[I_0]]*Table1[[#This Row],[I_2]]+((Table1[[#This Row],[I_0]]-Table1[[#This Row],[I_2]])^2)/3))))</f>
        <v>7.5008441135969539</v>
      </c>
      <c r="AM67" s="354">
        <f>Rdson2*Table1[[#This Row],[Irms BuSync]]^2</f>
        <v>0.23630318214922474</v>
      </c>
      <c r="AN6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7" s="354">
        <f>(Table1[[#This Row],[Deadtime Loss BuSync]]+Table1[[#This Row],[RDS(on) Loss BuSync]]*(1+RdsonBotTc*Ta-RdsonBotTc*25))/(1-Table1[[#This Row],[RDS(on) Loss BuSync]]*RdsonBotTc*ThetaJA_Q2)</f>
        <v>0.86259474253663693</v>
      </c>
      <c r="AP67" s="354">
        <f>CHOOSE(Table1[[#This Row],[Mode Digit]],0,SQRT((Fsw*(Table1[[#This Row],[t1_Ph_II]]+0))*((Table1[[#This Row],[I_0]]*Table1[[#This Row],[I_1]]+((Table1[[#This Row],[I_0]]-Table1[[#This Row],[I_1]])^2)/3))),SQRT((Fsw*(Table1[[#This Row],[t2_Ph_I]]+0))*((Table1[[#This Row],[I_1]]*Table1[[#This Row],[I_2]]+((Table1[[#This Row],[I_1]]-Table1[[#This Row],[I_2]])^2)/3))))</f>
        <v>0</v>
      </c>
      <c r="AQ67" s="354">
        <f>Rdson4*Table1[[#This Row],[Irms BoCtlr]]^2</f>
        <v>0</v>
      </c>
      <c r="AR67" s="354">
        <f>CHOOSE(Table1[[#This Row],[Mode Digit]], 0, (Vout*Table1[[#This Row],[Iin]]/2)*(Fsw)*(Tr_boost+Tf_boost), (Vout*Iout/2)*(Fsw/1)*(Tr_boost+Tf_boost))</f>
        <v>0</v>
      </c>
      <c r="AS67">
        <f>IF(Table1[[#This Row],[Vin]]&gt;Vout, 0, IF(Table1[[#This Row],[Iin]]&gt;Table1[[#This Row],[Ripple Current pk-pk]]/2,0,ABS(Table1[[#This Row],[Iin]]-Table1[[#This Row],[Ripple Current pk-pk]]/2)*Vsd_Q4*Deadtime*Fsw))</f>
        <v>0</v>
      </c>
      <c r="AT67" s="354">
        <f>(Table1[[#This Row],[Dead Time Loss BoCtlr]]+Table1[[#This Row],[Transition Loss BoCtlr]]+Table1[[#This Row],[RDS(on) Loss BoCtlr]]*(1+RdsonTopTc*Ta-RdsonTopTc*25))/(1-Table1[[#This Row],[RDS(on) Loss BoCtlr]]*RdsonTopTc*ThetaJA_Q4)</f>
        <v>0</v>
      </c>
      <c r="AU6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12.046339584661304</v>
      </c>
      <c r="AV67" s="354">
        <f>Rdson3*Table1[[#This Row],[Irms BoSync]]^2</f>
        <v>0.60948004903370723</v>
      </c>
      <c r="AW6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7" s="354">
        <f>(Table1[[#This Row],[Deadtime Loss BoSync]]+Table1[[#This Row],[RDS(on) Loss BoSync]]*(1+RdsonBotTc*Ta-RdsonBotTc*25))/(1-Table1[[#This Row],[RDS(on) Loss BoSync]]*RdsonBotTc*ThetaJA_Q3)</f>
        <v>0.71390693749909595</v>
      </c>
      <c r="AY67" s="354">
        <f>CHOOSE(Table1[[#This Row],[Mode Digit]], Rdson3*Table1[[#This Row],[Irms Lf]]^2, Rdson1*Table1[[#This Row],[Irms Lf]]^2, 0)</f>
        <v>0.60948004903370723</v>
      </c>
      <c r="AZ67" s="354">
        <f>CHOOSE(Table1[[#This Row],[Mode Digit]], 2*Deadtime*Fsw*IF(VfdSky_Q2&gt;0,VfdSky_Q2,0)*Table1[[#This Row],[Iout]], 2*Deadtime*Fsw*IF(VfdSky_Q3&gt;0,VfdSky_Q3,0)*Table1[[#This Row],[Iin]], 2*Deadtime*Fsw*IF(VfdSky_Q2&gt;0,VfdSky_Q2,0)*Table1[[#This Row],[Iout]]+2*Deadtime*Fsw*IF(VfdSky_Q3&gt;0,VfdSky_Q3,0)*Table1[[#This Row],[Iin]])</f>
        <v>0</v>
      </c>
      <c r="BA67" s="354">
        <f>CHOOSE(Table1[[#This Row],[Mode Digit]], IF(QrrSky_Q2&gt;0,QrrSky_Q2,Qrr_Q2)*Fsw*(Table1[[#This Row],[Vin]]-Table1[[#This Row],[Iout]]*Rdson1),0,  IF(QrrSky_Q2&gt;0,QrrSky_Q2,Qrr_Q2)*Fsw*(Table1[[#This Row],[Vin]]-Table1[[#This Row],[Iout]]*Rdson1)+IF(QrrSky_Q3&gt;0,QrrSky_Q3,Qrr_Q3)*Fsw*Vout)</f>
        <v>0.28811520000000002</v>
      </c>
      <c r="BB67" s="354">
        <f>CHOOSE(Table1[[#This Row],[Mode Digit]],0, IF(QrrSky_Q3&gt;0,QrrSky_Q3,Qrr_Q3)*Fsw*Vout,  IF(QrrSky_Q2&gt;0,QrrSky_Q2,Qrr_Q2)*Fsw*(Table1[[#This Row],[Vin]]-Table1[[#This Row],[Iout]]*Rdson1)+IF(QrrSky_Q3&gt;0,QrrSky_Q3,Qrr_Q3)*Fsw*Vout)</f>
        <v>0</v>
      </c>
      <c r="BC67" s="354">
        <f>CHOOSE(Table1[[#This Row],[Mode Digit]], Rs*Table1[[#This Row],[Irms BuSync]]^2, Rs*Table1[[#This Row],[Irms BoCtlr]]^2, Rs*(Table1[[#This Row],[Irms BuSync]]^2+Table1[[#This Row],[Irms BoCtlr]]^2))</f>
        <v>0.1406566560412052</v>
      </c>
      <c r="BD67" s="354">
        <f t="shared" si="1"/>
        <v>1.44</v>
      </c>
      <c r="BE67" s="354">
        <f>IF(Vout&gt;8, Iq*Vout, Iq*Table1[[#This Row],[Vin]])</f>
        <v>4.3799999999999999E-2</v>
      </c>
      <c r="BF67" s="354">
        <f>CHOOSE(Table1[[#This Row],[Mode Digit]], (Qg_Q1+Qg_Q2)*Fsw, (Qg_Q3+Qg_Q4)*Fsw, (Qg_Q1+Qg_Q2+Qg_Q3+Qg_Q4)*Fsw)*IF(Vout&gt;8, Vout, Table1[[#This Row],[Vin]])</f>
        <v>0.47303999999999996</v>
      </c>
      <c r="BG67" s="354">
        <f t="shared" si="2"/>
        <v>0.57269042016806726</v>
      </c>
      <c r="BH67" s="354">
        <f>Table1[[#This Row],[IQ Loss]]+Table1[[#This Row],[Switching Current Loss]]</f>
        <v>0.51683999999999997</v>
      </c>
      <c r="BI6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9.1310804500022957</v>
      </c>
      <c r="BJ67">
        <f>Vout*Table1[[#This Row],[Iout]]</f>
        <v>175.2</v>
      </c>
      <c r="BK67" s="550">
        <f>Table1[[#This Row],[Pout]]/(Table1[[#This Row],[Pout]]+Table1[[#This Row],[Total Loss]])</f>
        <v>0.95046369593390956</v>
      </c>
      <c r="BL6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213.2752756314481</v>
      </c>
      <c r="BM67" s="559">
        <f>IF(Table1[[#This Row],[Vin]]&gt;Vout, Table1[[#This Row],[Total Sync Bu MOSFET Loss]]*ThetaJA_Q2, ThetaJA_Q3*Table1[[#This Row],[Total Sync Bo MOSFET Loss]])</f>
        <v>51.755684552198218</v>
      </c>
      <c r="BN67" s="9"/>
      <c r="BO67" s="4">
        <f>Table1[[#This Row],[EFF, h]]*100</f>
        <v>95.046369593390949</v>
      </c>
      <c r="BP67" s="354">
        <f>Table1[[#This Row],[Total Inductor Loss]]</f>
        <v>1.5399096774033554</v>
      </c>
      <c r="BQ67" s="354">
        <f>Table1[[#This Row],[Total Control Bu MOSFET Loss]]+Table1[[#This Row],[Total Sync Bu MOSFET Loss]]+Table1[[#This Row],[Total Control Bo MOSFET Loss]]+Table1[[#This Row],[Total Sync Bo MOSFET Loss]]+Table1[[#This Row],[Reverse Recovery Loss MOSFET D BUCK]]+Table1[[#This Row],[Reverse Recovery Loss MOSFET D BOOST]]</f>
        <v>5.4192048072265342</v>
      </c>
      <c r="BR67" s="354">
        <f>Table1[[#This Row],[Total Control Bu MOSFET Loss]]+Table1[[#This Row],[Reverse Recovery Loss MOSFET D BUCK]]*0.66</f>
        <v>3.7447439591908016</v>
      </c>
      <c r="BS67" s="354">
        <f>Table1[[#This Row],[Total Sync Bu MOSFET Loss]]+Table1[[#This Row],[Reverse Recovery Loss MOSFET D BUCK]]*0.33</f>
        <v>0.95767275853663691</v>
      </c>
      <c r="BT67" s="354">
        <f xml:space="preserve"> Table1[[#This Row],[Total Control Bo MOSFET Loss]]+Table1[[#This Row],[Reverse Recovery Loss MOSFET D BOOST]]*0.66</f>
        <v>0</v>
      </c>
      <c r="BU67" s="354">
        <f xml:space="preserve"> Table1[[#This Row],[Total Sync Bo MOSFET Loss]]+Table1[[#This Row],[Reverse Recovery Loss MOSFET D BOOST]]*0.33</f>
        <v>0.71390693749909595</v>
      </c>
      <c r="BV67" s="354">
        <f>Table1[[#This Row],[Isense Shunt Loss]]</f>
        <v>0.1406566560412052</v>
      </c>
      <c r="CB67" s="18"/>
      <c r="CC67" s="19"/>
    </row>
    <row r="68" spans="1:81" x14ac:dyDescent="0.2">
      <c r="A68" s="32" t="s">
        <v>240</v>
      </c>
      <c r="B68" s="449" t="e">
        <f>#REF!</f>
        <v>#REF!</v>
      </c>
      <c r="C68" s="21" t="s">
        <v>19</v>
      </c>
      <c r="G68">
        <v>59</v>
      </c>
      <c r="H68" s="555">
        <f>VIN_min+(VIN_max-VIN_min)*(Table1[[#This Row],[Step]]/200)</f>
        <v>24.13</v>
      </c>
      <c r="I68" s="4" t="str">
        <f>IF(Mode = 2,IF(Table1[[#This Row],[Vin]]&gt;Vout, "BUCK","BOOST"),IF(Table1[[#This Row],[Vin]]&gt;VIN_BB_to_buck, "BUCK", IF(Table1[[#This Row],[Vin]]&lt;=VIN_boost_to_BB,"BOOST","BUCK-BST")))</f>
        <v>BUCK</v>
      </c>
      <c r="J68">
        <f>IF(Table1[[#This Row],[Mode]]="BOOST",2, IF(Table1[[#This Row],[Mode]]="BUCK", 1,3))</f>
        <v>1</v>
      </c>
      <c r="K68">
        <f t="shared" si="0"/>
        <v>12</v>
      </c>
      <c r="L68" s="4">
        <f>Vout*Table1[[#This Row],[Iout]]/(Table1[[#This Row],[Vin]]*Efficiency)</f>
        <v>7.6428119615242007</v>
      </c>
      <c r="M68" s="711">
        <f>MIN(1/Fsw,CHOOSE(Table1[[#This Row],[Mode Digit]],(Vout+(Rdson2+Rs+Rdcr)*Table1[[#This Row],[Iout]])/(Table1[[#This Row],[Vin]]+(Rs+Rdson2-Rdson1)*Table1[[#This Row],[Iout]])/Fsw,(Vout+(Rdson3+Rdcr)*Table1[[#This Row],[Iin]]-Table1[[#This Row],[Vin]])/(Vout+(Rdson3-Rdson4-Rs)*Table1[[#This Row],[Iin]])/Fsw,t1_Ph_II))</f>
        <v>1.0175220750551875E-6</v>
      </c>
      <c r="N68" s="602">
        <f>CHOOSE(Table1[[#This Row],[Mode Digit]],1/Fsw-Table1[[#This Row],[t1_Ph_II]],1/Fsw-Table1[[#This Row],[t1_Ph_II]],(Vout/Fsw-Table1[[#This Row],[Vin]]*t1_Ph_II)/(Table1[[#This Row],[Vin]]+Vout))</f>
        <v>6.4914459161147915E-7</v>
      </c>
      <c r="O68" s="602">
        <f>1/Fsw-(Table1[[#This Row],[t1_Ph_II]]+Table1[[#This Row],[t2_Ph_I]])</f>
        <v>0</v>
      </c>
      <c r="P6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10.163449739531073</v>
      </c>
      <c r="Q68" s="4">
        <f>CHOOSE(Table1[[#This Row],[Mode Digit]],Table1[[#This Row],[I_0]]+1/Lf*(Table1[[#This Row],[Vin]]-Vout)*Table1[[#This Row],[t1_Ph_II]],Table1[[#This Row],[I_0]]+1/Lf*Table1[[#This Row],[Vin]]*Table1[[#This Row],[t1_Ph_II]],Table1[[#This Row],[I_0]]+(Table1[[#This Row],[Vin]]-Vout)/L*Table1[[#This Row],[t1_Ph_II]])</f>
        <v>13.836550260468927</v>
      </c>
      <c r="R68" s="4">
        <f>CHOOSE(Table1[[#This Row],[Mode Digit]],0,0,Table1[[#This Row],[I_1]]+Table1[[#This Row],[Vin]]/L*Table1[[#This Row],[t2_Ph_I]])</f>
        <v>0</v>
      </c>
      <c r="S68" s="4">
        <f>Fsw*(Table1[[#This Row],[I_0]]*Table1[[#This Row],[t1_Ph_II]]+Table1[[#This Row],[I_1]]*Table1[[#This Row],[t2_Ph_I]]+Table1[[#This Row],[I_2]]*Table1[[#This Row],[t3_Ph_III]])</f>
        <v>11.594073742098342</v>
      </c>
      <c r="T68" s="354">
        <f>MIN(1,CHOOSE(Table1[[#This Row],[Mode Digit]],(Vout+(Rdson2+Rs+Rdcr)*Table1[[#This Row],[Iout]])/(Table1[[#This Row],[Vin]]+(Rs+Rdson2-Rdson1)*Table1[[#This Row],[Iout]]),1,Fsw*Table1[[#This Row],[t2_Ph_I]]+Table1[[#This Row],[t1_Ph_II]]))</f>
        <v>0.61051324503311255</v>
      </c>
      <c r="U68" s="354">
        <f>MIN(1,CHOOSE(Table1[[#This Row],[Mode Digit]],0,(Vout+(Rdson3+Rdcr)*Table1[[#This Row],[Iin]]-Table1[[#This Row],[Vin]])/(Vout+(Rdson3-Rdson4-Rs)*Table1[[#This Row],[Iin]]),Fsw*Table1[[#This Row],[t1_Ph_II]]+Table1[[#This Row],[t3_Ph_III]]))</f>
        <v>0</v>
      </c>
      <c r="V68" s="4">
        <f>MAX(Table1[[#This Row],[I_0]:[I_2]])-MIN(Table1[[#This Row],[I_0]:[I_1]])</f>
        <v>3.6731005209378544</v>
      </c>
      <c r="W6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12.046754982971256</v>
      </c>
      <c r="X68" s="354">
        <f>(Table1[[#This Row],[Irms Lf]]^2*Rdcr*(1+Ltc*Ta-Ltc*25))/(1-Table1[[#This Row],[Irms Lf]]^2*Rdcr*Ltc*ThetaCa)</f>
        <v>0.90249273779586958</v>
      </c>
      <c r="Y68" s="354">
        <f>ABS(7.759*10^-3*Fsw^0.9458*(0.00787*Table1[[#This Row],[Ripple Current pk-pk]])^2.304)</f>
        <v>0.64408411856159919</v>
      </c>
      <c r="Z68" s="354">
        <f>Table1[[#This Row],[DCR    Loss]]+Table1[[#This Row],[Core Loss]]</f>
        <v>1.5465768563574689</v>
      </c>
      <c r="AA68" s="4">
        <f>IF(Table1[[#This Row],[Vin]]&gt;Vout, Table1[[#This Row],[Ripple Current pk-pk]]/SQRT(12), SQRT(Table1[[#This Row],[Duty Cycle BOOST Leg]]/(1-Table1[[#This Row],[Duty Cycle BOOST Leg]]))*SQRT(Table1[[#This Row],[Iout]]^2+(Table1[[#This Row],[Ripple Current pk-pk]]^2)/12))</f>
        <v>1.0603327872620125</v>
      </c>
      <c r="AB68" s="354">
        <f>RCoutEsr*Table1[[#This Row],[Irms Cout]]^2</f>
        <v>5.6215280987141417E-3</v>
      </c>
      <c r="AC68" s="354">
        <f>Table1[[#This Row],[Cout ESR Loss]]</f>
        <v>5.6215280987141417E-3</v>
      </c>
      <c r="AD68" s="354">
        <f>IF(Table1[[#This Row],[Vin]]&gt;Vout, SQRT(Table1[[#This Row],[Duty Cycle BUCK Leg]]*(1-Table1[[#This Row],[Duty Cycle BUCK Leg]]))*SQRT(Table1[[#This Row],[Iout]]^2+(Table1[[#This Row],[Ripple Current pk-pk]]^2)/12), Table1[[#This Row],[Ripple Current pk-pk]]/SQRT(12))</f>
        <v>5.874406142397322</v>
      </c>
      <c r="AE68" s="354">
        <f>RCinEsr*Table1[[#This Row],[Irms Cin]]^2</f>
        <v>6.9017295051670771E-2</v>
      </c>
      <c r="AF68" s="549">
        <f>Table1[[#This Row],[Cin ESR Loss]]</f>
        <v>6.9017295051670771E-2</v>
      </c>
      <c r="AG6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9.4127738078149079</v>
      </c>
      <c r="AH68" s="354">
        <f>Rdson1*Table1[[#This Row],[Irms BuCtrl]]^2</f>
        <v>0.37212130517976277</v>
      </c>
      <c r="AI68" s="354">
        <f>CHOOSE(Table1[[#This Row],[Mode Digit]], (Table1[[#This Row],[Vin]]*Table1[[#This Row],[Iout]]/2)*(Fsw)*(Tr_buck+Tf_buck), 0, (Table1[[#This Row],[Vin]]*Table1[[#This Row],[Avg IL]]/2)*(Fsw/1)*(Tr_buck+Tf_buck))</f>
        <v>2.8713832119620131</v>
      </c>
      <c r="AJ68">
        <f>IF(Table1[[#This Row],[Vin]]&gt;Vout, IF(Table1[[#This Row],[Iout]]&gt;Table1[[#This Row],[Ripple Current pk-pk]]/2,0,ABS(Table1[[#This Row],[Iout]]-Table1[[#This Row],[Ripple Current pk-pk]]/2)*Vsd_Q1*Deadtime*Fsw),0)</f>
        <v>0</v>
      </c>
      <c r="AK68" s="354">
        <f>(Table1[[#This Row],[Dead Time Loss BuCtrl]]+Table1[[#This Row],[Transition Loss BuCtrl]]+Table1[[#This Row],[RDS(on) Loss BuCtrl]]*(1+RdsonTopTc*Ta-RdsonTopTc*25))/(1-Table1[[#This Row],[RDS(on) Loss BuCtrl]]*RdsonTopTc*ThetaJA_Q1)</f>
        <v>3.5615866638267466</v>
      </c>
      <c r="AL68" s="354">
        <f>CHOOSE(Table1[[#This Row],[Mode Digit]],SQRT((Fsw*(Table1[[#This Row],[t2_Ph_I]]+0))*((Table1[[#This Row],[I_0]]*Table1[[#This Row],[I_1]]+((Table1[[#This Row],[I_0]]-Table1[[#This Row],[I_1]])^2)/3))),0,SQRT((Fsw*(Table1[[#This Row],[t3_Ph_III]]+0))*((Table1[[#This Row],[I_0]]*Table1[[#This Row],[I_2]]+((Table1[[#This Row],[I_0]]-Table1[[#This Row],[I_2]])^2)/3))))</f>
        <v>7.5182441342813862</v>
      </c>
      <c r="AM68" s="354">
        <f>Rdson2*Table1[[#This Row],[Irms BuSync]]^2</f>
        <v>0.23740077842315721</v>
      </c>
      <c r="AN6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8" s="354">
        <f>(Table1[[#This Row],[Deadtime Loss BuSync]]+Table1[[#This Row],[RDS(on) Loss BuSync]]*(1+RdsonBotTc*Ta-RdsonBotTc*25))/(1-Table1[[#This Row],[RDS(on) Loss BuSync]]*RdsonBotTc*ThetaJA_Q2)</f>
        <v>0.86399961019903926</v>
      </c>
      <c r="AP68" s="354">
        <f>CHOOSE(Table1[[#This Row],[Mode Digit]],0,SQRT((Fsw*(Table1[[#This Row],[t1_Ph_II]]+0))*((Table1[[#This Row],[I_0]]*Table1[[#This Row],[I_1]]+((Table1[[#This Row],[I_0]]-Table1[[#This Row],[I_1]])^2)/3))),SQRT((Fsw*(Table1[[#This Row],[t2_Ph_I]]+0))*((Table1[[#This Row],[I_1]]*Table1[[#This Row],[I_2]]+((Table1[[#This Row],[I_1]]-Table1[[#This Row],[I_2]])^2)/3))))</f>
        <v>0</v>
      </c>
      <c r="AQ68" s="354">
        <f>Rdson4*Table1[[#This Row],[Irms BoCtlr]]^2</f>
        <v>0</v>
      </c>
      <c r="AR68" s="354">
        <f>CHOOSE(Table1[[#This Row],[Mode Digit]], 0, (Vout*Table1[[#This Row],[Iin]]/2)*(Fsw)*(Tr_boost+Tf_boost), (Vout*Iout/2)*(Fsw/1)*(Tr_boost+Tf_boost))</f>
        <v>0</v>
      </c>
      <c r="AS68">
        <f>IF(Table1[[#This Row],[Vin]]&gt;Vout, 0, IF(Table1[[#This Row],[Iin]]&gt;Table1[[#This Row],[Ripple Current pk-pk]]/2,0,ABS(Table1[[#This Row],[Iin]]-Table1[[#This Row],[Ripple Current pk-pk]]/2)*Vsd_Q4*Deadtime*Fsw))</f>
        <v>0</v>
      </c>
      <c r="AT68" s="354">
        <f>(Table1[[#This Row],[Dead Time Loss BoCtlr]]+Table1[[#This Row],[Transition Loss BoCtlr]]+Table1[[#This Row],[RDS(on) Loss BoCtlr]]*(1+RdsonTopTc*Ta-RdsonTopTc*25))/(1-Table1[[#This Row],[RDS(on) Loss BoCtlr]]*RdsonTopTc*ThetaJA_Q4)</f>
        <v>0</v>
      </c>
      <c r="AU6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12.046754982971256</v>
      </c>
      <c r="AV68" s="354">
        <f>Rdson3*Table1[[#This Row],[Irms BoSync]]^2</f>
        <v>0.60952208360291982</v>
      </c>
      <c r="AW6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8" s="354">
        <f>(Table1[[#This Row],[Deadtime Loss BoSync]]+Table1[[#This Row],[RDS(on) Loss BoSync]]*(1+RdsonBotTc*Ta-RdsonBotTc*25))/(1-Table1[[#This Row],[RDS(on) Loss BoSync]]*RdsonBotTc*ThetaJA_Q3)</f>
        <v>0.71396461095154373</v>
      </c>
      <c r="AY68" s="354">
        <f>CHOOSE(Table1[[#This Row],[Mode Digit]], Rdson3*Table1[[#This Row],[Irms Lf]]^2, Rdson1*Table1[[#This Row],[Irms Lf]]^2, 0)</f>
        <v>0.60952208360291982</v>
      </c>
      <c r="AZ68" s="354">
        <f>CHOOSE(Table1[[#This Row],[Mode Digit]], 2*Deadtime*Fsw*IF(VfdSky_Q2&gt;0,VfdSky_Q2,0)*Table1[[#This Row],[Iout]], 2*Deadtime*Fsw*IF(VfdSky_Q3&gt;0,VfdSky_Q3,0)*Table1[[#This Row],[Iin]], 2*Deadtime*Fsw*IF(VfdSky_Q2&gt;0,VfdSky_Q2,0)*Table1[[#This Row],[Iout]]+2*Deadtime*Fsw*IF(VfdSky_Q3&gt;0,VfdSky_Q3,0)*Table1[[#This Row],[Iin]])</f>
        <v>0</v>
      </c>
      <c r="BA68" s="354">
        <f>CHOOSE(Table1[[#This Row],[Mode Digit]], IF(QrrSky_Q2&gt;0,QrrSky_Q2,Qrr_Q2)*Fsw*(Table1[[#This Row],[Vin]]-Table1[[#This Row],[Iout]]*Rdson1),0,  IF(QrrSky_Q2&gt;0,QrrSky_Q2,Qrr_Q2)*Fsw*(Table1[[#This Row],[Vin]]-Table1[[#This Row],[Iout]]*Rdson1)+IF(QrrSky_Q3&gt;0,QrrSky_Q3,Qrr_Q3)*Fsw*Vout)</f>
        <v>0.28895520000000002</v>
      </c>
      <c r="BB68" s="354">
        <f>CHOOSE(Table1[[#This Row],[Mode Digit]],0, IF(QrrSky_Q3&gt;0,QrrSky_Q3,Qrr_Q3)*Fsw*Vout,  IF(QrrSky_Q2&gt;0,QrrSky_Q2,Qrr_Q2)*Fsw*(Table1[[#This Row],[Vin]]-Table1[[#This Row],[Iout]]*Rdson1)+IF(QrrSky_Q3&gt;0,QrrSky_Q3,Qrr_Q3)*Fsw*Vout)</f>
        <v>0</v>
      </c>
      <c r="BC68" s="354">
        <f>CHOOSE(Table1[[#This Row],[Mode Digit]], Rs*Table1[[#This Row],[Irms BuSync]]^2, Rs*Table1[[#This Row],[Irms BoCtlr]]^2, Rs*(Table1[[#This Row],[Irms BuSync]]^2+Table1[[#This Row],[Irms BoCtlr]]^2))</f>
        <v>0.1413099871566412</v>
      </c>
      <c r="BD68" s="354">
        <f t="shared" si="1"/>
        <v>1.44</v>
      </c>
      <c r="BE68" s="354">
        <f>IF(Vout&gt;8, Iq*Vout, Iq*Table1[[#This Row],[Vin]])</f>
        <v>4.3799999999999999E-2</v>
      </c>
      <c r="BF68" s="354">
        <f>CHOOSE(Table1[[#This Row],[Mode Digit]], (Qg_Q1+Qg_Q2)*Fsw, (Qg_Q3+Qg_Q4)*Fsw, (Qg_Q1+Qg_Q2+Qg_Q3+Qg_Q4)*Fsw)*IF(Vout&gt;8, Vout, Table1[[#This Row],[Vin]])</f>
        <v>0.47303999999999996</v>
      </c>
      <c r="BG68" s="354">
        <f t="shared" si="2"/>
        <v>0.57269042016806726</v>
      </c>
      <c r="BH68" s="354">
        <f>Table1[[#This Row],[IQ Loss]]+Table1[[#This Row],[Switching Current Loss]]</f>
        <v>0.51683999999999997</v>
      </c>
      <c r="BI6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9.1478717516418246</v>
      </c>
      <c r="BJ68">
        <f>Vout*Table1[[#This Row],[Iout]]</f>
        <v>175.2</v>
      </c>
      <c r="BK68" s="550">
        <f>Table1[[#This Row],[Pout]]/(Table1[[#This Row],[Pout]]+Table1[[#This Row],[Total Loss]])</f>
        <v>0.95037712307324018</v>
      </c>
      <c r="BL6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213.6951998296048</v>
      </c>
      <c r="BM68" s="559">
        <f>IF(Table1[[#This Row],[Vin]]&gt;Vout, Table1[[#This Row],[Total Sync Bu MOSFET Loss]]*ThetaJA_Q2, ThetaJA_Q3*Table1[[#This Row],[Total Sync Bo MOSFET Loss]])</f>
        <v>51.839976611942355</v>
      </c>
      <c r="BN68" s="9"/>
      <c r="BO68" s="4">
        <f>Table1[[#This Row],[EFF, h]]*100</f>
        <v>95.037712307324014</v>
      </c>
      <c r="BP68" s="354">
        <f>Table1[[#This Row],[Total Inductor Loss]]</f>
        <v>1.5465768563574689</v>
      </c>
      <c r="BQ68" s="354">
        <f>Table1[[#This Row],[Total Control Bu MOSFET Loss]]+Table1[[#This Row],[Total Sync Bu MOSFET Loss]]+Table1[[#This Row],[Total Control Bo MOSFET Loss]]+Table1[[#This Row],[Total Sync Bo MOSFET Loss]]+Table1[[#This Row],[Reverse Recovery Loss MOSFET D BUCK]]+Table1[[#This Row],[Reverse Recovery Loss MOSFET D BOOST]]</f>
        <v>5.4285060849773297</v>
      </c>
      <c r="BR68" s="354">
        <f>Table1[[#This Row],[Total Control Bu MOSFET Loss]]+Table1[[#This Row],[Reverse Recovery Loss MOSFET D BUCK]]*0.66</f>
        <v>3.7522970958267465</v>
      </c>
      <c r="BS68" s="354">
        <f>Table1[[#This Row],[Total Sync Bu MOSFET Loss]]+Table1[[#This Row],[Reverse Recovery Loss MOSFET D BUCK]]*0.33</f>
        <v>0.95935482619903922</v>
      </c>
      <c r="BT68" s="354">
        <f xml:space="preserve"> Table1[[#This Row],[Total Control Bo MOSFET Loss]]+Table1[[#This Row],[Reverse Recovery Loss MOSFET D BOOST]]*0.66</f>
        <v>0</v>
      </c>
      <c r="BU68" s="354">
        <f xml:space="preserve"> Table1[[#This Row],[Total Sync Bo MOSFET Loss]]+Table1[[#This Row],[Reverse Recovery Loss MOSFET D BOOST]]*0.33</f>
        <v>0.71396461095154373</v>
      </c>
      <c r="BV68" s="354">
        <f>Table1[[#This Row],[Isense Shunt Loss]]</f>
        <v>0.1413099871566412</v>
      </c>
      <c r="CB68" s="18"/>
      <c r="CC68" s="19"/>
    </row>
    <row r="69" spans="1:81" x14ac:dyDescent="0.2">
      <c r="A69" s="23" t="s">
        <v>82</v>
      </c>
      <c r="B69" s="449" t="e">
        <f>1-B68</f>
        <v>#REF!</v>
      </c>
      <c r="C69" s="21" t="s">
        <v>19</v>
      </c>
      <c r="G69">
        <v>60</v>
      </c>
      <c r="H69" s="555">
        <f>VIN_min+(VIN_max-VIN_min)*(Table1[[#This Row],[Step]]/200)</f>
        <v>24.2</v>
      </c>
      <c r="I69" s="4" t="str">
        <f>IF(Mode = 2,IF(Table1[[#This Row],[Vin]]&gt;Vout, "BUCK","BOOST"),IF(Table1[[#This Row],[Vin]]&gt;VIN_BB_to_buck, "BUCK", IF(Table1[[#This Row],[Vin]]&lt;=VIN_boost_to_BB,"BOOST","BUCK-BST")))</f>
        <v>BUCK</v>
      </c>
      <c r="J69">
        <f>IF(Table1[[#This Row],[Mode]]="BOOST",2, IF(Table1[[#This Row],[Mode]]="BUCK", 1,3))</f>
        <v>1</v>
      </c>
      <c r="K69">
        <f t="shared" si="0"/>
        <v>12</v>
      </c>
      <c r="L69" s="4">
        <f>Vout*Table1[[#This Row],[Iout]]/(Table1[[#This Row],[Vin]]*Efficiency)</f>
        <v>7.6207046541974774</v>
      </c>
      <c r="M69" s="711">
        <f>MIN(1/Fsw,CHOOSE(Table1[[#This Row],[Mode Digit]],(Vout+(Rdson2+Rs+Rdcr)*Table1[[#This Row],[Iout]])/(Table1[[#This Row],[Vin]]+(Rs+Rdson2-Rdson1)*Table1[[#This Row],[Iout]])/Fsw,(Vout+(Rdson3+Rdcr)*Table1[[#This Row],[Iin]]-Table1[[#This Row],[Vin]])/(Vout+(Rdson3-Rdson4-Rs)*Table1[[#This Row],[Iin]])/Fsw,t1_Ph_II))</f>
        <v>1.0145824735176778E-6</v>
      </c>
      <c r="N69" s="602">
        <f>CHOOSE(Table1[[#This Row],[Mode Digit]],1/Fsw-Table1[[#This Row],[t1_Ph_II]],1/Fsw-Table1[[#This Row],[t1_Ph_II]],(Vout/Fsw-Table1[[#This Row],[Vin]]*t1_Ph_II)/(Table1[[#This Row],[Vin]]+Vout))</f>
        <v>6.5208419314898888E-7</v>
      </c>
      <c r="O69" s="602">
        <f>1/Fsw-(Table1[[#This Row],[t1_Ph_II]]+Table1[[#This Row],[t2_Ph_I]])</f>
        <v>0</v>
      </c>
      <c r="P6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10.155304593604223</v>
      </c>
      <c r="Q69" s="4">
        <f>CHOOSE(Table1[[#This Row],[Mode Digit]],Table1[[#This Row],[I_0]]+1/Lf*(Table1[[#This Row],[Vin]]-Vout)*Table1[[#This Row],[t1_Ph_II]],Table1[[#This Row],[I_0]]+1/Lf*Table1[[#This Row],[Vin]]*Table1[[#This Row],[t1_Ph_II]],Table1[[#This Row],[I_0]]+(Table1[[#This Row],[Vin]]-Vout)/L*Table1[[#This Row],[t1_Ph_II]])</f>
        <v>13.844695406395779</v>
      </c>
      <c r="R69" s="4">
        <f>CHOOSE(Table1[[#This Row],[Mode Digit]],0,0,Table1[[#This Row],[I_1]]+Table1[[#This Row],[Vin]]/L*Table1[[#This Row],[t2_Ph_I]])</f>
        <v>0</v>
      </c>
      <c r="S69" s="4">
        <f>Fsw*(Table1[[#This Row],[I_0]]*Table1[[#This Row],[t1_Ph_II]]+Table1[[#This Row],[I_1]]*Table1[[#This Row],[t2_Ph_I]]+Table1[[#This Row],[I_2]]*Table1[[#This Row],[t3_Ph_III]])</f>
        <v>11.598780652426507</v>
      </c>
      <c r="T69" s="354">
        <f>MIN(1,CHOOSE(Table1[[#This Row],[Mode Digit]],(Vout+(Rdson2+Rs+Rdcr)*Table1[[#This Row],[Iout]])/(Table1[[#This Row],[Vin]]+(Rs+Rdson2-Rdson1)*Table1[[#This Row],[Iout]]),1,Fsw*Table1[[#This Row],[t2_Ph_I]]+Table1[[#This Row],[t1_Ph_II]]))</f>
        <v>0.6087494841106067</v>
      </c>
      <c r="U69" s="354">
        <f>MIN(1,CHOOSE(Table1[[#This Row],[Mode Digit]],0,(Vout+(Rdson3+Rdcr)*Table1[[#This Row],[Iin]]-Table1[[#This Row],[Vin]])/(Vout+(Rdson3-Rdson4-Rs)*Table1[[#This Row],[Iin]]),Fsw*Table1[[#This Row],[t1_Ph_II]]+Table1[[#This Row],[t3_Ph_III]]))</f>
        <v>0</v>
      </c>
      <c r="V69" s="4">
        <f>MAX(Table1[[#This Row],[I_0]:[I_2]])-MIN(Table1[[#This Row],[I_0]:[I_1]])</f>
        <v>3.6893908127915562</v>
      </c>
      <c r="W6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12.047169807917234</v>
      </c>
      <c r="X69" s="354">
        <f>(Table1[[#This Row],[Irms Lf]]^2*Rdcr*(1+Ltc*Ta-Ltc*25))/(1-Table1[[#This Row],[Irms Lf]]^2*Rdcr*Ltc*ThetaCa)</f>
        <v>0.90255938066770958</v>
      </c>
      <c r="Y69" s="354">
        <f>ABS(7.759*10^-3*Fsw^0.9458*(0.00787*Table1[[#This Row],[Ripple Current pk-pk]])^2.304)</f>
        <v>0.65068460113222704</v>
      </c>
      <c r="Z69" s="354">
        <f>Table1[[#This Row],[DCR    Loss]]+Table1[[#This Row],[Core Loss]]</f>
        <v>1.5532439817999366</v>
      </c>
      <c r="AA69" s="4">
        <f>IF(Table1[[#This Row],[Vin]]&gt;Vout, Table1[[#This Row],[Ripple Current pk-pk]]/SQRT(12), SQRT(Table1[[#This Row],[Duty Cycle BOOST Leg]]/(1-Table1[[#This Row],[Duty Cycle BOOST Leg]]))*SQRT(Table1[[#This Row],[Iout]]^2+(Table1[[#This Row],[Ripple Current pk-pk]]^2)/12))</f>
        <v>1.0650353894554687</v>
      </c>
      <c r="AB69" s="354">
        <f>RCoutEsr*Table1[[#This Row],[Irms Cout]]^2</f>
        <v>5.6715019039628098E-3</v>
      </c>
      <c r="AC69" s="354">
        <f>Table1[[#This Row],[Cout ESR Loss]]</f>
        <v>5.6715019039628098E-3</v>
      </c>
      <c r="AD69" s="354">
        <f>IF(Table1[[#This Row],[Vin]]&gt;Vout, SQRT(Table1[[#This Row],[Duty Cycle BUCK Leg]]*(1-Table1[[#This Row],[Duty Cycle BUCK Leg]]))*SQRT(Table1[[#This Row],[Iout]]^2+(Table1[[#This Row],[Ripple Current pk-pk]]^2)/12), Table1[[#This Row],[Ripple Current pk-pk]]/SQRT(12))</f>
        <v>5.8793835991320833</v>
      </c>
      <c r="AE69" s="354">
        <f>RCinEsr*Table1[[#This Row],[Irms Cin]]^2</f>
        <v>6.9134303011486667E-2</v>
      </c>
      <c r="AF69" s="549">
        <f>Table1[[#This Row],[Cin ESR Loss]]</f>
        <v>6.9134303011486667E-2</v>
      </c>
      <c r="AG6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9.3994909693855924</v>
      </c>
      <c r="AH69" s="354">
        <f>Rdson1*Table1[[#This Row],[Irms BuCtrl]]^2</f>
        <v>0.37107180803095752</v>
      </c>
      <c r="AI69" s="354">
        <f>CHOOSE(Table1[[#This Row],[Mode Digit]], (Table1[[#This Row],[Vin]]*Table1[[#This Row],[Iout]]/2)*(Fsw)*(Tr_buck+Tf_buck), 0, (Table1[[#This Row],[Vin]]*Table1[[#This Row],[Avg IL]]/2)*(Fsw/1)*(Tr_buck+Tf_buck))</f>
        <v>2.879712960193979</v>
      </c>
      <c r="AJ69">
        <f>IF(Table1[[#This Row],[Vin]]&gt;Vout, IF(Table1[[#This Row],[Iout]]&gt;Table1[[#This Row],[Ripple Current pk-pk]]/2,0,ABS(Table1[[#This Row],[Iout]]-Table1[[#This Row],[Ripple Current pk-pk]]/2)*Vsd_Q1*Deadtime*Fsw),0)</f>
        <v>0</v>
      </c>
      <c r="AK69" s="354">
        <f>(Table1[[#This Row],[Dead Time Loss BuCtrl]]+Table1[[#This Row],[Transition Loss BuCtrl]]+Table1[[#This Row],[RDS(on) Loss BuCtrl]]*(1+RdsonTopTc*Ta-RdsonTopTc*25))/(1-Table1[[#This Row],[RDS(on) Loss BuCtrl]]*RdsonTopTc*ThetaJA_Q1)</f>
        <v>3.5685938670333135</v>
      </c>
      <c r="AL69" s="354">
        <f>CHOOSE(Table1[[#This Row],[Mode Digit]],SQRT((Fsw*(Table1[[#This Row],[t2_Ph_I]]+0))*((Table1[[#This Row],[I_0]]*Table1[[#This Row],[I_1]]+((Table1[[#This Row],[I_0]]-Table1[[#This Row],[I_1]])^2)/3))),0,SQRT((Fsw*(Table1[[#This Row],[t3_Ph_III]]+0))*((Table1[[#This Row],[I_0]]*Table1[[#This Row],[I_2]]+((Table1[[#This Row],[I_0]]-Table1[[#This Row],[I_2]])^2)/3))))</f>
        <v>7.5355072753751138</v>
      </c>
      <c r="AM69" s="354">
        <f>Rdson2*Table1[[#This Row],[Irms BuSync]]^2</f>
        <v>0.23849225356837137</v>
      </c>
      <c r="AN6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69" s="354">
        <f>(Table1[[#This Row],[Deadtime Loss BuSync]]+Table1[[#This Row],[RDS(on) Loss BuSync]]*(1+RdsonBotTc*Ta-RdsonBotTc*25))/(1-Table1[[#This Row],[RDS(on) Loss BuSync]]*RdsonBotTc*ThetaJA_Q2)</f>
        <v>0.86539742165739941</v>
      </c>
      <c r="AP69" s="354">
        <f>CHOOSE(Table1[[#This Row],[Mode Digit]],0,SQRT((Fsw*(Table1[[#This Row],[t1_Ph_II]]+0))*((Table1[[#This Row],[I_0]]*Table1[[#This Row],[I_1]]+((Table1[[#This Row],[I_0]]-Table1[[#This Row],[I_1]])^2)/3))),SQRT((Fsw*(Table1[[#This Row],[t2_Ph_I]]+0))*((Table1[[#This Row],[I_1]]*Table1[[#This Row],[I_2]]+((Table1[[#This Row],[I_1]]-Table1[[#This Row],[I_2]])^2)/3))))</f>
        <v>0</v>
      </c>
      <c r="AQ69" s="354">
        <f>Rdson4*Table1[[#This Row],[Irms BoCtlr]]^2</f>
        <v>0</v>
      </c>
      <c r="AR69" s="354">
        <f>CHOOSE(Table1[[#This Row],[Mode Digit]], 0, (Vout*Table1[[#This Row],[Iin]]/2)*(Fsw)*(Tr_boost+Tf_boost), (Vout*Iout/2)*(Fsw/1)*(Tr_boost+Tf_boost))</f>
        <v>0</v>
      </c>
      <c r="AS69">
        <f>IF(Table1[[#This Row],[Vin]]&gt;Vout, 0, IF(Table1[[#This Row],[Iin]]&gt;Table1[[#This Row],[Ripple Current pk-pk]]/2,0,ABS(Table1[[#This Row],[Iin]]-Table1[[#This Row],[Ripple Current pk-pk]]/2)*Vsd_Q4*Deadtime*Fsw))</f>
        <v>0</v>
      </c>
      <c r="AT69" s="354">
        <f>(Table1[[#This Row],[Dead Time Loss BoCtlr]]+Table1[[#This Row],[Transition Loss BoCtlr]]+Table1[[#This Row],[RDS(on) Loss BoCtlr]]*(1+RdsonTopTc*Ta-RdsonTopTc*25))/(1-Table1[[#This Row],[RDS(on) Loss BoCtlr]]*RdsonTopTc*ThetaJA_Q4)</f>
        <v>0</v>
      </c>
      <c r="AU6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12.047169807917234</v>
      </c>
      <c r="AV69" s="354">
        <f>Rdson3*Table1[[#This Row],[Irms BoSync]]^2</f>
        <v>0.60956406159932885</v>
      </c>
      <c r="AW6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69" s="354">
        <f>(Table1[[#This Row],[Deadtime Loss BoSync]]+Table1[[#This Row],[RDS(on) Loss BoSync]]*(1+RdsonBotTc*Ta-RdsonBotTc*25))/(1-Table1[[#This Row],[RDS(on) Loss BoSync]]*RdsonBotTc*ThetaJA_Q3)</f>
        <v>0.71402220814369499</v>
      </c>
      <c r="AY69" s="354">
        <f>CHOOSE(Table1[[#This Row],[Mode Digit]], Rdson3*Table1[[#This Row],[Irms Lf]]^2, Rdson1*Table1[[#This Row],[Irms Lf]]^2, 0)</f>
        <v>0.60956406159932885</v>
      </c>
      <c r="AZ69" s="354">
        <f>CHOOSE(Table1[[#This Row],[Mode Digit]], 2*Deadtime*Fsw*IF(VfdSky_Q2&gt;0,VfdSky_Q2,0)*Table1[[#This Row],[Iout]], 2*Deadtime*Fsw*IF(VfdSky_Q3&gt;0,VfdSky_Q3,0)*Table1[[#This Row],[Iin]], 2*Deadtime*Fsw*IF(VfdSky_Q2&gt;0,VfdSky_Q2,0)*Table1[[#This Row],[Iout]]+2*Deadtime*Fsw*IF(VfdSky_Q3&gt;0,VfdSky_Q3,0)*Table1[[#This Row],[Iin]])</f>
        <v>0</v>
      </c>
      <c r="BA69" s="354">
        <f>CHOOSE(Table1[[#This Row],[Mode Digit]], IF(QrrSky_Q2&gt;0,QrrSky_Q2,Qrr_Q2)*Fsw*(Table1[[#This Row],[Vin]]-Table1[[#This Row],[Iout]]*Rdson1),0,  IF(QrrSky_Q2&gt;0,QrrSky_Q2,Qrr_Q2)*Fsw*(Table1[[#This Row],[Vin]]-Table1[[#This Row],[Iout]]*Rdson1)+IF(QrrSky_Q3&gt;0,QrrSky_Q3,Qrr_Q3)*Fsw*Vout)</f>
        <v>0.28979519999999998</v>
      </c>
      <c r="BB69" s="354">
        <f>CHOOSE(Table1[[#This Row],[Mode Digit]],0, IF(QrrSky_Q3&gt;0,QrrSky_Q3,Qrr_Q3)*Fsw*Vout,  IF(QrrSky_Q2&gt;0,QrrSky_Q2,Qrr_Q2)*Fsw*(Table1[[#This Row],[Vin]]-Table1[[#This Row],[Iout]]*Rdson1)+IF(QrrSky_Q3&gt;0,QrrSky_Q3,Qrr_Q3)*Fsw*Vout)</f>
        <v>0</v>
      </c>
      <c r="BC69" s="354">
        <f>CHOOSE(Table1[[#This Row],[Mode Digit]], Rs*Table1[[#This Row],[Irms BuSync]]^2, Rs*Table1[[#This Row],[Irms BoCtlr]]^2, Rs*(Table1[[#This Row],[Irms BuSync]]^2+Table1[[#This Row],[Irms BoCtlr]]^2))</f>
        <v>0.14195967474307819</v>
      </c>
      <c r="BD69" s="354">
        <f t="shared" si="1"/>
        <v>1.44</v>
      </c>
      <c r="BE69" s="354">
        <f>IF(Vout&gt;8, Iq*Vout, Iq*Table1[[#This Row],[Vin]])</f>
        <v>4.3799999999999999E-2</v>
      </c>
      <c r="BF69" s="354">
        <f>CHOOSE(Table1[[#This Row],[Mode Digit]], (Qg_Q1+Qg_Q2)*Fsw, (Qg_Q3+Qg_Q4)*Fsw, (Qg_Q1+Qg_Q2+Qg_Q3+Qg_Q4)*Fsw)*IF(Vout&gt;8, Vout, Table1[[#This Row],[Vin]])</f>
        <v>0.47303999999999996</v>
      </c>
      <c r="BG69" s="354">
        <f t="shared" si="2"/>
        <v>0.57269042016806726</v>
      </c>
      <c r="BH69" s="354">
        <f>Table1[[#This Row],[IQ Loss]]+Table1[[#This Row],[Switching Current Loss]]</f>
        <v>0.51683999999999997</v>
      </c>
      <c r="BI6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9.1646581582928732</v>
      </c>
      <c r="BJ69">
        <f>Vout*Table1[[#This Row],[Iout]]</f>
        <v>175.2</v>
      </c>
      <c r="BK69" s="550">
        <f>Table1[[#This Row],[Pout]]/(Table1[[#This Row],[Pout]]+Table1[[#This Row],[Total Loss]])</f>
        <v>0.95029059121285475</v>
      </c>
      <c r="BL6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214.11563202199881</v>
      </c>
      <c r="BM69" s="559">
        <f>IF(Table1[[#This Row],[Vin]]&gt;Vout, Table1[[#This Row],[Total Sync Bu MOSFET Loss]]*ThetaJA_Q2, ThetaJA_Q3*Table1[[#This Row],[Total Sync Bo MOSFET Loss]])</f>
        <v>51.923845299443968</v>
      </c>
      <c r="BN69" s="9"/>
      <c r="BO69" s="4">
        <f>Table1[[#This Row],[EFF, h]]*100</f>
        <v>95.029059121285471</v>
      </c>
      <c r="BP69" s="354">
        <f>Table1[[#This Row],[Total Inductor Loss]]</f>
        <v>1.5532439817999366</v>
      </c>
      <c r="BQ69" s="354">
        <f>Table1[[#This Row],[Total Control Bu MOSFET Loss]]+Table1[[#This Row],[Total Sync Bu MOSFET Loss]]+Table1[[#This Row],[Total Control Bo MOSFET Loss]]+Table1[[#This Row],[Total Sync Bo MOSFET Loss]]+Table1[[#This Row],[Reverse Recovery Loss MOSFET D BUCK]]+Table1[[#This Row],[Reverse Recovery Loss MOSFET D BOOST]]</f>
        <v>5.4378086968344084</v>
      </c>
      <c r="BR69" s="354">
        <f>Table1[[#This Row],[Total Control Bu MOSFET Loss]]+Table1[[#This Row],[Reverse Recovery Loss MOSFET D BUCK]]*0.66</f>
        <v>3.7598586990333134</v>
      </c>
      <c r="BS69" s="354">
        <f>Table1[[#This Row],[Total Sync Bu MOSFET Loss]]+Table1[[#This Row],[Reverse Recovery Loss MOSFET D BUCK]]*0.33</f>
        <v>0.96102983765739936</v>
      </c>
      <c r="BT69" s="354">
        <f xml:space="preserve"> Table1[[#This Row],[Total Control Bo MOSFET Loss]]+Table1[[#This Row],[Reverse Recovery Loss MOSFET D BOOST]]*0.66</f>
        <v>0</v>
      </c>
      <c r="BU69" s="354">
        <f xml:space="preserve"> Table1[[#This Row],[Total Sync Bo MOSFET Loss]]+Table1[[#This Row],[Reverse Recovery Loss MOSFET D BOOST]]*0.33</f>
        <v>0.71402220814369499</v>
      </c>
      <c r="BV69" s="354">
        <f>Table1[[#This Row],[Isense Shunt Loss]]</f>
        <v>0.14195967474307819</v>
      </c>
      <c r="CB69" s="18"/>
      <c r="CC69" s="19"/>
    </row>
    <row r="70" spans="1:81" x14ac:dyDescent="0.2">
      <c r="A70" s="33" t="s">
        <v>241</v>
      </c>
      <c r="B70" s="449">
        <f>Iripple_Vinnom</f>
        <v>3.5345092909629523</v>
      </c>
      <c r="C70" s="21" t="s">
        <v>2</v>
      </c>
      <c r="G70">
        <v>61</v>
      </c>
      <c r="H70" s="555">
        <f>VIN_min+(VIN_max-VIN_min)*(Table1[[#This Row],[Step]]/200)</f>
        <v>24.27</v>
      </c>
      <c r="I70" s="4" t="str">
        <f>IF(Mode = 2,IF(Table1[[#This Row],[Vin]]&gt;Vout, "BUCK","BOOST"),IF(Table1[[#This Row],[Vin]]&gt;VIN_BB_to_buck, "BUCK", IF(Table1[[#This Row],[Vin]]&lt;=VIN_boost_to_BB,"BOOST","BUCK-BST")))</f>
        <v>BUCK</v>
      </c>
      <c r="J70">
        <f>IF(Table1[[#This Row],[Mode]]="BOOST",2, IF(Table1[[#This Row],[Mode]]="BUCK", 1,3))</f>
        <v>1</v>
      </c>
      <c r="K70">
        <f t="shared" si="0"/>
        <v>12</v>
      </c>
      <c r="L70" s="4">
        <f>Vout*Table1[[#This Row],[Iout]]/(Table1[[#This Row],[Vin]]*Efficiency)</f>
        <v>7.5987248715112869</v>
      </c>
      <c r="M70" s="711">
        <f>MIN(1/Fsw,CHOOSE(Table1[[#This Row],[Mode Digit]],(Vout+(Rdson2+Rs+Rdcr)*Table1[[#This Row],[Iout]])/(Table1[[#This Row],[Vin]]+(Rs+Rdson2-Rdson1)*Table1[[#This Row],[Iout]])/Fsw,(Vout+(Rdson3+Rdcr)*Table1[[#This Row],[Iin]]-Table1[[#This Row],[Vin]])/(Vout+(Rdson3-Rdson4-Rs)*Table1[[#This Row],[Iin]])/Fsw,t1_Ph_II))</f>
        <v>1.0116598079561041E-6</v>
      </c>
      <c r="N70" s="602">
        <f>CHOOSE(Table1[[#This Row],[Mode Digit]],1/Fsw-Table1[[#This Row],[t1_Ph_II]],1/Fsw-Table1[[#This Row],[t1_Ph_II]],(Vout/Fsw-Table1[[#This Row],[Vin]]*t1_Ph_II)/(Table1[[#This Row],[Vin]]+Vout))</f>
        <v>6.5500685871056257E-7</v>
      </c>
      <c r="O70" s="602">
        <f>1/Fsw-(Table1[[#This Row],[t1_Ph_II]]+Table1[[#This Row],[t2_Ph_I]])</f>
        <v>0</v>
      </c>
      <c r="P7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10.147206374444028</v>
      </c>
      <c r="Q70" s="4">
        <f>CHOOSE(Table1[[#This Row],[Mode Digit]],Table1[[#This Row],[I_0]]+1/Lf*(Table1[[#This Row],[Vin]]-Vout)*Table1[[#This Row],[t1_Ph_II]],Table1[[#This Row],[I_0]]+1/Lf*Table1[[#This Row],[Vin]]*Table1[[#This Row],[t1_Ph_II]],Table1[[#This Row],[I_0]]+(Table1[[#This Row],[Vin]]-Vout)/L*Table1[[#This Row],[t1_Ph_II]])</f>
        <v>13.85279362555597</v>
      </c>
      <c r="R70" s="4">
        <f>CHOOSE(Table1[[#This Row],[Mode Digit]],0,0,Table1[[#This Row],[I_1]]+Table1[[#This Row],[Vin]]/L*Table1[[#This Row],[t2_Ph_I]])</f>
        <v>0</v>
      </c>
      <c r="S70" s="4">
        <f>Fsw*(Table1[[#This Row],[I_0]]*Table1[[#This Row],[t1_Ph_II]]+Table1[[#This Row],[I_1]]*Table1[[#This Row],[t2_Ph_I]]+Table1[[#This Row],[I_2]]*Table1[[#This Row],[t3_Ph_III]])</f>
        <v>11.603517413461272</v>
      </c>
      <c r="T70" s="354">
        <f>MIN(1,CHOOSE(Table1[[#This Row],[Mode Digit]],(Vout+(Rdson2+Rs+Rdcr)*Table1[[#This Row],[Iout]])/(Table1[[#This Row],[Vin]]+(Rs+Rdson2-Rdson1)*Table1[[#This Row],[Iout]]),1,Fsw*Table1[[#This Row],[t2_Ph_I]]+Table1[[#This Row],[t1_Ph_II]]))</f>
        <v>0.60699588477366251</v>
      </c>
      <c r="U70" s="354">
        <f>MIN(1,CHOOSE(Table1[[#This Row],[Mode Digit]],0,(Vout+(Rdson3+Rdcr)*Table1[[#This Row],[Iin]]-Table1[[#This Row],[Vin]])/(Vout+(Rdson3-Rdson4-Rs)*Table1[[#This Row],[Iin]]),Fsw*Table1[[#This Row],[t1_Ph_II]]+Table1[[#This Row],[t3_Ph_III]]))</f>
        <v>0</v>
      </c>
      <c r="V70" s="4">
        <f>MAX(Table1[[#This Row],[I_0]:[I_2]])-MIN(Table1[[#This Row],[I_0]:[I_1]])</f>
        <v>3.7055872511119414</v>
      </c>
      <c r="W7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12.047584048526089</v>
      </c>
      <c r="X70" s="354">
        <f>(Table1[[#This Row],[Irms Lf]]^2*Rdcr*(1+Ltc*Ta-Ltc*25))/(1-Table1[[#This Row],[Irms Lf]]^2*Rdcr*Ltc*ThetaCa)</f>
        <v>0.90262593261536217</v>
      </c>
      <c r="Y70" s="354">
        <f>ABS(7.759*10^-3*Fsw^0.9458*(0.00787*Table1[[#This Row],[Ripple Current pk-pk]])^2.304)</f>
        <v>0.65728484089227479</v>
      </c>
      <c r="Z70" s="354">
        <f>Table1[[#This Row],[DCR    Loss]]+Table1[[#This Row],[Core Loss]]</f>
        <v>1.559910773507637</v>
      </c>
      <c r="AA70" s="4">
        <f>IF(Table1[[#This Row],[Vin]]&gt;Vout, Table1[[#This Row],[Ripple Current pk-pk]]/SQRT(12), SQRT(Table1[[#This Row],[Duty Cycle BOOST Leg]]/(1-Table1[[#This Row],[Duty Cycle BOOST Leg]]))*SQRT(Table1[[#This Row],[Iout]]^2+(Table1[[#This Row],[Ripple Current pk-pk]]^2)/12))</f>
        <v>1.0697108984675625</v>
      </c>
      <c r="AB70" s="354">
        <f>RCoutEsr*Table1[[#This Row],[Irms Cout]]^2</f>
        <v>5.7214070315013991E-3</v>
      </c>
      <c r="AC70" s="354">
        <f>Table1[[#This Row],[Cout ESR Loss]]</f>
        <v>5.7214070315013991E-3</v>
      </c>
      <c r="AD70" s="354">
        <f>IF(Table1[[#This Row],[Vin]]&gt;Vout, SQRT(Table1[[#This Row],[Duty Cycle BUCK Leg]]*(1-Table1[[#This Row],[Duty Cycle BUCK Leg]]))*SQRT(Table1[[#This Row],[Iout]]^2+(Table1[[#This Row],[Ripple Current pk-pk]]^2)/12), Table1[[#This Row],[Ripple Current pk-pk]]/SQRT(12))</f>
        <v>5.884253673477394</v>
      </c>
      <c r="AE70" s="354">
        <f>RCinEsr*Table1[[#This Row],[Irms Cin]]^2</f>
        <v>6.9248882587664415E-2</v>
      </c>
      <c r="AF70" s="549">
        <f>Table1[[#This Row],[Cin ESR Loss]]</f>
        <v>6.9248882587664415E-2</v>
      </c>
      <c r="AG7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9.3862655786023161</v>
      </c>
      <c r="AH70" s="354">
        <f>Rdson1*Table1[[#This Row],[Irms BuCtrl]]^2</f>
        <v>0.37002832235062971</v>
      </c>
      <c r="AI70" s="354">
        <f>CHOOSE(Table1[[#This Row],[Mode Digit]], (Table1[[#This Row],[Vin]]*Table1[[#This Row],[Iout]]/2)*(Fsw)*(Tr_buck+Tf_buck), 0, (Table1[[#This Row],[Vin]]*Table1[[#This Row],[Avg IL]]/2)*(Fsw/1)*(Tr_buck+Tf_buck))</f>
        <v>2.888042708425945</v>
      </c>
      <c r="AJ70">
        <f>IF(Table1[[#This Row],[Vin]]&gt;Vout, IF(Table1[[#This Row],[Iout]]&gt;Table1[[#This Row],[Ripple Current pk-pk]]/2,0,ABS(Table1[[#This Row],[Iout]]-Table1[[#This Row],[Ripple Current pk-pk]]/2)*Vsd_Q1*Deadtime*Fsw),0)</f>
        <v>0</v>
      </c>
      <c r="AK70" s="354">
        <f>(Table1[[#This Row],[Dead Time Loss BuCtrl]]+Table1[[#This Row],[Transition Loss BuCtrl]]+Table1[[#This Row],[RDS(on) Loss BuCtrl]]*(1+RdsonTopTc*Ta-RdsonTopTc*25))/(1-Table1[[#This Row],[RDS(on) Loss BuCtrl]]*RdsonTopTc*ThetaJA_Q1)</f>
        <v>3.5756094551098587</v>
      </c>
      <c r="AL70" s="354">
        <f>CHOOSE(Table1[[#This Row],[Mode Digit]],SQRT((Fsw*(Table1[[#This Row],[t2_Ph_I]]+0))*((Table1[[#This Row],[I_0]]*Table1[[#This Row],[I_1]]+((Table1[[#This Row],[I_0]]-Table1[[#This Row],[I_1]])^2)/3))),0,SQRT((Fsw*(Table1[[#This Row],[t3_Ph_III]]+0))*((Table1[[#This Row],[I_0]]*Table1[[#This Row],[I_2]]+((Table1[[#This Row],[I_0]]-Table1[[#This Row],[I_2]])^2)/3))))</f>
        <v>7.5526352946667288</v>
      </c>
      <c r="AM70" s="354">
        <f>Rdson2*Table1[[#This Row],[Irms BuSync]]^2</f>
        <v>0.23957765955583149</v>
      </c>
      <c r="AN7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0" s="354">
        <f>(Table1[[#This Row],[Deadtime Loss BuSync]]+Table1[[#This Row],[RDS(on) Loss BuSync]]*(1+RdsonBotTc*Ta-RdsonBotTc*25))/(1-Table1[[#This Row],[RDS(on) Loss BuSync]]*RdsonBotTc*ThetaJA_Q2)</f>
        <v>0.86678823110451408</v>
      </c>
      <c r="AP70" s="354">
        <f>CHOOSE(Table1[[#This Row],[Mode Digit]],0,SQRT((Fsw*(Table1[[#This Row],[t1_Ph_II]]+0))*((Table1[[#This Row],[I_0]]*Table1[[#This Row],[I_1]]+((Table1[[#This Row],[I_0]]-Table1[[#This Row],[I_1]])^2)/3))),SQRT((Fsw*(Table1[[#This Row],[t2_Ph_I]]+0))*((Table1[[#This Row],[I_1]]*Table1[[#This Row],[I_2]]+((Table1[[#This Row],[I_1]]-Table1[[#This Row],[I_2]])^2)/3))))</f>
        <v>0</v>
      </c>
      <c r="AQ70" s="354">
        <f>Rdson4*Table1[[#This Row],[Irms BoCtlr]]^2</f>
        <v>0</v>
      </c>
      <c r="AR70" s="354">
        <f>CHOOSE(Table1[[#This Row],[Mode Digit]], 0, (Vout*Table1[[#This Row],[Iin]]/2)*(Fsw)*(Tr_boost+Tf_boost), (Vout*Iout/2)*(Fsw/1)*(Tr_boost+Tf_boost))</f>
        <v>0</v>
      </c>
      <c r="AS70">
        <f>IF(Table1[[#This Row],[Vin]]&gt;Vout, 0, IF(Table1[[#This Row],[Iin]]&gt;Table1[[#This Row],[Ripple Current pk-pk]]/2,0,ABS(Table1[[#This Row],[Iin]]-Table1[[#This Row],[Ripple Current pk-pk]]/2)*Vsd_Q4*Deadtime*Fsw))</f>
        <v>0</v>
      </c>
      <c r="AT70" s="354">
        <f>(Table1[[#This Row],[Dead Time Loss BoCtlr]]+Table1[[#This Row],[Transition Loss BoCtlr]]+Table1[[#This Row],[RDS(on) Loss BoCtlr]]*(1+RdsonTopTc*Ta-RdsonTopTc*25))/(1-Table1[[#This Row],[RDS(on) Loss BoCtlr]]*RdsonTopTc*ThetaJA_Q4)</f>
        <v>0</v>
      </c>
      <c r="AU7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12.047584048526089</v>
      </c>
      <c r="AV70" s="354">
        <f>Rdson3*Table1[[#This Row],[Irms BoSync]]^2</f>
        <v>0.60960598190646109</v>
      </c>
      <c r="AW7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0" s="354">
        <f>(Table1[[#This Row],[Deadtime Loss BoSync]]+Table1[[#This Row],[RDS(on) Loss BoSync]]*(1+RdsonBotTc*Ta-RdsonBotTc*25))/(1-Table1[[#This Row],[RDS(on) Loss BoSync]]*RdsonBotTc*ThetaJA_Q3)</f>
        <v>0.71407972753815607</v>
      </c>
      <c r="AY70" s="354">
        <f>CHOOSE(Table1[[#This Row],[Mode Digit]], Rdson3*Table1[[#This Row],[Irms Lf]]^2, Rdson1*Table1[[#This Row],[Irms Lf]]^2, 0)</f>
        <v>0.60960598190646109</v>
      </c>
      <c r="AZ70" s="354">
        <f>CHOOSE(Table1[[#This Row],[Mode Digit]], 2*Deadtime*Fsw*IF(VfdSky_Q2&gt;0,VfdSky_Q2,0)*Table1[[#This Row],[Iout]], 2*Deadtime*Fsw*IF(VfdSky_Q3&gt;0,VfdSky_Q3,0)*Table1[[#This Row],[Iin]], 2*Deadtime*Fsw*IF(VfdSky_Q2&gt;0,VfdSky_Q2,0)*Table1[[#This Row],[Iout]]+2*Deadtime*Fsw*IF(VfdSky_Q3&gt;0,VfdSky_Q3,0)*Table1[[#This Row],[Iin]])</f>
        <v>0</v>
      </c>
      <c r="BA70" s="354">
        <f>CHOOSE(Table1[[#This Row],[Mode Digit]], IF(QrrSky_Q2&gt;0,QrrSky_Q2,Qrr_Q2)*Fsw*(Table1[[#This Row],[Vin]]-Table1[[#This Row],[Iout]]*Rdson1),0,  IF(QrrSky_Q2&gt;0,QrrSky_Q2,Qrr_Q2)*Fsw*(Table1[[#This Row],[Vin]]-Table1[[#This Row],[Iout]]*Rdson1)+IF(QrrSky_Q3&gt;0,QrrSky_Q3,Qrr_Q3)*Fsw*Vout)</f>
        <v>0.29063519999999998</v>
      </c>
      <c r="BB70" s="354">
        <f>CHOOSE(Table1[[#This Row],[Mode Digit]],0, IF(QrrSky_Q3&gt;0,QrrSky_Q3,Qrr_Q3)*Fsw*Vout,  IF(QrrSky_Q2&gt;0,QrrSky_Q2,Qrr_Q2)*Fsw*(Table1[[#This Row],[Vin]]-Table1[[#This Row],[Iout]]*Rdson1)+IF(QrrSky_Q3&gt;0,QrrSky_Q3,Qrr_Q3)*Fsw*Vout)</f>
        <v>0</v>
      </c>
      <c r="BC70" s="354">
        <f>CHOOSE(Table1[[#This Row],[Mode Digit]], Rs*Table1[[#This Row],[Irms BuSync]]^2, Rs*Table1[[#This Row],[Irms BoCtlr]]^2, Rs*(Table1[[#This Row],[Irms BuSync]]^2+Table1[[#This Row],[Irms BoCtlr]]^2))</f>
        <v>0.14260574973561396</v>
      </c>
      <c r="BD70" s="354">
        <f t="shared" si="1"/>
        <v>1.44</v>
      </c>
      <c r="BE70" s="354">
        <f>IF(Vout&gt;8, Iq*Vout, Iq*Table1[[#This Row],[Vin]])</f>
        <v>4.3799999999999999E-2</v>
      </c>
      <c r="BF70" s="354">
        <f>CHOOSE(Table1[[#This Row],[Mode Digit]], (Qg_Q1+Qg_Q2)*Fsw, (Qg_Q3+Qg_Q4)*Fsw, (Qg_Q1+Qg_Q2+Qg_Q3+Qg_Q4)*Fsw)*IF(Vout&gt;8, Vout, Table1[[#This Row],[Vin]])</f>
        <v>0.47303999999999996</v>
      </c>
      <c r="BG70" s="354">
        <f t="shared" si="2"/>
        <v>0.57269042016806726</v>
      </c>
      <c r="BH70" s="354">
        <f>Table1[[#This Row],[IQ Loss]]+Table1[[#This Row],[Switching Current Loss]]</f>
        <v>0.51683999999999997</v>
      </c>
      <c r="BI7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9.1814394266149453</v>
      </c>
      <c r="BJ70">
        <f>Vout*Table1[[#This Row],[Iout]]</f>
        <v>175.2</v>
      </c>
      <c r="BK70" s="550">
        <f>Table1[[#This Row],[Pout]]/(Table1[[#This Row],[Pout]]+Table1[[#This Row],[Total Loss]])</f>
        <v>0.95020410158871094</v>
      </c>
      <c r="BL7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214.53656730659154</v>
      </c>
      <c r="BM70" s="559">
        <f>IF(Table1[[#This Row],[Vin]]&gt;Vout, Table1[[#This Row],[Total Sync Bu MOSFET Loss]]*ThetaJA_Q2, ThetaJA_Q3*Table1[[#This Row],[Total Sync Bo MOSFET Loss]])</f>
        <v>52.007293866270842</v>
      </c>
      <c r="BN70" s="9"/>
      <c r="BO70" s="4">
        <f>Table1[[#This Row],[EFF, h]]*100</f>
        <v>95.020410158871087</v>
      </c>
      <c r="BP70" s="354">
        <f>Table1[[#This Row],[Total Inductor Loss]]</f>
        <v>1.559910773507637</v>
      </c>
      <c r="BQ70" s="354">
        <f>Table1[[#This Row],[Total Control Bu MOSFET Loss]]+Table1[[#This Row],[Total Sync Bu MOSFET Loss]]+Table1[[#This Row],[Total Control Bo MOSFET Loss]]+Table1[[#This Row],[Total Sync Bo MOSFET Loss]]+Table1[[#This Row],[Reverse Recovery Loss MOSFET D BUCK]]+Table1[[#This Row],[Reverse Recovery Loss MOSFET D BOOST]]</f>
        <v>5.4471126137525285</v>
      </c>
      <c r="BR70" s="354">
        <f>Table1[[#This Row],[Total Control Bu MOSFET Loss]]+Table1[[#This Row],[Reverse Recovery Loss MOSFET D BUCK]]*0.66</f>
        <v>3.7674286871098586</v>
      </c>
      <c r="BS70" s="354">
        <f>Table1[[#This Row],[Total Sync Bu MOSFET Loss]]+Table1[[#This Row],[Reverse Recovery Loss MOSFET D BUCK]]*0.33</f>
        <v>0.96269784710451412</v>
      </c>
      <c r="BT70" s="354">
        <f xml:space="preserve"> Table1[[#This Row],[Total Control Bo MOSFET Loss]]+Table1[[#This Row],[Reverse Recovery Loss MOSFET D BOOST]]*0.66</f>
        <v>0</v>
      </c>
      <c r="BU70" s="354">
        <f xml:space="preserve"> Table1[[#This Row],[Total Sync Bo MOSFET Loss]]+Table1[[#This Row],[Reverse Recovery Loss MOSFET D BOOST]]*0.33</f>
        <v>0.71407972753815607</v>
      </c>
      <c r="BV70" s="354">
        <f>Table1[[#This Row],[Isense Shunt Loss]]</f>
        <v>0.14260574973561396</v>
      </c>
      <c r="CB70" s="18"/>
      <c r="CC70" s="19"/>
    </row>
    <row r="71" spans="1:81" x14ac:dyDescent="0.2">
      <c r="A71" s="14" t="s">
        <v>63</v>
      </c>
      <c r="B71" s="15" t="s">
        <v>8</v>
      </c>
      <c r="C71" s="17" t="s">
        <v>80</v>
      </c>
      <c r="G71">
        <v>62</v>
      </c>
      <c r="H71" s="555">
        <f>VIN_min+(VIN_max-VIN_min)*(Table1[[#This Row],[Step]]/200)</f>
        <v>24.34</v>
      </c>
      <c r="I71" s="4" t="str">
        <f>IF(Mode = 2,IF(Table1[[#This Row],[Vin]]&gt;Vout, "BUCK","BOOST"),IF(Table1[[#This Row],[Vin]]&gt;VIN_BB_to_buck, "BUCK", IF(Table1[[#This Row],[Vin]]&lt;=VIN_boost_to_BB,"BOOST","BUCK-BST")))</f>
        <v>BUCK</v>
      </c>
      <c r="J71">
        <f>IF(Table1[[#This Row],[Mode]]="BOOST",2, IF(Table1[[#This Row],[Mode]]="BUCK", 1,3))</f>
        <v>1</v>
      </c>
      <c r="K71">
        <f t="shared" si="0"/>
        <v>12</v>
      </c>
      <c r="L71" s="4">
        <f>Vout*Table1[[#This Row],[Iout]]/(Table1[[#This Row],[Vin]]*Efficiency)</f>
        <v>7.5768715132119535</v>
      </c>
      <c r="M71" s="711">
        <f>MIN(1/Fsw,CHOOSE(Table1[[#This Row],[Mode Digit]],(Vout+(Rdson2+Rs+Rdcr)*Table1[[#This Row],[Iout]])/(Table1[[#This Row],[Vin]]+(Rs+Rdson2-Rdson1)*Table1[[#This Row],[Iout]])/Fsw,(Vout+(Rdson3+Rdcr)*Table1[[#This Row],[Iin]]-Table1[[#This Row],[Vin]])/(Vout+(Rdson3-Rdson4-Rs)*Table1[[#This Row],[Iin]])/Fsw,t1_Ph_II))</f>
        <v>1.0087539324305841E-6</v>
      </c>
      <c r="N71" s="602">
        <f>CHOOSE(Table1[[#This Row],[Mode Digit]],1/Fsw-Table1[[#This Row],[t1_Ph_II]],1/Fsw-Table1[[#This Row],[t1_Ph_II]],(Vout/Fsw-Table1[[#This Row],[Vin]]*t1_Ph_II)/(Table1[[#This Row],[Vin]]+Vout))</f>
        <v>6.579127342360826E-7</v>
      </c>
      <c r="O71" s="602">
        <f>1/Fsw-(Table1[[#This Row],[t1_Ph_II]]+Table1[[#This Row],[t2_Ph_I]])</f>
        <v>0</v>
      </c>
      <c r="P7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10.1391546776754</v>
      </c>
      <c r="Q71" s="4">
        <f>CHOOSE(Table1[[#This Row],[Mode Digit]],Table1[[#This Row],[I_0]]+1/Lf*(Table1[[#This Row],[Vin]]-Vout)*Table1[[#This Row],[t1_Ph_II]],Table1[[#This Row],[I_0]]+1/Lf*Table1[[#This Row],[Vin]]*Table1[[#This Row],[t1_Ph_II]],Table1[[#This Row],[I_0]]+(Table1[[#This Row],[Vin]]-Vout)/L*Table1[[#This Row],[t1_Ph_II]])</f>
        <v>13.8608453223246</v>
      </c>
      <c r="R71" s="4">
        <f>CHOOSE(Table1[[#This Row],[Mode Digit]],0,0,Table1[[#This Row],[I_1]]+Table1[[#This Row],[Vin]]/L*Table1[[#This Row],[t2_Ph_I]])</f>
        <v>0</v>
      </c>
      <c r="S71" s="4">
        <f>Fsw*(Table1[[#This Row],[I_0]]*Table1[[#This Row],[t1_Ph_II]]+Table1[[#This Row],[I_1]]*Table1[[#This Row],[t2_Ph_I]]+Table1[[#This Row],[I_2]]*Table1[[#This Row],[t3_Ph_III]])</f>
        <v>11.608283278476604</v>
      </c>
      <c r="T71" s="354">
        <f>MIN(1,CHOOSE(Table1[[#This Row],[Mode Digit]],(Vout+(Rdson2+Rs+Rdcr)*Table1[[#This Row],[Iout]])/(Table1[[#This Row],[Vin]]+(Rs+Rdson2-Rdson1)*Table1[[#This Row],[Iout]]),1,Fsw*Table1[[#This Row],[t2_Ph_I]]+Table1[[#This Row],[t1_Ph_II]]))</f>
        <v>0.60525235945835043</v>
      </c>
      <c r="U71" s="354">
        <f>MIN(1,CHOOSE(Table1[[#This Row],[Mode Digit]],0,(Vout+(Rdson3+Rdcr)*Table1[[#This Row],[Iin]]-Table1[[#This Row],[Vin]])/(Vout+(Rdson3-Rdson4-Rs)*Table1[[#This Row],[Iin]]),Fsw*Table1[[#This Row],[t1_Ph_II]]+Table1[[#This Row],[t3_Ph_III]]))</f>
        <v>0</v>
      </c>
      <c r="V71" s="4">
        <f>MAX(Table1[[#This Row],[I_0]:[I_2]])-MIN(Table1[[#This Row],[I_0]:[I_1]])</f>
        <v>3.7216906446492004</v>
      </c>
      <c r="W7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12.047997694134592</v>
      </c>
      <c r="X71" s="354">
        <f>(Table1[[#This Row],[Irms Lf]]^2*Rdcr*(1+Ltc*Ta-Ltc*25))/(1-Table1[[#This Row],[Irms Lf]]^2*Rdcr*Ltc*ThetaCa)</f>
        <v>0.90269239191315509</v>
      </c>
      <c r="Y71" s="354">
        <f>ABS(7.759*10^-3*Fsw^0.9458*(0.00787*Table1[[#This Row],[Ripple Current pk-pk]])^2.304)</f>
        <v>0.66388456504649618</v>
      </c>
      <c r="Z71" s="354">
        <f>Table1[[#This Row],[DCR    Loss]]+Table1[[#This Row],[Core Loss]]</f>
        <v>1.5665769569596513</v>
      </c>
      <c r="AA71" s="4">
        <f>IF(Table1[[#This Row],[Vin]]&gt;Vout, Table1[[#This Row],[Ripple Current pk-pk]]/SQRT(12), SQRT(Table1[[#This Row],[Duty Cycle BOOST Leg]]/(1-Table1[[#This Row],[Duty Cycle BOOST Leg]]))*SQRT(Table1[[#This Row],[Iout]]^2+(Table1[[#This Row],[Ripple Current pk-pk]]^2)/12))</f>
        <v>1.0743595477643639</v>
      </c>
      <c r="AB71" s="354">
        <f>RCoutEsr*Table1[[#This Row],[Irms Cout]]^2</f>
        <v>5.7712421893622431E-3</v>
      </c>
      <c r="AC71" s="354">
        <f>Table1[[#This Row],[Cout ESR Loss]]</f>
        <v>5.7712421893622431E-3</v>
      </c>
      <c r="AD71" s="354">
        <f>IF(Table1[[#This Row],[Vin]]&gt;Vout, SQRT(Table1[[#This Row],[Duty Cycle BUCK Leg]]*(1-Table1[[#This Row],[Duty Cycle BUCK Leg]]))*SQRT(Table1[[#This Row],[Iout]]^2+(Table1[[#This Row],[Ripple Current pk-pk]]^2)/12), Table1[[#This Row],[Ripple Current pk-pk]]/SQRT(12))</f>
        <v>5.8890181487469979</v>
      </c>
      <c r="AE71" s="354">
        <f>RCinEsr*Table1[[#This Row],[Irms Cin]]^2</f>
        <v>6.9361069512543047E-2</v>
      </c>
      <c r="AF71" s="549">
        <f>Table1[[#This Row],[Cin ESR Loss]]</f>
        <v>6.9361069512543047E-2</v>
      </c>
      <c r="AG7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9.3730972123640051</v>
      </c>
      <c r="AH71" s="354">
        <f>Rdson1*Table1[[#This Row],[Irms BuCtrl]]^2</f>
        <v>0.36899079568018878</v>
      </c>
      <c r="AI71" s="354">
        <f>CHOOSE(Table1[[#This Row],[Mode Digit]], (Table1[[#This Row],[Vin]]*Table1[[#This Row],[Iout]]/2)*(Fsw)*(Tr_buck+Tf_buck), 0, (Table1[[#This Row],[Vin]]*Table1[[#This Row],[Avg IL]]/2)*(Fsw/1)*(Tr_buck+Tf_buck))</f>
        <v>2.896372456657911</v>
      </c>
      <c r="AJ71">
        <f>IF(Table1[[#This Row],[Vin]]&gt;Vout, IF(Table1[[#This Row],[Iout]]&gt;Table1[[#This Row],[Ripple Current pk-pk]]/2,0,ABS(Table1[[#This Row],[Iout]]-Table1[[#This Row],[Ripple Current pk-pk]]/2)*Vsd_Q1*Deadtime*Fsw),0)</f>
        <v>0</v>
      </c>
      <c r="AK71" s="354">
        <f>(Table1[[#This Row],[Dead Time Loss BuCtrl]]+Table1[[#This Row],[Transition Loss BuCtrl]]+Table1[[#This Row],[RDS(on) Loss BuCtrl]]*(1+RdsonTopTc*Ta-RdsonTopTc*25))/(1-Table1[[#This Row],[RDS(on) Loss BuCtrl]]*RdsonTopTc*ThetaJA_Q1)</f>
        <v>3.5826333474165679</v>
      </c>
      <c r="AL71" s="354">
        <f>CHOOSE(Table1[[#This Row],[Mode Digit]],SQRT((Fsw*(Table1[[#This Row],[t2_Ph_I]]+0))*((Table1[[#This Row],[I_0]]*Table1[[#This Row],[I_1]]+((Table1[[#This Row],[I_0]]-Table1[[#This Row],[I_1]])^2)/3))),0,SQRT((Fsw*(Table1[[#This Row],[t3_Ph_III]]+0))*((Table1[[#This Row],[I_0]]*Table1[[#This Row],[I_2]]+((Table1[[#This Row],[I_0]]-Table1[[#This Row],[I_2]])^2)/3))))</f>
        <v>7.5696299173372124</v>
      </c>
      <c r="AM71" s="354">
        <f>Rdson2*Table1[[#This Row],[Irms BuSync]]^2</f>
        <v>0.24065704775887564</v>
      </c>
      <c r="AN7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1" s="354">
        <f>(Table1[[#This Row],[Deadtime Loss BuSync]]+Table1[[#This Row],[RDS(on) Loss BuSync]]*(1+RdsonBotTc*Ta-RdsonBotTc*25))/(1-Table1[[#This Row],[RDS(on) Loss BuSync]]*RdsonBotTc*ThetaJA_Q2)</f>
        <v>0.86817209216563918</v>
      </c>
      <c r="AP71" s="354">
        <f>CHOOSE(Table1[[#This Row],[Mode Digit]],0,SQRT((Fsw*(Table1[[#This Row],[t1_Ph_II]]+0))*((Table1[[#This Row],[I_0]]*Table1[[#This Row],[I_1]]+((Table1[[#This Row],[I_0]]-Table1[[#This Row],[I_1]])^2)/3))),SQRT((Fsw*(Table1[[#This Row],[t2_Ph_I]]+0))*((Table1[[#This Row],[I_1]]*Table1[[#This Row],[I_2]]+((Table1[[#This Row],[I_1]]-Table1[[#This Row],[I_2]])^2)/3))))</f>
        <v>0</v>
      </c>
      <c r="AQ71" s="354">
        <f>Rdson4*Table1[[#This Row],[Irms BoCtlr]]^2</f>
        <v>0</v>
      </c>
      <c r="AR71" s="354">
        <f>CHOOSE(Table1[[#This Row],[Mode Digit]], 0, (Vout*Table1[[#This Row],[Iin]]/2)*(Fsw)*(Tr_boost+Tf_boost), (Vout*Iout/2)*(Fsw/1)*(Tr_boost+Tf_boost))</f>
        <v>0</v>
      </c>
      <c r="AS71">
        <f>IF(Table1[[#This Row],[Vin]]&gt;Vout, 0, IF(Table1[[#This Row],[Iin]]&gt;Table1[[#This Row],[Ripple Current pk-pk]]/2,0,ABS(Table1[[#This Row],[Iin]]-Table1[[#This Row],[Ripple Current pk-pk]]/2)*Vsd_Q4*Deadtime*Fsw))</f>
        <v>0</v>
      </c>
      <c r="AT71" s="354">
        <f>(Table1[[#This Row],[Dead Time Loss BoCtlr]]+Table1[[#This Row],[Transition Loss BoCtlr]]+Table1[[#This Row],[RDS(on) Loss BoCtlr]]*(1+RdsonTopTc*Ta-RdsonTopTc*25))/(1-Table1[[#This Row],[RDS(on) Loss BoCtlr]]*RdsonTopTc*ThetaJA_Q4)</f>
        <v>0</v>
      </c>
      <c r="AU7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12.047997694134592</v>
      </c>
      <c r="AV71" s="354">
        <f>Rdson3*Table1[[#This Row],[Irms BoSync]]^2</f>
        <v>0.60964784343906431</v>
      </c>
      <c r="AW7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1" s="354">
        <f>(Table1[[#This Row],[Deadtime Loss BoSync]]+Table1[[#This Row],[RDS(on) Loss BoSync]]*(1+RdsonBotTc*Ta-RdsonBotTc*25))/(1-Table1[[#This Row],[RDS(on) Loss BoSync]]*RdsonBotTc*ThetaJA_Q3)</f>
        <v>0.71413716764023671</v>
      </c>
      <c r="AY71" s="354">
        <f>CHOOSE(Table1[[#This Row],[Mode Digit]], Rdson3*Table1[[#This Row],[Irms Lf]]^2, Rdson1*Table1[[#This Row],[Irms Lf]]^2, 0)</f>
        <v>0.60964784343906431</v>
      </c>
      <c r="AZ71" s="354">
        <f>CHOOSE(Table1[[#This Row],[Mode Digit]], 2*Deadtime*Fsw*IF(VfdSky_Q2&gt;0,VfdSky_Q2,0)*Table1[[#This Row],[Iout]], 2*Deadtime*Fsw*IF(VfdSky_Q3&gt;0,VfdSky_Q3,0)*Table1[[#This Row],[Iin]], 2*Deadtime*Fsw*IF(VfdSky_Q2&gt;0,VfdSky_Q2,0)*Table1[[#This Row],[Iout]]+2*Deadtime*Fsw*IF(VfdSky_Q3&gt;0,VfdSky_Q3,0)*Table1[[#This Row],[Iin]])</f>
        <v>0</v>
      </c>
      <c r="BA71" s="354">
        <f>CHOOSE(Table1[[#This Row],[Mode Digit]], IF(QrrSky_Q2&gt;0,QrrSky_Q2,Qrr_Q2)*Fsw*(Table1[[#This Row],[Vin]]-Table1[[#This Row],[Iout]]*Rdson1),0,  IF(QrrSky_Q2&gt;0,QrrSky_Q2,Qrr_Q2)*Fsw*(Table1[[#This Row],[Vin]]-Table1[[#This Row],[Iout]]*Rdson1)+IF(QrrSky_Q3&gt;0,QrrSky_Q3,Qrr_Q3)*Fsw*Vout)</f>
        <v>0.29147519999999999</v>
      </c>
      <c r="BB71" s="354">
        <f>CHOOSE(Table1[[#This Row],[Mode Digit]],0, IF(QrrSky_Q3&gt;0,QrrSky_Q3,Qrr_Q3)*Fsw*Vout,  IF(QrrSky_Q2&gt;0,QrrSky_Q2,Qrr_Q2)*Fsw*(Table1[[#This Row],[Vin]]-Table1[[#This Row],[Iout]]*Rdson1)+IF(QrrSky_Q3&gt;0,QrrSky_Q3,Qrr_Q3)*Fsw*Vout)</f>
        <v>0</v>
      </c>
      <c r="BC71" s="354">
        <f>CHOOSE(Table1[[#This Row],[Mode Digit]], Rs*Table1[[#This Row],[Irms BuSync]]^2, Rs*Table1[[#This Row],[Irms BoCtlr]]^2, Rs*(Table1[[#This Row],[Irms BuSync]]^2+Table1[[#This Row],[Irms BoCtlr]]^2))</f>
        <v>0.14324824271361644</v>
      </c>
      <c r="BD71" s="354">
        <f t="shared" si="1"/>
        <v>1.44</v>
      </c>
      <c r="BE71" s="354">
        <f>IF(Vout&gt;8, Iq*Vout, Iq*Table1[[#This Row],[Vin]])</f>
        <v>4.3799999999999999E-2</v>
      </c>
      <c r="BF71" s="354">
        <f>CHOOSE(Table1[[#This Row],[Mode Digit]], (Qg_Q1+Qg_Q2)*Fsw, (Qg_Q3+Qg_Q4)*Fsw, (Qg_Q1+Qg_Q2+Qg_Q3+Qg_Q4)*Fsw)*IF(Vout&gt;8, Vout, Table1[[#This Row],[Vin]])</f>
        <v>0.47303999999999996</v>
      </c>
      <c r="BG71" s="354">
        <f t="shared" si="2"/>
        <v>0.57269042016806726</v>
      </c>
      <c r="BH71" s="354">
        <f>Table1[[#This Row],[IQ Loss]]+Table1[[#This Row],[Switching Current Loss]]</f>
        <v>0.51683999999999997</v>
      </c>
      <c r="BI7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9.198215318597617</v>
      </c>
      <c r="BJ71">
        <f>Vout*Table1[[#This Row],[Iout]]</f>
        <v>175.2</v>
      </c>
      <c r="BK71" s="550">
        <f>Table1[[#This Row],[Pout]]/(Table1[[#This Row],[Pout]]+Table1[[#This Row],[Total Loss]])</f>
        <v>0.95011765540840387</v>
      </c>
      <c r="BL7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214.95800084499407</v>
      </c>
      <c r="BM71" s="559">
        <f>IF(Table1[[#This Row],[Vin]]&gt;Vout, Table1[[#This Row],[Total Sync Bu MOSFET Loss]]*ThetaJA_Q2, ThetaJA_Q3*Table1[[#This Row],[Total Sync Bo MOSFET Loss]])</f>
        <v>52.090325529938347</v>
      </c>
      <c r="BN71" s="9"/>
      <c r="BO71" s="4">
        <f>Table1[[#This Row],[EFF, h]]*100</f>
        <v>95.011765540840386</v>
      </c>
      <c r="BP71" s="354">
        <f>Table1[[#This Row],[Total Inductor Loss]]</f>
        <v>1.5665769569596513</v>
      </c>
      <c r="BQ71" s="354">
        <f>Table1[[#This Row],[Total Control Bu MOSFET Loss]]+Table1[[#This Row],[Total Sync Bu MOSFET Loss]]+Table1[[#This Row],[Total Control Bo MOSFET Loss]]+Table1[[#This Row],[Total Sync Bo MOSFET Loss]]+Table1[[#This Row],[Reverse Recovery Loss MOSFET D BUCK]]+Table1[[#This Row],[Reverse Recovery Loss MOSFET D BOOST]]</f>
        <v>5.4564178072224436</v>
      </c>
      <c r="BR71" s="354">
        <f>Table1[[#This Row],[Total Control Bu MOSFET Loss]]+Table1[[#This Row],[Reverse Recovery Loss MOSFET D BUCK]]*0.66</f>
        <v>3.7750069794165677</v>
      </c>
      <c r="BS71" s="354">
        <f>Table1[[#This Row],[Total Sync Bu MOSFET Loss]]+Table1[[#This Row],[Reverse Recovery Loss MOSFET D BUCK]]*0.33</f>
        <v>0.96435890816563918</v>
      </c>
      <c r="BT71" s="354">
        <f xml:space="preserve"> Table1[[#This Row],[Total Control Bo MOSFET Loss]]+Table1[[#This Row],[Reverse Recovery Loss MOSFET D BOOST]]*0.66</f>
        <v>0</v>
      </c>
      <c r="BU71" s="354">
        <f xml:space="preserve"> Table1[[#This Row],[Total Sync Bo MOSFET Loss]]+Table1[[#This Row],[Reverse Recovery Loss MOSFET D BOOST]]*0.33</f>
        <v>0.71413716764023671</v>
      </c>
      <c r="BV71" s="354">
        <f>Table1[[#This Row],[Isense Shunt Loss]]</f>
        <v>0.14324824271361644</v>
      </c>
      <c r="CB71" s="18"/>
      <c r="CC71" s="19"/>
    </row>
    <row r="72" spans="1:81" x14ac:dyDescent="0.2">
      <c r="A72" s="32" t="s">
        <v>91</v>
      </c>
      <c r="B72" s="450">
        <f>(Qgd_Q1+Qgs_Q1/2)*(RdsonDRT+Rgate1)/(Vdd-Vsp_Q1)*1000000000</f>
        <v>11.417821782178217</v>
      </c>
      <c r="C72" s="21" t="s">
        <v>79</v>
      </c>
      <c r="D72" s="114" t="s">
        <v>681</v>
      </c>
      <c r="G72">
        <v>63</v>
      </c>
      <c r="H72" s="555">
        <f>VIN_min+(VIN_max-VIN_min)*(Table1[[#This Row],[Step]]/200)</f>
        <v>24.41</v>
      </c>
      <c r="I72" s="4" t="str">
        <f>IF(Mode = 2,IF(Table1[[#This Row],[Vin]]&gt;Vout, "BUCK","BOOST"),IF(Table1[[#This Row],[Vin]]&gt;VIN_BB_to_buck, "BUCK", IF(Table1[[#This Row],[Vin]]&lt;=VIN_boost_to_BB,"BOOST","BUCK-BST")))</f>
        <v>BUCK</v>
      </c>
      <c r="J72">
        <f>IF(Table1[[#This Row],[Mode]]="BOOST",2, IF(Table1[[#This Row],[Mode]]="BUCK", 1,3))</f>
        <v>1</v>
      </c>
      <c r="K72">
        <f t="shared" si="0"/>
        <v>12</v>
      </c>
      <c r="L72" s="4">
        <f>Vout*Table1[[#This Row],[Iout]]/(Table1[[#This Row],[Vin]]*Efficiency)</f>
        <v>7.5551434916664872</v>
      </c>
      <c r="M72" s="711">
        <f>MIN(1/Fsw,CHOOSE(Table1[[#This Row],[Mode Digit]],(Vout+(Rdson2+Rs+Rdcr)*Table1[[#This Row],[Iout]])/(Table1[[#This Row],[Vin]]+(Rs+Rdson2-Rdson1)*Table1[[#This Row],[Iout]])/Fsw,(Vout+(Rdson3+Rdcr)*Table1[[#This Row],[Iin]]-Table1[[#This Row],[Vin]])/(Vout+(Rdson3-Rdson4-Rs)*Table1[[#This Row],[Iin]])/Fsw,t1_Ph_II))</f>
        <v>1.0058647026732134E-6</v>
      </c>
      <c r="N72" s="602">
        <f>CHOOSE(Table1[[#This Row],[Mode Digit]],1/Fsw-Table1[[#This Row],[t1_Ph_II]],1/Fsw-Table1[[#This Row],[t1_Ph_II]],(Vout/Fsw-Table1[[#This Row],[Vin]]*t1_Ph_II)/(Table1[[#This Row],[Vin]]+Vout))</f>
        <v>6.608019639934533E-7</v>
      </c>
      <c r="O72" s="602">
        <f>1/Fsw-(Table1[[#This Row],[t1_Ph_II]]+Table1[[#This Row],[t2_Ph_I]])</f>
        <v>0</v>
      </c>
      <c r="P7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10.131149103556018</v>
      </c>
      <c r="Q72" s="4">
        <f>CHOOSE(Table1[[#This Row],[Mode Digit]],Table1[[#This Row],[I_0]]+1/Lf*(Table1[[#This Row],[Vin]]-Vout)*Table1[[#This Row],[t1_Ph_II]],Table1[[#This Row],[I_0]]+1/Lf*Table1[[#This Row],[Vin]]*Table1[[#This Row],[t1_Ph_II]],Table1[[#This Row],[I_0]]+(Table1[[#This Row],[Vin]]-Vout)/L*Table1[[#This Row],[t1_Ph_II]])</f>
        <v>13.868850896443981</v>
      </c>
      <c r="R72" s="4">
        <f>CHOOSE(Table1[[#This Row],[Mode Digit]],0,0,Table1[[#This Row],[I_1]]+Table1[[#This Row],[Vin]]/L*Table1[[#This Row],[t2_Ph_I]])</f>
        <v>0</v>
      </c>
      <c r="S72" s="4">
        <f>Fsw*(Table1[[#This Row],[I_0]]*Table1[[#This Row],[t1_Ph_II]]+Table1[[#This Row],[I_1]]*Table1[[#This Row],[t2_Ph_I]]+Table1[[#This Row],[I_2]]*Table1[[#This Row],[t3_Ph_III]])</f>
        <v>11.613077514893348</v>
      </c>
      <c r="T72" s="354">
        <f>MIN(1,CHOOSE(Table1[[#This Row],[Mode Digit]],(Vout+(Rdson2+Rs+Rdcr)*Table1[[#This Row],[Iout]])/(Table1[[#This Row],[Vin]]+(Rs+Rdson2-Rdson1)*Table1[[#This Row],[Iout]]),1,Fsw*Table1[[#This Row],[t2_Ph_I]]+Table1[[#This Row],[t1_Ph_II]]))</f>
        <v>0.603518821603928</v>
      </c>
      <c r="U72" s="354">
        <f>MIN(1,CHOOSE(Table1[[#This Row],[Mode Digit]],0,(Vout+(Rdson3+Rdcr)*Table1[[#This Row],[Iin]]-Table1[[#This Row],[Vin]])/(Vout+(Rdson3-Rdson4-Rs)*Table1[[#This Row],[Iin]]),Fsw*Table1[[#This Row],[t1_Ph_II]]+Table1[[#This Row],[t3_Ph_III]]))</f>
        <v>0</v>
      </c>
      <c r="V72" s="4">
        <f>MAX(Table1[[#This Row],[I_0]:[I_2]])-MIN(Table1[[#This Row],[I_0]:[I_1]])</f>
        <v>3.7377017928879628</v>
      </c>
      <c r="W7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12.048410734382349</v>
      </c>
      <c r="X72" s="354">
        <f>(Table1[[#This Row],[Irms Lf]]^2*Rdcr*(1+Ltc*Ta-Ltc*25))/(1-Table1[[#This Row],[Irms Lf]]^2*Rdcr*Ltc*ThetaCa)</f>
        <v>0.90275875688378904</v>
      </c>
      <c r="Y72" s="354">
        <f>ABS(7.759*10^-3*Fsw^0.9458*(0.00787*Table1[[#This Row],[Ripple Current pk-pk]])^2.304)</f>
        <v>0.6704835063500646</v>
      </c>
      <c r="Z72" s="354">
        <f>Table1[[#This Row],[DCR    Loss]]+Table1[[#This Row],[Core Loss]]</f>
        <v>1.5732422632338536</v>
      </c>
      <c r="AA72" s="4">
        <f>IF(Table1[[#This Row],[Vin]]&gt;Vout, Table1[[#This Row],[Ripple Current pk-pk]]/SQRT(12), SQRT(Table1[[#This Row],[Duty Cycle BOOST Leg]]/(1-Table1[[#This Row],[Duty Cycle BOOST Leg]]))*SQRT(Table1[[#This Row],[Iout]]^2+(Table1[[#This Row],[Ripple Current pk-pk]]^2)/12))</f>
        <v>1.0789815681372061</v>
      </c>
      <c r="AB72" s="354">
        <f>RCoutEsr*Table1[[#This Row],[Irms Cout]]^2</f>
        <v>5.821006121899122E-3</v>
      </c>
      <c r="AC72" s="354">
        <f>Table1[[#This Row],[Cout ESR Loss]]</f>
        <v>5.821006121899122E-3</v>
      </c>
      <c r="AD72" s="354">
        <f>IF(Table1[[#This Row],[Vin]]&gt;Vout, SQRT(Table1[[#This Row],[Duty Cycle BUCK Leg]]*(1-Table1[[#This Row],[Duty Cycle BUCK Leg]]))*SQRT(Table1[[#This Row],[Iout]]^2+(Table1[[#This Row],[Ripple Current pk-pk]]^2)/12), Table1[[#This Row],[Ripple Current pk-pk]]/SQRT(12))</f>
        <v>5.8936787722035362</v>
      </c>
      <c r="AE72" s="354">
        <f>RCinEsr*Table1[[#This Row],[Irms Cin]]^2</f>
        <v>6.9470898939845177E-2</v>
      </c>
      <c r="AF72" s="549">
        <f>Table1[[#This Row],[Cin ESR Loss]]</f>
        <v>6.9470898939845177E-2</v>
      </c>
      <c r="AG7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9.3599854520193126</v>
      </c>
      <c r="AH72" s="354">
        <f>Rdson1*Table1[[#This Row],[Irms BuCtrl]]^2</f>
        <v>0.36795917618045537</v>
      </c>
      <c r="AI72" s="354">
        <f>CHOOSE(Table1[[#This Row],[Mode Digit]], (Table1[[#This Row],[Vin]]*Table1[[#This Row],[Iout]]/2)*(Fsw)*(Tr_buck+Tf_buck), 0, (Table1[[#This Row],[Vin]]*Table1[[#This Row],[Avg IL]]/2)*(Fsw/1)*(Tr_buck+Tf_buck))</f>
        <v>2.9047022048898774</v>
      </c>
      <c r="AJ72">
        <f>IF(Table1[[#This Row],[Vin]]&gt;Vout, IF(Table1[[#This Row],[Iout]]&gt;Table1[[#This Row],[Ripple Current pk-pk]]/2,0,ABS(Table1[[#This Row],[Iout]]-Table1[[#This Row],[Ripple Current pk-pk]]/2)*Vsd_Q1*Deadtime*Fsw),0)</f>
        <v>0</v>
      </c>
      <c r="AK72" s="354">
        <f>(Table1[[#This Row],[Dead Time Loss BuCtrl]]+Table1[[#This Row],[Transition Loss BuCtrl]]+Table1[[#This Row],[RDS(on) Loss BuCtrl]]*(1+RdsonTopTc*Ta-RdsonTopTc*25))/(1-Table1[[#This Row],[RDS(on) Loss BuCtrl]]*RdsonTopTc*ThetaJA_Q1)</f>
        <v>3.5896654643571195</v>
      </c>
      <c r="AL72" s="354">
        <f>CHOOSE(Table1[[#This Row],[Mode Digit]],SQRT((Fsw*(Table1[[#This Row],[t2_Ph_I]]+0))*((Table1[[#This Row],[I_0]]*Table1[[#This Row],[I_1]]+((Table1[[#This Row],[I_0]]-Table1[[#This Row],[I_1]])^2)/3))),0,SQRT((Fsw*(Table1[[#This Row],[t3_Ph_III]]+0))*((Table1[[#This Row],[I_0]]*Table1[[#This Row],[I_2]]+((Table1[[#This Row],[I_0]]-Table1[[#This Row],[I_2]])^2)/3))))</f>
        <v>7.5864928367702706</v>
      </c>
      <c r="AM72" s="354">
        <f>Rdson2*Table1[[#This Row],[Irms BuSync]]^2</f>
        <v>0.24173046896193989</v>
      </c>
      <c r="AN7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2" s="354">
        <f>(Table1[[#This Row],[Deadtime Loss BuSync]]+Table1[[#This Row],[RDS(on) Loss BuSync]]*(1+RdsonBotTc*Ta-RdsonBotTc*25))/(1-Table1[[#This Row],[RDS(on) Loss BuSync]]*RdsonBotTc*ThetaJA_Q2)</f>
        <v>0.8695490579061016</v>
      </c>
      <c r="AP72" s="354">
        <f>CHOOSE(Table1[[#This Row],[Mode Digit]],0,SQRT((Fsw*(Table1[[#This Row],[t1_Ph_II]]+0))*((Table1[[#This Row],[I_0]]*Table1[[#This Row],[I_1]]+((Table1[[#This Row],[I_0]]-Table1[[#This Row],[I_1]])^2)/3))),SQRT((Fsw*(Table1[[#This Row],[t2_Ph_I]]+0))*((Table1[[#This Row],[I_1]]*Table1[[#This Row],[I_2]]+((Table1[[#This Row],[I_1]]-Table1[[#This Row],[I_2]])^2)/3))))</f>
        <v>0</v>
      </c>
      <c r="AQ72" s="354">
        <f>Rdson4*Table1[[#This Row],[Irms BoCtlr]]^2</f>
        <v>0</v>
      </c>
      <c r="AR72" s="354">
        <f>CHOOSE(Table1[[#This Row],[Mode Digit]], 0, (Vout*Table1[[#This Row],[Iin]]/2)*(Fsw)*(Tr_boost+Tf_boost), (Vout*Iout/2)*(Fsw/1)*(Tr_boost+Tf_boost))</f>
        <v>0</v>
      </c>
      <c r="AS72">
        <f>IF(Table1[[#This Row],[Vin]]&gt;Vout, 0, IF(Table1[[#This Row],[Iin]]&gt;Table1[[#This Row],[Ripple Current pk-pk]]/2,0,ABS(Table1[[#This Row],[Iin]]-Table1[[#This Row],[Ripple Current pk-pk]]/2)*Vsd_Q4*Deadtime*Fsw))</f>
        <v>0</v>
      </c>
      <c r="AT72" s="354">
        <f>(Table1[[#This Row],[Dead Time Loss BoCtlr]]+Table1[[#This Row],[Transition Loss BoCtlr]]+Table1[[#This Row],[RDS(on) Loss BoCtlr]]*(1+RdsonTopTc*Ta-RdsonTopTc*25))/(1-Table1[[#This Row],[RDS(on) Loss BoCtlr]]*RdsonTopTc*ThetaJA_Q4)</f>
        <v>0</v>
      </c>
      <c r="AU7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12.048410734382349</v>
      </c>
      <c r="AV72" s="354">
        <f>Rdson3*Table1[[#This Row],[Irms BoSync]]^2</f>
        <v>0.60968964514239532</v>
      </c>
      <c r="AW7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2" s="354">
        <f>(Table1[[#This Row],[Deadtime Loss BoSync]]+Table1[[#This Row],[RDS(on) Loss BoSync]]*(1+RdsonBotTc*Ta-RdsonBotTc*25))/(1-Table1[[#This Row],[RDS(on) Loss BoSync]]*RdsonBotTc*ThetaJA_Q3)</f>
        <v>0.71419452699697816</v>
      </c>
      <c r="AY72" s="354">
        <f>CHOOSE(Table1[[#This Row],[Mode Digit]], Rdson3*Table1[[#This Row],[Irms Lf]]^2, Rdson1*Table1[[#This Row],[Irms Lf]]^2, 0)</f>
        <v>0.60968964514239532</v>
      </c>
      <c r="AZ72" s="354">
        <f>CHOOSE(Table1[[#This Row],[Mode Digit]], 2*Deadtime*Fsw*IF(VfdSky_Q2&gt;0,VfdSky_Q2,0)*Table1[[#This Row],[Iout]], 2*Deadtime*Fsw*IF(VfdSky_Q3&gt;0,VfdSky_Q3,0)*Table1[[#This Row],[Iin]], 2*Deadtime*Fsw*IF(VfdSky_Q2&gt;0,VfdSky_Q2,0)*Table1[[#This Row],[Iout]]+2*Deadtime*Fsw*IF(VfdSky_Q3&gt;0,VfdSky_Q3,0)*Table1[[#This Row],[Iin]])</f>
        <v>0</v>
      </c>
      <c r="BA72" s="354">
        <f>CHOOSE(Table1[[#This Row],[Mode Digit]], IF(QrrSky_Q2&gt;0,QrrSky_Q2,Qrr_Q2)*Fsw*(Table1[[#This Row],[Vin]]-Table1[[#This Row],[Iout]]*Rdson1),0,  IF(QrrSky_Q2&gt;0,QrrSky_Q2,Qrr_Q2)*Fsw*(Table1[[#This Row],[Vin]]-Table1[[#This Row],[Iout]]*Rdson1)+IF(QrrSky_Q3&gt;0,QrrSky_Q3,Qrr_Q3)*Fsw*Vout)</f>
        <v>0.2923152</v>
      </c>
      <c r="BB72" s="354">
        <f>CHOOSE(Table1[[#This Row],[Mode Digit]],0, IF(QrrSky_Q3&gt;0,QrrSky_Q3,Qrr_Q3)*Fsw*Vout,  IF(QrrSky_Q2&gt;0,QrrSky_Q2,Qrr_Q2)*Fsw*(Table1[[#This Row],[Vin]]-Table1[[#This Row],[Iout]]*Rdson1)+IF(QrrSky_Q3&gt;0,QrrSky_Q3,Qrr_Q3)*Fsw*Vout)</f>
        <v>0</v>
      </c>
      <c r="BC72" s="354">
        <f>CHOOSE(Table1[[#This Row],[Mode Digit]], Rs*Table1[[#This Row],[Irms BuSync]]^2, Rs*Table1[[#This Row],[Irms BoCtlr]]^2, Rs*(Table1[[#This Row],[Irms BuSync]]^2+Table1[[#This Row],[Irms BoCtlr]]^2))</f>
        <v>0.14388718390591657</v>
      </c>
      <c r="BD72" s="354">
        <f t="shared" si="1"/>
        <v>1.44</v>
      </c>
      <c r="BE72" s="354">
        <f>IF(Vout&gt;8, Iq*Vout, Iq*Table1[[#This Row],[Vin]])</f>
        <v>4.3799999999999999E-2</v>
      </c>
      <c r="BF72" s="354">
        <f>CHOOSE(Table1[[#This Row],[Mode Digit]], (Qg_Q1+Qg_Q2)*Fsw, (Qg_Q3+Qg_Q4)*Fsw, (Qg_Q1+Qg_Q2+Qg_Q3+Qg_Q4)*Fsw)*IF(Vout&gt;8, Vout, Table1[[#This Row],[Vin]])</f>
        <v>0.47303999999999996</v>
      </c>
      <c r="BG72" s="354">
        <f t="shared" si="2"/>
        <v>0.57269042016806726</v>
      </c>
      <c r="BH72" s="354">
        <f>Table1[[#This Row],[IQ Loss]]+Table1[[#This Row],[Switching Current Loss]]</f>
        <v>0.51683999999999997</v>
      </c>
      <c r="BI7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9.2149856014617146</v>
      </c>
      <c r="BJ72">
        <f>Vout*Table1[[#This Row],[Iout]]</f>
        <v>175.2</v>
      </c>
      <c r="BK72" s="550">
        <f>Table1[[#This Row],[Pout]]/(Table1[[#This Row],[Pout]]+Table1[[#This Row],[Total Loss]])</f>
        <v>0.95003125385170073</v>
      </c>
      <c r="BL7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215.37992786142718</v>
      </c>
      <c r="BM72" s="559">
        <f>IF(Table1[[#This Row],[Vin]]&gt;Vout, Table1[[#This Row],[Total Sync Bu MOSFET Loss]]*ThetaJA_Q2, ThetaJA_Q3*Table1[[#This Row],[Total Sync Bo MOSFET Loss]])</f>
        <v>52.172943474366093</v>
      </c>
      <c r="BN72" s="9"/>
      <c r="BO72" s="4">
        <f>Table1[[#This Row],[EFF, h]]*100</f>
        <v>95.00312538517008</v>
      </c>
      <c r="BP72" s="354">
        <f>Table1[[#This Row],[Total Inductor Loss]]</f>
        <v>1.5732422632338536</v>
      </c>
      <c r="BQ72" s="354">
        <f>Table1[[#This Row],[Total Control Bu MOSFET Loss]]+Table1[[#This Row],[Total Sync Bu MOSFET Loss]]+Table1[[#This Row],[Total Control Bo MOSFET Loss]]+Table1[[#This Row],[Total Sync Bo MOSFET Loss]]+Table1[[#This Row],[Reverse Recovery Loss MOSFET D BUCK]]+Table1[[#This Row],[Reverse Recovery Loss MOSFET D BOOST]]</f>
        <v>5.4657242492601998</v>
      </c>
      <c r="BR72" s="354">
        <f>Table1[[#This Row],[Total Control Bu MOSFET Loss]]+Table1[[#This Row],[Reverse Recovery Loss MOSFET D BUCK]]*0.66</f>
        <v>3.7825934963571197</v>
      </c>
      <c r="BS72" s="354">
        <f>Table1[[#This Row],[Total Sync Bu MOSFET Loss]]+Table1[[#This Row],[Reverse Recovery Loss MOSFET D BUCK]]*0.33</f>
        <v>0.96601307390610158</v>
      </c>
      <c r="BT72" s="354">
        <f xml:space="preserve"> Table1[[#This Row],[Total Control Bo MOSFET Loss]]+Table1[[#This Row],[Reverse Recovery Loss MOSFET D BOOST]]*0.66</f>
        <v>0</v>
      </c>
      <c r="BU72" s="354">
        <f xml:space="preserve"> Table1[[#This Row],[Total Sync Bo MOSFET Loss]]+Table1[[#This Row],[Reverse Recovery Loss MOSFET D BOOST]]*0.33</f>
        <v>0.71419452699697816</v>
      </c>
      <c r="BV72" s="354">
        <f>Table1[[#This Row],[Isense Shunt Loss]]</f>
        <v>0.14388718390591657</v>
      </c>
      <c r="CB72" s="18"/>
      <c r="CC72" s="19"/>
    </row>
    <row r="73" spans="1:81" x14ac:dyDescent="0.2">
      <c r="A73" s="33" t="s">
        <v>92</v>
      </c>
      <c r="B73" s="450">
        <f>(Qgd_Q1+Qgs_Q1/2)*(RdsonDRT2+Rgate1)/(Vsp_Q1)*1000000000</f>
        <v>21.636734693877553</v>
      </c>
      <c r="C73" s="21" t="s">
        <v>79</v>
      </c>
      <c r="D73" s="114" t="s">
        <v>682</v>
      </c>
      <c r="G73">
        <v>64</v>
      </c>
      <c r="H73" s="555">
        <f>VIN_min+(VIN_max-VIN_min)*(Table1[[#This Row],[Step]]/200)</f>
        <v>24.48</v>
      </c>
      <c r="I73" s="4" t="str">
        <f>IF(Mode = 2,IF(Table1[[#This Row],[Vin]]&gt;Vout, "BUCK","BOOST"),IF(Table1[[#This Row],[Vin]]&gt;VIN_BB_to_buck, "BUCK", IF(Table1[[#This Row],[Vin]]&lt;=VIN_boost_to_BB,"BOOST","BUCK-BST")))</f>
        <v>BUCK</v>
      </c>
      <c r="J73">
        <f>IF(Table1[[#This Row],[Mode]]="BOOST",2, IF(Table1[[#This Row],[Mode]]="BUCK", 1,3))</f>
        <v>1</v>
      </c>
      <c r="K73">
        <f t="shared" ref="K73:K136" si="4">Iout</f>
        <v>12</v>
      </c>
      <c r="L73" s="4">
        <f>Vout*Table1[[#This Row],[Iout]]/(Table1[[#This Row],[Vin]]*Efficiency)</f>
        <v>7.5335397316821462</v>
      </c>
      <c r="M73" s="711">
        <f>MIN(1/Fsw,CHOOSE(Table1[[#This Row],[Mode Digit]],(Vout+(Rdson2+Rs+Rdcr)*Table1[[#This Row],[Iout]])/(Table1[[#This Row],[Vin]]+(Rs+Rdson2-Rdson1)*Table1[[#This Row],[Iout]])/Fsw,(Vout+(Rdson3+Rdcr)*Table1[[#This Row],[Iin]]-Table1[[#This Row],[Vin]])/(Vout+(Rdson3-Rdson4-Rs)*Table1[[#This Row],[Iin]])/Fsw,t1_Ph_II))</f>
        <v>1.0029919760641914E-6</v>
      </c>
      <c r="N73" s="602">
        <f>CHOOSE(Table1[[#This Row],[Mode Digit]],1/Fsw-Table1[[#This Row],[t1_Ph_II]],1/Fsw-Table1[[#This Row],[t1_Ph_II]],(Vout/Fsw-Table1[[#This Row],[Vin]]*t1_Ph_II)/(Table1[[#This Row],[Vin]]+Vout))</f>
        <v>6.6367469060247524E-7</v>
      </c>
      <c r="O73" s="602">
        <f>1/Fsw-(Table1[[#This Row],[t1_Ph_II]]+Table1[[#This Row],[t2_Ph_I]])</f>
        <v>0</v>
      </c>
      <c r="P7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10.123189256910187</v>
      </c>
      <c r="Q73" s="4">
        <f>CHOOSE(Table1[[#This Row],[Mode Digit]],Table1[[#This Row],[I_0]]+1/Lf*(Table1[[#This Row],[Vin]]-Vout)*Table1[[#This Row],[t1_Ph_II]],Table1[[#This Row],[I_0]]+1/Lf*Table1[[#This Row],[Vin]]*Table1[[#This Row],[t1_Ph_II]],Table1[[#This Row],[I_0]]+(Table1[[#This Row],[Vin]]-Vout)/L*Table1[[#This Row],[t1_Ph_II]])</f>
        <v>13.876810743089813</v>
      </c>
      <c r="R73" s="4">
        <f>CHOOSE(Table1[[#This Row],[Mode Digit]],0,0,Table1[[#This Row],[I_1]]+Table1[[#This Row],[Vin]]/L*Table1[[#This Row],[t2_Ph_I]])</f>
        <v>0</v>
      </c>
      <c r="S73" s="4">
        <f>Fsw*(Table1[[#This Row],[I_0]]*Table1[[#This Row],[t1_Ph_II]]+Table1[[#This Row],[I_1]]*Table1[[#This Row],[t2_Ph_I]]+Table1[[#This Row],[I_2]]*Table1[[#This Row],[t3_Ph_III]])</f>
        <v>11.617899403997628</v>
      </c>
      <c r="T73" s="354">
        <f>MIN(1,CHOOSE(Table1[[#This Row],[Mode Digit]],(Vout+(Rdson2+Rs+Rdcr)*Table1[[#This Row],[Iout]])/(Table1[[#This Row],[Vin]]+(Rs+Rdson2-Rdson1)*Table1[[#This Row],[Iout]]),1,Fsw*Table1[[#This Row],[t2_Ph_I]]+Table1[[#This Row],[t1_Ph_II]]))</f>
        <v>0.60179518563851486</v>
      </c>
      <c r="U73" s="354">
        <f>MIN(1,CHOOSE(Table1[[#This Row],[Mode Digit]],0,(Vout+(Rdson3+Rdcr)*Table1[[#This Row],[Iin]]-Table1[[#This Row],[Vin]])/(Vout+(Rdson3-Rdson4-Rs)*Table1[[#This Row],[Iin]]),Fsw*Table1[[#This Row],[t1_Ph_II]]+Table1[[#This Row],[t3_Ph_III]]))</f>
        <v>0</v>
      </c>
      <c r="V73" s="4">
        <f>MAX(Table1[[#This Row],[I_0]:[I_2]])-MIN(Table1[[#This Row],[I_0]:[I_1]])</f>
        <v>3.7536214861796253</v>
      </c>
      <c r="W7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12.048823159204904</v>
      </c>
      <c r="X73" s="354">
        <f>(Table1[[#This Row],[Irms Lf]]^2*Rdcr*(1+Ltc*Ta-Ltc*25))/(1-Table1[[#This Row],[Irms Lf]]^2*Rdcr*Ltc*ThetaCa)</f>
        <v>0.90282502589724067</v>
      </c>
      <c r="Y73" s="354">
        <f>ABS(7.759*10^-3*Fsw^0.9458*(0.00787*Table1[[#This Row],[Ripple Current pk-pk]])^2.304)</f>
        <v>0.67708140300810482</v>
      </c>
      <c r="Z73" s="354">
        <f>Table1[[#This Row],[DCR    Loss]]+Table1[[#This Row],[Core Loss]]</f>
        <v>1.5799064289053455</v>
      </c>
      <c r="AA73" s="4">
        <f>IF(Table1[[#This Row],[Vin]]&gt;Vout, Table1[[#This Row],[Ripple Current pk-pk]]/SQRT(12), SQRT(Table1[[#This Row],[Duty Cycle BOOST Leg]]/(1-Table1[[#This Row],[Duty Cycle BOOST Leg]]))*SQRT(Table1[[#This Row],[Iout]]^2+(Table1[[#This Row],[Ripple Current pk-pk]]^2)/12))</f>
        <v>1.0835771877408851</v>
      </c>
      <c r="AB73" s="354">
        <f>RCoutEsr*Table1[[#This Row],[Irms Cout]]^2</f>
        <v>5.8706976089622264E-3</v>
      </c>
      <c r="AC73" s="354">
        <f>Table1[[#This Row],[Cout ESR Loss]]</f>
        <v>5.8706976089622264E-3</v>
      </c>
      <c r="AD73" s="354">
        <f>IF(Table1[[#This Row],[Vin]]&gt;Vout, SQRT(Table1[[#This Row],[Duty Cycle BUCK Leg]]*(1-Table1[[#This Row],[Duty Cycle BUCK Leg]]))*SQRT(Table1[[#This Row],[Iout]]^2+(Table1[[#This Row],[Ripple Current pk-pk]]^2)/12), Table1[[#This Row],[Ripple Current pk-pk]]/SQRT(12))</f>
        <v>5.8982372559687235</v>
      </c>
      <c r="AE73" s="354">
        <f>RCinEsr*Table1[[#This Row],[Irms Cin]]^2</f>
        <v>6.9578405455394912E-2</v>
      </c>
      <c r="AF73" s="549">
        <f>Table1[[#This Row],[Cin ESR Loss]]</f>
        <v>6.9578405455394912E-2</v>
      </c>
      <c r="AG7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9.3469298833054673</v>
      </c>
      <c r="AH73" s="354">
        <f>Rdson1*Table1[[#This Row],[Irms BuCtrl]]^2</f>
        <v>0.36693341262240087</v>
      </c>
      <c r="AI73" s="354">
        <f>CHOOSE(Table1[[#This Row],[Mode Digit]], (Table1[[#This Row],[Vin]]*Table1[[#This Row],[Iout]]/2)*(Fsw)*(Tr_buck+Tf_buck), 0, (Table1[[#This Row],[Vin]]*Table1[[#This Row],[Avg IL]]/2)*(Fsw/1)*(Tr_buck+Tf_buck))</f>
        <v>2.9130319531218434</v>
      </c>
      <c r="AJ73">
        <f>IF(Table1[[#This Row],[Vin]]&gt;Vout, IF(Table1[[#This Row],[Iout]]&gt;Table1[[#This Row],[Ripple Current pk-pk]]/2,0,ABS(Table1[[#This Row],[Iout]]-Table1[[#This Row],[Ripple Current pk-pk]]/2)*Vsd_Q1*Deadtime*Fsw),0)</f>
        <v>0</v>
      </c>
      <c r="AK73" s="354">
        <f>(Table1[[#This Row],[Dead Time Loss BuCtrl]]+Table1[[#This Row],[Transition Loss BuCtrl]]+Table1[[#This Row],[RDS(on) Loss BuCtrl]]*(1+RdsonTopTc*Ta-RdsonTopTc*25))/(1-Table1[[#This Row],[RDS(on) Loss BuCtrl]]*RdsonTopTc*ThetaJA_Q1)</f>
        <v>3.5967057273616909</v>
      </c>
      <c r="AL73" s="354">
        <f>CHOOSE(Table1[[#This Row],[Mode Digit]],SQRT((Fsw*(Table1[[#This Row],[t2_Ph_I]]+0))*((Table1[[#This Row],[I_0]]*Table1[[#This Row],[I_1]]+((Table1[[#This Row],[I_0]]-Table1[[#This Row],[I_1]])^2)/3))),0,SQRT((Fsw*(Table1[[#This Row],[t3_Ph_III]]+0))*((Table1[[#This Row],[I_0]]*Table1[[#This Row],[I_2]]+((Table1[[#This Row],[I_0]]-Table1[[#This Row],[I_2]])^2)/3))))</f>
        <v>7.603225715337123</v>
      </c>
      <c r="AM73" s="354">
        <f>Rdson2*Table1[[#This Row],[Irms BuSync]]^2</f>
        <v>0.24279797336912762</v>
      </c>
      <c r="AN7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3" s="354">
        <f>(Table1[[#This Row],[Deadtime Loss BuSync]]+Table1[[#This Row],[RDS(on) Loss BuSync]]*(1+RdsonBotTc*Ta-RdsonBotTc*25))/(1-Table1[[#This Row],[RDS(on) Loss BuSync]]*RdsonBotTc*ThetaJA_Q2)</f>
        <v>0.87091918083878606</v>
      </c>
      <c r="AP73" s="354">
        <f>CHOOSE(Table1[[#This Row],[Mode Digit]],0,SQRT((Fsw*(Table1[[#This Row],[t1_Ph_II]]+0))*((Table1[[#This Row],[I_0]]*Table1[[#This Row],[I_1]]+((Table1[[#This Row],[I_0]]-Table1[[#This Row],[I_1]])^2)/3))),SQRT((Fsw*(Table1[[#This Row],[t2_Ph_I]]+0))*((Table1[[#This Row],[I_1]]*Table1[[#This Row],[I_2]]+((Table1[[#This Row],[I_1]]-Table1[[#This Row],[I_2]])^2)/3))))</f>
        <v>0</v>
      </c>
      <c r="AQ73" s="354">
        <f>Rdson4*Table1[[#This Row],[Irms BoCtlr]]^2</f>
        <v>0</v>
      </c>
      <c r="AR73" s="354">
        <f>CHOOSE(Table1[[#This Row],[Mode Digit]], 0, (Vout*Table1[[#This Row],[Iin]]/2)*(Fsw)*(Tr_boost+Tf_boost), (Vout*Iout/2)*(Fsw/1)*(Tr_boost+Tf_boost))</f>
        <v>0</v>
      </c>
      <c r="AS73">
        <f>IF(Table1[[#This Row],[Vin]]&gt;Vout, 0, IF(Table1[[#This Row],[Iin]]&gt;Table1[[#This Row],[Ripple Current pk-pk]]/2,0,ABS(Table1[[#This Row],[Iin]]-Table1[[#This Row],[Ripple Current pk-pk]]/2)*Vsd_Q4*Deadtime*Fsw))</f>
        <v>0</v>
      </c>
      <c r="AT73" s="354">
        <f>(Table1[[#This Row],[Dead Time Loss BoCtlr]]+Table1[[#This Row],[Transition Loss BoCtlr]]+Table1[[#This Row],[RDS(on) Loss BoCtlr]]*(1+RdsonTopTc*Ta-RdsonTopTc*25))/(1-Table1[[#This Row],[RDS(on) Loss BoCtlr]]*RdsonTopTc*ThetaJA_Q4)</f>
        <v>0</v>
      </c>
      <c r="AU7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12.048823159204904</v>
      </c>
      <c r="AV73" s="354">
        <f>Rdson3*Table1[[#This Row],[Irms BoSync]]^2</f>
        <v>0.60973138599152843</v>
      </c>
      <c r="AW7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3" s="354">
        <f>(Table1[[#This Row],[Deadtime Loss BoSync]]+Table1[[#This Row],[RDS(on) Loss BoSync]]*(1+RdsonBotTc*Ta-RdsonBotTc*25))/(1-Table1[[#This Row],[RDS(on) Loss BoSync]]*RdsonBotTc*ThetaJA_Q3)</f>
        <v>0.71425180419620959</v>
      </c>
      <c r="AY73" s="354">
        <f>CHOOSE(Table1[[#This Row],[Mode Digit]], Rdson3*Table1[[#This Row],[Irms Lf]]^2, Rdson1*Table1[[#This Row],[Irms Lf]]^2, 0)</f>
        <v>0.60973138599152843</v>
      </c>
      <c r="AZ73" s="354">
        <f>CHOOSE(Table1[[#This Row],[Mode Digit]], 2*Deadtime*Fsw*IF(VfdSky_Q2&gt;0,VfdSky_Q2,0)*Table1[[#This Row],[Iout]], 2*Deadtime*Fsw*IF(VfdSky_Q3&gt;0,VfdSky_Q3,0)*Table1[[#This Row],[Iin]], 2*Deadtime*Fsw*IF(VfdSky_Q2&gt;0,VfdSky_Q2,0)*Table1[[#This Row],[Iout]]+2*Deadtime*Fsw*IF(VfdSky_Q3&gt;0,VfdSky_Q3,0)*Table1[[#This Row],[Iin]])</f>
        <v>0</v>
      </c>
      <c r="BA73" s="354">
        <f>CHOOSE(Table1[[#This Row],[Mode Digit]], IF(QrrSky_Q2&gt;0,QrrSky_Q2,Qrr_Q2)*Fsw*(Table1[[#This Row],[Vin]]-Table1[[#This Row],[Iout]]*Rdson1),0,  IF(QrrSky_Q2&gt;0,QrrSky_Q2,Qrr_Q2)*Fsw*(Table1[[#This Row],[Vin]]-Table1[[#This Row],[Iout]]*Rdson1)+IF(QrrSky_Q3&gt;0,QrrSky_Q3,Qrr_Q3)*Fsw*Vout)</f>
        <v>0.2931552</v>
      </c>
      <c r="BB73" s="354">
        <f>CHOOSE(Table1[[#This Row],[Mode Digit]],0, IF(QrrSky_Q3&gt;0,QrrSky_Q3,Qrr_Q3)*Fsw*Vout,  IF(QrrSky_Q2&gt;0,QrrSky_Q2,Qrr_Q2)*Fsw*(Table1[[#This Row],[Vin]]-Table1[[#This Row],[Iout]]*Rdson1)+IF(QrrSky_Q3&gt;0,QrrSky_Q3,Qrr_Q3)*Fsw*Vout)</f>
        <v>0</v>
      </c>
      <c r="BC73" s="354">
        <f>CHOOSE(Table1[[#This Row],[Mode Digit]], Rs*Table1[[#This Row],[Irms BuSync]]^2, Rs*Table1[[#This Row],[Irms BoCtlr]]^2, Rs*(Table1[[#This Row],[Irms BuSync]]^2+Table1[[#This Row],[Irms BoCtlr]]^2))</f>
        <v>0.14452260319590926</v>
      </c>
      <c r="BD73" s="354">
        <f t="shared" ref="BD73:BD136" si="5">Rshunt/1000*Iout^2</f>
        <v>1.44</v>
      </c>
      <c r="BE73" s="354">
        <f>IF(Vout&gt;8, Iq*Vout, Iq*Table1[[#This Row],[Vin]])</f>
        <v>4.3799999999999999E-2</v>
      </c>
      <c r="BF73" s="354">
        <f>CHOOSE(Table1[[#This Row],[Mode Digit]], (Qg_Q1+Qg_Q2)*Fsw, (Qg_Q3+Qg_Q4)*Fsw, (Qg_Q1+Qg_Q2+Qg_Q3+Qg_Q4)*Fsw)*IF(Vout&gt;8, Vout, Table1[[#This Row],[Vin]])</f>
        <v>0.47303999999999996</v>
      </c>
      <c r="BG73" s="354">
        <f t="shared" ref="BG73:BG136" si="6">(Vin-Vdd)*Fsw*(Qg_Q1+Qg_Q2)+(RdsonDRT+RdsonDRT2)*Fsw*Qg_Q1*Vdd/(RdsonDRT+2*Rgate1+RdsonDRT2)+(RdsonDRB+RdsonDRB2)*Fsw*Qg_Q2*Vdd/(RdsonDRB+2*Rgate2+RdsonDRB2)</f>
        <v>0.57269042016806726</v>
      </c>
      <c r="BH73" s="354">
        <f>Table1[[#This Row],[IQ Loss]]+Table1[[#This Row],[Switching Current Loss]]</f>
        <v>0.51683999999999997</v>
      </c>
      <c r="BI7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9.2317500475622989</v>
      </c>
      <c r="BJ73">
        <f>Vout*Table1[[#This Row],[Iout]]</f>
        <v>175.2</v>
      </c>
      <c r="BK73" s="550">
        <f>Table1[[#This Row],[Pout]]/(Table1[[#This Row],[Pout]]+Table1[[#This Row],[Total Loss]])</f>
        <v>0.94994489807106663</v>
      </c>
      <c r="BL7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215.80234364170144</v>
      </c>
      <c r="BM73" s="559">
        <f>IF(Table1[[#This Row],[Vin]]&gt;Vout, Table1[[#This Row],[Total Sync Bu MOSFET Loss]]*ThetaJA_Q2, ThetaJA_Q3*Table1[[#This Row],[Total Sync Bo MOSFET Loss]])</f>
        <v>52.255150850327162</v>
      </c>
      <c r="BN73" s="9"/>
      <c r="BO73" s="4">
        <f>Table1[[#This Row],[EFF, h]]*100</f>
        <v>94.99448980710666</v>
      </c>
      <c r="BP73" s="354">
        <f>Table1[[#This Row],[Total Inductor Loss]]</f>
        <v>1.5799064289053455</v>
      </c>
      <c r="BQ73" s="354">
        <f>Table1[[#This Row],[Total Control Bu MOSFET Loss]]+Table1[[#This Row],[Total Sync Bu MOSFET Loss]]+Table1[[#This Row],[Total Control Bo MOSFET Loss]]+Table1[[#This Row],[Total Sync Bo MOSFET Loss]]+Table1[[#This Row],[Reverse Recovery Loss MOSFET D BUCK]]+Table1[[#This Row],[Reverse Recovery Loss MOSFET D BOOST]]</f>
        <v>5.4750319123966866</v>
      </c>
      <c r="BR73" s="354">
        <f>Table1[[#This Row],[Total Control Bu MOSFET Loss]]+Table1[[#This Row],[Reverse Recovery Loss MOSFET D BUCK]]*0.66</f>
        <v>3.7901881593616911</v>
      </c>
      <c r="BS73" s="354">
        <f>Table1[[#This Row],[Total Sync Bu MOSFET Loss]]+Table1[[#This Row],[Reverse Recovery Loss MOSFET D BUCK]]*0.33</f>
        <v>0.96766039683878602</v>
      </c>
      <c r="BT73" s="354">
        <f xml:space="preserve"> Table1[[#This Row],[Total Control Bo MOSFET Loss]]+Table1[[#This Row],[Reverse Recovery Loss MOSFET D BOOST]]*0.66</f>
        <v>0</v>
      </c>
      <c r="BU73" s="354">
        <f xml:space="preserve"> Table1[[#This Row],[Total Sync Bo MOSFET Loss]]+Table1[[#This Row],[Reverse Recovery Loss MOSFET D BOOST]]*0.33</f>
        <v>0.71425180419620959</v>
      </c>
      <c r="BV73" s="354">
        <f>Table1[[#This Row],[Isense Shunt Loss]]</f>
        <v>0.14452260319590926</v>
      </c>
      <c r="CB73" s="18"/>
      <c r="CC73" s="19"/>
    </row>
    <row r="74" spans="1:81" x14ac:dyDescent="0.2">
      <c r="A74" s="14" t="s">
        <v>116</v>
      </c>
      <c r="B74" s="15" t="s">
        <v>8</v>
      </c>
      <c r="C74" s="17" t="s">
        <v>80</v>
      </c>
      <c r="G74">
        <v>65</v>
      </c>
      <c r="H74" s="555">
        <f>VIN_min+(VIN_max-VIN_min)*(Table1[[#This Row],[Step]]/200)</f>
        <v>24.55</v>
      </c>
      <c r="I74" s="4" t="str">
        <f>IF(Mode = 2,IF(Table1[[#This Row],[Vin]]&gt;Vout, "BUCK","BOOST"),IF(Table1[[#This Row],[Vin]]&gt;VIN_BB_to_buck, "BUCK", IF(Table1[[#This Row],[Vin]]&lt;=VIN_boost_to_BB,"BOOST","BUCK-BST")))</f>
        <v>BUCK</v>
      </c>
      <c r="J74">
        <f>IF(Table1[[#This Row],[Mode]]="BOOST",2, IF(Table1[[#This Row],[Mode]]="BUCK", 1,3))</f>
        <v>1</v>
      </c>
      <c r="K74">
        <f t="shared" si="4"/>
        <v>12</v>
      </c>
      <c r="L74" s="4">
        <f>Vout*Table1[[#This Row],[Iout]]/(Table1[[#This Row],[Vin]]*Efficiency)</f>
        <v>7.5120591703290813</v>
      </c>
      <c r="M74" s="711">
        <f>MIN(1/Fsw,CHOOSE(Table1[[#This Row],[Mode Digit]],(Vout+(Rdson2+Rs+Rdcr)*Table1[[#This Row],[Iout]])/(Table1[[#This Row],[Vin]]+(Rs+Rdson2-Rdson1)*Table1[[#This Row],[Iout]])/Fsw,(Vout+(Rdson3+Rdcr)*Table1[[#This Row],[Iin]]-Table1[[#This Row],[Vin]])/(Vout+(Rdson3-Rdson4-Rs)*Table1[[#This Row],[Iin]])/Fsw,t1_Ph_II))</f>
        <v>1.0001356116083535E-6</v>
      </c>
      <c r="N74" s="602">
        <f>CHOOSE(Table1[[#This Row],[Mode Digit]],1/Fsw-Table1[[#This Row],[t1_Ph_II]],1/Fsw-Table1[[#This Row],[t1_Ph_II]],(Vout/Fsw-Table1[[#This Row],[Vin]]*t1_Ph_II)/(Table1[[#This Row],[Vin]]+Vout))</f>
        <v>6.6653105505831313E-7</v>
      </c>
      <c r="O74" s="602">
        <f>1/Fsw-(Table1[[#This Row],[t1_Ph_II]]+Table1[[#This Row],[t2_Ph_I]])</f>
        <v>0</v>
      </c>
      <c r="P7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10.115274747063804</v>
      </c>
      <c r="Q74" s="4">
        <f>CHOOSE(Table1[[#This Row],[Mode Digit]],Table1[[#This Row],[I_0]]+1/Lf*(Table1[[#This Row],[Vin]]-Vout)*Table1[[#This Row],[t1_Ph_II]],Table1[[#This Row],[I_0]]+1/Lf*Table1[[#This Row],[Vin]]*Table1[[#This Row],[t1_Ph_II]],Table1[[#This Row],[I_0]]+(Table1[[#This Row],[Vin]]-Vout)/L*Table1[[#This Row],[t1_Ph_II]])</f>
        <v>13.884725252936198</v>
      </c>
      <c r="R74" s="4">
        <f>CHOOSE(Table1[[#This Row],[Mode Digit]],0,0,Table1[[#This Row],[I_1]]+Table1[[#This Row],[Vin]]/L*Table1[[#This Row],[t2_Ph_I]])</f>
        <v>0</v>
      </c>
      <c r="S74" s="4">
        <f>Fsw*(Table1[[#This Row],[I_0]]*Table1[[#This Row],[t1_Ph_II]]+Table1[[#This Row],[I_1]]*Table1[[#This Row],[t2_Ph_I]]+Table1[[#This Row],[I_2]]*Table1[[#This Row],[t3_Ph_III]])</f>
        <v>11.622748240665334</v>
      </c>
      <c r="T74" s="354">
        <f>MIN(1,CHOOSE(Table1[[#This Row],[Mode Digit]],(Vout+(Rdson2+Rs+Rdcr)*Table1[[#This Row],[Iout]])/(Table1[[#This Row],[Vin]]+(Rs+Rdson2-Rdson1)*Table1[[#This Row],[Iout]]),1,Fsw*Table1[[#This Row],[t2_Ph_I]]+Table1[[#This Row],[t1_Ph_II]]))</f>
        <v>0.60008136696501213</v>
      </c>
      <c r="U74" s="354">
        <f>MIN(1,CHOOSE(Table1[[#This Row],[Mode Digit]],0,(Vout+(Rdson3+Rdcr)*Table1[[#This Row],[Iin]]-Table1[[#This Row],[Vin]])/(Vout+(Rdson3-Rdson4-Rs)*Table1[[#This Row],[Iin]]),Fsw*Table1[[#This Row],[t1_Ph_II]]+Table1[[#This Row],[t3_Ph_III]]))</f>
        <v>0</v>
      </c>
      <c r="V74" s="4">
        <f>MAX(Table1[[#This Row],[I_0]:[I_2]])-MIN(Table1[[#This Row],[I_0]:[I_1]])</f>
        <v>3.7694505058723937</v>
      </c>
      <c r="W7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12.049234958826991</v>
      </c>
      <c r="X74" s="354">
        <f>(Table1[[#This Row],[Irms Lf]]^2*Rdcr*(1+Ltc*Ta-Ltc*25))/(1-Table1[[#This Row],[Irms Lf]]^2*Rdcr*Ltc*ThetaCa)</f>
        <v>0.90289119736969137</v>
      </c>
      <c r="Y74" s="354">
        <f>ABS(7.759*10^-3*Fsw^0.9458*(0.00787*Table1[[#This Row],[Ripple Current pk-pk]])^2.304)</f>
        <v>0.6836779985769762</v>
      </c>
      <c r="Z74" s="354">
        <f>Table1[[#This Row],[DCR    Loss]]+Table1[[#This Row],[Core Loss]]</f>
        <v>1.5865691959466677</v>
      </c>
      <c r="AA74" s="4">
        <f>IF(Table1[[#This Row],[Vin]]&gt;Vout, Table1[[#This Row],[Ripple Current pk-pk]]/SQRT(12), SQRT(Table1[[#This Row],[Duty Cycle BOOST Leg]]/(1-Table1[[#This Row],[Duty Cycle BOOST Leg]]))*SQRT(Table1[[#This Row],[Iout]]^2+(Table1[[#This Row],[Ripple Current pk-pk]]^2)/12))</f>
        <v>1.0881466321311988</v>
      </c>
      <c r="AB74" s="354">
        <f>RCoutEsr*Table1[[#This Row],[Irms Cout]]^2</f>
        <v>5.9203154650923516E-3</v>
      </c>
      <c r="AC74" s="354">
        <f>Table1[[#This Row],[Cout ESR Loss]]</f>
        <v>5.9203154650923516E-3</v>
      </c>
      <c r="AD74" s="354">
        <f>IF(Table1[[#This Row],[Vin]]&gt;Vout, SQRT(Table1[[#This Row],[Duty Cycle BUCK Leg]]*(1-Table1[[#This Row],[Duty Cycle BUCK Leg]]))*SQRT(Table1[[#This Row],[Iout]]^2+(Table1[[#This Row],[Ripple Current pk-pk]]^2)/12), Table1[[#This Row],[Ripple Current pk-pk]]/SQRT(12))</f>
        <v>5.902695277905246</v>
      </c>
      <c r="AE74" s="354">
        <f>RCinEsr*Table1[[#This Row],[Irms Cin]]^2</f>
        <v>6.9683623087609781E-2</v>
      </c>
      <c r="AF74" s="549">
        <f>Table1[[#This Row],[Cin ESR Loss]]</f>
        <v>6.9683623087609781E-2</v>
      </c>
      <c r="AG7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9.3339300962881175</v>
      </c>
      <c r="AH74" s="354">
        <f>Rdson1*Table1[[#This Row],[Irms BuCtrl]]^2</f>
        <v>0.36591345437805106</v>
      </c>
      <c r="AI74" s="354">
        <f>CHOOSE(Table1[[#This Row],[Mode Digit]], (Table1[[#This Row],[Vin]]*Table1[[#This Row],[Iout]]/2)*(Fsw)*(Tr_buck+Tf_buck), 0, (Table1[[#This Row],[Vin]]*Table1[[#This Row],[Avg IL]]/2)*(Fsw/1)*(Tr_buck+Tf_buck))</f>
        <v>2.9213617013538093</v>
      </c>
      <c r="AJ74">
        <f>IF(Table1[[#This Row],[Vin]]&gt;Vout, IF(Table1[[#This Row],[Iout]]&gt;Table1[[#This Row],[Ripple Current pk-pk]]/2,0,ABS(Table1[[#This Row],[Iout]]-Table1[[#This Row],[Ripple Current pk-pk]]/2)*Vsd_Q1*Deadtime*Fsw),0)</f>
        <v>0</v>
      </c>
      <c r="AK74" s="354">
        <f>(Table1[[#This Row],[Dead Time Loss BuCtrl]]+Table1[[#This Row],[Transition Loss BuCtrl]]+Table1[[#This Row],[RDS(on) Loss BuCtrl]]*(1+RdsonTopTc*Ta-RdsonTopTc*25))/(1-Table1[[#This Row],[RDS(on) Loss BuCtrl]]*RdsonTopTc*ThetaJA_Q1)</f>
        <v>3.603754058870297</v>
      </c>
      <c r="AL74" s="354">
        <f>CHOOSE(Table1[[#This Row],[Mode Digit]],SQRT((Fsw*(Table1[[#This Row],[t2_Ph_I]]+0))*((Table1[[#This Row],[I_0]]*Table1[[#This Row],[I_1]]+((Table1[[#This Row],[I_0]]-Table1[[#This Row],[I_1]])^2)/3))),0,SQRT((Fsw*(Table1[[#This Row],[t3_Ph_III]]+0))*((Table1[[#This Row],[I_0]]*Table1[[#This Row],[I_2]]+((Table1[[#This Row],[I_0]]-Table1[[#This Row],[I_2]])^2)/3))))</f>
        <v>7.6198301851567134</v>
      </c>
      <c r="AM74" s="354">
        <f>Rdson2*Table1[[#This Row],[Irms BuSync]]^2</f>
        <v>0.24385961061262668</v>
      </c>
      <c r="AN7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4" s="354">
        <f>(Table1[[#This Row],[Deadtime Loss BuSync]]+Table1[[#This Row],[RDS(on) Loss BuSync]]*(1+RdsonBotTc*Ta-RdsonBotTc*25))/(1-Table1[[#This Row],[RDS(on) Loss BuSync]]*RdsonBotTc*ThetaJA_Q2)</f>
        <v>0.87228251293149806</v>
      </c>
      <c r="AP74" s="354">
        <f>CHOOSE(Table1[[#This Row],[Mode Digit]],0,SQRT((Fsw*(Table1[[#This Row],[t1_Ph_II]]+0))*((Table1[[#This Row],[I_0]]*Table1[[#This Row],[I_1]]+((Table1[[#This Row],[I_0]]-Table1[[#This Row],[I_1]])^2)/3))),SQRT((Fsw*(Table1[[#This Row],[t2_Ph_I]]+0))*((Table1[[#This Row],[I_1]]*Table1[[#This Row],[I_2]]+((Table1[[#This Row],[I_1]]-Table1[[#This Row],[I_2]])^2)/3))))</f>
        <v>0</v>
      </c>
      <c r="AQ74" s="354">
        <f>Rdson4*Table1[[#This Row],[Irms BoCtlr]]^2</f>
        <v>0</v>
      </c>
      <c r="AR74" s="354">
        <f>CHOOSE(Table1[[#This Row],[Mode Digit]], 0, (Vout*Table1[[#This Row],[Iin]]/2)*(Fsw)*(Tr_boost+Tf_boost), (Vout*Iout/2)*(Fsw/1)*(Tr_boost+Tf_boost))</f>
        <v>0</v>
      </c>
      <c r="AS74">
        <f>IF(Table1[[#This Row],[Vin]]&gt;Vout, 0, IF(Table1[[#This Row],[Iin]]&gt;Table1[[#This Row],[Ripple Current pk-pk]]/2,0,ABS(Table1[[#This Row],[Iin]]-Table1[[#This Row],[Ripple Current pk-pk]]/2)*Vsd_Q4*Deadtime*Fsw))</f>
        <v>0</v>
      </c>
      <c r="AT74" s="354">
        <f>(Table1[[#This Row],[Dead Time Loss BoCtlr]]+Table1[[#This Row],[Transition Loss BoCtlr]]+Table1[[#This Row],[RDS(on) Loss BoCtlr]]*(1+RdsonTopTc*Ta-RdsonTopTc*25))/(1-Table1[[#This Row],[RDS(on) Loss BoCtlr]]*RdsonTopTc*ThetaJA_Q4)</f>
        <v>0</v>
      </c>
      <c r="AU7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12.049234958826991</v>
      </c>
      <c r="AV74" s="354">
        <f>Rdson3*Table1[[#This Row],[Irms BoSync]]^2</f>
        <v>0.60977306499067774</v>
      </c>
      <c r="AW7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4" s="354">
        <f>(Table1[[#This Row],[Deadtime Loss BoSync]]+Table1[[#This Row],[RDS(on) Loss BoSync]]*(1+RdsonBotTc*Ta-RdsonBotTc*25))/(1-Table1[[#This Row],[RDS(on) Loss BoSync]]*RdsonBotTc*ThetaJA_Q3)</f>
        <v>0.71430899786562352</v>
      </c>
      <c r="AY74" s="354">
        <f>CHOOSE(Table1[[#This Row],[Mode Digit]], Rdson3*Table1[[#This Row],[Irms Lf]]^2, Rdson1*Table1[[#This Row],[Irms Lf]]^2, 0)</f>
        <v>0.60977306499067774</v>
      </c>
      <c r="AZ74" s="354">
        <f>CHOOSE(Table1[[#This Row],[Mode Digit]], 2*Deadtime*Fsw*IF(VfdSky_Q2&gt;0,VfdSky_Q2,0)*Table1[[#This Row],[Iout]], 2*Deadtime*Fsw*IF(VfdSky_Q3&gt;0,VfdSky_Q3,0)*Table1[[#This Row],[Iin]], 2*Deadtime*Fsw*IF(VfdSky_Q2&gt;0,VfdSky_Q2,0)*Table1[[#This Row],[Iout]]+2*Deadtime*Fsw*IF(VfdSky_Q3&gt;0,VfdSky_Q3,0)*Table1[[#This Row],[Iin]])</f>
        <v>0</v>
      </c>
      <c r="BA74" s="354">
        <f>CHOOSE(Table1[[#This Row],[Mode Digit]], IF(QrrSky_Q2&gt;0,QrrSky_Q2,Qrr_Q2)*Fsw*(Table1[[#This Row],[Vin]]-Table1[[#This Row],[Iout]]*Rdson1),0,  IF(QrrSky_Q2&gt;0,QrrSky_Q2,Qrr_Q2)*Fsw*(Table1[[#This Row],[Vin]]-Table1[[#This Row],[Iout]]*Rdson1)+IF(QrrSky_Q3&gt;0,QrrSky_Q3,Qrr_Q3)*Fsw*Vout)</f>
        <v>0.29399520000000001</v>
      </c>
      <c r="BB74" s="354">
        <f>CHOOSE(Table1[[#This Row],[Mode Digit]],0, IF(QrrSky_Q3&gt;0,QrrSky_Q3,Qrr_Q3)*Fsw*Vout,  IF(QrrSky_Q2&gt;0,QrrSky_Q2,Qrr_Q2)*Fsw*(Table1[[#This Row],[Vin]]-Table1[[#This Row],[Iout]]*Rdson1)+IF(QrrSky_Q3&gt;0,QrrSky_Q3,Qrr_Q3)*Fsw*Vout)</f>
        <v>0</v>
      </c>
      <c r="BC74" s="354">
        <f>CHOOSE(Table1[[#This Row],[Mode Digit]], Rs*Table1[[#This Row],[Irms BuSync]]^2, Rs*Table1[[#This Row],[Irms BoCtlr]]^2, Rs*(Table1[[#This Row],[Irms BuSync]]^2+Table1[[#This Row],[Irms BoCtlr]]^2))</f>
        <v>0.14515453012656349</v>
      </c>
      <c r="BD74" s="354">
        <f t="shared" si="5"/>
        <v>1.44</v>
      </c>
      <c r="BE74" s="354">
        <f>IF(Vout&gt;8, Iq*Vout, Iq*Table1[[#This Row],[Vin]])</f>
        <v>4.3799999999999999E-2</v>
      </c>
      <c r="BF74" s="354">
        <f>CHOOSE(Table1[[#This Row],[Mode Digit]], (Qg_Q1+Qg_Q2)*Fsw, (Qg_Q3+Qg_Q4)*Fsw, (Qg_Q1+Qg_Q2+Qg_Q3+Qg_Q4)*Fsw)*IF(Vout&gt;8, Vout, Table1[[#This Row],[Vin]])</f>
        <v>0.47303999999999996</v>
      </c>
      <c r="BG74" s="354">
        <f t="shared" si="6"/>
        <v>0.57269042016806726</v>
      </c>
      <c r="BH74" s="354">
        <f>Table1[[#This Row],[IQ Loss]]+Table1[[#This Row],[Switching Current Loss]]</f>
        <v>0.51683999999999997</v>
      </c>
      <c r="BI7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9.2485084342933526</v>
      </c>
      <c r="BJ74">
        <f>Vout*Table1[[#This Row],[Iout]]</f>
        <v>175.2</v>
      </c>
      <c r="BK74" s="550">
        <f>Table1[[#This Row],[Pout]]/(Table1[[#This Row],[Pout]]+Table1[[#This Row],[Total Loss]])</f>
        <v>0.94985858919218114</v>
      </c>
      <c r="BL7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216.22524353221783</v>
      </c>
      <c r="BM74" s="559">
        <f>IF(Table1[[#This Row],[Vin]]&gt;Vout, Table1[[#This Row],[Total Sync Bu MOSFET Loss]]*ThetaJA_Q2, ThetaJA_Q3*Table1[[#This Row],[Total Sync Bo MOSFET Loss]])</f>
        <v>52.336950775889882</v>
      </c>
      <c r="BN74" s="9"/>
      <c r="BO74" s="4">
        <f>Table1[[#This Row],[EFF, h]]*100</f>
        <v>94.985858919218117</v>
      </c>
      <c r="BP74" s="354">
        <f>Table1[[#This Row],[Total Inductor Loss]]</f>
        <v>1.5865691959466677</v>
      </c>
      <c r="BQ74" s="354">
        <f>Table1[[#This Row],[Total Control Bu MOSFET Loss]]+Table1[[#This Row],[Total Sync Bu MOSFET Loss]]+Table1[[#This Row],[Total Control Bo MOSFET Loss]]+Table1[[#This Row],[Total Sync Bo MOSFET Loss]]+Table1[[#This Row],[Reverse Recovery Loss MOSFET D BUCK]]+Table1[[#This Row],[Reverse Recovery Loss MOSFET D BOOST]]</f>
        <v>5.4843407696674191</v>
      </c>
      <c r="BR74" s="354">
        <f>Table1[[#This Row],[Total Control Bu MOSFET Loss]]+Table1[[#This Row],[Reverse Recovery Loss MOSFET D BUCK]]*0.66</f>
        <v>3.7977908908702971</v>
      </c>
      <c r="BS74" s="354">
        <f>Table1[[#This Row],[Total Sync Bu MOSFET Loss]]+Table1[[#This Row],[Reverse Recovery Loss MOSFET D BUCK]]*0.33</f>
        <v>0.96930092893149811</v>
      </c>
      <c r="BT74" s="354">
        <f xml:space="preserve"> Table1[[#This Row],[Total Control Bo MOSFET Loss]]+Table1[[#This Row],[Reverse Recovery Loss MOSFET D BOOST]]*0.66</f>
        <v>0</v>
      </c>
      <c r="BU74" s="354">
        <f xml:space="preserve"> Table1[[#This Row],[Total Sync Bo MOSFET Loss]]+Table1[[#This Row],[Reverse Recovery Loss MOSFET D BOOST]]*0.33</f>
        <v>0.71430899786562352</v>
      </c>
      <c r="BV74" s="354">
        <f>Table1[[#This Row],[Isense Shunt Loss]]</f>
        <v>0.14515453012656349</v>
      </c>
      <c r="CB74" s="18"/>
      <c r="CC74" s="19"/>
    </row>
    <row r="75" spans="1:81" x14ac:dyDescent="0.2">
      <c r="A75" s="34" t="s">
        <v>117</v>
      </c>
      <c r="B75" s="78">
        <f>BH9</f>
        <v>0.51683999999999997</v>
      </c>
      <c r="C75" s="79" t="s">
        <v>118</v>
      </c>
      <c r="G75">
        <v>66</v>
      </c>
      <c r="H75" s="555">
        <f>VIN_min+(VIN_max-VIN_min)*(Table1[[#This Row],[Step]]/200)</f>
        <v>24.62</v>
      </c>
      <c r="I75" s="4" t="str">
        <f>IF(Mode = 2,IF(Table1[[#This Row],[Vin]]&gt;Vout, "BUCK","BOOST"),IF(Table1[[#This Row],[Vin]]&gt;VIN_BB_to_buck, "BUCK", IF(Table1[[#This Row],[Vin]]&lt;=VIN_boost_to_BB,"BOOST","BUCK-BST")))</f>
        <v>BUCK</v>
      </c>
      <c r="J75">
        <f>IF(Table1[[#This Row],[Mode]]="BOOST",2, IF(Table1[[#This Row],[Mode]]="BUCK", 1,3))</f>
        <v>1</v>
      </c>
      <c r="K75">
        <f t="shared" si="4"/>
        <v>12</v>
      </c>
      <c r="L75" s="4">
        <f>Vout*Table1[[#This Row],[Iout]]/(Table1[[#This Row],[Vin]]*Efficiency)</f>
        <v>7.4907007567660004</v>
      </c>
      <c r="M75" s="711">
        <f>MIN(1/Fsw,CHOOSE(Table1[[#This Row],[Mode Digit]],(Vout+(Rdson2+Rs+Rdcr)*Table1[[#This Row],[Iout]])/(Table1[[#This Row],[Vin]]+(Rs+Rdson2-Rdson1)*Table1[[#This Row],[Iout]])/Fsw,(Vout+(Rdson3+Rdcr)*Table1[[#This Row],[Iin]]-Table1[[#This Row],[Vin]])/(Vout+(Rdson3-Rdson4-Rs)*Table1[[#This Row],[Iin]])/Fsw,t1_Ph_II))</f>
        <v>9.9729546991210259E-7</v>
      </c>
      <c r="N75" s="602">
        <f>CHOOSE(Table1[[#This Row],[Mode Digit]],1/Fsw-Table1[[#This Row],[t1_Ph_II]],1/Fsw-Table1[[#This Row],[t1_Ph_II]],(Vout/Fsw-Table1[[#This Row],[Vin]]*t1_Ph_II)/(Table1[[#This Row],[Vin]]+Vout))</f>
        <v>6.6937119675456407E-7</v>
      </c>
      <c r="O75" s="602">
        <f>1/Fsw-(Table1[[#This Row],[t1_Ph_II]]+Table1[[#This Row],[t2_Ph_I]])</f>
        <v>0</v>
      </c>
      <c r="P7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10.107405187780442</v>
      </c>
      <c r="Q75" s="4">
        <f>CHOOSE(Table1[[#This Row],[Mode Digit]],Table1[[#This Row],[I_0]]+1/Lf*(Table1[[#This Row],[Vin]]-Vout)*Table1[[#This Row],[t1_Ph_II]],Table1[[#This Row],[I_0]]+1/Lf*Table1[[#This Row],[Vin]]*Table1[[#This Row],[t1_Ph_II]],Table1[[#This Row],[I_0]]+(Table1[[#This Row],[Vin]]-Vout)/L*Table1[[#This Row],[t1_Ph_II]])</f>
        <v>13.89259481221956</v>
      </c>
      <c r="R75" s="4">
        <f>CHOOSE(Table1[[#This Row],[Mode Digit]],0,0,Table1[[#This Row],[I_1]]+Table1[[#This Row],[Vin]]/L*Table1[[#This Row],[t2_Ph_I]])</f>
        <v>0</v>
      </c>
      <c r="S75" s="4">
        <f>Fsw*(Table1[[#This Row],[I_0]]*Table1[[#This Row],[t1_Ph_II]]+Table1[[#This Row],[I_1]]*Table1[[#This Row],[t2_Ph_I]]+Table1[[#This Row],[I_2]]*Table1[[#This Row],[t3_Ph_III]])</f>
        <v>11.627623333092705</v>
      </c>
      <c r="T75" s="354">
        <f>MIN(1,CHOOSE(Table1[[#This Row],[Mode Digit]],(Vout+(Rdson2+Rs+Rdcr)*Table1[[#This Row],[Iout]])/(Table1[[#This Row],[Vin]]+(Rs+Rdson2-Rdson1)*Table1[[#This Row],[Iout]]),1,Fsw*Table1[[#This Row],[t2_Ph_I]]+Table1[[#This Row],[t1_Ph_II]]))</f>
        <v>0.59837728194726159</v>
      </c>
      <c r="U75" s="354">
        <f>MIN(1,CHOOSE(Table1[[#This Row],[Mode Digit]],0,(Vout+(Rdson3+Rdcr)*Table1[[#This Row],[Iin]]-Table1[[#This Row],[Vin]])/(Vout+(Rdson3-Rdson4-Rs)*Table1[[#This Row],[Iin]]),Fsw*Table1[[#This Row],[t1_Ph_II]]+Table1[[#This Row],[t3_Ph_III]]))</f>
        <v>0</v>
      </c>
      <c r="V75" s="4">
        <f>MAX(Table1[[#This Row],[I_0]:[I_2]])-MIN(Table1[[#This Row],[I_0]:[I_1]])</f>
        <v>3.7851896244391181</v>
      </c>
      <c r="W7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12.04964612375595</v>
      </c>
      <c r="X75" s="354">
        <f>(Table1[[#This Row],[Irms Lf]]^2*Rdcr*(1+Ltc*Ta-Ltc*25))/(1-Table1[[#This Row],[Irms Lf]]^2*Rdcr*Ltc*ThetaCa)</f>
        <v>0.90295726976247914</v>
      </c>
      <c r="Y75" s="354">
        <f>ABS(7.759*10^-3*Fsw^0.9458*(0.00787*Table1[[#This Row],[Ripple Current pk-pk]])^2.304)</f>
        <v>0.69027304186731098</v>
      </c>
      <c r="Z75" s="354">
        <f>Table1[[#This Row],[DCR    Loss]]+Table1[[#This Row],[Core Loss]]</f>
        <v>1.5932303116297901</v>
      </c>
      <c r="AA75" s="4">
        <f>IF(Table1[[#This Row],[Vin]]&gt;Vout, Table1[[#This Row],[Ripple Current pk-pk]]/SQRT(12), SQRT(Table1[[#This Row],[Duty Cycle BOOST Leg]]/(1-Table1[[#This Row],[Duty Cycle BOOST Leg]]))*SQRT(Table1[[#This Row],[Iout]]^2+(Table1[[#This Row],[Ripple Current pk-pk]]^2)/12))</f>
        <v>1.0926901243018516</v>
      </c>
      <c r="AB75" s="354">
        <f>RCoutEsr*Table1[[#This Row],[Irms Cout]]^2</f>
        <v>5.9698585387339799E-3</v>
      </c>
      <c r="AC75" s="354">
        <f>Table1[[#This Row],[Cout ESR Loss]]</f>
        <v>5.9698585387339799E-3</v>
      </c>
      <c r="AD75" s="354">
        <f>IF(Table1[[#This Row],[Vin]]&gt;Vout, SQRT(Table1[[#This Row],[Duty Cycle BUCK Leg]]*(1-Table1[[#This Row],[Duty Cycle BUCK Leg]]))*SQRT(Table1[[#This Row],[Iout]]^2+(Table1[[#This Row],[Ripple Current pk-pk]]^2)/12), Table1[[#This Row],[Ripple Current pk-pk]]/SQRT(12))</f>
        <v>5.9070544824714144</v>
      </c>
      <c r="AE75" s="354">
        <f>RCinEsr*Table1[[#This Row],[Irms Cin]]^2</f>
        <v>6.9786585317771252E-2</v>
      </c>
      <c r="AF75" s="549">
        <f>Table1[[#This Row],[Cin ESR Loss]]</f>
        <v>6.9786585317771252E-2</v>
      </c>
      <c r="AG7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9.320985685302233</v>
      </c>
      <c r="AH75" s="354">
        <f>Rdson1*Table1[[#This Row],[Irms BuCtrl]]^2</f>
        <v>0.36489925141155843</v>
      </c>
      <c r="AI75" s="354">
        <f>CHOOSE(Table1[[#This Row],[Mode Digit]], (Table1[[#This Row],[Vin]]*Table1[[#This Row],[Iout]]/2)*(Fsw)*(Tr_buck+Tf_buck), 0, (Table1[[#This Row],[Vin]]*Table1[[#This Row],[Avg IL]]/2)*(Fsw/1)*(Tr_buck+Tf_buck))</f>
        <v>2.9296914495857753</v>
      </c>
      <c r="AJ75">
        <f>IF(Table1[[#This Row],[Vin]]&gt;Vout, IF(Table1[[#This Row],[Iout]]&gt;Table1[[#This Row],[Ripple Current pk-pk]]/2,0,ABS(Table1[[#This Row],[Iout]]-Table1[[#This Row],[Ripple Current pk-pk]]/2)*Vsd_Q1*Deadtime*Fsw),0)</f>
        <v>0</v>
      </c>
      <c r="AK75" s="354">
        <f>(Table1[[#This Row],[Dead Time Loss BuCtrl]]+Table1[[#This Row],[Transition Loss BuCtrl]]+Table1[[#This Row],[RDS(on) Loss BuCtrl]]*(1+RdsonTopTc*Ta-RdsonTopTc*25))/(1-Table1[[#This Row],[RDS(on) Loss BuCtrl]]*RdsonTopTc*ThetaJA_Q1)</f>
        <v>3.6108103823164601</v>
      </c>
      <c r="AL75" s="354">
        <f>CHOOSE(Table1[[#This Row],[Mode Digit]],SQRT((Fsw*(Table1[[#This Row],[t2_Ph_I]]+0))*((Table1[[#This Row],[I_0]]*Table1[[#This Row],[I_1]]+((Table1[[#This Row],[I_0]]-Table1[[#This Row],[I_1]])^2)/3))),0,SQRT((Fsw*(Table1[[#This Row],[t3_Ph_III]]+0))*((Table1[[#This Row],[I_0]]*Table1[[#This Row],[I_2]]+((Table1[[#This Row],[I_0]]-Table1[[#This Row],[I_2]])^2)/3))))</f>
        <v>7.6363078488322929</v>
      </c>
      <c r="AM75" s="354">
        <f>Rdson2*Table1[[#This Row],[Irms BuSync]]^2</f>
        <v>0.2449154297609783</v>
      </c>
      <c r="AN7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5" s="354">
        <f>(Table1[[#This Row],[Deadtime Loss BuSync]]+Table1[[#This Row],[RDS(on) Loss BuSync]]*(1+RdsonBotTc*Ta-RdsonBotTc*25))/(1-Table1[[#This Row],[RDS(on) Loss BuSync]]*RdsonBotTc*ThetaJA_Q2)</f>
        <v>0.87363910561420688</v>
      </c>
      <c r="AP75" s="354">
        <f>CHOOSE(Table1[[#This Row],[Mode Digit]],0,SQRT((Fsw*(Table1[[#This Row],[t1_Ph_II]]+0))*((Table1[[#This Row],[I_0]]*Table1[[#This Row],[I_1]]+((Table1[[#This Row],[I_0]]-Table1[[#This Row],[I_1]])^2)/3))),SQRT((Fsw*(Table1[[#This Row],[t2_Ph_I]]+0))*((Table1[[#This Row],[I_1]]*Table1[[#This Row],[I_2]]+((Table1[[#This Row],[I_1]]-Table1[[#This Row],[I_2]])^2)/3))))</f>
        <v>0</v>
      </c>
      <c r="AQ75" s="354">
        <f>Rdson4*Table1[[#This Row],[Irms BoCtlr]]^2</f>
        <v>0</v>
      </c>
      <c r="AR75" s="354">
        <f>CHOOSE(Table1[[#This Row],[Mode Digit]], 0, (Vout*Table1[[#This Row],[Iin]]/2)*(Fsw)*(Tr_boost+Tf_boost), (Vout*Iout/2)*(Fsw/1)*(Tr_boost+Tf_boost))</f>
        <v>0</v>
      </c>
      <c r="AS75">
        <f>IF(Table1[[#This Row],[Vin]]&gt;Vout, 0, IF(Table1[[#This Row],[Iin]]&gt;Table1[[#This Row],[Ripple Current pk-pk]]/2,0,ABS(Table1[[#This Row],[Iin]]-Table1[[#This Row],[Ripple Current pk-pk]]/2)*Vsd_Q4*Deadtime*Fsw))</f>
        <v>0</v>
      </c>
      <c r="AT75" s="354">
        <f>(Table1[[#This Row],[Dead Time Loss BoCtlr]]+Table1[[#This Row],[Transition Loss BoCtlr]]+Table1[[#This Row],[RDS(on) Loss BoCtlr]]*(1+RdsonTopTc*Ta-RdsonTopTc*25))/(1-Table1[[#This Row],[RDS(on) Loss BoCtlr]]*RdsonTopTc*ThetaJA_Q4)</f>
        <v>0</v>
      </c>
      <c r="AU7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12.04964612375595</v>
      </c>
      <c r="AV75" s="354">
        <f>Rdson3*Table1[[#This Row],[Irms BoSync]]^2</f>
        <v>0.60981468117253668</v>
      </c>
      <c r="AW7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5" s="354">
        <f>(Table1[[#This Row],[Deadtime Loss BoSync]]+Table1[[#This Row],[RDS(on) Loss BoSync]]*(1+RdsonBotTc*Ta-RdsonBotTc*25))/(1-Table1[[#This Row],[RDS(on) Loss BoSync]]*RdsonBotTc*ThetaJA_Q3)</f>
        <v>0.71436610667187483</v>
      </c>
      <c r="AY75" s="354">
        <f>CHOOSE(Table1[[#This Row],[Mode Digit]], Rdson3*Table1[[#This Row],[Irms Lf]]^2, Rdson1*Table1[[#This Row],[Irms Lf]]^2, 0)</f>
        <v>0.60981468117253668</v>
      </c>
      <c r="AZ75" s="354">
        <f>CHOOSE(Table1[[#This Row],[Mode Digit]], 2*Deadtime*Fsw*IF(VfdSky_Q2&gt;0,VfdSky_Q2,0)*Table1[[#This Row],[Iout]], 2*Deadtime*Fsw*IF(VfdSky_Q3&gt;0,VfdSky_Q3,0)*Table1[[#This Row],[Iin]], 2*Deadtime*Fsw*IF(VfdSky_Q2&gt;0,VfdSky_Q2,0)*Table1[[#This Row],[Iout]]+2*Deadtime*Fsw*IF(VfdSky_Q3&gt;0,VfdSky_Q3,0)*Table1[[#This Row],[Iin]])</f>
        <v>0</v>
      </c>
      <c r="BA75" s="354">
        <f>CHOOSE(Table1[[#This Row],[Mode Digit]], IF(QrrSky_Q2&gt;0,QrrSky_Q2,Qrr_Q2)*Fsw*(Table1[[#This Row],[Vin]]-Table1[[#This Row],[Iout]]*Rdson1),0,  IF(QrrSky_Q2&gt;0,QrrSky_Q2,Qrr_Q2)*Fsw*(Table1[[#This Row],[Vin]]-Table1[[#This Row],[Iout]]*Rdson1)+IF(QrrSky_Q3&gt;0,QrrSky_Q3,Qrr_Q3)*Fsw*Vout)</f>
        <v>0.29483520000000002</v>
      </c>
      <c r="BB75" s="354">
        <f>CHOOSE(Table1[[#This Row],[Mode Digit]],0, IF(QrrSky_Q3&gt;0,QrrSky_Q3,Qrr_Q3)*Fsw*Vout,  IF(QrrSky_Q2&gt;0,QrrSky_Q2,Qrr_Q2)*Fsw*(Table1[[#This Row],[Vin]]-Table1[[#This Row],[Iout]]*Rdson1)+IF(QrrSky_Q3&gt;0,QrrSky_Q3,Qrr_Q3)*Fsw*Vout)</f>
        <v>0</v>
      </c>
      <c r="BC75" s="354">
        <f>CHOOSE(Table1[[#This Row],[Mode Digit]], Rs*Table1[[#This Row],[Irms BuSync]]^2, Rs*Table1[[#This Row],[Irms BoCtlr]]^2, Rs*(Table1[[#This Row],[Irms BuSync]]^2+Table1[[#This Row],[Irms BoCtlr]]^2))</f>
        <v>0.14578299390534422</v>
      </c>
      <c r="BD75" s="354">
        <f t="shared" si="5"/>
        <v>1.44</v>
      </c>
      <c r="BE75" s="354">
        <f>IF(Vout&gt;8, Iq*Vout, Iq*Table1[[#This Row],[Vin]])</f>
        <v>4.3799999999999999E-2</v>
      </c>
      <c r="BF75" s="354">
        <f>CHOOSE(Table1[[#This Row],[Mode Digit]], (Qg_Q1+Qg_Q2)*Fsw, (Qg_Q3+Qg_Q4)*Fsw, (Qg_Q1+Qg_Q2+Qg_Q3+Qg_Q4)*Fsw)*IF(Vout&gt;8, Vout, Table1[[#This Row],[Vin]])</f>
        <v>0.47303999999999996</v>
      </c>
      <c r="BG75" s="354">
        <f t="shared" si="6"/>
        <v>0.57269042016806726</v>
      </c>
      <c r="BH75" s="354">
        <f>Table1[[#This Row],[IQ Loss]]+Table1[[#This Row],[Switching Current Loss]]</f>
        <v>0.51683999999999997</v>
      </c>
      <c r="BI7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9.2652605439941809</v>
      </c>
      <c r="BJ75">
        <f>Vout*Table1[[#This Row],[Iout]]</f>
        <v>175.2</v>
      </c>
      <c r="BK75" s="550">
        <f>Table1[[#This Row],[Pout]]/(Table1[[#This Row],[Pout]]+Table1[[#This Row],[Total Loss]])</f>
        <v>0.94977232831444458</v>
      </c>
      <c r="BL7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216.64862293898761</v>
      </c>
      <c r="BM75" s="559">
        <f>IF(Table1[[#This Row],[Vin]]&gt;Vout, Table1[[#This Row],[Total Sync Bu MOSFET Loss]]*ThetaJA_Q2, ThetaJA_Q3*Table1[[#This Row],[Total Sync Bo MOSFET Loss]])</f>
        <v>52.418346336852416</v>
      </c>
      <c r="BN75" s="9"/>
      <c r="BO75" s="4">
        <f>Table1[[#This Row],[EFF, h]]*100</f>
        <v>94.977232831444454</v>
      </c>
      <c r="BP75" s="354">
        <f>Table1[[#This Row],[Total Inductor Loss]]</f>
        <v>1.5932303116297901</v>
      </c>
      <c r="BQ75" s="354">
        <f>Table1[[#This Row],[Total Control Bu MOSFET Loss]]+Table1[[#This Row],[Total Sync Bu MOSFET Loss]]+Table1[[#This Row],[Total Control Bo MOSFET Loss]]+Table1[[#This Row],[Total Sync Bo MOSFET Loss]]+Table1[[#This Row],[Reverse Recovery Loss MOSFET D BUCK]]+Table1[[#This Row],[Reverse Recovery Loss MOSFET D BOOST]]</f>
        <v>5.4936507946025417</v>
      </c>
      <c r="BR75" s="354">
        <f>Table1[[#This Row],[Total Control Bu MOSFET Loss]]+Table1[[#This Row],[Reverse Recovery Loss MOSFET D BUCK]]*0.66</f>
        <v>3.8054016143164602</v>
      </c>
      <c r="BS75" s="354">
        <f>Table1[[#This Row],[Total Sync Bu MOSFET Loss]]+Table1[[#This Row],[Reverse Recovery Loss MOSFET D BUCK]]*0.33</f>
        <v>0.97093472161420691</v>
      </c>
      <c r="BT75" s="354">
        <f xml:space="preserve"> Table1[[#This Row],[Total Control Bo MOSFET Loss]]+Table1[[#This Row],[Reverse Recovery Loss MOSFET D BOOST]]*0.66</f>
        <v>0</v>
      </c>
      <c r="BU75" s="354">
        <f xml:space="preserve"> Table1[[#This Row],[Total Sync Bo MOSFET Loss]]+Table1[[#This Row],[Reverse Recovery Loss MOSFET D BOOST]]*0.33</f>
        <v>0.71436610667187483</v>
      </c>
      <c r="BV75" s="354">
        <f>Table1[[#This Row],[Isense Shunt Loss]]</f>
        <v>0.14578299390534422</v>
      </c>
      <c r="CB75" s="18"/>
      <c r="CC75" s="19"/>
    </row>
    <row r="76" spans="1:81" x14ac:dyDescent="0.2">
      <c r="A76" s="34" t="s">
        <v>121</v>
      </c>
      <c r="B76" s="77">
        <f>B75*B62</f>
        <v>15.505199999999999</v>
      </c>
      <c r="C76" s="440" t="s">
        <v>637</v>
      </c>
      <c r="G76">
        <v>67</v>
      </c>
      <c r="H76" s="555">
        <f>VIN_min+(VIN_max-VIN_min)*(Table1[[#This Row],[Step]]/200)</f>
        <v>24.69</v>
      </c>
      <c r="I76" s="4" t="str">
        <f>IF(Mode = 2,IF(Table1[[#This Row],[Vin]]&gt;Vout, "BUCK","BOOST"),IF(Table1[[#This Row],[Vin]]&gt;VIN_BB_to_buck, "BUCK", IF(Table1[[#This Row],[Vin]]&lt;=VIN_boost_to_BB,"BOOST","BUCK-BST")))</f>
        <v>BUCK</v>
      </c>
      <c r="J76">
        <f>IF(Table1[[#This Row],[Mode]]="BOOST",2, IF(Table1[[#This Row],[Mode]]="BUCK", 1,3))</f>
        <v>1</v>
      </c>
      <c r="K76">
        <f t="shared" si="4"/>
        <v>12</v>
      </c>
      <c r="L76" s="4">
        <f>Vout*Table1[[#This Row],[Iout]]/(Table1[[#This Row],[Vin]]*Efficiency)</f>
        <v>7.4694634520688101</v>
      </c>
      <c r="M76" s="711">
        <f>MIN(1/Fsw,CHOOSE(Table1[[#This Row],[Mode Digit]],(Vout+(Rdson2+Rs+Rdcr)*Table1[[#This Row],[Iout]])/(Table1[[#This Row],[Vin]]+(Rs+Rdson2-Rdson1)*Table1[[#This Row],[Iout]])/Fsw,(Vout+(Rdson3+Rdcr)*Table1[[#This Row],[Iin]]-Table1[[#This Row],[Vin]])/(Vout+(Rdson3-Rdson4-Rs)*Table1[[#This Row],[Iin]])/Fsw,t1_Ph_II))</f>
        <v>9.9447141316073353E-7</v>
      </c>
      <c r="N76" s="602">
        <f>CHOOSE(Table1[[#This Row],[Mode Digit]],1/Fsw-Table1[[#This Row],[t1_Ph_II]],1/Fsw-Table1[[#This Row],[t1_Ph_II]],(Vout/Fsw-Table1[[#This Row],[Vin]]*t1_Ph_II)/(Table1[[#This Row],[Vin]]+Vout))</f>
        <v>6.7219525350593313E-7</v>
      </c>
      <c r="O76" s="602">
        <f>1/Fsw-(Table1[[#This Row],[t1_Ph_II]]+Table1[[#This Row],[t2_Ph_I]])</f>
        <v>0</v>
      </c>
      <c r="P7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10.099580197198522</v>
      </c>
      <c r="Q76" s="4">
        <f>CHOOSE(Table1[[#This Row],[Mode Digit]],Table1[[#This Row],[I_0]]+1/Lf*(Table1[[#This Row],[Vin]]-Vout)*Table1[[#This Row],[t1_Ph_II]],Table1[[#This Row],[I_0]]+1/Lf*Table1[[#This Row],[Vin]]*Table1[[#This Row],[t1_Ph_II]],Table1[[#This Row],[I_0]]+(Table1[[#This Row],[Vin]]-Vout)/L*Table1[[#This Row],[t1_Ph_II]])</f>
        <v>13.900419802801478</v>
      </c>
      <c r="R76" s="4">
        <f>CHOOSE(Table1[[#This Row],[Mode Digit]],0,0,Table1[[#This Row],[I_1]]+Table1[[#This Row],[Vin]]/L*Table1[[#This Row],[t2_Ph_I]])</f>
        <v>0</v>
      </c>
      <c r="S76" s="4">
        <f>Fsw*(Table1[[#This Row],[I_0]]*Table1[[#This Row],[t1_Ph_II]]+Table1[[#This Row],[I_1]]*Table1[[#This Row],[t2_Ph_I]]+Table1[[#This Row],[I_2]]*Table1[[#This Row],[t3_Ph_III]])</f>
        <v>11.632524002532723</v>
      </c>
      <c r="T76" s="354">
        <f>MIN(1,CHOOSE(Table1[[#This Row],[Mode Digit]],(Vout+(Rdson2+Rs+Rdcr)*Table1[[#This Row],[Iout]])/(Table1[[#This Row],[Vin]]+(Rs+Rdson2-Rdson1)*Table1[[#This Row],[Iout]]),1,Fsw*Table1[[#This Row],[t2_Ph_I]]+Table1[[#This Row],[t1_Ph_II]]))</f>
        <v>0.59668284789644011</v>
      </c>
      <c r="U76" s="354">
        <f>MIN(1,CHOOSE(Table1[[#This Row],[Mode Digit]],0,(Vout+(Rdson3+Rdcr)*Table1[[#This Row],[Iin]]-Table1[[#This Row],[Vin]])/(Vout+(Rdson3-Rdson4-Rs)*Table1[[#This Row],[Iin]]),Fsw*Table1[[#This Row],[t1_Ph_II]]+Table1[[#This Row],[t3_Ph_III]]))</f>
        <v>0</v>
      </c>
      <c r="V76" s="4">
        <f>MAX(Table1[[#This Row],[I_0]:[I_2]])-MIN(Table1[[#This Row],[I_0]:[I_1]])</f>
        <v>3.8008396056029561</v>
      </c>
      <c r="W7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12.050056644775299</v>
      </c>
      <c r="X76" s="354">
        <f>(Table1[[#This Row],[Irms Lf]]^2*Rdcr*(1+Ltc*Ta-Ltc*25))/(1-Table1[[#This Row],[Irms Lf]]^2*Rdcr*Ltc*ThetaCa)</f>
        <v>0.90302324158107672</v>
      </c>
      <c r="Y76" s="354">
        <f>ABS(7.759*10^-3*Fsw^0.9458*(0.00787*Table1[[#This Row],[Ripple Current pk-pk]])^2.304)</f>
        <v>0.69686628684875918</v>
      </c>
      <c r="Z76" s="354">
        <f>Table1[[#This Row],[DCR    Loss]]+Table1[[#This Row],[Core Loss]]</f>
        <v>1.599889528429836</v>
      </c>
      <c r="AA76" s="4">
        <f>IF(Table1[[#This Row],[Vin]]&gt;Vout, Table1[[#This Row],[Ripple Current pk-pk]]/SQRT(12), SQRT(Table1[[#This Row],[Duty Cycle BOOST Leg]]/(1-Table1[[#This Row],[Duty Cycle BOOST Leg]]))*SQRT(Table1[[#This Row],[Iout]]^2+(Table1[[#This Row],[Ripple Current pk-pk]]^2)/12))</f>
        <v>1.0972078847207289</v>
      </c>
      <c r="AB76" s="354">
        <f>RCoutEsr*Table1[[#This Row],[Irms Cout]]^2</f>
        <v>6.0193257114666823E-3</v>
      </c>
      <c r="AC76" s="354">
        <f>Table1[[#This Row],[Cout ESR Loss]]</f>
        <v>6.0193257114666823E-3</v>
      </c>
      <c r="AD76" s="354">
        <f>IF(Table1[[#This Row],[Vin]]&gt;Vout, SQRT(Table1[[#This Row],[Duty Cycle BUCK Leg]]*(1-Table1[[#This Row],[Duty Cycle BUCK Leg]]))*SQRT(Table1[[#This Row],[Iout]]^2+(Table1[[#This Row],[Ripple Current pk-pk]]^2)/12), Table1[[#This Row],[Ripple Current pk-pk]]/SQRT(12))</f>
        <v>5.9113164815495809</v>
      </c>
      <c r="AE76" s="354">
        <f>RCinEsr*Table1[[#This Row],[Irms Cin]]^2</f>
        <v>6.988732509007943E-2</v>
      </c>
      <c r="AF76" s="549">
        <f>Table1[[#This Row],[Cin ESR Loss]]</f>
        <v>6.988732509007943E-2</v>
      </c>
      <c r="AG7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9.3080962488939818</v>
      </c>
      <c r="AH76" s="354">
        <f>Rdson1*Table1[[#This Row],[Irms BuCtrl]]^2</f>
        <v>0.36389075427043177</v>
      </c>
      <c r="AI76" s="354">
        <f>CHOOSE(Table1[[#This Row],[Mode Digit]], (Table1[[#This Row],[Vin]]*Table1[[#This Row],[Iout]]/2)*(Fsw)*(Tr_buck+Tf_buck), 0, (Table1[[#This Row],[Vin]]*Table1[[#This Row],[Avg IL]]/2)*(Fsw/1)*(Tr_buck+Tf_buck))</f>
        <v>2.9380211978177422</v>
      </c>
      <c r="AJ76">
        <f>IF(Table1[[#This Row],[Vin]]&gt;Vout, IF(Table1[[#This Row],[Iout]]&gt;Table1[[#This Row],[Ripple Current pk-pk]]/2,0,ABS(Table1[[#This Row],[Iout]]-Table1[[#This Row],[Ripple Current pk-pk]]/2)*Vsd_Q1*Deadtime*Fsw),0)</f>
        <v>0</v>
      </c>
      <c r="AK76" s="354">
        <f>(Table1[[#This Row],[Dead Time Loss BuCtrl]]+Table1[[#This Row],[Transition Loss BuCtrl]]+Table1[[#This Row],[RDS(on) Loss BuCtrl]]*(1+RdsonTopTc*Ta-RdsonTopTc*25))/(1-Table1[[#This Row],[RDS(on) Loss BuCtrl]]*RdsonTopTc*ThetaJA_Q1)</f>
        <v>3.6178746221111888</v>
      </c>
      <c r="AL76" s="354">
        <f>CHOOSE(Table1[[#This Row],[Mode Digit]],SQRT((Fsw*(Table1[[#This Row],[t2_Ph_I]]+0))*((Table1[[#This Row],[I_0]]*Table1[[#This Row],[I_1]]+((Table1[[#This Row],[I_0]]-Table1[[#This Row],[I_1]])^2)/3))),0,SQRT((Fsw*(Table1[[#This Row],[t3_Ph_III]]+0))*((Table1[[#This Row],[I_0]]*Table1[[#This Row],[I_2]]+((Table1[[#This Row],[I_0]]-Table1[[#This Row],[I_2]])^2)/3))))</f>
        <v>7.6526602801652661</v>
      </c>
      <c r="AM76" s="354">
        <f>Rdson2*Table1[[#This Row],[Irms BuSync]]^2</f>
        <v>0.24596547932720039</v>
      </c>
      <c r="AN7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6" s="354">
        <f>(Table1[[#This Row],[Deadtime Loss BuSync]]+Table1[[#This Row],[RDS(on) Loss BuSync]]*(1+RdsonBotTc*Ta-RdsonBotTc*25))/(1-Table1[[#This Row],[RDS(on) Loss BuSync]]*RdsonBotTc*ThetaJA_Q2)</f>
        <v>0.87498900978617</v>
      </c>
      <c r="AP76" s="354">
        <f>CHOOSE(Table1[[#This Row],[Mode Digit]],0,SQRT((Fsw*(Table1[[#This Row],[t1_Ph_II]]+0))*((Table1[[#This Row],[I_0]]*Table1[[#This Row],[I_1]]+((Table1[[#This Row],[I_0]]-Table1[[#This Row],[I_1]])^2)/3))),SQRT((Fsw*(Table1[[#This Row],[t2_Ph_I]]+0))*((Table1[[#This Row],[I_1]]*Table1[[#This Row],[I_2]]+((Table1[[#This Row],[I_1]]-Table1[[#This Row],[I_2]])^2)/3))))</f>
        <v>0</v>
      </c>
      <c r="AQ76" s="354">
        <f>Rdson4*Table1[[#This Row],[Irms BoCtlr]]^2</f>
        <v>0</v>
      </c>
      <c r="AR76" s="354">
        <f>CHOOSE(Table1[[#This Row],[Mode Digit]], 0, (Vout*Table1[[#This Row],[Iin]]/2)*(Fsw)*(Tr_boost+Tf_boost), (Vout*Iout/2)*(Fsw/1)*(Tr_boost+Tf_boost))</f>
        <v>0</v>
      </c>
      <c r="AS76">
        <f>IF(Table1[[#This Row],[Vin]]&gt;Vout, 0, IF(Table1[[#This Row],[Iin]]&gt;Table1[[#This Row],[Ripple Current pk-pk]]/2,0,ABS(Table1[[#This Row],[Iin]]-Table1[[#This Row],[Ripple Current pk-pk]]/2)*Vsd_Q4*Deadtime*Fsw))</f>
        <v>0</v>
      </c>
      <c r="AT76" s="354">
        <f>(Table1[[#This Row],[Dead Time Loss BoCtlr]]+Table1[[#This Row],[Transition Loss BoCtlr]]+Table1[[#This Row],[RDS(on) Loss BoCtlr]]*(1+RdsonTopTc*Ta-RdsonTopTc*25))/(1-Table1[[#This Row],[RDS(on) Loss BoCtlr]]*RdsonTopTc*ThetaJA_Q4)</f>
        <v>0</v>
      </c>
      <c r="AU7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12.050056644775299</v>
      </c>
      <c r="AV76" s="354">
        <f>Rdson3*Table1[[#This Row],[Irms BoSync]]^2</f>
        <v>0.60985623359763219</v>
      </c>
      <c r="AW7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6" s="354">
        <f>(Table1[[#This Row],[Deadtime Loss BoSync]]+Table1[[#This Row],[RDS(on) Loss BoSync]]*(1+RdsonBotTc*Ta-RdsonBotTc*25))/(1-Table1[[#This Row],[RDS(on) Loss BoSync]]*RdsonBotTc*ThetaJA_Q3)</f>
        <v>0.7144231293196992</v>
      </c>
      <c r="AY76" s="354">
        <f>CHOOSE(Table1[[#This Row],[Mode Digit]], Rdson3*Table1[[#This Row],[Irms Lf]]^2, Rdson1*Table1[[#This Row],[Irms Lf]]^2, 0)</f>
        <v>0.60985623359763219</v>
      </c>
      <c r="AZ76" s="354">
        <f>CHOOSE(Table1[[#This Row],[Mode Digit]], 2*Deadtime*Fsw*IF(VfdSky_Q2&gt;0,VfdSky_Q2,0)*Table1[[#This Row],[Iout]], 2*Deadtime*Fsw*IF(VfdSky_Q3&gt;0,VfdSky_Q3,0)*Table1[[#This Row],[Iin]], 2*Deadtime*Fsw*IF(VfdSky_Q2&gt;0,VfdSky_Q2,0)*Table1[[#This Row],[Iout]]+2*Deadtime*Fsw*IF(VfdSky_Q3&gt;0,VfdSky_Q3,0)*Table1[[#This Row],[Iin]])</f>
        <v>0</v>
      </c>
      <c r="BA76" s="354">
        <f>CHOOSE(Table1[[#This Row],[Mode Digit]], IF(QrrSky_Q2&gt;0,QrrSky_Q2,Qrr_Q2)*Fsw*(Table1[[#This Row],[Vin]]-Table1[[#This Row],[Iout]]*Rdson1),0,  IF(QrrSky_Q2&gt;0,QrrSky_Q2,Qrr_Q2)*Fsw*(Table1[[#This Row],[Vin]]-Table1[[#This Row],[Iout]]*Rdson1)+IF(QrrSky_Q3&gt;0,QrrSky_Q3,Qrr_Q3)*Fsw*Vout)</f>
        <v>0.29567520000000003</v>
      </c>
      <c r="BB76" s="354">
        <f>CHOOSE(Table1[[#This Row],[Mode Digit]],0, IF(QrrSky_Q3&gt;0,QrrSky_Q3,Qrr_Q3)*Fsw*Vout,  IF(QrrSky_Q2&gt;0,QrrSky_Q2,Qrr_Q2)*Fsw*(Table1[[#This Row],[Vin]]-Table1[[#This Row],[Iout]]*Rdson1)+IF(QrrSky_Q3&gt;0,QrrSky_Q3,Qrr_Q3)*Fsw*Vout)</f>
        <v>0</v>
      </c>
      <c r="BC76" s="354">
        <f>CHOOSE(Table1[[#This Row],[Mode Digit]], Rs*Table1[[#This Row],[Irms BuSync]]^2, Rs*Table1[[#This Row],[Irms BoCtlr]]^2, Rs*(Table1[[#This Row],[Irms BuSync]]^2+Table1[[#This Row],[Irms BoCtlr]]^2))</f>
        <v>0.14640802340904782</v>
      </c>
      <c r="BD76" s="354">
        <f t="shared" si="5"/>
        <v>1.44</v>
      </c>
      <c r="BE76" s="354">
        <f>IF(Vout&gt;8, Iq*Vout, Iq*Table1[[#This Row],[Vin]])</f>
        <v>4.3799999999999999E-2</v>
      </c>
      <c r="BF76" s="354">
        <f>CHOOSE(Table1[[#This Row],[Mode Digit]], (Qg_Q1+Qg_Q2)*Fsw, (Qg_Q3+Qg_Q4)*Fsw, (Qg_Q1+Qg_Q2+Qg_Q3+Qg_Q4)*Fsw)*IF(Vout&gt;8, Vout, Table1[[#This Row],[Vin]])</f>
        <v>0.47303999999999996</v>
      </c>
      <c r="BG76" s="354">
        <f t="shared" si="6"/>
        <v>0.57269042016806726</v>
      </c>
      <c r="BH76" s="354">
        <f>Table1[[#This Row],[IQ Loss]]+Table1[[#This Row],[Switching Current Loss]]</f>
        <v>0.51683999999999997</v>
      </c>
      <c r="BI7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9.2820061638574884</v>
      </c>
      <c r="BJ76">
        <f>Vout*Table1[[#This Row],[Iout]]</f>
        <v>175.2</v>
      </c>
      <c r="BK76" s="550">
        <f>Table1[[#This Row],[Pout]]/(Table1[[#This Row],[Pout]]+Table1[[#This Row],[Total Loss]])</f>
        <v>0.94968611651147605</v>
      </c>
      <c r="BL7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217.07247732667133</v>
      </c>
      <c r="BM76" s="559">
        <f>IF(Table1[[#This Row],[Vin]]&gt;Vout, Table1[[#This Row],[Total Sync Bu MOSFET Loss]]*ThetaJA_Q2, ThetaJA_Q3*Table1[[#This Row],[Total Sync Bo MOSFET Loss]])</f>
        <v>52.499340587170202</v>
      </c>
      <c r="BN76" s="9"/>
      <c r="BO76" s="4">
        <f>Table1[[#This Row],[EFF, h]]*100</f>
        <v>94.968611651147611</v>
      </c>
      <c r="BP76" s="354">
        <f>Table1[[#This Row],[Total Inductor Loss]]</f>
        <v>1.599889528429836</v>
      </c>
      <c r="BQ76" s="354">
        <f>Table1[[#This Row],[Total Control Bu MOSFET Loss]]+Table1[[#This Row],[Total Sync Bu MOSFET Loss]]+Table1[[#This Row],[Total Control Bo MOSFET Loss]]+Table1[[#This Row],[Total Sync Bo MOSFET Loss]]+Table1[[#This Row],[Reverse Recovery Loss MOSFET D BUCK]]+Table1[[#This Row],[Reverse Recovery Loss MOSFET D BOOST]]</f>
        <v>5.5029619612170579</v>
      </c>
      <c r="BR76" s="354">
        <f>Table1[[#This Row],[Total Control Bu MOSFET Loss]]+Table1[[#This Row],[Reverse Recovery Loss MOSFET D BUCK]]*0.66</f>
        <v>3.8130202541111888</v>
      </c>
      <c r="BS76" s="354">
        <f>Table1[[#This Row],[Total Sync Bu MOSFET Loss]]+Table1[[#This Row],[Reverse Recovery Loss MOSFET D BUCK]]*0.33</f>
        <v>0.97256182578617001</v>
      </c>
      <c r="BT76" s="354">
        <f xml:space="preserve"> Table1[[#This Row],[Total Control Bo MOSFET Loss]]+Table1[[#This Row],[Reverse Recovery Loss MOSFET D BOOST]]*0.66</f>
        <v>0</v>
      </c>
      <c r="BU76" s="354">
        <f xml:space="preserve"> Table1[[#This Row],[Total Sync Bo MOSFET Loss]]+Table1[[#This Row],[Reverse Recovery Loss MOSFET D BOOST]]*0.33</f>
        <v>0.7144231293196992</v>
      </c>
      <c r="BV76" s="354">
        <f>Table1[[#This Row],[Isense Shunt Loss]]</f>
        <v>0.14640802340904782</v>
      </c>
      <c r="CB76" s="18"/>
      <c r="CC76" s="19"/>
    </row>
    <row r="77" spans="1:81" x14ac:dyDescent="0.2">
      <c r="A77" s="34" t="s">
        <v>242</v>
      </c>
      <c r="B77" s="77">
        <f>(Qg_Q1+Qg_Q2)*Fsw+Iq</f>
        <v>3.5400000000000001E-2</v>
      </c>
      <c r="C77" s="21" t="s">
        <v>2</v>
      </c>
      <c r="G77">
        <v>68</v>
      </c>
      <c r="H77" s="555">
        <f>VIN_min+(VIN_max-VIN_min)*(Table1[[#This Row],[Step]]/200)</f>
        <v>24.76</v>
      </c>
      <c r="I77" s="4" t="str">
        <f>IF(Mode = 2,IF(Table1[[#This Row],[Vin]]&gt;Vout, "BUCK","BOOST"),IF(Table1[[#This Row],[Vin]]&gt;VIN_BB_to_buck, "BUCK", IF(Table1[[#This Row],[Vin]]&lt;=VIN_boost_to_BB,"BOOST","BUCK-BST")))</f>
        <v>BUCK</v>
      </c>
      <c r="J77">
        <f>IF(Table1[[#This Row],[Mode]]="BOOST",2, IF(Table1[[#This Row],[Mode]]="BUCK", 1,3))</f>
        <v>1</v>
      </c>
      <c r="K77">
        <f t="shared" si="4"/>
        <v>12</v>
      </c>
      <c r="L77" s="4">
        <f>Vout*Table1[[#This Row],[Iout]]/(Table1[[#This Row],[Vin]]*Efficiency)</f>
        <v>7.4483462290621532</v>
      </c>
      <c r="M77" s="711">
        <f>MIN(1/Fsw,CHOOSE(Table1[[#This Row],[Mode Digit]],(Vout+(Rdson2+Rs+Rdcr)*Table1[[#This Row],[Iout]])/(Table1[[#This Row],[Vin]]+(Rs+Rdson2-Rdson1)*Table1[[#This Row],[Iout]])/Fsw,(Vout+(Rdson3+Rdcr)*Table1[[#This Row],[Iin]]-Table1[[#This Row],[Vin]])/(Vout+(Rdson3-Rdson4-Rs)*Table1[[#This Row],[Iin]])/Fsw,t1_Ph_II))</f>
        <v>9.9166330509614073E-7</v>
      </c>
      <c r="N77" s="602">
        <f>CHOOSE(Table1[[#This Row],[Mode Digit]],1/Fsw-Table1[[#This Row],[t1_Ph_II]],1/Fsw-Table1[[#This Row],[t1_Ph_II]],(Vout/Fsw-Table1[[#This Row],[Vin]]*t1_Ph_II)/(Table1[[#This Row],[Vin]]+Vout))</f>
        <v>6.7500336157052594E-7</v>
      </c>
      <c r="O77" s="602">
        <f>1/Fsw-(Table1[[#This Row],[t1_Ph_II]]+Table1[[#This Row],[t2_Ph_I]])</f>
        <v>0</v>
      </c>
      <c r="P7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10.091799397769547</v>
      </c>
      <c r="Q77" s="4">
        <f>CHOOSE(Table1[[#This Row],[Mode Digit]],Table1[[#This Row],[I_0]]+1/Lf*(Table1[[#This Row],[Vin]]-Vout)*Table1[[#This Row],[t1_Ph_II]],Table1[[#This Row],[I_0]]+1/Lf*Table1[[#This Row],[Vin]]*Table1[[#This Row],[t1_Ph_II]],Table1[[#This Row],[I_0]]+(Table1[[#This Row],[Vin]]-Vout)/L*Table1[[#This Row],[t1_Ph_II]])</f>
        <v>13.908200602230453</v>
      </c>
      <c r="R77" s="4">
        <f>CHOOSE(Table1[[#This Row],[Mode Digit]],0,0,Table1[[#This Row],[I_1]]+Table1[[#This Row],[Vin]]/L*Table1[[#This Row],[t2_Ph_I]])</f>
        <v>0</v>
      </c>
      <c r="S77" s="4">
        <f>Fsw*(Table1[[#This Row],[I_0]]*Table1[[#This Row],[t1_Ph_II]]+Table1[[#This Row],[I_1]]*Table1[[#This Row],[t2_Ph_I]]+Table1[[#This Row],[I_2]]*Table1[[#This Row],[t3_Ph_III]])</f>
        <v>11.637449583037297</v>
      </c>
      <c r="T77" s="354">
        <f>MIN(1,CHOOSE(Table1[[#This Row],[Mode Digit]],(Vout+(Rdson2+Rs+Rdcr)*Table1[[#This Row],[Iout]])/(Table1[[#This Row],[Vin]]+(Rs+Rdson2-Rdson1)*Table1[[#This Row],[Iout]]),1,Fsw*Table1[[#This Row],[t2_Ph_I]]+Table1[[#This Row],[t1_Ph_II]]))</f>
        <v>0.59499798305768448</v>
      </c>
      <c r="U77" s="354">
        <f>MIN(1,CHOOSE(Table1[[#This Row],[Mode Digit]],0,(Vout+(Rdson3+Rdcr)*Table1[[#This Row],[Iin]]-Table1[[#This Row],[Vin]])/(Vout+(Rdson3-Rdson4-Rs)*Table1[[#This Row],[Iin]]),Fsw*Table1[[#This Row],[t1_Ph_II]]+Table1[[#This Row],[t3_Ph_III]]))</f>
        <v>0</v>
      </c>
      <c r="V77" s="4">
        <f>MAX(Table1[[#This Row],[I_0]:[I_2]])-MIN(Table1[[#This Row],[I_0]:[I_1]])</f>
        <v>3.8164012044609059</v>
      </c>
      <c r="W7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12.050466512938447</v>
      </c>
      <c r="X77" s="354">
        <f>(Table1[[#This Row],[Irms Lf]]^2*Rdcr*(1+Ltc*Ta-Ltc*25))/(1-Table1[[#This Row],[Irms Lf]]^2*Rdcr*Ltc*ThetaCa)</f>
        <v>0.90308911137409276</v>
      </c>
      <c r="Y77" s="354">
        <f>ABS(7.759*10^-3*Fsw^0.9458*(0.00787*Table1[[#This Row],[Ripple Current pk-pk]])^2.304)</f>
        <v>0.70345749255641965</v>
      </c>
      <c r="Z77" s="354">
        <f>Table1[[#This Row],[DCR    Loss]]+Table1[[#This Row],[Core Loss]]</f>
        <v>1.6065466039305125</v>
      </c>
      <c r="AA77" s="4">
        <f>IF(Table1[[#This Row],[Vin]]&gt;Vout, Table1[[#This Row],[Ripple Current pk-pk]]/SQRT(12), SQRT(Table1[[#This Row],[Duty Cycle BOOST Leg]]/(1-Table1[[#This Row],[Duty Cycle BOOST Leg]]))*SQRT(Table1[[#This Row],[Iout]]^2+(Table1[[#This Row],[Ripple Current pk-pk]]^2)/12))</f>
        <v>1.1017001313655581</v>
      </c>
      <c r="AB77" s="354">
        <f>RCoutEsr*Table1[[#This Row],[Irms Cout]]^2</f>
        <v>6.0687158972544397E-3</v>
      </c>
      <c r="AC77" s="354">
        <f>Table1[[#This Row],[Cout ESR Loss]]</f>
        <v>6.0687158972544397E-3</v>
      </c>
      <c r="AD77" s="354">
        <f>IF(Table1[[#This Row],[Vin]]&gt;Vout, SQRT(Table1[[#This Row],[Duty Cycle BUCK Leg]]*(1-Table1[[#This Row],[Duty Cycle BUCK Leg]]))*SQRT(Table1[[#This Row],[Iout]]^2+(Table1[[#This Row],[Ripple Current pk-pk]]^2)/12), Table1[[#This Row],[Ripple Current pk-pk]]/SQRT(12))</f>
        <v>5.9154828552493237</v>
      </c>
      <c r="AE77" s="354">
        <f>RCinEsr*Table1[[#This Row],[Irms Cin]]^2</f>
        <v>6.9985874821497374E-2</v>
      </c>
      <c r="AF77" s="549">
        <f>Table1[[#This Row],[Cin ESR Loss]]</f>
        <v>6.9985874821497374E-2</v>
      </c>
      <c r="AG7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9.2952613897635956</v>
      </c>
      <c r="AH77" s="354">
        <f>Rdson1*Table1[[#This Row],[Irms BuCtrl]]^2</f>
        <v>0.36288791407692544</v>
      </c>
      <c r="AI77" s="354">
        <f>CHOOSE(Table1[[#This Row],[Mode Digit]], (Table1[[#This Row],[Vin]]*Table1[[#This Row],[Iout]]/2)*(Fsw)*(Tr_buck+Tf_buck), 0, (Table1[[#This Row],[Vin]]*Table1[[#This Row],[Avg IL]]/2)*(Fsw/1)*(Tr_buck+Tf_buck))</f>
        <v>2.9463509460497077</v>
      </c>
      <c r="AJ77">
        <f>IF(Table1[[#This Row],[Vin]]&gt;Vout, IF(Table1[[#This Row],[Iout]]&gt;Table1[[#This Row],[Ripple Current pk-pk]]/2,0,ABS(Table1[[#This Row],[Iout]]-Table1[[#This Row],[Ripple Current pk-pk]]/2)*Vsd_Q1*Deadtime*Fsw),0)</f>
        <v>0</v>
      </c>
      <c r="AK77" s="354">
        <f>(Table1[[#This Row],[Dead Time Loss BuCtrl]]+Table1[[#This Row],[Transition Loss BuCtrl]]+Table1[[#This Row],[RDS(on) Loss BuCtrl]]*(1+RdsonTopTc*Ta-RdsonTopTc*25))/(1-Table1[[#This Row],[RDS(on) Loss BuCtrl]]*RdsonTopTc*ThetaJA_Q1)</f>
        <v>3.6249467036272716</v>
      </c>
      <c r="AL77" s="354">
        <f>CHOOSE(Table1[[#This Row],[Mode Digit]],SQRT((Fsw*(Table1[[#This Row],[t2_Ph_I]]+0))*((Table1[[#This Row],[I_0]]*Table1[[#This Row],[I_1]]+((Table1[[#This Row],[I_0]]-Table1[[#This Row],[I_1]])^2)/3))),0,SQRT((Fsw*(Table1[[#This Row],[t3_Ph_III]]+0))*((Table1[[#This Row],[I_0]]*Table1[[#This Row],[I_2]]+((Table1[[#This Row],[I_0]]-Table1[[#This Row],[I_2]])^2)/3))))</f>
        <v>7.6688890248471475</v>
      </c>
      <c r="AM77" s="354">
        <f>Rdson2*Table1[[#This Row],[Irms BuSync]]^2</f>
        <v>0.24700980727676836</v>
      </c>
      <c r="AN7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7" s="354">
        <f>(Table1[[#This Row],[Deadtime Loss BuSync]]+Table1[[#This Row],[RDS(on) Loss BuSync]]*(1+RdsonBotTc*Ta-RdsonBotTc*25))/(1-Table1[[#This Row],[RDS(on) Loss BuSync]]*RdsonBotTc*ThetaJA_Q2)</f>
        <v>0.87633227582294171</v>
      </c>
      <c r="AP77" s="354">
        <f>CHOOSE(Table1[[#This Row],[Mode Digit]],0,SQRT((Fsw*(Table1[[#This Row],[t1_Ph_II]]+0))*((Table1[[#This Row],[I_0]]*Table1[[#This Row],[I_1]]+((Table1[[#This Row],[I_0]]-Table1[[#This Row],[I_1]])^2)/3))),SQRT((Fsw*(Table1[[#This Row],[t2_Ph_I]]+0))*((Table1[[#This Row],[I_1]]*Table1[[#This Row],[I_2]]+((Table1[[#This Row],[I_1]]-Table1[[#This Row],[I_2]])^2)/3))))</f>
        <v>0</v>
      </c>
      <c r="AQ77" s="354">
        <f>Rdson4*Table1[[#This Row],[Irms BoCtlr]]^2</f>
        <v>0</v>
      </c>
      <c r="AR77" s="354">
        <f>CHOOSE(Table1[[#This Row],[Mode Digit]], 0, (Vout*Table1[[#This Row],[Iin]]/2)*(Fsw)*(Tr_boost+Tf_boost), (Vout*Iout/2)*(Fsw/1)*(Tr_boost+Tf_boost))</f>
        <v>0</v>
      </c>
      <c r="AS77">
        <f>IF(Table1[[#This Row],[Vin]]&gt;Vout, 0, IF(Table1[[#This Row],[Iin]]&gt;Table1[[#This Row],[Ripple Current pk-pk]]/2,0,ABS(Table1[[#This Row],[Iin]]-Table1[[#This Row],[Ripple Current pk-pk]]/2)*Vsd_Q4*Deadtime*Fsw))</f>
        <v>0</v>
      </c>
      <c r="AT77" s="354">
        <f>(Table1[[#This Row],[Dead Time Loss BoCtlr]]+Table1[[#This Row],[Transition Loss BoCtlr]]+Table1[[#This Row],[RDS(on) Loss BoCtlr]]*(1+RdsonTopTc*Ta-RdsonTopTc*25))/(1-Table1[[#This Row],[RDS(on) Loss BoCtlr]]*RdsonTopTc*ThetaJA_Q4)</f>
        <v>0</v>
      </c>
      <c r="AU7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12.050466512938447</v>
      </c>
      <c r="AV77" s="354">
        <f>Rdson3*Table1[[#This Row],[Irms BoSync]]^2</f>
        <v>0.60989772135369391</v>
      </c>
      <c r="AW7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7" s="354">
        <f>(Table1[[#This Row],[Deadtime Loss BoSync]]+Table1[[#This Row],[RDS(on) Loss BoSync]]*(1+RdsonBotTc*Ta-RdsonBotTc*25))/(1-Table1[[#This Row],[RDS(on) Loss BoSync]]*RdsonBotTc*ThetaJA_Q3)</f>
        <v>0.7144800645510524</v>
      </c>
      <c r="AY77" s="354">
        <f>CHOOSE(Table1[[#This Row],[Mode Digit]], Rdson3*Table1[[#This Row],[Irms Lf]]^2, Rdson1*Table1[[#This Row],[Irms Lf]]^2, 0)</f>
        <v>0.60989772135369391</v>
      </c>
      <c r="AZ77" s="354">
        <f>CHOOSE(Table1[[#This Row],[Mode Digit]], 2*Deadtime*Fsw*IF(VfdSky_Q2&gt;0,VfdSky_Q2,0)*Table1[[#This Row],[Iout]], 2*Deadtime*Fsw*IF(VfdSky_Q3&gt;0,VfdSky_Q3,0)*Table1[[#This Row],[Iin]], 2*Deadtime*Fsw*IF(VfdSky_Q2&gt;0,VfdSky_Q2,0)*Table1[[#This Row],[Iout]]+2*Deadtime*Fsw*IF(VfdSky_Q3&gt;0,VfdSky_Q3,0)*Table1[[#This Row],[Iin]])</f>
        <v>0</v>
      </c>
      <c r="BA77" s="354">
        <f>CHOOSE(Table1[[#This Row],[Mode Digit]], IF(QrrSky_Q2&gt;0,QrrSky_Q2,Qrr_Q2)*Fsw*(Table1[[#This Row],[Vin]]-Table1[[#This Row],[Iout]]*Rdson1),0,  IF(QrrSky_Q2&gt;0,QrrSky_Q2,Qrr_Q2)*Fsw*(Table1[[#This Row],[Vin]]-Table1[[#This Row],[Iout]]*Rdson1)+IF(QrrSky_Q3&gt;0,QrrSky_Q3,Qrr_Q3)*Fsw*Vout)</f>
        <v>0.29651520000000003</v>
      </c>
      <c r="BB77" s="354">
        <f>CHOOSE(Table1[[#This Row],[Mode Digit]],0, IF(QrrSky_Q3&gt;0,QrrSky_Q3,Qrr_Q3)*Fsw*Vout,  IF(QrrSky_Q2&gt;0,QrrSky_Q2,Qrr_Q2)*Fsw*(Table1[[#This Row],[Vin]]-Table1[[#This Row],[Iout]]*Rdson1)+IF(QrrSky_Q3&gt;0,QrrSky_Q3,Qrr_Q3)*Fsw*Vout)</f>
        <v>0</v>
      </c>
      <c r="BC77" s="354">
        <f>CHOOSE(Table1[[#This Row],[Mode Digit]], Rs*Table1[[#This Row],[Irms BuSync]]^2, Rs*Table1[[#This Row],[Irms BoCtlr]]^2, Rs*(Table1[[#This Row],[Irms BuSync]]^2+Table1[[#This Row],[Irms BoCtlr]]^2))</f>
        <v>0.14702964718855258</v>
      </c>
      <c r="BD77" s="354">
        <f t="shared" si="5"/>
        <v>1.44</v>
      </c>
      <c r="BE77" s="354">
        <f>IF(Vout&gt;8, Iq*Vout, Iq*Table1[[#This Row],[Vin]])</f>
        <v>4.3799999999999999E-2</v>
      </c>
      <c r="BF77" s="354">
        <f>CHOOSE(Table1[[#This Row],[Mode Digit]], (Qg_Q1+Qg_Q2)*Fsw, (Qg_Q3+Qg_Q4)*Fsw, (Qg_Q1+Qg_Q2+Qg_Q3+Qg_Q4)*Fsw)*IF(Vout&gt;8, Vout, Table1[[#This Row],[Vin]])</f>
        <v>0.47303999999999996</v>
      </c>
      <c r="BG77" s="354">
        <f t="shared" si="6"/>
        <v>0.57269042016806726</v>
      </c>
      <c r="BH77" s="354">
        <f>Table1[[#This Row],[IQ Loss]]+Table1[[#This Row],[Switching Current Loss]]</f>
        <v>0.51683999999999997</v>
      </c>
      <c r="BI7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9.2987450858390819</v>
      </c>
      <c r="BJ77">
        <f>Vout*Table1[[#This Row],[Iout]]</f>
        <v>175.2</v>
      </c>
      <c r="BK77" s="550">
        <f>Table1[[#This Row],[Pout]]/(Table1[[#This Row],[Pout]]+Table1[[#This Row],[Total Loss]])</f>
        <v>0.94959995483160176</v>
      </c>
      <c r="BL7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217.49680221763629</v>
      </c>
      <c r="BM77" s="559">
        <f>IF(Table1[[#This Row],[Vin]]&gt;Vout, Table1[[#This Row],[Total Sync Bu MOSFET Loss]]*ThetaJA_Q2, ThetaJA_Q3*Table1[[#This Row],[Total Sync Bo MOSFET Loss]])</f>
        <v>52.579936549376505</v>
      </c>
      <c r="BN77" s="9"/>
      <c r="BO77" s="4">
        <f>Table1[[#This Row],[EFF, h]]*100</f>
        <v>94.959995483160171</v>
      </c>
      <c r="BP77" s="354">
        <f>Table1[[#This Row],[Total Inductor Loss]]</f>
        <v>1.6065466039305125</v>
      </c>
      <c r="BQ77" s="354">
        <f>Table1[[#This Row],[Total Control Bu MOSFET Loss]]+Table1[[#This Row],[Total Sync Bu MOSFET Loss]]+Table1[[#This Row],[Total Control Bo MOSFET Loss]]+Table1[[#This Row],[Total Sync Bo MOSFET Loss]]+Table1[[#This Row],[Reverse Recovery Loss MOSFET D BUCK]]+Table1[[#This Row],[Reverse Recovery Loss MOSFET D BOOST]]</f>
        <v>5.512274244001266</v>
      </c>
      <c r="BR77" s="354">
        <f>Table1[[#This Row],[Total Control Bu MOSFET Loss]]+Table1[[#This Row],[Reverse Recovery Loss MOSFET D BUCK]]*0.66</f>
        <v>3.8206467356272715</v>
      </c>
      <c r="BS77" s="354">
        <f>Table1[[#This Row],[Total Sync Bu MOSFET Loss]]+Table1[[#This Row],[Reverse Recovery Loss MOSFET D BUCK]]*0.33</f>
        <v>0.97418229182294169</v>
      </c>
      <c r="BT77" s="354">
        <f xml:space="preserve"> Table1[[#This Row],[Total Control Bo MOSFET Loss]]+Table1[[#This Row],[Reverse Recovery Loss MOSFET D BOOST]]*0.66</f>
        <v>0</v>
      </c>
      <c r="BU77" s="354">
        <f xml:space="preserve"> Table1[[#This Row],[Total Sync Bo MOSFET Loss]]+Table1[[#This Row],[Reverse Recovery Loss MOSFET D BOOST]]*0.33</f>
        <v>0.7144800645510524</v>
      </c>
      <c r="BV77" s="354">
        <f>Table1[[#This Row],[Isense Shunt Loss]]</f>
        <v>0.14702964718855258</v>
      </c>
      <c r="CB77" s="18"/>
      <c r="CC77" s="19"/>
    </row>
    <row r="78" spans="1:81" x14ac:dyDescent="0.2">
      <c r="A78" s="34" t="s">
        <v>243</v>
      </c>
      <c r="B78" s="76">
        <f>Qrr_Q2*Fsw</f>
        <v>1.2E-2</v>
      </c>
      <c r="C78" s="21" t="s">
        <v>2</v>
      </c>
      <c r="G78">
        <v>69</v>
      </c>
      <c r="H78" s="555">
        <f>VIN_min+(VIN_max-VIN_min)*(Table1[[#This Row],[Step]]/200)</f>
        <v>24.83</v>
      </c>
      <c r="I78" s="4" t="str">
        <f>IF(Mode = 2,IF(Table1[[#This Row],[Vin]]&gt;Vout, "BUCK","BOOST"),IF(Table1[[#This Row],[Vin]]&gt;VIN_BB_to_buck, "BUCK", IF(Table1[[#This Row],[Vin]]&lt;=VIN_boost_to_BB,"BOOST","BUCK-BST")))</f>
        <v>BUCK</v>
      </c>
      <c r="J78">
        <f>IF(Table1[[#This Row],[Mode]]="BOOST",2, IF(Table1[[#This Row],[Mode]]="BUCK", 1,3))</f>
        <v>1</v>
      </c>
      <c r="K78">
        <f t="shared" si="4"/>
        <v>12</v>
      </c>
      <c r="L78" s="4">
        <f>Vout*Table1[[#This Row],[Iout]]/(Table1[[#This Row],[Vin]]*Efficiency)</f>
        <v>7.4273480721538041</v>
      </c>
      <c r="M78" s="711">
        <f>MIN(1/Fsw,CHOOSE(Table1[[#This Row],[Mode Digit]],(Vout+(Rdson2+Rs+Rdcr)*Table1[[#This Row],[Iout]])/(Table1[[#This Row],[Vin]]+(Rs+Rdson2-Rdson1)*Table1[[#This Row],[Iout]])/Fsw,(Vout+(Rdson3+Rdcr)*Table1[[#This Row],[Iin]]-Table1[[#This Row],[Vin]])/(Vout+(Rdson3-Rdson4-Rs)*Table1[[#This Row],[Iin]])/Fsw,t1_Ph_II))</f>
        <v>9.8887101099490483E-7</v>
      </c>
      <c r="N78" s="602">
        <f>CHOOSE(Table1[[#This Row],[Mode Digit]],1/Fsw-Table1[[#This Row],[t1_Ph_II]],1/Fsw-Table1[[#This Row],[t1_Ph_II]],(Vout/Fsw-Table1[[#This Row],[Vin]]*t1_Ph_II)/(Table1[[#This Row],[Vin]]+Vout))</f>
        <v>6.7779565567176183E-7</v>
      </c>
      <c r="O78" s="602">
        <f>1/Fsw-(Table1[[#This Row],[t1_Ph_II]]+Table1[[#This Row],[t2_Ph_I]])</f>
        <v>0</v>
      </c>
      <c r="P7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10.084062416197373</v>
      </c>
      <c r="Q78" s="4">
        <f>CHOOSE(Table1[[#This Row],[Mode Digit]],Table1[[#This Row],[I_0]]+1/Lf*(Table1[[#This Row],[Vin]]-Vout)*Table1[[#This Row],[t1_Ph_II]],Table1[[#This Row],[I_0]]+1/Lf*Table1[[#This Row],[Vin]]*Table1[[#This Row],[t1_Ph_II]],Table1[[#This Row],[I_0]]+(Table1[[#This Row],[Vin]]-Vout)/L*Table1[[#This Row],[t1_Ph_II]])</f>
        <v>13.915937583802629</v>
      </c>
      <c r="R78" s="4">
        <f>CHOOSE(Table1[[#This Row],[Mode Digit]],0,0,Table1[[#This Row],[I_1]]+Table1[[#This Row],[Vin]]/L*Table1[[#This Row],[t2_Ph_I]])</f>
        <v>0</v>
      </c>
      <c r="S78" s="4">
        <f>Fsw*(Table1[[#This Row],[I_0]]*Table1[[#This Row],[t1_Ph_II]]+Table1[[#This Row],[I_1]]*Table1[[#This Row],[t2_Ph_I]]+Table1[[#This Row],[I_2]]*Table1[[#This Row],[t3_Ph_III]])</f>
        <v>11.64239942120498</v>
      </c>
      <c r="T78" s="354">
        <f>MIN(1,CHOOSE(Table1[[#This Row],[Mode Digit]],(Vout+(Rdson2+Rs+Rdcr)*Table1[[#This Row],[Iout]])/(Table1[[#This Row],[Vin]]+(Rs+Rdson2-Rdson1)*Table1[[#This Row],[Iout]]),1,Fsw*Table1[[#This Row],[t2_Ph_I]]+Table1[[#This Row],[t1_Ph_II]]))</f>
        <v>0.59332260659694291</v>
      </c>
      <c r="U78" s="354">
        <f>MIN(1,CHOOSE(Table1[[#This Row],[Mode Digit]],0,(Vout+(Rdson3+Rdcr)*Table1[[#This Row],[Iin]]-Table1[[#This Row],[Vin]])/(Vout+(Rdson3-Rdson4-Rs)*Table1[[#This Row],[Iin]]),Fsw*Table1[[#This Row],[t1_Ph_II]]+Table1[[#This Row],[t3_Ph_III]]))</f>
        <v>0</v>
      </c>
      <c r="V78" s="4">
        <f>MAX(Table1[[#This Row],[I_0]:[I_2]])-MIN(Table1[[#This Row],[I_0]:[I_1]])</f>
        <v>3.831875167605256</v>
      </c>
      <c r="W7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12.050875719562562</v>
      </c>
      <c r="X78" s="354">
        <f>(Table1[[#This Row],[Irms Lf]]^2*Rdcr*(1+Ltc*Ta-Ltc*25))/(1-Table1[[#This Row],[Irms Lf]]^2*Rdcr*Ltc*ThetaCa)</f>
        <v>0.90315487773229564</v>
      </c>
      <c r="Y78" s="354">
        <f>ABS(7.759*10^-3*Fsw^0.9458*(0.00787*Table1[[#This Row],[Ripple Current pk-pk]])^2.304)</f>
        <v>0.71004642299894005</v>
      </c>
      <c r="Z78" s="354">
        <f>Table1[[#This Row],[DCR    Loss]]+Table1[[#This Row],[Core Loss]]</f>
        <v>1.6132013007312356</v>
      </c>
      <c r="AA78" s="4">
        <f>IF(Table1[[#This Row],[Vin]]&gt;Vout, Table1[[#This Row],[Ripple Current pk-pk]]/SQRT(12), SQRT(Table1[[#This Row],[Duty Cycle BOOST Leg]]/(1-Table1[[#This Row],[Duty Cycle BOOST Leg]]))*SQRT(Table1[[#This Row],[Iout]]^2+(Table1[[#This Row],[Ripple Current pk-pk]]^2)/12))</f>
        <v>1.1061670797589684</v>
      </c>
      <c r="AB78" s="354">
        <f>RCoutEsr*Table1[[#This Row],[Irms Cout]]^2</f>
        <v>6.1180280417124202E-3</v>
      </c>
      <c r="AC78" s="354">
        <f>Table1[[#This Row],[Cout ESR Loss]]</f>
        <v>6.1180280417124202E-3</v>
      </c>
      <c r="AD78" s="354">
        <f>IF(Table1[[#This Row],[Vin]]&gt;Vout, SQRT(Table1[[#This Row],[Duty Cycle BUCK Leg]]*(1-Table1[[#This Row],[Duty Cycle BUCK Leg]]))*SQRT(Table1[[#This Row],[Iout]]^2+(Table1[[#This Row],[Ripple Current pk-pk]]^2)/12), Table1[[#This Row],[Ripple Current pk-pk]]/SQRT(12))</f>
        <v>5.9195551526862671</v>
      </c>
      <c r="AE78" s="354">
        <f>RCinEsr*Table1[[#This Row],[Irms Cin]]^2</f>
        <v>7.0082266411389066E-2</v>
      </c>
      <c r="AF78" s="549">
        <f>Table1[[#This Row],[Cin ESR Loss]]</f>
        <v>7.0082266411389066E-2</v>
      </c>
      <c r="AG7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9.2824807147091981</v>
      </c>
      <c r="AH78" s="354">
        <f>Rdson1*Table1[[#This Row],[Irms BuCtrl]]^2</f>
        <v>0.3618906825195824</v>
      </c>
      <c r="AI78" s="354">
        <f>CHOOSE(Table1[[#This Row],[Mode Digit]], (Table1[[#This Row],[Vin]]*Table1[[#This Row],[Iout]]/2)*(Fsw)*(Tr_buck+Tf_buck), 0, (Table1[[#This Row],[Vin]]*Table1[[#This Row],[Avg IL]]/2)*(Fsw/1)*(Tr_buck+Tf_buck))</f>
        <v>2.9546806942816737</v>
      </c>
      <c r="AJ78">
        <f>IF(Table1[[#This Row],[Vin]]&gt;Vout, IF(Table1[[#This Row],[Iout]]&gt;Table1[[#This Row],[Ripple Current pk-pk]]/2,0,ABS(Table1[[#This Row],[Iout]]-Table1[[#This Row],[Ripple Current pk-pk]]/2)*Vsd_Q1*Deadtime*Fsw),0)</f>
        <v>0</v>
      </c>
      <c r="AK78" s="354">
        <f>(Table1[[#This Row],[Dead Time Loss BuCtrl]]+Table1[[#This Row],[Transition Loss BuCtrl]]+Table1[[#This Row],[RDS(on) Loss BuCtrl]]*(1+RdsonTopTc*Ta-RdsonTopTc*25))/(1-Table1[[#This Row],[RDS(on) Loss BuCtrl]]*RdsonTopTc*ThetaJA_Q1)</f>
        <v>3.6320265531838873</v>
      </c>
      <c r="AL78" s="354">
        <f>CHOOSE(Table1[[#This Row],[Mode Digit]],SQRT((Fsw*(Table1[[#This Row],[t2_Ph_I]]+0))*((Table1[[#This Row],[I_0]]*Table1[[#This Row],[I_1]]+((Table1[[#This Row],[I_0]]-Table1[[#This Row],[I_1]])^2)/3))),0,SQRT((Fsw*(Table1[[#This Row],[t3_Ph_III]]+0))*((Table1[[#This Row],[I_0]]*Table1[[#This Row],[I_2]]+((Table1[[#This Row],[I_0]]-Table1[[#This Row],[I_2]])^2)/3))))</f>
        <v>7.6849956011304466</v>
      </c>
      <c r="AM78" s="354">
        <f>Rdson2*Table1[[#This Row],[Irms BuSync]]^2</f>
        <v>0.24804846103545616</v>
      </c>
      <c r="AN7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8" s="354">
        <f>(Table1[[#This Row],[Deadtime Loss BuSync]]+Table1[[#This Row],[RDS(on) Loss BuSync]]*(1+RdsonBotTc*Ta-RdsonBotTc*25))/(1-Table1[[#This Row],[RDS(on) Loss BuSync]]*RdsonBotTc*ThetaJA_Q2)</f>
        <v>0.87766895358326769</v>
      </c>
      <c r="AP78" s="354">
        <f>CHOOSE(Table1[[#This Row],[Mode Digit]],0,SQRT((Fsw*(Table1[[#This Row],[t1_Ph_II]]+0))*((Table1[[#This Row],[I_0]]*Table1[[#This Row],[I_1]]+((Table1[[#This Row],[I_0]]-Table1[[#This Row],[I_1]])^2)/3))),SQRT((Fsw*(Table1[[#This Row],[t2_Ph_I]]+0))*((Table1[[#This Row],[I_1]]*Table1[[#This Row],[I_2]]+((Table1[[#This Row],[I_1]]-Table1[[#This Row],[I_2]])^2)/3))))</f>
        <v>0</v>
      </c>
      <c r="AQ78" s="354">
        <f>Rdson4*Table1[[#This Row],[Irms BoCtlr]]^2</f>
        <v>0</v>
      </c>
      <c r="AR78" s="354">
        <f>CHOOSE(Table1[[#This Row],[Mode Digit]], 0, (Vout*Table1[[#This Row],[Iin]]/2)*(Fsw)*(Tr_boost+Tf_boost), (Vout*Iout/2)*(Fsw/1)*(Tr_boost+Tf_boost))</f>
        <v>0</v>
      </c>
      <c r="AS78">
        <f>IF(Table1[[#This Row],[Vin]]&gt;Vout, 0, IF(Table1[[#This Row],[Iin]]&gt;Table1[[#This Row],[Ripple Current pk-pk]]/2,0,ABS(Table1[[#This Row],[Iin]]-Table1[[#This Row],[Ripple Current pk-pk]]/2)*Vsd_Q4*Deadtime*Fsw))</f>
        <v>0</v>
      </c>
      <c r="AT78" s="354">
        <f>(Table1[[#This Row],[Dead Time Loss BoCtlr]]+Table1[[#This Row],[Transition Loss BoCtlr]]+Table1[[#This Row],[RDS(on) Loss BoCtlr]]*(1+RdsonTopTc*Ta-RdsonTopTc*25))/(1-Table1[[#This Row],[RDS(on) Loss BoCtlr]]*RdsonTopTc*ThetaJA_Q4)</f>
        <v>0</v>
      </c>
      <c r="AU7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12.050875719562562</v>
      </c>
      <c r="AV78" s="354">
        <f>Rdson3*Table1[[#This Row],[Irms BoSync]]^2</f>
        <v>0.60993914355503853</v>
      </c>
      <c r="AW7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8" s="354">
        <f>(Table1[[#This Row],[Deadtime Loss BoSync]]+Table1[[#This Row],[RDS(on) Loss BoSync]]*(1+RdsonBotTc*Ta-RdsonBotTc*25))/(1-Table1[[#This Row],[RDS(on) Loss BoSync]]*RdsonBotTc*ThetaJA_Q3)</f>
        <v>0.7145369111442702</v>
      </c>
      <c r="AY78" s="354">
        <f>CHOOSE(Table1[[#This Row],[Mode Digit]], Rdson3*Table1[[#This Row],[Irms Lf]]^2, Rdson1*Table1[[#This Row],[Irms Lf]]^2, 0)</f>
        <v>0.60993914355503853</v>
      </c>
      <c r="AZ78" s="354">
        <f>CHOOSE(Table1[[#This Row],[Mode Digit]], 2*Deadtime*Fsw*IF(VfdSky_Q2&gt;0,VfdSky_Q2,0)*Table1[[#This Row],[Iout]], 2*Deadtime*Fsw*IF(VfdSky_Q3&gt;0,VfdSky_Q3,0)*Table1[[#This Row],[Iin]], 2*Deadtime*Fsw*IF(VfdSky_Q2&gt;0,VfdSky_Q2,0)*Table1[[#This Row],[Iout]]+2*Deadtime*Fsw*IF(VfdSky_Q3&gt;0,VfdSky_Q3,0)*Table1[[#This Row],[Iin]])</f>
        <v>0</v>
      </c>
      <c r="BA78" s="354">
        <f>CHOOSE(Table1[[#This Row],[Mode Digit]], IF(QrrSky_Q2&gt;0,QrrSky_Q2,Qrr_Q2)*Fsw*(Table1[[#This Row],[Vin]]-Table1[[#This Row],[Iout]]*Rdson1),0,  IF(QrrSky_Q2&gt;0,QrrSky_Q2,Qrr_Q2)*Fsw*(Table1[[#This Row],[Vin]]-Table1[[#This Row],[Iout]]*Rdson1)+IF(QrrSky_Q3&gt;0,QrrSky_Q3,Qrr_Q3)*Fsw*Vout)</f>
        <v>0.29735519999999999</v>
      </c>
      <c r="BB78" s="354">
        <f>CHOOSE(Table1[[#This Row],[Mode Digit]],0, IF(QrrSky_Q3&gt;0,QrrSky_Q3,Qrr_Q3)*Fsw*Vout,  IF(QrrSky_Q2&gt;0,QrrSky_Q2,Qrr_Q2)*Fsw*(Table1[[#This Row],[Vin]]-Table1[[#This Row],[Iout]]*Rdson1)+IF(QrrSky_Q3&gt;0,QrrSky_Q3,Qrr_Q3)*Fsw*Vout)</f>
        <v>0</v>
      </c>
      <c r="BC78" s="354">
        <f>CHOOSE(Table1[[#This Row],[Mode Digit]], Rs*Table1[[#This Row],[Irms BuSync]]^2, Rs*Table1[[#This Row],[Irms BoCtlr]]^2, Rs*(Table1[[#This Row],[Irms BuSync]]^2+Table1[[#This Row],[Irms BoCtlr]]^2))</f>
        <v>0.14764789347348578</v>
      </c>
      <c r="BD78" s="354">
        <f t="shared" si="5"/>
        <v>1.44</v>
      </c>
      <c r="BE78" s="354">
        <f>IF(Vout&gt;8, Iq*Vout, Iq*Table1[[#This Row],[Vin]])</f>
        <v>4.3799999999999999E-2</v>
      </c>
      <c r="BF78" s="354">
        <f>CHOOSE(Table1[[#This Row],[Mode Digit]], (Qg_Q1+Qg_Q2)*Fsw, (Qg_Q3+Qg_Q4)*Fsw, (Qg_Q1+Qg_Q2+Qg_Q3+Qg_Q4)*Fsw)*IF(Vout&gt;8, Vout, Table1[[#This Row],[Vin]])</f>
        <v>0.47303999999999996</v>
      </c>
      <c r="BG78" s="354">
        <f t="shared" si="6"/>
        <v>0.57269042016806726</v>
      </c>
      <c r="BH78" s="354">
        <f>Table1[[#This Row],[IQ Loss]]+Table1[[#This Row],[Switching Current Loss]]</f>
        <v>0.51683999999999997</v>
      </c>
      <c r="BI7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9.3154771065692472</v>
      </c>
      <c r="BJ78">
        <f>Vout*Table1[[#This Row],[Iout]]</f>
        <v>175.2</v>
      </c>
      <c r="BK78" s="550">
        <f>Table1[[#This Row],[Pout]]/(Table1[[#This Row],[Pout]]+Table1[[#This Row],[Total Loss]])</f>
        <v>0.94951384429833519</v>
      </c>
      <c r="BL7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217.92159319103325</v>
      </c>
      <c r="BM78" s="559">
        <f>IF(Table1[[#This Row],[Vin]]&gt;Vout, Table1[[#This Row],[Total Sync Bu MOSFET Loss]]*ThetaJA_Q2, ThetaJA_Q3*Table1[[#This Row],[Total Sync Bo MOSFET Loss]])</f>
        <v>52.660137214996062</v>
      </c>
      <c r="BN78" s="9"/>
      <c r="BO78" s="4">
        <f>Table1[[#This Row],[EFF, h]]*100</f>
        <v>94.951384429833524</v>
      </c>
      <c r="BP78" s="354">
        <f>Table1[[#This Row],[Total Inductor Loss]]</f>
        <v>1.6132013007312356</v>
      </c>
      <c r="BQ78" s="354">
        <f>Table1[[#This Row],[Total Control Bu MOSFET Loss]]+Table1[[#This Row],[Total Sync Bu MOSFET Loss]]+Table1[[#This Row],[Total Control Bo MOSFET Loss]]+Table1[[#This Row],[Total Sync Bo MOSFET Loss]]+Table1[[#This Row],[Reverse Recovery Loss MOSFET D BUCK]]+Table1[[#This Row],[Reverse Recovery Loss MOSFET D BOOST]]</f>
        <v>5.5215876179114254</v>
      </c>
      <c r="BR78" s="354">
        <f>Table1[[#This Row],[Total Control Bu MOSFET Loss]]+Table1[[#This Row],[Reverse Recovery Loss MOSFET D BUCK]]*0.66</f>
        <v>3.8282809851838873</v>
      </c>
      <c r="BS78" s="354">
        <f>Table1[[#This Row],[Total Sync Bu MOSFET Loss]]+Table1[[#This Row],[Reverse Recovery Loss MOSFET D BUCK]]*0.33</f>
        <v>0.97579616958326765</v>
      </c>
      <c r="BT78" s="354">
        <f xml:space="preserve"> Table1[[#This Row],[Total Control Bo MOSFET Loss]]+Table1[[#This Row],[Reverse Recovery Loss MOSFET D BOOST]]*0.66</f>
        <v>0</v>
      </c>
      <c r="BU78" s="354">
        <f xml:space="preserve"> Table1[[#This Row],[Total Sync Bo MOSFET Loss]]+Table1[[#This Row],[Reverse Recovery Loss MOSFET D BOOST]]*0.33</f>
        <v>0.7145369111442702</v>
      </c>
      <c r="BV78" s="354">
        <f>Table1[[#This Row],[Isense Shunt Loss]]</f>
        <v>0.14764789347348578</v>
      </c>
      <c r="CB78" s="18"/>
      <c r="CC78" s="19"/>
    </row>
    <row r="79" spans="1:81" x14ac:dyDescent="0.2">
      <c r="A79" s="34" t="s">
        <v>244</v>
      </c>
      <c r="B79" s="76" t="e">
        <f>C79/Vin</f>
        <v>#NAME?</v>
      </c>
      <c r="C79" s="21" t="e">
        <f>Deadtime*Fsw*(Iripple_Vinnom/2)*(VsdTop+VsdBot)</f>
        <v>#NAME?</v>
      </c>
      <c r="G79">
        <v>70</v>
      </c>
      <c r="H79" s="555">
        <f>VIN_min+(VIN_max-VIN_min)*(Table1[[#This Row],[Step]]/200)</f>
        <v>24.9</v>
      </c>
      <c r="I79" s="4" t="str">
        <f>IF(Mode = 2,IF(Table1[[#This Row],[Vin]]&gt;Vout, "BUCK","BOOST"),IF(Table1[[#This Row],[Vin]]&gt;VIN_BB_to_buck, "BUCK", IF(Table1[[#This Row],[Vin]]&lt;=VIN_boost_to_BB,"BOOST","BUCK-BST")))</f>
        <v>BUCK</v>
      </c>
      <c r="J79">
        <f>IF(Table1[[#This Row],[Mode]]="BOOST",2, IF(Table1[[#This Row],[Mode]]="BUCK", 1,3))</f>
        <v>1</v>
      </c>
      <c r="K79">
        <f t="shared" si="4"/>
        <v>12</v>
      </c>
      <c r="L79" s="4">
        <f>Vout*Table1[[#This Row],[Iout]]/(Table1[[#This Row],[Vin]]*Efficiency)</f>
        <v>7.4064679771718458</v>
      </c>
      <c r="M79" s="711">
        <f>MIN(1/Fsw,CHOOSE(Table1[[#This Row],[Mode Digit]],(Vout+(Rdson2+Rs+Rdcr)*Table1[[#This Row],[Iout]])/(Table1[[#This Row],[Vin]]+(Rs+Rdson2-Rdson1)*Table1[[#This Row],[Iout]])/Fsw,(Vout+(Rdson3+Rdcr)*Table1[[#This Row],[Iin]]-Table1[[#This Row],[Vin]])/(Vout+(Rdson3-Rdson4-Rs)*Table1[[#This Row],[Iin]])/Fsw,t1_Ph_II))</f>
        <v>9.8609439764674425E-7</v>
      </c>
      <c r="N79" s="602">
        <f>CHOOSE(Table1[[#This Row],[Mode Digit]],1/Fsw-Table1[[#This Row],[t1_Ph_II]],1/Fsw-Table1[[#This Row],[t1_Ph_II]],(Vout/Fsw-Table1[[#This Row],[Vin]]*t1_Ph_II)/(Table1[[#This Row],[Vin]]+Vout))</f>
        <v>6.8057226901992241E-7</v>
      </c>
      <c r="O79" s="602">
        <f>1/Fsw-(Table1[[#This Row],[t1_Ph_II]]+Table1[[#This Row],[t2_Ph_I]])</f>
        <v>0</v>
      </c>
      <c r="P7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10.07636888337851</v>
      </c>
      <c r="Q79" s="4">
        <f>CHOOSE(Table1[[#This Row],[Mode Digit]],Table1[[#This Row],[I_0]]+1/Lf*(Table1[[#This Row],[Vin]]-Vout)*Table1[[#This Row],[t1_Ph_II]],Table1[[#This Row],[I_0]]+1/Lf*Table1[[#This Row],[Vin]]*Table1[[#This Row],[t1_Ph_II]],Table1[[#This Row],[I_0]]+(Table1[[#This Row],[Vin]]-Vout)/L*Table1[[#This Row],[t1_Ph_II]])</f>
        <v>13.92363111662149</v>
      </c>
      <c r="R79" s="4">
        <f>CHOOSE(Table1[[#This Row],[Mode Digit]],0,0,Table1[[#This Row],[I_1]]+Table1[[#This Row],[Vin]]/L*Table1[[#This Row],[t2_Ph_I]])</f>
        <v>0</v>
      </c>
      <c r="S79" s="4">
        <f>Fsw*(Table1[[#This Row],[I_0]]*Table1[[#This Row],[t1_Ph_II]]+Table1[[#This Row],[I_1]]*Table1[[#This Row],[t2_Ph_I]]+Table1[[#This Row],[I_2]]*Table1[[#This Row],[t3_Ph_III]])</f>
        <v>11.647372875934208</v>
      </c>
      <c r="T79" s="354">
        <f>MIN(1,CHOOSE(Table1[[#This Row],[Mode Digit]],(Vout+(Rdson2+Rs+Rdcr)*Table1[[#This Row],[Iout]])/(Table1[[#This Row],[Vin]]+(Rs+Rdson2-Rdson1)*Table1[[#This Row],[Iout]]),1,Fsw*Table1[[#This Row],[t2_Ph_I]]+Table1[[#This Row],[t1_Ph_II]]))</f>
        <v>0.59165663858804651</v>
      </c>
      <c r="U79" s="354">
        <f>MIN(1,CHOOSE(Table1[[#This Row],[Mode Digit]],0,(Vout+(Rdson3+Rdcr)*Table1[[#This Row],[Iin]]-Table1[[#This Row],[Vin]])/(Vout+(Rdson3-Rdson4-Rs)*Table1[[#This Row],[Iin]]),Fsw*Table1[[#This Row],[t1_Ph_II]]+Table1[[#This Row],[t3_Ph_III]]))</f>
        <v>0</v>
      </c>
      <c r="V79" s="4">
        <f>MAX(Table1[[#This Row],[I_0]:[I_2]])-MIN(Table1[[#This Row],[I_0]:[I_1]])</f>
        <v>3.8472622332429793</v>
      </c>
      <c r="W7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12.051284256222576</v>
      </c>
      <c r="X79" s="354">
        <f>(Table1[[#This Row],[Irms Lf]]^2*Rdcr*(1+Ltc*Ta-Ltc*25))/(1-Table1[[#This Row],[Irms Lf]]^2*Rdcr*Ltc*ThetaCa)</f>
        <v>0.90322053928766133</v>
      </c>
      <c r="Y79" s="354">
        <f>ABS(7.759*10^-3*Fsw^0.9458*(0.00787*Table1[[#This Row],[Ripple Current pk-pk]])^2.304)</f>
        <v>0.71663284706823749</v>
      </c>
      <c r="Z79" s="354">
        <f>Table1[[#This Row],[DCR    Loss]]+Table1[[#This Row],[Core Loss]]</f>
        <v>1.6198533863558988</v>
      </c>
      <c r="AA79" s="4">
        <f>IF(Table1[[#This Row],[Vin]]&gt;Vout, Table1[[#This Row],[Ripple Current pk-pk]]/SQRT(12), SQRT(Table1[[#This Row],[Duty Cycle BOOST Leg]]/(1-Table1[[#This Row],[Duty Cycle BOOST Leg]]))*SQRT(Table1[[#This Row],[Iout]]^2+(Table1[[#This Row],[Ripple Current pk-pk]]^2)/12))</f>
        <v>1.1106089430029575</v>
      </c>
      <c r="AB79" s="354">
        <f>RCoutEsr*Table1[[#This Row],[Irms Cout]]^2</f>
        <v>6.1672611213907328E-3</v>
      </c>
      <c r="AC79" s="354">
        <f>Table1[[#This Row],[Cout ESR Loss]]</f>
        <v>6.1672611213907328E-3</v>
      </c>
      <c r="AD79" s="354">
        <f>IF(Table1[[#This Row],[Vin]]&gt;Vout, SQRT(Table1[[#This Row],[Duty Cycle BUCK Leg]]*(1-Table1[[#This Row],[Duty Cycle BUCK Leg]]))*SQRT(Table1[[#This Row],[Iout]]^2+(Table1[[#This Row],[Ripple Current pk-pk]]^2)/12), Table1[[#This Row],[Ripple Current pk-pk]]/SQRT(12))</f>
        <v>5.9235348927374902</v>
      </c>
      <c r="AE79" s="354">
        <f>RCinEsr*Table1[[#This Row],[Irms Cin]]^2</f>
        <v>7.0176531250957103E-2</v>
      </c>
      <c r="AF79" s="549">
        <f>Table1[[#This Row],[Cin ESR Loss]]</f>
        <v>7.0176531250957103E-2</v>
      </c>
      <c r="AG7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9.2697538345715547</v>
      </c>
      <c r="AH79" s="354">
        <f>Rdson1*Table1[[#This Row],[Irms BuCtrl]]^2</f>
        <v>0.36089901184492701</v>
      </c>
      <c r="AI79" s="354">
        <f>CHOOSE(Table1[[#This Row],[Mode Digit]], (Table1[[#This Row],[Vin]]*Table1[[#This Row],[Iout]]/2)*(Fsw)*(Tr_buck+Tf_buck), 0, (Table1[[#This Row],[Vin]]*Table1[[#This Row],[Avg IL]]/2)*(Fsw/1)*(Tr_buck+Tf_buck))</f>
        <v>2.9630104425136392</v>
      </c>
      <c r="AJ79">
        <f>IF(Table1[[#This Row],[Vin]]&gt;Vout, IF(Table1[[#This Row],[Iout]]&gt;Table1[[#This Row],[Ripple Current pk-pk]]/2,0,ABS(Table1[[#This Row],[Iout]]-Table1[[#This Row],[Ripple Current pk-pk]]/2)*Vsd_Q1*Deadtime*Fsw),0)</f>
        <v>0</v>
      </c>
      <c r="AK79" s="354">
        <f>(Table1[[#This Row],[Dead Time Loss BuCtrl]]+Table1[[#This Row],[Transition Loss BuCtrl]]+Table1[[#This Row],[RDS(on) Loss BuCtrl]]*(1+RdsonTopTc*Ta-RdsonTopTc*25))/(1-Table1[[#This Row],[RDS(on) Loss BuCtrl]]*RdsonTopTc*ThetaJA_Q1)</f>
        <v>3.639114098031488</v>
      </c>
      <c r="AL79" s="354">
        <f>CHOOSE(Table1[[#This Row],[Mode Digit]],SQRT((Fsw*(Table1[[#This Row],[t2_Ph_I]]+0))*((Table1[[#This Row],[I_0]]*Table1[[#This Row],[I_1]]+((Table1[[#This Row],[I_0]]-Table1[[#This Row],[I_1]])^2)/3))),0,SQRT((Fsw*(Table1[[#This Row],[t3_Ph_III]]+0))*((Table1[[#This Row],[I_0]]*Table1[[#This Row],[I_2]]+((Table1[[#This Row],[I_0]]-Table1[[#This Row],[I_2]])^2)/3))))</f>
        <v>7.700981500479279</v>
      </c>
      <c r="AM79" s="354">
        <f>Rdson2*Table1[[#This Row],[Irms BuSync]]^2</f>
        <v>0.2490814874970412</v>
      </c>
      <c r="AN7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79" s="354">
        <f>(Table1[[#This Row],[Deadtime Loss BuSync]]+Table1[[#This Row],[RDS(on) Loss BuSync]]*(1+RdsonBotTc*Ta-RdsonBotTc*25))/(1-Table1[[#This Row],[RDS(on) Loss BuSync]]*RdsonBotTc*ThetaJA_Q2)</f>
        <v>0.87899909241586827</v>
      </c>
      <c r="AP79" s="354">
        <f>CHOOSE(Table1[[#This Row],[Mode Digit]],0,SQRT((Fsw*(Table1[[#This Row],[t1_Ph_II]]+0))*((Table1[[#This Row],[I_0]]*Table1[[#This Row],[I_1]]+((Table1[[#This Row],[I_0]]-Table1[[#This Row],[I_1]])^2)/3))),SQRT((Fsw*(Table1[[#This Row],[t2_Ph_I]]+0))*((Table1[[#This Row],[I_1]]*Table1[[#This Row],[I_2]]+((Table1[[#This Row],[I_1]]-Table1[[#This Row],[I_2]])^2)/3))))</f>
        <v>0</v>
      </c>
      <c r="AQ79" s="354">
        <f>Rdson4*Table1[[#This Row],[Irms BoCtlr]]^2</f>
        <v>0</v>
      </c>
      <c r="AR79" s="354">
        <f>CHOOSE(Table1[[#This Row],[Mode Digit]], 0, (Vout*Table1[[#This Row],[Iin]]/2)*(Fsw)*(Tr_boost+Tf_boost), (Vout*Iout/2)*(Fsw/1)*(Tr_boost+Tf_boost))</f>
        <v>0</v>
      </c>
      <c r="AS79">
        <f>IF(Table1[[#This Row],[Vin]]&gt;Vout, 0, IF(Table1[[#This Row],[Iin]]&gt;Table1[[#This Row],[Ripple Current pk-pk]]/2,0,ABS(Table1[[#This Row],[Iin]]-Table1[[#This Row],[Ripple Current pk-pk]]/2)*Vsd_Q4*Deadtime*Fsw))</f>
        <v>0</v>
      </c>
      <c r="AT79" s="354">
        <f>(Table1[[#This Row],[Dead Time Loss BoCtlr]]+Table1[[#This Row],[Transition Loss BoCtlr]]+Table1[[#This Row],[RDS(on) Loss BoCtlr]]*(1+RdsonTopTc*Ta-RdsonTopTc*25))/(1-Table1[[#This Row],[RDS(on) Loss BoCtlr]]*RdsonTopTc*ThetaJA_Q4)</f>
        <v>0</v>
      </c>
      <c r="AU7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12.051284256222576</v>
      </c>
      <c r="AV79" s="354">
        <f>Rdson3*Table1[[#This Row],[Irms BoSync]]^2</f>
        <v>0.60998049934196819</v>
      </c>
      <c r="AW7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79" s="354">
        <f>(Table1[[#This Row],[Deadtime Loss BoSync]]+Table1[[#This Row],[RDS(on) Loss BoSync]]*(1+RdsonBotTc*Ta-RdsonBotTc*25))/(1-Table1[[#This Row],[RDS(on) Loss BoSync]]*RdsonBotTc*ThetaJA_Q3)</f>
        <v>0.71459366791324774</v>
      </c>
      <c r="AY79" s="354">
        <f>CHOOSE(Table1[[#This Row],[Mode Digit]], Rdson3*Table1[[#This Row],[Irms Lf]]^2, Rdson1*Table1[[#This Row],[Irms Lf]]^2, 0)</f>
        <v>0.60998049934196819</v>
      </c>
      <c r="AZ79" s="354">
        <f>CHOOSE(Table1[[#This Row],[Mode Digit]], 2*Deadtime*Fsw*IF(VfdSky_Q2&gt;0,VfdSky_Q2,0)*Table1[[#This Row],[Iout]], 2*Deadtime*Fsw*IF(VfdSky_Q3&gt;0,VfdSky_Q3,0)*Table1[[#This Row],[Iin]], 2*Deadtime*Fsw*IF(VfdSky_Q2&gt;0,VfdSky_Q2,0)*Table1[[#This Row],[Iout]]+2*Deadtime*Fsw*IF(VfdSky_Q3&gt;0,VfdSky_Q3,0)*Table1[[#This Row],[Iin]])</f>
        <v>0</v>
      </c>
      <c r="BA79" s="354">
        <f>CHOOSE(Table1[[#This Row],[Mode Digit]], IF(QrrSky_Q2&gt;0,QrrSky_Q2,Qrr_Q2)*Fsw*(Table1[[#This Row],[Vin]]-Table1[[#This Row],[Iout]]*Rdson1),0,  IF(QrrSky_Q2&gt;0,QrrSky_Q2,Qrr_Q2)*Fsw*(Table1[[#This Row],[Vin]]-Table1[[#This Row],[Iout]]*Rdson1)+IF(QrrSky_Q3&gt;0,QrrSky_Q3,Qrr_Q3)*Fsw*Vout)</f>
        <v>0.29819519999999999</v>
      </c>
      <c r="BB79" s="354">
        <f>CHOOSE(Table1[[#This Row],[Mode Digit]],0, IF(QrrSky_Q3&gt;0,QrrSky_Q3,Qrr_Q3)*Fsw*Vout,  IF(QrrSky_Q2&gt;0,QrrSky_Q2,Qrr_Q2)*Fsw*(Table1[[#This Row],[Vin]]-Table1[[#This Row],[Iout]]*Rdson1)+IF(QrrSky_Q3&gt;0,QrrSky_Q3,Qrr_Q3)*Fsw*Vout)</f>
        <v>0</v>
      </c>
      <c r="BC79" s="354">
        <f>CHOOSE(Table1[[#This Row],[Mode Digit]], Rs*Table1[[#This Row],[Irms BuSync]]^2, Rs*Table1[[#This Row],[Irms BoCtlr]]^2, Rs*(Table1[[#This Row],[Irms BuSync]]^2+Table1[[#This Row],[Irms BoCtlr]]^2))</f>
        <v>0.14826279017681024</v>
      </c>
      <c r="BD79" s="354">
        <f t="shared" si="5"/>
        <v>1.44</v>
      </c>
      <c r="BE79" s="354">
        <f>IF(Vout&gt;8, Iq*Vout, Iq*Table1[[#This Row],[Vin]])</f>
        <v>4.3799999999999999E-2</v>
      </c>
      <c r="BF79" s="354">
        <f>CHOOSE(Table1[[#This Row],[Mode Digit]], (Qg_Q1+Qg_Q2)*Fsw, (Qg_Q3+Qg_Q4)*Fsw, (Qg_Q1+Qg_Q2+Qg_Q3+Qg_Q4)*Fsw)*IF(Vout&gt;8, Vout, Table1[[#This Row],[Vin]])</f>
        <v>0.47303999999999996</v>
      </c>
      <c r="BG79" s="354">
        <f t="shared" si="6"/>
        <v>0.57269042016806726</v>
      </c>
      <c r="BH79" s="354">
        <f>Table1[[#This Row],[IQ Loss]]+Table1[[#This Row],[Switching Current Loss]]</f>
        <v>0.51683999999999997</v>
      </c>
      <c r="BI7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9.3322020272656605</v>
      </c>
      <c r="BJ79">
        <f>Vout*Table1[[#This Row],[Iout]]</f>
        <v>175.2</v>
      </c>
      <c r="BK79" s="550">
        <f>Table1[[#This Row],[Pout]]/(Table1[[#This Row],[Pout]]+Table1[[#This Row],[Total Loss]])</f>
        <v>0.94942778591084731</v>
      </c>
      <c r="BL7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218.34684588188929</v>
      </c>
      <c r="BM79" s="559">
        <f>IF(Table1[[#This Row],[Vin]]&gt;Vout, Table1[[#This Row],[Total Sync Bu MOSFET Loss]]*ThetaJA_Q2, ThetaJA_Q3*Table1[[#This Row],[Total Sync Bo MOSFET Loss]])</f>
        <v>52.739945544952093</v>
      </c>
      <c r="BN79" s="9"/>
      <c r="BO79" s="4">
        <f>Table1[[#This Row],[EFF, h]]*100</f>
        <v>94.942778591084732</v>
      </c>
      <c r="BP79" s="354">
        <f>Table1[[#This Row],[Total Inductor Loss]]</f>
        <v>1.6198533863558988</v>
      </c>
      <c r="BQ79" s="354">
        <f>Table1[[#This Row],[Total Control Bu MOSFET Loss]]+Table1[[#This Row],[Total Sync Bu MOSFET Loss]]+Table1[[#This Row],[Total Control Bo MOSFET Loss]]+Table1[[#This Row],[Total Sync Bo MOSFET Loss]]+Table1[[#This Row],[Reverse Recovery Loss MOSFET D BUCK]]+Table1[[#This Row],[Reverse Recovery Loss MOSFET D BOOST]]</f>
        <v>5.5309020583606046</v>
      </c>
      <c r="BR79" s="354">
        <f>Table1[[#This Row],[Total Control Bu MOSFET Loss]]+Table1[[#This Row],[Reverse Recovery Loss MOSFET D BUCK]]*0.66</f>
        <v>3.8359229300314879</v>
      </c>
      <c r="BS79" s="354">
        <f>Table1[[#This Row],[Total Sync Bu MOSFET Loss]]+Table1[[#This Row],[Reverse Recovery Loss MOSFET D BUCK]]*0.33</f>
        <v>0.97740350841586832</v>
      </c>
      <c r="BT79" s="354">
        <f xml:space="preserve"> Table1[[#This Row],[Total Control Bo MOSFET Loss]]+Table1[[#This Row],[Reverse Recovery Loss MOSFET D BOOST]]*0.66</f>
        <v>0</v>
      </c>
      <c r="BU79" s="354">
        <f xml:space="preserve"> Table1[[#This Row],[Total Sync Bo MOSFET Loss]]+Table1[[#This Row],[Reverse Recovery Loss MOSFET D BOOST]]*0.33</f>
        <v>0.71459366791324774</v>
      </c>
      <c r="BV79" s="354">
        <f>Table1[[#This Row],[Isense Shunt Loss]]</f>
        <v>0.14826279017681024</v>
      </c>
      <c r="CB79" s="18"/>
      <c r="CC79" s="19"/>
    </row>
    <row r="80" spans="1:81" x14ac:dyDescent="0.2">
      <c r="A80" s="34" t="s">
        <v>49</v>
      </c>
      <c r="B80" s="76" t="e">
        <f>SUM(B77:B79)</f>
        <v>#NAME?</v>
      </c>
      <c r="C80" s="21" t="s">
        <v>2</v>
      </c>
      <c r="G80">
        <v>71</v>
      </c>
      <c r="H80" s="555">
        <f>VIN_min+(VIN_max-VIN_min)*(Table1[[#This Row],[Step]]/200)</f>
        <v>24.97</v>
      </c>
      <c r="I80" s="4" t="str">
        <f>IF(Mode = 2,IF(Table1[[#This Row],[Vin]]&gt;Vout, "BUCK","BOOST"),IF(Table1[[#This Row],[Vin]]&gt;VIN_BB_to_buck, "BUCK", IF(Table1[[#This Row],[Vin]]&lt;=VIN_boost_to_BB,"BOOST","BUCK-BST")))</f>
        <v>BUCK</v>
      </c>
      <c r="J80">
        <f>IF(Table1[[#This Row],[Mode]]="BOOST",2, IF(Table1[[#This Row],[Mode]]="BUCK", 1,3))</f>
        <v>1</v>
      </c>
      <c r="K80">
        <f t="shared" si="4"/>
        <v>12</v>
      </c>
      <c r="L80" s="4">
        <f>Vout*Table1[[#This Row],[Iout]]/(Table1[[#This Row],[Vin]]*Efficiency)</f>
        <v>7.3857049512046036</v>
      </c>
      <c r="M80" s="711">
        <f>MIN(1/Fsw,CHOOSE(Table1[[#This Row],[Mode Digit]],(Vout+(Rdson2+Rs+Rdcr)*Table1[[#This Row],[Iout]])/(Table1[[#This Row],[Vin]]+(Rs+Rdson2-Rdson1)*Table1[[#This Row],[Iout]])/Fsw,(Vout+(Rdson3+Rdcr)*Table1[[#This Row],[Iin]]-Table1[[#This Row],[Vin]])/(Vout+(Rdson3-Rdson4-Rs)*Table1[[#This Row],[Iin]])/Fsw,t1_Ph_II))</f>
        <v>9.8333333333333338E-7</v>
      </c>
      <c r="N80" s="602">
        <f>CHOOSE(Table1[[#This Row],[Mode Digit]],1/Fsw-Table1[[#This Row],[t1_Ph_II]],1/Fsw-Table1[[#This Row],[t1_Ph_II]],(Vout/Fsw-Table1[[#This Row],[Vin]]*t1_Ph_II)/(Table1[[#This Row],[Vin]]+Vout))</f>
        <v>6.8333333333333328E-7</v>
      </c>
      <c r="O80" s="602">
        <f>1/Fsw-(Table1[[#This Row],[t1_Ph_II]]+Table1[[#This Row],[t2_Ph_I]])</f>
        <v>0</v>
      </c>
      <c r="P8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10.068718434343435</v>
      </c>
      <c r="Q80" s="4">
        <f>CHOOSE(Table1[[#This Row],[Mode Digit]],Table1[[#This Row],[I_0]]+1/Lf*(Table1[[#This Row],[Vin]]-Vout)*Table1[[#This Row],[t1_Ph_II]],Table1[[#This Row],[I_0]]+1/Lf*Table1[[#This Row],[Vin]]*Table1[[#This Row],[t1_Ph_II]],Table1[[#This Row],[I_0]]+(Table1[[#This Row],[Vin]]-Vout)/L*Table1[[#This Row],[t1_Ph_II]])</f>
        <v>13.931281565656565</v>
      </c>
      <c r="R80" s="4">
        <f>CHOOSE(Table1[[#This Row],[Mode Digit]],0,0,Table1[[#This Row],[I_1]]+Table1[[#This Row],[Vin]]/L*Table1[[#This Row],[t2_Ph_I]])</f>
        <v>0</v>
      </c>
      <c r="S80" s="4">
        <f>Fsw*(Table1[[#This Row],[I_0]]*Table1[[#This Row],[t1_Ph_II]]+Table1[[#This Row],[I_1]]*Table1[[#This Row],[t2_Ph_I]]+Table1[[#This Row],[I_2]]*Table1[[#This Row],[t3_Ph_III]])</f>
        <v>11.652369318181819</v>
      </c>
      <c r="T80" s="354">
        <f>MIN(1,CHOOSE(Table1[[#This Row],[Mode Digit]],(Vout+(Rdson2+Rs+Rdcr)*Table1[[#This Row],[Iout]])/(Table1[[#This Row],[Vin]]+(Rs+Rdson2-Rdson1)*Table1[[#This Row],[Iout]]),1,Fsw*Table1[[#This Row],[t2_Ph_I]]+Table1[[#This Row],[t1_Ph_II]]))</f>
        <v>0.59</v>
      </c>
      <c r="U80" s="354">
        <f>MIN(1,CHOOSE(Table1[[#This Row],[Mode Digit]],0,(Vout+(Rdson3+Rdcr)*Table1[[#This Row],[Iin]]-Table1[[#This Row],[Vin]])/(Vout+(Rdson3-Rdson4-Rs)*Table1[[#This Row],[Iin]]),Fsw*Table1[[#This Row],[t1_Ph_II]]+Table1[[#This Row],[t3_Ph_III]]))</f>
        <v>0</v>
      </c>
      <c r="V80" s="4">
        <f>MAX(Table1[[#This Row],[I_0]:[I_2]])-MIN(Table1[[#This Row],[I_0]:[I_1]])</f>
        <v>3.8625631313131308</v>
      </c>
      <c r="W8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12.051692114745338</v>
      </c>
      <c r="X80" s="354">
        <f>(Table1[[#This Row],[Irms Lf]]^2*Rdcr*(1+Ltc*Ta-Ltc*25))/(1-Table1[[#This Row],[Irms Lf]]^2*Rdcr*Ltc*ThetaCa)</f>
        <v>0.90328609471244281</v>
      </c>
      <c r="Y80" s="354">
        <f>ABS(7.759*10^-3*Fsw^0.9458*(0.00787*Table1[[#This Row],[Ripple Current pk-pk]])^2.304)</f>
        <v>0.72321653845083766</v>
      </c>
      <c r="Z80" s="354">
        <f>Table1[[#This Row],[DCR    Loss]]+Table1[[#This Row],[Core Loss]]</f>
        <v>1.6265026331632804</v>
      </c>
      <c r="AA80" s="4">
        <f>IF(Table1[[#This Row],[Vin]]&gt;Vout, Table1[[#This Row],[Ripple Current pk-pk]]/SQRT(12), SQRT(Table1[[#This Row],[Duty Cycle BOOST Leg]]/(1-Table1[[#This Row],[Duty Cycle BOOST Leg]]))*SQRT(Table1[[#This Row],[Iout]]^2+(Table1[[#This Row],[Ripple Current pk-pk]]^2)/12))</f>
        <v>1.11502593181278</v>
      </c>
      <c r="AB80" s="354">
        <f>RCoutEsr*Table1[[#This Row],[Irms Cout]]^2</f>
        <v>6.2164141430747916E-3</v>
      </c>
      <c r="AC80" s="354">
        <f>Table1[[#This Row],[Cout ESR Loss]]</f>
        <v>6.2164141430747916E-3</v>
      </c>
      <c r="AD80" s="354">
        <f>IF(Table1[[#This Row],[Vin]]&gt;Vout, SQRT(Table1[[#This Row],[Duty Cycle BUCK Leg]]*(1-Table1[[#This Row],[Duty Cycle BUCK Leg]]))*SQRT(Table1[[#This Row],[Iout]]^2+(Table1[[#This Row],[Ripple Current pk-pk]]^2)/12), Table1[[#This Row],[Ripple Current pk-pk]]/SQRT(12))</f>
        <v>5.9274235647743243</v>
      </c>
      <c r="AE80" s="354">
        <f>RCinEsr*Table1[[#This Row],[Irms Cin]]^2</f>
        <v>7.0268700232483924E-2</v>
      </c>
      <c r="AF80" s="549">
        <f>Table1[[#This Row],[Cin ESR Loss]]</f>
        <v>7.0268700232483924E-2</v>
      </c>
      <c r="AG8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9.2570803641797799</v>
      </c>
      <c r="AH80" s="354">
        <f>Rdson1*Table1[[#This Row],[Irms BuCtrl]]^2</f>
        <v>0.35991285484930802</v>
      </c>
      <c r="AI80" s="354">
        <f>CHOOSE(Table1[[#This Row],[Mode Digit]], (Table1[[#This Row],[Vin]]*Table1[[#This Row],[Iout]]/2)*(Fsw)*(Tr_buck+Tf_buck), 0, (Table1[[#This Row],[Vin]]*Table1[[#This Row],[Avg IL]]/2)*(Fsw/1)*(Tr_buck+Tf_buck))</f>
        <v>2.9713401907456056</v>
      </c>
      <c r="AJ80">
        <f>IF(Table1[[#This Row],[Vin]]&gt;Vout, IF(Table1[[#This Row],[Iout]]&gt;Table1[[#This Row],[Ripple Current pk-pk]]/2,0,ABS(Table1[[#This Row],[Iout]]-Table1[[#This Row],[Ripple Current pk-pk]]/2)*Vsd_Q1*Deadtime*Fsw),0)</f>
        <v>0</v>
      </c>
      <c r="AK80" s="354">
        <f>(Table1[[#This Row],[Dead Time Loss BuCtrl]]+Table1[[#This Row],[Transition Loss BuCtrl]]+Table1[[#This Row],[RDS(on) Loss BuCtrl]]*(1+RdsonTopTc*Ta-RdsonTopTc*25))/(1-Table1[[#This Row],[RDS(on) Loss BuCtrl]]*RdsonTopTc*ThetaJA_Q1)</f>
        <v>3.646209266336998</v>
      </c>
      <c r="AL80" s="354">
        <f>CHOOSE(Table1[[#This Row],[Mode Digit]],SQRT((Fsw*(Table1[[#This Row],[t2_Ph_I]]+0))*((Table1[[#This Row],[I_0]]*Table1[[#This Row],[I_1]]+((Table1[[#This Row],[I_0]]-Table1[[#This Row],[I_1]])^2)/3))),0,SQRT((Fsw*(Table1[[#This Row],[t3_Ph_III]]+0))*((Table1[[#This Row],[I_0]]*Table1[[#This Row],[I_2]]+((Table1[[#This Row],[I_0]]-Table1[[#This Row],[I_2]])^2)/3))))</f>
        <v>7.7168481882004212</v>
      </c>
      <c r="AM80" s="354">
        <f>Rdson2*Table1[[#This Row],[Irms BuSync]]^2</f>
        <v>0.25010893303087495</v>
      </c>
      <c r="AN8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0" s="354">
        <f>(Table1[[#This Row],[Deadtime Loss BuSync]]+Table1[[#This Row],[RDS(on) Loss BuSync]]*(1+RdsonBotTc*Ta-RdsonBotTc*25))/(1-Table1[[#This Row],[RDS(on) Loss BuSync]]*RdsonBotTc*ThetaJA_Q2)</f>
        <v>0.88032274116611264</v>
      </c>
      <c r="AP80" s="354">
        <f>CHOOSE(Table1[[#This Row],[Mode Digit]],0,SQRT((Fsw*(Table1[[#This Row],[t1_Ph_II]]+0))*((Table1[[#This Row],[I_0]]*Table1[[#This Row],[I_1]]+((Table1[[#This Row],[I_0]]-Table1[[#This Row],[I_1]])^2)/3))),SQRT((Fsw*(Table1[[#This Row],[t2_Ph_I]]+0))*((Table1[[#This Row],[I_1]]*Table1[[#This Row],[I_2]]+((Table1[[#This Row],[I_1]]-Table1[[#This Row],[I_2]])^2)/3))))</f>
        <v>0</v>
      </c>
      <c r="AQ80" s="354">
        <f>Rdson4*Table1[[#This Row],[Irms BoCtlr]]^2</f>
        <v>0</v>
      </c>
      <c r="AR80" s="354">
        <f>CHOOSE(Table1[[#This Row],[Mode Digit]], 0, (Vout*Table1[[#This Row],[Iin]]/2)*(Fsw)*(Tr_boost+Tf_boost), (Vout*Iout/2)*(Fsw/1)*(Tr_boost+Tf_boost))</f>
        <v>0</v>
      </c>
      <c r="AS80">
        <f>IF(Table1[[#This Row],[Vin]]&gt;Vout, 0, IF(Table1[[#This Row],[Iin]]&gt;Table1[[#This Row],[Ripple Current pk-pk]]/2,0,ABS(Table1[[#This Row],[Iin]]-Table1[[#This Row],[Ripple Current pk-pk]]/2)*Vsd_Q4*Deadtime*Fsw))</f>
        <v>0</v>
      </c>
      <c r="AT80" s="354">
        <f>(Table1[[#This Row],[Dead Time Loss BoCtlr]]+Table1[[#This Row],[Transition Loss BoCtlr]]+Table1[[#This Row],[RDS(on) Loss BoCtlr]]*(1+RdsonTopTc*Ta-RdsonTopTc*25))/(1-Table1[[#This Row],[RDS(on) Loss BoCtlr]]*RdsonTopTc*ThetaJA_Q4)</f>
        <v>0</v>
      </c>
      <c r="AU8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12.051692114745338</v>
      </c>
      <c r="AV80" s="354">
        <f>Rdson3*Table1[[#This Row],[Irms BoSync]]^2</f>
        <v>0.61002178788018291</v>
      </c>
      <c r="AW8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0" s="354">
        <f>(Table1[[#This Row],[Deadtime Loss BoSync]]+Table1[[#This Row],[RDS(on) Loss BoSync]]*(1+RdsonBotTc*Ta-RdsonBotTc*25))/(1-Table1[[#This Row],[RDS(on) Loss BoSync]]*RdsonBotTc*ThetaJA_Q3)</f>
        <v>0.714650333706637</v>
      </c>
      <c r="AY80" s="354">
        <f>CHOOSE(Table1[[#This Row],[Mode Digit]], Rdson3*Table1[[#This Row],[Irms Lf]]^2, Rdson1*Table1[[#This Row],[Irms Lf]]^2, 0)</f>
        <v>0.61002178788018291</v>
      </c>
      <c r="AZ80" s="354">
        <f>CHOOSE(Table1[[#This Row],[Mode Digit]], 2*Deadtime*Fsw*IF(VfdSky_Q2&gt;0,VfdSky_Q2,0)*Table1[[#This Row],[Iout]], 2*Deadtime*Fsw*IF(VfdSky_Q3&gt;0,VfdSky_Q3,0)*Table1[[#This Row],[Iin]], 2*Deadtime*Fsw*IF(VfdSky_Q2&gt;0,VfdSky_Q2,0)*Table1[[#This Row],[Iout]]+2*Deadtime*Fsw*IF(VfdSky_Q3&gt;0,VfdSky_Q3,0)*Table1[[#This Row],[Iin]])</f>
        <v>0</v>
      </c>
      <c r="BA80" s="354">
        <f>CHOOSE(Table1[[#This Row],[Mode Digit]], IF(QrrSky_Q2&gt;0,QrrSky_Q2,Qrr_Q2)*Fsw*(Table1[[#This Row],[Vin]]-Table1[[#This Row],[Iout]]*Rdson1),0,  IF(QrrSky_Q2&gt;0,QrrSky_Q2,Qrr_Q2)*Fsw*(Table1[[#This Row],[Vin]]-Table1[[#This Row],[Iout]]*Rdson1)+IF(QrrSky_Q3&gt;0,QrrSky_Q3,Qrr_Q3)*Fsw*Vout)</f>
        <v>0.2990352</v>
      </c>
      <c r="BB80" s="354">
        <f>CHOOSE(Table1[[#This Row],[Mode Digit]],0, IF(QrrSky_Q3&gt;0,QrrSky_Q3,Qrr_Q3)*Fsw*Vout,  IF(QrrSky_Q2&gt;0,QrrSky_Q2,Qrr_Q2)*Fsw*(Table1[[#This Row],[Vin]]-Table1[[#This Row],[Iout]]*Rdson1)+IF(QrrSky_Q3&gt;0,QrrSky_Q3,Qrr_Q3)*Fsw*Vout)</f>
        <v>0</v>
      </c>
      <c r="BC80" s="354">
        <f>CHOOSE(Table1[[#This Row],[Mode Digit]], Rs*Table1[[#This Row],[Irms BuSync]]^2, Rs*Table1[[#This Row],[Irms BoCtlr]]^2, Rs*(Table1[[#This Row],[Irms BuSync]]^2+Table1[[#This Row],[Irms BoCtlr]]^2))</f>
        <v>0.14887436489933031</v>
      </c>
      <c r="BD80" s="354">
        <f t="shared" si="5"/>
        <v>1.44</v>
      </c>
      <c r="BE80" s="354">
        <f>IF(Vout&gt;8, Iq*Vout, Iq*Table1[[#This Row],[Vin]])</f>
        <v>4.3799999999999999E-2</v>
      </c>
      <c r="BF80" s="354">
        <f>CHOOSE(Table1[[#This Row],[Mode Digit]], (Qg_Q1+Qg_Q2)*Fsw, (Qg_Q3+Qg_Q4)*Fsw, (Qg_Q1+Qg_Q2+Qg_Q3+Qg_Q4)*Fsw)*IF(Vout&gt;8, Vout, Table1[[#This Row],[Vin]])</f>
        <v>0.47303999999999996</v>
      </c>
      <c r="BG80" s="354">
        <f t="shared" si="6"/>
        <v>0.57269042016806726</v>
      </c>
      <c r="BH80" s="354">
        <f>Table1[[#This Row],[IQ Loss]]+Table1[[#This Row],[Switching Current Loss]]</f>
        <v>0.51683999999999997</v>
      </c>
      <c r="BI8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9.3489196536479184</v>
      </c>
      <c r="BJ80">
        <f>Vout*Table1[[#This Row],[Iout]]</f>
        <v>175.2</v>
      </c>
      <c r="BK80" s="550">
        <f>Table1[[#This Row],[Pout]]/(Table1[[#This Row],[Pout]]+Table1[[#This Row],[Total Loss]])</f>
        <v>0.9493417806444302</v>
      </c>
      <c r="BL8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218.77255598021989</v>
      </c>
      <c r="BM80" s="559">
        <f>IF(Table1[[#This Row],[Vin]]&gt;Vout, Table1[[#This Row],[Total Sync Bu MOSFET Loss]]*ThetaJA_Q2, ThetaJA_Q3*Table1[[#This Row],[Total Sync Bo MOSFET Loss]])</f>
        <v>52.819364469966757</v>
      </c>
      <c r="BN80" s="9"/>
      <c r="BO80" s="4">
        <f>Table1[[#This Row],[EFF, h]]*100</f>
        <v>94.934178064443017</v>
      </c>
      <c r="BP80" s="354">
        <f>Table1[[#This Row],[Total Inductor Loss]]</f>
        <v>1.6265026331632804</v>
      </c>
      <c r="BQ80" s="354">
        <f>Table1[[#This Row],[Total Control Bu MOSFET Loss]]+Table1[[#This Row],[Total Sync Bu MOSFET Loss]]+Table1[[#This Row],[Total Control Bo MOSFET Loss]]+Table1[[#This Row],[Total Sync Bo MOSFET Loss]]+Table1[[#This Row],[Reverse Recovery Loss MOSFET D BUCK]]+Table1[[#This Row],[Reverse Recovery Loss MOSFET D BOOST]]</f>
        <v>5.5402175412097474</v>
      </c>
      <c r="BR80" s="354">
        <f>Table1[[#This Row],[Total Control Bu MOSFET Loss]]+Table1[[#This Row],[Reverse Recovery Loss MOSFET D BUCK]]*0.66</f>
        <v>3.8435724983369979</v>
      </c>
      <c r="BS80" s="354">
        <f>Table1[[#This Row],[Total Sync Bu MOSFET Loss]]+Table1[[#This Row],[Reverse Recovery Loss MOSFET D BUCK]]*0.33</f>
        <v>0.97900435716611267</v>
      </c>
      <c r="BT80" s="354">
        <f xml:space="preserve"> Table1[[#This Row],[Total Control Bo MOSFET Loss]]+Table1[[#This Row],[Reverse Recovery Loss MOSFET D BOOST]]*0.66</f>
        <v>0</v>
      </c>
      <c r="BU80" s="354">
        <f xml:space="preserve"> Table1[[#This Row],[Total Sync Bo MOSFET Loss]]+Table1[[#This Row],[Reverse Recovery Loss MOSFET D BOOST]]*0.33</f>
        <v>0.714650333706637</v>
      </c>
      <c r="BV80" s="354">
        <f>Table1[[#This Row],[Isense Shunt Loss]]</f>
        <v>0.14887436489933031</v>
      </c>
      <c r="CB80" s="18"/>
      <c r="CC80" s="19"/>
    </row>
    <row r="81" spans="1:81" x14ac:dyDescent="0.2">
      <c r="A81" s="2"/>
      <c r="G81">
        <v>72</v>
      </c>
      <c r="H81" s="555">
        <f>VIN_min+(VIN_max-VIN_min)*(Table1[[#This Row],[Step]]/200)</f>
        <v>25.04</v>
      </c>
      <c r="I81" s="4" t="str">
        <f>IF(Mode = 2,IF(Table1[[#This Row],[Vin]]&gt;Vout, "BUCK","BOOST"),IF(Table1[[#This Row],[Vin]]&gt;VIN_BB_to_buck, "BUCK", IF(Table1[[#This Row],[Vin]]&lt;=VIN_boost_to_BB,"BOOST","BUCK-BST")))</f>
        <v>BUCK</v>
      </c>
      <c r="J81">
        <f>IF(Table1[[#This Row],[Mode]]="BOOST",2, IF(Table1[[#This Row],[Mode]]="BUCK", 1,3))</f>
        <v>1</v>
      </c>
      <c r="K81">
        <f t="shared" si="4"/>
        <v>12</v>
      </c>
      <c r="L81" s="4">
        <f>Vout*Table1[[#This Row],[Iout]]/(Table1[[#This Row],[Vin]]*Efficiency)</f>
        <v>7.3650580124432494</v>
      </c>
      <c r="M81" s="711">
        <f>MIN(1/Fsw,CHOOSE(Table1[[#This Row],[Mode Digit]],(Vout+(Rdson2+Rs+Rdcr)*Table1[[#This Row],[Iout]])/(Table1[[#This Row],[Vin]]+(Rs+Rdson2-Rdson1)*Table1[[#This Row],[Iout]])/Fsw,(Vout+(Rdson3+Rdcr)*Table1[[#This Row],[Iin]]-Table1[[#This Row],[Vin]])/(Vout+(Rdson3-Rdson4-Rs)*Table1[[#This Row],[Iin]])/Fsw,t1_Ph_II))</f>
        <v>9.8058768780747237E-7</v>
      </c>
      <c r="N81" s="602">
        <f>CHOOSE(Table1[[#This Row],[Mode Digit]],1/Fsw-Table1[[#This Row],[t1_Ph_II]],1/Fsw-Table1[[#This Row],[t1_Ph_II]],(Vout/Fsw-Table1[[#This Row],[Vin]]*t1_Ph_II)/(Table1[[#This Row],[Vin]]+Vout))</f>
        <v>6.8607897885919429E-7</v>
      </c>
      <c r="O81" s="602">
        <f>1/Fsw-(Table1[[#This Row],[t1_Ph_II]]+Table1[[#This Row],[t2_Ph_I]])</f>
        <v>0</v>
      </c>
      <c r="P8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10.061110708198861</v>
      </c>
      <c r="Q81" s="4">
        <f>CHOOSE(Table1[[#This Row],[Mode Digit]],Table1[[#This Row],[I_0]]+1/Lf*(Table1[[#This Row],[Vin]]-Vout)*Table1[[#This Row],[t1_Ph_II]],Table1[[#This Row],[I_0]]+1/Lf*Table1[[#This Row],[Vin]]*Table1[[#This Row],[t1_Ph_II]],Table1[[#This Row],[I_0]]+(Table1[[#This Row],[Vin]]-Vout)/L*Table1[[#This Row],[t1_Ph_II]])</f>
        <v>13.938889291801138</v>
      </c>
      <c r="R81" s="4">
        <f>CHOOSE(Table1[[#This Row],[Mode Digit]],0,0,Table1[[#This Row],[I_1]]+Table1[[#This Row],[Vin]]/L*Table1[[#This Row],[t2_Ph_I]])</f>
        <v>0</v>
      </c>
      <c r="S81" s="4">
        <f>Fsw*(Table1[[#This Row],[I_0]]*Table1[[#This Row],[t1_Ph_II]]+Table1[[#This Row],[I_1]]*Table1[[#This Row],[t2_Ph_I]]+Table1[[#This Row],[I_2]]*Table1[[#This Row],[t3_Ph_III]])</f>
        <v>11.657388130726803</v>
      </c>
      <c r="T81" s="354">
        <f>MIN(1,CHOOSE(Table1[[#This Row],[Mode Digit]],(Vout+(Rdson2+Rs+Rdcr)*Table1[[#This Row],[Iout]])/(Table1[[#This Row],[Vin]]+(Rs+Rdson2-Rdson1)*Table1[[#This Row],[Iout]]),1,Fsw*Table1[[#This Row],[t2_Ph_I]]+Table1[[#This Row],[t1_Ph_II]]))</f>
        <v>0.58835261268448347</v>
      </c>
      <c r="U81" s="354">
        <f>MIN(1,CHOOSE(Table1[[#This Row],[Mode Digit]],0,(Vout+(Rdson3+Rdcr)*Table1[[#This Row],[Iin]]-Table1[[#This Row],[Vin]])/(Vout+(Rdson3-Rdson4-Rs)*Table1[[#This Row],[Iin]]),Fsw*Table1[[#This Row],[t1_Ph_II]]+Table1[[#This Row],[t3_Ph_III]]))</f>
        <v>0</v>
      </c>
      <c r="V81" s="4">
        <f>MAX(Table1[[#This Row],[I_0]:[I_2]])-MIN(Table1[[#This Row],[I_0]:[I_1]])</f>
        <v>3.8777785836022769</v>
      </c>
      <c r="W8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12.052099287203884</v>
      </c>
      <c r="X81" s="354">
        <f>(Table1[[#This Row],[Irms Lf]]^2*Rdcr*(1+Ltc*Ta-Ltc*25))/(1-Table1[[#This Row],[Irms Lf]]^2*Rdcr*Ltc*ThetaCa)</f>
        <v>0.9033515427182589</v>
      </c>
      <c r="Y81" s="354">
        <f>ABS(7.759*10^-3*Fsw^0.9458*(0.00787*Table1[[#This Row],[Ripple Current pk-pk]])^2.304)</f>
        <v>0.72979727554078666</v>
      </c>
      <c r="Z81" s="354">
        <f>Table1[[#This Row],[DCR    Loss]]+Table1[[#This Row],[Core Loss]]</f>
        <v>1.6331488182590457</v>
      </c>
      <c r="AA81" s="4">
        <f>IF(Table1[[#This Row],[Vin]]&gt;Vout, Table1[[#This Row],[Ripple Current pk-pk]]/SQRT(12), SQRT(Table1[[#This Row],[Duty Cycle BOOST Leg]]/(1-Table1[[#This Row],[Duty Cycle BOOST Leg]]))*SQRT(Table1[[#This Row],[Iout]]^2+(Table1[[#This Row],[Ripple Current pk-pk]]^2)/12))</f>
        <v>1.1194182545502702</v>
      </c>
      <c r="AB81" s="354">
        <f>RCoutEsr*Table1[[#This Row],[Irms Cout]]^2</f>
        <v>6.2654861431018687E-3</v>
      </c>
      <c r="AC81" s="354">
        <f>Table1[[#This Row],[Cout ESR Loss]]</f>
        <v>6.2654861431018687E-3</v>
      </c>
      <c r="AD81" s="354">
        <f>IF(Table1[[#This Row],[Vin]]&gt;Vout, SQRT(Table1[[#This Row],[Duty Cycle BUCK Leg]]*(1-Table1[[#This Row],[Duty Cycle BUCK Leg]]))*SQRT(Table1[[#This Row],[Iout]]^2+(Table1[[#This Row],[Ripple Current pk-pk]]^2)/12), Table1[[#This Row],[Ripple Current pk-pk]]/SQRT(12))</f>
        <v>5.9312226293733694</v>
      </c>
      <c r="AE81" s="354">
        <f>RCinEsr*Table1[[#This Row],[Irms Cin]]^2</f>
        <v>7.0358803758381494E-2</v>
      </c>
      <c r="AF81" s="549">
        <f>Table1[[#This Row],[Cin ESR Loss]]</f>
        <v>7.0358803758381494E-2</v>
      </c>
      <c r="AG8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9.2444599222978994</v>
      </c>
      <c r="AH81" s="354">
        <f>Rdson1*Table1[[#This Row],[Irms BuCtrl]]^2</f>
        <v>0.35893216487088281</v>
      </c>
      <c r="AI81" s="354">
        <f>CHOOSE(Table1[[#This Row],[Mode Digit]], (Table1[[#This Row],[Vin]]*Table1[[#This Row],[Iout]]/2)*(Fsw)*(Tr_buck+Tf_buck), 0, (Table1[[#This Row],[Vin]]*Table1[[#This Row],[Avg IL]]/2)*(Fsw/1)*(Tr_buck+Tf_buck))</f>
        <v>2.9796699389775716</v>
      </c>
      <c r="AJ81">
        <f>IF(Table1[[#This Row],[Vin]]&gt;Vout, IF(Table1[[#This Row],[Iout]]&gt;Table1[[#This Row],[Ripple Current pk-pk]]/2,0,ABS(Table1[[#This Row],[Iout]]-Table1[[#This Row],[Ripple Current pk-pk]]/2)*Vsd_Q1*Deadtime*Fsw),0)</f>
        <v>0</v>
      </c>
      <c r="AK81" s="354">
        <f>(Table1[[#This Row],[Dead Time Loss BuCtrl]]+Table1[[#This Row],[Transition Loss BuCtrl]]+Table1[[#This Row],[RDS(on) Loss BuCtrl]]*(1+RdsonTopTc*Ta-RdsonTopTc*25))/(1-Table1[[#This Row],[RDS(on) Loss BuCtrl]]*RdsonTopTc*ThetaJA_Q1)</f>
        <v>3.6533119871692743</v>
      </c>
      <c r="AL81" s="354">
        <f>CHOOSE(Table1[[#This Row],[Mode Digit]],SQRT((Fsw*(Table1[[#This Row],[t2_Ph_I]]+0))*((Table1[[#This Row],[I_0]]*Table1[[#This Row],[I_1]]+((Table1[[#This Row],[I_0]]-Table1[[#This Row],[I_1]])^2)/3))),0,SQRT((Fsw*(Table1[[#This Row],[t3_Ph_III]]+0))*((Table1[[#This Row],[I_0]]*Table1[[#This Row],[I_2]]+((Table1[[#This Row],[I_0]]-Table1[[#This Row],[I_2]])^2)/3))))</f>
        <v>7.7325971040555501</v>
      </c>
      <c r="AM81" s="354">
        <f>Rdson2*Table1[[#This Row],[Irms BuSync]]^2</f>
        <v>0.2511308434893228</v>
      </c>
      <c r="AN8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1" s="354">
        <f>(Table1[[#This Row],[Deadtime Loss BuSync]]+Table1[[#This Row],[RDS(on) Loss BuSync]]*(1+RdsonBotTc*Ta-RdsonBotTc*25))/(1-Table1[[#This Row],[RDS(on) Loss BuSync]]*RdsonBotTc*ThetaJA_Q2)</f>
        <v>0.8816399481825854</v>
      </c>
      <c r="AP81" s="354">
        <f>CHOOSE(Table1[[#This Row],[Mode Digit]],0,SQRT((Fsw*(Table1[[#This Row],[t1_Ph_II]]+0))*((Table1[[#This Row],[I_0]]*Table1[[#This Row],[I_1]]+((Table1[[#This Row],[I_0]]-Table1[[#This Row],[I_1]])^2)/3))),SQRT((Fsw*(Table1[[#This Row],[t2_Ph_I]]+0))*((Table1[[#This Row],[I_1]]*Table1[[#This Row],[I_2]]+((Table1[[#This Row],[I_1]]-Table1[[#This Row],[I_2]])^2)/3))))</f>
        <v>0</v>
      </c>
      <c r="AQ81" s="354">
        <f>Rdson4*Table1[[#This Row],[Irms BoCtlr]]^2</f>
        <v>0</v>
      </c>
      <c r="AR81" s="354">
        <f>CHOOSE(Table1[[#This Row],[Mode Digit]], 0, (Vout*Table1[[#This Row],[Iin]]/2)*(Fsw)*(Tr_boost+Tf_boost), (Vout*Iout/2)*(Fsw/1)*(Tr_boost+Tf_boost))</f>
        <v>0</v>
      </c>
      <c r="AS81">
        <f>IF(Table1[[#This Row],[Vin]]&gt;Vout, 0, IF(Table1[[#This Row],[Iin]]&gt;Table1[[#This Row],[Ripple Current pk-pk]]/2,0,ABS(Table1[[#This Row],[Iin]]-Table1[[#This Row],[Ripple Current pk-pk]]/2)*Vsd_Q4*Deadtime*Fsw))</f>
        <v>0</v>
      </c>
      <c r="AT81" s="354">
        <f>(Table1[[#This Row],[Dead Time Loss BoCtlr]]+Table1[[#This Row],[Transition Loss BoCtlr]]+Table1[[#This Row],[RDS(on) Loss BoCtlr]]*(1+RdsonTopTc*Ta-RdsonTopTc*25))/(1-Table1[[#This Row],[RDS(on) Loss BoCtlr]]*RdsonTopTc*ThetaJA_Q4)</f>
        <v>0</v>
      </c>
      <c r="AU8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12.052099287203884</v>
      </c>
      <c r="AV81" s="354">
        <f>Rdson3*Table1[[#This Row],[Irms BoSync]]^2</f>
        <v>0.61006300836020566</v>
      </c>
      <c r="AW8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1" s="354">
        <f>(Table1[[#This Row],[Deadtime Loss BoSync]]+Table1[[#This Row],[RDS(on) Loss BoSync]]*(1+RdsonBotTc*Ta-RdsonBotTc*25))/(1-Table1[[#This Row],[RDS(on) Loss BoSync]]*RdsonBotTc*ThetaJA_Q3)</f>
        <v>0.71470690740706289</v>
      </c>
      <c r="AY81" s="354">
        <f>CHOOSE(Table1[[#This Row],[Mode Digit]], Rdson3*Table1[[#This Row],[Irms Lf]]^2, Rdson1*Table1[[#This Row],[Irms Lf]]^2, 0)</f>
        <v>0.61006300836020566</v>
      </c>
      <c r="AZ81" s="354">
        <f>CHOOSE(Table1[[#This Row],[Mode Digit]], 2*Deadtime*Fsw*IF(VfdSky_Q2&gt;0,VfdSky_Q2,0)*Table1[[#This Row],[Iout]], 2*Deadtime*Fsw*IF(VfdSky_Q3&gt;0,VfdSky_Q3,0)*Table1[[#This Row],[Iin]], 2*Deadtime*Fsw*IF(VfdSky_Q2&gt;0,VfdSky_Q2,0)*Table1[[#This Row],[Iout]]+2*Deadtime*Fsw*IF(VfdSky_Q3&gt;0,VfdSky_Q3,0)*Table1[[#This Row],[Iin]])</f>
        <v>0</v>
      </c>
      <c r="BA81" s="354">
        <f>CHOOSE(Table1[[#This Row],[Mode Digit]], IF(QrrSky_Q2&gt;0,QrrSky_Q2,Qrr_Q2)*Fsw*(Table1[[#This Row],[Vin]]-Table1[[#This Row],[Iout]]*Rdson1),0,  IF(QrrSky_Q2&gt;0,QrrSky_Q2,Qrr_Q2)*Fsw*(Table1[[#This Row],[Vin]]-Table1[[#This Row],[Iout]]*Rdson1)+IF(QrrSky_Q3&gt;0,QrrSky_Q3,Qrr_Q3)*Fsw*Vout)</f>
        <v>0.29987520000000001</v>
      </c>
      <c r="BB81" s="354">
        <f>CHOOSE(Table1[[#This Row],[Mode Digit]],0, IF(QrrSky_Q3&gt;0,QrrSky_Q3,Qrr_Q3)*Fsw*Vout,  IF(QrrSky_Q2&gt;0,QrrSky_Q2,Qrr_Q2)*Fsw*(Table1[[#This Row],[Vin]]-Table1[[#This Row],[Iout]]*Rdson1)+IF(QrrSky_Q3&gt;0,QrrSky_Q3,Qrr_Q3)*Fsw*Vout)</f>
        <v>0</v>
      </c>
      <c r="BC81" s="354">
        <f>CHOOSE(Table1[[#This Row],[Mode Digit]], Rs*Table1[[#This Row],[Irms BuSync]]^2, Rs*Table1[[#This Row],[Irms BoCtlr]]^2, Rs*(Table1[[#This Row],[Irms BuSync]]^2+Table1[[#This Row],[Irms BoCtlr]]^2))</f>
        <v>0.1494826449341207</v>
      </c>
      <c r="BD81" s="354">
        <f t="shared" si="5"/>
        <v>1.44</v>
      </c>
      <c r="BE81" s="354">
        <f>IF(Vout&gt;8, Iq*Vout, Iq*Table1[[#This Row],[Vin]])</f>
        <v>4.3799999999999999E-2</v>
      </c>
      <c r="BF81" s="354">
        <f>CHOOSE(Table1[[#This Row],[Mode Digit]], (Qg_Q1+Qg_Q2)*Fsw, (Qg_Q3+Qg_Q4)*Fsw, (Qg_Q1+Qg_Q2+Qg_Q3+Qg_Q4)*Fsw)*IF(Vout&gt;8, Vout, Table1[[#This Row],[Vin]])</f>
        <v>0.47303999999999996</v>
      </c>
      <c r="BG81" s="354">
        <f t="shared" si="6"/>
        <v>0.57269042016806726</v>
      </c>
      <c r="BH81" s="354">
        <f>Table1[[#This Row],[IQ Loss]]+Table1[[#This Row],[Switching Current Loss]]</f>
        <v>0.51683999999999997</v>
      </c>
      <c r="BI8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9.3656297958535735</v>
      </c>
      <c r="BJ81">
        <f>Vout*Table1[[#This Row],[Iout]]</f>
        <v>175.2</v>
      </c>
      <c r="BK81" s="550">
        <f>Table1[[#This Row],[Pout]]/(Table1[[#This Row],[Pout]]+Table1[[#This Row],[Total Loss]])</f>
        <v>0.94925582945095022</v>
      </c>
      <c r="BL8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219.19871923015646</v>
      </c>
      <c r="BM81" s="559">
        <f>IF(Table1[[#This Row],[Vin]]&gt;Vout, Table1[[#This Row],[Total Sync Bu MOSFET Loss]]*ThetaJA_Q2, ThetaJA_Q3*Table1[[#This Row],[Total Sync Bo MOSFET Loss]])</f>
        <v>52.898396890955127</v>
      </c>
      <c r="BN81" s="9"/>
      <c r="BO81" s="4">
        <f>Table1[[#This Row],[EFF, h]]*100</f>
        <v>94.925582945095016</v>
      </c>
      <c r="BP81" s="354">
        <f>Table1[[#This Row],[Total Inductor Loss]]</f>
        <v>1.6331488182590457</v>
      </c>
      <c r="BQ81" s="354">
        <f>Table1[[#This Row],[Total Control Bu MOSFET Loss]]+Table1[[#This Row],[Total Sync Bu MOSFET Loss]]+Table1[[#This Row],[Total Control Bo MOSFET Loss]]+Table1[[#This Row],[Total Sync Bo MOSFET Loss]]+Table1[[#This Row],[Reverse Recovery Loss MOSFET D BUCK]]+Table1[[#This Row],[Reverse Recovery Loss MOSFET D BOOST]]</f>
        <v>5.5495340427589221</v>
      </c>
      <c r="BR81" s="354">
        <f>Table1[[#This Row],[Total Control Bu MOSFET Loss]]+Table1[[#This Row],[Reverse Recovery Loss MOSFET D BUCK]]*0.66</f>
        <v>3.8512296191692741</v>
      </c>
      <c r="BS81" s="354">
        <f>Table1[[#This Row],[Total Sync Bu MOSFET Loss]]+Table1[[#This Row],[Reverse Recovery Loss MOSFET D BUCK]]*0.33</f>
        <v>0.9805987641825854</v>
      </c>
      <c r="BT81" s="354">
        <f xml:space="preserve"> Table1[[#This Row],[Total Control Bo MOSFET Loss]]+Table1[[#This Row],[Reverse Recovery Loss MOSFET D BOOST]]*0.66</f>
        <v>0</v>
      </c>
      <c r="BU81" s="354">
        <f xml:space="preserve"> Table1[[#This Row],[Total Sync Bo MOSFET Loss]]+Table1[[#This Row],[Reverse Recovery Loss MOSFET D BOOST]]*0.33</f>
        <v>0.71470690740706289</v>
      </c>
      <c r="BV81" s="354">
        <f>Table1[[#This Row],[Isense Shunt Loss]]</f>
        <v>0.1494826449341207</v>
      </c>
      <c r="CB81" s="18"/>
      <c r="CC81" s="19"/>
    </row>
    <row r="82" spans="1:81" x14ac:dyDescent="0.2">
      <c r="A82" s="2"/>
      <c r="G82">
        <v>73</v>
      </c>
      <c r="H82" s="555">
        <f>VIN_min+(VIN_max-VIN_min)*(Table1[[#This Row],[Step]]/200)</f>
        <v>25.11</v>
      </c>
      <c r="I82" s="4" t="str">
        <f>IF(Mode = 2,IF(Table1[[#This Row],[Vin]]&gt;Vout, "BUCK","BOOST"),IF(Table1[[#This Row],[Vin]]&gt;VIN_BB_to_buck, "BUCK", IF(Table1[[#This Row],[Vin]]&lt;=VIN_boost_to_BB,"BOOST","BUCK-BST")))</f>
        <v>BUCK</v>
      </c>
      <c r="J82">
        <f>IF(Table1[[#This Row],[Mode]]="BOOST",2, IF(Table1[[#This Row],[Mode]]="BUCK", 1,3))</f>
        <v>1</v>
      </c>
      <c r="K82">
        <f t="shared" si="4"/>
        <v>12</v>
      </c>
      <c r="L82" s="4">
        <f>Vout*Table1[[#This Row],[Iout]]/(Table1[[#This Row],[Vin]]*Efficiency)</f>
        <v>7.3445261900270387</v>
      </c>
      <c r="M82" s="711">
        <f>MIN(1/Fsw,CHOOSE(Table1[[#This Row],[Mode Digit]],(Vout+(Rdson2+Rs+Rdcr)*Table1[[#This Row],[Iout]])/(Table1[[#This Row],[Vin]]+(Rs+Rdson2-Rdson1)*Table1[[#This Row],[Iout]])/Fsw,(Vout+(Rdson3+Rdcr)*Table1[[#This Row],[Iin]]-Table1[[#This Row],[Vin]])/(Vout+(Rdson3-Rdson4-Rs)*Table1[[#This Row],[Iin]])/Fsw,t1_Ph_II))</f>
        <v>9.7785733227260676E-7</v>
      </c>
      <c r="N82" s="602">
        <f>CHOOSE(Table1[[#This Row],[Mode Digit]],1/Fsw-Table1[[#This Row],[t1_Ph_II]],1/Fsw-Table1[[#This Row],[t1_Ph_II]],(Vout/Fsw-Table1[[#This Row],[Vin]]*t1_Ph_II)/(Table1[[#This Row],[Vin]]+Vout))</f>
        <v>6.888093343940599E-7</v>
      </c>
      <c r="O82" s="602">
        <f>1/Fsw-(Table1[[#This Row],[t1_Ph_II]]+Table1[[#This Row],[t2_Ph_I]])</f>
        <v>0</v>
      </c>
      <c r="P8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10.053545348071005</v>
      </c>
      <c r="Q82" s="4">
        <f>CHOOSE(Table1[[#This Row],[Mode Digit]],Table1[[#This Row],[I_0]]+1/Lf*(Table1[[#This Row],[Vin]]-Vout)*Table1[[#This Row],[t1_Ph_II]],Table1[[#This Row],[I_0]]+1/Lf*Table1[[#This Row],[Vin]]*Table1[[#This Row],[t1_Ph_II]],Table1[[#This Row],[I_0]]+(Table1[[#This Row],[Vin]]-Vout)/L*Table1[[#This Row],[t1_Ph_II]])</f>
        <v>13.946454651928995</v>
      </c>
      <c r="R82" s="4">
        <f>CHOOSE(Table1[[#This Row],[Mode Digit]],0,0,Table1[[#This Row],[I_1]]+Table1[[#This Row],[Vin]]/L*Table1[[#This Row],[t2_Ph_I]])</f>
        <v>0</v>
      </c>
      <c r="S82" s="4">
        <f>Fsw*(Table1[[#This Row],[I_0]]*Table1[[#This Row],[t1_Ph_II]]+Table1[[#This Row],[I_1]]*Table1[[#This Row],[t2_Ph_I]]+Table1[[#This Row],[I_2]]*Table1[[#This Row],[t3_Ph_III]])</f>
        <v>11.662428707939124</v>
      </c>
      <c r="T82" s="354">
        <f>MIN(1,CHOOSE(Table1[[#This Row],[Mode Digit]],(Vout+(Rdson2+Rs+Rdcr)*Table1[[#This Row],[Iout]])/(Table1[[#This Row],[Vin]]+(Rs+Rdson2-Rdson1)*Table1[[#This Row],[Iout]]),1,Fsw*Table1[[#This Row],[t2_Ph_I]]+Table1[[#This Row],[t1_Ph_II]]))</f>
        <v>0.58671439936356407</v>
      </c>
      <c r="U82" s="354">
        <f>MIN(1,CHOOSE(Table1[[#This Row],[Mode Digit]],0,(Vout+(Rdson3+Rdcr)*Table1[[#This Row],[Iin]]-Table1[[#This Row],[Vin]])/(Vout+(Rdson3-Rdson4-Rs)*Table1[[#This Row],[Iin]]),Fsw*Table1[[#This Row],[t1_Ph_II]]+Table1[[#This Row],[t3_Ph_III]]))</f>
        <v>0</v>
      </c>
      <c r="V82" s="4">
        <f>MAX(Table1[[#This Row],[I_0]:[I_2]])-MIN(Table1[[#This Row],[I_0]:[I_1]])</f>
        <v>3.8929093038579907</v>
      </c>
      <c r="W8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12.052505765911862</v>
      </c>
      <c r="X82" s="354">
        <f>(Table1[[#This Row],[Irms Lf]]^2*Rdcr*(1+Ltc*Ta-Ltc*25))/(1-Table1[[#This Row],[Irms Lf]]^2*Rdcr*Ltc*ThetaCa)</f>
        <v>0.90341688205520809</v>
      </c>
      <c r="Y82" s="354">
        <f>ABS(7.759*10^-3*Fsw^0.9458*(0.00787*Table1[[#This Row],[Ripple Current pk-pk]])^2.304)</f>
        <v>0.7363748413541219</v>
      </c>
      <c r="Z82" s="354">
        <f>Table1[[#This Row],[DCR    Loss]]+Table1[[#This Row],[Core Loss]]</f>
        <v>1.63979172340933</v>
      </c>
      <c r="AA82" s="4">
        <f>IF(Table1[[#This Row],[Vin]]&gt;Vout, Table1[[#This Row],[Ripple Current pk-pk]]/SQRT(12), SQRT(Table1[[#This Row],[Duty Cycle BOOST Leg]]/(1-Table1[[#This Row],[Duty Cycle BOOST Leg]]))*SQRT(Table1[[#This Row],[Iout]]^2+(Table1[[#This Row],[Ripple Current pk-pk]]^2)/12))</f>
        <v>1.1237861172566048</v>
      </c>
      <c r="AB82" s="354">
        <f>RCoutEsr*Table1[[#This Row],[Irms Cout]]^2</f>
        <v>6.3144761866933772E-3</v>
      </c>
      <c r="AC82" s="354">
        <f>Table1[[#This Row],[Cout ESR Loss]]</f>
        <v>6.3144761866933772E-3</v>
      </c>
      <c r="AD82" s="354">
        <f>IF(Table1[[#This Row],[Vin]]&gt;Vout, SQRT(Table1[[#This Row],[Duty Cycle BUCK Leg]]*(1-Table1[[#This Row],[Duty Cycle BUCK Leg]]))*SQRT(Table1[[#This Row],[Iout]]^2+(Table1[[#This Row],[Ripple Current pk-pk]]^2)/12), Table1[[#This Row],[Ripple Current pk-pk]]/SQRT(12))</f>
        <v>5.9349335190065142</v>
      </c>
      <c r="AE82" s="354">
        <f>RCinEsr*Table1[[#This Row],[Irms Cin]]^2</f>
        <v>7.0446871750054083E-2</v>
      </c>
      <c r="AF82" s="549">
        <f>Table1[[#This Row],[Cin ESR Loss]]</f>
        <v>7.0446871750054083E-2</v>
      </c>
      <c r="AG8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9.2318921315723514</v>
      </c>
      <c r="AH82" s="354">
        <f>Rdson1*Table1[[#This Row],[Irms BuCtrl]]^2</f>
        <v>0.3579568957817475</v>
      </c>
      <c r="AI82" s="354">
        <f>CHOOSE(Table1[[#This Row],[Mode Digit]], (Table1[[#This Row],[Vin]]*Table1[[#This Row],[Iout]]/2)*(Fsw)*(Tr_buck+Tf_buck), 0, (Table1[[#This Row],[Vin]]*Table1[[#This Row],[Avg IL]]/2)*(Fsw/1)*(Tr_buck+Tf_buck))</f>
        <v>2.987999687209538</v>
      </c>
      <c r="AJ82">
        <f>IF(Table1[[#This Row],[Vin]]&gt;Vout, IF(Table1[[#This Row],[Iout]]&gt;Table1[[#This Row],[Ripple Current pk-pk]]/2,0,ABS(Table1[[#This Row],[Iout]]-Table1[[#This Row],[Ripple Current pk-pk]]/2)*Vsd_Q1*Deadtime*Fsw),0)</f>
        <v>0</v>
      </c>
      <c r="AK82" s="354">
        <f>(Table1[[#This Row],[Dead Time Loss BuCtrl]]+Table1[[#This Row],[Transition Loss BuCtrl]]+Table1[[#This Row],[RDS(on) Loss BuCtrl]]*(1+RdsonTopTc*Ta-RdsonTopTc*25))/(1-Table1[[#This Row],[RDS(on) Loss BuCtrl]]*RdsonTopTc*ThetaJA_Q1)</f>
        <v>3.6604221904848666</v>
      </c>
      <c r="AL82" s="354">
        <f>CHOOSE(Table1[[#This Row],[Mode Digit]],SQRT((Fsw*(Table1[[#This Row],[t2_Ph_I]]+0))*((Table1[[#This Row],[I_0]]*Table1[[#This Row],[I_1]]+((Table1[[#This Row],[I_0]]-Table1[[#This Row],[I_1]])^2)/3))),0,SQRT((Fsw*(Table1[[#This Row],[t3_Ph_III]]+0))*((Table1[[#This Row],[I_0]]*Table1[[#This Row],[I_2]]+((Table1[[#This Row],[I_0]]-Table1[[#This Row],[I_2]])^2)/3))))</f>
        <v>7.7482296628553273</v>
      </c>
      <c r="AM82" s="354">
        <f>Rdson2*Table1[[#This Row],[Irms BuSync]]^2</f>
        <v>0.252147264215075</v>
      </c>
      <c r="AN8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2" s="354">
        <f>(Table1[[#This Row],[Deadtime Loss BuSync]]+Table1[[#This Row],[RDS(on) Loss BuSync]]*(1+RdsonBotTc*Ta-RdsonBotTc*25))/(1-Table1[[#This Row],[RDS(on) Loss BuSync]]*RdsonBotTc*ThetaJA_Q2)</f>
        <v>0.88295076132354755</v>
      </c>
      <c r="AP82" s="354">
        <f>CHOOSE(Table1[[#This Row],[Mode Digit]],0,SQRT((Fsw*(Table1[[#This Row],[t1_Ph_II]]+0))*((Table1[[#This Row],[I_0]]*Table1[[#This Row],[I_1]]+((Table1[[#This Row],[I_0]]-Table1[[#This Row],[I_1]])^2)/3))),SQRT((Fsw*(Table1[[#This Row],[t2_Ph_I]]+0))*((Table1[[#This Row],[I_1]]*Table1[[#This Row],[I_2]]+((Table1[[#This Row],[I_1]]-Table1[[#This Row],[I_2]])^2)/3))))</f>
        <v>0</v>
      </c>
      <c r="AQ82" s="354">
        <f>Rdson4*Table1[[#This Row],[Irms BoCtlr]]^2</f>
        <v>0</v>
      </c>
      <c r="AR82" s="354">
        <f>CHOOSE(Table1[[#This Row],[Mode Digit]], 0, (Vout*Table1[[#This Row],[Iin]]/2)*(Fsw)*(Tr_boost+Tf_boost), (Vout*Iout/2)*(Fsw/1)*(Tr_boost+Tf_boost))</f>
        <v>0</v>
      </c>
      <c r="AS82">
        <f>IF(Table1[[#This Row],[Vin]]&gt;Vout, 0, IF(Table1[[#This Row],[Iin]]&gt;Table1[[#This Row],[Ripple Current pk-pk]]/2,0,ABS(Table1[[#This Row],[Iin]]-Table1[[#This Row],[Ripple Current pk-pk]]/2)*Vsd_Q4*Deadtime*Fsw))</f>
        <v>0</v>
      </c>
      <c r="AT82" s="354">
        <f>(Table1[[#This Row],[Dead Time Loss BoCtlr]]+Table1[[#This Row],[Transition Loss BoCtlr]]+Table1[[#This Row],[RDS(on) Loss BoCtlr]]*(1+RdsonTopTc*Ta-RdsonTopTc*25))/(1-Table1[[#This Row],[RDS(on) Loss BoCtlr]]*RdsonTopTc*ThetaJA_Q4)</f>
        <v>0</v>
      </c>
      <c r="AU8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12.052505765911862</v>
      </c>
      <c r="AV82" s="354">
        <f>Rdson3*Table1[[#This Row],[Irms BoSync]]^2</f>
        <v>0.61010415999682255</v>
      </c>
      <c r="AW8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2" s="354">
        <f>(Table1[[#This Row],[Deadtime Loss BoSync]]+Table1[[#This Row],[RDS(on) Loss BoSync]]*(1+RdsonBotTc*Ta-RdsonBotTc*25))/(1-Table1[[#This Row],[RDS(on) Loss BoSync]]*RdsonBotTc*ThetaJA_Q3)</f>
        <v>0.71476338793035887</v>
      </c>
      <c r="AY82" s="354">
        <f>CHOOSE(Table1[[#This Row],[Mode Digit]], Rdson3*Table1[[#This Row],[Irms Lf]]^2, Rdson1*Table1[[#This Row],[Irms Lf]]^2, 0)</f>
        <v>0.61010415999682255</v>
      </c>
      <c r="AZ82" s="354">
        <f>CHOOSE(Table1[[#This Row],[Mode Digit]], 2*Deadtime*Fsw*IF(VfdSky_Q2&gt;0,VfdSky_Q2,0)*Table1[[#This Row],[Iout]], 2*Deadtime*Fsw*IF(VfdSky_Q3&gt;0,VfdSky_Q3,0)*Table1[[#This Row],[Iin]], 2*Deadtime*Fsw*IF(VfdSky_Q2&gt;0,VfdSky_Q2,0)*Table1[[#This Row],[Iout]]+2*Deadtime*Fsw*IF(VfdSky_Q3&gt;0,VfdSky_Q3,0)*Table1[[#This Row],[Iin]])</f>
        <v>0</v>
      </c>
      <c r="BA82" s="354">
        <f>CHOOSE(Table1[[#This Row],[Mode Digit]], IF(QrrSky_Q2&gt;0,QrrSky_Q2,Qrr_Q2)*Fsw*(Table1[[#This Row],[Vin]]-Table1[[#This Row],[Iout]]*Rdson1),0,  IF(QrrSky_Q2&gt;0,QrrSky_Q2,Qrr_Q2)*Fsw*(Table1[[#This Row],[Vin]]-Table1[[#This Row],[Iout]]*Rdson1)+IF(QrrSky_Q3&gt;0,QrrSky_Q3,Qrr_Q3)*Fsw*Vout)</f>
        <v>0.30071520000000002</v>
      </c>
      <c r="BB82" s="354">
        <f>CHOOSE(Table1[[#This Row],[Mode Digit]],0, IF(QrrSky_Q3&gt;0,QrrSky_Q3,Qrr_Q3)*Fsw*Vout,  IF(QrrSky_Q2&gt;0,QrrSky_Q2,Qrr_Q2)*Fsw*(Table1[[#This Row],[Vin]]-Table1[[#This Row],[Iout]]*Rdson1)+IF(QrrSky_Q3&gt;0,QrrSky_Q3,Qrr_Q3)*Fsw*Vout)</f>
        <v>0</v>
      </c>
      <c r="BC82" s="354">
        <f>CHOOSE(Table1[[#This Row],[Mode Digit]], Rs*Table1[[#This Row],[Irms BuSync]]^2, Rs*Table1[[#This Row],[Irms BoCtlr]]^2, Rs*(Table1[[#This Row],[Irms BuSync]]^2+Table1[[#This Row],[Irms BoCtlr]]^2))</f>
        <v>0.15008765727087794</v>
      </c>
      <c r="BD82" s="354">
        <f t="shared" si="5"/>
        <v>1.44</v>
      </c>
      <c r="BE82" s="354">
        <f>IF(Vout&gt;8, Iq*Vout, Iq*Table1[[#This Row],[Vin]])</f>
        <v>4.3799999999999999E-2</v>
      </c>
      <c r="BF82" s="354">
        <f>CHOOSE(Table1[[#This Row],[Mode Digit]], (Qg_Q1+Qg_Q2)*Fsw, (Qg_Q3+Qg_Q4)*Fsw, (Qg_Q1+Qg_Q2+Qg_Q3+Qg_Q4)*Fsw)*IF(Vout&gt;8, Vout, Table1[[#This Row],[Vin]])</f>
        <v>0.47303999999999996</v>
      </c>
      <c r="BG82" s="354">
        <f t="shared" si="6"/>
        <v>0.57269042016806726</v>
      </c>
      <c r="BH82" s="354">
        <f>Table1[[#This Row],[IQ Loss]]+Table1[[#This Row],[Switching Current Loss]]</f>
        <v>0.51683999999999997</v>
      </c>
      <c r="BI8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9.3823322683557286</v>
      </c>
      <c r="BJ82">
        <f>Vout*Table1[[#This Row],[Iout]]</f>
        <v>175.2</v>
      </c>
      <c r="BK82" s="550">
        <f>Table1[[#This Row],[Pout]]/(Table1[[#This Row],[Pout]]+Table1[[#This Row],[Total Loss]])</f>
        <v>0.94916993325929377</v>
      </c>
      <c r="BL8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219.625331429092</v>
      </c>
      <c r="BM82" s="559">
        <f>IF(Table1[[#This Row],[Vin]]&gt;Vout, Table1[[#This Row],[Total Sync Bu MOSFET Loss]]*ThetaJA_Q2, ThetaJA_Q3*Table1[[#This Row],[Total Sync Bo MOSFET Loss]])</f>
        <v>52.977045679412853</v>
      </c>
      <c r="BN82" s="9"/>
      <c r="BO82" s="4">
        <f>Table1[[#This Row],[EFF, h]]*100</f>
        <v>94.916993325929383</v>
      </c>
      <c r="BP82" s="354">
        <f>Table1[[#This Row],[Total Inductor Loss]]</f>
        <v>1.63979172340933</v>
      </c>
      <c r="BQ82" s="354">
        <f>Table1[[#This Row],[Total Control Bu MOSFET Loss]]+Table1[[#This Row],[Total Sync Bu MOSFET Loss]]+Table1[[#This Row],[Total Control Bo MOSFET Loss]]+Table1[[#This Row],[Total Sync Bo MOSFET Loss]]+Table1[[#This Row],[Reverse Recovery Loss MOSFET D BUCK]]+Table1[[#This Row],[Reverse Recovery Loss MOSFET D BOOST]]</f>
        <v>5.5588515397387726</v>
      </c>
      <c r="BR82" s="354">
        <f>Table1[[#This Row],[Total Control Bu MOSFET Loss]]+Table1[[#This Row],[Reverse Recovery Loss MOSFET D BUCK]]*0.66</f>
        <v>3.8588942224848668</v>
      </c>
      <c r="BS82" s="354">
        <f>Table1[[#This Row],[Total Sync Bu MOSFET Loss]]+Table1[[#This Row],[Reverse Recovery Loss MOSFET D BUCK]]*0.33</f>
        <v>0.98218677732354753</v>
      </c>
      <c r="BT82" s="354">
        <f xml:space="preserve"> Table1[[#This Row],[Total Control Bo MOSFET Loss]]+Table1[[#This Row],[Reverse Recovery Loss MOSFET D BOOST]]*0.66</f>
        <v>0</v>
      </c>
      <c r="BU82" s="354">
        <f xml:space="preserve"> Table1[[#This Row],[Total Sync Bo MOSFET Loss]]+Table1[[#This Row],[Reverse Recovery Loss MOSFET D BOOST]]*0.33</f>
        <v>0.71476338793035887</v>
      </c>
      <c r="BV82" s="354">
        <f>Table1[[#This Row],[Isense Shunt Loss]]</f>
        <v>0.15008765727087794</v>
      </c>
      <c r="CB82" s="18"/>
      <c r="CC82" s="19"/>
    </row>
    <row r="83" spans="1:81" x14ac:dyDescent="0.2">
      <c r="A83" s="2"/>
      <c r="G83">
        <v>74</v>
      </c>
      <c r="H83" s="555">
        <f>VIN_min+(VIN_max-VIN_min)*(Table1[[#This Row],[Step]]/200)</f>
        <v>25.18</v>
      </c>
      <c r="I83" s="4" t="str">
        <f>IF(Mode = 2,IF(Table1[[#This Row],[Vin]]&gt;Vout, "BUCK","BOOST"),IF(Table1[[#This Row],[Vin]]&gt;VIN_BB_to_buck, "BUCK", IF(Table1[[#This Row],[Vin]]&lt;=VIN_boost_to_BB,"BOOST","BUCK-BST")))</f>
        <v>BUCK</v>
      </c>
      <c r="J83">
        <f>IF(Table1[[#This Row],[Mode]]="BOOST",2, IF(Table1[[#This Row],[Mode]]="BUCK", 1,3))</f>
        <v>1</v>
      </c>
      <c r="K83">
        <f t="shared" si="4"/>
        <v>12</v>
      </c>
      <c r="L83" s="4">
        <f>Vout*Table1[[#This Row],[Iout]]/(Table1[[#This Row],[Vin]]*Efficiency)</f>
        <v>7.324108523891141</v>
      </c>
      <c r="M83" s="711">
        <f>MIN(1/Fsw,CHOOSE(Table1[[#This Row],[Mode Digit]],(Vout+(Rdson2+Rs+Rdcr)*Table1[[#This Row],[Iout]])/(Table1[[#This Row],[Vin]]+(Rs+Rdson2-Rdson1)*Table1[[#This Row],[Iout]])/Fsw,(Vout+(Rdson3+Rdcr)*Table1[[#This Row],[Iin]]-Table1[[#This Row],[Vin]])/(Vout+(Rdson3-Rdson4-Rs)*Table1[[#This Row],[Iin]])/Fsw,t1_Ph_II))</f>
        <v>9.7514213936268666E-7</v>
      </c>
      <c r="N83" s="602">
        <f>CHOOSE(Table1[[#This Row],[Mode Digit]],1/Fsw-Table1[[#This Row],[t1_Ph_II]],1/Fsw-Table1[[#This Row],[t1_Ph_II]],(Vout/Fsw-Table1[[#This Row],[Vin]]*t1_Ph_II)/(Table1[[#This Row],[Vin]]+Vout))</f>
        <v>6.9152452730398001E-7</v>
      </c>
      <c r="O83" s="602">
        <f>1/Fsw-(Table1[[#This Row],[t1_Ph_II]]+Table1[[#This Row],[t2_Ph_I]])</f>
        <v>0</v>
      </c>
      <c r="P8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10.046022001049767</v>
      </c>
      <c r="Q83" s="4">
        <f>CHOOSE(Table1[[#This Row],[Mode Digit]],Table1[[#This Row],[I_0]]+1/Lf*(Table1[[#This Row],[Vin]]-Vout)*Table1[[#This Row],[t1_Ph_II]],Table1[[#This Row],[I_0]]+1/Lf*Table1[[#This Row],[Vin]]*Table1[[#This Row],[t1_Ph_II]],Table1[[#This Row],[I_0]]+(Table1[[#This Row],[Vin]]-Vout)/L*Table1[[#This Row],[t1_Ph_II]])</f>
        <v>13.953977998950231</v>
      </c>
      <c r="R83" s="4">
        <f>CHOOSE(Table1[[#This Row],[Mode Digit]],0,0,Table1[[#This Row],[I_1]]+Table1[[#This Row],[Vin]]/L*Table1[[#This Row],[t2_Ph_I]])</f>
        <v>0</v>
      </c>
      <c r="S83" s="4">
        <f>Fsw*(Table1[[#This Row],[I_0]]*Table1[[#This Row],[t1_Ph_II]]+Table1[[#This Row],[I_1]]*Table1[[#This Row],[t2_Ph_I]]+Table1[[#This Row],[I_2]]*Table1[[#This Row],[t3_Ph_III]])</f>
        <v>11.667490455553491</v>
      </c>
      <c r="T83" s="354">
        <f>MIN(1,CHOOSE(Table1[[#This Row],[Mode Digit]],(Vout+(Rdson2+Rs+Rdcr)*Table1[[#This Row],[Iout]])/(Table1[[#This Row],[Vin]]+(Rs+Rdson2-Rdson1)*Table1[[#This Row],[Iout]]),1,Fsw*Table1[[#This Row],[t2_Ph_I]]+Table1[[#This Row],[t1_Ph_II]]))</f>
        <v>0.58508528361761203</v>
      </c>
      <c r="U83" s="354">
        <f>MIN(1,CHOOSE(Table1[[#This Row],[Mode Digit]],0,(Vout+(Rdson3+Rdcr)*Table1[[#This Row],[Iin]]-Table1[[#This Row],[Vin]])/(Vout+(Rdson3-Rdson4-Rs)*Table1[[#This Row],[Iin]]),Fsw*Table1[[#This Row],[t1_Ph_II]]+Table1[[#This Row],[t3_Ph_III]]))</f>
        <v>0</v>
      </c>
      <c r="V83" s="4">
        <f>MAX(Table1[[#This Row],[I_0]:[I_2]])-MIN(Table1[[#This Row],[I_0]:[I_1]])</f>
        <v>3.9079559979004639</v>
      </c>
      <c r="W8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12.052911543418068</v>
      </c>
      <c r="X83" s="354">
        <f>(Table1[[#This Row],[Irms Lf]]^2*Rdcr*(1+Ltc*Ta-Ltc*25))/(1-Table1[[#This Row],[Irms Lf]]^2*Rdcr*Ltc*ThetaCa)</f>
        <v>0.90348211151099878</v>
      </c>
      <c r="Y83" s="354">
        <f>ABS(7.759*10^-3*Fsw^0.9458*(0.00787*Table1[[#This Row],[Ripple Current pk-pk]])^2.304)</f>
        <v>0.74294902344486846</v>
      </c>
      <c r="Z83" s="354">
        <f>Table1[[#This Row],[DCR    Loss]]+Table1[[#This Row],[Core Loss]]</f>
        <v>1.6464311349558671</v>
      </c>
      <c r="AA83" s="4">
        <f>IF(Table1[[#This Row],[Vin]]&gt;Vout, Table1[[#This Row],[Ripple Current pk-pk]]/SQRT(12), SQRT(Table1[[#This Row],[Duty Cycle BOOST Leg]]/(1-Table1[[#This Row],[Duty Cycle BOOST Leg]]))*SQRT(Table1[[#This Row],[Iout]]^2+(Table1[[#This Row],[Ripple Current pk-pk]]^2)/12))</f>
        <v>1.1281297236845227</v>
      </c>
      <c r="AB83" s="354">
        <f>RCoutEsr*Table1[[#This Row],[Irms Cout]]^2</f>
        <v>6.3633833673025879E-3</v>
      </c>
      <c r="AC83" s="354">
        <f>Table1[[#This Row],[Cout ESR Loss]]</f>
        <v>6.3633833673025879E-3</v>
      </c>
      <c r="AD83" s="354">
        <f>IF(Table1[[#This Row],[Vin]]&gt;Vout, SQRT(Table1[[#This Row],[Duty Cycle BUCK Leg]]*(1-Table1[[#This Row],[Duty Cycle BUCK Leg]]))*SQRT(Table1[[#This Row],[Iout]]^2+(Table1[[#This Row],[Ripple Current pk-pk]]^2)/12), Table1[[#This Row],[Ripple Current pk-pk]]/SQRT(12))</f>
        <v>5.9385576387106918</v>
      </c>
      <c r="AE83" s="354">
        <f>RCinEsr*Table1[[#This Row],[Irms Cin]]^2</f>
        <v>7.0532933656578214E-2</v>
      </c>
      <c r="AF83" s="549">
        <f>Table1[[#This Row],[Cin ESR Loss]]</f>
        <v>7.0532933656578214E-2</v>
      </c>
      <c r="AG8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9.2193766184803021</v>
      </c>
      <c r="AH83" s="354">
        <f>Rdson1*Table1[[#This Row],[Irms BuCtrl]]^2</f>
        <v>0.35698700198020145</v>
      </c>
      <c r="AI83" s="354">
        <f>CHOOSE(Table1[[#This Row],[Mode Digit]], (Table1[[#This Row],[Vin]]*Table1[[#This Row],[Iout]]/2)*(Fsw)*(Tr_buck+Tf_buck), 0, (Table1[[#This Row],[Vin]]*Table1[[#This Row],[Avg IL]]/2)*(Fsw/1)*(Tr_buck+Tf_buck))</f>
        <v>2.9963294354415035</v>
      </c>
      <c r="AJ83">
        <f>IF(Table1[[#This Row],[Vin]]&gt;Vout, IF(Table1[[#This Row],[Iout]]&gt;Table1[[#This Row],[Ripple Current pk-pk]]/2,0,ABS(Table1[[#This Row],[Iout]]-Table1[[#This Row],[Ripple Current pk-pk]]/2)*Vsd_Q1*Deadtime*Fsw),0)</f>
        <v>0</v>
      </c>
      <c r="AK83" s="354">
        <f>(Table1[[#This Row],[Dead Time Loss BuCtrl]]+Table1[[#This Row],[Transition Loss BuCtrl]]+Table1[[#This Row],[RDS(on) Loss BuCtrl]]*(1+RdsonTopTc*Ta-RdsonTopTc*25))/(1-Table1[[#This Row],[RDS(on) Loss BuCtrl]]*RdsonTopTc*ThetaJA_Q1)</f>
        <v>3.667539807114029</v>
      </c>
      <c r="AL83" s="354">
        <f>CHOOSE(Table1[[#This Row],[Mode Digit]],SQRT((Fsw*(Table1[[#This Row],[t2_Ph_I]]+0))*((Table1[[#This Row],[I_0]]*Table1[[#This Row],[I_1]]+((Table1[[#This Row],[I_0]]-Table1[[#This Row],[I_1]])^2)/3))),0,SQRT((Fsw*(Table1[[#This Row],[t3_Ph_III]]+0))*((Table1[[#This Row],[I_0]]*Table1[[#This Row],[I_2]]+((Table1[[#This Row],[I_0]]-Table1[[#This Row],[I_2]])^2)/3))))</f>
        <v>7.7637472550360123</v>
      </c>
      <c r="AM83" s="354">
        <f>Rdson2*Table1[[#This Row],[Irms BuSync]]^2</f>
        <v>0.25315824004833276</v>
      </c>
      <c r="AN8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3" s="354">
        <f>(Table1[[#This Row],[Deadtime Loss BuSync]]+Table1[[#This Row],[RDS(on) Loss BuSync]]*(1+RdsonBotTc*Ta-RdsonBotTc*25))/(1-Table1[[#This Row],[RDS(on) Loss BuSync]]*RdsonBotTc*ThetaJA_Q2)</f>
        <v>0.88425522796329536</v>
      </c>
      <c r="AP83" s="354">
        <f>CHOOSE(Table1[[#This Row],[Mode Digit]],0,SQRT((Fsw*(Table1[[#This Row],[t1_Ph_II]]+0))*((Table1[[#This Row],[I_0]]*Table1[[#This Row],[I_1]]+((Table1[[#This Row],[I_0]]-Table1[[#This Row],[I_1]])^2)/3))),SQRT((Fsw*(Table1[[#This Row],[t2_Ph_I]]+0))*((Table1[[#This Row],[I_1]]*Table1[[#This Row],[I_2]]+((Table1[[#This Row],[I_1]]-Table1[[#This Row],[I_2]])^2)/3))))</f>
        <v>0</v>
      </c>
      <c r="AQ83" s="354">
        <f>Rdson4*Table1[[#This Row],[Irms BoCtlr]]^2</f>
        <v>0</v>
      </c>
      <c r="AR83" s="354">
        <f>CHOOSE(Table1[[#This Row],[Mode Digit]], 0, (Vout*Table1[[#This Row],[Iin]]/2)*(Fsw)*(Tr_boost+Tf_boost), (Vout*Iout/2)*(Fsw/1)*(Tr_boost+Tf_boost))</f>
        <v>0</v>
      </c>
      <c r="AS83">
        <f>IF(Table1[[#This Row],[Vin]]&gt;Vout, 0, IF(Table1[[#This Row],[Iin]]&gt;Table1[[#This Row],[Ripple Current pk-pk]]/2,0,ABS(Table1[[#This Row],[Iin]]-Table1[[#This Row],[Ripple Current pk-pk]]/2)*Vsd_Q4*Deadtime*Fsw))</f>
        <v>0</v>
      </c>
      <c r="AT83" s="354">
        <f>(Table1[[#This Row],[Dead Time Loss BoCtlr]]+Table1[[#This Row],[Transition Loss BoCtlr]]+Table1[[#This Row],[RDS(on) Loss BoCtlr]]*(1+RdsonTopTc*Ta-RdsonTopTc*25))/(1-Table1[[#This Row],[RDS(on) Loss BoCtlr]]*RdsonTopTc*ThetaJA_Q4)</f>
        <v>0</v>
      </c>
      <c r="AU8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12.052911543418068</v>
      </c>
      <c r="AV83" s="354">
        <f>Rdson3*Table1[[#This Row],[Irms BoSync]]^2</f>
        <v>0.61014524202853426</v>
      </c>
      <c r="AW8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3" s="354">
        <f>(Table1[[#This Row],[Deadtime Loss BoSync]]+Table1[[#This Row],[RDS(on) Loss BoSync]]*(1+RdsonBotTc*Ta-RdsonBotTc*25))/(1-Table1[[#This Row],[RDS(on) Loss BoSync]]*RdsonBotTc*ThetaJA_Q3)</f>
        <v>0.71481977422481846</v>
      </c>
      <c r="AY83" s="354">
        <f>CHOOSE(Table1[[#This Row],[Mode Digit]], Rdson3*Table1[[#This Row],[Irms Lf]]^2, Rdson1*Table1[[#This Row],[Irms Lf]]^2, 0)</f>
        <v>0.61014524202853426</v>
      </c>
      <c r="AZ83" s="354">
        <f>CHOOSE(Table1[[#This Row],[Mode Digit]], 2*Deadtime*Fsw*IF(VfdSky_Q2&gt;0,VfdSky_Q2,0)*Table1[[#This Row],[Iout]], 2*Deadtime*Fsw*IF(VfdSky_Q3&gt;0,VfdSky_Q3,0)*Table1[[#This Row],[Iin]], 2*Deadtime*Fsw*IF(VfdSky_Q2&gt;0,VfdSky_Q2,0)*Table1[[#This Row],[Iout]]+2*Deadtime*Fsw*IF(VfdSky_Q3&gt;0,VfdSky_Q3,0)*Table1[[#This Row],[Iin]])</f>
        <v>0</v>
      </c>
      <c r="BA83" s="354">
        <f>CHOOSE(Table1[[#This Row],[Mode Digit]], IF(QrrSky_Q2&gt;0,QrrSky_Q2,Qrr_Q2)*Fsw*(Table1[[#This Row],[Vin]]-Table1[[#This Row],[Iout]]*Rdson1),0,  IF(QrrSky_Q2&gt;0,QrrSky_Q2,Qrr_Q2)*Fsw*(Table1[[#This Row],[Vin]]-Table1[[#This Row],[Iout]]*Rdson1)+IF(QrrSky_Q3&gt;0,QrrSky_Q3,Qrr_Q3)*Fsw*Vout)</f>
        <v>0.30155520000000002</v>
      </c>
      <c r="BB83" s="354">
        <f>CHOOSE(Table1[[#This Row],[Mode Digit]],0, IF(QrrSky_Q3&gt;0,QrrSky_Q3,Qrr_Q3)*Fsw*Vout,  IF(QrrSky_Q2&gt;0,QrrSky_Q2,Qrr_Q2)*Fsw*(Table1[[#This Row],[Vin]]-Table1[[#This Row],[Iout]]*Rdson1)+IF(QrrSky_Q3&gt;0,QrrSky_Q3,Qrr_Q3)*Fsw*Vout)</f>
        <v>0</v>
      </c>
      <c r="BC83" s="354">
        <f>CHOOSE(Table1[[#This Row],[Mode Digit]], Rs*Table1[[#This Row],[Irms BuSync]]^2, Rs*Table1[[#This Row],[Irms BoCtlr]]^2, Rs*(Table1[[#This Row],[Irms BuSync]]^2+Table1[[#This Row],[Irms BoCtlr]]^2))</f>
        <v>0.15068942860019804</v>
      </c>
      <c r="BD83" s="354">
        <f t="shared" si="5"/>
        <v>1.44</v>
      </c>
      <c r="BE83" s="354">
        <f>IF(Vout&gt;8, Iq*Vout, Iq*Table1[[#This Row],[Vin]])</f>
        <v>4.3799999999999999E-2</v>
      </c>
      <c r="BF83" s="354">
        <f>CHOOSE(Table1[[#This Row],[Mode Digit]], (Qg_Q1+Qg_Q2)*Fsw, (Qg_Q3+Qg_Q4)*Fsw, (Qg_Q1+Qg_Q2+Qg_Q3+Qg_Q4)*Fsw)*IF(Vout&gt;8, Vout, Table1[[#This Row],[Vin]])</f>
        <v>0.47303999999999996</v>
      </c>
      <c r="BG83" s="354">
        <f t="shared" si="6"/>
        <v>0.57269042016806726</v>
      </c>
      <c r="BH83" s="354">
        <f>Table1[[#This Row],[IQ Loss]]+Table1[[#This Row],[Switching Current Loss]]</f>
        <v>0.51683999999999997</v>
      </c>
      <c r="BI8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9.3990268898820908</v>
      </c>
      <c r="BJ83">
        <f>Vout*Table1[[#This Row],[Iout]]</f>
        <v>175.2</v>
      </c>
      <c r="BK83" s="550">
        <f>Table1[[#This Row],[Pout]]/(Table1[[#This Row],[Pout]]+Table1[[#This Row],[Total Loss]])</f>
        <v>0.94908409297580509</v>
      </c>
      <c r="BL8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220.05238842684173</v>
      </c>
      <c r="BM83" s="559">
        <f>IF(Table1[[#This Row],[Vin]]&gt;Vout, Table1[[#This Row],[Total Sync Bu MOSFET Loss]]*ThetaJA_Q2, ThetaJA_Q3*Table1[[#This Row],[Total Sync Bo MOSFET Loss]])</f>
        <v>53.05531367779772</v>
      </c>
      <c r="BN83" s="9"/>
      <c r="BO83" s="4">
        <f>Table1[[#This Row],[EFF, h]]*100</f>
        <v>94.908409297580505</v>
      </c>
      <c r="BP83" s="354">
        <f>Table1[[#This Row],[Total Inductor Loss]]</f>
        <v>1.6464311349558671</v>
      </c>
      <c r="BQ83" s="354">
        <f>Table1[[#This Row],[Total Control Bu MOSFET Loss]]+Table1[[#This Row],[Total Sync Bu MOSFET Loss]]+Table1[[#This Row],[Total Control Bo MOSFET Loss]]+Table1[[#This Row],[Total Sync Bo MOSFET Loss]]+Table1[[#This Row],[Reverse Recovery Loss MOSFET D BUCK]]+Table1[[#This Row],[Reverse Recovery Loss MOSFET D BOOST]]</f>
        <v>5.5681700093021433</v>
      </c>
      <c r="BR83" s="354">
        <f>Table1[[#This Row],[Total Control Bu MOSFET Loss]]+Table1[[#This Row],[Reverse Recovery Loss MOSFET D BUCK]]*0.66</f>
        <v>3.8665662391140292</v>
      </c>
      <c r="BS83" s="354">
        <f>Table1[[#This Row],[Total Sync Bu MOSFET Loss]]+Table1[[#This Row],[Reverse Recovery Loss MOSFET D BUCK]]*0.33</f>
        <v>0.98376844396329544</v>
      </c>
      <c r="BT83" s="354">
        <f xml:space="preserve"> Table1[[#This Row],[Total Control Bo MOSFET Loss]]+Table1[[#This Row],[Reverse Recovery Loss MOSFET D BOOST]]*0.66</f>
        <v>0</v>
      </c>
      <c r="BU83" s="354">
        <f xml:space="preserve"> Table1[[#This Row],[Total Sync Bo MOSFET Loss]]+Table1[[#This Row],[Reverse Recovery Loss MOSFET D BOOST]]*0.33</f>
        <v>0.71481977422481846</v>
      </c>
      <c r="BV83" s="354">
        <f>Table1[[#This Row],[Isense Shunt Loss]]</f>
        <v>0.15068942860019804</v>
      </c>
      <c r="CB83" s="18"/>
      <c r="CC83" s="19"/>
    </row>
    <row r="84" spans="1:81" x14ac:dyDescent="0.2">
      <c r="G84">
        <v>75</v>
      </c>
      <c r="H84" s="555">
        <f>VIN_min+(VIN_max-VIN_min)*(Table1[[#This Row],[Step]]/200)</f>
        <v>25.25</v>
      </c>
      <c r="I84" s="4" t="str">
        <f>IF(Mode = 2,IF(Table1[[#This Row],[Vin]]&gt;Vout, "BUCK","BOOST"),IF(Table1[[#This Row],[Vin]]&gt;VIN_BB_to_buck, "BUCK", IF(Table1[[#This Row],[Vin]]&lt;=VIN_boost_to_BB,"BOOST","BUCK-BST")))</f>
        <v>BUCK</v>
      </c>
      <c r="J84">
        <f>IF(Table1[[#This Row],[Mode]]="BOOST",2, IF(Table1[[#This Row],[Mode]]="BUCK", 1,3))</f>
        <v>1</v>
      </c>
      <c r="K84">
        <f t="shared" si="4"/>
        <v>12</v>
      </c>
      <c r="L84" s="4">
        <f>Vout*Table1[[#This Row],[Iout]]/(Table1[[#This Row],[Vin]]*Efficiency)</f>
        <v>7.3038040646169886</v>
      </c>
      <c r="M84" s="711">
        <f>MIN(1/Fsw,CHOOSE(Table1[[#This Row],[Mode Digit]],(Vout+(Rdson2+Rs+Rdcr)*Table1[[#This Row],[Iout]])/(Table1[[#This Row],[Vin]]+(Rs+Rdson2-Rdson1)*Table1[[#This Row],[Iout]])/Fsw,(Vout+(Rdson3+Rdcr)*Table1[[#This Row],[Iin]]-Table1[[#This Row],[Vin]])/(Vout+(Rdson3-Rdson4-Rs)*Table1[[#This Row],[Iin]])/Fsw,t1_Ph_II))</f>
        <v>9.7244198312236273E-7</v>
      </c>
      <c r="N84" s="602">
        <f>CHOOSE(Table1[[#This Row],[Mode Digit]],1/Fsw-Table1[[#This Row],[t1_Ph_II]],1/Fsw-Table1[[#This Row],[t1_Ph_II]],(Vout/Fsw-Table1[[#This Row],[Vin]]*t1_Ph_II)/(Table1[[#This Row],[Vin]]+Vout))</f>
        <v>6.9422468354430393E-7</v>
      </c>
      <c r="O84" s="602">
        <f>1/Fsw-(Table1[[#This Row],[t1_Ph_II]]+Table1[[#This Row],[t2_Ph_I]])</f>
        <v>0</v>
      </c>
      <c r="P8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10.038540318133871</v>
      </c>
      <c r="Q84" s="4">
        <f>CHOOSE(Table1[[#This Row],[Mode Digit]],Table1[[#This Row],[I_0]]+1/Lf*(Table1[[#This Row],[Vin]]-Vout)*Table1[[#This Row],[t1_Ph_II]],Table1[[#This Row],[I_0]]+1/Lf*Table1[[#This Row],[Vin]]*Table1[[#This Row],[t1_Ph_II]],Table1[[#This Row],[I_0]]+(Table1[[#This Row],[Vin]]-Vout)/L*Table1[[#This Row],[t1_Ph_II]])</f>
        <v>13.961459681866129</v>
      </c>
      <c r="R84" s="4">
        <f>CHOOSE(Table1[[#This Row],[Mode Digit]],0,0,Table1[[#This Row],[I_1]]+Table1[[#This Row],[Vin]]/L*Table1[[#This Row],[t2_Ph_I]])</f>
        <v>0</v>
      </c>
      <c r="S84" s="4">
        <f>Fsw*(Table1[[#This Row],[I_0]]*Table1[[#This Row],[t1_Ph_II]]+Table1[[#This Row],[I_1]]*Table1[[#This Row],[t2_Ph_I]]+Table1[[#This Row],[I_2]]*Table1[[#This Row],[t3_Ph_III]])</f>
        <v>11.67257279044798</v>
      </c>
      <c r="T84" s="354">
        <f>MIN(1,CHOOSE(Table1[[#This Row],[Mode Digit]],(Vout+(Rdson2+Rs+Rdcr)*Table1[[#This Row],[Iout]])/(Table1[[#This Row],[Vin]]+(Rs+Rdson2-Rdson1)*Table1[[#This Row],[Iout]]),1,Fsw*Table1[[#This Row],[t2_Ph_I]]+Table1[[#This Row],[t1_Ph_II]]))</f>
        <v>0.58346518987341767</v>
      </c>
      <c r="U84" s="354">
        <f>MIN(1,CHOOSE(Table1[[#This Row],[Mode Digit]],0,(Vout+(Rdson3+Rdcr)*Table1[[#This Row],[Iin]]-Table1[[#This Row],[Vin]])/(Vout+(Rdson3-Rdson4-Rs)*Table1[[#This Row],[Iin]]),Fsw*Table1[[#This Row],[t1_Ph_II]]+Table1[[#This Row],[t3_Ph_III]]))</f>
        <v>0</v>
      </c>
      <c r="V84" s="4">
        <f>MAX(Table1[[#This Row],[I_0]:[I_2]])-MIN(Table1[[#This Row],[I_0]:[I_1]])</f>
        <v>3.9229193637322588</v>
      </c>
      <c r="W8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12.053316612501119</v>
      </c>
      <c r="X84" s="354">
        <f>(Table1[[#This Row],[Irms Lf]]^2*Rdcr*(1+Ltc*Ta-Ltc*25))/(1-Table1[[#This Row],[Irms Lf]]^2*Rdcr*Ltc*ThetaCa)</f>
        <v>0.9035472299101025</v>
      </c>
      <c r="Y84" s="354">
        <f>ABS(7.759*10^-3*Fsw^0.9458*(0.00787*Table1[[#This Row],[Ripple Current pk-pk]])^2.304)</f>
        <v>0.74951961382254484</v>
      </c>
      <c r="Z84" s="354">
        <f>Table1[[#This Row],[DCR    Loss]]+Table1[[#This Row],[Core Loss]]</f>
        <v>1.6530668437326472</v>
      </c>
      <c r="AA84" s="4">
        <f>IF(Table1[[#This Row],[Vin]]&gt;Vout, Table1[[#This Row],[Ripple Current pk-pk]]/SQRT(12), SQRT(Table1[[#This Row],[Duty Cycle BOOST Leg]]/(1-Table1[[#This Row],[Duty Cycle BOOST Leg]]))*SQRT(Table1[[#This Row],[Iout]]^2+(Table1[[#This Row],[Ripple Current pk-pk]]^2)/12))</f>
        <v>1.1324492753300075</v>
      </c>
      <c r="AB84" s="354">
        <f>RCoutEsr*Table1[[#This Row],[Irms Cout]]^2</f>
        <v>6.4122068059772955E-3</v>
      </c>
      <c r="AC84" s="354">
        <f>Table1[[#This Row],[Cout ESR Loss]]</f>
        <v>6.4122068059772955E-3</v>
      </c>
      <c r="AD84" s="354">
        <f>IF(Table1[[#This Row],[Vin]]&gt;Vout, SQRT(Table1[[#This Row],[Duty Cycle BUCK Leg]]*(1-Table1[[#This Row],[Duty Cycle BUCK Leg]]))*SQRT(Table1[[#This Row],[Iout]]^2+(Table1[[#This Row],[Ripple Current pk-pk]]^2)/12), Table1[[#This Row],[Ripple Current pk-pk]]/SQRT(12))</f>
        <v>5.9420963667380944</v>
      </c>
      <c r="AE84" s="354">
        <f>RCinEsr*Table1[[#This Row],[Irms Cin]]^2</f>
        <v>7.0617018463204118E-2</v>
      </c>
      <c r="AF84" s="549">
        <f>Table1[[#This Row],[Cin ESR Loss]]</f>
        <v>7.0617018463204118E-2</v>
      </c>
      <c r="AG8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9.2069130132788572</v>
      </c>
      <c r="AH84" s="354">
        <f>Rdson1*Table1[[#This Row],[Irms BuCtrl]]^2</f>
        <v>0.35602243838315106</v>
      </c>
      <c r="AI84" s="354">
        <f>CHOOSE(Table1[[#This Row],[Mode Digit]], (Table1[[#This Row],[Vin]]*Table1[[#This Row],[Iout]]/2)*(Fsw)*(Tr_buck+Tf_buck), 0, (Table1[[#This Row],[Vin]]*Table1[[#This Row],[Avg IL]]/2)*(Fsw/1)*(Tr_buck+Tf_buck))</f>
        <v>3.00465918367347</v>
      </c>
      <c r="AJ84">
        <f>IF(Table1[[#This Row],[Vin]]&gt;Vout, IF(Table1[[#This Row],[Iout]]&gt;Table1[[#This Row],[Ripple Current pk-pk]]/2,0,ABS(Table1[[#This Row],[Iout]]-Table1[[#This Row],[Ripple Current pk-pk]]/2)*Vsd_Q1*Deadtime*Fsw),0)</f>
        <v>0</v>
      </c>
      <c r="AK84" s="354">
        <f>(Table1[[#This Row],[Dead Time Loss BuCtrl]]+Table1[[#This Row],[Transition Loss BuCtrl]]+Table1[[#This Row],[RDS(on) Loss BuCtrl]]*(1+RdsonTopTc*Ta-RdsonTopTc*25))/(1-Table1[[#This Row],[RDS(on) Loss BuCtrl]]*RdsonTopTc*ThetaJA_Q1)</f>
        <v>3.6746647687470135</v>
      </c>
      <c r="AL84" s="354">
        <f>CHOOSE(Table1[[#This Row],[Mode Digit]],SQRT((Fsw*(Table1[[#This Row],[t2_Ph_I]]+0))*((Table1[[#This Row],[I_0]]*Table1[[#This Row],[I_1]]+((Table1[[#This Row],[I_0]]-Table1[[#This Row],[I_1]])^2)/3))),0,SQRT((Fsw*(Table1[[#This Row],[t3_Ph_III]]+0))*((Table1[[#This Row],[I_0]]*Table1[[#This Row],[I_2]]+((Table1[[#This Row],[I_0]]-Table1[[#This Row],[I_2]])^2)/3))))</f>
        <v>7.7791512472191906</v>
      </c>
      <c r="AM84" s="354">
        <f>Rdson2*Table1[[#This Row],[Irms BuSync]]^2</f>
        <v>0.25416381533387</v>
      </c>
      <c r="AN8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4" s="354">
        <f>(Table1[[#This Row],[Deadtime Loss BuSync]]+Table1[[#This Row],[RDS(on) Loss BuSync]]*(1+RdsonBotTc*Ta-RdsonBotTc*25))/(1-Table1[[#This Row],[RDS(on) Loss BuSync]]*RdsonBotTc*ThetaJA_Q2)</f>
        <v>0.88555339499841679</v>
      </c>
      <c r="AP84" s="354">
        <f>CHOOSE(Table1[[#This Row],[Mode Digit]],0,SQRT((Fsw*(Table1[[#This Row],[t1_Ph_II]]+0))*((Table1[[#This Row],[I_0]]*Table1[[#This Row],[I_1]]+((Table1[[#This Row],[I_0]]-Table1[[#This Row],[I_1]])^2)/3))),SQRT((Fsw*(Table1[[#This Row],[t2_Ph_I]]+0))*((Table1[[#This Row],[I_1]]*Table1[[#This Row],[I_2]]+((Table1[[#This Row],[I_1]]-Table1[[#This Row],[I_2]])^2)/3))))</f>
        <v>0</v>
      </c>
      <c r="AQ84" s="354">
        <f>Rdson4*Table1[[#This Row],[Irms BoCtlr]]^2</f>
        <v>0</v>
      </c>
      <c r="AR84" s="354">
        <f>CHOOSE(Table1[[#This Row],[Mode Digit]], 0, (Vout*Table1[[#This Row],[Iin]]/2)*(Fsw)*(Tr_boost+Tf_boost), (Vout*Iout/2)*(Fsw/1)*(Tr_boost+Tf_boost))</f>
        <v>0</v>
      </c>
      <c r="AS84">
        <f>IF(Table1[[#This Row],[Vin]]&gt;Vout, 0, IF(Table1[[#This Row],[Iin]]&gt;Table1[[#This Row],[Ripple Current pk-pk]]/2,0,ABS(Table1[[#This Row],[Iin]]-Table1[[#This Row],[Ripple Current pk-pk]]/2)*Vsd_Q4*Deadtime*Fsw))</f>
        <v>0</v>
      </c>
      <c r="AT84" s="354">
        <f>(Table1[[#This Row],[Dead Time Loss BoCtlr]]+Table1[[#This Row],[Transition Loss BoCtlr]]+Table1[[#This Row],[RDS(on) Loss BoCtlr]]*(1+RdsonTopTc*Ta-RdsonTopTc*25))/(1-Table1[[#This Row],[RDS(on) Loss BoCtlr]]*RdsonTopTc*ThetaJA_Q4)</f>
        <v>0</v>
      </c>
      <c r="AU8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12.053316612501119</v>
      </c>
      <c r="AV84" s="354">
        <f>Rdson3*Table1[[#This Row],[Irms BoSync]]^2</f>
        <v>0.61018625371702095</v>
      </c>
      <c r="AW8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4" s="354">
        <f>(Table1[[#This Row],[Deadtime Loss BoSync]]+Table1[[#This Row],[RDS(on) Loss BoSync]]*(1+RdsonBotTc*Ta-RdsonBotTc*25))/(1-Table1[[#This Row],[RDS(on) Loss BoSync]]*RdsonBotTc*ThetaJA_Q3)</f>
        <v>0.71487606527046488</v>
      </c>
      <c r="AY84" s="354">
        <f>CHOOSE(Table1[[#This Row],[Mode Digit]], Rdson3*Table1[[#This Row],[Irms Lf]]^2, Rdson1*Table1[[#This Row],[Irms Lf]]^2, 0)</f>
        <v>0.61018625371702095</v>
      </c>
      <c r="AZ84" s="354">
        <f>CHOOSE(Table1[[#This Row],[Mode Digit]], 2*Deadtime*Fsw*IF(VfdSky_Q2&gt;0,VfdSky_Q2,0)*Table1[[#This Row],[Iout]], 2*Deadtime*Fsw*IF(VfdSky_Q3&gt;0,VfdSky_Q3,0)*Table1[[#This Row],[Iin]], 2*Deadtime*Fsw*IF(VfdSky_Q2&gt;0,VfdSky_Q2,0)*Table1[[#This Row],[Iout]]+2*Deadtime*Fsw*IF(VfdSky_Q3&gt;0,VfdSky_Q3,0)*Table1[[#This Row],[Iin]])</f>
        <v>0</v>
      </c>
      <c r="BA84" s="354">
        <f>CHOOSE(Table1[[#This Row],[Mode Digit]], IF(QrrSky_Q2&gt;0,QrrSky_Q2,Qrr_Q2)*Fsw*(Table1[[#This Row],[Vin]]-Table1[[#This Row],[Iout]]*Rdson1),0,  IF(QrrSky_Q2&gt;0,QrrSky_Q2,Qrr_Q2)*Fsw*(Table1[[#This Row],[Vin]]-Table1[[#This Row],[Iout]]*Rdson1)+IF(QrrSky_Q3&gt;0,QrrSky_Q3,Qrr_Q3)*Fsw*Vout)</f>
        <v>0.30239520000000003</v>
      </c>
      <c r="BB84" s="354">
        <f>CHOOSE(Table1[[#This Row],[Mode Digit]],0, IF(QrrSky_Q3&gt;0,QrrSky_Q3,Qrr_Q3)*Fsw*Vout,  IF(QrrSky_Q2&gt;0,QrrSky_Q2,Qrr_Q2)*Fsw*(Table1[[#This Row],[Vin]]-Table1[[#This Row],[Iout]]*Rdson1)+IF(QrrSky_Q3&gt;0,QrrSky_Q3,Qrr_Q3)*Fsw*Vout)</f>
        <v>0</v>
      </c>
      <c r="BC84" s="354">
        <f>CHOOSE(Table1[[#This Row],[Mode Digit]], Rs*Table1[[#This Row],[Irms BuSync]]^2, Rs*Table1[[#This Row],[Irms BoCtlr]]^2, Rs*(Table1[[#This Row],[Irms BuSync]]^2+Table1[[#This Row],[Irms BoCtlr]]^2))</f>
        <v>0.15128798531777973</v>
      </c>
      <c r="BD84" s="354">
        <f t="shared" si="5"/>
        <v>1.44</v>
      </c>
      <c r="BE84" s="354">
        <f>IF(Vout&gt;8, Iq*Vout, Iq*Table1[[#This Row],[Vin]])</f>
        <v>4.3799999999999999E-2</v>
      </c>
      <c r="BF84" s="354">
        <f>CHOOSE(Table1[[#This Row],[Mode Digit]], (Qg_Q1+Qg_Q2)*Fsw, (Qg_Q3+Qg_Q4)*Fsw, (Qg_Q1+Qg_Q2+Qg_Q3+Qg_Q4)*Fsw)*IF(Vout&gt;8, Vout, Table1[[#This Row],[Vin]])</f>
        <v>0.47303999999999996</v>
      </c>
      <c r="BG84" s="354">
        <f t="shared" si="6"/>
        <v>0.57269042016806726</v>
      </c>
      <c r="BH84" s="354">
        <f>Table1[[#This Row],[IQ Loss]]+Table1[[#This Row],[Switching Current Loss]]</f>
        <v>0.51683999999999997</v>
      </c>
      <c r="BI8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9.4157134833355034</v>
      </c>
      <c r="BJ84">
        <f>Vout*Table1[[#This Row],[Iout]]</f>
        <v>175.2</v>
      </c>
      <c r="BK84" s="550">
        <f>Table1[[#This Row],[Pout]]/(Table1[[#This Row],[Pout]]+Table1[[#This Row],[Total Loss]])</f>
        <v>0.94899830948471553</v>
      </c>
      <c r="BL8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220.47988612482081</v>
      </c>
      <c r="BM84" s="559">
        <f>IF(Table1[[#This Row],[Vin]]&gt;Vout, Table1[[#This Row],[Total Sync Bu MOSFET Loss]]*ThetaJA_Q2, ThetaJA_Q3*Table1[[#This Row],[Total Sync Bo MOSFET Loss]])</f>
        <v>53.13320369990501</v>
      </c>
      <c r="BN84" s="9"/>
      <c r="BO84" s="4">
        <f>Table1[[#This Row],[EFF, h]]*100</f>
        <v>94.899830948471546</v>
      </c>
      <c r="BP84" s="354">
        <f>Table1[[#This Row],[Total Inductor Loss]]</f>
        <v>1.6530668437326472</v>
      </c>
      <c r="BQ84" s="354">
        <f>Table1[[#This Row],[Total Control Bu MOSFET Loss]]+Table1[[#This Row],[Total Sync Bu MOSFET Loss]]+Table1[[#This Row],[Total Control Bo MOSFET Loss]]+Table1[[#This Row],[Total Sync Bo MOSFET Loss]]+Table1[[#This Row],[Reverse Recovery Loss MOSFET D BUCK]]+Table1[[#This Row],[Reverse Recovery Loss MOSFET D BOOST]]</f>
        <v>5.5774894290158956</v>
      </c>
      <c r="BR84" s="354">
        <f>Table1[[#This Row],[Total Control Bu MOSFET Loss]]+Table1[[#This Row],[Reverse Recovery Loss MOSFET D BUCK]]*0.66</f>
        <v>3.8742456007470136</v>
      </c>
      <c r="BS84" s="354">
        <f>Table1[[#This Row],[Total Sync Bu MOSFET Loss]]+Table1[[#This Row],[Reverse Recovery Loss MOSFET D BUCK]]*0.33</f>
        <v>0.98534381099841684</v>
      </c>
      <c r="BT84" s="354">
        <f xml:space="preserve"> Table1[[#This Row],[Total Control Bo MOSFET Loss]]+Table1[[#This Row],[Reverse Recovery Loss MOSFET D BOOST]]*0.66</f>
        <v>0</v>
      </c>
      <c r="BU84" s="354">
        <f xml:space="preserve"> Table1[[#This Row],[Total Sync Bo MOSFET Loss]]+Table1[[#This Row],[Reverse Recovery Loss MOSFET D BOOST]]*0.33</f>
        <v>0.71487606527046488</v>
      </c>
      <c r="BV84" s="354">
        <f>Table1[[#This Row],[Isense Shunt Loss]]</f>
        <v>0.15128798531777973</v>
      </c>
      <c r="CB84" s="18"/>
      <c r="CC84" s="19"/>
    </row>
    <row r="85" spans="1:81" x14ac:dyDescent="0.2">
      <c r="G85">
        <v>76</v>
      </c>
      <c r="H85" s="555">
        <f>VIN_min+(VIN_max-VIN_min)*(Table1[[#This Row],[Step]]/200)</f>
        <v>25.32</v>
      </c>
      <c r="I85" s="4" t="str">
        <f>IF(Mode = 2,IF(Table1[[#This Row],[Vin]]&gt;Vout, "BUCK","BOOST"),IF(Table1[[#This Row],[Vin]]&gt;VIN_BB_to_buck, "BUCK", IF(Table1[[#This Row],[Vin]]&lt;=VIN_boost_to_BB,"BOOST","BUCK-BST")))</f>
        <v>BUCK</v>
      </c>
      <c r="J85">
        <f>IF(Table1[[#This Row],[Mode]]="BOOST",2, IF(Table1[[#This Row],[Mode]]="BUCK", 1,3))</f>
        <v>1</v>
      </c>
      <c r="K85">
        <f t="shared" si="4"/>
        <v>12</v>
      </c>
      <c r="L85" s="4">
        <f>Vout*Table1[[#This Row],[Iout]]/(Table1[[#This Row],[Vin]]*Efficiency)</f>
        <v>7.2836118732851087</v>
      </c>
      <c r="M85" s="711">
        <f>MIN(1/Fsw,CHOOSE(Table1[[#This Row],[Mode Digit]],(Vout+(Rdson2+Rs+Rdcr)*Table1[[#This Row],[Iout]])/(Table1[[#This Row],[Vin]]+(Rs+Rdson2-Rdson1)*Table1[[#This Row],[Iout]])/Fsw,(Vout+(Rdson3+Rdcr)*Table1[[#This Row],[Iin]]-Table1[[#This Row],[Vin]])/(Vout+(Rdson3-Rdson4-Rs)*Table1[[#This Row],[Iin]])/Fsw,t1_Ph_II))</f>
        <v>9.6975673898750827E-7</v>
      </c>
      <c r="N85" s="602">
        <f>CHOOSE(Table1[[#This Row],[Mode Digit]],1/Fsw-Table1[[#This Row],[t1_Ph_II]],1/Fsw-Table1[[#This Row],[t1_Ph_II]],(Vout/Fsw-Table1[[#This Row],[Vin]]*t1_Ph_II)/(Table1[[#This Row],[Vin]]+Vout))</f>
        <v>6.9690992767915839E-7</v>
      </c>
      <c r="O85" s="602">
        <f>1/Fsw-(Table1[[#This Row],[t1_Ph_II]]+Table1[[#This Row],[t2_Ph_I]])</f>
        <v>0</v>
      </c>
      <c r="P8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10.031099954176877</v>
      </c>
      <c r="Q85" s="4">
        <f>CHOOSE(Table1[[#This Row],[Mode Digit]],Table1[[#This Row],[I_0]]+1/Lf*(Table1[[#This Row],[Vin]]-Vout)*Table1[[#This Row],[t1_Ph_II]],Table1[[#This Row],[I_0]]+1/Lf*Table1[[#This Row],[Vin]]*Table1[[#This Row],[t1_Ph_II]],Table1[[#This Row],[I_0]]+(Table1[[#This Row],[Vin]]-Vout)/L*Table1[[#This Row],[t1_Ph_II]])</f>
        <v>13.968900045823123</v>
      </c>
      <c r="R85" s="4">
        <f>CHOOSE(Table1[[#This Row],[Mode Digit]],0,0,Table1[[#This Row],[I_1]]+Table1[[#This Row],[Vin]]/L*Table1[[#This Row],[t2_Ph_I]])</f>
        <v>0</v>
      </c>
      <c r="S85" s="4">
        <f>Fsw*(Table1[[#This Row],[I_0]]*Table1[[#This Row],[t1_Ph_II]]+Table1[[#This Row],[I_1]]*Table1[[#This Row],[t2_Ph_I]]+Table1[[#This Row],[I_2]]*Table1[[#This Row],[t3_Ph_III]])</f>
        <v>11.677675140427381</v>
      </c>
      <c r="T85" s="354">
        <f>MIN(1,CHOOSE(Table1[[#This Row],[Mode Digit]],(Vout+(Rdson2+Rs+Rdcr)*Table1[[#This Row],[Iout]])/(Table1[[#This Row],[Vin]]+(Rs+Rdson2-Rdson1)*Table1[[#This Row],[Iout]]),1,Fsw*Table1[[#This Row],[t2_Ph_I]]+Table1[[#This Row],[t1_Ph_II]]))</f>
        <v>0.5818540433925049</v>
      </c>
      <c r="U85" s="354">
        <f>MIN(1,CHOOSE(Table1[[#This Row],[Mode Digit]],0,(Vout+(Rdson3+Rdcr)*Table1[[#This Row],[Iin]]-Table1[[#This Row],[Vin]])/(Vout+(Rdson3-Rdson4-Rs)*Table1[[#This Row],[Iin]]),Fsw*Table1[[#This Row],[t1_Ph_II]]+Table1[[#This Row],[t3_Ph_III]]))</f>
        <v>0</v>
      </c>
      <c r="V85" s="4">
        <f>MAX(Table1[[#This Row],[I_0]:[I_2]])-MIN(Table1[[#This Row],[I_0]:[I_1]])</f>
        <v>3.9378000916462454</v>
      </c>
      <c r="W8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12.053720966164242</v>
      </c>
      <c r="X85" s="354">
        <f>(Table1[[#This Row],[Irms Lf]]^2*Rdcr*(1+Ltc*Ta-Ltc*25))/(1-Table1[[#This Row],[Irms Lf]]^2*Rdcr*Ltc*ThetaCa)</f>
        <v>0.9036122361129254</v>
      </c>
      <c r="Y85" s="354">
        <f>ABS(7.759*10^-3*Fsw^0.9458*(0.00787*Table1[[#This Row],[Ripple Current pk-pk]])^2.304)</f>
        <v>0.75608640887113621</v>
      </c>
      <c r="Z85" s="354">
        <f>Table1[[#This Row],[DCR    Loss]]+Table1[[#This Row],[Core Loss]]</f>
        <v>1.6596986449840616</v>
      </c>
      <c r="AA85" s="4">
        <f>IF(Table1[[#This Row],[Vin]]&gt;Vout, Table1[[#This Row],[Ripple Current pk-pk]]/SQRT(12), SQRT(Table1[[#This Row],[Duty Cycle BOOST Leg]]/(1-Table1[[#This Row],[Duty Cycle BOOST Leg]]))*SQRT(Table1[[#This Row],[Iout]]^2+(Table1[[#This Row],[Ripple Current pk-pk]]^2)/12))</f>
        <v>1.1367449714634466</v>
      </c>
      <c r="AB85" s="354">
        <f>RCoutEsr*Table1[[#This Row],[Irms Cout]]^2</f>
        <v>6.4609456507371604E-3</v>
      </c>
      <c r="AC85" s="354">
        <f>Table1[[#This Row],[Cout ESR Loss]]</f>
        <v>6.4609456507371604E-3</v>
      </c>
      <c r="AD85" s="354">
        <f>IF(Table1[[#This Row],[Vin]]&gt;Vout, SQRT(Table1[[#This Row],[Duty Cycle BUCK Leg]]*(1-Table1[[#This Row],[Duty Cycle BUCK Leg]]))*SQRT(Table1[[#This Row],[Iout]]^2+(Table1[[#This Row],[Ripple Current pk-pk]]^2)/12), Table1[[#This Row],[Ripple Current pk-pk]]/SQRT(12))</f>
        <v>5.9455510551875301</v>
      </c>
      <c r="AE85" s="354">
        <f>RCinEsr*Table1[[#This Row],[Irms Cin]]^2</f>
        <v>7.0699154699683103E-2</v>
      </c>
      <c r="AF85" s="549">
        <f>Table1[[#This Row],[Cin ESR Loss]]</f>
        <v>7.0699154699683103E-2</v>
      </c>
      <c r="AG8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9.1945009499550796</v>
      </c>
      <c r="AH85" s="354">
        <f>Rdson1*Table1[[#This Row],[Irms BuCtrl]]^2</f>
        <v>0.3550631604186445</v>
      </c>
      <c r="AI85" s="354">
        <f>CHOOSE(Table1[[#This Row],[Mode Digit]], (Table1[[#This Row],[Vin]]*Table1[[#This Row],[Iout]]/2)*(Fsw)*(Tr_buck+Tf_buck), 0, (Table1[[#This Row],[Vin]]*Table1[[#This Row],[Avg IL]]/2)*(Fsw/1)*(Tr_buck+Tf_buck))</f>
        <v>3.0129889319054364</v>
      </c>
      <c r="AJ85">
        <f>IF(Table1[[#This Row],[Vin]]&gt;Vout, IF(Table1[[#This Row],[Iout]]&gt;Table1[[#This Row],[Ripple Current pk-pk]]/2,0,ABS(Table1[[#This Row],[Iout]]-Table1[[#This Row],[Ripple Current pk-pk]]/2)*Vsd_Q1*Deadtime*Fsw),0)</f>
        <v>0</v>
      </c>
      <c r="AK85" s="354">
        <f>(Table1[[#This Row],[Dead Time Loss BuCtrl]]+Table1[[#This Row],[Transition Loss BuCtrl]]+Table1[[#This Row],[RDS(on) Loss BuCtrl]]*(1+RdsonTopTc*Ta-RdsonTopTc*25))/(1-Table1[[#This Row],[RDS(on) Loss BuCtrl]]*RdsonTopTc*ThetaJA_Q1)</f>
        <v>3.681797007920609</v>
      </c>
      <c r="AL85" s="354">
        <f>CHOOSE(Table1[[#This Row],[Mode Digit]],SQRT((Fsw*(Table1[[#This Row],[t2_Ph_I]]+0))*((Table1[[#This Row],[I_0]]*Table1[[#This Row],[I_1]]+((Table1[[#This Row],[I_0]]-Table1[[#This Row],[I_1]])^2)/3))),0,SQRT((Fsw*(Table1[[#This Row],[t3_Ph_III]]+0))*((Table1[[#This Row],[I_0]]*Table1[[#This Row],[I_2]]+((Table1[[#This Row],[I_0]]-Table1[[#This Row],[I_2]])^2)/3))))</f>
        <v>7.7944429827552524</v>
      </c>
      <c r="AM85" s="354">
        <f>Rdson2*Table1[[#This Row],[Irms BuSync]]^2</f>
        <v>0.25516403392797493</v>
      </c>
      <c r="AN8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5" s="354">
        <f>(Table1[[#This Row],[Deadtime Loss BuSync]]+Table1[[#This Row],[RDS(on) Loss BuSync]]*(1+RdsonBotTc*Ta-RdsonBotTc*25))/(1-Table1[[#This Row],[RDS(on) Loss BuSync]]*RdsonBotTc*ThetaJA_Q2)</f>
        <v>0.88684530885394941</v>
      </c>
      <c r="AP85" s="354">
        <f>CHOOSE(Table1[[#This Row],[Mode Digit]],0,SQRT((Fsw*(Table1[[#This Row],[t1_Ph_II]]+0))*((Table1[[#This Row],[I_0]]*Table1[[#This Row],[I_1]]+((Table1[[#This Row],[I_0]]-Table1[[#This Row],[I_1]])^2)/3))),SQRT((Fsw*(Table1[[#This Row],[t2_Ph_I]]+0))*((Table1[[#This Row],[I_1]]*Table1[[#This Row],[I_2]]+((Table1[[#This Row],[I_1]]-Table1[[#This Row],[I_2]])^2)/3))))</f>
        <v>0</v>
      </c>
      <c r="AQ85" s="354">
        <f>Rdson4*Table1[[#This Row],[Irms BoCtlr]]^2</f>
        <v>0</v>
      </c>
      <c r="AR85" s="354">
        <f>CHOOSE(Table1[[#This Row],[Mode Digit]], 0, (Vout*Table1[[#This Row],[Iin]]/2)*(Fsw)*(Tr_boost+Tf_boost), (Vout*Iout/2)*(Fsw/1)*(Tr_boost+Tf_boost))</f>
        <v>0</v>
      </c>
      <c r="AS85">
        <f>IF(Table1[[#This Row],[Vin]]&gt;Vout, 0, IF(Table1[[#This Row],[Iin]]&gt;Table1[[#This Row],[Ripple Current pk-pk]]/2,0,ABS(Table1[[#This Row],[Iin]]-Table1[[#This Row],[Ripple Current pk-pk]]/2)*Vsd_Q4*Deadtime*Fsw))</f>
        <v>0</v>
      </c>
      <c r="AT85" s="354">
        <f>(Table1[[#This Row],[Dead Time Loss BoCtlr]]+Table1[[#This Row],[Transition Loss BoCtlr]]+Table1[[#This Row],[RDS(on) Loss BoCtlr]]*(1+RdsonTopTc*Ta-RdsonTopTc*25))/(1-Table1[[#This Row],[RDS(on) Loss BoCtlr]]*RdsonTopTc*ThetaJA_Q4)</f>
        <v>0</v>
      </c>
      <c r="AU8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12.053720966164242</v>
      </c>
      <c r="AV85" s="354">
        <f>Rdson3*Table1[[#This Row],[Irms BoSync]]^2</f>
        <v>0.61022719434661921</v>
      </c>
      <c r="AW8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5" s="354">
        <f>(Table1[[#This Row],[Deadtime Loss BoSync]]+Table1[[#This Row],[RDS(on) Loss BoSync]]*(1+RdsonBotTc*Ta-RdsonBotTc*25))/(1-Table1[[#This Row],[RDS(on) Loss BoSync]]*RdsonBotTc*ThetaJA_Q3)</f>
        <v>0.7149322600783371</v>
      </c>
      <c r="AY85" s="354">
        <f>CHOOSE(Table1[[#This Row],[Mode Digit]], Rdson3*Table1[[#This Row],[Irms Lf]]^2, Rdson1*Table1[[#This Row],[Irms Lf]]^2, 0)</f>
        <v>0.61022719434661921</v>
      </c>
      <c r="AZ85" s="354">
        <f>CHOOSE(Table1[[#This Row],[Mode Digit]], 2*Deadtime*Fsw*IF(VfdSky_Q2&gt;0,VfdSky_Q2,0)*Table1[[#This Row],[Iout]], 2*Deadtime*Fsw*IF(VfdSky_Q3&gt;0,VfdSky_Q3,0)*Table1[[#This Row],[Iin]], 2*Deadtime*Fsw*IF(VfdSky_Q2&gt;0,VfdSky_Q2,0)*Table1[[#This Row],[Iout]]+2*Deadtime*Fsw*IF(VfdSky_Q3&gt;0,VfdSky_Q3,0)*Table1[[#This Row],[Iin]])</f>
        <v>0</v>
      </c>
      <c r="BA85" s="354">
        <f>CHOOSE(Table1[[#This Row],[Mode Digit]], IF(QrrSky_Q2&gt;0,QrrSky_Q2,Qrr_Q2)*Fsw*(Table1[[#This Row],[Vin]]-Table1[[#This Row],[Iout]]*Rdson1),0,  IF(QrrSky_Q2&gt;0,QrrSky_Q2,Qrr_Q2)*Fsw*(Table1[[#This Row],[Vin]]-Table1[[#This Row],[Iout]]*Rdson1)+IF(QrrSky_Q3&gt;0,QrrSky_Q3,Qrr_Q3)*Fsw*Vout)</f>
        <v>0.30323520000000004</v>
      </c>
      <c r="BB85" s="354">
        <f>CHOOSE(Table1[[#This Row],[Mode Digit]],0, IF(QrrSky_Q3&gt;0,QrrSky_Q3,Qrr_Q3)*Fsw*Vout,  IF(QrrSky_Q2&gt;0,QrrSky_Q2,Qrr_Q2)*Fsw*(Table1[[#This Row],[Vin]]-Table1[[#This Row],[Iout]]*Rdson1)+IF(QrrSky_Q3&gt;0,QrrSky_Q3,Qrr_Q3)*Fsw*Vout)</f>
        <v>0</v>
      </c>
      <c r="BC85" s="354">
        <f>CHOOSE(Table1[[#This Row],[Mode Digit]], Rs*Table1[[#This Row],[Irms BuSync]]^2, Rs*Table1[[#This Row],[Irms BoCtlr]]^2, Rs*(Table1[[#This Row],[Irms BuSync]]^2+Table1[[#This Row],[Irms BoCtlr]]^2))</f>
        <v>0.1518833535285565</v>
      </c>
      <c r="BD85" s="354">
        <f t="shared" si="5"/>
        <v>1.44</v>
      </c>
      <c r="BE85" s="354">
        <f>IF(Vout&gt;8, Iq*Vout, Iq*Table1[[#This Row],[Vin]])</f>
        <v>4.3799999999999999E-2</v>
      </c>
      <c r="BF85" s="354">
        <f>CHOOSE(Table1[[#This Row],[Mode Digit]], (Qg_Q1+Qg_Q2)*Fsw, (Qg_Q3+Qg_Q4)*Fsw, (Qg_Q1+Qg_Q2+Qg_Q3+Qg_Q4)*Fsw)*IF(Vout&gt;8, Vout, Table1[[#This Row],[Vin]])</f>
        <v>0.47303999999999996</v>
      </c>
      <c r="BG85" s="354">
        <f t="shared" si="6"/>
        <v>0.57269042016806726</v>
      </c>
      <c r="BH85" s="354">
        <f>Table1[[#This Row],[IQ Loss]]+Table1[[#This Row],[Switching Current Loss]]</f>
        <v>0.51683999999999997</v>
      </c>
      <c r="BI8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9.4323918757159344</v>
      </c>
      <c r="BJ85">
        <f>Vout*Table1[[#This Row],[Iout]]</f>
        <v>175.2</v>
      </c>
      <c r="BK85" s="550">
        <f>Table1[[#This Row],[Pout]]/(Table1[[#This Row],[Pout]]+Table1[[#This Row],[Total Loss]])</f>
        <v>0.94891258364856546</v>
      </c>
      <c r="BL8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220.90782047523655</v>
      </c>
      <c r="BM85" s="559">
        <f>IF(Table1[[#This Row],[Vin]]&gt;Vout, Table1[[#This Row],[Total Sync Bu MOSFET Loss]]*ThetaJA_Q2, ThetaJA_Q3*Table1[[#This Row],[Total Sync Bo MOSFET Loss]])</f>
        <v>53.210718531236964</v>
      </c>
      <c r="BN85" s="9"/>
      <c r="BO85" s="4">
        <f>Table1[[#This Row],[EFF, h]]*100</f>
        <v>94.89125836485654</v>
      </c>
      <c r="BP85" s="354">
        <f>Table1[[#This Row],[Total Inductor Loss]]</f>
        <v>1.6596986449840616</v>
      </c>
      <c r="BQ85" s="354">
        <f>Table1[[#This Row],[Total Control Bu MOSFET Loss]]+Table1[[#This Row],[Total Sync Bu MOSFET Loss]]+Table1[[#This Row],[Total Control Bo MOSFET Loss]]+Table1[[#This Row],[Total Sync Bo MOSFET Loss]]+Table1[[#This Row],[Reverse Recovery Loss MOSFET D BUCK]]+Table1[[#This Row],[Reverse Recovery Loss MOSFET D BOOST]]</f>
        <v>5.5868097768528955</v>
      </c>
      <c r="BR85" s="354">
        <f>Table1[[#This Row],[Total Control Bu MOSFET Loss]]+Table1[[#This Row],[Reverse Recovery Loss MOSFET D BUCK]]*0.66</f>
        <v>3.8819322399206091</v>
      </c>
      <c r="BS85" s="354">
        <f>Table1[[#This Row],[Total Sync Bu MOSFET Loss]]+Table1[[#This Row],[Reverse Recovery Loss MOSFET D BUCK]]*0.33</f>
        <v>0.98691292485394944</v>
      </c>
      <c r="BT85" s="354">
        <f xml:space="preserve"> Table1[[#This Row],[Total Control Bo MOSFET Loss]]+Table1[[#This Row],[Reverse Recovery Loss MOSFET D BOOST]]*0.66</f>
        <v>0</v>
      </c>
      <c r="BU85" s="354">
        <f xml:space="preserve"> Table1[[#This Row],[Total Sync Bo MOSFET Loss]]+Table1[[#This Row],[Reverse Recovery Loss MOSFET D BOOST]]*0.33</f>
        <v>0.7149322600783371</v>
      </c>
      <c r="BV85" s="354">
        <f>Table1[[#This Row],[Isense Shunt Loss]]</f>
        <v>0.1518833535285565</v>
      </c>
      <c r="CB85" s="18"/>
      <c r="CC85" s="19"/>
    </row>
    <row r="86" spans="1:81" x14ac:dyDescent="0.2">
      <c r="G86">
        <v>77</v>
      </c>
      <c r="H86" s="555">
        <f>VIN_min+(VIN_max-VIN_min)*(Table1[[#This Row],[Step]]/200)</f>
        <v>25.39</v>
      </c>
      <c r="I86" s="4" t="str">
        <f>IF(Mode = 2,IF(Table1[[#This Row],[Vin]]&gt;Vout, "BUCK","BOOST"),IF(Table1[[#This Row],[Vin]]&gt;VIN_BB_to_buck, "BUCK", IF(Table1[[#This Row],[Vin]]&lt;=VIN_boost_to_BB,"BOOST","BUCK-BST")))</f>
        <v>BUCK</v>
      </c>
      <c r="J86">
        <f>IF(Table1[[#This Row],[Mode]]="BOOST",2, IF(Table1[[#This Row],[Mode]]="BUCK", 1,3))</f>
        <v>1</v>
      </c>
      <c r="K86">
        <f t="shared" si="4"/>
        <v>12</v>
      </c>
      <c r="L86" s="4">
        <f>Vout*Table1[[#This Row],[Iout]]/(Table1[[#This Row],[Vin]]*Efficiency)</f>
        <v>7.2635310213304027</v>
      </c>
      <c r="M86" s="711">
        <f>MIN(1/Fsw,CHOOSE(Table1[[#This Row],[Mode Digit]],(Vout+(Rdson2+Rs+Rdcr)*Table1[[#This Row],[Iout]])/(Table1[[#This Row],[Vin]]+(Rs+Rdson2-Rdson1)*Table1[[#This Row],[Iout]])/Fsw,(Vout+(Rdson3+Rdcr)*Table1[[#This Row],[Iin]]-Table1[[#This Row],[Vin]])/(Vout+(Rdson3-Rdson4-Rs)*Table1[[#This Row],[Iin]])/Fsw,t1_Ph_II))</f>
        <v>9.670862837660633E-7</v>
      </c>
      <c r="N86" s="602">
        <f>CHOOSE(Table1[[#This Row],[Mode Digit]],1/Fsw-Table1[[#This Row],[t1_Ph_II]],1/Fsw-Table1[[#This Row],[t1_Ph_II]],(Vout/Fsw-Table1[[#This Row],[Vin]]*t1_Ph_II)/(Table1[[#This Row],[Vin]]+Vout))</f>
        <v>6.9958038290060336E-7</v>
      </c>
      <c r="O86" s="602">
        <f>1/Fsw-(Table1[[#This Row],[t1_Ph_II]]+Table1[[#This Row],[t2_Ph_I]])</f>
        <v>0</v>
      </c>
      <c r="P8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10.023700567834124</v>
      </c>
      <c r="Q86" s="4">
        <f>CHOOSE(Table1[[#This Row],[Mode Digit]],Table1[[#This Row],[I_0]]+1/Lf*(Table1[[#This Row],[Vin]]-Vout)*Table1[[#This Row],[t1_Ph_II]],Table1[[#This Row],[I_0]]+1/Lf*Table1[[#This Row],[Vin]]*Table1[[#This Row],[t1_Ph_II]],Table1[[#This Row],[I_0]]+(Table1[[#This Row],[Vin]]-Vout)/L*Table1[[#This Row],[t1_Ph_II]])</f>
        <v>13.976299432165876</v>
      </c>
      <c r="R86" s="4">
        <f>CHOOSE(Table1[[#This Row],[Mode Digit]],0,0,Table1[[#This Row],[I_1]]+Table1[[#This Row],[Vin]]/L*Table1[[#This Row],[t2_Ph_I]])</f>
        <v>0</v>
      </c>
      <c r="S86" s="4">
        <f>Fsw*(Table1[[#This Row],[I_0]]*Table1[[#This Row],[t1_Ph_II]]+Table1[[#This Row],[I_1]]*Table1[[#This Row],[t2_Ph_I]]+Table1[[#This Row],[I_2]]*Table1[[#This Row],[t3_Ph_III]])</f>
        <v>11.682796944011143</v>
      </c>
      <c r="T86" s="354">
        <f>MIN(1,CHOOSE(Table1[[#This Row],[Mode Digit]],(Vout+(Rdson2+Rs+Rdcr)*Table1[[#This Row],[Iout]])/(Table1[[#This Row],[Vin]]+(Rs+Rdson2-Rdson1)*Table1[[#This Row],[Iout]]),1,Fsw*Table1[[#This Row],[t2_Ph_I]]+Table1[[#This Row],[t1_Ph_II]]))</f>
        <v>0.58025177025963803</v>
      </c>
      <c r="U86" s="354">
        <f>MIN(1,CHOOSE(Table1[[#This Row],[Mode Digit]],0,(Vout+(Rdson3+Rdcr)*Table1[[#This Row],[Iin]]-Table1[[#This Row],[Vin]])/(Vout+(Rdson3-Rdson4-Rs)*Table1[[#This Row],[Iin]]),Fsw*Table1[[#This Row],[t1_Ph_II]]+Table1[[#This Row],[t3_Ph_III]]))</f>
        <v>0</v>
      </c>
      <c r="V86" s="4">
        <f>MAX(Table1[[#This Row],[I_0]:[I_2]])-MIN(Table1[[#This Row],[I_0]:[I_1]])</f>
        <v>3.9525988643317511</v>
      </c>
      <c r="W8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12.054124597630185</v>
      </c>
      <c r="X86" s="354">
        <f>(Table1[[#This Row],[Irms Lf]]^2*Rdcr*(1+Ltc*Ta-Ltc*25))/(1-Table1[[#This Row],[Irms Lf]]^2*Rdcr*Ltc*ThetaCa)</f>
        <v>0.90367712901499764</v>
      </c>
      <c r="Y86" s="354">
        <f>ABS(7.759*10^-3*Fsw^0.9458*(0.00787*Table1[[#This Row],[Ripple Current pk-pk]])^2.304)</f>
        <v>0.76264920926953395</v>
      </c>
      <c r="Z86" s="354">
        <f>Table1[[#This Row],[DCR    Loss]]+Table1[[#This Row],[Core Loss]]</f>
        <v>1.6663263382845317</v>
      </c>
      <c r="AA86" s="4">
        <f>IF(Table1[[#This Row],[Vin]]&gt;Vout, Table1[[#This Row],[Ripple Current pk-pk]]/SQRT(12), SQRT(Table1[[#This Row],[Duty Cycle BOOST Leg]]/(1-Table1[[#This Row],[Duty Cycle BOOST Leg]]))*SQRT(Table1[[#This Row],[Iout]]^2+(Table1[[#This Row],[Ripple Current pk-pk]]^2)/12))</f>
        <v>1.1410170091602729</v>
      </c>
      <c r="AB86" s="354">
        <f>RCoutEsr*Table1[[#This Row],[Irms Cout]]^2</f>
        <v>6.5095990759652727E-3</v>
      </c>
      <c r="AC86" s="354">
        <f>Table1[[#This Row],[Cout ESR Loss]]</f>
        <v>6.5095990759652727E-3</v>
      </c>
      <c r="AD86" s="354">
        <f>IF(Table1[[#This Row],[Vin]]&gt;Vout, SQRT(Table1[[#This Row],[Duty Cycle BUCK Leg]]*(1-Table1[[#This Row],[Duty Cycle BUCK Leg]]))*SQRT(Table1[[#This Row],[Iout]]^2+(Table1[[#This Row],[Ripple Current pk-pk]]^2)/12), Table1[[#This Row],[Ripple Current pk-pk]]/SQRT(12))</f>
        <v>5.9489230306175749</v>
      </c>
      <c r="AE86" s="354">
        <f>RCinEsr*Table1[[#This Row],[Irms Cin]]^2</f>
        <v>7.0779370448424389E-2</v>
      </c>
      <c r="AF86" s="549">
        <f>Table1[[#This Row],[Cin ESR Loss]]</f>
        <v>7.0779370448424389E-2</v>
      </c>
      <c r="AG8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9.1821400661768244</v>
      </c>
      <c r="AH86" s="354">
        <f>Rdson1*Table1[[#This Row],[Irms BuCtrl]]^2</f>
        <v>0.35410912401853695</v>
      </c>
      <c r="AI86" s="354">
        <f>CHOOSE(Table1[[#This Row],[Mode Digit]], (Table1[[#This Row],[Vin]]*Table1[[#This Row],[Iout]]/2)*(Fsw)*(Tr_buck+Tf_buck), 0, (Table1[[#This Row],[Vin]]*Table1[[#This Row],[Avg IL]]/2)*(Fsw/1)*(Tr_buck+Tf_buck))</f>
        <v>3.0213186801374019</v>
      </c>
      <c r="AJ86">
        <f>IF(Table1[[#This Row],[Vin]]&gt;Vout, IF(Table1[[#This Row],[Iout]]&gt;Table1[[#This Row],[Ripple Current pk-pk]]/2,0,ABS(Table1[[#This Row],[Iout]]-Table1[[#This Row],[Ripple Current pk-pk]]/2)*Vsd_Q1*Deadtime*Fsw),0)</f>
        <v>0</v>
      </c>
      <c r="AK86" s="354">
        <f>(Table1[[#This Row],[Dead Time Loss BuCtrl]]+Table1[[#This Row],[Transition Loss BuCtrl]]+Table1[[#This Row],[RDS(on) Loss BuCtrl]]*(1+RdsonTopTc*Ta-RdsonTopTc*25))/(1-Table1[[#This Row],[RDS(on) Loss BuCtrl]]*RdsonTopTc*ThetaJA_Q1)</f>
        <v>3.6889364580049406</v>
      </c>
      <c r="AL86" s="354">
        <f>CHOOSE(Table1[[#This Row],[Mode Digit]],SQRT((Fsw*(Table1[[#This Row],[t2_Ph_I]]+0))*((Table1[[#This Row],[I_0]]*Table1[[#This Row],[I_1]]+((Table1[[#This Row],[I_0]]-Table1[[#This Row],[I_1]])^2)/3))),0,SQRT((Fsw*(Table1[[#This Row],[t3_Ph_III]]+0))*((Table1[[#This Row],[I_0]]*Table1[[#This Row],[I_2]]+((Table1[[#This Row],[I_0]]-Table1[[#This Row],[I_2]])^2)/3))))</f>
        <v>7.8096237822511858</v>
      </c>
      <c r="AM86" s="354">
        <f>Rdson2*Table1[[#This Row],[Irms BuSync]]^2</f>
        <v>0.25615893920527399</v>
      </c>
      <c r="AN8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6" s="354">
        <f>(Table1[[#This Row],[Deadtime Loss BuSync]]+Table1[[#This Row],[RDS(on) Loss BuSync]]*(1+RdsonBotTc*Ta-RdsonBotTc*25))/(1-Table1[[#This Row],[RDS(on) Loss BuSync]]*RdsonBotTc*ThetaJA_Q2)</f>
        <v>0.88813101548944129</v>
      </c>
      <c r="AP86" s="354">
        <f>CHOOSE(Table1[[#This Row],[Mode Digit]],0,SQRT((Fsw*(Table1[[#This Row],[t1_Ph_II]]+0))*((Table1[[#This Row],[I_0]]*Table1[[#This Row],[I_1]]+((Table1[[#This Row],[I_0]]-Table1[[#This Row],[I_1]])^2)/3))),SQRT((Fsw*(Table1[[#This Row],[t2_Ph_I]]+0))*((Table1[[#This Row],[I_1]]*Table1[[#This Row],[I_2]]+((Table1[[#This Row],[I_1]]-Table1[[#This Row],[I_2]])^2)/3))))</f>
        <v>0</v>
      </c>
      <c r="AQ86" s="354">
        <f>Rdson4*Table1[[#This Row],[Irms BoCtlr]]^2</f>
        <v>0</v>
      </c>
      <c r="AR86" s="354">
        <f>CHOOSE(Table1[[#This Row],[Mode Digit]], 0, (Vout*Table1[[#This Row],[Iin]]/2)*(Fsw)*(Tr_boost+Tf_boost), (Vout*Iout/2)*(Fsw/1)*(Tr_boost+Tf_boost))</f>
        <v>0</v>
      </c>
      <c r="AS86">
        <f>IF(Table1[[#This Row],[Vin]]&gt;Vout, 0, IF(Table1[[#This Row],[Iin]]&gt;Table1[[#This Row],[Ripple Current pk-pk]]/2,0,ABS(Table1[[#This Row],[Iin]]-Table1[[#This Row],[Ripple Current pk-pk]]/2)*Vsd_Q4*Deadtime*Fsw))</f>
        <v>0</v>
      </c>
      <c r="AT86" s="354">
        <f>(Table1[[#This Row],[Dead Time Loss BoCtlr]]+Table1[[#This Row],[Transition Loss BoCtlr]]+Table1[[#This Row],[RDS(on) Loss BoCtlr]]*(1+RdsonTopTc*Ta-RdsonTopTc*25))/(1-Table1[[#This Row],[RDS(on) Loss BoCtlr]]*RdsonTopTc*ThetaJA_Q4)</f>
        <v>0</v>
      </c>
      <c r="AU8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12.054124597630185</v>
      </c>
      <c r="AV86" s="354">
        <f>Rdson3*Table1[[#This Row],[Irms BoSync]]^2</f>
        <v>0.61026806322381089</v>
      </c>
      <c r="AW8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6" s="354">
        <f>(Table1[[#This Row],[Deadtime Loss BoSync]]+Table1[[#This Row],[RDS(on) Loss BoSync]]*(1+RdsonBotTc*Ta-RdsonBotTc*25))/(1-Table1[[#This Row],[RDS(on) Loss BoSync]]*RdsonBotTc*ThetaJA_Q3)</f>
        <v>0.71498835768979241</v>
      </c>
      <c r="AY86" s="354">
        <f>CHOOSE(Table1[[#This Row],[Mode Digit]], Rdson3*Table1[[#This Row],[Irms Lf]]^2, Rdson1*Table1[[#This Row],[Irms Lf]]^2, 0)</f>
        <v>0.61026806322381089</v>
      </c>
      <c r="AZ86" s="354">
        <f>CHOOSE(Table1[[#This Row],[Mode Digit]], 2*Deadtime*Fsw*IF(VfdSky_Q2&gt;0,VfdSky_Q2,0)*Table1[[#This Row],[Iout]], 2*Deadtime*Fsw*IF(VfdSky_Q3&gt;0,VfdSky_Q3,0)*Table1[[#This Row],[Iin]], 2*Deadtime*Fsw*IF(VfdSky_Q2&gt;0,VfdSky_Q2,0)*Table1[[#This Row],[Iout]]+2*Deadtime*Fsw*IF(VfdSky_Q3&gt;0,VfdSky_Q3,0)*Table1[[#This Row],[Iin]])</f>
        <v>0</v>
      </c>
      <c r="BA86" s="354">
        <f>CHOOSE(Table1[[#This Row],[Mode Digit]], IF(QrrSky_Q2&gt;0,QrrSky_Q2,Qrr_Q2)*Fsw*(Table1[[#This Row],[Vin]]-Table1[[#This Row],[Iout]]*Rdson1),0,  IF(QrrSky_Q2&gt;0,QrrSky_Q2,Qrr_Q2)*Fsw*(Table1[[#This Row],[Vin]]-Table1[[#This Row],[Iout]]*Rdson1)+IF(QrrSky_Q3&gt;0,QrrSky_Q3,Qrr_Q3)*Fsw*Vout)</f>
        <v>0.30407519999999999</v>
      </c>
      <c r="BB86" s="354">
        <f>CHOOSE(Table1[[#This Row],[Mode Digit]],0, IF(QrrSky_Q3&gt;0,QrrSky_Q3,Qrr_Q3)*Fsw*Vout,  IF(QrrSky_Q2&gt;0,QrrSky_Q2,Qrr_Q2)*Fsw*(Table1[[#This Row],[Vin]]-Table1[[#This Row],[Iout]]*Rdson1)+IF(QrrSky_Q3&gt;0,QrrSky_Q3,Qrr_Q3)*Fsw*Vout)</f>
        <v>0</v>
      </c>
      <c r="BC86" s="354">
        <f>CHOOSE(Table1[[#This Row],[Mode Digit]], Rs*Table1[[#This Row],[Irms BuSync]]^2, Rs*Table1[[#This Row],[Irms BoCtlr]]^2, Rs*(Table1[[#This Row],[Irms BuSync]]^2+Table1[[#This Row],[Irms BoCtlr]]^2))</f>
        <v>0.1524755590507583</v>
      </c>
      <c r="BD86" s="354">
        <f t="shared" si="5"/>
        <v>1.44</v>
      </c>
      <c r="BE86" s="354">
        <f>IF(Vout&gt;8, Iq*Vout, Iq*Table1[[#This Row],[Vin]])</f>
        <v>4.3799999999999999E-2</v>
      </c>
      <c r="BF86" s="354">
        <f>CHOOSE(Table1[[#This Row],[Mode Digit]], (Qg_Q1+Qg_Q2)*Fsw, (Qg_Q3+Qg_Q4)*Fsw, (Qg_Q1+Qg_Q2+Qg_Q3+Qg_Q4)*Fsw)*IF(Vout&gt;8, Vout, Table1[[#This Row],[Vin]])</f>
        <v>0.47303999999999996</v>
      </c>
      <c r="BG86" s="354">
        <f t="shared" si="6"/>
        <v>0.57269042016806726</v>
      </c>
      <c r="BH86" s="354">
        <f>Table1[[#This Row],[IQ Loss]]+Table1[[#This Row],[Switching Current Loss]]</f>
        <v>0.51683999999999997</v>
      </c>
      <c r="BI8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9.449061898043853</v>
      </c>
      <c r="BJ86">
        <f>Vout*Table1[[#This Row],[Iout]]</f>
        <v>175.2</v>
      </c>
      <c r="BK86" s="550">
        <f>Table1[[#This Row],[Pout]]/(Table1[[#This Row],[Pout]]+Table1[[#This Row],[Total Loss]])</f>
        <v>0.9488269163086176</v>
      </c>
      <c r="BL8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221.33618748029645</v>
      </c>
      <c r="BM86" s="559">
        <f>IF(Table1[[#This Row],[Vin]]&gt;Vout, Table1[[#This Row],[Total Sync Bu MOSFET Loss]]*ThetaJA_Q2, ThetaJA_Q3*Table1[[#This Row],[Total Sync Bo MOSFET Loss]])</f>
        <v>53.287860929366474</v>
      </c>
      <c r="BN86" s="9"/>
      <c r="BO86" s="4">
        <f>Table1[[#This Row],[EFF, h]]*100</f>
        <v>94.882691630861757</v>
      </c>
      <c r="BP86" s="354">
        <f>Table1[[#This Row],[Total Inductor Loss]]</f>
        <v>1.6663263382845317</v>
      </c>
      <c r="BQ86" s="354">
        <f>Table1[[#This Row],[Total Control Bu MOSFET Loss]]+Table1[[#This Row],[Total Sync Bu MOSFET Loss]]+Table1[[#This Row],[Total Control Bo MOSFET Loss]]+Table1[[#This Row],[Total Sync Bo MOSFET Loss]]+Table1[[#This Row],[Reverse Recovery Loss MOSFET D BUCK]]+Table1[[#This Row],[Reverse Recovery Loss MOSFET D BOOST]]</f>
        <v>5.5961310311841741</v>
      </c>
      <c r="BR86" s="354">
        <f>Table1[[#This Row],[Total Control Bu MOSFET Loss]]+Table1[[#This Row],[Reverse Recovery Loss MOSFET D BUCK]]*0.66</f>
        <v>3.8896260900049406</v>
      </c>
      <c r="BS86" s="354">
        <f>Table1[[#This Row],[Total Sync Bu MOSFET Loss]]+Table1[[#This Row],[Reverse Recovery Loss MOSFET D BUCK]]*0.33</f>
        <v>0.98847583148944129</v>
      </c>
      <c r="BT86" s="354">
        <f xml:space="preserve"> Table1[[#This Row],[Total Control Bo MOSFET Loss]]+Table1[[#This Row],[Reverse Recovery Loss MOSFET D BOOST]]*0.66</f>
        <v>0</v>
      </c>
      <c r="BU86" s="354">
        <f xml:space="preserve"> Table1[[#This Row],[Total Sync Bo MOSFET Loss]]+Table1[[#This Row],[Reverse Recovery Loss MOSFET D BOOST]]*0.33</f>
        <v>0.71498835768979241</v>
      </c>
      <c r="BV86" s="354">
        <f>Table1[[#This Row],[Isense Shunt Loss]]</f>
        <v>0.1524755590507583</v>
      </c>
      <c r="CB86" s="18"/>
      <c r="CC86" s="19"/>
    </row>
    <row r="87" spans="1:81" x14ac:dyDescent="0.2">
      <c r="G87">
        <v>78</v>
      </c>
      <c r="H87" s="555">
        <f>VIN_min+(VIN_max-VIN_min)*(Table1[[#This Row],[Step]]/200)</f>
        <v>25.46</v>
      </c>
      <c r="I87" s="4" t="str">
        <f>IF(Mode = 2,IF(Table1[[#This Row],[Vin]]&gt;Vout, "BUCK","BOOST"),IF(Table1[[#This Row],[Vin]]&gt;VIN_BB_to_buck, "BUCK", IF(Table1[[#This Row],[Vin]]&lt;=VIN_boost_to_BB,"BOOST","BUCK-BST")))</f>
        <v>BUCK</v>
      </c>
      <c r="J87">
        <f>IF(Table1[[#This Row],[Mode]]="BOOST",2, IF(Table1[[#This Row],[Mode]]="BUCK", 1,3))</f>
        <v>1</v>
      </c>
      <c r="K87">
        <f t="shared" si="4"/>
        <v>12</v>
      </c>
      <c r="L87" s="4">
        <f>Vout*Table1[[#This Row],[Iout]]/(Table1[[#This Row],[Vin]]*Efficiency)</f>
        <v>7.2435605903998006</v>
      </c>
      <c r="M87" s="711">
        <f>MIN(1/Fsw,CHOOSE(Table1[[#This Row],[Mode Digit]],(Vout+(Rdson2+Rs+Rdcr)*Table1[[#This Row],[Iout]])/(Table1[[#This Row],[Vin]]+(Rs+Rdson2-Rdson1)*Table1[[#This Row],[Iout]])/Fsw,(Vout+(Rdson3+Rdcr)*Table1[[#This Row],[Iin]]-Table1[[#This Row],[Vin]])/(Vout+(Rdson3-Rdson4-Rs)*Table1[[#This Row],[Iin]])/Fsw,t1_Ph_II))</f>
        <v>9.6443049561919698E-7</v>
      </c>
      <c r="N87" s="602">
        <f>CHOOSE(Table1[[#This Row],[Mode Digit]],1/Fsw-Table1[[#This Row],[t1_Ph_II]],1/Fsw-Table1[[#This Row],[t1_Ph_II]],(Vout/Fsw-Table1[[#This Row],[Vin]]*t1_Ph_II)/(Table1[[#This Row],[Vin]]+Vout))</f>
        <v>7.0223617104746969E-7</v>
      </c>
      <c r="O87" s="602">
        <f>1/Fsw-(Table1[[#This Row],[t1_Ph_II]]+Table1[[#This Row],[t2_Ph_I]])</f>
        <v>0</v>
      </c>
      <c r="P8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10.016341821510515</v>
      </c>
      <c r="Q87" s="4">
        <f>CHOOSE(Table1[[#This Row],[Mode Digit]],Table1[[#This Row],[I_0]]+1/Lf*(Table1[[#This Row],[Vin]]-Vout)*Table1[[#This Row],[t1_Ph_II]],Table1[[#This Row],[I_0]]+1/Lf*Table1[[#This Row],[Vin]]*Table1[[#This Row],[t1_Ph_II]],Table1[[#This Row],[I_0]]+(Table1[[#This Row],[Vin]]-Vout)/L*Table1[[#This Row],[t1_Ph_II]])</f>
        <v>13.983658178489485</v>
      </c>
      <c r="R87" s="4">
        <f>CHOOSE(Table1[[#This Row],[Mode Digit]],0,0,Table1[[#This Row],[I_1]]+Table1[[#This Row],[Vin]]/L*Table1[[#This Row],[t2_Ph_I]])</f>
        <v>0</v>
      </c>
      <c r="S87" s="4">
        <f>Fsw*(Table1[[#This Row],[I_0]]*Table1[[#This Row],[t1_Ph_II]]+Table1[[#This Row],[I_1]]*Table1[[#This Row],[t2_Ph_I]]+Table1[[#This Row],[I_2]]*Table1[[#This Row],[t3_Ph_III]])</f>
        <v>11.687937650225859</v>
      </c>
      <c r="T87" s="354">
        <f>MIN(1,CHOOSE(Table1[[#This Row],[Mode Digit]],(Vout+(Rdson2+Rs+Rdcr)*Table1[[#This Row],[Iout]])/(Table1[[#This Row],[Vin]]+(Rs+Rdson2-Rdson1)*Table1[[#This Row],[Iout]]),1,Fsw*Table1[[#This Row],[t2_Ph_I]]+Table1[[#This Row],[t1_Ph_II]]))</f>
        <v>0.57865829737151819</v>
      </c>
      <c r="U87" s="354">
        <f>MIN(1,CHOOSE(Table1[[#This Row],[Mode Digit]],0,(Vout+(Rdson3+Rdcr)*Table1[[#This Row],[Iin]]-Table1[[#This Row],[Vin]])/(Vout+(Rdson3-Rdson4-Rs)*Table1[[#This Row],[Iin]]),Fsw*Table1[[#This Row],[t1_Ph_II]]+Table1[[#This Row],[t3_Ph_III]]))</f>
        <v>0</v>
      </c>
      <c r="V87" s="4">
        <f>MAX(Table1[[#This Row],[I_0]:[I_2]])-MIN(Table1[[#This Row],[I_0]:[I_1]])</f>
        <v>3.9673163569789693</v>
      </c>
      <c r="W8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12.054527500336242</v>
      </c>
      <c r="X87" s="354">
        <f>(Table1[[#This Row],[Irms Lf]]^2*Rdcr*(1+Ltc*Ta-Ltc*25))/(1-Table1[[#This Row],[Irms Lf]]^2*Rdcr*Ltc*ThetaCa)</f>
        <v>0.90374190754618289</v>
      </c>
      <c r="Y87" s="354">
        <f>ABS(7.759*10^-3*Fsw^0.9458*(0.00787*Table1[[#This Row],[Ripple Current pk-pk]])^2.304)</f>
        <v>0.76920781991339493</v>
      </c>
      <c r="Z87" s="354">
        <f>Table1[[#This Row],[DCR    Loss]]+Table1[[#This Row],[Core Loss]]</f>
        <v>1.6729497274595779</v>
      </c>
      <c r="AA87" s="4">
        <f>IF(Table1[[#This Row],[Vin]]&gt;Vout, Table1[[#This Row],[Ripple Current pk-pk]]/SQRT(12), SQRT(Table1[[#This Row],[Duty Cycle BOOST Leg]]/(1-Table1[[#This Row],[Duty Cycle BOOST Leg]]))*SQRT(Table1[[#This Row],[Iout]]^2+(Table1[[#This Row],[Ripple Current pk-pk]]^2)/12))</f>
        <v>1.1452655833311067</v>
      </c>
      <c r="AB87" s="354">
        <f>RCoutEsr*Table1[[#This Row],[Irms Cout]]^2</f>
        <v>6.5581662818137015E-3</v>
      </c>
      <c r="AC87" s="354">
        <f>Table1[[#This Row],[Cout ESR Loss]]</f>
        <v>6.5581662818137015E-3</v>
      </c>
      <c r="AD87" s="354">
        <f>IF(Table1[[#This Row],[Vin]]&gt;Vout, SQRT(Table1[[#This Row],[Duty Cycle BUCK Leg]]*(1-Table1[[#This Row],[Duty Cycle BUCK Leg]]))*SQRT(Table1[[#This Row],[Iout]]^2+(Table1[[#This Row],[Ripple Current pk-pk]]^2)/12), Table1[[#This Row],[Ripple Current pk-pk]]/SQRT(12))</f>
        <v>5.9522135946421528</v>
      </c>
      <c r="AE87" s="354">
        <f>RCinEsr*Table1[[#This Row],[Irms Cin]]^2</f>
        <v>7.0857693352485707E-2</v>
      </c>
      <c r="AF87" s="549">
        <f>Table1[[#This Row],[Cin ESR Loss]]</f>
        <v>7.0857693352485707E-2</v>
      </c>
      <c r="AG8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9.1698300032444084</v>
      </c>
      <c r="AH87" s="354">
        <f>Rdson1*Table1[[#This Row],[Irms BuCtrl]]^2</f>
        <v>0.35316028561128571</v>
      </c>
      <c r="AI87" s="354">
        <f>CHOOSE(Table1[[#This Row],[Mode Digit]], (Table1[[#This Row],[Vin]]*Table1[[#This Row],[Iout]]/2)*(Fsw)*(Tr_buck+Tf_buck), 0, (Table1[[#This Row],[Vin]]*Table1[[#This Row],[Avg IL]]/2)*(Fsw/1)*(Tr_buck+Tf_buck))</f>
        <v>3.0296484283693679</v>
      </c>
      <c r="AJ87">
        <f>IF(Table1[[#This Row],[Vin]]&gt;Vout, IF(Table1[[#This Row],[Iout]]&gt;Table1[[#This Row],[Ripple Current pk-pk]]/2,0,ABS(Table1[[#This Row],[Iout]]-Table1[[#This Row],[Ripple Current pk-pk]]/2)*Vsd_Q1*Deadtime*Fsw),0)</f>
        <v>0</v>
      </c>
      <c r="AK87" s="354">
        <f>(Table1[[#This Row],[Dead Time Loss BuCtrl]]+Table1[[#This Row],[Transition Loss BuCtrl]]+Table1[[#This Row],[RDS(on) Loss BuCtrl]]*(1+RdsonTopTc*Ta-RdsonTopTc*25))/(1-Table1[[#This Row],[RDS(on) Loss BuCtrl]]*RdsonTopTc*ThetaJA_Q1)</f>
        <v>3.6960830531905251</v>
      </c>
      <c r="AL87" s="354">
        <f>CHOOSE(Table1[[#This Row],[Mode Digit]],SQRT((Fsw*(Table1[[#This Row],[t2_Ph_I]]+0))*((Table1[[#This Row],[I_0]]*Table1[[#This Row],[I_1]]+((Table1[[#This Row],[I_0]]-Table1[[#This Row],[I_1]])^2)/3))),0,SQRT((Fsw*(Table1[[#This Row],[t3_Ph_III]]+0))*((Table1[[#This Row],[I_0]]*Table1[[#This Row],[I_2]]+((Table1[[#This Row],[I_0]]-Table1[[#This Row],[I_2]])^2)/3))))</f>
        <v>7.8246949440832134</v>
      </c>
      <c r="AM87" s="354">
        <f>Rdson2*Table1[[#This Row],[Irms BuSync]]^2</f>
        <v>0.2571485740654379</v>
      </c>
      <c r="AN8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7" s="354">
        <f>(Table1[[#This Row],[Deadtime Loss BuSync]]+Table1[[#This Row],[RDS(on) Loss BuSync]]*(1+RdsonBotTc*Ta-RdsonBotTc*25))/(1-Table1[[#This Row],[RDS(on) Loss BuSync]]*RdsonBotTc*ThetaJA_Q2)</f>
        <v>0.88941056040491417</v>
      </c>
      <c r="AP87" s="354">
        <f>CHOOSE(Table1[[#This Row],[Mode Digit]],0,SQRT((Fsw*(Table1[[#This Row],[t1_Ph_II]]+0))*((Table1[[#This Row],[I_0]]*Table1[[#This Row],[I_1]]+((Table1[[#This Row],[I_0]]-Table1[[#This Row],[I_1]])^2)/3))),SQRT((Fsw*(Table1[[#This Row],[t2_Ph_I]]+0))*((Table1[[#This Row],[I_1]]*Table1[[#This Row],[I_2]]+((Table1[[#This Row],[I_1]]-Table1[[#This Row],[I_2]])^2)/3))))</f>
        <v>0</v>
      </c>
      <c r="AQ87" s="354">
        <f>Rdson4*Table1[[#This Row],[Irms BoCtlr]]^2</f>
        <v>0</v>
      </c>
      <c r="AR87" s="354">
        <f>CHOOSE(Table1[[#This Row],[Mode Digit]], 0, (Vout*Table1[[#This Row],[Iin]]/2)*(Fsw)*(Tr_boost+Tf_boost), (Vout*Iout/2)*(Fsw/1)*(Tr_boost+Tf_boost))</f>
        <v>0</v>
      </c>
      <c r="AS87">
        <f>IF(Table1[[#This Row],[Vin]]&gt;Vout, 0, IF(Table1[[#This Row],[Iin]]&gt;Table1[[#This Row],[Ripple Current pk-pk]]/2,0,ABS(Table1[[#This Row],[Iin]]-Table1[[#This Row],[Ripple Current pk-pk]]/2)*Vsd_Q4*Deadtime*Fsw))</f>
        <v>0</v>
      </c>
      <c r="AT87" s="354">
        <f>(Table1[[#This Row],[Dead Time Loss BoCtlr]]+Table1[[#This Row],[Transition Loss BoCtlr]]+Table1[[#This Row],[RDS(on) Loss BoCtlr]]*(1+RdsonTopTc*Ta-RdsonTopTc*25))/(1-Table1[[#This Row],[RDS(on) Loss BoCtlr]]*RdsonTopTc*ThetaJA_Q4)</f>
        <v>0</v>
      </c>
      <c r="AU8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12.054527500336242</v>
      </c>
      <c r="AV87" s="354">
        <f>Rdson3*Table1[[#This Row],[Irms BoSync]]^2</f>
        <v>0.61030885967672355</v>
      </c>
      <c r="AW8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7" s="354">
        <f>(Table1[[#This Row],[Deadtime Loss BoSync]]+Table1[[#This Row],[RDS(on) Loss BoSync]]*(1+RdsonBotTc*Ta-RdsonBotTc*25))/(1-Table1[[#This Row],[RDS(on) Loss BoSync]]*RdsonBotTc*ThetaJA_Q3)</f>
        <v>0.71504435717582426</v>
      </c>
      <c r="AY87" s="354">
        <f>CHOOSE(Table1[[#This Row],[Mode Digit]], Rdson3*Table1[[#This Row],[Irms Lf]]^2, Rdson1*Table1[[#This Row],[Irms Lf]]^2, 0)</f>
        <v>0.61030885967672355</v>
      </c>
      <c r="AZ87" s="354">
        <f>CHOOSE(Table1[[#This Row],[Mode Digit]], 2*Deadtime*Fsw*IF(VfdSky_Q2&gt;0,VfdSky_Q2,0)*Table1[[#This Row],[Iout]], 2*Deadtime*Fsw*IF(VfdSky_Q3&gt;0,VfdSky_Q3,0)*Table1[[#This Row],[Iin]], 2*Deadtime*Fsw*IF(VfdSky_Q2&gt;0,VfdSky_Q2,0)*Table1[[#This Row],[Iout]]+2*Deadtime*Fsw*IF(VfdSky_Q3&gt;0,VfdSky_Q3,0)*Table1[[#This Row],[Iin]])</f>
        <v>0</v>
      </c>
      <c r="BA87" s="354">
        <f>CHOOSE(Table1[[#This Row],[Mode Digit]], IF(QrrSky_Q2&gt;0,QrrSky_Q2,Qrr_Q2)*Fsw*(Table1[[#This Row],[Vin]]-Table1[[#This Row],[Iout]]*Rdson1),0,  IF(QrrSky_Q2&gt;0,QrrSky_Q2,Qrr_Q2)*Fsw*(Table1[[#This Row],[Vin]]-Table1[[#This Row],[Iout]]*Rdson1)+IF(QrrSky_Q3&gt;0,QrrSky_Q3,Qrr_Q3)*Fsw*Vout)</f>
        <v>0.3049152</v>
      </c>
      <c r="BB87" s="354">
        <f>CHOOSE(Table1[[#This Row],[Mode Digit]],0, IF(QrrSky_Q3&gt;0,QrrSky_Q3,Qrr_Q3)*Fsw*Vout,  IF(QrrSky_Q2&gt;0,QrrSky_Q2,Qrr_Q2)*Fsw*(Table1[[#This Row],[Vin]]-Table1[[#This Row],[Iout]]*Rdson1)+IF(QrrSky_Q3&gt;0,QrrSky_Q3,Qrr_Q3)*Fsw*Vout)</f>
        <v>0</v>
      </c>
      <c r="BC87" s="354">
        <f>CHOOSE(Table1[[#This Row],[Mode Digit]], Rs*Table1[[#This Row],[Irms BuSync]]^2, Rs*Table1[[#This Row],[Irms BoCtlr]]^2, Rs*(Table1[[#This Row],[Irms BuSync]]^2+Table1[[#This Row],[Irms BoCtlr]]^2))</f>
        <v>0.15306462741990351</v>
      </c>
      <c r="BD87" s="354">
        <f t="shared" si="5"/>
        <v>1.44</v>
      </c>
      <c r="BE87" s="354">
        <f>IF(Vout&gt;8, Iq*Vout, Iq*Table1[[#This Row],[Vin]])</f>
        <v>4.3799999999999999E-2</v>
      </c>
      <c r="BF87" s="354">
        <f>CHOOSE(Table1[[#This Row],[Mode Digit]], (Qg_Q1+Qg_Q2)*Fsw, (Qg_Q3+Qg_Q4)*Fsw, (Qg_Q1+Qg_Q2+Qg_Q3+Qg_Q4)*Fsw)*IF(Vout&gt;8, Vout, Table1[[#This Row],[Vin]])</f>
        <v>0.47303999999999996</v>
      </c>
      <c r="BG87" s="354">
        <f t="shared" si="6"/>
        <v>0.57269042016806726</v>
      </c>
      <c r="BH87" s="354">
        <f>Table1[[#This Row],[IQ Loss]]+Table1[[#This Row],[Switching Current Loss]]</f>
        <v>0.51683999999999997</v>
      </c>
      <c r="BI8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9.4657233852850435</v>
      </c>
      <c r="BJ87">
        <f>Vout*Table1[[#This Row],[Iout]]</f>
        <v>175.2</v>
      </c>
      <c r="BK87" s="550">
        <f>Table1[[#This Row],[Pout]]/(Table1[[#This Row],[Pout]]+Table1[[#This Row],[Total Loss]])</f>
        <v>0.94874130828526404</v>
      </c>
      <c r="BL8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221.7649831914315</v>
      </c>
      <c r="BM87" s="559">
        <f>IF(Table1[[#This Row],[Vin]]&gt;Vout, Table1[[#This Row],[Total Sync Bu MOSFET Loss]]*ThetaJA_Q2, ThetaJA_Q3*Table1[[#This Row],[Total Sync Bo MOSFET Loss]])</f>
        <v>53.364633624294854</v>
      </c>
      <c r="BN87" s="9"/>
      <c r="BO87" s="4">
        <f>Table1[[#This Row],[EFF, h]]*100</f>
        <v>94.874130828526404</v>
      </c>
      <c r="BP87" s="354">
        <f>Table1[[#This Row],[Total Inductor Loss]]</f>
        <v>1.6729497274595779</v>
      </c>
      <c r="BQ87" s="354">
        <f>Table1[[#This Row],[Total Control Bu MOSFET Loss]]+Table1[[#This Row],[Total Sync Bu MOSFET Loss]]+Table1[[#This Row],[Total Control Bo MOSFET Loss]]+Table1[[#This Row],[Total Sync Bo MOSFET Loss]]+Table1[[#This Row],[Reverse Recovery Loss MOSFET D BUCK]]+Table1[[#This Row],[Reverse Recovery Loss MOSFET D BOOST]]</f>
        <v>5.6054531707712627</v>
      </c>
      <c r="BR87" s="354">
        <f>Table1[[#This Row],[Total Control Bu MOSFET Loss]]+Table1[[#This Row],[Reverse Recovery Loss MOSFET D BUCK]]*0.66</f>
        <v>3.8973270851905251</v>
      </c>
      <c r="BS87" s="354">
        <f>Table1[[#This Row],[Total Sync Bu MOSFET Loss]]+Table1[[#This Row],[Reverse Recovery Loss MOSFET D BUCK]]*0.33</f>
        <v>0.99003257640491416</v>
      </c>
      <c r="BT87" s="354">
        <f xml:space="preserve"> Table1[[#This Row],[Total Control Bo MOSFET Loss]]+Table1[[#This Row],[Reverse Recovery Loss MOSFET D BOOST]]*0.66</f>
        <v>0</v>
      </c>
      <c r="BU87" s="354">
        <f xml:space="preserve"> Table1[[#This Row],[Total Sync Bo MOSFET Loss]]+Table1[[#This Row],[Reverse Recovery Loss MOSFET D BOOST]]*0.33</f>
        <v>0.71504435717582426</v>
      </c>
      <c r="BV87" s="354">
        <f>Table1[[#This Row],[Isense Shunt Loss]]</f>
        <v>0.15306462741990351</v>
      </c>
      <c r="CB87" s="18"/>
      <c r="CC87" s="19"/>
    </row>
    <row r="88" spans="1:81" x14ac:dyDescent="0.2">
      <c r="G88">
        <v>79</v>
      </c>
      <c r="H88" s="555">
        <f>VIN_min+(VIN_max-VIN_min)*(Table1[[#This Row],[Step]]/200)</f>
        <v>25.53</v>
      </c>
      <c r="I88" s="4" t="str">
        <f>IF(Mode = 2,IF(Table1[[#This Row],[Vin]]&gt;Vout, "BUCK","BOOST"),IF(Table1[[#This Row],[Vin]]&gt;VIN_BB_to_buck, "BUCK", IF(Table1[[#This Row],[Vin]]&lt;=VIN_boost_to_BB,"BOOST","BUCK-BST")))</f>
        <v>BUCK</v>
      </c>
      <c r="J88">
        <f>IF(Table1[[#This Row],[Mode]]="BOOST",2, IF(Table1[[#This Row],[Mode]]="BUCK", 1,3))</f>
        <v>1</v>
      </c>
      <c r="K88">
        <f t="shared" si="4"/>
        <v>12</v>
      </c>
      <c r="L88" s="4">
        <f>Vout*Table1[[#This Row],[Iout]]/(Table1[[#This Row],[Vin]]*Efficiency)</f>
        <v>7.2236996722122582</v>
      </c>
      <c r="M88" s="711">
        <f>MIN(1/Fsw,CHOOSE(Table1[[#This Row],[Mode Digit]],(Vout+(Rdson2+Rs+Rdcr)*Table1[[#This Row],[Iout]])/(Table1[[#This Row],[Vin]]+(Rs+Rdson2-Rdson1)*Table1[[#This Row],[Iout]])/Fsw,(Vout+(Rdson3+Rdcr)*Table1[[#This Row],[Iin]]-Table1[[#This Row],[Vin]])/(Vout+(Rdson3-Rdson4-Rs)*Table1[[#This Row],[Iin]])/Fsw,t1_Ph_II))</f>
        <v>9.6178925404277498E-7</v>
      </c>
      <c r="N88" s="602">
        <f>CHOOSE(Table1[[#This Row],[Mode Digit]],1/Fsw-Table1[[#This Row],[t1_Ph_II]],1/Fsw-Table1[[#This Row],[t1_Ph_II]],(Vout/Fsw-Table1[[#This Row],[Vin]]*t1_Ph_II)/(Table1[[#This Row],[Vin]]+Vout))</f>
        <v>7.0487741262389168E-7</v>
      </c>
      <c r="O88" s="602">
        <f>1/Fsw-(Table1[[#This Row],[t1_Ph_II]]+Table1[[#This Row],[t2_Ph_I]])</f>
        <v>0</v>
      </c>
      <c r="P8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10.009023381309179</v>
      </c>
      <c r="Q88" s="4">
        <f>CHOOSE(Table1[[#This Row],[Mode Digit]],Table1[[#This Row],[I_0]]+1/Lf*(Table1[[#This Row],[Vin]]-Vout)*Table1[[#This Row],[t1_Ph_II]],Table1[[#This Row],[I_0]]+1/Lf*Table1[[#This Row],[Vin]]*Table1[[#This Row],[t1_Ph_II]],Table1[[#This Row],[I_0]]+(Table1[[#This Row],[Vin]]-Vout)/L*Table1[[#This Row],[t1_Ph_II]])</f>
        <v>13.990976618690819</v>
      </c>
      <c r="R88" s="4">
        <f>CHOOSE(Table1[[#This Row],[Mode Digit]],0,0,Table1[[#This Row],[I_1]]+Table1[[#This Row],[Vin]]/L*Table1[[#This Row],[t2_Ph_I]])</f>
        <v>0</v>
      </c>
      <c r="S88" s="4">
        <f>Fsw*(Table1[[#This Row],[I_0]]*Table1[[#This Row],[t1_Ph_II]]+Table1[[#This Row],[I_1]]*Table1[[#This Row],[t2_Ph_I]]+Table1[[#This Row],[I_2]]*Table1[[#This Row],[t3_Ph_III]])</f>
        <v>11.693096718402119</v>
      </c>
      <c r="T88" s="354">
        <f>MIN(1,CHOOSE(Table1[[#This Row],[Mode Digit]],(Vout+(Rdson2+Rs+Rdcr)*Table1[[#This Row],[Iout]])/(Table1[[#This Row],[Vin]]+(Rs+Rdson2-Rdson1)*Table1[[#This Row],[Iout]]),1,Fsw*Table1[[#This Row],[t2_Ph_I]]+Table1[[#This Row],[t1_Ph_II]]))</f>
        <v>0.57707355242566505</v>
      </c>
      <c r="U88" s="354">
        <f>MIN(1,CHOOSE(Table1[[#This Row],[Mode Digit]],0,(Vout+(Rdson3+Rdcr)*Table1[[#This Row],[Iin]]-Table1[[#This Row],[Vin]])/(Vout+(Rdson3-Rdson4-Rs)*Table1[[#This Row],[Iin]]),Fsw*Table1[[#This Row],[t1_Ph_II]]+Table1[[#This Row],[t3_Ph_III]]))</f>
        <v>0</v>
      </c>
      <c r="V88" s="4">
        <f>MAX(Table1[[#This Row],[I_0]:[I_2]])-MIN(Table1[[#This Row],[I_0]:[I_1]])</f>
        <v>3.9819532373816404</v>
      </c>
      <c r="W8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12.054929667929402</v>
      </c>
      <c r="X88" s="354">
        <f>(Table1[[#This Row],[Irms Lf]]^2*Rdcr*(1+Ltc*Ta-Ltc*25))/(1-Table1[[#This Row],[Irms Lf]]^2*Rdcr*Ltc*ThetaCa)</f>
        <v>0.90380657066990588</v>
      </c>
      <c r="Y88" s="354">
        <f>ABS(7.759*10^-3*Fsw^0.9458*(0.00787*Table1[[#This Row],[Ripple Current pk-pk]])^2.304)</f>
        <v>0.77576204983840247</v>
      </c>
      <c r="Z88" s="354">
        <f>Table1[[#This Row],[DCR    Loss]]+Table1[[#This Row],[Core Loss]]</f>
        <v>1.6795686205083085</v>
      </c>
      <c r="AA88" s="4">
        <f>IF(Table1[[#This Row],[Vin]]&gt;Vout, Table1[[#This Row],[Ripple Current pk-pk]]/SQRT(12), SQRT(Table1[[#This Row],[Duty Cycle BOOST Leg]]/(1-Table1[[#This Row],[Duty Cycle BOOST Leg]]))*SQRT(Table1[[#This Row],[Iout]]^2+(Table1[[#This Row],[Ripple Current pk-pk]]^2)/12))</f>
        <v>1.149490886751396</v>
      </c>
      <c r="AB88" s="354">
        <f>RCoutEsr*Table1[[#This Row],[Irms Cout]]^2</f>
        <v>6.6066464936225533E-3</v>
      </c>
      <c r="AC88" s="354">
        <f>Table1[[#This Row],[Cout ESR Loss]]</f>
        <v>6.6066464936225533E-3</v>
      </c>
      <c r="AD88" s="354">
        <f>IF(Table1[[#This Row],[Vin]]&gt;Vout, SQRT(Table1[[#This Row],[Duty Cycle BUCK Leg]]*(1-Table1[[#This Row],[Duty Cycle BUCK Leg]]))*SQRT(Table1[[#This Row],[Iout]]^2+(Table1[[#This Row],[Ripple Current pk-pk]]^2)/12), Table1[[#This Row],[Ripple Current pk-pk]]/SQRT(12))</f>
        <v>5.9554240245091545</v>
      </c>
      <c r="AE88" s="354">
        <f>RCinEsr*Table1[[#This Row],[Irms Cin]]^2</f>
        <v>7.0934150623401637E-2</v>
      </c>
      <c r="AF88" s="549">
        <f>Table1[[#This Row],[Cin ESR Loss]]</f>
        <v>7.0934150623401637E-2</v>
      </c>
      <c r="AG8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9.1575704060430141</v>
      </c>
      <c r="AH88" s="354">
        <f>Rdson1*Table1[[#This Row],[Irms BuCtrl]]^2</f>
        <v>0.35221660211486627</v>
      </c>
      <c r="AI88" s="354">
        <f>CHOOSE(Table1[[#This Row],[Mode Digit]], (Table1[[#This Row],[Vin]]*Table1[[#This Row],[Iout]]/2)*(Fsw)*(Tr_buck+Tf_buck), 0, (Table1[[#This Row],[Vin]]*Table1[[#This Row],[Avg IL]]/2)*(Fsw/1)*(Tr_buck+Tf_buck))</f>
        <v>3.0379781766013343</v>
      </c>
      <c r="AJ88">
        <f>IF(Table1[[#This Row],[Vin]]&gt;Vout, IF(Table1[[#This Row],[Iout]]&gt;Table1[[#This Row],[Ripple Current pk-pk]]/2,0,ABS(Table1[[#This Row],[Iout]]-Table1[[#This Row],[Ripple Current pk-pk]]/2)*Vsd_Q1*Deadtime*Fsw),0)</f>
        <v>0</v>
      </c>
      <c r="AK88" s="354">
        <f>(Table1[[#This Row],[Dead Time Loss BuCtrl]]+Table1[[#This Row],[Transition Loss BuCtrl]]+Table1[[#This Row],[RDS(on) Loss BuCtrl]]*(1+RdsonTopTc*Ta-RdsonTopTc*25))/(1-Table1[[#This Row],[RDS(on) Loss BuCtrl]]*RdsonTopTc*ThetaJA_Q1)</f>
        <v>3.7032367284755527</v>
      </c>
      <c r="AL88" s="354">
        <f>CHOOSE(Table1[[#This Row],[Mode Digit]],SQRT((Fsw*(Table1[[#This Row],[t2_Ph_I]]+0))*((Table1[[#This Row],[I_0]]*Table1[[#This Row],[I_1]]+((Table1[[#This Row],[I_0]]-Table1[[#This Row],[I_1]])^2)/3))),0,SQRT((Fsw*(Table1[[#This Row],[t3_Ph_III]]+0))*((Table1[[#This Row],[I_0]]*Table1[[#This Row],[I_2]]+((Table1[[#This Row],[I_0]]-Table1[[#This Row],[I_2]])^2)/3))))</f>
        <v>7.8396577448948417</v>
      </c>
      <c r="AM88" s="354">
        <f>Rdson2*Table1[[#This Row],[Irms BuSync]]^2</f>
        <v>0.25813298093977666</v>
      </c>
      <c r="AN8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8" s="354">
        <f>(Table1[[#This Row],[Deadtime Loss BuSync]]+Table1[[#This Row],[RDS(on) Loss BuSync]]*(1+RdsonBotTc*Ta-RdsonBotTc*25))/(1-Table1[[#This Row],[RDS(on) Loss BuSync]]*RdsonBotTc*ThetaJA_Q2)</f>
        <v>0.89068398864673604</v>
      </c>
      <c r="AP88" s="354">
        <f>CHOOSE(Table1[[#This Row],[Mode Digit]],0,SQRT((Fsw*(Table1[[#This Row],[t1_Ph_II]]+0))*((Table1[[#This Row],[I_0]]*Table1[[#This Row],[I_1]]+((Table1[[#This Row],[I_0]]-Table1[[#This Row],[I_1]])^2)/3))),SQRT((Fsw*(Table1[[#This Row],[t2_Ph_I]]+0))*((Table1[[#This Row],[I_1]]*Table1[[#This Row],[I_2]]+((Table1[[#This Row],[I_1]]-Table1[[#This Row],[I_2]])^2)/3))))</f>
        <v>0</v>
      </c>
      <c r="AQ88" s="354">
        <f>Rdson4*Table1[[#This Row],[Irms BoCtlr]]^2</f>
        <v>0</v>
      </c>
      <c r="AR88" s="354">
        <f>CHOOSE(Table1[[#This Row],[Mode Digit]], 0, (Vout*Table1[[#This Row],[Iin]]/2)*(Fsw)*(Tr_boost+Tf_boost), (Vout*Iout/2)*(Fsw/1)*(Tr_boost+Tf_boost))</f>
        <v>0</v>
      </c>
      <c r="AS88">
        <f>IF(Table1[[#This Row],[Vin]]&gt;Vout, 0, IF(Table1[[#This Row],[Iin]]&gt;Table1[[#This Row],[Ripple Current pk-pk]]/2,0,ABS(Table1[[#This Row],[Iin]]-Table1[[#This Row],[Ripple Current pk-pk]]/2)*Vsd_Q4*Deadtime*Fsw))</f>
        <v>0</v>
      </c>
      <c r="AT88" s="354">
        <f>(Table1[[#This Row],[Dead Time Loss BoCtlr]]+Table1[[#This Row],[Transition Loss BoCtlr]]+Table1[[#This Row],[RDS(on) Loss BoCtlr]]*(1+RdsonTopTc*Ta-RdsonTopTc*25))/(1-Table1[[#This Row],[RDS(on) Loss BoCtlr]]*RdsonTopTc*ThetaJA_Q4)</f>
        <v>0</v>
      </c>
      <c r="AU8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12.054929667929402</v>
      </c>
      <c r="AV88" s="354">
        <f>Rdson3*Table1[[#This Row],[Irms BoSync]]^2</f>
        <v>0.61034958305464293</v>
      </c>
      <c r="AW8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8" s="354">
        <f>(Table1[[#This Row],[Deadtime Loss BoSync]]+Table1[[#This Row],[RDS(on) Loss BoSync]]*(1+RdsonBotTc*Ta-RdsonBotTc*25))/(1-Table1[[#This Row],[RDS(on) Loss BoSync]]*RdsonBotTc*ThetaJA_Q3)</f>
        <v>0.71510025763639717</v>
      </c>
      <c r="AY88" s="354">
        <f>CHOOSE(Table1[[#This Row],[Mode Digit]], Rdson3*Table1[[#This Row],[Irms Lf]]^2, Rdson1*Table1[[#This Row],[Irms Lf]]^2, 0)</f>
        <v>0.61034958305464293</v>
      </c>
      <c r="AZ88" s="354">
        <f>CHOOSE(Table1[[#This Row],[Mode Digit]], 2*Deadtime*Fsw*IF(VfdSky_Q2&gt;0,VfdSky_Q2,0)*Table1[[#This Row],[Iout]], 2*Deadtime*Fsw*IF(VfdSky_Q3&gt;0,VfdSky_Q3,0)*Table1[[#This Row],[Iin]], 2*Deadtime*Fsw*IF(VfdSky_Q2&gt;0,VfdSky_Q2,0)*Table1[[#This Row],[Iout]]+2*Deadtime*Fsw*IF(VfdSky_Q3&gt;0,VfdSky_Q3,0)*Table1[[#This Row],[Iin]])</f>
        <v>0</v>
      </c>
      <c r="BA88" s="354">
        <f>CHOOSE(Table1[[#This Row],[Mode Digit]], IF(QrrSky_Q2&gt;0,QrrSky_Q2,Qrr_Q2)*Fsw*(Table1[[#This Row],[Vin]]-Table1[[#This Row],[Iout]]*Rdson1),0,  IF(QrrSky_Q2&gt;0,QrrSky_Q2,Qrr_Q2)*Fsw*(Table1[[#This Row],[Vin]]-Table1[[#This Row],[Iout]]*Rdson1)+IF(QrrSky_Q3&gt;0,QrrSky_Q3,Qrr_Q3)*Fsw*Vout)</f>
        <v>0.3057552</v>
      </c>
      <c r="BB88" s="354">
        <f>CHOOSE(Table1[[#This Row],[Mode Digit]],0, IF(QrrSky_Q3&gt;0,QrrSky_Q3,Qrr_Q3)*Fsw*Vout,  IF(QrrSky_Q2&gt;0,QrrSky_Q2,Qrr_Q2)*Fsw*(Table1[[#This Row],[Vin]]-Table1[[#This Row],[Iout]]*Rdson1)+IF(QrrSky_Q3&gt;0,QrrSky_Q3,Qrr_Q3)*Fsw*Vout)</f>
        <v>0</v>
      </c>
      <c r="BC88" s="354">
        <f>CHOOSE(Table1[[#This Row],[Mode Digit]], Rs*Table1[[#This Row],[Irms BuSync]]^2, Rs*Table1[[#This Row],[Irms BoCtlr]]^2, Rs*(Table1[[#This Row],[Irms BuSync]]^2+Table1[[#This Row],[Irms BoCtlr]]^2))</f>
        <v>0.15365058389272418</v>
      </c>
      <c r="BD88" s="354">
        <f t="shared" si="5"/>
        <v>1.44</v>
      </c>
      <c r="BE88" s="354">
        <f>IF(Vout&gt;8, Iq*Vout, Iq*Table1[[#This Row],[Vin]])</f>
        <v>4.3799999999999999E-2</v>
      </c>
      <c r="BF88" s="354">
        <f>CHOOSE(Table1[[#This Row],[Mode Digit]], (Qg_Q1+Qg_Q2)*Fsw, (Qg_Q3+Qg_Q4)*Fsw, (Qg_Q1+Qg_Q2+Qg_Q3+Qg_Q4)*Fsw)*IF(Vout&gt;8, Vout, Table1[[#This Row],[Vin]])</f>
        <v>0.47303999999999996</v>
      </c>
      <c r="BG88" s="354">
        <f t="shared" si="6"/>
        <v>0.57269042016806726</v>
      </c>
      <c r="BH88" s="354">
        <f>Table1[[#This Row],[IQ Loss]]+Table1[[#This Row],[Switching Current Loss]]</f>
        <v>0.51683999999999997</v>
      </c>
      <c r="BI8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9.4823761762767429</v>
      </c>
      <c r="BJ88">
        <f>Vout*Table1[[#This Row],[Iout]]</f>
        <v>175.2</v>
      </c>
      <c r="BK88" s="550">
        <f>Table1[[#This Row],[Pout]]/(Table1[[#This Row],[Pout]]+Table1[[#This Row],[Total Loss]])</f>
        <v>0.94865576037842425</v>
      </c>
      <c r="BL8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222.19420370853317</v>
      </c>
      <c r="BM88" s="559">
        <f>IF(Table1[[#This Row],[Vin]]&gt;Vout, Table1[[#This Row],[Total Sync Bu MOSFET Loss]]*ThetaJA_Q2, ThetaJA_Q3*Table1[[#This Row],[Total Sync Bo MOSFET Loss]])</f>
        <v>53.441039318804165</v>
      </c>
      <c r="BN88" s="9"/>
      <c r="BO88" s="4">
        <f>Table1[[#This Row],[EFF, h]]*100</f>
        <v>94.86557603784243</v>
      </c>
      <c r="BP88" s="354">
        <f>Table1[[#This Row],[Total Inductor Loss]]</f>
        <v>1.6795686205083085</v>
      </c>
      <c r="BQ88" s="354">
        <f>Table1[[#This Row],[Total Control Bu MOSFET Loss]]+Table1[[#This Row],[Total Sync Bu MOSFET Loss]]+Table1[[#This Row],[Total Control Bo MOSFET Loss]]+Table1[[#This Row],[Total Sync Bo MOSFET Loss]]+Table1[[#This Row],[Reverse Recovery Loss MOSFET D BUCK]]+Table1[[#This Row],[Reverse Recovery Loss MOSFET D BOOST]]</f>
        <v>5.6147761747586857</v>
      </c>
      <c r="BR88" s="354">
        <f>Table1[[#This Row],[Total Control Bu MOSFET Loss]]+Table1[[#This Row],[Reverse Recovery Loss MOSFET D BUCK]]*0.66</f>
        <v>3.9050351604755527</v>
      </c>
      <c r="BS88" s="354">
        <f>Table1[[#This Row],[Total Sync Bu MOSFET Loss]]+Table1[[#This Row],[Reverse Recovery Loss MOSFET D BUCK]]*0.33</f>
        <v>0.99158320464673599</v>
      </c>
      <c r="BT88" s="354">
        <f xml:space="preserve"> Table1[[#This Row],[Total Control Bo MOSFET Loss]]+Table1[[#This Row],[Reverse Recovery Loss MOSFET D BOOST]]*0.66</f>
        <v>0</v>
      </c>
      <c r="BU88" s="354">
        <f xml:space="preserve"> Table1[[#This Row],[Total Sync Bo MOSFET Loss]]+Table1[[#This Row],[Reverse Recovery Loss MOSFET D BOOST]]*0.33</f>
        <v>0.71510025763639717</v>
      </c>
      <c r="BV88" s="354">
        <f>Table1[[#This Row],[Isense Shunt Loss]]</f>
        <v>0.15365058389272418</v>
      </c>
      <c r="CB88" s="18"/>
      <c r="CC88" s="19"/>
    </row>
    <row r="89" spans="1:81" x14ac:dyDescent="0.2">
      <c r="G89">
        <v>80</v>
      </c>
      <c r="H89" s="555">
        <f>VIN_min+(VIN_max-VIN_min)*(Table1[[#This Row],[Step]]/200)</f>
        <v>25.6</v>
      </c>
      <c r="I89" s="4" t="str">
        <f>IF(Mode = 2,IF(Table1[[#This Row],[Vin]]&gt;Vout, "BUCK","BOOST"),IF(Table1[[#This Row],[Vin]]&gt;VIN_BB_to_buck, "BUCK", IF(Table1[[#This Row],[Vin]]&lt;=VIN_boost_to_BB,"BOOST","BUCK-BST")))</f>
        <v>BUCK</v>
      </c>
      <c r="J89">
        <f>IF(Table1[[#This Row],[Mode]]="BOOST",2, IF(Table1[[#This Row],[Mode]]="BUCK", 1,3))</f>
        <v>1</v>
      </c>
      <c r="K89">
        <f t="shared" si="4"/>
        <v>12</v>
      </c>
      <c r="L89" s="4">
        <f>Vout*Table1[[#This Row],[Iout]]/(Table1[[#This Row],[Vin]]*Efficiency)</f>
        <v>7.2039473684210522</v>
      </c>
      <c r="M89" s="711">
        <f>MIN(1/Fsw,CHOOSE(Table1[[#This Row],[Mode Digit]],(Vout+(Rdson2+Rs+Rdcr)*Table1[[#This Row],[Iout]])/(Table1[[#This Row],[Vin]]+(Rs+Rdson2-Rdson1)*Table1[[#This Row],[Iout]])/Fsw,(Vout+(Rdson3+Rdcr)*Table1[[#This Row],[Iin]]-Table1[[#This Row],[Vin]])/(Vout+(Rdson3-Rdson4-Rs)*Table1[[#This Row],[Iin]])/Fsw,t1_Ph_II))</f>
        <v>9.5916243984913494E-7</v>
      </c>
      <c r="N89" s="602">
        <f>CHOOSE(Table1[[#This Row],[Mode Digit]],1/Fsw-Table1[[#This Row],[t1_Ph_II]],1/Fsw-Table1[[#This Row],[t1_Ph_II]],(Vout/Fsw-Table1[[#This Row],[Vin]]*t1_Ph_II)/(Table1[[#This Row],[Vin]]+Vout))</f>
        <v>7.0750422681753172E-7</v>
      </c>
      <c r="O89" s="602">
        <f>1/Fsw-(Table1[[#This Row],[t1_Ph_II]]+Table1[[#This Row],[t2_Ph_I]])</f>
        <v>0</v>
      </c>
      <c r="P8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10.001744916980968</v>
      </c>
      <c r="Q89" s="4">
        <f>CHOOSE(Table1[[#This Row],[Mode Digit]],Table1[[#This Row],[I_0]]+1/Lf*(Table1[[#This Row],[Vin]]-Vout)*Table1[[#This Row],[t1_Ph_II]],Table1[[#This Row],[I_0]]+1/Lf*Table1[[#This Row],[Vin]]*Table1[[#This Row],[t1_Ph_II]],Table1[[#This Row],[I_0]]+(Table1[[#This Row],[Vin]]-Vout)/L*Table1[[#This Row],[t1_Ph_II]])</f>
        <v>13.998255083019032</v>
      </c>
      <c r="R89" s="4">
        <f>CHOOSE(Table1[[#This Row],[Mode Digit]],0,0,Table1[[#This Row],[I_1]]+Table1[[#This Row],[Vin]]/L*Table1[[#This Row],[t2_Ph_I]])</f>
        <v>0</v>
      </c>
      <c r="S89" s="4">
        <f>Fsw*(Table1[[#This Row],[I_0]]*Table1[[#This Row],[t1_Ph_II]]+Table1[[#This Row],[I_1]]*Table1[[#This Row],[t2_Ph_I]]+Table1[[#This Row],[I_2]]*Table1[[#This Row],[t3_Ph_III]])</f>
        <v>11.698273617975667</v>
      </c>
      <c r="T89" s="354">
        <f>MIN(1,CHOOSE(Table1[[#This Row],[Mode Digit]],(Vout+(Rdson2+Rs+Rdcr)*Table1[[#This Row],[Iout]])/(Table1[[#This Row],[Vin]]+(Rs+Rdson2-Rdson1)*Table1[[#This Row],[Iout]]),1,Fsw*Table1[[#This Row],[t2_Ph_I]]+Table1[[#This Row],[t1_Ph_II]]))</f>
        <v>0.57549746390948098</v>
      </c>
      <c r="U89" s="354">
        <f>MIN(1,CHOOSE(Table1[[#This Row],[Mode Digit]],0,(Vout+(Rdson3+Rdcr)*Table1[[#This Row],[Iin]]-Table1[[#This Row],[Vin]])/(Vout+(Rdson3-Rdson4-Rs)*Table1[[#This Row],[Iin]]),Fsw*Table1[[#This Row],[t1_Ph_II]]+Table1[[#This Row],[t3_Ph_III]]))</f>
        <v>0</v>
      </c>
      <c r="V89" s="4">
        <f>MAX(Table1[[#This Row],[I_0]:[I_2]])-MIN(Table1[[#This Row],[I_0]:[I_1]])</f>
        <v>3.996510166038064</v>
      </c>
      <c r="W8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12.055331094261595</v>
      </c>
      <c r="X89" s="354">
        <f>(Table1[[#This Row],[Irms Lf]]^2*Rdcr*(1+Ltc*Ta-Ltc*25))/(1-Table1[[#This Row],[Irms Lf]]^2*Rdcr*Ltc*ThetaCa)</f>
        <v>0.903871117382397</v>
      </c>
      <c r="Y89" s="354">
        <f>ABS(7.759*10^-3*Fsw^0.9458*(0.00787*Table1[[#This Row],[Ripple Current pk-pk]])^2.304)</f>
        <v>0.78231171214492201</v>
      </c>
      <c r="Z89" s="354">
        <f>Table1[[#This Row],[DCR    Loss]]+Table1[[#This Row],[Core Loss]]</f>
        <v>1.6861828295273189</v>
      </c>
      <c r="AA89" s="4">
        <f>IF(Table1[[#This Row],[Vin]]&gt;Vout, Table1[[#This Row],[Ripple Current pk-pk]]/SQRT(12), SQRT(Table1[[#This Row],[Duty Cycle BOOST Leg]]/(1-Table1[[#This Row],[Duty Cycle BOOST Leg]]))*SQRT(Table1[[#This Row],[Iout]]^2+(Table1[[#This Row],[Ripple Current pk-pk]]^2)/12))</f>
        <v>1.1536931100905761</v>
      </c>
      <c r="AB89" s="354">
        <f>RCoutEsr*Table1[[#This Row],[Irms Cout]]^2</f>
        <v>6.6550389613523313E-3</v>
      </c>
      <c r="AC89" s="354">
        <f>Table1[[#This Row],[Cout ESR Loss]]</f>
        <v>6.6550389613523313E-3</v>
      </c>
      <c r="AD89" s="354">
        <f>IF(Table1[[#This Row],[Vin]]&gt;Vout, SQRT(Table1[[#This Row],[Duty Cycle BUCK Leg]]*(1-Table1[[#This Row],[Duty Cycle BUCK Leg]]))*SQRT(Table1[[#This Row],[Iout]]^2+(Table1[[#This Row],[Ripple Current pk-pk]]^2)/12), Table1[[#This Row],[Ripple Current pk-pk]]/SQRT(12))</f>
        <v>5.9585555736626503</v>
      </c>
      <c r="AE89" s="354">
        <f>RCinEsr*Table1[[#This Row],[Irms Cin]]^2</f>
        <v>7.1008769048852477E-2</v>
      </c>
      <c r="AF89" s="549">
        <f>Table1[[#This Row],[Cin ESR Loss]]</f>
        <v>7.1008769048852477E-2</v>
      </c>
      <c r="AG8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9.1453609229959145</v>
      </c>
      <c r="AH89" s="354">
        <f>Rdson1*Table1[[#This Row],[Irms BuCtrl]]^2</f>
        <v>0.35127803092981491</v>
      </c>
      <c r="AI89" s="354">
        <f>CHOOSE(Table1[[#This Row],[Mode Digit]], (Table1[[#This Row],[Vin]]*Table1[[#This Row],[Iout]]/2)*(Fsw)*(Tr_buck+Tf_buck), 0, (Table1[[#This Row],[Vin]]*Table1[[#This Row],[Avg IL]]/2)*(Fsw/1)*(Tr_buck+Tf_buck))</f>
        <v>3.0463079248333007</v>
      </c>
      <c r="AJ89">
        <f>IF(Table1[[#This Row],[Vin]]&gt;Vout, IF(Table1[[#This Row],[Iout]]&gt;Table1[[#This Row],[Ripple Current pk-pk]]/2,0,ABS(Table1[[#This Row],[Iout]]-Table1[[#This Row],[Ripple Current pk-pk]]/2)*Vsd_Q1*Deadtime*Fsw),0)</f>
        <v>0</v>
      </c>
      <c r="AK89" s="354">
        <f>(Table1[[#This Row],[Dead Time Loss BuCtrl]]+Table1[[#This Row],[Transition Loss BuCtrl]]+Table1[[#This Row],[RDS(on) Loss BuCtrl]]*(1+RdsonTopTc*Ta-RdsonTopTc*25))/(1-Table1[[#This Row],[RDS(on) Loss BuCtrl]]*RdsonTopTc*ThetaJA_Q1)</f>
        <v>3.710397419653416</v>
      </c>
      <c r="AL89" s="354">
        <f>CHOOSE(Table1[[#This Row],[Mode Digit]],SQRT((Fsw*(Table1[[#This Row],[t2_Ph_I]]+0))*((Table1[[#This Row],[I_0]]*Table1[[#This Row],[I_1]]+((Table1[[#This Row],[I_0]]-Table1[[#This Row],[I_1]])^2)/3))),0,SQRT((Fsw*(Table1[[#This Row],[t3_Ph_III]]+0))*((Table1[[#This Row],[I_0]]*Table1[[#This Row],[I_2]]+((Table1[[#This Row],[I_0]]-Table1[[#This Row],[I_2]])^2)/3))))</f>
        <v>7.8545134400807921</v>
      </c>
      <c r="AM89" s="354">
        <f>Rdson2*Table1[[#This Row],[Irms BuSync]]^2</f>
        <v>0.25911220179772121</v>
      </c>
      <c r="AN8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89" s="354">
        <f>(Table1[[#This Row],[Deadtime Loss BuSync]]+Table1[[#This Row],[RDS(on) Loss BuSync]]*(1+RdsonBotTc*Ta-RdsonBotTc*25))/(1-Table1[[#This Row],[RDS(on) Loss BuSync]]*RdsonBotTc*ThetaJA_Q2)</f>
        <v>0.89195134481339899</v>
      </c>
      <c r="AP89" s="354">
        <f>CHOOSE(Table1[[#This Row],[Mode Digit]],0,SQRT((Fsw*(Table1[[#This Row],[t1_Ph_II]]+0))*((Table1[[#This Row],[I_0]]*Table1[[#This Row],[I_1]]+((Table1[[#This Row],[I_0]]-Table1[[#This Row],[I_1]])^2)/3))),SQRT((Fsw*(Table1[[#This Row],[t2_Ph_I]]+0))*((Table1[[#This Row],[I_1]]*Table1[[#This Row],[I_2]]+((Table1[[#This Row],[I_1]]-Table1[[#This Row],[I_2]])^2)/3))))</f>
        <v>0</v>
      </c>
      <c r="AQ89" s="354">
        <f>Rdson4*Table1[[#This Row],[Irms BoCtlr]]^2</f>
        <v>0</v>
      </c>
      <c r="AR89" s="354">
        <f>CHOOSE(Table1[[#This Row],[Mode Digit]], 0, (Vout*Table1[[#This Row],[Iin]]/2)*(Fsw)*(Tr_boost+Tf_boost), (Vout*Iout/2)*(Fsw/1)*(Tr_boost+Tf_boost))</f>
        <v>0</v>
      </c>
      <c r="AS89">
        <f>IF(Table1[[#This Row],[Vin]]&gt;Vout, 0, IF(Table1[[#This Row],[Iin]]&gt;Table1[[#This Row],[Ripple Current pk-pk]]/2,0,ABS(Table1[[#This Row],[Iin]]-Table1[[#This Row],[Ripple Current pk-pk]]/2)*Vsd_Q4*Deadtime*Fsw))</f>
        <v>0</v>
      </c>
      <c r="AT89" s="354">
        <f>(Table1[[#This Row],[Dead Time Loss BoCtlr]]+Table1[[#This Row],[Transition Loss BoCtlr]]+Table1[[#This Row],[RDS(on) Loss BoCtlr]]*(1+RdsonTopTc*Ta-RdsonTopTc*25))/(1-Table1[[#This Row],[RDS(on) Loss BoCtlr]]*RdsonTopTc*ThetaJA_Q4)</f>
        <v>0</v>
      </c>
      <c r="AU8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12.055331094261595</v>
      </c>
      <c r="AV89" s="354">
        <f>Rdson3*Table1[[#This Row],[Irms BoSync]]^2</f>
        <v>0.61039023272753601</v>
      </c>
      <c r="AW8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89" s="354">
        <f>(Table1[[#This Row],[Deadtime Loss BoSync]]+Table1[[#This Row],[RDS(on) Loss BoSync]]*(1+RdsonBotTc*Ta-RdsonBotTc*25))/(1-Table1[[#This Row],[RDS(on) Loss BoSync]]*RdsonBotTc*ThetaJA_Q3)</f>
        <v>0.71515605819979522</v>
      </c>
      <c r="AY89" s="354">
        <f>CHOOSE(Table1[[#This Row],[Mode Digit]], Rdson3*Table1[[#This Row],[Irms Lf]]^2, Rdson1*Table1[[#This Row],[Irms Lf]]^2, 0)</f>
        <v>0.61039023272753601</v>
      </c>
      <c r="AZ89" s="354">
        <f>CHOOSE(Table1[[#This Row],[Mode Digit]], 2*Deadtime*Fsw*IF(VfdSky_Q2&gt;0,VfdSky_Q2,0)*Table1[[#This Row],[Iout]], 2*Deadtime*Fsw*IF(VfdSky_Q3&gt;0,VfdSky_Q3,0)*Table1[[#This Row],[Iin]], 2*Deadtime*Fsw*IF(VfdSky_Q2&gt;0,VfdSky_Q2,0)*Table1[[#This Row],[Iout]]+2*Deadtime*Fsw*IF(VfdSky_Q3&gt;0,VfdSky_Q3,0)*Table1[[#This Row],[Iin]])</f>
        <v>0</v>
      </c>
      <c r="BA89" s="354">
        <f>CHOOSE(Table1[[#This Row],[Mode Digit]], IF(QrrSky_Q2&gt;0,QrrSky_Q2,Qrr_Q2)*Fsw*(Table1[[#This Row],[Vin]]-Table1[[#This Row],[Iout]]*Rdson1),0,  IF(QrrSky_Q2&gt;0,QrrSky_Q2,Qrr_Q2)*Fsw*(Table1[[#This Row],[Vin]]-Table1[[#This Row],[Iout]]*Rdson1)+IF(QrrSky_Q3&gt;0,QrrSky_Q3,Qrr_Q3)*Fsw*Vout)</f>
        <v>0.30659520000000001</v>
      </c>
      <c r="BB89" s="354">
        <f>CHOOSE(Table1[[#This Row],[Mode Digit]],0, IF(QrrSky_Q3&gt;0,QrrSky_Q3,Qrr_Q3)*Fsw*Vout,  IF(QrrSky_Q2&gt;0,QrrSky_Q2,Qrr_Q2)*Fsw*(Table1[[#This Row],[Vin]]-Table1[[#This Row],[Iout]]*Rdson1)+IF(QrrSky_Q3&gt;0,QrrSky_Q3,Qrr_Q3)*Fsw*Vout)</f>
        <v>0</v>
      </c>
      <c r="BC89" s="354">
        <f>CHOOSE(Table1[[#This Row],[Mode Digit]], Rs*Table1[[#This Row],[Irms BuSync]]^2, Rs*Table1[[#This Row],[Irms BoCtlr]]^2, Rs*(Table1[[#This Row],[Irms BuSync]]^2+Table1[[#This Row],[Irms BoCtlr]]^2))</f>
        <v>0.15423345345102449</v>
      </c>
      <c r="BD89" s="354">
        <f t="shared" si="5"/>
        <v>1.44</v>
      </c>
      <c r="BE89" s="354">
        <f>IF(Vout&gt;8, Iq*Vout, Iq*Table1[[#This Row],[Vin]])</f>
        <v>4.3799999999999999E-2</v>
      </c>
      <c r="BF89" s="354">
        <f>CHOOSE(Table1[[#This Row],[Mode Digit]], (Qg_Q1+Qg_Q2)*Fsw, (Qg_Q3+Qg_Q4)*Fsw, (Qg_Q1+Qg_Q2+Qg_Q3+Qg_Q4)*Fsw)*IF(Vout&gt;8, Vout, Table1[[#This Row],[Vin]])</f>
        <v>0.47303999999999996</v>
      </c>
      <c r="BG89" s="354">
        <f t="shared" si="6"/>
        <v>0.57269042016806726</v>
      </c>
      <c r="BH89" s="354">
        <f>Table1[[#This Row],[IQ Loss]]+Table1[[#This Row],[Switching Current Loss]]</f>
        <v>0.51683999999999997</v>
      </c>
      <c r="BI8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9.499020113655158</v>
      </c>
      <c r="BJ89">
        <f>Vout*Table1[[#This Row],[Iout]]</f>
        <v>175.2</v>
      </c>
      <c r="BK89" s="550">
        <f>Table1[[#This Row],[Pout]]/(Table1[[#This Row],[Pout]]+Table1[[#This Row],[Total Loss]])</f>
        <v>0.9485702733679372</v>
      </c>
      <c r="BL8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222.62384517920495</v>
      </c>
      <c r="BM89" s="559">
        <f>IF(Table1[[#This Row],[Vin]]&gt;Vout, Table1[[#This Row],[Total Sync Bu MOSFET Loss]]*ThetaJA_Q2, ThetaJA_Q3*Table1[[#This Row],[Total Sync Bo MOSFET Loss]])</f>
        <v>53.517080688803937</v>
      </c>
      <c r="BN89" s="9"/>
      <c r="BO89" s="4">
        <f>Table1[[#This Row],[EFF, h]]*100</f>
        <v>94.85702733679372</v>
      </c>
      <c r="BP89" s="354">
        <f>Table1[[#This Row],[Total Inductor Loss]]</f>
        <v>1.6861828295273189</v>
      </c>
      <c r="BQ89" s="354">
        <f>Table1[[#This Row],[Total Control Bu MOSFET Loss]]+Table1[[#This Row],[Total Sync Bu MOSFET Loss]]+Table1[[#This Row],[Total Control Bo MOSFET Loss]]+Table1[[#This Row],[Total Sync Bo MOSFET Loss]]+Table1[[#This Row],[Reverse Recovery Loss MOSFET D BUCK]]+Table1[[#This Row],[Reverse Recovery Loss MOSFET D BOOST]]</f>
        <v>5.6241000226666111</v>
      </c>
      <c r="BR89" s="354">
        <f>Table1[[#This Row],[Total Control Bu MOSFET Loss]]+Table1[[#This Row],[Reverse Recovery Loss MOSFET D BUCK]]*0.66</f>
        <v>3.9127502516534158</v>
      </c>
      <c r="BS89" s="354">
        <f>Table1[[#This Row],[Total Sync Bu MOSFET Loss]]+Table1[[#This Row],[Reverse Recovery Loss MOSFET D BUCK]]*0.33</f>
        <v>0.99312776081339904</v>
      </c>
      <c r="BT89" s="354">
        <f xml:space="preserve"> Table1[[#This Row],[Total Control Bo MOSFET Loss]]+Table1[[#This Row],[Reverse Recovery Loss MOSFET D BOOST]]*0.66</f>
        <v>0</v>
      </c>
      <c r="BU89" s="354">
        <f xml:space="preserve"> Table1[[#This Row],[Total Sync Bo MOSFET Loss]]+Table1[[#This Row],[Reverse Recovery Loss MOSFET D BOOST]]*0.33</f>
        <v>0.71515605819979522</v>
      </c>
      <c r="BV89" s="354">
        <f>Table1[[#This Row],[Isense Shunt Loss]]</f>
        <v>0.15423345345102449</v>
      </c>
      <c r="CB89" s="18"/>
      <c r="CC89" s="19"/>
    </row>
    <row r="90" spans="1:81" x14ac:dyDescent="0.2">
      <c r="G90">
        <v>81</v>
      </c>
      <c r="H90" s="555">
        <f>VIN_min+(VIN_max-VIN_min)*(Table1[[#This Row],[Step]]/200)</f>
        <v>25.67</v>
      </c>
      <c r="I90" s="4" t="str">
        <f>IF(Mode = 2,IF(Table1[[#This Row],[Vin]]&gt;Vout, "BUCK","BOOST"),IF(Table1[[#This Row],[Vin]]&gt;VIN_BB_to_buck, "BUCK", IF(Table1[[#This Row],[Vin]]&lt;=VIN_boost_to_BB,"BOOST","BUCK-BST")))</f>
        <v>BUCK</v>
      </c>
      <c r="J90">
        <f>IF(Table1[[#This Row],[Mode]]="BOOST",2, IF(Table1[[#This Row],[Mode]]="BUCK", 1,3))</f>
        <v>1</v>
      </c>
      <c r="K90">
        <f t="shared" si="4"/>
        <v>12</v>
      </c>
      <c r="L90" s="4">
        <f>Vout*Table1[[#This Row],[Iout]]/(Table1[[#This Row],[Vin]]*Efficiency)</f>
        <v>7.1843027904783376</v>
      </c>
      <c r="M90" s="711">
        <f>MIN(1/Fsw,CHOOSE(Table1[[#This Row],[Mode Digit]],(Vout+(Rdson2+Rs+Rdcr)*Table1[[#This Row],[Iout]])/(Table1[[#This Row],[Vin]]+(Rs+Rdson2-Rdson1)*Table1[[#This Row],[Iout]])/Fsw,(Vout+(Rdson3+Rdcr)*Table1[[#This Row],[Iin]]-Table1[[#This Row],[Vin]])/(Vout+(Rdson3-Rdson4-Rs)*Table1[[#This Row],[Iin]])/Fsw,t1_Ph_II))</f>
        <v>9.5654993514915684E-7</v>
      </c>
      <c r="N90" s="602">
        <f>CHOOSE(Table1[[#This Row],[Mode Digit]],1/Fsw-Table1[[#This Row],[t1_Ph_II]],1/Fsw-Table1[[#This Row],[t1_Ph_II]],(Vout/Fsw-Table1[[#This Row],[Vin]]*t1_Ph_II)/(Table1[[#This Row],[Vin]]+Vout))</f>
        <v>7.1011673151750982E-7</v>
      </c>
      <c r="O90" s="602">
        <f>1/Fsw-(Table1[[#This Row],[t1_Ph_II]]+Table1[[#This Row],[t2_Ph_I]])</f>
        <v>0</v>
      </c>
      <c r="P9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9.9945061018747783</v>
      </c>
      <c r="Q90" s="4">
        <f>CHOOSE(Table1[[#This Row],[Mode Digit]],Table1[[#This Row],[I_0]]+1/Lf*(Table1[[#This Row],[Vin]]-Vout)*Table1[[#This Row],[t1_Ph_II]],Table1[[#This Row],[I_0]]+1/Lf*Table1[[#This Row],[Vin]]*Table1[[#This Row],[t1_Ph_II]],Table1[[#This Row],[I_0]]+(Table1[[#This Row],[Vin]]-Vout)/L*Table1[[#This Row],[t1_Ph_II]])</f>
        <v>14.00549389812522</v>
      </c>
      <c r="R90" s="4">
        <f>CHOOSE(Table1[[#This Row],[Mode Digit]],0,0,Table1[[#This Row],[I_1]]+Table1[[#This Row],[Vin]]/L*Table1[[#This Row],[t2_Ph_I]])</f>
        <v>0</v>
      </c>
      <c r="S90" s="4">
        <f>Fsw*(Table1[[#This Row],[I_0]]*Table1[[#This Row],[t1_Ph_II]]+Table1[[#This Row],[I_1]]*Table1[[#This Row],[t2_Ph_I]]+Table1[[#This Row],[I_2]]*Table1[[#This Row],[t3_Ph_III]])</f>
        <v>11.703467828292768</v>
      </c>
      <c r="T90" s="354">
        <f>MIN(1,CHOOSE(Table1[[#This Row],[Mode Digit]],(Vout+(Rdson2+Rs+Rdcr)*Table1[[#This Row],[Iout]])/(Table1[[#This Row],[Vin]]+(Rs+Rdson2-Rdson1)*Table1[[#This Row],[Iout]]),1,Fsw*Table1[[#This Row],[t2_Ph_I]]+Table1[[#This Row],[t1_Ph_II]]))</f>
        <v>0.57392996108949412</v>
      </c>
      <c r="U90" s="354">
        <f>MIN(1,CHOOSE(Table1[[#This Row],[Mode Digit]],0,(Vout+(Rdson3+Rdcr)*Table1[[#This Row],[Iin]]-Table1[[#This Row],[Vin]])/(Vout+(Rdson3-Rdson4-Rs)*Table1[[#This Row],[Iin]]),Fsw*Table1[[#This Row],[t1_Ph_II]]+Table1[[#This Row],[t3_Ph_III]]))</f>
        <v>0</v>
      </c>
      <c r="V90" s="4">
        <f>MAX(Table1[[#This Row],[I_0]:[I_2]])-MIN(Table1[[#This Row],[I_0]:[I_1]])</f>
        <v>4.0109877962504417</v>
      </c>
      <c r="W9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12.055731773385048</v>
      </c>
      <c r="X90" s="354">
        <f>(Table1[[#This Row],[Irms Lf]]^2*Rdcr*(1+Ltc*Ta-Ltc*25))/(1-Table1[[#This Row],[Irms Lf]]^2*Rdcr*Ltc*ThetaCa)</f>
        <v>0.90393554671195242</v>
      </c>
      <c r="Y90" s="354">
        <f>ABS(7.759*10^-3*Fsw^0.9458*(0.00787*Table1[[#This Row],[Ripple Current pk-pk]])^2.304)</f>
        <v>0.78885662392399281</v>
      </c>
      <c r="Z90" s="354">
        <f>Table1[[#This Row],[DCR    Loss]]+Table1[[#This Row],[Core Loss]]</f>
        <v>1.6927921706359452</v>
      </c>
      <c r="AA90" s="4">
        <f>IF(Table1[[#This Row],[Vin]]&gt;Vout, Table1[[#This Row],[Ripple Current pk-pk]]/SQRT(12), SQRT(Table1[[#This Row],[Duty Cycle BOOST Leg]]/(1-Table1[[#This Row],[Duty Cycle BOOST Leg]]))*SQRT(Table1[[#This Row],[Iout]]^2+(Table1[[#This Row],[Ripple Current pk-pk]]^2)/12))</f>
        <v>1.1578724419407482</v>
      </c>
      <c r="AB90" s="354">
        <f>RCoutEsr*Table1[[#This Row],[Irms Cout]]^2</f>
        <v>6.7033429590291575E-3</v>
      </c>
      <c r="AC90" s="354">
        <f>Table1[[#This Row],[Cout ESR Loss]]</f>
        <v>6.7033429590291575E-3</v>
      </c>
      <c r="AD90" s="354">
        <f>IF(Table1[[#This Row],[Vin]]&gt;Vout, SQRT(Table1[[#This Row],[Duty Cycle BUCK Leg]]*(1-Table1[[#This Row],[Duty Cycle BUCK Leg]]))*SQRT(Table1[[#This Row],[Iout]]^2+(Table1[[#This Row],[Ripple Current pk-pk]]^2)/12), Table1[[#This Row],[Ripple Current pk-pk]]/SQRT(12))</f>
        <v>5.9616094722892905</v>
      </c>
      <c r="AE90" s="354">
        <f>RCinEsr*Table1[[#This Row],[Irms Cin]]^2</f>
        <v>7.1081575000178795E-2</v>
      </c>
      <c r="AF90" s="549">
        <f>Table1[[#This Row],[Cin ESR Loss]]</f>
        <v>7.1081575000178795E-2</v>
      </c>
      <c r="AG9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9.1332012060184109</v>
      </c>
      <c r="AH90" s="354">
        <f>Rdson1*Table1[[#This Row],[Irms BuCtrl]]^2</f>
        <v>0.35034452993238785</v>
      </c>
      <c r="AI90" s="354">
        <f>CHOOSE(Table1[[#This Row],[Mode Digit]], (Table1[[#This Row],[Vin]]*Table1[[#This Row],[Iout]]/2)*(Fsw)*(Tr_buck+Tf_buck), 0, (Table1[[#This Row],[Vin]]*Table1[[#This Row],[Avg IL]]/2)*(Fsw/1)*(Tr_buck+Tf_buck))</f>
        <v>3.0546376730652662</v>
      </c>
      <c r="AJ90">
        <f>IF(Table1[[#This Row],[Vin]]&gt;Vout, IF(Table1[[#This Row],[Iout]]&gt;Table1[[#This Row],[Ripple Current pk-pk]]/2,0,ABS(Table1[[#This Row],[Iout]]-Table1[[#This Row],[Ripple Current pk-pk]]/2)*Vsd_Q1*Deadtime*Fsw),0)</f>
        <v>0</v>
      </c>
      <c r="AK90" s="354">
        <f>(Table1[[#This Row],[Dead Time Loss BuCtrl]]+Table1[[#This Row],[Transition Loss BuCtrl]]+Table1[[#This Row],[RDS(on) Loss BuCtrl]]*(1+RdsonTopTc*Ta-RdsonTopTc*25))/(1-Table1[[#This Row],[RDS(on) Loss BuCtrl]]*RdsonTopTc*ThetaJA_Q1)</f>
        <v>3.7175650633004715</v>
      </c>
      <c r="AL90" s="354">
        <f>CHOOSE(Table1[[#This Row],[Mode Digit]],SQRT((Fsw*(Table1[[#This Row],[t2_Ph_I]]+0))*((Table1[[#This Row],[I_0]]*Table1[[#This Row],[I_1]]+((Table1[[#This Row],[I_0]]-Table1[[#This Row],[I_1]])^2)/3))),0,SQRT((Fsw*(Table1[[#This Row],[t3_Ph_III]]+0))*((Table1[[#This Row],[I_0]]*Table1[[#This Row],[I_2]]+((Table1[[#This Row],[I_0]]-Table1[[#This Row],[I_2]])^2)/3))))</f>
        <v>7.8692632642573113</v>
      </c>
      <c r="AM90" s="354">
        <f>Rdson2*Table1[[#This Row],[Irms BuSync]]^2</f>
        <v>0.26008627815319652</v>
      </c>
      <c r="AN9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0" s="354">
        <f>(Table1[[#This Row],[Deadtime Loss BuSync]]+Table1[[#This Row],[RDS(on) Loss BuSync]]*(1+RdsonBotTc*Ta-RdsonBotTc*25))/(1-Table1[[#This Row],[RDS(on) Loss BuSync]]*RdsonBotTc*ThetaJA_Q2)</f>
        <v>0.89321267306120677</v>
      </c>
      <c r="AP90" s="354">
        <f>CHOOSE(Table1[[#This Row],[Mode Digit]],0,SQRT((Fsw*(Table1[[#This Row],[t1_Ph_II]]+0))*((Table1[[#This Row],[I_0]]*Table1[[#This Row],[I_1]]+((Table1[[#This Row],[I_0]]-Table1[[#This Row],[I_1]])^2)/3))),SQRT((Fsw*(Table1[[#This Row],[t2_Ph_I]]+0))*((Table1[[#This Row],[I_1]]*Table1[[#This Row],[I_2]]+((Table1[[#This Row],[I_1]]-Table1[[#This Row],[I_2]])^2)/3))))</f>
        <v>0</v>
      </c>
      <c r="AQ90" s="354">
        <f>Rdson4*Table1[[#This Row],[Irms BoCtlr]]^2</f>
        <v>0</v>
      </c>
      <c r="AR90" s="354">
        <f>CHOOSE(Table1[[#This Row],[Mode Digit]], 0, (Vout*Table1[[#This Row],[Iin]]/2)*(Fsw)*(Tr_boost+Tf_boost), (Vout*Iout/2)*(Fsw/1)*(Tr_boost+Tf_boost))</f>
        <v>0</v>
      </c>
      <c r="AS90">
        <f>IF(Table1[[#This Row],[Vin]]&gt;Vout, 0, IF(Table1[[#This Row],[Iin]]&gt;Table1[[#This Row],[Ripple Current pk-pk]]/2,0,ABS(Table1[[#This Row],[Iin]]-Table1[[#This Row],[Ripple Current pk-pk]]/2)*Vsd_Q4*Deadtime*Fsw))</f>
        <v>0</v>
      </c>
      <c r="AT90" s="354">
        <f>(Table1[[#This Row],[Dead Time Loss BoCtlr]]+Table1[[#This Row],[Transition Loss BoCtlr]]+Table1[[#This Row],[RDS(on) Loss BoCtlr]]*(1+RdsonTopTc*Ta-RdsonTopTc*25))/(1-Table1[[#This Row],[RDS(on) Loss BoCtlr]]*RdsonTopTc*ThetaJA_Q4)</f>
        <v>0</v>
      </c>
      <c r="AU9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12.055731773385048</v>
      </c>
      <c r="AV90" s="354">
        <f>Rdson3*Table1[[#This Row],[Irms BoSync]]^2</f>
        <v>0.61043080808558448</v>
      </c>
      <c r="AW9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0" s="354">
        <f>(Table1[[#This Row],[Deadtime Loss BoSync]]+Table1[[#This Row],[RDS(on) Loss BoSync]]*(1+RdsonBotTc*Ta-RdsonBotTc*25))/(1-Table1[[#This Row],[RDS(on) Loss BoSync]]*RdsonBotTc*ThetaJA_Q3)</f>
        <v>0.71521175802198578</v>
      </c>
      <c r="AY90" s="354">
        <f>CHOOSE(Table1[[#This Row],[Mode Digit]], Rdson3*Table1[[#This Row],[Irms Lf]]^2, Rdson1*Table1[[#This Row],[Irms Lf]]^2, 0)</f>
        <v>0.61043080808558448</v>
      </c>
      <c r="AZ90" s="354">
        <f>CHOOSE(Table1[[#This Row],[Mode Digit]], 2*Deadtime*Fsw*IF(VfdSky_Q2&gt;0,VfdSky_Q2,0)*Table1[[#This Row],[Iout]], 2*Deadtime*Fsw*IF(VfdSky_Q3&gt;0,VfdSky_Q3,0)*Table1[[#This Row],[Iin]], 2*Deadtime*Fsw*IF(VfdSky_Q2&gt;0,VfdSky_Q2,0)*Table1[[#This Row],[Iout]]+2*Deadtime*Fsw*IF(VfdSky_Q3&gt;0,VfdSky_Q3,0)*Table1[[#This Row],[Iin]])</f>
        <v>0</v>
      </c>
      <c r="BA90" s="354">
        <f>CHOOSE(Table1[[#This Row],[Mode Digit]], IF(QrrSky_Q2&gt;0,QrrSky_Q2,Qrr_Q2)*Fsw*(Table1[[#This Row],[Vin]]-Table1[[#This Row],[Iout]]*Rdson1),0,  IF(QrrSky_Q2&gt;0,QrrSky_Q2,Qrr_Q2)*Fsw*(Table1[[#This Row],[Vin]]-Table1[[#This Row],[Iout]]*Rdson1)+IF(QrrSky_Q3&gt;0,QrrSky_Q3,Qrr_Q3)*Fsw*Vout)</f>
        <v>0.30743520000000002</v>
      </c>
      <c r="BB90" s="354">
        <f>CHOOSE(Table1[[#This Row],[Mode Digit]],0, IF(QrrSky_Q3&gt;0,QrrSky_Q3,Qrr_Q3)*Fsw*Vout,  IF(QrrSky_Q2&gt;0,QrrSky_Q2,Qrr_Q2)*Fsw*(Table1[[#This Row],[Vin]]-Table1[[#This Row],[Iout]]*Rdson1)+IF(QrrSky_Q3&gt;0,QrrSky_Q3,Qrr_Q3)*Fsw*Vout)</f>
        <v>0</v>
      </c>
      <c r="BC90" s="354">
        <f>CHOOSE(Table1[[#This Row],[Mode Digit]], Rs*Table1[[#This Row],[Irms BuSync]]^2, Rs*Table1[[#This Row],[Irms BoCtlr]]^2, Rs*(Table1[[#This Row],[Irms BuSync]]^2+Table1[[#This Row],[Irms BoCtlr]]^2))</f>
        <v>0.15481326080547408</v>
      </c>
      <c r="BD90" s="354">
        <f t="shared" si="5"/>
        <v>1.44</v>
      </c>
      <c r="BE90" s="354">
        <f>IF(Vout&gt;8, Iq*Vout, Iq*Table1[[#This Row],[Vin]])</f>
        <v>4.3799999999999999E-2</v>
      </c>
      <c r="BF90" s="354">
        <f>CHOOSE(Table1[[#This Row],[Mode Digit]], (Qg_Q1+Qg_Q2)*Fsw, (Qg_Q3+Qg_Q4)*Fsw, (Qg_Q1+Qg_Q2+Qg_Q3+Qg_Q4)*Fsw)*IF(Vout&gt;8, Vout, Table1[[#This Row],[Vin]])</f>
        <v>0.47303999999999996</v>
      </c>
      <c r="BG90" s="354">
        <f t="shared" si="6"/>
        <v>0.57269042016806726</v>
      </c>
      <c r="BH90" s="354">
        <f>Table1[[#This Row],[IQ Loss]]+Table1[[#This Row],[Switching Current Loss]]</f>
        <v>0.51683999999999997</v>
      </c>
      <c r="BI9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9.5156550437842906</v>
      </c>
      <c r="BJ90">
        <f>Vout*Table1[[#This Row],[Iout]]</f>
        <v>175.2</v>
      </c>
      <c r="BK90" s="550">
        <f>Table1[[#This Row],[Pout]]/(Table1[[#This Row],[Pout]]+Table1[[#This Row],[Total Loss]])</f>
        <v>0.94848484801394484</v>
      </c>
      <c r="BL9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223.0539037980283</v>
      </c>
      <c r="BM90" s="559">
        <f>IF(Table1[[#This Row],[Vin]]&gt;Vout, Table1[[#This Row],[Total Sync Bu MOSFET Loss]]*ThetaJA_Q2, ThetaJA_Q3*Table1[[#This Row],[Total Sync Bo MOSFET Loss]])</f>
        <v>53.592760383672406</v>
      </c>
      <c r="BN90" s="9"/>
      <c r="BO90" s="4">
        <f>Table1[[#This Row],[EFF, h]]*100</f>
        <v>94.848484801394477</v>
      </c>
      <c r="BP90" s="354">
        <f>Table1[[#This Row],[Total Inductor Loss]]</f>
        <v>1.6927921706359452</v>
      </c>
      <c r="BQ90" s="354">
        <f>Table1[[#This Row],[Total Control Bu MOSFET Loss]]+Table1[[#This Row],[Total Sync Bu MOSFET Loss]]+Table1[[#This Row],[Total Control Bo MOSFET Loss]]+Table1[[#This Row],[Total Sync Bo MOSFET Loss]]+Table1[[#This Row],[Reverse Recovery Loss MOSFET D BUCK]]+Table1[[#This Row],[Reverse Recovery Loss MOSFET D BOOST]]</f>
        <v>5.6334246943836632</v>
      </c>
      <c r="BR90" s="354">
        <f>Table1[[#This Row],[Total Control Bu MOSFET Loss]]+Table1[[#This Row],[Reverse Recovery Loss MOSFET D BUCK]]*0.66</f>
        <v>3.9204722953004714</v>
      </c>
      <c r="BS90" s="354">
        <f>Table1[[#This Row],[Total Sync Bu MOSFET Loss]]+Table1[[#This Row],[Reverse Recovery Loss MOSFET D BUCK]]*0.33</f>
        <v>0.9946662890612068</v>
      </c>
      <c r="BT90" s="354">
        <f xml:space="preserve"> Table1[[#This Row],[Total Control Bo MOSFET Loss]]+Table1[[#This Row],[Reverse Recovery Loss MOSFET D BOOST]]*0.66</f>
        <v>0</v>
      </c>
      <c r="BU90" s="354">
        <f xml:space="preserve"> Table1[[#This Row],[Total Sync Bo MOSFET Loss]]+Table1[[#This Row],[Reverse Recovery Loss MOSFET D BOOST]]*0.33</f>
        <v>0.71521175802198578</v>
      </c>
      <c r="BV90" s="354">
        <f>Table1[[#This Row],[Isense Shunt Loss]]</f>
        <v>0.15481326080547408</v>
      </c>
      <c r="CB90" s="18"/>
      <c r="CC90" s="19"/>
    </row>
    <row r="91" spans="1:81" x14ac:dyDescent="0.2">
      <c r="G91">
        <v>82</v>
      </c>
      <c r="H91" s="555">
        <f>VIN_min+(VIN_max-VIN_min)*(Table1[[#This Row],[Step]]/200)</f>
        <v>25.74</v>
      </c>
      <c r="I91" s="4" t="str">
        <f>IF(Mode = 2,IF(Table1[[#This Row],[Vin]]&gt;Vout, "BUCK","BOOST"),IF(Table1[[#This Row],[Vin]]&gt;VIN_BB_to_buck, "BUCK", IF(Table1[[#This Row],[Vin]]&lt;=VIN_boost_to_BB,"BOOST","BUCK-BST")))</f>
        <v>BUCK</v>
      </c>
      <c r="J91">
        <f>IF(Table1[[#This Row],[Mode]]="BOOST",2, IF(Table1[[#This Row],[Mode]]="BUCK", 1,3))</f>
        <v>1</v>
      </c>
      <c r="K91">
        <f t="shared" si="4"/>
        <v>12</v>
      </c>
      <c r="L91" s="4">
        <f>Vout*Table1[[#This Row],[Iout]]/(Table1[[#This Row],[Vin]]*Efficiency)</f>
        <v>7.1647650595019021</v>
      </c>
      <c r="M91" s="711">
        <f>MIN(1/Fsw,CHOOSE(Table1[[#This Row],[Mode Digit]],(Vout+(Rdson2+Rs+Rdcr)*Table1[[#This Row],[Iout]])/(Table1[[#This Row],[Vin]]+(Rs+Rdson2-Rdson1)*Table1[[#This Row],[Iout]])/Fsw,(Vout+(Rdson3+Rdcr)*Table1[[#This Row],[Iin]]-Table1[[#This Row],[Vin]])/(Vout+(Rdson3-Rdson4-Rs)*Table1[[#This Row],[Iin]])/Fsw,t1_Ph_II))</f>
        <v>9.5395162333462677E-7</v>
      </c>
      <c r="N91" s="602">
        <f>CHOOSE(Table1[[#This Row],[Mode Digit]],1/Fsw-Table1[[#This Row],[t1_Ph_II]],1/Fsw-Table1[[#This Row],[t1_Ph_II]],(Vout/Fsw-Table1[[#This Row],[Vin]]*t1_Ph_II)/(Table1[[#This Row],[Vin]]+Vout))</f>
        <v>7.1271504333203989E-7</v>
      </c>
      <c r="O91" s="602">
        <f>1/Fsw-(Table1[[#This Row],[t1_Ph_II]]+Table1[[#This Row],[t2_Ph_I]])</f>
        <v>0</v>
      </c>
      <c r="P9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9.9873066128886858</v>
      </c>
      <c r="Q91" s="4">
        <f>CHOOSE(Table1[[#This Row],[Mode Digit]],Table1[[#This Row],[I_0]]+1/Lf*(Table1[[#This Row],[Vin]]-Vout)*Table1[[#This Row],[t1_Ph_II]],Table1[[#This Row],[I_0]]+1/Lf*Table1[[#This Row],[Vin]]*Table1[[#This Row],[t1_Ph_II]],Table1[[#This Row],[I_0]]+(Table1[[#This Row],[Vin]]-Vout)/L*Table1[[#This Row],[t1_Ph_II]])</f>
        <v>14.012693387111314</v>
      </c>
      <c r="R91" s="4">
        <f>CHOOSE(Table1[[#This Row],[Mode Digit]],0,0,Table1[[#This Row],[I_1]]+Table1[[#This Row],[Vin]]/L*Table1[[#This Row],[t2_Ph_I]])</f>
        <v>0</v>
      </c>
      <c r="S91" s="4">
        <f>Fsw*(Table1[[#This Row],[I_0]]*Table1[[#This Row],[t1_Ph_II]]+Table1[[#This Row],[I_1]]*Table1[[#This Row],[t2_Ph_I]]+Table1[[#This Row],[I_2]]*Table1[[#This Row],[t3_Ph_III]])</f>
        <v>11.708678838419665</v>
      </c>
      <c r="T91" s="354">
        <f>MIN(1,CHOOSE(Table1[[#This Row],[Mode Digit]],(Vout+(Rdson2+Rs+Rdcr)*Table1[[#This Row],[Iout]])/(Table1[[#This Row],[Vin]]+(Rs+Rdson2-Rdson1)*Table1[[#This Row],[Iout]]),1,Fsw*Table1[[#This Row],[t2_Ph_I]]+Table1[[#This Row],[t1_Ph_II]]))</f>
        <v>0.57237097400077608</v>
      </c>
      <c r="U91" s="354">
        <f>MIN(1,CHOOSE(Table1[[#This Row],[Mode Digit]],0,(Vout+(Rdson3+Rdcr)*Table1[[#This Row],[Iin]]-Table1[[#This Row],[Vin]])/(Vout+(Rdson3-Rdson4-Rs)*Table1[[#This Row],[Iin]]),Fsw*Table1[[#This Row],[t1_Ph_II]]+Table1[[#This Row],[t3_Ph_III]]))</f>
        <v>0</v>
      </c>
      <c r="V91" s="4">
        <f>MAX(Table1[[#This Row],[I_0]:[I_2]])-MIN(Table1[[#This Row],[I_0]:[I_1]])</f>
        <v>4.0253867742226284</v>
      </c>
      <c r="W9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12.056131699547766</v>
      </c>
      <c r="X91" s="354">
        <f>(Table1[[#This Row],[Irms Lf]]^2*Rdcr*(1+Ltc*Ta-Ltc*25))/(1-Table1[[#This Row],[Irms Lf]]^2*Rdcr*Ltc*ThetaCa)</f>
        <v>0.90399985771821534</v>
      </c>
      <c r="Y91" s="354">
        <f>ABS(7.759*10^-3*Fsw^0.9458*(0.00787*Table1[[#This Row],[Ripple Current pk-pk]])^2.304)</f>
        <v>0.79539660618467223</v>
      </c>
      <c r="Z91" s="354">
        <f>Table1[[#This Row],[DCR    Loss]]+Table1[[#This Row],[Core Loss]]</f>
        <v>1.6993964639028876</v>
      </c>
      <c r="AA91" s="4">
        <f>IF(Table1[[#This Row],[Vin]]&gt;Vout, Table1[[#This Row],[Ripple Current pk-pk]]/SQRT(12), SQRT(Table1[[#This Row],[Duty Cycle BOOST Leg]]/(1-Table1[[#This Row],[Duty Cycle BOOST Leg]]))*SQRT(Table1[[#This Row],[Iout]]^2+(Table1[[#This Row],[Ripple Current pk-pk]]^2)/12))</f>
        <v>1.1620290688448969</v>
      </c>
      <c r="AB91" s="354">
        <f>RCoutEsr*Table1[[#This Row],[Irms Cout]]^2</f>
        <v>6.7515577842026907E-3</v>
      </c>
      <c r="AC91" s="354">
        <f>Table1[[#This Row],[Cout ESR Loss]]</f>
        <v>6.7515577842026907E-3</v>
      </c>
      <c r="AD91" s="354">
        <f>IF(Table1[[#This Row],[Vin]]&gt;Vout, SQRT(Table1[[#This Row],[Duty Cycle BUCK Leg]]*(1-Table1[[#This Row],[Duty Cycle BUCK Leg]]))*SQRT(Table1[[#This Row],[Iout]]^2+(Table1[[#This Row],[Ripple Current pk-pk]]^2)/12), Table1[[#This Row],[Ripple Current pk-pk]]/SQRT(12))</f>
        <v>5.9645869278493935</v>
      </c>
      <c r="AE91" s="354">
        <f>RCinEsr*Table1[[#This Row],[Irms Cin]]^2</f>
        <v>7.1152594439743741E-2</v>
      </c>
      <c r="AF91" s="549">
        <f>Table1[[#This Row],[Cin ESR Loss]]</f>
        <v>7.1152594439743741E-2</v>
      </c>
      <c r="AG9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9.1210909104725548</v>
      </c>
      <c r="AH91" s="354">
        <f>Rdson1*Table1[[#This Row],[Irms BuCtrl]]^2</f>
        <v>0.34941605746784127</v>
      </c>
      <c r="AI91" s="354">
        <f>CHOOSE(Table1[[#This Row],[Mode Digit]], (Table1[[#This Row],[Vin]]*Table1[[#This Row],[Iout]]/2)*(Fsw)*(Tr_buck+Tf_buck), 0, (Table1[[#This Row],[Vin]]*Table1[[#This Row],[Avg IL]]/2)*(Fsw/1)*(Tr_buck+Tf_buck))</f>
        <v>3.0629674212972322</v>
      </c>
      <c r="AJ91">
        <f>IF(Table1[[#This Row],[Vin]]&gt;Vout, IF(Table1[[#This Row],[Iout]]&gt;Table1[[#This Row],[Ripple Current pk-pk]]/2,0,ABS(Table1[[#This Row],[Iout]]-Table1[[#This Row],[Ripple Current pk-pk]]/2)*Vsd_Q1*Deadtime*Fsw),0)</f>
        <v>0</v>
      </c>
      <c r="AK91" s="354">
        <f>(Table1[[#This Row],[Dead Time Loss BuCtrl]]+Table1[[#This Row],[Transition Loss BuCtrl]]+Table1[[#This Row],[RDS(on) Loss BuCtrl]]*(1+RdsonTopTc*Ta-RdsonTopTc*25))/(1-Table1[[#This Row],[RDS(on) Loss BuCtrl]]*RdsonTopTc*ThetaJA_Q1)</f>
        <v>3.724739596764028</v>
      </c>
      <c r="AL91" s="354">
        <f>CHOOSE(Table1[[#This Row],[Mode Digit]],SQRT((Fsw*(Table1[[#This Row],[t2_Ph_I]]+0))*((Table1[[#This Row],[I_0]]*Table1[[#This Row],[I_1]]+((Table1[[#This Row],[I_0]]-Table1[[#This Row],[I_1]])^2)/3))),0,SQRT((Fsw*(Table1[[#This Row],[t3_Ph_III]]+0))*((Table1[[#This Row],[I_0]]*Table1[[#This Row],[I_2]]+((Table1[[#This Row],[I_0]]-Table1[[#This Row],[I_2]])^2)/3))))</f>
        <v>7.88390843171935</v>
      </c>
      <c r="AM91" s="354">
        <f>Rdson2*Table1[[#This Row],[Irms BuSync]]^2</f>
        <v>0.26105525107088895</v>
      </c>
      <c r="AN9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1" s="354">
        <f>(Table1[[#This Row],[Deadtime Loss BuSync]]+Table1[[#This Row],[RDS(on) Loss BuSync]]*(1+RdsonBotTc*Ta-RdsonBotTc*25))/(1-Table1[[#This Row],[RDS(on) Loss BuSync]]*RdsonBotTc*ThetaJA_Q2)</f>
        <v>0.89446801710987722</v>
      </c>
      <c r="AP91" s="354">
        <f>CHOOSE(Table1[[#This Row],[Mode Digit]],0,SQRT((Fsw*(Table1[[#This Row],[t1_Ph_II]]+0))*((Table1[[#This Row],[I_0]]*Table1[[#This Row],[I_1]]+((Table1[[#This Row],[I_0]]-Table1[[#This Row],[I_1]])^2)/3))),SQRT((Fsw*(Table1[[#This Row],[t2_Ph_I]]+0))*((Table1[[#This Row],[I_1]]*Table1[[#This Row],[I_2]]+((Table1[[#This Row],[I_1]]-Table1[[#This Row],[I_2]])^2)/3))))</f>
        <v>0</v>
      </c>
      <c r="AQ91" s="354">
        <f>Rdson4*Table1[[#This Row],[Irms BoCtlr]]^2</f>
        <v>0</v>
      </c>
      <c r="AR91" s="354">
        <f>CHOOSE(Table1[[#This Row],[Mode Digit]], 0, (Vout*Table1[[#This Row],[Iin]]/2)*(Fsw)*(Tr_boost+Tf_boost), (Vout*Iout/2)*(Fsw/1)*(Tr_boost+Tf_boost))</f>
        <v>0</v>
      </c>
      <c r="AS91">
        <f>IF(Table1[[#This Row],[Vin]]&gt;Vout, 0, IF(Table1[[#This Row],[Iin]]&gt;Table1[[#This Row],[Ripple Current pk-pk]]/2,0,ABS(Table1[[#This Row],[Iin]]-Table1[[#This Row],[Ripple Current pk-pk]]/2)*Vsd_Q4*Deadtime*Fsw))</f>
        <v>0</v>
      </c>
      <c r="AT91" s="354">
        <f>(Table1[[#This Row],[Dead Time Loss BoCtlr]]+Table1[[#This Row],[Transition Loss BoCtlr]]+Table1[[#This Row],[RDS(on) Loss BoCtlr]]*(1+RdsonTopTc*Ta-RdsonTopTc*25))/(1-Table1[[#This Row],[RDS(on) Loss BoCtlr]]*RdsonTopTc*ThetaJA_Q4)</f>
        <v>0</v>
      </c>
      <c r="AU9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12.056131699547766</v>
      </c>
      <c r="AV91" s="354">
        <f>Rdson3*Table1[[#This Row],[Irms BoSync]]^2</f>
        <v>0.61047130853873022</v>
      </c>
      <c r="AW9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1" s="354">
        <f>(Table1[[#This Row],[Deadtime Loss BoSync]]+Table1[[#This Row],[RDS(on) Loss BoSync]]*(1+RdsonBotTc*Ta-RdsonBotTc*25))/(1-Table1[[#This Row],[RDS(on) Loss BoSync]]*RdsonBotTc*ThetaJA_Q3)</f>
        <v>0.71526735628599858</v>
      </c>
      <c r="AY91" s="354">
        <f>CHOOSE(Table1[[#This Row],[Mode Digit]], Rdson3*Table1[[#This Row],[Irms Lf]]^2, Rdson1*Table1[[#This Row],[Irms Lf]]^2, 0)</f>
        <v>0.61047130853873022</v>
      </c>
      <c r="AZ91" s="354">
        <f>CHOOSE(Table1[[#This Row],[Mode Digit]], 2*Deadtime*Fsw*IF(VfdSky_Q2&gt;0,VfdSky_Q2,0)*Table1[[#This Row],[Iout]], 2*Deadtime*Fsw*IF(VfdSky_Q3&gt;0,VfdSky_Q3,0)*Table1[[#This Row],[Iin]], 2*Deadtime*Fsw*IF(VfdSky_Q2&gt;0,VfdSky_Q2,0)*Table1[[#This Row],[Iout]]+2*Deadtime*Fsw*IF(VfdSky_Q3&gt;0,VfdSky_Q3,0)*Table1[[#This Row],[Iin]])</f>
        <v>0</v>
      </c>
      <c r="BA91" s="354">
        <f>CHOOSE(Table1[[#This Row],[Mode Digit]], IF(QrrSky_Q2&gt;0,QrrSky_Q2,Qrr_Q2)*Fsw*(Table1[[#This Row],[Vin]]-Table1[[#This Row],[Iout]]*Rdson1),0,  IF(QrrSky_Q2&gt;0,QrrSky_Q2,Qrr_Q2)*Fsw*(Table1[[#This Row],[Vin]]-Table1[[#This Row],[Iout]]*Rdson1)+IF(QrrSky_Q3&gt;0,QrrSky_Q3,Qrr_Q3)*Fsw*Vout)</f>
        <v>0.30827519999999997</v>
      </c>
      <c r="BB91" s="354">
        <f>CHOOSE(Table1[[#This Row],[Mode Digit]],0, IF(QrrSky_Q3&gt;0,QrrSky_Q3,Qrr_Q3)*Fsw*Vout,  IF(QrrSky_Q2&gt;0,QrrSky_Q2,Qrr_Q2)*Fsw*(Table1[[#This Row],[Vin]]-Table1[[#This Row],[Iout]]*Rdson1)+IF(QrrSky_Q3&gt;0,QrrSky_Q3,Qrr_Q3)*Fsw*Vout)</f>
        <v>0</v>
      </c>
      <c r="BC91" s="354">
        <f>CHOOSE(Table1[[#This Row],[Mode Digit]], Rs*Table1[[#This Row],[Irms BuSync]]^2, Rs*Table1[[#This Row],[Irms BoCtlr]]^2, Rs*(Table1[[#This Row],[Irms BuSync]]^2+Table1[[#This Row],[Irms BoCtlr]]^2))</f>
        <v>0.15539003039933866</v>
      </c>
      <c r="BD91" s="354">
        <f t="shared" si="5"/>
        <v>1.44</v>
      </c>
      <c r="BE91" s="354">
        <f>IF(Vout&gt;8, Iq*Vout, Iq*Table1[[#This Row],[Vin]])</f>
        <v>4.3799999999999999E-2</v>
      </c>
      <c r="BF91" s="354">
        <f>CHOOSE(Table1[[#This Row],[Mode Digit]], (Qg_Q1+Qg_Q2)*Fsw, (Qg_Q3+Qg_Q4)*Fsw, (Qg_Q1+Qg_Q2+Qg_Q3+Qg_Q4)*Fsw)*IF(Vout&gt;8, Vout, Table1[[#This Row],[Vin]])</f>
        <v>0.47303999999999996</v>
      </c>
      <c r="BG91" s="354">
        <f t="shared" si="6"/>
        <v>0.57269042016806726</v>
      </c>
      <c r="BH91" s="354">
        <f>Table1[[#This Row],[IQ Loss]]+Table1[[#This Row],[Switching Current Loss]]</f>
        <v>0.51683999999999997</v>
      </c>
      <c r="BI9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9.5322808166860753</v>
      </c>
      <c r="BJ91">
        <f>Vout*Table1[[#This Row],[Iout]]</f>
        <v>175.2</v>
      </c>
      <c r="BK91" s="550">
        <f>Table1[[#This Row],[Pout]]/(Table1[[#This Row],[Pout]]+Table1[[#This Row],[Total Loss]])</f>
        <v>0.94839948505726968</v>
      </c>
      <c r="BL9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223.48437580584169</v>
      </c>
      <c r="BM91" s="559">
        <f>IF(Table1[[#This Row],[Vin]]&gt;Vout, Table1[[#This Row],[Total Sync Bu MOSFET Loss]]*ThetaJA_Q2, ThetaJA_Q3*Table1[[#This Row],[Total Sync Bo MOSFET Loss]])</f>
        <v>53.668081026592631</v>
      </c>
      <c r="BN91" s="9"/>
      <c r="BO91" s="4">
        <f>Table1[[#This Row],[EFF, h]]*100</f>
        <v>94.839948505726966</v>
      </c>
      <c r="BP91" s="354">
        <f>Table1[[#This Row],[Total Inductor Loss]]</f>
        <v>1.6993964639028876</v>
      </c>
      <c r="BQ91" s="354">
        <f>Table1[[#This Row],[Total Control Bu MOSFET Loss]]+Table1[[#This Row],[Total Sync Bu MOSFET Loss]]+Table1[[#This Row],[Total Control Bo MOSFET Loss]]+Table1[[#This Row],[Total Sync Bo MOSFET Loss]]+Table1[[#This Row],[Reverse Recovery Loss MOSFET D BUCK]]+Table1[[#This Row],[Reverse Recovery Loss MOSFET D BOOST]]</f>
        <v>5.6427501701599034</v>
      </c>
      <c r="BR91" s="354">
        <f>Table1[[#This Row],[Total Control Bu MOSFET Loss]]+Table1[[#This Row],[Reverse Recovery Loss MOSFET D BUCK]]*0.66</f>
        <v>3.9282012287640278</v>
      </c>
      <c r="BS91" s="354">
        <f>Table1[[#This Row],[Total Sync Bu MOSFET Loss]]+Table1[[#This Row],[Reverse Recovery Loss MOSFET D BUCK]]*0.33</f>
        <v>0.99619883310987722</v>
      </c>
      <c r="BT91" s="354">
        <f xml:space="preserve"> Table1[[#This Row],[Total Control Bo MOSFET Loss]]+Table1[[#This Row],[Reverse Recovery Loss MOSFET D BOOST]]*0.66</f>
        <v>0</v>
      </c>
      <c r="BU91" s="354">
        <f xml:space="preserve"> Table1[[#This Row],[Total Sync Bo MOSFET Loss]]+Table1[[#This Row],[Reverse Recovery Loss MOSFET D BOOST]]*0.33</f>
        <v>0.71526735628599858</v>
      </c>
      <c r="BV91" s="354">
        <f>Table1[[#This Row],[Isense Shunt Loss]]</f>
        <v>0.15539003039933866</v>
      </c>
      <c r="CB91" s="18"/>
      <c r="CC91" s="19"/>
    </row>
    <row r="92" spans="1:81" x14ac:dyDescent="0.2">
      <c r="G92">
        <v>83</v>
      </c>
      <c r="H92" s="555">
        <f>VIN_min+(VIN_max-VIN_min)*(Table1[[#This Row],[Step]]/200)</f>
        <v>25.81</v>
      </c>
      <c r="I92" s="4" t="str">
        <f>IF(Mode = 2,IF(Table1[[#This Row],[Vin]]&gt;Vout, "BUCK","BOOST"),IF(Table1[[#This Row],[Vin]]&gt;VIN_BB_to_buck, "BUCK", IF(Table1[[#This Row],[Vin]]&lt;=VIN_boost_to_BB,"BOOST","BUCK-BST")))</f>
        <v>BUCK</v>
      </c>
      <c r="J92">
        <f>IF(Table1[[#This Row],[Mode]]="BOOST",2, IF(Table1[[#This Row],[Mode]]="BUCK", 1,3))</f>
        <v>1</v>
      </c>
      <c r="K92">
        <f t="shared" si="4"/>
        <v>12</v>
      </c>
      <c r="L92" s="4">
        <f>Vout*Table1[[#This Row],[Iout]]/(Table1[[#This Row],[Vin]]*Efficiency)</f>
        <v>7.1453333061440896</v>
      </c>
      <c r="M92" s="711">
        <f>MIN(1/Fsw,CHOOSE(Table1[[#This Row],[Mode Digit]],(Vout+(Rdson2+Rs+Rdcr)*Table1[[#This Row],[Iout]])/(Table1[[#This Row],[Vin]]+(Rs+Rdson2-Rdson1)*Table1[[#This Row],[Iout]])/Fsw,(Vout+(Rdson3+Rdcr)*Table1[[#This Row],[Iin]]-Table1[[#This Row],[Vin]])/(Vout+(Rdson3-Rdson4-Rs)*Table1[[#This Row],[Iin]])/Fsw,t1_Ph_II))</f>
        <v>9.5136738906088757E-7</v>
      </c>
      <c r="N92" s="602">
        <f>CHOOSE(Table1[[#This Row],[Mode Digit]],1/Fsw-Table1[[#This Row],[t1_Ph_II]],1/Fsw-Table1[[#This Row],[t1_Ph_II]],(Vout/Fsw-Table1[[#This Row],[Vin]]*t1_Ph_II)/(Table1[[#This Row],[Vin]]+Vout))</f>
        <v>7.1529927760577909E-7</v>
      </c>
      <c r="O92" s="602">
        <f>1/Fsw-(Table1[[#This Row],[t1_Ph_II]]+Table1[[#This Row],[t2_Ph_I]])</f>
        <v>0</v>
      </c>
      <c r="P9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9.9801461304218648</v>
      </c>
      <c r="Q92" s="4">
        <f>CHOOSE(Table1[[#This Row],[Mode Digit]],Table1[[#This Row],[I_0]]+1/Lf*(Table1[[#This Row],[Vin]]-Vout)*Table1[[#This Row],[t1_Ph_II]],Table1[[#This Row],[I_0]]+1/Lf*Table1[[#This Row],[Vin]]*Table1[[#This Row],[t1_Ph_II]],Table1[[#This Row],[I_0]]+(Table1[[#This Row],[Vin]]-Vout)/L*Table1[[#This Row],[t1_Ph_II]])</f>
        <v>14.019853869578133</v>
      </c>
      <c r="R92" s="4">
        <f>CHOOSE(Table1[[#This Row],[Mode Digit]],0,0,Table1[[#This Row],[I_1]]+Table1[[#This Row],[Vin]]/L*Table1[[#This Row],[t2_Ph_I]])</f>
        <v>0</v>
      </c>
      <c r="S92" s="4">
        <f>Fsw*(Table1[[#This Row],[I_0]]*Table1[[#This Row],[t1_Ph_II]]+Table1[[#This Row],[I_1]]*Table1[[#This Row],[t2_Ph_I]]+Table1[[#This Row],[I_2]]*Table1[[#This Row],[t3_Ph_III]])</f>
        <v>11.713906146956038</v>
      </c>
      <c r="T92" s="354">
        <f>MIN(1,CHOOSE(Table1[[#This Row],[Mode Digit]],(Vout+(Rdson2+Rs+Rdcr)*Table1[[#This Row],[Iout]])/(Table1[[#This Row],[Vin]]+(Rs+Rdson2-Rdson1)*Table1[[#This Row],[Iout]]),1,Fsw*Table1[[#This Row],[t2_Ph_I]]+Table1[[#This Row],[t1_Ph_II]]))</f>
        <v>0.57082043343653255</v>
      </c>
      <c r="U92" s="354">
        <f>MIN(1,CHOOSE(Table1[[#This Row],[Mode Digit]],0,(Vout+(Rdson3+Rdcr)*Table1[[#This Row],[Iin]]-Table1[[#This Row],[Vin]])/(Vout+(Rdson3-Rdson4-Rs)*Table1[[#This Row],[Iin]]),Fsw*Table1[[#This Row],[t1_Ph_II]]+Table1[[#This Row],[t3_Ph_III]]))</f>
        <v>0</v>
      </c>
      <c r="V92" s="4">
        <f>MAX(Table1[[#This Row],[I_0]:[I_2]])-MIN(Table1[[#This Row],[I_0]:[I_1]])</f>
        <v>4.0397077391562686</v>
      </c>
      <c r="W9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12.056530867189087</v>
      </c>
      <c r="X92" s="354">
        <f>(Table1[[#This Row],[Irms Lf]]^2*Rdcr*(1+Ltc*Ta-Ltc*25))/(1-Table1[[#This Row],[Irms Lf]]^2*Rdcr*Ltc*ThetaCa)</f>
        <v>0.90406404949146912</v>
      </c>
      <c r="Y92" s="354">
        <f>ABS(7.759*10^-3*Fsw^0.9458*(0.00787*Table1[[#This Row],[Ripple Current pk-pk]])^2.304)</f>
        <v>0.80193148378267609</v>
      </c>
      <c r="Z92" s="354">
        <f>Table1[[#This Row],[DCR    Loss]]+Table1[[#This Row],[Core Loss]]</f>
        <v>1.7059955332741452</v>
      </c>
      <c r="AA92" s="4">
        <f>IF(Table1[[#This Row],[Vin]]&gt;Vout, Table1[[#This Row],[Ripple Current pk-pk]]/SQRT(12), SQRT(Table1[[#This Row],[Duty Cycle BOOST Leg]]/(1-Table1[[#This Row],[Duty Cycle BOOST Leg]]))*SQRT(Table1[[#This Row],[Iout]]^2+(Table1[[#This Row],[Ripple Current pk-pk]]^2)/12))</f>
        <v>1.1661631753246431</v>
      </c>
      <c r="AB92" s="354">
        <f>RCoutEsr*Table1[[#This Row],[Irms Cout]]^2</f>
        <v>6.7996827574162708E-3</v>
      </c>
      <c r="AC92" s="354">
        <f>Table1[[#This Row],[Cout ESR Loss]]</f>
        <v>6.7996827574162708E-3</v>
      </c>
      <c r="AD92" s="354">
        <f>IF(Table1[[#This Row],[Vin]]&gt;Vout, SQRT(Table1[[#This Row],[Duty Cycle BUCK Leg]]*(1-Table1[[#This Row],[Duty Cycle BUCK Leg]]))*SQRT(Table1[[#This Row],[Iout]]^2+(Table1[[#This Row],[Ripple Current pk-pk]]^2)/12), Table1[[#This Row],[Ripple Current pk-pk]]/SQRT(12))</f>
        <v>5.9674891255932563</v>
      </c>
      <c r="AE92" s="354">
        <f>RCinEsr*Table1[[#This Row],[Irms Cin]]^2</f>
        <v>7.1221852928147533E-2</v>
      </c>
      <c r="AF92" s="549">
        <f>Table1[[#This Row],[Cin ESR Loss]]</f>
        <v>7.1221852928147533E-2</v>
      </c>
      <c r="AG9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9.1090296951225564</v>
      </c>
      <c r="AH92" s="354">
        <f>Rdson1*Table1[[#This Row],[Irms BuCtrl]]^2</f>
        <v>0.34849257234382308</v>
      </c>
      <c r="AI92" s="354">
        <f>CHOOSE(Table1[[#This Row],[Mode Digit]], (Table1[[#This Row],[Vin]]*Table1[[#This Row],[Iout]]/2)*(Fsw)*(Tr_buck+Tf_buck), 0, (Table1[[#This Row],[Vin]]*Table1[[#This Row],[Avg IL]]/2)*(Fsw/1)*(Tr_buck+Tf_buck))</f>
        <v>3.0712971695291977</v>
      </c>
      <c r="AJ92">
        <f>IF(Table1[[#This Row],[Vin]]&gt;Vout, IF(Table1[[#This Row],[Iout]]&gt;Table1[[#This Row],[Ripple Current pk-pk]]/2,0,ABS(Table1[[#This Row],[Iout]]-Table1[[#This Row],[Ripple Current pk-pk]]/2)*Vsd_Q1*Deadtime*Fsw),0)</f>
        <v>0</v>
      </c>
      <c r="AK92" s="354">
        <f>(Table1[[#This Row],[Dead Time Loss BuCtrl]]+Table1[[#This Row],[Transition Loss BuCtrl]]+Table1[[#This Row],[RDS(on) Loss BuCtrl]]*(1+RdsonTopTc*Ta-RdsonTopTc*25))/(1-Table1[[#This Row],[RDS(on) Loss BuCtrl]]*RdsonTopTc*ThetaJA_Q1)</f>
        <v>3.7319209581505515</v>
      </c>
      <c r="AL92" s="354">
        <f>CHOOSE(Table1[[#This Row],[Mode Digit]],SQRT((Fsw*(Table1[[#This Row],[t2_Ph_I]]+0))*((Table1[[#This Row],[I_0]]*Table1[[#This Row],[I_1]]+((Table1[[#This Row],[I_0]]-Table1[[#This Row],[I_1]])^2)/3))),0,SQRT((Fsw*(Table1[[#This Row],[t3_Ph_III]]+0))*((Table1[[#This Row],[I_0]]*Table1[[#This Row],[I_2]]+((Table1[[#This Row],[I_0]]-Table1[[#This Row],[I_2]])^2)/3))))</f>
        <v>7.8984501368850015</v>
      </c>
      <c r="AM92" s="354">
        <f>Rdson2*Table1[[#This Row],[Irms BuSync]]^2</f>
        <v>0.26201916117240659</v>
      </c>
      <c r="AN9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2" s="354">
        <f>(Table1[[#This Row],[Deadtime Loss BuSync]]+Table1[[#This Row],[RDS(on) Loss BuSync]]*(1+RdsonBotTc*Ta-RdsonBotTc*25))/(1-Table1[[#This Row],[RDS(on) Loss BuSync]]*RdsonBotTc*ThetaJA_Q2)</f>
        <v>0.89571742024805279</v>
      </c>
      <c r="AP92" s="354">
        <f>CHOOSE(Table1[[#This Row],[Mode Digit]],0,SQRT((Fsw*(Table1[[#This Row],[t1_Ph_II]]+0))*((Table1[[#This Row],[I_0]]*Table1[[#This Row],[I_1]]+((Table1[[#This Row],[I_0]]-Table1[[#This Row],[I_1]])^2)/3))),SQRT((Fsw*(Table1[[#This Row],[t2_Ph_I]]+0))*((Table1[[#This Row],[I_1]]*Table1[[#This Row],[I_2]]+((Table1[[#This Row],[I_1]]-Table1[[#This Row],[I_2]])^2)/3))))</f>
        <v>0</v>
      </c>
      <c r="AQ92" s="354">
        <f>Rdson4*Table1[[#This Row],[Irms BoCtlr]]^2</f>
        <v>0</v>
      </c>
      <c r="AR92" s="354">
        <f>CHOOSE(Table1[[#This Row],[Mode Digit]], 0, (Vout*Table1[[#This Row],[Iin]]/2)*(Fsw)*(Tr_boost+Tf_boost), (Vout*Iout/2)*(Fsw/1)*(Tr_boost+Tf_boost))</f>
        <v>0</v>
      </c>
      <c r="AS92">
        <f>IF(Table1[[#This Row],[Vin]]&gt;Vout, 0, IF(Table1[[#This Row],[Iin]]&gt;Table1[[#This Row],[Ripple Current pk-pk]]/2,0,ABS(Table1[[#This Row],[Iin]]-Table1[[#This Row],[Ripple Current pk-pk]]/2)*Vsd_Q4*Deadtime*Fsw))</f>
        <v>0</v>
      </c>
      <c r="AT92" s="354">
        <f>(Table1[[#This Row],[Dead Time Loss BoCtlr]]+Table1[[#This Row],[Transition Loss BoCtlr]]+Table1[[#This Row],[RDS(on) Loss BoCtlr]]*(1+RdsonTopTc*Ta-RdsonTopTc*25))/(1-Table1[[#This Row],[RDS(on) Loss BoCtlr]]*RdsonTopTc*ThetaJA_Q4)</f>
        <v>0</v>
      </c>
      <c r="AU9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12.056530867189087</v>
      </c>
      <c r="AV92" s="354">
        <f>Rdson3*Table1[[#This Row],[Irms BoSync]]^2</f>
        <v>0.61051173351622967</v>
      </c>
      <c r="AW9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2" s="354">
        <f>(Table1[[#This Row],[Deadtime Loss BoSync]]+Table1[[#This Row],[RDS(on) Loss BoSync]]*(1+RdsonBotTc*Ta-RdsonBotTc*25))/(1-Table1[[#This Row],[RDS(on) Loss BoSync]]*RdsonBotTc*ThetaJA_Q3)</f>
        <v>0.71532285220131775</v>
      </c>
      <c r="AY92" s="354">
        <f>CHOOSE(Table1[[#This Row],[Mode Digit]], Rdson3*Table1[[#This Row],[Irms Lf]]^2, Rdson1*Table1[[#This Row],[Irms Lf]]^2, 0)</f>
        <v>0.61051173351622967</v>
      </c>
      <c r="AZ92" s="354">
        <f>CHOOSE(Table1[[#This Row],[Mode Digit]], 2*Deadtime*Fsw*IF(VfdSky_Q2&gt;0,VfdSky_Q2,0)*Table1[[#This Row],[Iout]], 2*Deadtime*Fsw*IF(VfdSky_Q3&gt;0,VfdSky_Q3,0)*Table1[[#This Row],[Iin]], 2*Deadtime*Fsw*IF(VfdSky_Q2&gt;0,VfdSky_Q2,0)*Table1[[#This Row],[Iout]]+2*Deadtime*Fsw*IF(VfdSky_Q3&gt;0,VfdSky_Q3,0)*Table1[[#This Row],[Iin]])</f>
        <v>0</v>
      </c>
      <c r="BA92" s="354">
        <f>CHOOSE(Table1[[#This Row],[Mode Digit]], IF(QrrSky_Q2&gt;0,QrrSky_Q2,Qrr_Q2)*Fsw*(Table1[[#This Row],[Vin]]-Table1[[#This Row],[Iout]]*Rdson1),0,  IF(QrrSky_Q2&gt;0,QrrSky_Q2,Qrr_Q2)*Fsw*(Table1[[#This Row],[Vin]]-Table1[[#This Row],[Iout]]*Rdson1)+IF(QrrSky_Q3&gt;0,QrrSky_Q3,Qrr_Q3)*Fsw*Vout)</f>
        <v>0.30911519999999998</v>
      </c>
      <c r="BB92" s="354">
        <f>CHOOSE(Table1[[#This Row],[Mode Digit]],0, IF(QrrSky_Q3&gt;0,QrrSky_Q3,Qrr_Q3)*Fsw*Vout,  IF(QrrSky_Q2&gt;0,QrrSky_Q2,Qrr_Q2)*Fsw*(Table1[[#This Row],[Vin]]-Table1[[#This Row],[Iout]]*Rdson1)+IF(QrrSky_Q3&gt;0,QrrSky_Q3,Qrr_Q3)*Fsw*Vout)</f>
        <v>0</v>
      </c>
      <c r="BC92" s="354">
        <f>CHOOSE(Table1[[#This Row],[Mode Digit]], Rs*Table1[[#This Row],[Irms BuSync]]^2, Rs*Table1[[#This Row],[Irms BoCtlr]]^2, Rs*(Table1[[#This Row],[Irms BuSync]]^2+Table1[[#This Row],[Irms BoCtlr]]^2))</f>
        <v>0.15596378641214675</v>
      </c>
      <c r="BD92" s="354">
        <f t="shared" si="5"/>
        <v>1.44</v>
      </c>
      <c r="BE92" s="354">
        <f>IF(Vout&gt;8, Iq*Vout, Iq*Table1[[#This Row],[Vin]])</f>
        <v>4.3799999999999999E-2</v>
      </c>
      <c r="BF92" s="354">
        <f>CHOOSE(Table1[[#This Row],[Mode Digit]], (Qg_Q1+Qg_Q2)*Fsw, (Qg_Q3+Qg_Q4)*Fsw, (Qg_Q1+Qg_Q2+Qg_Q3+Qg_Q4)*Fsw)*IF(Vout&gt;8, Vout, Table1[[#This Row],[Vin]])</f>
        <v>0.47303999999999996</v>
      </c>
      <c r="BG92" s="354">
        <f t="shared" si="6"/>
        <v>0.57269042016806726</v>
      </c>
      <c r="BH92" s="354">
        <f>Table1[[#This Row],[IQ Loss]]+Table1[[#This Row],[Switching Current Loss]]</f>
        <v>0.51683999999999997</v>
      </c>
      <c r="BI9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9.548897285971778</v>
      </c>
      <c r="BJ92">
        <f>Vout*Table1[[#This Row],[Iout]]</f>
        <v>175.2</v>
      </c>
      <c r="BK92" s="550">
        <f>Table1[[#This Row],[Pout]]/(Table1[[#This Row],[Pout]]+Table1[[#This Row],[Total Loss]])</f>
        <v>0.94831418521978461</v>
      </c>
      <c r="BL9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223.91525748903308</v>
      </c>
      <c r="BM92" s="559">
        <f>IF(Table1[[#This Row],[Vin]]&gt;Vout, Table1[[#This Row],[Total Sync Bu MOSFET Loss]]*ThetaJA_Q2, ThetaJA_Q3*Table1[[#This Row],[Total Sync Bo MOSFET Loss]])</f>
        <v>53.743045214883168</v>
      </c>
      <c r="BN92" s="9"/>
      <c r="BO92" s="4">
        <f>Table1[[#This Row],[EFF, h]]*100</f>
        <v>94.831418521978463</v>
      </c>
      <c r="BP92" s="354">
        <f>Table1[[#This Row],[Total Inductor Loss]]</f>
        <v>1.7059955332741452</v>
      </c>
      <c r="BQ92" s="354">
        <f>Table1[[#This Row],[Total Control Bu MOSFET Loss]]+Table1[[#This Row],[Total Sync Bu MOSFET Loss]]+Table1[[#This Row],[Total Control Bo MOSFET Loss]]+Table1[[#This Row],[Total Sync Bo MOSFET Loss]]+Table1[[#This Row],[Reverse Recovery Loss MOSFET D BUCK]]+Table1[[#This Row],[Reverse Recovery Loss MOSFET D BOOST]]</f>
        <v>5.652076430599922</v>
      </c>
      <c r="BR92" s="354">
        <f>Table1[[#This Row],[Total Control Bu MOSFET Loss]]+Table1[[#This Row],[Reverse Recovery Loss MOSFET D BUCK]]*0.66</f>
        <v>3.9359369901505517</v>
      </c>
      <c r="BS92" s="354">
        <f>Table1[[#This Row],[Total Sync Bu MOSFET Loss]]+Table1[[#This Row],[Reverse Recovery Loss MOSFET D BUCK]]*0.33</f>
        <v>0.99772543624805277</v>
      </c>
      <c r="BT92" s="354">
        <f xml:space="preserve"> Table1[[#This Row],[Total Control Bo MOSFET Loss]]+Table1[[#This Row],[Reverse Recovery Loss MOSFET D BOOST]]*0.66</f>
        <v>0</v>
      </c>
      <c r="BU92" s="354">
        <f xml:space="preserve"> Table1[[#This Row],[Total Sync Bo MOSFET Loss]]+Table1[[#This Row],[Reverse Recovery Loss MOSFET D BOOST]]*0.33</f>
        <v>0.71532285220131775</v>
      </c>
      <c r="BV92" s="354">
        <f>Table1[[#This Row],[Isense Shunt Loss]]</f>
        <v>0.15596378641214675</v>
      </c>
      <c r="CB92" s="18"/>
      <c r="CC92" s="19"/>
    </row>
    <row r="93" spans="1:81" x14ac:dyDescent="0.2">
      <c r="G93">
        <v>84</v>
      </c>
      <c r="H93" s="555">
        <f>VIN_min+(VIN_max-VIN_min)*(Table1[[#This Row],[Step]]/200)</f>
        <v>25.88</v>
      </c>
      <c r="I93" s="4" t="str">
        <f>IF(Mode = 2,IF(Table1[[#This Row],[Vin]]&gt;Vout, "BUCK","BOOST"),IF(Table1[[#This Row],[Vin]]&gt;VIN_BB_to_buck, "BUCK", IF(Table1[[#This Row],[Vin]]&lt;=VIN_boost_to_BB,"BOOST","BUCK-BST")))</f>
        <v>BUCK</v>
      </c>
      <c r="J93">
        <f>IF(Table1[[#This Row],[Mode]]="BOOST",2, IF(Table1[[#This Row],[Mode]]="BUCK", 1,3))</f>
        <v>1</v>
      </c>
      <c r="K93">
        <f t="shared" si="4"/>
        <v>12</v>
      </c>
      <c r="L93" s="4">
        <f>Vout*Table1[[#This Row],[Iout]]/(Table1[[#This Row],[Vin]]*Efficiency)</f>
        <v>7.1260066704628651</v>
      </c>
      <c r="M93" s="711">
        <f>MIN(1/Fsw,CHOOSE(Table1[[#This Row],[Mode Digit]],(Vout+(Rdson2+Rs+Rdcr)*Table1[[#This Row],[Iout]])/(Table1[[#This Row],[Vin]]+(Rs+Rdson2-Rdson1)*Table1[[#This Row],[Iout]])/Fsw,(Vout+(Rdson3+Rdcr)*Table1[[#This Row],[Iin]]-Table1[[#This Row],[Vin]])/(Vout+(Rdson3-Rdson4-Rs)*Table1[[#This Row],[Iin]])/Fsw,t1_Ph_II))</f>
        <v>9.4879711822976981E-7</v>
      </c>
      <c r="N93" s="602">
        <f>CHOOSE(Table1[[#This Row],[Mode Digit]],1/Fsw-Table1[[#This Row],[t1_Ph_II]],1/Fsw-Table1[[#This Row],[t1_Ph_II]],(Vout/Fsw-Table1[[#This Row],[Vin]]*t1_Ph_II)/(Table1[[#This Row],[Vin]]+Vout))</f>
        <v>7.1786954843689685E-7</v>
      </c>
      <c r="O93" s="602">
        <f>1/Fsw-(Table1[[#This Row],[t1_Ph_II]]+Table1[[#This Row],[t2_Ph_I]])</f>
        <v>0</v>
      </c>
      <c r="P9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9.9730243383273098</v>
      </c>
      <c r="Q93" s="4">
        <f>CHOOSE(Table1[[#This Row],[Mode Digit]],Table1[[#This Row],[I_0]]+1/Lf*(Table1[[#This Row],[Vin]]-Vout)*Table1[[#This Row],[t1_Ph_II]],Table1[[#This Row],[I_0]]+1/Lf*Table1[[#This Row],[Vin]]*Table1[[#This Row],[t1_Ph_II]],Table1[[#This Row],[I_0]]+(Table1[[#This Row],[Vin]]-Vout)/L*Table1[[#This Row],[t1_Ph_II]])</f>
        <v>14.02697566167269</v>
      </c>
      <c r="R93" s="4">
        <f>CHOOSE(Table1[[#This Row],[Mode Digit]],0,0,Table1[[#This Row],[I_1]]+Table1[[#This Row],[Vin]]/L*Table1[[#This Row],[t2_Ph_I]])</f>
        <v>0</v>
      </c>
      <c r="S93" s="4">
        <f>Fsw*(Table1[[#This Row],[I_0]]*Table1[[#This Row],[t1_Ph_II]]+Table1[[#This Row],[I_1]]*Table1[[#This Row],[t2_Ph_I]]+Table1[[#This Row],[I_2]]*Table1[[#This Row],[t3_Ph_III]])</f>
        <v>11.719149261852374</v>
      </c>
      <c r="T93" s="354">
        <f>MIN(1,CHOOSE(Table1[[#This Row],[Mode Digit]],(Vout+(Rdson2+Rs+Rdcr)*Table1[[#This Row],[Iout]])/(Table1[[#This Row],[Vin]]+(Rs+Rdson2-Rdson1)*Table1[[#This Row],[Iout]]),1,Fsw*Table1[[#This Row],[t2_Ph_I]]+Table1[[#This Row],[t1_Ph_II]]))</f>
        <v>0.56927827093786187</v>
      </c>
      <c r="U93" s="354">
        <f>MIN(1,CHOOSE(Table1[[#This Row],[Mode Digit]],0,(Vout+(Rdson3+Rdcr)*Table1[[#This Row],[Iin]]-Table1[[#This Row],[Vin]])/(Vout+(Rdson3-Rdson4-Rs)*Table1[[#This Row],[Iin]]),Fsw*Table1[[#This Row],[t1_Ph_II]]+Table1[[#This Row],[t3_Ph_III]]))</f>
        <v>0</v>
      </c>
      <c r="V93" s="4">
        <f>MAX(Table1[[#This Row],[I_0]:[I_2]])-MIN(Table1[[#This Row],[I_0]:[I_1]])</f>
        <v>4.0539513233453803</v>
      </c>
      <c r="W9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12.056929270935358</v>
      </c>
      <c r="X93" s="354">
        <f>(Table1[[#This Row],[Irms Lf]]^2*Rdcr*(1+Ltc*Ta-Ltc*25))/(1-Table1[[#This Row],[Irms Lf]]^2*Rdcr*Ltc*ThetaCa)</f>
        <v>0.90412812115194829</v>
      </c>
      <c r="Y93" s="354">
        <f>ABS(7.759*10^-3*Fsw^0.9458*(0.00787*Table1[[#This Row],[Ripple Current pk-pk]])^2.304)</f>
        <v>0.80846108535031147</v>
      </c>
      <c r="Z93" s="354">
        <f>Table1[[#This Row],[DCR    Loss]]+Table1[[#This Row],[Core Loss]]</f>
        <v>1.7125892065022597</v>
      </c>
      <c r="AA93" s="4">
        <f>IF(Table1[[#This Row],[Vin]]&gt;Vout, Table1[[#This Row],[Ripple Current pk-pk]]/SQRT(12), SQRT(Table1[[#This Row],[Duty Cycle BOOST Leg]]/(1-Table1[[#This Row],[Duty Cycle BOOST Leg]]))*SQRT(Table1[[#This Row],[Iout]]^2+(Table1[[#This Row],[Ripple Current pk-pk]]^2)/12))</f>
        <v>1.1702749439075475</v>
      </c>
      <c r="AB93" s="354">
        <f>RCoutEsr*Table1[[#This Row],[Irms Cout]]^2</f>
        <v>6.847717221689067E-3</v>
      </c>
      <c r="AC93" s="354">
        <f>Table1[[#This Row],[Cout ESR Loss]]</f>
        <v>6.847717221689067E-3</v>
      </c>
      <c r="AD93" s="354">
        <f>IF(Table1[[#This Row],[Vin]]&gt;Vout, SQRT(Table1[[#This Row],[Duty Cycle BUCK Leg]]*(1-Table1[[#This Row],[Duty Cycle BUCK Leg]]))*SQRT(Table1[[#This Row],[Iout]]^2+(Table1[[#This Row],[Ripple Current pk-pk]]^2)/12), Table1[[#This Row],[Ripple Current pk-pk]]/SQRT(12))</f>
        <v>5.9703172290631663</v>
      </c>
      <c r="AE93" s="354">
        <f>RCinEsr*Table1[[#This Row],[Irms Cin]]^2</f>
        <v>7.1289375631296961E-2</v>
      </c>
      <c r="AF93" s="549">
        <f>Table1[[#This Row],[Cin ESR Loss]]</f>
        <v>7.1289375631296961E-2</v>
      </c>
      <c r="AG9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9.0970172220909316</v>
      </c>
      <c r="AH93" s="354">
        <f>Rdson1*Table1[[#This Row],[Irms BuCtrl]]^2</f>
        <v>0.34757403382387991</v>
      </c>
      <c r="AI93" s="354">
        <f>CHOOSE(Table1[[#This Row],[Mode Digit]], (Table1[[#This Row],[Vin]]*Table1[[#This Row],[Iout]]/2)*(Fsw)*(Tr_buck+Tf_buck), 0, (Table1[[#This Row],[Vin]]*Table1[[#This Row],[Avg IL]]/2)*(Fsw/1)*(Tr_buck+Tf_buck))</f>
        <v>3.0796269177611646</v>
      </c>
      <c r="AJ93">
        <f>IF(Table1[[#This Row],[Vin]]&gt;Vout, IF(Table1[[#This Row],[Iout]]&gt;Table1[[#This Row],[Ripple Current pk-pk]]/2,0,ABS(Table1[[#This Row],[Iout]]-Table1[[#This Row],[Ripple Current pk-pk]]/2)*Vsd_Q1*Deadtime*Fsw),0)</f>
        <v>0</v>
      </c>
      <c r="AK93" s="354">
        <f>(Table1[[#This Row],[Dead Time Loss BuCtrl]]+Table1[[#This Row],[Transition Loss BuCtrl]]+Table1[[#This Row],[RDS(on) Loss BuCtrl]]*(1+RdsonTopTc*Ta-RdsonTopTc*25))/(1-Table1[[#This Row],[RDS(on) Loss BuCtrl]]*RdsonTopTc*ThetaJA_Q1)</f>
        <v>3.7391090863140954</v>
      </c>
      <c r="AL93" s="354">
        <f>CHOOSE(Table1[[#This Row],[Mode Digit]],SQRT((Fsw*(Table1[[#This Row],[t2_Ph_I]]+0))*((Table1[[#This Row],[I_0]]*Table1[[#This Row],[I_1]]+((Table1[[#This Row],[I_0]]-Table1[[#This Row],[I_1]])^2)/3))),0,SQRT((Fsw*(Table1[[#This Row],[t3_Ph_III]]+0))*((Table1[[#This Row],[I_0]]*Table1[[#This Row],[I_2]]+((Table1[[#This Row],[I_0]]-Table1[[#This Row],[I_2]])^2)/3))))</f>
        <v>7.9128895547277027</v>
      </c>
      <c r="AM93" s="354">
        <f>Rdson2*Table1[[#This Row],[Irms BuSync]]^2</f>
        <v>0.26297804864233892</v>
      </c>
      <c r="AN9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3" s="354">
        <f>(Table1[[#This Row],[Deadtime Loss BuSync]]+Table1[[#This Row],[RDS(on) Loss BuSync]]*(1+RdsonBotTc*Ta-RdsonBotTc*25))/(1-Table1[[#This Row],[RDS(on) Loss BuSync]]*RdsonBotTc*ThetaJA_Q2)</f>
        <v>0.89696092533872873</v>
      </c>
      <c r="AP93" s="354">
        <f>CHOOSE(Table1[[#This Row],[Mode Digit]],0,SQRT((Fsw*(Table1[[#This Row],[t1_Ph_II]]+0))*((Table1[[#This Row],[I_0]]*Table1[[#This Row],[I_1]]+((Table1[[#This Row],[I_0]]-Table1[[#This Row],[I_1]])^2)/3))),SQRT((Fsw*(Table1[[#This Row],[t2_Ph_I]]+0))*((Table1[[#This Row],[I_1]]*Table1[[#This Row],[I_2]]+((Table1[[#This Row],[I_1]]-Table1[[#This Row],[I_2]])^2)/3))))</f>
        <v>0</v>
      </c>
      <c r="AQ93" s="354">
        <f>Rdson4*Table1[[#This Row],[Irms BoCtlr]]^2</f>
        <v>0</v>
      </c>
      <c r="AR93" s="354">
        <f>CHOOSE(Table1[[#This Row],[Mode Digit]], 0, (Vout*Table1[[#This Row],[Iin]]/2)*(Fsw)*(Tr_boost+Tf_boost), (Vout*Iout/2)*(Fsw/1)*(Tr_boost+Tf_boost))</f>
        <v>0</v>
      </c>
      <c r="AS93">
        <f>IF(Table1[[#This Row],[Vin]]&gt;Vout, 0, IF(Table1[[#This Row],[Iin]]&gt;Table1[[#This Row],[Ripple Current pk-pk]]/2,0,ABS(Table1[[#This Row],[Iin]]-Table1[[#This Row],[Ripple Current pk-pk]]/2)*Vsd_Q4*Deadtime*Fsw))</f>
        <v>0</v>
      </c>
      <c r="AT93" s="354">
        <f>(Table1[[#This Row],[Dead Time Loss BoCtlr]]+Table1[[#This Row],[Transition Loss BoCtlr]]+Table1[[#This Row],[RDS(on) Loss BoCtlr]]*(1+RdsonTopTc*Ta-RdsonTopTc*25))/(1-Table1[[#This Row],[RDS(on) Loss BoCtlr]]*RdsonTopTc*ThetaJA_Q4)</f>
        <v>0</v>
      </c>
      <c r="AU9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12.056929270935358</v>
      </c>
      <c r="AV93" s="354">
        <f>Rdson3*Table1[[#This Row],[Irms BoSync]]^2</f>
        <v>0.61055208246621884</v>
      </c>
      <c r="AW9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3" s="354">
        <f>(Table1[[#This Row],[Deadtime Loss BoSync]]+Table1[[#This Row],[RDS(on) Loss BoSync]]*(1+RdsonBotTc*Ta-RdsonBotTc*25))/(1-Table1[[#This Row],[RDS(on) Loss BoSync]]*RdsonBotTc*ThetaJA_Q3)</f>
        <v>0.71537824500328751</v>
      </c>
      <c r="AY93" s="354">
        <f>CHOOSE(Table1[[#This Row],[Mode Digit]], Rdson3*Table1[[#This Row],[Irms Lf]]^2, Rdson1*Table1[[#This Row],[Irms Lf]]^2, 0)</f>
        <v>0.61055208246621884</v>
      </c>
      <c r="AZ93" s="354">
        <f>CHOOSE(Table1[[#This Row],[Mode Digit]], 2*Deadtime*Fsw*IF(VfdSky_Q2&gt;0,VfdSky_Q2,0)*Table1[[#This Row],[Iout]], 2*Deadtime*Fsw*IF(VfdSky_Q3&gt;0,VfdSky_Q3,0)*Table1[[#This Row],[Iin]], 2*Deadtime*Fsw*IF(VfdSky_Q2&gt;0,VfdSky_Q2,0)*Table1[[#This Row],[Iout]]+2*Deadtime*Fsw*IF(VfdSky_Q3&gt;0,VfdSky_Q3,0)*Table1[[#This Row],[Iin]])</f>
        <v>0</v>
      </c>
      <c r="BA93" s="354">
        <f>CHOOSE(Table1[[#This Row],[Mode Digit]], IF(QrrSky_Q2&gt;0,QrrSky_Q2,Qrr_Q2)*Fsw*(Table1[[#This Row],[Vin]]-Table1[[#This Row],[Iout]]*Rdson1),0,  IF(QrrSky_Q2&gt;0,QrrSky_Q2,Qrr_Q2)*Fsw*(Table1[[#This Row],[Vin]]-Table1[[#This Row],[Iout]]*Rdson1)+IF(QrrSky_Q3&gt;0,QrrSky_Q3,Qrr_Q3)*Fsw*Vout)</f>
        <v>0.30995519999999999</v>
      </c>
      <c r="BB93" s="354">
        <f>CHOOSE(Table1[[#This Row],[Mode Digit]],0, IF(QrrSky_Q3&gt;0,QrrSky_Q3,Qrr_Q3)*Fsw*Vout,  IF(QrrSky_Q2&gt;0,QrrSky_Q2,Qrr_Q2)*Fsw*(Table1[[#This Row],[Vin]]-Table1[[#This Row],[Iout]]*Rdson1)+IF(QrrSky_Q3&gt;0,QrrSky_Q3,Qrr_Q3)*Fsw*Vout)</f>
        <v>0</v>
      </c>
      <c r="BC93" s="354">
        <f>CHOOSE(Table1[[#This Row],[Mode Digit]], Rs*Table1[[#This Row],[Irms BuSync]]^2, Rs*Table1[[#This Row],[Irms BoCtlr]]^2, Rs*(Table1[[#This Row],[Irms BuSync]]^2+Table1[[#This Row],[Irms BoCtlr]]^2))</f>
        <v>0.15653455276329697</v>
      </c>
      <c r="BD93" s="354">
        <f t="shared" si="5"/>
        <v>1.44</v>
      </c>
      <c r="BE93" s="354">
        <f>IF(Vout&gt;8, Iq*Vout, Iq*Table1[[#This Row],[Vin]])</f>
        <v>4.3799999999999999E-2</v>
      </c>
      <c r="BF93" s="354">
        <f>CHOOSE(Table1[[#This Row],[Mode Digit]], (Qg_Q1+Qg_Q2)*Fsw, (Qg_Q3+Qg_Q4)*Fsw, (Qg_Q1+Qg_Q2+Qg_Q3+Qg_Q4)*Fsw)*IF(Vout&gt;8, Vout, Table1[[#This Row],[Vin]])</f>
        <v>0.47303999999999996</v>
      </c>
      <c r="BG93" s="354">
        <f t="shared" si="6"/>
        <v>0.57269042016806726</v>
      </c>
      <c r="BH93" s="354">
        <f>Table1[[#This Row],[IQ Loss]]+Table1[[#This Row],[Switching Current Loss]]</f>
        <v>0.51683999999999997</v>
      </c>
      <c r="BI9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9.5655043087746545</v>
      </c>
      <c r="BJ93">
        <f>Vout*Table1[[#This Row],[Iout]]</f>
        <v>175.2</v>
      </c>
      <c r="BK93" s="550">
        <f>Table1[[#This Row],[Pout]]/(Table1[[#This Row],[Pout]]+Table1[[#This Row],[Total Loss]])</f>
        <v>0.94822894920477652</v>
      </c>
      <c r="BL9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224.34654517884573</v>
      </c>
      <c r="BM93" s="559">
        <f>IF(Table1[[#This Row],[Vin]]&gt;Vout, Table1[[#This Row],[Total Sync Bu MOSFET Loss]]*ThetaJA_Q2, ThetaJA_Q3*Table1[[#This Row],[Total Sync Bo MOSFET Loss]])</f>
        <v>53.817655520323726</v>
      </c>
      <c r="BN93" s="9"/>
      <c r="BO93" s="4">
        <f>Table1[[#This Row],[EFF, h]]*100</f>
        <v>94.822894920477651</v>
      </c>
      <c r="BP93" s="354">
        <f>Table1[[#This Row],[Total Inductor Loss]]</f>
        <v>1.7125892065022597</v>
      </c>
      <c r="BQ93" s="354">
        <f>Table1[[#This Row],[Total Control Bu MOSFET Loss]]+Table1[[#This Row],[Total Sync Bu MOSFET Loss]]+Table1[[#This Row],[Total Control Bo MOSFET Loss]]+Table1[[#This Row],[Total Sync Bo MOSFET Loss]]+Table1[[#This Row],[Reverse Recovery Loss MOSFET D BUCK]]+Table1[[#This Row],[Reverse Recovery Loss MOSFET D BOOST]]</f>
        <v>5.661403456656112</v>
      </c>
      <c r="BR93" s="354">
        <f>Table1[[#This Row],[Total Control Bu MOSFET Loss]]+Table1[[#This Row],[Reverse Recovery Loss MOSFET D BUCK]]*0.66</f>
        <v>3.9436795183140956</v>
      </c>
      <c r="BS93" s="354">
        <f>Table1[[#This Row],[Total Sync Bu MOSFET Loss]]+Table1[[#This Row],[Reverse Recovery Loss MOSFET D BUCK]]*0.33</f>
        <v>0.99924614133872869</v>
      </c>
      <c r="BT93" s="354">
        <f xml:space="preserve"> Table1[[#This Row],[Total Control Bo MOSFET Loss]]+Table1[[#This Row],[Reverse Recovery Loss MOSFET D BOOST]]*0.66</f>
        <v>0</v>
      </c>
      <c r="BU93" s="354">
        <f xml:space="preserve"> Table1[[#This Row],[Total Sync Bo MOSFET Loss]]+Table1[[#This Row],[Reverse Recovery Loss MOSFET D BOOST]]*0.33</f>
        <v>0.71537824500328751</v>
      </c>
      <c r="BV93" s="354">
        <f>Table1[[#This Row],[Isense Shunt Loss]]</f>
        <v>0.15653455276329697</v>
      </c>
      <c r="CB93" s="18"/>
      <c r="CC93" s="19"/>
    </row>
    <row r="94" spans="1:81" x14ac:dyDescent="0.2">
      <c r="G94">
        <v>85</v>
      </c>
      <c r="H94" s="555">
        <f>VIN_min+(VIN_max-VIN_min)*(Table1[[#This Row],[Step]]/200)</f>
        <v>25.95</v>
      </c>
      <c r="I94" s="4" t="str">
        <f>IF(Mode = 2,IF(Table1[[#This Row],[Vin]]&gt;Vout, "BUCK","BOOST"),IF(Table1[[#This Row],[Vin]]&gt;VIN_BB_to_buck, "BUCK", IF(Table1[[#This Row],[Vin]]&lt;=VIN_boost_to_BB,"BOOST","BUCK-BST")))</f>
        <v>BUCK</v>
      </c>
      <c r="J94">
        <f>IF(Table1[[#This Row],[Mode]]="BOOST",2, IF(Table1[[#This Row],[Mode]]="BUCK", 1,3))</f>
        <v>1</v>
      </c>
      <c r="K94">
        <f t="shared" si="4"/>
        <v>12</v>
      </c>
      <c r="L94" s="4">
        <f>Vout*Table1[[#This Row],[Iout]]/(Table1[[#This Row],[Vin]]*Efficiency)</f>
        <v>7.1067843017949492</v>
      </c>
      <c r="M94" s="711">
        <f>MIN(1/Fsw,CHOOSE(Table1[[#This Row],[Mode Digit]],(Vout+(Rdson2+Rs+Rdcr)*Table1[[#This Row],[Iout]])/(Table1[[#This Row],[Vin]]+(Rs+Rdson2-Rdson1)*Table1[[#This Row],[Iout]])/Fsw,(Vout+(Rdson3+Rdcr)*Table1[[#This Row],[Iin]]-Table1[[#This Row],[Vin]])/(Vout+(Rdson3-Rdson4-Rs)*Table1[[#This Row],[Iin]])/Fsw,t1_Ph_II))</f>
        <v>9.4624069797279963E-7</v>
      </c>
      <c r="N94" s="602">
        <f>CHOOSE(Table1[[#This Row],[Mode Digit]],1/Fsw-Table1[[#This Row],[t1_Ph_II]],1/Fsw-Table1[[#This Row],[t1_Ph_II]],(Vout/Fsw-Table1[[#This Row],[Vin]]*t1_Ph_II)/(Table1[[#This Row],[Vin]]+Vout))</f>
        <v>7.2042596869386703E-7</v>
      </c>
      <c r="O94" s="602">
        <f>1/Fsw-(Table1[[#This Row],[t1_Ph_II]]+Table1[[#This Row],[t2_Ph_I]])</f>
        <v>0</v>
      </c>
      <c r="P9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9.9659409238652898</v>
      </c>
      <c r="Q94" s="4">
        <f>CHOOSE(Table1[[#This Row],[Mode Digit]],Table1[[#This Row],[I_0]]+1/Lf*(Table1[[#This Row],[Vin]]-Vout)*Table1[[#This Row],[t1_Ph_II]],Table1[[#This Row],[I_0]]+1/Lf*Table1[[#This Row],[Vin]]*Table1[[#This Row],[t1_Ph_II]],Table1[[#This Row],[I_0]]+(Table1[[#This Row],[Vin]]-Vout)/L*Table1[[#This Row],[t1_Ph_II]])</f>
        <v>14.034059076134712</v>
      </c>
      <c r="R94" s="4">
        <f>CHOOSE(Table1[[#This Row],[Mode Digit]],0,0,Table1[[#This Row],[I_1]]+Table1[[#This Row],[Vin]]/L*Table1[[#This Row],[t2_Ph_I]])</f>
        <v>0</v>
      </c>
      <c r="S94" s="4">
        <f>Fsw*(Table1[[#This Row],[I_0]]*Table1[[#This Row],[t1_Ph_II]]+Table1[[#This Row],[I_1]]*Table1[[#This Row],[t2_Ph_I]]+Table1[[#This Row],[I_2]]*Table1[[#This Row],[t3_Ph_III]])</f>
        <v>11.724407700231172</v>
      </c>
      <c r="T94" s="354">
        <f>MIN(1,CHOOSE(Table1[[#This Row],[Mode Digit]],(Vout+(Rdson2+Rs+Rdcr)*Table1[[#This Row],[Iout]])/(Table1[[#This Row],[Vin]]+(Rs+Rdson2-Rdson1)*Table1[[#This Row],[Iout]]),1,Fsw*Table1[[#This Row],[t2_Ph_I]]+Table1[[#This Row],[t1_Ph_II]]))</f>
        <v>0.56774441878367976</v>
      </c>
      <c r="U94" s="354">
        <f>MIN(1,CHOOSE(Table1[[#This Row],[Mode Digit]],0,(Vout+(Rdson3+Rdcr)*Table1[[#This Row],[Iin]]-Table1[[#This Row],[Vin]])/(Vout+(Rdson3-Rdson4-Rs)*Table1[[#This Row],[Iin]]),Fsw*Table1[[#This Row],[t1_Ph_II]]+Table1[[#This Row],[t3_Ph_III]]))</f>
        <v>0</v>
      </c>
      <c r="V94" s="4">
        <f>MAX(Table1[[#This Row],[I_0]:[I_2]])-MIN(Table1[[#This Row],[I_0]:[I_1]])</f>
        <v>4.0681181522694221</v>
      </c>
      <c r="W9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12.057326905595701</v>
      </c>
      <c r="X94" s="354">
        <f>(Table1[[#This Row],[Irms Lf]]^2*Rdcr*(1+Ltc*Ta-Ltc*25))/(1-Table1[[#This Row],[Irms Lf]]^2*Rdcr*Ltc*ThetaCa)</f>
        <v>0.90419207184916628</v>
      </c>
      <c r="Y94" s="354">
        <f>ABS(7.759*10^-3*Fsw^0.9458*(0.00787*Table1[[#This Row],[Ripple Current pk-pk]])^2.304)</f>
        <v>0.81498524322767218</v>
      </c>
      <c r="Z94" s="354">
        <f>Table1[[#This Row],[DCR    Loss]]+Table1[[#This Row],[Core Loss]]</f>
        <v>1.7191773150768386</v>
      </c>
      <c r="AA94" s="4">
        <f>IF(Table1[[#This Row],[Vin]]&gt;Vout, Table1[[#This Row],[Ripple Current pk-pk]]/SQRT(12), SQRT(Table1[[#This Row],[Duty Cycle BOOST Leg]]/(1-Table1[[#This Row],[Duty Cycle BOOST Leg]]))*SQRT(Table1[[#This Row],[Iout]]^2+(Table1[[#This Row],[Ripple Current pk-pk]]^2)/12))</f>
        <v>1.174364555153977</v>
      </c>
      <c r="AB94" s="354">
        <f>RCoutEsr*Table1[[#This Row],[Irms Cout]]^2</f>
        <v>6.8956605420099912E-3</v>
      </c>
      <c r="AC94" s="354">
        <f>Table1[[#This Row],[Cout ESR Loss]]</f>
        <v>6.8956605420099912E-3</v>
      </c>
      <c r="AD94" s="354">
        <f>IF(Table1[[#This Row],[Vin]]&gt;Vout, SQRT(Table1[[#This Row],[Duty Cycle BUCK Leg]]*(1-Table1[[#This Row],[Duty Cycle BUCK Leg]]))*SQRT(Table1[[#This Row],[Iout]]^2+(Table1[[#This Row],[Ripple Current pk-pk]]^2)/12), Table1[[#This Row],[Ripple Current pk-pk]]/SQRT(12))</f>
        <v>5.9730723805816011</v>
      </c>
      <c r="AE94" s="354">
        <f>RCinEsr*Table1[[#This Row],[Irms Cin]]^2</f>
        <v>7.1355187327333508E-2</v>
      </c>
      <c r="AF94" s="549">
        <f>Table1[[#This Row],[Cin ESR Loss]]</f>
        <v>7.1355187327333508E-2</v>
      </c>
      <c r="AG9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9.0850531568153468</v>
      </c>
      <c r="AH94" s="354">
        <f>Rdson1*Table1[[#This Row],[Irms BuCtrl]]^2</f>
        <v>0.34666040162107409</v>
      </c>
      <c r="AI94" s="354">
        <f>CHOOSE(Table1[[#This Row],[Mode Digit]], (Table1[[#This Row],[Vin]]*Table1[[#This Row],[Iout]]/2)*(Fsw)*(Tr_buck+Tf_buck), 0, (Table1[[#This Row],[Vin]]*Table1[[#This Row],[Avg IL]]/2)*(Fsw/1)*(Tr_buck+Tf_buck))</f>
        <v>3.0879566659931306</v>
      </c>
      <c r="AJ94">
        <f>IF(Table1[[#This Row],[Vin]]&gt;Vout, IF(Table1[[#This Row],[Iout]]&gt;Table1[[#This Row],[Ripple Current pk-pk]]/2,0,ABS(Table1[[#This Row],[Iout]]-Table1[[#This Row],[Ripple Current pk-pk]]/2)*Vsd_Q1*Deadtime*Fsw),0)</f>
        <v>0</v>
      </c>
      <c r="AK94" s="354">
        <f>(Table1[[#This Row],[Dead Time Loss BuCtrl]]+Table1[[#This Row],[Transition Loss BuCtrl]]+Table1[[#This Row],[RDS(on) Loss BuCtrl]]*(1+RdsonTopTc*Ta-RdsonTopTc*25))/(1-Table1[[#This Row],[RDS(on) Loss BuCtrl]]*RdsonTopTc*ThetaJA_Q1)</f>
        <v>3.7463039208449347</v>
      </c>
      <c r="AL94" s="354">
        <f>CHOOSE(Table1[[#This Row],[Mode Digit]],SQRT((Fsw*(Table1[[#This Row],[t2_Ph_I]]+0))*((Table1[[#This Row],[I_0]]*Table1[[#This Row],[I_1]]+((Table1[[#This Row],[I_0]]-Table1[[#This Row],[I_1]])^2)/3))),0,SQRT((Fsw*(Table1[[#This Row],[t3_Ph_III]]+0))*((Table1[[#This Row],[I_0]]*Table1[[#This Row],[I_2]]+((Table1[[#This Row],[I_0]]-Table1[[#This Row],[I_2]])^2)/3))))</f>
        <v>7.9272278411965376</v>
      </c>
      <c r="AM94" s="354">
        <f>Rdson2*Table1[[#This Row],[Irms BuSync]]^2</f>
        <v>0.26393195323421442</v>
      </c>
      <c r="AN9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4" s="354">
        <f>(Table1[[#This Row],[Deadtime Loss BuSync]]+Table1[[#This Row],[RDS(on) Loss BuSync]]*(1+RdsonBotTc*Ta-RdsonBotTc*25))/(1-Table1[[#This Row],[RDS(on) Loss BuSync]]*RdsonBotTc*ThetaJA_Q2)</f>
        <v>0.89819857482459753</v>
      </c>
      <c r="AP94" s="354">
        <f>CHOOSE(Table1[[#This Row],[Mode Digit]],0,SQRT((Fsw*(Table1[[#This Row],[t1_Ph_II]]+0))*((Table1[[#This Row],[I_0]]*Table1[[#This Row],[I_1]]+((Table1[[#This Row],[I_0]]-Table1[[#This Row],[I_1]])^2)/3))),SQRT((Fsw*(Table1[[#This Row],[t2_Ph_I]]+0))*((Table1[[#This Row],[I_1]]*Table1[[#This Row],[I_2]]+((Table1[[#This Row],[I_1]]-Table1[[#This Row],[I_2]])^2)/3))))</f>
        <v>0</v>
      </c>
      <c r="AQ94" s="354">
        <f>Rdson4*Table1[[#This Row],[Irms BoCtlr]]^2</f>
        <v>0</v>
      </c>
      <c r="AR94" s="354">
        <f>CHOOSE(Table1[[#This Row],[Mode Digit]], 0, (Vout*Table1[[#This Row],[Iin]]/2)*(Fsw)*(Tr_boost+Tf_boost), (Vout*Iout/2)*(Fsw/1)*(Tr_boost+Tf_boost))</f>
        <v>0</v>
      </c>
      <c r="AS94">
        <f>IF(Table1[[#This Row],[Vin]]&gt;Vout, 0, IF(Table1[[#This Row],[Iin]]&gt;Table1[[#This Row],[Ripple Current pk-pk]]/2,0,ABS(Table1[[#This Row],[Iin]]-Table1[[#This Row],[Ripple Current pk-pk]]/2)*Vsd_Q4*Deadtime*Fsw))</f>
        <v>0</v>
      </c>
      <c r="AT94" s="354">
        <f>(Table1[[#This Row],[Dead Time Loss BoCtlr]]+Table1[[#This Row],[Transition Loss BoCtlr]]+Table1[[#This Row],[RDS(on) Loss BoCtlr]]*(1+RdsonTopTc*Ta-RdsonTopTc*25))/(1-Table1[[#This Row],[RDS(on) Loss BoCtlr]]*RdsonTopTc*ThetaJA_Q4)</f>
        <v>0</v>
      </c>
      <c r="AU9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12.057326905595701</v>
      </c>
      <c r="AV94" s="354">
        <f>Rdson3*Table1[[#This Row],[Irms BoSync]]^2</f>
        <v>0.61059235485528851</v>
      </c>
      <c r="AW9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4" s="354">
        <f>(Table1[[#This Row],[Deadtime Loss BoSync]]+Table1[[#This Row],[RDS(on) Loss BoSync]]*(1+RdsonBotTc*Ta-RdsonBotTc*25))/(1-Table1[[#This Row],[RDS(on) Loss BoSync]]*RdsonBotTc*ThetaJA_Q3)</f>
        <v>0.71543353395253284</v>
      </c>
      <c r="AY94" s="354">
        <f>CHOOSE(Table1[[#This Row],[Mode Digit]], Rdson3*Table1[[#This Row],[Irms Lf]]^2, Rdson1*Table1[[#This Row],[Irms Lf]]^2, 0)</f>
        <v>0.61059235485528851</v>
      </c>
      <c r="AZ94" s="354">
        <f>CHOOSE(Table1[[#This Row],[Mode Digit]], 2*Deadtime*Fsw*IF(VfdSky_Q2&gt;0,VfdSky_Q2,0)*Table1[[#This Row],[Iout]], 2*Deadtime*Fsw*IF(VfdSky_Q3&gt;0,VfdSky_Q3,0)*Table1[[#This Row],[Iin]], 2*Deadtime*Fsw*IF(VfdSky_Q2&gt;0,VfdSky_Q2,0)*Table1[[#This Row],[Iout]]+2*Deadtime*Fsw*IF(VfdSky_Q3&gt;0,VfdSky_Q3,0)*Table1[[#This Row],[Iin]])</f>
        <v>0</v>
      </c>
      <c r="BA94" s="354">
        <f>CHOOSE(Table1[[#This Row],[Mode Digit]], IF(QrrSky_Q2&gt;0,QrrSky_Q2,Qrr_Q2)*Fsw*(Table1[[#This Row],[Vin]]-Table1[[#This Row],[Iout]]*Rdson1),0,  IF(QrrSky_Q2&gt;0,QrrSky_Q2,Qrr_Q2)*Fsw*(Table1[[#This Row],[Vin]]-Table1[[#This Row],[Iout]]*Rdson1)+IF(QrrSky_Q3&gt;0,QrrSky_Q3,Qrr_Q3)*Fsw*Vout)</f>
        <v>0.31079519999999999</v>
      </c>
      <c r="BB94" s="354">
        <f>CHOOSE(Table1[[#This Row],[Mode Digit]],0, IF(QrrSky_Q3&gt;0,QrrSky_Q3,Qrr_Q3)*Fsw*Vout,  IF(QrrSky_Q2&gt;0,QrrSky_Q2,Qrr_Q2)*Fsw*(Table1[[#This Row],[Vin]]-Table1[[#This Row],[Iout]]*Rdson1)+IF(QrrSky_Q3&gt;0,QrrSky_Q3,Qrr_Q3)*Fsw*Vout)</f>
        <v>0</v>
      </c>
      <c r="BC94" s="354">
        <f>CHOOSE(Table1[[#This Row],[Mode Digit]], Rs*Table1[[#This Row],[Irms BuSync]]^2, Rs*Table1[[#This Row],[Irms BoCtlr]]^2, Rs*(Table1[[#This Row],[Irms BuSync]]^2+Table1[[#This Row],[Irms BoCtlr]]^2))</f>
        <v>0.1571023531156038</v>
      </c>
      <c r="BD94" s="354">
        <f t="shared" si="5"/>
        <v>1.44</v>
      </c>
      <c r="BE94" s="354">
        <f>IF(Vout&gt;8, Iq*Vout, Iq*Table1[[#This Row],[Vin]])</f>
        <v>4.3799999999999999E-2</v>
      </c>
      <c r="BF94" s="354">
        <f>CHOOSE(Table1[[#This Row],[Mode Digit]], (Qg_Q1+Qg_Q2)*Fsw, (Qg_Q3+Qg_Q4)*Fsw, (Qg_Q1+Qg_Q2+Qg_Q3+Qg_Q4)*Fsw)*IF(Vout&gt;8, Vout, Table1[[#This Row],[Vin]])</f>
        <v>0.47303999999999996</v>
      </c>
      <c r="BG94" s="354">
        <f t="shared" si="6"/>
        <v>0.57269042016806726</v>
      </c>
      <c r="BH94" s="354">
        <f>Table1[[#This Row],[IQ Loss]]+Table1[[#This Row],[Switching Current Loss]]</f>
        <v>0.51683999999999997</v>
      </c>
      <c r="BI9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9.5821017456838504</v>
      </c>
      <c r="BJ94">
        <f>Vout*Table1[[#This Row],[Iout]]</f>
        <v>175.2</v>
      </c>
      <c r="BK94" s="550">
        <f>Table1[[#This Row],[Pout]]/(Table1[[#This Row],[Pout]]+Table1[[#This Row],[Total Loss]])</f>
        <v>0.94814377769730251</v>
      </c>
      <c r="BL9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224.77823525069607</v>
      </c>
      <c r="BM94" s="559">
        <f>IF(Table1[[#This Row],[Vin]]&gt;Vout, Table1[[#This Row],[Total Sync Bu MOSFET Loss]]*ThetaJA_Q2, ThetaJA_Q3*Table1[[#This Row],[Total Sync Bo MOSFET Loss]])</f>
        <v>53.891914489475852</v>
      </c>
      <c r="BN94" s="9"/>
      <c r="BO94" s="4">
        <f>Table1[[#This Row],[EFF, h]]*100</f>
        <v>94.814377769730257</v>
      </c>
      <c r="BP94" s="354">
        <f>Table1[[#This Row],[Total Inductor Loss]]</f>
        <v>1.7191773150768386</v>
      </c>
      <c r="BQ94" s="354">
        <f>Table1[[#This Row],[Total Control Bu MOSFET Loss]]+Table1[[#This Row],[Total Sync Bu MOSFET Loss]]+Table1[[#This Row],[Total Control Bo MOSFET Loss]]+Table1[[#This Row],[Total Sync Bo MOSFET Loss]]+Table1[[#This Row],[Reverse Recovery Loss MOSFET D BUCK]]+Table1[[#This Row],[Reverse Recovery Loss MOSFET D BOOST]]</f>
        <v>5.6707312296220653</v>
      </c>
      <c r="BR94" s="354">
        <f>Table1[[#This Row],[Total Control Bu MOSFET Loss]]+Table1[[#This Row],[Reverse Recovery Loss MOSFET D BUCK]]*0.66</f>
        <v>3.9514287528449348</v>
      </c>
      <c r="BS94" s="354">
        <f>Table1[[#This Row],[Total Sync Bu MOSFET Loss]]+Table1[[#This Row],[Reverse Recovery Loss MOSFET D BUCK]]*0.33</f>
        <v>1.0007609908245976</v>
      </c>
      <c r="BT94" s="354">
        <f xml:space="preserve"> Table1[[#This Row],[Total Control Bo MOSFET Loss]]+Table1[[#This Row],[Reverse Recovery Loss MOSFET D BOOST]]*0.66</f>
        <v>0</v>
      </c>
      <c r="BU94" s="354">
        <f xml:space="preserve"> Table1[[#This Row],[Total Sync Bo MOSFET Loss]]+Table1[[#This Row],[Reverse Recovery Loss MOSFET D BOOST]]*0.33</f>
        <v>0.71543353395253284</v>
      </c>
      <c r="BV94" s="354">
        <f>Table1[[#This Row],[Isense Shunt Loss]]</f>
        <v>0.1571023531156038</v>
      </c>
      <c r="CB94" s="18"/>
      <c r="CC94" s="19"/>
    </row>
    <row r="95" spans="1:81" x14ac:dyDescent="0.2">
      <c r="G95">
        <v>86</v>
      </c>
      <c r="H95" s="555">
        <f>VIN_min+(VIN_max-VIN_min)*(Table1[[#This Row],[Step]]/200)</f>
        <v>26.02</v>
      </c>
      <c r="I95" s="4" t="str">
        <f>IF(Mode = 2,IF(Table1[[#This Row],[Vin]]&gt;Vout, "BUCK","BOOST"),IF(Table1[[#This Row],[Vin]]&gt;VIN_BB_to_buck, "BUCK", IF(Table1[[#This Row],[Vin]]&lt;=VIN_boost_to_BB,"BOOST","BUCK-BST")))</f>
        <v>BUCK</v>
      </c>
      <c r="J95">
        <f>IF(Table1[[#This Row],[Mode]]="BOOST",2, IF(Table1[[#This Row],[Mode]]="BUCK", 1,3))</f>
        <v>1</v>
      </c>
      <c r="K95">
        <f t="shared" si="4"/>
        <v>12</v>
      </c>
      <c r="L95" s="4">
        <f>Vout*Table1[[#This Row],[Iout]]/(Table1[[#This Row],[Vin]]*Efficiency)</f>
        <v>7.0876653586310132</v>
      </c>
      <c r="M95" s="711">
        <f>MIN(1/Fsw,CHOOSE(Table1[[#This Row],[Mode Digit]],(Vout+(Rdson2+Rs+Rdcr)*Table1[[#This Row],[Iout]])/(Table1[[#This Row],[Vin]]+(Rs+Rdson2-Rdson1)*Table1[[#This Row],[Iout]])/Fsw,(Vout+(Rdson3+Rdcr)*Table1[[#This Row],[Iin]]-Table1[[#This Row],[Vin]])/(Vout+(Rdson3-Rdson4-Rs)*Table1[[#This Row],[Iin]])/Fsw,t1_Ph_II))</f>
        <v>9.4369801663467677E-7</v>
      </c>
      <c r="N95" s="602">
        <f>CHOOSE(Table1[[#This Row],[Mode Digit]],1/Fsw-Table1[[#This Row],[t1_Ph_II]],1/Fsw-Table1[[#This Row],[t1_Ph_II]],(Vout/Fsw-Table1[[#This Row],[Vin]]*t1_Ph_II)/(Table1[[#This Row],[Vin]]+Vout))</f>
        <v>7.2296865003198989E-7</v>
      </c>
      <c r="O95" s="602">
        <f>1/Fsw-(Table1[[#This Row],[t1_Ph_II]]+Table1[[#This Row],[t2_Ph_I]])</f>
        <v>0</v>
      </c>
      <c r="P9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9.9588955776575734</v>
      </c>
      <c r="Q95" s="4">
        <f>CHOOSE(Table1[[#This Row],[Mode Digit]],Table1[[#This Row],[I_0]]+1/Lf*(Table1[[#This Row],[Vin]]-Vout)*Table1[[#This Row],[t1_Ph_II]],Table1[[#This Row],[I_0]]+1/Lf*Table1[[#This Row],[Vin]]*Table1[[#This Row],[t1_Ph_II]],Table1[[#This Row],[I_0]]+(Table1[[#This Row],[Vin]]-Vout)/L*Table1[[#This Row],[t1_Ph_II]])</f>
        <v>14.041104422342425</v>
      </c>
      <c r="R95" s="4">
        <f>CHOOSE(Table1[[#This Row],[Mode Digit]],0,0,Table1[[#This Row],[I_1]]+Table1[[#This Row],[Vin]]/L*Table1[[#This Row],[t2_Ph_I]])</f>
        <v>0</v>
      </c>
      <c r="S95" s="4">
        <f>Fsw*(Table1[[#This Row],[I_0]]*Table1[[#This Row],[t1_Ph_II]]+Table1[[#This Row],[I_1]]*Table1[[#This Row],[t2_Ph_I]]+Table1[[#This Row],[I_2]]*Table1[[#This Row],[t3_Ph_III]])</f>
        <v>11.729680988211848</v>
      </c>
      <c r="T95" s="354">
        <f>MIN(1,CHOOSE(Table1[[#This Row],[Mode Digit]],(Vout+(Rdson2+Rs+Rdcr)*Table1[[#This Row],[Iout]])/(Table1[[#This Row],[Vin]]+(Rs+Rdson2-Rdson1)*Table1[[#This Row],[Iout]]),1,Fsw*Table1[[#This Row],[t2_Ph_I]]+Table1[[#This Row],[t1_Ph_II]]))</f>
        <v>0.56621880998080609</v>
      </c>
      <c r="U95" s="354">
        <f>MIN(1,CHOOSE(Table1[[#This Row],[Mode Digit]],0,(Vout+(Rdson3+Rdcr)*Table1[[#This Row],[Iin]]-Table1[[#This Row],[Vin]])/(Vout+(Rdson3-Rdson4-Rs)*Table1[[#This Row],[Iin]]),Fsw*Table1[[#This Row],[t1_Ph_II]]+Table1[[#This Row],[t3_Ph_III]]))</f>
        <v>0</v>
      </c>
      <c r="V95" s="4">
        <f>MAX(Table1[[#This Row],[I_0]:[I_2]])-MIN(Table1[[#This Row],[I_0]:[I_1]])</f>
        <v>4.0822088446848515</v>
      </c>
      <c r="W9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12.05772376615788</v>
      </c>
      <c r="X95" s="354">
        <f>(Table1[[#This Row],[Irms Lf]]^2*Rdcr*(1+Ltc*Ta-Ltc*25))/(1-Table1[[#This Row],[Irms Lf]]^2*Rdcr*Ltc*ThetaCa)</f>
        <v>0.90425590076125451</v>
      </c>
      <c r="Y95" s="354">
        <f>ABS(7.759*10^-3*Fsw^0.9458*(0.00787*Table1[[#This Row],[Ripple Current pk-pk]])^2.304)</f>
        <v>0.82150379339508517</v>
      </c>
      <c r="Z95" s="354">
        <f>Table1[[#This Row],[DCR    Loss]]+Table1[[#This Row],[Core Loss]]</f>
        <v>1.7257596941563396</v>
      </c>
      <c r="AA95" s="4">
        <f>IF(Table1[[#This Row],[Vin]]&gt;Vout, Table1[[#This Row],[Ripple Current pk-pk]]/SQRT(12), SQRT(Table1[[#This Row],[Duty Cycle BOOST Leg]]/(1-Table1[[#This Row],[Duty Cycle BOOST Leg]]))*SQRT(Table1[[#This Row],[Iout]]^2+(Table1[[#This Row],[Ripple Current pk-pk]]^2)/12))</f>
        <v>1.1784321876835351</v>
      </c>
      <c r="AB95" s="354">
        <f>RCoutEsr*Table1[[#This Row],[Irms Cout]]^2</f>
        <v>6.9435121048430125E-3</v>
      </c>
      <c r="AC95" s="354">
        <f>Table1[[#This Row],[Cout ESR Loss]]</f>
        <v>6.9435121048430125E-3</v>
      </c>
      <c r="AD95" s="354">
        <f>IF(Table1[[#This Row],[Vin]]&gt;Vout, SQRT(Table1[[#This Row],[Duty Cycle BUCK Leg]]*(1-Table1[[#This Row],[Duty Cycle BUCK Leg]]))*SQRT(Table1[[#This Row],[Iout]]^2+(Table1[[#This Row],[Ripple Current pk-pk]]^2)/12), Table1[[#This Row],[Ripple Current pk-pk]]/SQRT(12))</f>
        <v>5.975755701726059</v>
      </c>
      <c r="AE95" s="354">
        <f>RCinEsr*Table1[[#This Row],[Irms Cin]]^2</f>
        <v>7.1419312413423003E-2</v>
      </c>
      <c r="AF95" s="549">
        <f>Table1[[#This Row],[Cin ESR Loss]]</f>
        <v>7.1419312413423003E-2</v>
      </c>
      <c r="AG9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9.0731371680061343</v>
      </c>
      <c r="AH95" s="354">
        <f>Rdson1*Table1[[#This Row],[Irms BuCtrl]]^2</f>
        <v>0.34575163589170843</v>
      </c>
      <c r="AI95" s="354">
        <f>CHOOSE(Table1[[#This Row],[Mode Digit]], (Table1[[#This Row],[Vin]]*Table1[[#This Row],[Iout]]/2)*(Fsw)*(Tr_buck+Tf_buck), 0, (Table1[[#This Row],[Vin]]*Table1[[#This Row],[Avg IL]]/2)*(Fsw/1)*(Tr_buck+Tf_buck))</f>
        <v>3.0962864142250965</v>
      </c>
      <c r="AJ95">
        <f>IF(Table1[[#This Row],[Vin]]&gt;Vout, IF(Table1[[#This Row],[Iout]]&gt;Table1[[#This Row],[Ripple Current pk-pk]]/2,0,ABS(Table1[[#This Row],[Iout]]-Table1[[#This Row],[Ripple Current pk-pk]]/2)*Vsd_Q1*Deadtime*Fsw),0)</f>
        <v>0</v>
      </c>
      <c r="AK95" s="354">
        <f>(Table1[[#This Row],[Dead Time Loss BuCtrl]]+Table1[[#This Row],[Transition Loss BuCtrl]]+Table1[[#This Row],[RDS(on) Loss BuCtrl]]*(1+RdsonTopTc*Ta-RdsonTopTc*25))/(1-Table1[[#This Row],[RDS(on) Loss BuCtrl]]*RdsonTopTc*ThetaJA_Q1)</f>
        <v>3.7535054020584204</v>
      </c>
      <c r="AL95" s="354">
        <f>CHOOSE(Table1[[#This Row],[Mode Digit]],SQRT((Fsw*(Table1[[#This Row],[t2_Ph_I]]+0))*((Table1[[#This Row],[I_0]]*Table1[[#This Row],[I_1]]+((Table1[[#This Row],[I_0]]-Table1[[#This Row],[I_1]])^2)/3))),0,SQRT((Fsw*(Table1[[#This Row],[t3_Ph_III]]+0))*((Table1[[#This Row],[I_0]]*Table1[[#This Row],[I_2]]+((Table1[[#This Row],[I_0]]-Table1[[#This Row],[I_2]])^2)/3))))</f>
        <v>7.941466133625088</v>
      </c>
      <c r="AM95" s="354">
        <f>Rdson2*Table1[[#This Row],[Irms BuSync]]^2</f>
        <v>0.26488091427635968</v>
      </c>
      <c r="AN9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5" s="354">
        <f>(Table1[[#This Row],[Deadtime Loss BuSync]]+Table1[[#This Row],[RDS(on) Loss BuSync]]*(1+RdsonBotTc*Ta-RdsonBotTc*25))/(1-Table1[[#This Row],[RDS(on) Loss BuSync]]*RdsonBotTc*ThetaJA_Q2)</f>
        <v>0.89943041073330832</v>
      </c>
      <c r="AP95" s="354">
        <f>CHOOSE(Table1[[#This Row],[Mode Digit]],0,SQRT((Fsw*(Table1[[#This Row],[t1_Ph_II]]+0))*((Table1[[#This Row],[I_0]]*Table1[[#This Row],[I_1]]+((Table1[[#This Row],[I_0]]-Table1[[#This Row],[I_1]])^2)/3))),SQRT((Fsw*(Table1[[#This Row],[t2_Ph_I]]+0))*((Table1[[#This Row],[I_1]]*Table1[[#This Row],[I_2]]+((Table1[[#This Row],[I_1]]-Table1[[#This Row],[I_2]])^2)/3))))</f>
        <v>0</v>
      </c>
      <c r="AQ95" s="354">
        <f>Rdson4*Table1[[#This Row],[Irms BoCtlr]]^2</f>
        <v>0</v>
      </c>
      <c r="AR95" s="354">
        <f>CHOOSE(Table1[[#This Row],[Mode Digit]], 0, (Vout*Table1[[#This Row],[Iin]]/2)*(Fsw)*(Tr_boost+Tf_boost), (Vout*Iout/2)*(Fsw/1)*(Tr_boost+Tf_boost))</f>
        <v>0</v>
      </c>
      <c r="AS95">
        <f>IF(Table1[[#This Row],[Vin]]&gt;Vout, 0, IF(Table1[[#This Row],[Iin]]&gt;Table1[[#This Row],[Ripple Current pk-pk]]/2,0,ABS(Table1[[#This Row],[Iin]]-Table1[[#This Row],[Ripple Current pk-pk]]/2)*Vsd_Q4*Deadtime*Fsw))</f>
        <v>0</v>
      </c>
      <c r="AT95" s="354">
        <f>(Table1[[#This Row],[Dead Time Loss BoCtlr]]+Table1[[#This Row],[Transition Loss BoCtlr]]+Table1[[#This Row],[RDS(on) Loss BoCtlr]]*(1+RdsonTopTc*Ta-RdsonTopTc*25))/(1-Table1[[#This Row],[RDS(on) Loss BoCtlr]]*RdsonTopTc*ThetaJA_Q4)</f>
        <v>0</v>
      </c>
      <c r="AU9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12.05772376615788</v>
      </c>
      <c r="AV95" s="354">
        <f>Rdson3*Table1[[#This Row],[Irms BoSync]]^2</f>
        <v>0.61063255016806806</v>
      </c>
      <c r="AW9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5" s="354">
        <f>(Table1[[#This Row],[Deadtime Loss BoSync]]+Table1[[#This Row],[RDS(on) Loss BoSync]]*(1+RdsonBotTc*Ta-RdsonBotTc*25))/(1-Table1[[#This Row],[RDS(on) Loss BoSync]]*RdsonBotTc*ThetaJA_Q3)</f>
        <v>0.71548871833439087</v>
      </c>
      <c r="AY95" s="354">
        <f>CHOOSE(Table1[[#This Row],[Mode Digit]], Rdson3*Table1[[#This Row],[Irms Lf]]^2, Rdson1*Table1[[#This Row],[Irms Lf]]^2, 0)</f>
        <v>0.61063255016806806</v>
      </c>
      <c r="AZ95" s="354">
        <f>CHOOSE(Table1[[#This Row],[Mode Digit]], 2*Deadtime*Fsw*IF(VfdSky_Q2&gt;0,VfdSky_Q2,0)*Table1[[#This Row],[Iout]], 2*Deadtime*Fsw*IF(VfdSky_Q3&gt;0,VfdSky_Q3,0)*Table1[[#This Row],[Iin]], 2*Deadtime*Fsw*IF(VfdSky_Q2&gt;0,VfdSky_Q2,0)*Table1[[#This Row],[Iout]]+2*Deadtime*Fsw*IF(VfdSky_Q3&gt;0,VfdSky_Q3,0)*Table1[[#This Row],[Iin]])</f>
        <v>0</v>
      </c>
      <c r="BA95" s="354">
        <f>CHOOSE(Table1[[#This Row],[Mode Digit]], IF(QrrSky_Q2&gt;0,QrrSky_Q2,Qrr_Q2)*Fsw*(Table1[[#This Row],[Vin]]-Table1[[#This Row],[Iout]]*Rdson1),0,  IF(QrrSky_Q2&gt;0,QrrSky_Q2,Qrr_Q2)*Fsw*(Table1[[#This Row],[Vin]]-Table1[[#This Row],[Iout]]*Rdson1)+IF(QrrSky_Q3&gt;0,QrrSky_Q3,Qrr_Q3)*Fsw*Vout)</f>
        <v>0.3116352</v>
      </c>
      <c r="BB95" s="354">
        <f>CHOOSE(Table1[[#This Row],[Mode Digit]],0, IF(QrrSky_Q3&gt;0,QrrSky_Q3,Qrr_Q3)*Fsw*Vout,  IF(QrrSky_Q2&gt;0,QrrSky_Q2,Qrr_Q2)*Fsw*(Table1[[#This Row],[Vin]]-Table1[[#This Row],[Iout]]*Rdson1)+IF(QrrSky_Q3&gt;0,QrrSky_Q3,Qrr_Q3)*Fsw*Vout)</f>
        <v>0</v>
      </c>
      <c r="BC95" s="354">
        <f>CHOOSE(Table1[[#This Row],[Mode Digit]], Rs*Table1[[#This Row],[Irms BuSync]]^2, Rs*Table1[[#This Row],[Irms BoCtlr]]^2, Rs*(Table1[[#This Row],[Irms BuSync]]^2+Table1[[#This Row],[Irms BoCtlr]]^2))</f>
        <v>0.15766721087878552</v>
      </c>
      <c r="BD95" s="354">
        <f t="shared" si="5"/>
        <v>1.44</v>
      </c>
      <c r="BE95" s="354">
        <f>IF(Vout&gt;8, Iq*Vout, Iq*Table1[[#This Row],[Vin]])</f>
        <v>4.3799999999999999E-2</v>
      </c>
      <c r="BF95" s="354">
        <f>CHOOSE(Table1[[#This Row],[Mode Digit]], (Qg_Q1+Qg_Q2)*Fsw, (Qg_Q3+Qg_Q4)*Fsw, (Qg_Q1+Qg_Q2+Qg_Q3+Qg_Q4)*Fsw)*IF(Vout&gt;8, Vout, Table1[[#This Row],[Vin]])</f>
        <v>0.47303999999999996</v>
      </c>
      <c r="BG95" s="354">
        <f t="shared" si="6"/>
        <v>0.57269042016806726</v>
      </c>
      <c r="BH95" s="354">
        <f>Table1[[#This Row],[IQ Loss]]+Table1[[#This Row],[Switching Current Loss]]</f>
        <v>0.51683999999999997</v>
      </c>
      <c r="BI9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9.598689460679509</v>
      </c>
      <c r="BJ95">
        <f>Vout*Table1[[#This Row],[Iout]]</f>
        <v>175.2</v>
      </c>
      <c r="BK95" s="550">
        <f>Table1[[#This Row],[Pout]]/(Table1[[#This Row],[Pout]]+Table1[[#This Row],[Total Loss]])</f>
        <v>0.94805867136453981</v>
      </c>
      <c r="BL9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225.21032412350522</v>
      </c>
      <c r="BM95" s="559">
        <f>IF(Table1[[#This Row],[Vin]]&gt;Vout, Table1[[#This Row],[Total Sync Bu MOSFET Loss]]*ThetaJA_Q2, ThetaJA_Q3*Table1[[#This Row],[Total Sync Bo MOSFET Loss]])</f>
        <v>53.965824643998502</v>
      </c>
      <c r="BN95" s="9"/>
      <c r="BO95" s="4">
        <f>Table1[[#This Row],[EFF, h]]*100</f>
        <v>94.805867136453983</v>
      </c>
      <c r="BP95" s="354">
        <f>Table1[[#This Row],[Total Inductor Loss]]</f>
        <v>1.7257596941563396</v>
      </c>
      <c r="BQ95" s="354">
        <f>Table1[[#This Row],[Total Control Bu MOSFET Loss]]+Table1[[#This Row],[Total Sync Bu MOSFET Loss]]+Table1[[#This Row],[Total Control Bo MOSFET Loss]]+Table1[[#This Row],[Total Sync Bo MOSFET Loss]]+Table1[[#This Row],[Reverse Recovery Loss MOSFET D BUCK]]+Table1[[#This Row],[Reverse Recovery Loss MOSFET D BOOST]]</f>
        <v>5.6800597311261196</v>
      </c>
      <c r="BR95" s="354">
        <f>Table1[[#This Row],[Total Control Bu MOSFET Loss]]+Table1[[#This Row],[Reverse Recovery Loss MOSFET D BUCK]]*0.66</f>
        <v>3.9591846340584205</v>
      </c>
      <c r="BS95" s="354">
        <f>Table1[[#This Row],[Total Sync Bu MOSFET Loss]]+Table1[[#This Row],[Reverse Recovery Loss MOSFET D BUCK]]*0.33</f>
        <v>1.0022700267333082</v>
      </c>
      <c r="BT95" s="354">
        <f xml:space="preserve"> Table1[[#This Row],[Total Control Bo MOSFET Loss]]+Table1[[#This Row],[Reverse Recovery Loss MOSFET D BOOST]]*0.66</f>
        <v>0</v>
      </c>
      <c r="BU95" s="354">
        <f xml:space="preserve"> Table1[[#This Row],[Total Sync Bo MOSFET Loss]]+Table1[[#This Row],[Reverse Recovery Loss MOSFET D BOOST]]*0.33</f>
        <v>0.71548871833439087</v>
      </c>
      <c r="BV95" s="354">
        <f>Table1[[#This Row],[Isense Shunt Loss]]</f>
        <v>0.15766721087878552</v>
      </c>
      <c r="CB95" s="18"/>
      <c r="CC95" s="19"/>
    </row>
    <row r="96" spans="1:81" x14ac:dyDescent="0.2">
      <c r="G96">
        <v>87</v>
      </c>
      <c r="H96" s="555">
        <f>VIN_min+(VIN_max-VIN_min)*(Table1[[#This Row],[Step]]/200)</f>
        <v>26.09</v>
      </c>
      <c r="I96" s="4" t="str">
        <f>IF(Mode = 2,IF(Table1[[#This Row],[Vin]]&gt;Vout, "BUCK","BOOST"),IF(Table1[[#This Row],[Vin]]&gt;VIN_BB_to_buck, "BUCK", IF(Table1[[#This Row],[Vin]]&lt;=VIN_boost_to_BB,"BOOST","BUCK-BST")))</f>
        <v>BUCK</v>
      </c>
      <c r="J96">
        <f>IF(Table1[[#This Row],[Mode]]="BOOST",2, IF(Table1[[#This Row],[Mode]]="BUCK", 1,3))</f>
        <v>1</v>
      </c>
      <c r="K96">
        <f t="shared" si="4"/>
        <v>12</v>
      </c>
      <c r="L96" s="4">
        <f>Vout*Table1[[#This Row],[Iout]]/(Table1[[#This Row],[Vin]]*Efficiency)</f>
        <v>7.0686490084928684</v>
      </c>
      <c r="M96" s="711">
        <f>MIN(1/Fsw,CHOOSE(Table1[[#This Row],[Mode Digit]],(Vout+(Rdson2+Rs+Rdcr)*Table1[[#This Row],[Iout]])/(Table1[[#This Row],[Vin]]+(Rs+Rdson2-Rdson1)*Table1[[#This Row],[Iout]])/Fsw,(Vout+(Rdson3+Rdcr)*Table1[[#This Row],[Iin]]-Table1[[#This Row],[Vin]])/(Vout+(Rdson3-Rdson4-Rs)*Table1[[#This Row],[Iin]])/Fsw,t1_Ph_II))</f>
        <v>9.4116896375701881E-7</v>
      </c>
      <c r="N96" s="602">
        <f>CHOOSE(Table1[[#This Row],[Mode Digit]],1/Fsw-Table1[[#This Row],[t1_Ph_II]],1/Fsw-Table1[[#This Row],[t1_Ph_II]],(Vout/Fsw-Table1[[#This Row],[Vin]]*t1_Ph_II)/(Table1[[#This Row],[Vin]]+Vout))</f>
        <v>7.2549770290964785E-7</v>
      </c>
      <c r="O96" s="602">
        <f>1/Fsw-(Table1[[#This Row],[t1_Ph_II]]+Table1[[#This Row],[t2_Ph_I]])</f>
        <v>0</v>
      </c>
      <c r="P9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9.9518879936423961</v>
      </c>
      <c r="Q96" s="4">
        <f>CHOOSE(Table1[[#This Row],[Mode Digit]],Table1[[#This Row],[I_0]]+1/Lf*(Table1[[#This Row],[Vin]]-Vout)*Table1[[#This Row],[t1_Ph_II]],Table1[[#This Row],[I_0]]+1/Lf*Table1[[#This Row],[Vin]]*Table1[[#This Row],[t1_Ph_II]],Table1[[#This Row],[I_0]]+(Table1[[#This Row],[Vin]]-Vout)/L*Table1[[#This Row],[t1_Ph_II]])</f>
        <v>14.048112006357602</v>
      </c>
      <c r="R96" s="4">
        <f>CHOOSE(Table1[[#This Row],[Mode Digit]],0,0,Table1[[#This Row],[I_1]]+Table1[[#This Row],[Vin]]/L*Table1[[#This Row],[t2_Ph_I]])</f>
        <v>0</v>
      </c>
      <c r="S96" s="4">
        <f>Fsw*(Table1[[#This Row],[I_0]]*Table1[[#This Row],[t1_Ph_II]]+Table1[[#This Row],[I_1]]*Table1[[#This Row],[t2_Ph_I]]+Table1[[#This Row],[I_2]]*Table1[[#This Row],[t3_Ph_III]])</f>
        <v>11.734968660739328</v>
      </c>
      <c r="T96" s="354">
        <f>MIN(1,CHOOSE(Table1[[#This Row],[Mode Digit]],(Vout+(Rdson2+Rs+Rdcr)*Table1[[#This Row],[Iout]])/(Table1[[#This Row],[Vin]]+(Rs+Rdson2-Rdson1)*Table1[[#This Row],[Iout]]),1,Fsw*Table1[[#This Row],[t2_Ph_I]]+Table1[[#This Row],[t1_Ph_II]]))</f>
        <v>0.56470137825421129</v>
      </c>
      <c r="U96" s="354">
        <f>MIN(1,CHOOSE(Table1[[#This Row],[Mode Digit]],0,(Vout+(Rdson3+Rdcr)*Table1[[#This Row],[Iin]]-Table1[[#This Row],[Vin]])/(Vout+(Rdson3-Rdson4-Rs)*Table1[[#This Row],[Iin]]),Fsw*Table1[[#This Row],[t1_Ph_II]]+Table1[[#This Row],[t3_Ph_III]]))</f>
        <v>0</v>
      </c>
      <c r="V96" s="4">
        <f>MAX(Table1[[#This Row],[I_0]:[I_2]])-MIN(Table1[[#This Row],[I_0]:[I_1]])</f>
        <v>4.0962240127152061</v>
      </c>
      <c r="W9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12.058119847784258</v>
      </c>
      <c r="X96" s="354">
        <f>(Table1[[#This Row],[Irms Lf]]^2*Rdcr*(1+Ltc*Ta-Ltc*25))/(1-Table1[[#This Row],[Irms Lf]]^2*Rdcr*Ltc*ThetaCa)</f>
        <v>0.90431960709432291</v>
      </c>
      <c r="Y96" s="354">
        <f>ABS(7.759*10^-3*Fsw^0.9458*(0.00787*Table1[[#This Row],[Ripple Current pk-pk]])^2.304)</f>
        <v>0.82801657540676066</v>
      </c>
      <c r="Z96" s="354">
        <f>Table1[[#This Row],[DCR    Loss]]+Table1[[#This Row],[Core Loss]]</f>
        <v>1.7323361825010837</v>
      </c>
      <c r="AA96" s="4">
        <f>IF(Table1[[#This Row],[Vin]]&gt;Vout, Table1[[#This Row],[Ripple Current pk-pk]]/SQRT(12), SQRT(Table1[[#This Row],[Duty Cycle BOOST Leg]]/(1-Table1[[#This Row],[Duty Cycle BOOST Leg]]))*SQRT(Table1[[#This Row],[Iout]]^2+(Table1[[#This Row],[Ripple Current pk-pk]]^2)/12))</f>
        <v>1.1824780182010668</v>
      </c>
      <c r="AB96" s="354">
        <f>RCoutEsr*Table1[[#This Row],[Irms Cout]]^2</f>
        <v>6.9912713176436131E-3</v>
      </c>
      <c r="AC96" s="354">
        <f>Table1[[#This Row],[Cout ESR Loss]]</f>
        <v>6.9912713176436131E-3</v>
      </c>
      <c r="AD96" s="354">
        <f>IF(Table1[[#This Row],[Vin]]&gt;Vout, SQRT(Table1[[#This Row],[Duty Cycle BUCK Leg]]*(1-Table1[[#This Row],[Duty Cycle BUCK Leg]]))*SQRT(Table1[[#This Row],[Iout]]^2+(Table1[[#This Row],[Ripple Current pk-pk]]^2)/12), Table1[[#This Row],[Ripple Current pk-pk]]/SQRT(12))</f>
        <v>5.9783682937909663</v>
      </c>
      <c r="AE96" s="354">
        <f>RCinEsr*Table1[[#This Row],[Irms Cin]]^2</f>
        <v>7.1481774912410215E-2</v>
      </c>
      <c r="AF96" s="549">
        <f>Table1[[#This Row],[Cin ESR Loss]]</f>
        <v>7.1481774912410215E-2</v>
      </c>
      <c r="AG9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9.0612689276045053</v>
      </c>
      <c r="AH96" s="354">
        <f>Rdson1*Table1[[#This Row],[Irms BuCtrl]]^2</f>
        <v>0.34484769722915787</v>
      </c>
      <c r="AI96" s="354">
        <f>CHOOSE(Table1[[#This Row],[Mode Digit]], (Table1[[#This Row],[Vin]]*Table1[[#This Row],[Iout]]/2)*(Fsw)*(Tr_buck+Tf_buck), 0, (Table1[[#This Row],[Vin]]*Table1[[#This Row],[Avg IL]]/2)*(Fsw/1)*(Tr_buck+Tf_buck))</f>
        <v>3.1046161624570625</v>
      </c>
      <c r="AJ96">
        <f>IF(Table1[[#This Row],[Vin]]&gt;Vout, IF(Table1[[#This Row],[Iout]]&gt;Table1[[#This Row],[Ripple Current pk-pk]]/2,0,ABS(Table1[[#This Row],[Iout]]-Table1[[#This Row],[Ripple Current pk-pk]]/2)*Vsd_Q1*Deadtime*Fsw),0)</f>
        <v>0</v>
      </c>
      <c r="AK96" s="354">
        <f>(Table1[[#This Row],[Dead Time Loss BuCtrl]]+Table1[[#This Row],[Transition Loss BuCtrl]]+Table1[[#This Row],[RDS(on) Loss BuCtrl]]*(1+RdsonTopTc*Ta-RdsonTopTc*25))/(1-Table1[[#This Row],[RDS(on) Loss BuCtrl]]*RdsonTopTc*ThetaJA_Q1)</f>
        <v>3.7607134709840238</v>
      </c>
      <c r="AL96" s="354">
        <f>CHOOSE(Table1[[#This Row],[Mode Digit]],SQRT((Fsw*(Table1[[#This Row],[t2_Ph_I]]+0))*((Table1[[#This Row],[I_0]]*Table1[[#This Row],[I_1]]+((Table1[[#This Row],[I_0]]-Table1[[#This Row],[I_1]])^2)/3))),0,SQRT((Fsw*(Table1[[#This Row],[t3_Ph_III]]+0))*((Table1[[#This Row],[I_0]]*Table1[[#This Row],[I_2]]+((Table1[[#This Row],[I_0]]-Table1[[#This Row],[I_2]])^2)/3))))</f>
        <v>7.9556055511292021</v>
      </c>
      <c r="AM96" s="354">
        <f>Rdson2*Table1[[#This Row],[Irms BuSync]]^2</f>
        <v>0.2658249706776627</v>
      </c>
      <c r="AN9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6" s="354">
        <f>(Table1[[#This Row],[Deadtime Loss BuSync]]+Table1[[#This Row],[RDS(on) Loss BuSync]]*(1+RdsonBotTc*Ta-RdsonBotTc*25))/(1-Table1[[#This Row],[RDS(on) Loss BuSync]]*RdsonBotTc*ThetaJA_Q2)</f>
        <v>0.9006564746826502</v>
      </c>
      <c r="AP96" s="354">
        <f>CHOOSE(Table1[[#This Row],[Mode Digit]],0,SQRT((Fsw*(Table1[[#This Row],[t1_Ph_II]]+0))*((Table1[[#This Row],[I_0]]*Table1[[#This Row],[I_1]]+((Table1[[#This Row],[I_0]]-Table1[[#This Row],[I_1]])^2)/3))),SQRT((Fsw*(Table1[[#This Row],[t2_Ph_I]]+0))*((Table1[[#This Row],[I_1]]*Table1[[#This Row],[I_2]]+((Table1[[#This Row],[I_1]]-Table1[[#This Row],[I_2]])^2)/3))))</f>
        <v>0</v>
      </c>
      <c r="AQ96" s="354">
        <f>Rdson4*Table1[[#This Row],[Irms BoCtlr]]^2</f>
        <v>0</v>
      </c>
      <c r="AR96" s="354">
        <f>CHOOSE(Table1[[#This Row],[Mode Digit]], 0, (Vout*Table1[[#This Row],[Iin]]/2)*(Fsw)*(Tr_boost+Tf_boost), (Vout*Iout/2)*(Fsw/1)*(Tr_boost+Tf_boost))</f>
        <v>0</v>
      </c>
      <c r="AS96">
        <f>IF(Table1[[#This Row],[Vin]]&gt;Vout, 0, IF(Table1[[#This Row],[Iin]]&gt;Table1[[#This Row],[Ripple Current pk-pk]]/2,0,ABS(Table1[[#This Row],[Iin]]-Table1[[#This Row],[Ripple Current pk-pk]]/2)*Vsd_Q4*Deadtime*Fsw))</f>
        <v>0</v>
      </c>
      <c r="AT96" s="354">
        <f>(Table1[[#This Row],[Dead Time Loss BoCtlr]]+Table1[[#This Row],[Transition Loss BoCtlr]]+Table1[[#This Row],[RDS(on) Loss BoCtlr]]*(1+RdsonTopTc*Ta-RdsonTopTc*25))/(1-Table1[[#This Row],[RDS(on) Loss BoCtlr]]*RdsonTopTc*ThetaJA_Q4)</f>
        <v>0</v>
      </c>
      <c r="AU9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12.058119847784258</v>
      </c>
      <c r="AV96" s="354">
        <f>Rdson3*Table1[[#This Row],[Irms BoSync]]^2</f>
        <v>0.6106726679068204</v>
      </c>
      <c r="AW9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6" s="354">
        <f>(Table1[[#This Row],[Deadtime Loss BoSync]]+Table1[[#This Row],[RDS(on) Loss BoSync]]*(1+RdsonBotTc*Ta-RdsonBotTc*25))/(1-Table1[[#This Row],[RDS(on) Loss BoSync]]*RdsonBotTc*ThetaJA_Q3)</f>
        <v>0.71554379745835794</v>
      </c>
      <c r="AY96" s="354">
        <f>CHOOSE(Table1[[#This Row],[Mode Digit]], Rdson3*Table1[[#This Row],[Irms Lf]]^2, Rdson1*Table1[[#This Row],[Irms Lf]]^2, 0)</f>
        <v>0.6106726679068204</v>
      </c>
      <c r="AZ96" s="354">
        <f>CHOOSE(Table1[[#This Row],[Mode Digit]], 2*Deadtime*Fsw*IF(VfdSky_Q2&gt;0,VfdSky_Q2,0)*Table1[[#This Row],[Iout]], 2*Deadtime*Fsw*IF(VfdSky_Q3&gt;0,VfdSky_Q3,0)*Table1[[#This Row],[Iin]], 2*Deadtime*Fsw*IF(VfdSky_Q2&gt;0,VfdSky_Q2,0)*Table1[[#This Row],[Iout]]+2*Deadtime*Fsw*IF(VfdSky_Q3&gt;0,VfdSky_Q3,0)*Table1[[#This Row],[Iin]])</f>
        <v>0</v>
      </c>
      <c r="BA96" s="354">
        <f>CHOOSE(Table1[[#This Row],[Mode Digit]], IF(QrrSky_Q2&gt;0,QrrSky_Q2,Qrr_Q2)*Fsw*(Table1[[#This Row],[Vin]]-Table1[[#This Row],[Iout]]*Rdson1),0,  IF(QrrSky_Q2&gt;0,QrrSky_Q2,Qrr_Q2)*Fsw*(Table1[[#This Row],[Vin]]-Table1[[#This Row],[Iout]]*Rdson1)+IF(QrrSky_Q3&gt;0,QrrSky_Q3,Qrr_Q3)*Fsw*Vout)</f>
        <v>0.31247520000000001</v>
      </c>
      <c r="BB96" s="354">
        <f>CHOOSE(Table1[[#This Row],[Mode Digit]],0, IF(QrrSky_Q3&gt;0,QrrSky_Q3,Qrr_Q3)*Fsw*Vout,  IF(QrrSky_Q2&gt;0,QrrSky_Q2,Qrr_Q2)*Fsw*(Table1[[#This Row],[Vin]]-Table1[[#This Row],[Iout]]*Rdson1)+IF(QrrSky_Q3&gt;0,QrrSky_Q3,Qrr_Q3)*Fsw*Vout)</f>
        <v>0</v>
      </c>
      <c r="BC96" s="354">
        <f>CHOOSE(Table1[[#This Row],[Mode Digit]], Rs*Table1[[#This Row],[Irms BuSync]]^2, Rs*Table1[[#This Row],[Irms BoCtlr]]^2, Rs*(Table1[[#This Row],[Irms BuSync]]^2+Table1[[#This Row],[Irms BoCtlr]]^2))</f>
        <v>0.15822914921289444</v>
      </c>
      <c r="BD96" s="354">
        <f t="shared" si="5"/>
        <v>1.44</v>
      </c>
      <c r="BE96" s="354">
        <f>IF(Vout&gt;8, Iq*Vout, Iq*Table1[[#This Row],[Vin]])</f>
        <v>4.3799999999999999E-2</v>
      </c>
      <c r="BF96" s="354">
        <f>CHOOSE(Table1[[#This Row],[Mode Digit]], (Qg_Q1+Qg_Q2)*Fsw, (Qg_Q3+Qg_Q4)*Fsw, (Qg_Q1+Qg_Q2+Qg_Q3+Qg_Q4)*Fsw)*IF(Vout&gt;8, Vout, Table1[[#This Row],[Vin]])</f>
        <v>0.47303999999999996</v>
      </c>
      <c r="BG96" s="354">
        <f t="shared" si="6"/>
        <v>0.57269042016806726</v>
      </c>
      <c r="BH96" s="354">
        <f>Table1[[#This Row],[IQ Loss]]+Table1[[#This Row],[Switching Current Loss]]</f>
        <v>0.51683999999999997</v>
      </c>
      <c r="BI9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9.615267321069064</v>
      </c>
      <c r="BJ96">
        <f>Vout*Table1[[#This Row],[Iout]]</f>
        <v>175.2</v>
      </c>
      <c r="BK96" s="550">
        <f>Table1[[#This Row],[Pout]]/(Table1[[#This Row],[Pout]]+Table1[[#This Row],[Total Loss]])</f>
        <v>0.9479736308561294</v>
      </c>
      <c r="BL9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225.64280825904143</v>
      </c>
      <c r="BM96" s="559">
        <f>IF(Table1[[#This Row],[Vin]]&gt;Vout, Table1[[#This Row],[Total Sync Bu MOSFET Loss]]*ThetaJA_Q2, ThetaJA_Q3*Table1[[#This Row],[Total Sync Bo MOSFET Loss]])</f>
        <v>54.039388480959012</v>
      </c>
      <c r="BN96" s="9"/>
      <c r="BO96" s="4">
        <f>Table1[[#This Row],[EFF, h]]*100</f>
        <v>94.797363085612943</v>
      </c>
      <c r="BP96" s="354">
        <f>Table1[[#This Row],[Total Inductor Loss]]</f>
        <v>1.7323361825010837</v>
      </c>
      <c r="BQ96" s="354">
        <f>Table1[[#This Row],[Total Control Bu MOSFET Loss]]+Table1[[#This Row],[Total Sync Bu MOSFET Loss]]+Table1[[#This Row],[Total Control Bo MOSFET Loss]]+Table1[[#This Row],[Total Sync Bo MOSFET Loss]]+Table1[[#This Row],[Reverse Recovery Loss MOSFET D BUCK]]+Table1[[#This Row],[Reverse Recovery Loss MOSFET D BOOST]]</f>
        <v>5.6893889431250324</v>
      </c>
      <c r="BR96" s="354">
        <f>Table1[[#This Row],[Total Control Bu MOSFET Loss]]+Table1[[#This Row],[Reverse Recovery Loss MOSFET D BUCK]]*0.66</f>
        <v>3.9669471029840238</v>
      </c>
      <c r="BS96" s="354">
        <f>Table1[[#This Row],[Total Sync Bu MOSFET Loss]]+Table1[[#This Row],[Reverse Recovery Loss MOSFET D BUCK]]*0.33</f>
        <v>1.0037732906826502</v>
      </c>
      <c r="BT96" s="354">
        <f xml:space="preserve"> Table1[[#This Row],[Total Control Bo MOSFET Loss]]+Table1[[#This Row],[Reverse Recovery Loss MOSFET D BOOST]]*0.66</f>
        <v>0</v>
      </c>
      <c r="BU96" s="354">
        <f xml:space="preserve"> Table1[[#This Row],[Total Sync Bo MOSFET Loss]]+Table1[[#This Row],[Reverse Recovery Loss MOSFET D BOOST]]*0.33</f>
        <v>0.71554379745835794</v>
      </c>
      <c r="BV96" s="354">
        <f>Table1[[#This Row],[Isense Shunt Loss]]</f>
        <v>0.15822914921289444</v>
      </c>
      <c r="CB96" s="18"/>
      <c r="CC96" s="19"/>
    </row>
    <row r="97" spans="7:81" x14ac:dyDescent="0.2">
      <c r="G97">
        <v>88</v>
      </c>
      <c r="H97" s="555">
        <f>VIN_min+(VIN_max-VIN_min)*(Table1[[#This Row],[Step]]/200)</f>
        <v>26.16</v>
      </c>
      <c r="I97" s="4" t="str">
        <f>IF(Mode = 2,IF(Table1[[#This Row],[Vin]]&gt;Vout, "BUCK","BOOST"),IF(Table1[[#This Row],[Vin]]&gt;VIN_BB_to_buck, "BUCK", IF(Table1[[#This Row],[Vin]]&lt;=VIN_boost_to_BB,"BOOST","BUCK-BST")))</f>
        <v>BUCK</v>
      </c>
      <c r="J97">
        <f>IF(Table1[[#This Row],[Mode]]="BOOST",2, IF(Table1[[#This Row],[Mode]]="BUCK", 1,3))</f>
        <v>1</v>
      </c>
      <c r="K97">
        <f t="shared" si="4"/>
        <v>12</v>
      </c>
      <c r="L97" s="4">
        <f>Vout*Table1[[#This Row],[Iout]]/(Table1[[#This Row],[Vin]]*Efficiency)</f>
        <v>7.0497344278126501</v>
      </c>
      <c r="M97" s="711">
        <f>MIN(1/Fsw,CHOOSE(Table1[[#This Row],[Mode Digit]],(Vout+(Rdson2+Rs+Rdcr)*Table1[[#This Row],[Iout]])/(Table1[[#This Row],[Vin]]+(Rs+Rdson2-Rdson1)*Table1[[#This Row],[Iout]])/Fsw,(Vout+(Rdson3+Rdcr)*Table1[[#This Row],[Iin]]-Table1[[#This Row],[Vin]])/(Vout+(Rdson3-Rdson4-Rs)*Table1[[#This Row],[Iin]])/Fsw,t1_Ph_II))</f>
        <v>9.3865343006236466E-7</v>
      </c>
      <c r="N97" s="602">
        <f>CHOOSE(Table1[[#This Row],[Mode Digit]],1/Fsw-Table1[[#This Row],[t1_Ph_II]],1/Fsw-Table1[[#This Row],[t1_Ph_II]],(Vout/Fsw-Table1[[#This Row],[Vin]]*t1_Ph_II)/(Table1[[#This Row],[Vin]]+Vout))</f>
        <v>7.28013236604302E-7</v>
      </c>
      <c r="O97" s="602">
        <f>1/Fsw-(Table1[[#This Row],[t1_Ph_II]]+Table1[[#This Row],[t2_Ph_I]])</f>
        <v>0</v>
      </c>
      <c r="P9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9.9449178690301263</v>
      </c>
      <c r="Q97" s="4">
        <f>CHOOSE(Table1[[#This Row],[Mode Digit]],Table1[[#This Row],[I_0]]+1/Lf*(Table1[[#This Row],[Vin]]-Vout)*Table1[[#This Row],[t1_Ph_II]],Table1[[#This Row],[I_0]]+1/Lf*Table1[[#This Row],[Vin]]*Table1[[#This Row],[t1_Ph_II]],Table1[[#This Row],[I_0]]+(Table1[[#This Row],[Vin]]-Vout)/L*Table1[[#This Row],[t1_Ph_II]])</f>
        <v>14.055082130969875</v>
      </c>
      <c r="R97" s="4">
        <f>CHOOSE(Table1[[#This Row],[Mode Digit]],0,0,Table1[[#This Row],[I_1]]+Table1[[#This Row],[Vin]]/L*Table1[[#This Row],[t2_Ph_I]])</f>
        <v>0</v>
      </c>
      <c r="S97" s="4">
        <f>Fsw*(Table1[[#This Row],[I_0]]*Table1[[#This Row],[t1_Ph_II]]+Table1[[#This Row],[I_1]]*Table1[[#This Row],[t2_Ph_I]]+Table1[[#This Row],[I_2]]*Table1[[#This Row],[t3_Ph_III]])</f>
        <v>11.74027026141618</v>
      </c>
      <c r="T97" s="354">
        <f>MIN(1,CHOOSE(Table1[[#This Row],[Mode Digit]],(Vout+(Rdson2+Rs+Rdcr)*Table1[[#This Row],[Iout]])/(Table1[[#This Row],[Vin]]+(Rs+Rdson2-Rdson1)*Table1[[#This Row],[Iout]]),1,Fsw*Table1[[#This Row],[t2_Ph_I]]+Table1[[#This Row],[t1_Ph_II]]))</f>
        <v>0.56319205803741879</v>
      </c>
      <c r="U97" s="354">
        <f>MIN(1,CHOOSE(Table1[[#This Row],[Mode Digit]],0,(Vout+(Rdson3+Rdcr)*Table1[[#This Row],[Iin]]-Table1[[#This Row],[Vin]])/(Vout+(Rdson3-Rdson4-Rs)*Table1[[#This Row],[Iin]]),Fsw*Table1[[#This Row],[t1_Ph_II]]+Table1[[#This Row],[t3_Ph_III]]))</f>
        <v>0</v>
      </c>
      <c r="V97" s="4">
        <f>MAX(Table1[[#This Row],[I_0]:[I_2]])-MIN(Table1[[#This Row],[I_0]:[I_1]])</f>
        <v>4.1101642619397492</v>
      </c>
      <c r="W9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12.058515145807847</v>
      </c>
      <c r="X97" s="354">
        <f>(Table1[[#This Row],[Irms Lf]]^2*Rdcr*(1+Ltc*Ta-Ltc*25))/(1-Table1[[#This Row],[Irms Lf]]^2*Rdcr*Ltc*ThetaCa)</f>
        <v>0.90438319008182821</v>
      </c>
      <c r="Y97" s="354">
        <f>ABS(7.759*10^-3*Fsw^0.9458*(0.00787*Table1[[#This Row],[Ripple Current pk-pk]])^2.304)</f>
        <v>0.83452343232565696</v>
      </c>
      <c r="Z97" s="354">
        <f>Table1[[#This Row],[DCR    Loss]]+Table1[[#This Row],[Core Loss]]</f>
        <v>1.7389066224074852</v>
      </c>
      <c r="AA97" s="4">
        <f>IF(Table1[[#This Row],[Vin]]&gt;Vout, Table1[[#This Row],[Ripple Current pk-pk]]/SQRT(12), SQRT(Table1[[#This Row],[Duty Cycle BOOST Leg]]/(1-Table1[[#This Row],[Duty Cycle BOOST Leg]]))*SQRT(Table1[[#This Row],[Iout]]^2+(Table1[[#This Row],[Ripple Current pk-pk]]^2)/12))</f>
        <v>1.1865022215222469</v>
      </c>
      <c r="AB97" s="354">
        <f>RCoutEsr*Table1[[#This Row],[Irms Cout]]^2</f>
        <v>7.0389376083861352E-3</v>
      </c>
      <c r="AC97" s="354">
        <f>Table1[[#This Row],[Cout ESR Loss]]</f>
        <v>7.0389376083861352E-3</v>
      </c>
      <c r="AD97" s="354">
        <f>IF(Table1[[#This Row],[Vin]]&gt;Vout, SQRT(Table1[[#This Row],[Duty Cycle BUCK Leg]]*(1-Table1[[#This Row],[Duty Cycle BUCK Leg]]))*SQRT(Table1[[#This Row],[Iout]]^2+(Table1[[#This Row],[Ripple Current pk-pk]]^2)/12), Table1[[#This Row],[Ripple Current pk-pk]]/SQRT(12))</f>
        <v>5.9809112382370788</v>
      </c>
      <c r="AE97" s="354">
        <f>RCinEsr*Table1[[#This Row],[Irms Cin]]^2</f>
        <v>7.1542598479341177E-2</v>
      </c>
      <c r="AF97" s="549">
        <f>Table1[[#This Row],[Cin ESR Loss]]</f>
        <v>7.1542598479341177E-2</v>
      </c>
      <c r="AG9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9.0494481107414</v>
      </c>
      <c r="AH97" s="354">
        <f>Rdson1*Table1[[#This Row],[Irms BuCtrl]]^2</f>
        <v>0.34394854665780461</v>
      </c>
      <c r="AI97" s="354">
        <f>CHOOSE(Table1[[#This Row],[Mode Digit]], (Table1[[#This Row],[Vin]]*Table1[[#This Row],[Iout]]/2)*(Fsw)*(Tr_buck+Tf_buck), 0, (Table1[[#This Row],[Vin]]*Table1[[#This Row],[Avg IL]]/2)*(Fsw/1)*(Tr_buck+Tf_buck))</f>
        <v>3.1129459106890285</v>
      </c>
      <c r="AJ97">
        <f>IF(Table1[[#This Row],[Vin]]&gt;Vout, IF(Table1[[#This Row],[Iout]]&gt;Table1[[#This Row],[Ripple Current pk-pk]]/2,0,ABS(Table1[[#This Row],[Iout]]-Table1[[#This Row],[Ripple Current pk-pk]]/2)*Vsd_Q1*Deadtime*Fsw),0)</f>
        <v>0</v>
      </c>
      <c r="AK97" s="354">
        <f>(Table1[[#This Row],[Dead Time Loss BuCtrl]]+Table1[[#This Row],[Transition Loss BuCtrl]]+Table1[[#This Row],[RDS(on) Loss BuCtrl]]*(1+RdsonTopTc*Ta-RdsonTopTc*25))/(1-Table1[[#This Row],[RDS(on) Loss BuCtrl]]*RdsonTopTc*ThetaJA_Q1)</f>
        <v>3.7679280693545913</v>
      </c>
      <c r="AL97" s="354">
        <f>CHOOSE(Table1[[#This Row],[Mode Digit]],SQRT((Fsw*(Table1[[#This Row],[t2_Ph_I]]+0))*((Table1[[#This Row],[I_0]]*Table1[[#This Row],[I_1]]+((Table1[[#This Row],[I_0]]-Table1[[#This Row],[I_1]])^2)/3))),0,SQRT((Fsw*(Table1[[#This Row],[t3_Ph_III]]+0))*((Table1[[#This Row],[I_0]]*Table1[[#This Row],[I_2]]+((Table1[[#This Row],[I_0]]-Table1[[#This Row],[I_2]])^2)/3))))</f>
        <v>7.9696471949940255</v>
      </c>
      <c r="AM97" s="354">
        <f>Rdson2*Table1[[#This Row],[Irms BuSync]]^2</f>
        <v>0.26676416093323979</v>
      </c>
      <c r="AN9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7" s="354">
        <f>(Table1[[#This Row],[Deadtime Loss BuSync]]+Table1[[#This Row],[RDS(on) Loss BuSync]]*(1+RdsonBotTc*Ta-RdsonBotTc*25))/(1-Table1[[#This Row],[RDS(on) Loss BuSync]]*RdsonBotTc*ThetaJA_Q2)</f>
        <v>0.90187680788565172</v>
      </c>
      <c r="AP97" s="354">
        <f>CHOOSE(Table1[[#This Row],[Mode Digit]],0,SQRT((Fsw*(Table1[[#This Row],[t1_Ph_II]]+0))*((Table1[[#This Row],[I_0]]*Table1[[#This Row],[I_1]]+((Table1[[#This Row],[I_0]]-Table1[[#This Row],[I_1]])^2)/3))),SQRT((Fsw*(Table1[[#This Row],[t2_Ph_I]]+0))*((Table1[[#This Row],[I_1]]*Table1[[#This Row],[I_2]]+((Table1[[#This Row],[I_1]]-Table1[[#This Row],[I_2]])^2)/3))))</f>
        <v>0</v>
      </c>
      <c r="AQ97" s="354">
        <f>Rdson4*Table1[[#This Row],[Irms BoCtlr]]^2</f>
        <v>0</v>
      </c>
      <c r="AR97" s="354">
        <f>CHOOSE(Table1[[#This Row],[Mode Digit]], 0, (Vout*Table1[[#This Row],[Iin]]/2)*(Fsw)*(Tr_boost+Tf_boost), (Vout*Iout/2)*(Fsw/1)*(Tr_boost+Tf_boost))</f>
        <v>0</v>
      </c>
      <c r="AS97">
        <f>IF(Table1[[#This Row],[Vin]]&gt;Vout, 0, IF(Table1[[#This Row],[Iin]]&gt;Table1[[#This Row],[Ripple Current pk-pk]]/2,0,ABS(Table1[[#This Row],[Iin]]-Table1[[#This Row],[Ripple Current pk-pk]]/2)*Vsd_Q4*Deadtime*Fsw))</f>
        <v>0</v>
      </c>
      <c r="AT97" s="354">
        <f>(Table1[[#This Row],[Dead Time Loss BoCtlr]]+Table1[[#This Row],[Transition Loss BoCtlr]]+Table1[[#This Row],[RDS(on) Loss BoCtlr]]*(1+RdsonTopTc*Ta-RdsonTopTc*25))/(1-Table1[[#This Row],[RDS(on) Loss BoCtlr]]*RdsonTopTc*ThetaJA_Q4)</f>
        <v>0</v>
      </c>
      <c r="AU9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12.058515145807847</v>
      </c>
      <c r="AV97" s="354">
        <f>Rdson3*Table1[[#This Row],[Irms BoSync]]^2</f>
        <v>0.61071270759104457</v>
      </c>
      <c r="AW9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7" s="354">
        <f>(Table1[[#This Row],[Deadtime Loss BoSync]]+Table1[[#This Row],[RDS(on) Loss BoSync]]*(1+RdsonBotTc*Ta-RdsonBotTc*25))/(1-Table1[[#This Row],[RDS(on) Loss BoSync]]*RdsonBotTc*ThetaJA_Q3)</f>
        <v>0.71559877065754696</v>
      </c>
      <c r="AY97" s="354">
        <f>CHOOSE(Table1[[#This Row],[Mode Digit]], Rdson3*Table1[[#This Row],[Irms Lf]]^2, Rdson1*Table1[[#This Row],[Irms Lf]]^2, 0)</f>
        <v>0.61071270759104457</v>
      </c>
      <c r="AZ97" s="354">
        <f>CHOOSE(Table1[[#This Row],[Mode Digit]], 2*Deadtime*Fsw*IF(VfdSky_Q2&gt;0,VfdSky_Q2,0)*Table1[[#This Row],[Iout]], 2*Deadtime*Fsw*IF(VfdSky_Q3&gt;0,VfdSky_Q3,0)*Table1[[#This Row],[Iin]], 2*Deadtime*Fsw*IF(VfdSky_Q2&gt;0,VfdSky_Q2,0)*Table1[[#This Row],[Iout]]+2*Deadtime*Fsw*IF(VfdSky_Q3&gt;0,VfdSky_Q3,0)*Table1[[#This Row],[Iin]])</f>
        <v>0</v>
      </c>
      <c r="BA97" s="354">
        <f>CHOOSE(Table1[[#This Row],[Mode Digit]], IF(QrrSky_Q2&gt;0,QrrSky_Q2,Qrr_Q2)*Fsw*(Table1[[#This Row],[Vin]]-Table1[[#This Row],[Iout]]*Rdson1),0,  IF(QrrSky_Q2&gt;0,QrrSky_Q2,Qrr_Q2)*Fsw*(Table1[[#This Row],[Vin]]-Table1[[#This Row],[Iout]]*Rdson1)+IF(QrrSky_Q3&gt;0,QrrSky_Q3,Qrr_Q3)*Fsw*Vout)</f>
        <v>0.31331520000000002</v>
      </c>
      <c r="BB97" s="354">
        <f>CHOOSE(Table1[[#This Row],[Mode Digit]],0, IF(QrrSky_Q3&gt;0,QrrSky_Q3,Qrr_Q3)*Fsw*Vout,  IF(QrrSky_Q2&gt;0,QrrSky_Q2,Qrr_Q2)*Fsw*(Table1[[#This Row],[Vin]]-Table1[[#This Row],[Iout]]*Rdson1)+IF(QrrSky_Q3&gt;0,QrrSky_Q3,Qrr_Q3)*Fsw*Vout)</f>
        <v>0</v>
      </c>
      <c r="BC97" s="354">
        <f>CHOOSE(Table1[[#This Row],[Mode Digit]], Rs*Table1[[#This Row],[Irms BuSync]]^2, Rs*Table1[[#This Row],[Irms BoCtlr]]^2, Rs*(Table1[[#This Row],[Irms BuSync]]^2+Table1[[#This Row],[Irms BoCtlr]]^2))</f>
        <v>0.15878819103169034</v>
      </c>
      <c r="BD97" s="354">
        <f t="shared" si="5"/>
        <v>1.44</v>
      </c>
      <c r="BE97" s="354">
        <f>IF(Vout&gt;8, Iq*Vout, Iq*Table1[[#This Row],[Vin]])</f>
        <v>4.3799999999999999E-2</v>
      </c>
      <c r="BF97" s="354">
        <f>CHOOSE(Table1[[#This Row],[Mode Digit]], (Qg_Q1+Qg_Q2)*Fsw, (Qg_Q3+Qg_Q4)*Fsw, (Qg_Q1+Qg_Q2+Qg_Q3+Qg_Q4)*Fsw)*IF(Vout&gt;8, Vout, Table1[[#This Row],[Vin]])</f>
        <v>0.47303999999999996</v>
      </c>
      <c r="BG97" s="354">
        <f t="shared" si="6"/>
        <v>0.57269042016806726</v>
      </c>
      <c r="BH97" s="354">
        <f>Table1[[#This Row],[IQ Loss]]+Table1[[#This Row],[Switching Current Loss]]</f>
        <v>0.51683999999999997</v>
      </c>
      <c r="BI9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9.6318351974246905</v>
      </c>
      <c r="BJ97">
        <f>Vout*Table1[[#This Row],[Iout]]</f>
        <v>175.2</v>
      </c>
      <c r="BK97" s="550">
        <f>Table1[[#This Row],[Pout]]/(Table1[[#This Row],[Pout]]+Table1[[#This Row],[Total Loss]])</f>
        <v>0.94788865680451295</v>
      </c>
      <c r="BL9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226.07568416127549</v>
      </c>
      <c r="BM97" s="559">
        <f>IF(Table1[[#This Row],[Vin]]&gt;Vout, Table1[[#This Row],[Total Sync Bu MOSFET Loss]]*ThetaJA_Q2, ThetaJA_Q3*Table1[[#This Row],[Total Sync Bo MOSFET Loss]])</f>
        <v>54.112608473139105</v>
      </c>
      <c r="BN97" s="9"/>
      <c r="BO97" s="4">
        <f>Table1[[#This Row],[EFF, h]]*100</f>
        <v>94.788865680451295</v>
      </c>
      <c r="BP97" s="354">
        <f>Table1[[#This Row],[Total Inductor Loss]]</f>
        <v>1.7389066224074852</v>
      </c>
      <c r="BQ97" s="354">
        <f>Table1[[#This Row],[Total Control Bu MOSFET Loss]]+Table1[[#This Row],[Total Sync Bu MOSFET Loss]]+Table1[[#This Row],[Total Control Bo MOSFET Loss]]+Table1[[#This Row],[Total Sync Bo MOSFET Loss]]+Table1[[#This Row],[Reverse Recovery Loss MOSFET D BUCK]]+Table1[[#This Row],[Reverse Recovery Loss MOSFET D BOOST]]</f>
        <v>5.6987188478977897</v>
      </c>
      <c r="BR97" s="354">
        <f>Table1[[#This Row],[Total Control Bu MOSFET Loss]]+Table1[[#This Row],[Reverse Recovery Loss MOSFET D BUCK]]*0.66</f>
        <v>3.9747161013545913</v>
      </c>
      <c r="BS97" s="354">
        <f>Table1[[#This Row],[Total Sync Bu MOSFET Loss]]+Table1[[#This Row],[Reverse Recovery Loss MOSFET D BUCK]]*0.33</f>
        <v>1.0052708238856518</v>
      </c>
      <c r="BT97" s="354">
        <f xml:space="preserve"> Table1[[#This Row],[Total Control Bo MOSFET Loss]]+Table1[[#This Row],[Reverse Recovery Loss MOSFET D BOOST]]*0.66</f>
        <v>0</v>
      </c>
      <c r="BU97" s="354">
        <f xml:space="preserve"> Table1[[#This Row],[Total Sync Bo MOSFET Loss]]+Table1[[#This Row],[Reverse Recovery Loss MOSFET D BOOST]]*0.33</f>
        <v>0.71559877065754696</v>
      </c>
      <c r="BV97" s="354">
        <f>Table1[[#This Row],[Isense Shunt Loss]]</f>
        <v>0.15878819103169034</v>
      </c>
      <c r="CB97" s="18"/>
      <c r="CC97" s="19"/>
    </row>
    <row r="98" spans="7:81" x14ac:dyDescent="0.2">
      <c r="G98">
        <v>89</v>
      </c>
      <c r="H98" s="555">
        <f>VIN_min+(VIN_max-VIN_min)*(Table1[[#This Row],[Step]]/200)</f>
        <v>26.23</v>
      </c>
      <c r="I98" s="4" t="str">
        <f>IF(Mode = 2,IF(Table1[[#This Row],[Vin]]&gt;Vout, "BUCK","BOOST"),IF(Table1[[#This Row],[Vin]]&gt;VIN_BB_to_buck, "BUCK", IF(Table1[[#This Row],[Vin]]&lt;=VIN_boost_to_BB,"BOOST","BUCK-BST")))</f>
        <v>BUCK</v>
      </c>
      <c r="J98">
        <f>IF(Table1[[#This Row],[Mode]]="BOOST",2, IF(Table1[[#This Row],[Mode]]="BUCK", 1,3))</f>
        <v>1</v>
      </c>
      <c r="K98">
        <f t="shared" si="4"/>
        <v>12</v>
      </c>
      <c r="L98" s="4">
        <f>Vout*Table1[[#This Row],[Iout]]/(Table1[[#This Row],[Vin]]*Efficiency)</f>
        <v>7.0309208018139131</v>
      </c>
      <c r="M98" s="711">
        <f>MIN(1/Fsw,CHOOSE(Table1[[#This Row],[Mode Digit]],(Vout+(Rdson2+Rs+Rdcr)*Table1[[#This Row],[Iout]])/(Table1[[#This Row],[Vin]]+(Rs+Rdson2-Rdson1)*Table1[[#This Row],[Iout]])/Fsw,(Vout+(Rdson3+Rdcr)*Table1[[#This Row],[Iin]]-Table1[[#This Row],[Vin]])/(Vout+(Rdson3-Rdson4-Rs)*Table1[[#This Row],[Iin]])/Fsw,t1_Ph_II))</f>
        <v>9.3615130743843612E-7</v>
      </c>
      <c r="N98" s="602">
        <f>CHOOSE(Table1[[#This Row],[Mode Digit]],1/Fsw-Table1[[#This Row],[t1_Ph_II]],1/Fsw-Table1[[#This Row],[t1_Ph_II]],(Vout/Fsw-Table1[[#This Row],[Vin]]*t1_Ph_II)/(Table1[[#This Row],[Vin]]+Vout))</f>
        <v>7.3051535922823055E-7</v>
      </c>
      <c r="O98" s="602">
        <f>1/Fsw-(Table1[[#This Row],[t1_Ph_II]]+Table1[[#This Row],[t2_Ph_I]])</f>
        <v>0</v>
      </c>
      <c r="P9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9.9379849042596575</v>
      </c>
      <c r="Q98" s="4">
        <f>CHOOSE(Table1[[#This Row],[Mode Digit]],Table1[[#This Row],[I_0]]+1/Lf*(Table1[[#This Row],[Vin]]-Vout)*Table1[[#This Row],[t1_Ph_II]],Table1[[#This Row],[I_0]]+1/Lf*Table1[[#This Row],[Vin]]*Table1[[#This Row],[t1_Ph_II]],Table1[[#This Row],[I_0]]+(Table1[[#This Row],[Vin]]-Vout)/L*Table1[[#This Row],[t1_Ph_II]])</f>
        <v>14.062015095740344</v>
      </c>
      <c r="R98" s="4">
        <f>CHOOSE(Table1[[#This Row],[Mode Digit]],0,0,Table1[[#This Row],[I_1]]+Table1[[#This Row],[Vin]]/L*Table1[[#This Row],[t2_Ph_I]])</f>
        <v>0</v>
      </c>
      <c r="S98" s="4">
        <f>Fsw*(Table1[[#This Row],[I_0]]*Table1[[#This Row],[t1_Ph_II]]+Table1[[#This Row],[I_1]]*Table1[[#This Row],[t2_Ph_I]]+Table1[[#This Row],[I_2]]*Table1[[#This Row],[t3_Ph_III]])</f>
        <v>11.745585342338208</v>
      </c>
      <c r="T98" s="354">
        <f>MIN(1,CHOOSE(Table1[[#This Row],[Mode Digit]],(Vout+(Rdson2+Rs+Rdcr)*Table1[[#This Row],[Iout]])/(Table1[[#This Row],[Vin]]+(Rs+Rdson2-Rdson1)*Table1[[#This Row],[Iout]]),1,Fsw*Table1[[#This Row],[t2_Ph_I]]+Table1[[#This Row],[t1_Ph_II]]))</f>
        <v>0.56169078446306164</v>
      </c>
      <c r="U98" s="354">
        <f>MIN(1,CHOOSE(Table1[[#This Row],[Mode Digit]],0,(Vout+(Rdson3+Rdcr)*Table1[[#This Row],[Iin]]-Table1[[#This Row],[Vin]])/(Vout+(Rdson3-Rdson4-Rs)*Table1[[#This Row],[Iin]]),Fsw*Table1[[#This Row],[t1_Ph_II]]+Table1[[#This Row],[t3_Ph_III]]))</f>
        <v>0</v>
      </c>
      <c r="V98" s="4">
        <f>MAX(Table1[[#This Row],[I_0]:[I_2]])-MIN(Table1[[#This Row],[I_0]:[I_1]])</f>
        <v>4.1240301914806867</v>
      </c>
      <c r="W9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12.05890965572843</v>
      </c>
      <c r="X98" s="354">
        <f>(Table1[[#This Row],[Irms Lf]]^2*Rdcr*(1+Ltc*Ta-Ltc*25))/(1-Table1[[#This Row],[Irms Lf]]^2*Rdcr*Ltc*ThetaCa)</f>
        <v>0.90444664898395732</v>
      </c>
      <c r="Y98" s="354">
        <f>ABS(7.759*10^-3*Fsw^0.9458*(0.00787*Table1[[#This Row],[Ripple Current pk-pk]])^2.304)</f>
        <v>0.84102421065951249</v>
      </c>
      <c r="Z98" s="354">
        <f>Table1[[#This Row],[DCR    Loss]]+Table1[[#This Row],[Core Loss]]</f>
        <v>1.7454708596434698</v>
      </c>
      <c r="AA98" s="4">
        <f>IF(Table1[[#This Row],[Vin]]&gt;Vout, Table1[[#This Row],[Ripple Current pk-pk]]/SQRT(12), SQRT(Table1[[#This Row],[Duty Cycle BOOST Leg]]/(1-Table1[[#This Row],[Duty Cycle BOOST Leg]]))*SQRT(Table1[[#This Row],[Iout]]^2+(Table1[[#This Row],[Ripple Current pk-pk]]^2)/12))</f>
        <v>1.1905049705987591</v>
      </c>
      <c r="AB98" s="354">
        <f>RCoutEsr*Table1[[#This Row],[Irms Cout]]^2</f>
        <v>7.0865104251017618E-3</v>
      </c>
      <c r="AC98" s="354">
        <f>Table1[[#This Row],[Cout ESR Loss]]</f>
        <v>7.0865104251017618E-3</v>
      </c>
      <c r="AD98" s="354">
        <f>IF(Table1[[#This Row],[Vin]]&gt;Vout, SQRT(Table1[[#This Row],[Duty Cycle BUCK Leg]]*(1-Table1[[#This Row],[Duty Cycle BUCK Leg]]))*SQRT(Table1[[#This Row],[Iout]]^2+(Table1[[#This Row],[Ripple Current pk-pk]]^2)/12), Table1[[#This Row],[Ripple Current pk-pk]]/SQRT(12))</f>
        <v>5.9833855971287813</v>
      </c>
      <c r="AE98" s="354">
        <f>RCinEsr*Table1[[#This Row],[Irms Cin]]^2</f>
        <v>7.1601806407856294E-2</v>
      </c>
      <c r="AF98" s="549">
        <f>Table1[[#This Row],[Cin ESR Loss]]</f>
        <v>7.1601806407856294E-2</v>
      </c>
      <c r="AG9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9.0376743956969978</v>
      </c>
      <c r="AH98" s="354">
        <f>Rdson1*Table1[[#This Row],[Irms BuCtrl]]^2</f>
        <v>0.34305414562707581</v>
      </c>
      <c r="AI98" s="354">
        <f>CHOOSE(Table1[[#This Row],[Mode Digit]], (Table1[[#This Row],[Vin]]*Table1[[#This Row],[Iout]]/2)*(Fsw)*(Tr_buck+Tf_buck), 0, (Table1[[#This Row],[Vin]]*Table1[[#This Row],[Avg IL]]/2)*(Fsw/1)*(Tr_buck+Tf_buck))</f>
        <v>3.1212756589209949</v>
      </c>
      <c r="AJ98">
        <f>IF(Table1[[#This Row],[Vin]]&gt;Vout, IF(Table1[[#This Row],[Iout]]&gt;Table1[[#This Row],[Ripple Current pk-pk]]/2,0,ABS(Table1[[#This Row],[Iout]]-Table1[[#This Row],[Ripple Current pk-pk]]/2)*Vsd_Q1*Deadtime*Fsw),0)</f>
        <v>0</v>
      </c>
      <c r="AK98" s="354">
        <f>(Table1[[#This Row],[Dead Time Loss BuCtrl]]+Table1[[#This Row],[Transition Loss BuCtrl]]+Table1[[#This Row],[RDS(on) Loss BuCtrl]]*(1+RdsonTopTc*Ta-RdsonTopTc*25))/(1-Table1[[#This Row],[RDS(on) Loss BuCtrl]]*RdsonTopTc*ThetaJA_Q1)</f>
        <v>3.7751491395957881</v>
      </c>
      <c r="AL98" s="354">
        <f>CHOOSE(Table1[[#This Row],[Mode Digit]],SQRT((Fsw*(Table1[[#This Row],[t2_Ph_I]]+0))*((Table1[[#This Row],[I_0]]*Table1[[#This Row],[I_1]]+((Table1[[#This Row],[I_0]]-Table1[[#This Row],[I_1]])^2)/3))),0,SQRT((Fsw*(Table1[[#This Row],[t3_Ph_III]]+0))*((Table1[[#This Row],[I_0]]*Table1[[#This Row],[I_2]]+((Table1[[#This Row],[I_0]]-Table1[[#This Row],[I_2]])^2)/3))))</f>
        <v>7.9835921490506552</v>
      </c>
      <c r="AM98" s="354">
        <f>Rdson2*Table1[[#This Row],[Irms BuSync]]^2</f>
        <v>0.26769852313000975</v>
      </c>
      <c r="AN9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8" s="354">
        <f>(Table1[[#This Row],[Deadtime Loss BuSync]]+Table1[[#This Row],[RDS(on) Loss BuSync]]*(1+RdsonBotTc*Ta-RdsonBotTc*25))/(1-Table1[[#This Row],[RDS(on) Loss BuSync]]*RdsonBotTc*ThetaJA_Q2)</f>
        <v>0.90309145115560452</v>
      </c>
      <c r="AP98" s="354">
        <f>CHOOSE(Table1[[#This Row],[Mode Digit]],0,SQRT((Fsw*(Table1[[#This Row],[t1_Ph_II]]+0))*((Table1[[#This Row],[I_0]]*Table1[[#This Row],[I_1]]+((Table1[[#This Row],[I_0]]-Table1[[#This Row],[I_1]])^2)/3))),SQRT((Fsw*(Table1[[#This Row],[t2_Ph_I]]+0))*((Table1[[#This Row],[I_1]]*Table1[[#This Row],[I_2]]+((Table1[[#This Row],[I_1]]-Table1[[#This Row],[I_2]])^2)/3))))</f>
        <v>0</v>
      </c>
      <c r="AQ98" s="354">
        <f>Rdson4*Table1[[#This Row],[Irms BoCtlr]]^2</f>
        <v>0</v>
      </c>
      <c r="AR98" s="354">
        <f>CHOOSE(Table1[[#This Row],[Mode Digit]], 0, (Vout*Table1[[#This Row],[Iin]]/2)*(Fsw)*(Tr_boost+Tf_boost), (Vout*Iout/2)*(Fsw/1)*(Tr_boost+Tf_boost))</f>
        <v>0</v>
      </c>
      <c r="AS98">
        <f>IF(Table1[[#This Row],[Vin]]&gt;Vout, 0, IF(Table1[[#This Row],[Iin]]&gt;Table1[[#This Row],[Ripple Current pk-pk]]/2,0,ABS(Table1[[#This Row],[Iin]]-Table1[[#This Row],[Ripple Current pk-pk]]/2)*Vsd_Q4*Deadtime*Fsw))</f>
        <v>0</v>
      </c>
      <c r="AT98" s="354">
        <f>(Table1[[#This Row],[Dead Time Loss BoCtlr]]+Table1[[#This Row],[Transition Loss BoCtlr]]+Table1[[#This Row],[RDS(on) Loss BoCtlr]]*(1+RdsonTopTc*Ta-RdsonTopTc*25))/(1-Table1[[#This Row],[RDS(on) Loss BoCtlr]]*RdsonTopTc*ThetaJA_Q4)</f>
        <v>0</v>
      </c>
      <c r="AU9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12.05890965572843</v>
      </c>
      <c r="AV98" s="354">
        <f>Rdson3*Table1[[#This Row],[Irms BoSync]]^2</f>
        <v>0.61075266875708567</v>
      </c>
      <c r="AW9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8" s="354">
        <f>(Table1[[#This Row],[Deadtime Loss BoSync]]+Table1[[#This Row],[RDS(on) Loss BoSync]]*(1+RdsonBotTc*Ta-RdsonBotTc*25))/(1-Table1[[#This Row],[RDS(on) Loss BoSync]]*RdsonBotTc*ThetaJA_Q3)</f>
        <v>0.71565363728815523</v>
      </c>
      <c r="AY98" s="354">
        <f>CHOOSE(Table1[[#This Row],[Mode Digit]], Rdson3*Table1[[#This Row],[Irms Lf]]^2, Rdson1*Table1[[#This Row],[Irms Lf]]^2, 0)</f>
        <v>0.61075266875708567</v>
      </c>
      <c r="AZ98" s="354">
        <f>CHOOSE(Table1[[#This Row],[Mode Digit]], 2*Deadtime*Fsw*IF(VfdSky_Q2&gt;0,VfdSky_Q2,0)*Table1[[#This Row],[Iout]], 2*Deadtime*Fsw*IF(VfdSky_Q3&gt;0,VfdSky_Q3,0)*Table1[[#This Row],[Iin]], 2*Deadtime*Fsw*IF(VfdSky_Q2&gt;0,VfdSky_Q2,0)*Table1[[#This Row],[Iout]]+2*Deadtime*Fsw*IF(VfdSky_Q3&gt;0,VfdSky_Q3,0)*Table1[[#This Row],[Iin]])</f>
        <v>0</v>
      </c>
      <c r="BA98" s="354">
        <f>CHOOSE(Table1[[#This Row],[Mode Digit]], IF(QrrSky_Q2&gt;0,QrrSky_Q2,Qrr_Q2)*Fsw*(Table1[[#This Row],[Vin]]-Table1[[#This Row],[Iout]]*Rdson1),0,  IF(QrrSky_Q2&gt;0,QrrSky_Q2,Qrr_Q2)*Fsw*(Table1[[#This Row],[Vin]]-Table1[[#This Row],[Iout]]*Rdson1)+IF(QrrSky_Q3&gt;0,QrrSky_Q3,Qrr_Q3)*Fsw*Vout)</f>
        <v>0.31415520000000002</v>
      </c>
      <c r="BB98" s="354">
        <f>CHOOSE(Table1[[#This Row],[Mode Digit]],0, IF(QrrSky_Q3&gt;0,QrrSky_Q3,Qrr_Q3)*Fsw*Vout,  IF(QrrSky_Q2&gt;0,QrrSky_Q2,Qrr_Q2)*Fsw*(Table1[[#This Row],[Vin]]-Table1[[#This Row],[Iout]]*Rdson1)+IF(QrrSky_Q3&gt;0,QrrSky_Q3,Qrr_Q3)*Fsw*Vout)</f>
        <v>0</v>
      </c>
      <c r="BC98" s="354">
        <f>CHOOSE(Table1[[#This Row],[Mode Digit]], Rs*Table1[[#This Row],[Irms BuSync]]^2, Rs*Table1[[#This Row],[Irms BoCtlr]]^2, Rs*(Table1[[#This Row],[Irms BuSync]]^2+Table1[[#This Row],[Irms BoCtlr]]^2))</f>
        <v>0.15934435900595817</v>
      </c>
      <c r="BD98" s="354">
        <f t="shared" si="5"/>
        <v>1.44</v>
      </c>
      <c r="BE98" s="354">
        <f>IF(Vout&gt;8, Iq*Vout, Iq*Table1[[#This Row],[Vin]])</f>
        <v>4.3799999999999999E-2</v>
      </c>
      <c r="BF98" s="354">
        <f>CHOOSE(Table1[[#This Row],[Mode Digit]], (Qg_Q1+Qg_Q2)*Fsw, (Qg_Q3+Qg_Q4)*Fsw, (Qg_Q1+Qg_Q2+Qg_Q3+Qg_Q4)*Fsw)*IF(Vout&gt;8, Vout, Table1[[#This Row],[Vin]])</f>
        <v>0.47303999999999996</v>
      </c>
      <c r="BG98" s="354">
        <f t="shared" si="6"/>
        <v>0.57269042016806726</v>
      </c>
      <c r="BH98" s="354">
        <f>Table1[[#This Row],[IQ Loss]]+Table1[[#This Row],[Switching Current Loss]]</f>
        <v>0.51683999999999997</v>
      </c>
      <c r="BI9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9.6483929635219337</v>
      </c>
      <c r="BJ98">
        <f>Vout*Table1[[#This Row],[Iout]]</f>
        <v>175.2</v>
      </c>
      <c r="BK98" s="550">
        <f>Table1[[#This Row],[Pout]]/(Table1[[#This Row],[Pout]]+Table1[[#This Row],[Total Loss]])</f>
        <v>0.94780374982526383</v>
      </c>
      <c r="BL9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226.50894837574728</v>
      </c>
      <c r="BM98" s="559">
        <f>IF(Table1[[#This Row],[Vin]]&gt;Vout, Table1[[#This Row],[Total Sync Bu MOSFET Loss]]*ThetaJA_Q2, ThetaJA_Q3*Table1[[#This Row],[Total Sync Bo MOSFET Loss]])</f>
        <v>54.185487069336268</v>
      </c>
      <c r="BN98" s="9"/>
      <c r="BO98" s="4">
        <f>Table1[[#This Row],[EFF, h]]*100</f>
        <v>94.780374982526382</v>
      </c>
      <c r="BP98" s="354">
        <f>Table1[[#This Row],[Total Inductor Loss]]</f>
        <v>1.7454708596434698</v>
      </c>
      <c r="BQ98" s="354">
        <f>Table1[[#This Row],[Total Control Bu MOSFET Loss]]+Table1[[#This Row],[Total Sync Bu MOSFET Loss]]+Table1[[#This Row],[Total Control Bo MOSFET Loss]]+Table1[[#This Row],[Total Sync Bo MOSFET Loss]]+Table1[[#This Row],[Reverse Recovery Loss MOSFET D BUCK]]+Table1[[#This Row],[Reverse Recovery Loss MOSFET D BOOST]]</f>
        <v>5.7080494280395477</v>
      </c>
      <c r="BR98" s="354">
        <f>Table1[[#This Row],[Total Control Bu MOSFET Loss]]+Table1[[#This Row],[Reverse Recovery Loss MOSFET D BUCK]]*0.66</f>
        <v>3.982491571595788</v>
      </c>
      <c r="BS98" s="354">
        <f>Table1[[#This Row],[Total Sync Bu MOSFET Loss]]+Table1[[#This Row],[Reverse Recovery Loss MOSFET D BUCK]]*0.33</f>
        <v>1.0067626671556045</v>
      </c>
      <c r="BT98" s="354">
        <f xml:space="preserve"> Table1[[#This Row],[Total Control Bo MOSFET Loss]]+Table1[[#This Row],[Reverse Recovery Loss MOSFET D BOOST]]*0.66</f>
        <v>0</v>
      </c>
      <c r="BU98" s="354">
        <f xml:space="preserve"> Table1[[#This Row],[Total Sync Bo MOSFET Loss]]+Table1[[#This Row],[Reverse Recovery Loss MOSFET D BOOST]]*0.33</f>
        <v>0.71565363728815523</v>
      </c>
      <c r="BV98" s="354">
        <f>Table1[[#This Row],[Isense Shunt Loss]]</f>
        <v>0.15934435900595817</v>
      </c>
      <c r="CB98" s="18"/>
      <c r="CC98" s="19"/>
    </row>
    <row r="99" spans="7:81" x14ac:dyDescent="0.2">
      <c r="G99">
        <v>90</v>
      </c>
      <c r="H99" s="555">
        <f>VIN_min+(VIN_max-VIN_min)*(Table1[[#This Row],[Step]]/200)</f>
        <v>26.3</v>
      </c>
      <c r="I99" s="4" t="str">
        <f>IF(Mode = 2,IF(Table1[[#This Row],[Vin]]&gt;Vout, "BUCK","BOOST"),IF(Table1[[#This Row],[Vin]]&gt;VIN_BB_to_buck, "BUCK", IF(Table1[[#This Row],[Vin]]&lt;=VIN_boost_to_BB,"BOOST","BUCK-BST")))</f>
        <v>BUCK</v>
      </c>
      <c r="J99">
        <f>IF(Table1[[#This Row],[Mode]]="BOOST",2, IF(Table1[[#This Row],[Mode]]="BUCK", 1,3))</f>
        <v>1</v>
      </c>
      <c r="K99">
        <f t="shared" si="4"/>
        <v>12</v>
      </c>
      <c r="L99" s="4">
        <f>Vout*Table1[[#This Row],[Iout]]/(Table1[[#This Row],[Vin]]*Efficiency)</f>
        <v>7.0122073243946366</v>
      </c>
      <c r="M99" s="711">
        <f>MIN(1/Fsw,CHOOSE(Table1[[#This Row],[Mode Digit]],(Vout+(Rdson2+Rs+Rdcr)*Table1[[#This Row],[Iout]])/(Table1[[#This Row],[Vin]]+(Rs+Rdson2-Rdson1)*Table1[[#This Row],[Iout]])/Fsw,(Vout+(Rdson3+Rdcr)*Table1[[#This Row],[Iin]]-Table1[[#This Row],[Vin]])/(Vout+(Rdson3-Rdson4-Rs)*Table1[[#This Row],[Iin]])/Fsw,t1_Ph_II))</f>
        <v>9.3366248892264836E-7</v>
      </c>
      <c r="N99" s="602">
        <f>CHOOSE(Table1[[#This Row],[Mode Digit]],1/Fsw-Table1[[#This Row],[t1_Ph_II]],1/Fsw-Table1[[#This Row],[t1_Ph_II]],(Vout/Fsw-Table1[[#This Row],[Vin]]*t1_Ph_II)/(Table1[[#This Row],[Vin]]+Vout))</f>
        <v>7.3300417774401831E-7</v>
      </c>
      <c r="O99" s="602">
        <f>1/Fsw-(Table1[[#This Row],[t1_Ph_II]]+Table1[[#This Row],[t2_Ph_I]])</f>
        <v>0</v>
      </c>
      <c r="P9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9.9310888029554949</v>
      </c>
      <c r="Q99" s="4">
        <f>CHOOSE(Table1[[#This Row],[Mode Digit]],Table1[[#This Row],[I_0]]+1/Lf*(Table1[[#This Row],[Vin]]-Vout)*Table1[[#This Row],[t1_Ph_II]],Table1[[#This Row],[I_0]]+1/Lf*Table1[[#This Row],[Vin]]*Table1[[#This Row],[t1_Ph_II]],Table1[[#This Row],[I_0]]+(Table1[[#This Row],[Vin]]-Vout)/L*Table1[[#This Row],[t1_Ph_II]])</f>
        <v>14.068911197044505</v>
      </c>
      <c r="R99" s="4">
        <f>CHOOSE(Table1[[#This Row],[Mode Digit]],0,0,Table1[[#This Row],[I_1]]+Table1[[#This Row],[Vin]]/L*Table1[[#This Row],[t2_Ph_I]])</f>
        <v>0</v>
      </c>
      <c r="S99" s="4">
        <f>Fsw*(Table1[[#This Row],[I_0]]*Table1[[#This Row],[t1_Ph_II]]+Table1[[#This Row],[I_1]]*Table1[[#This Row],[t2_Ph_I]]+Table1[[#This Row],[I_2]]*Table1[[#This Row],[t3_Ph_III]])</f>
        <v>11.750913463933493</v>
      </c>
      <c r="T99" s="354">
        <f>MIN(1,CHOOSE(Table1[[#This Row],[Mode Digit]],(Vout+(Rdson2+Rs+Rdcr)*Table1[[#This Row],[Iout]])/(Table1[[#This Row],[Vin]]+(Rs+Rdson2-Rdson1)*Table1[[#This Row],[Iout]]),1,Fsw*Table1[[#This Row],[t2_Ph_I]]+Table1[[#This Row],[t1_Ph_II]]))</f>
        <v>0.56019749335358904</v>
      </c>
      <c r="U99" s="354">
        <f>MIN(1,CHOOSE(Table1[[#This Row],[Mode Digit]],0,(Vout+(Rdson3+Rdcr)*Table1[[#This Row],[Iin]]-Table1[[#This Row],[Vin]])/(Vout+(Rdson3-Rdson4-Rs)*Table1[[#This Row],[Iin]]),Fsw*Table1[[#This Row],[t1_Ph_II]]+Table1[[#This Row],[t3_Ph_III]]))</f>
        <v>0</v>
      </c>
      <c r="V99" s="4">
        <f>MAX(Table1[[#This Row],[I_0]:[I_2]])-MIN(Table1[[#This Row],[I_0]:[I_1]])</f>
        <v>4.1378223940890102</v>
      </c>
      <c r="W9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12.05930337320881</v>
      </c>
      <c r="X99" s="354">
        <f>(Table1[[#This Row],[Irms Lf]]^2*Rdcr*(1+Ltc*Ta-Ltc*25))/(1-Table1[[#This Row],[Irms Lf]]^2*Rdcr*Ltc*ThetaCa)</f>
        <v>0.90450998308703079</v>
      </c>
      <c r="Y99" s="354">
        <f>ABS(7.759*10^-3*Fsw^0.9458*(0.00787*Table1[[#This Row],[Ripple Current pk-pk]])^2.304)</f>
        <v>0.84751876029804463</v>
      </c>
      <c r="Z99" s="354">
        <f>Table1[[#This Row],[DCR    Loss]]+Table1[[#This Row],[Core Loss]]</f>
        <v>1.7520287433850754</v>
      </c>
      <c r="AA99" s="4">
        <f>IF(Table1[[#This Row],[Vin]]&gt;Vout, Table1[[#This Row],[Ripple Current pk-pk]]/SQRT(12), SQRT(Table1[[#This Row],[Duty Cycle BOOST Leg]]/(1-Table1[[#This Row],[Duty Cycle BOOST Leg]]))*SQRT(Table1[[#This Row],[Iout]]^2+(Table1[[#This Row],[Ripple Current pk-pk]]^2)/12))</f>
        <v>1.1944864365430761</v>
      </c>
      <c r="AB99" s="354">
        <f>RCoutEsr*Table1[[#This Row],[Irms Cout]]^2</f>
        <v>7.1339892354268805E-3</v>
      </c>
      <c r="AC99" s="354">
        <f>Table1[[#This Row],[Cout ESR Loss]]</f>
        <v>7.1339892354268805E-3</v>
      </c>
      <c r="AD99" s="354">
        <f>IF(Table1[[#This Row],[Vin]]&gt;Vout, SQRT(Table1[[#This Row],[Duty Cycle BUCK Leg]]*(1-Table1[[#This Row],[Duty Cycle BUCK Leg]]))*SQRT(Table1[[#This Row],[Iout]]^2+(Table1[[#This Row],[Ripple Current pk-pk]]^2)/12), Table1[[#This Row],[Ripple Current pk-pk]]/SQRT(12))</f>
        <v>5.9857924135596754</v>
      </c>
      <c r="AE99" s="354">
        <f>RCinEsr*Table1[[#This Row],[Irms Cin]]^2</f>
        <v>7.1659421636457124E-2</v>
      </c>
      <c r="AF99" s="549">
        <f>Table1[[#This Row],[Cin ESR Loss]]</f>
        <v>7.1659421636457124E-2</v>
      </c>
      <c r="AG9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9.025947463860863</v>
      </c>
      <c r="AH99" s="354">
        <f>Rdson1*Table1[[#This Row],[Irms BuCtrl]]^2</f>
        <v>0.34216445600558071</v>
      </c>
      <c r="AI99" s="354">
        <f>CHOOSE(Table1[[#This Row],[Mode Digit]], (Table1[[#This Row],[Vin]]*Table1[[#This Row],[Iout]]/2)*(Fsw)*(Tr_buck+Tf_buck), 0, (Table1[[#This Row],[Vin]]*Table1[[#This Row],[Avg IL]]/2)*(Fsw/1)*(Tr_buck+Tf_buck))</f>
        <v>3.1296054071529609</v>
      </c>
      <c r="AJ99">
        <f>IF(Table1[[#This Row],[Vin]]&gt;Vout, IF(Table1[[#This Row],[Iout]]&gt;Table1[[#This Row],[Ripple Current pk-pk]]/2,0,ABS(Table1[[#This Row],[Iout]]-Table1[[#This Row],[Ripple Current pk-pk]]/2)*Vsd_Q1*Deadtime*Fsw),0)</f>
        <v>0</v>
      </c>
      <c r="AK99" s="354">
        <f>(Table1[[#This Row],[Dead Time Loss BuCtrl]]+Table1[[#This Row],[Transition Loss BuCtrl]]+Table1[[#This Row],[RDS(on) Loss BuCtrl]]*(1+RdsonTopTc*Ta-RdsonTopTc*25))/(1-Table1[[#This Row],[RDS(on) Loss BuCtrl]]*RdsonTopTc*ThetaJA_Q1)</f>
        <v>3.782376624815734</v>
      </c>
      <c r="AL99" s="354">
        <f>CHOOSE(Table1[[#This Row],[Mode Digit]],SQRT((Fsw*(Table1[[#This Row],[t2_Ph_I]]+0))*((Table1[[#This Row],[I_0]]*Table1[[#This Row],[I_1]]+((Table1[[#This Row],[I_0]]-Table1[[#This Row],[I_1]])^2)/3))),0,SQRT((Fsw*(Table1[[#This Row],[t3_Ph_III]]+0))*((Table1[[#This Row],[I_0]]*Table1[[#This Row],[I_2]]+((Table1[[#This Row],[I_0]]-Table1[[#This Row],[I_2]])^2)/3))))</f>
        <v>7.9974414800427907</v>
      </c>
      <c r="AM99" s="354">
        <f>Rdson2*Table1[[#This Row],[Irms BuSync]]^2</f>
        <v>0.26862809495217793</v>
      </c>
      <c r="AN9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99" s="354">
        <f>(Table1[[#This Row],[Deadtime Loss BuSync]]+Table1[[#This Row],[RDS(on) Loss BuSync]]*(1+RdsonBotTc*Ta-RdsonBotTc*25))/(1-Table1[[#This Row],[RDS(on) Loss BuSync]]*RdsonBotTc*ThetaJA_Q2)</f>
        <v>0.9043004449110108</v>
      </c>
      <c r="AP99" s="354">
        <f>CHOOSE(Table1[[#This Row],[Mode Digit]],0,SQRT((Fsw*(Table1[[#This Row],[t1_Ph_II]]+0))*((Table1[[#This Row],[I_0]]*Table1[[#This Row],[I_1]]+((Table1[[#This Row],[I_0]]-Table1[[#This Row],[I_1]])^2)/3))),SQRT((Fsw*(Table1[[#This Row],[t2_Ph_I]]+0))*((Table1[[#This Row],[I_1]]*Table1[[#This Row],[I_2]]+((Table1[[#This Row],[I_1]]-Table1[[#This Row],[I_2]])^2)/3))))</f>
        <v>0</v>
      </c>
      <c r="AQ99" s="354">
        <f>Rdson4*Table1[[#This Row],[Irms BoCtlr]]^2</f>
        <v>0</v>
      </c>
      <c r="AR99" s="354">
        <f>CHOOSE(Table1[[#This Row],[Mode Digit]], 0, (Vout*Table1[[#This Row],[Iin]]/2)*(Fsw)*(Tr_boost+Tf_boost), (Vout*Iout/2)*(Fsw/1)*(Tr_boost+Tf_boost))</f>
        <v>0</v>
      </c>
      <c r="AS99">
        <f>IF(Table1[[#This Row],[Vin]]&gt;Vout, 0, IF(Table1[[#This Row],[Iin]]&gt;Table1[[#This Row],[Ripple Current pk-pk]]/2,0,ABS(Table1[[#This Row],[Iin]]-Table1[[#This Row],[Ripple Current pk-pk]]/2)*Vsd_Q4*Deadtime*Fsw))</f>
        <v>0</v>
      </c>
      <c r="AT99" s="354">
        <f>(Table1[[#This Row],[Dead Time Loss BoCtlr]]+Table1[[#This Row],[Transition Loss BoCtlr]]+Table1[[#This Row],[RDS(on) Loss BoCtlr]]*(1+RdsonTopTc*Ta-RdsonTopTc*25))/(1-Table1[[#This Row],[RDS(on) Loss BoCtlr]]*RdsonTopTc*ThetaJA_Q4)</f>
        <v>0</v>
      </c>
      <c r="AU9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12.05930337320881</v>
      </c>
      <c r="AV99" s="354">
        <f>Rdson3*Table1[[#This Row],[Irms BoSync]]^2</f>
        <v>0.61079255095775864</v>
      </c>
      <c r="AW9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99" s="354">
        <f>(Table1[[#This Row],[Deadtime Loss BoSync]]+Table1[[#This Row],[RDS(on) Loss BoSync]]*(1+RdsonBotTc*Ta-RdsonBotTc*25))/(1-Table1[[#This Row],[RDS(on) Loss BoSync]]*RdsonBotTc*ThetaJA_Q3)</f>
        <v>0.7157083967289497</v>
      </c>
      <c r="AY99" s="354">
        <f>CHOOSE(Table1[[#This Row],[Mode Digit]], Rdson3*Table1[[#This Row],[Irms Lf]]^2, Rdson1*Table1[[#This Row],[Irms Lf]]^2, 0)</f>
        <v>0.61079255095775864</v>
      </c>
      <c r="AZ99" s="354">
        <f>CHOOSE(Table1[[#This Row],[Mode Digit]], 2*Deadtime*Fsw*IF(VfdSky_Q2&gt;0,VfdSky_Q2,0)*Table1[[#This Row],[Iout]], 2*Deadtime*Fsw*IF(VfdSky_Q3&gt;0,VfdSky_Q3,0)*Table1[[#This Row],[Iin]], 2*Deadtime*Fsw*IF(VfdSky_Q2&gt;0,VfdSky_Q2,0)*Table1[[#This Row],[Iout]]+2*Deadtime*Fsw*IF(VfdSky_Q3&gt;0,VfdSky_Q3,0)*Table1[[#This Row],[Iin]])</f>
        <v>0</v>
      </c>
      <c r="BA99" s="354">
        <f>CHOOSE(Table1[[#This Row],[Mode Digit]], IF(QrrSky_Q2&gt;0,QrrSky_Q2,Qrr_Q2)*Fsw*(Table1[[#This Row],[Vin]]-Table1[[#This Row],[Iout]]*Rdson1),0,  IF(QrrSky_Q2&gt;0,QrrSky_Q2,Qrr_Q2)*Fsw*(Table1[[#This Row],[Vin]]-Table1[[#This Row],[Iout]]*Rdson1)+IF(QrrSky_Q3&gt;0,QrrSky_Q3,Qrr_Q3)*Fsw*Vout)</f>
        <v>0.31499520000000003</v>
      </c>
      <c r="BB99" s="354">
        <f>CHOOSE(Table1[[#This Row],[Mode Digit]],0, IF(QrrSky_Q3&gt;0,QrrSky_Q3,Qrr_Q3)*Fsw*Vout,  IF(QrrSky_Q2&gt;0,QrrSky_Q2,Qrr_Q2)*Fsw*(Table1[[#This Row],[Vin]]-Table1[[#This Row],[Iout]]*Rdson1)+IF(QrrSky_Q3&gt;0,QrrSky_Q3,Qrr_Q3)*Fsw*Vout)</f>
        <v>0</v>
      </c>
      <c r="BC99" s="354">
        <f>CHOOSE(Table1[[#This Row],[Mode Digit]], Rs*Table1[[#This Row],[Irms BuSync]]^2, Rs*Table1[[#This Row],[Irms BoCtlr]]^2, Rs*(Table1[[#This Row],[Irms BuSync]]^2+Table1[[#This Row],[Irms BoCtlr]]^2))</f>
        <v>0.15989767556677256</v>
      </c>
      <c r="BD99" s="354">
        <f t="shared" si="5"/>
        <v>1.44</v>
      </c>
      <c r="BE99" s="354">
        <f>IF(Vout&gt;8, Iq*Vout, Iq*Table1[[#This Row],[Vin]])</f>
        <v>4.3799999999999999E-2</v>
      </c>
      <c r="BF99" s="354">
        <f>CHOOSE(Table1[[#This Row],[Mode Digit]], (Qg_Q1+Qg_Q2)*Fsw, (Qg_Q3+Qg_Q4)*Fsw, (Qg_Q1+Qg_Q2+Qg_Q3+Qg_Q4)*Fsw)*IF(Vout&gt;8, Vout, Table1[[#This Row],[Vin]])</f>
        <v>0.47303999999999996</v>
      </c>
      <c r="BG99" s="354">
        <f t="shared" si="6"/>
        <v>0.57269042016806726</v>
      </c>
      <c r="BH99" s="354">
        <f>Table1[[#This Row],[IQ Loss]]+Table1[[#This Row],[Switching Current Loss]]</f>
        <v>0.51683999999999997</v>
      </c>
      <c r="BI9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9.6649404962794261</v>
      </c>
      <c r="BJ99">
        <f>Vout*Table1[[#This Row],[Iout]]</f>
        <v>175.2</v>
      </c>
      <c r="BK99" s="550">
        <f>Table1[[#This Row],[Pout]]/(Table1[[#This Row],[Pout]]+Table1[[#This Row],[Total Loss]])</f>
        <v>0.94771891051741131</v>
      </c>
      <c r="BL9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226.94259748894405</v>
      </c>
      <c r="BM99" s="559">
        <f>IF(Table1[[#This Row],[Vin]]&gt;Vout, Table1[[#This Row],[Total Sync Bu MOSFET Loss]]*ThetaJA_Q2, ThetaJA_Q3*Table1[[#This Row],[Total Sync Bo MOSFET Loss]])</f>
        <v>54.25802669466065</v>
      </c>
      <c r="BN99" s="9"/>
      <c r="BO99" s="4">
        <f>Table1[[#This Row],[EFF, h]]*100</f>
        <v>94.771891051741136</v>
      </c>
      <c r="BP99" s="354">
        <f>Table1[[#This Row],[Total Inductor Loss]]</f>
        <v>1.7520287433850754</v>
      </c>
      <c r="BQ99" s="354">
        <f>Table1[[#This Row],[Total Control Bu MOSFET Loss]]+Table1[[#This Row],[Total Sync Bu MOSFET Loss]]+Table1[[#This Row],[Total Control Bo MOSFET Loss]]+Table1[[#This Row],[Total Sync Bo MOSFET Loss]]+Table1[[#This Row],[Reverse Recovery Loss MOSFET D BUCK]]+Table1[[#This Row],[Reverse Recovery Loss MOSFET D BOOST]]</f>
        <v>5.7173806664556945</v>
      </c>
      <c r="BR99" s="354">
        <f>Table1[[#This Row],[Total Control Bu MOSFET Loss]]+Table1[[#This Row],[Reverse Recovery Loss MOSFET D BUCK]]*0.66</f>
        <v>3.9902734568157339</v>
      </c>
      <c r="BS99" s="354">
        <f>Table1[[#This Row],[Total Sync Bu MOSFET Loss]]+Table1[[#This Row],[Reverse Recovery Loss MOSFET D BUCK]]*0.33</f>
        <v>1.0082488609110107</v>
      </c>
      <c r="BT99" s="354">
        <f xml:space="preserve"> Table1[[#This Row],[Total Control Bo MOSFET Loss]]+Table1[[#This Row],[Reverse Recovery Loss MOSFET D BOOST]]*0.66</f>
        <v>0</v>
      </c>
      <c r="BU99" s="354">
        <f xml:space="preserve"> Table1[[#This Row],[Total Sync Bo MOSFET Loss]]+Table1[[#This Row],[Reverse Recovery Loss MOSFET D BOOST]]*0.33</f>
        <v>0.7157083967289497</v>
      </c>
      <c r="BV99" s="354">
        <f>Table1[[#This Row],[Isense Shunt Loss]]</f>
        <v>0.15989767556677256</v>
      </c>
      <c r="CB99" s="18"/>
      <c r="CC99" s="19"/>
    </row>
    <row r="100" spans="7:81" x14ac:dyDescent="0.2">
      <c r="G100">
        <v>91</v>
      </c>
      <c r="H100" s="555">
        <f>VIN_min+(VIN_max-VIN_min)*(Table1[[#This Row],[Step]]/200)</f>
        <v>26.37</v>
      </c>
      <c r="I100" s="4" t="str">
        <f>IF(Mode = 2,IF(Table1[[#This Row],[Vin]]&gt;Vout, "BUCK","BOOST"),IF(Table1[[#This Row],[Vin]]&gt;VIN_BB_to_buck, "BUCK", IF(Table1[[#This Row],[Vin]]&lt;=VIN_boost_to_BB,"BOOST","BUCK-BST")))</f>
        <v>BUCK</v>
      </c>
      <c r="J100">
        <f>IF(Table1[[#This Row],[Mode]]="BOOST",2, IF(Table1[[#This Row],[Mode]]="BUCK", 1,3))</f>
        <v>1</v>
      </c>
      <c r="K100">
        <f t="shared" si="4"/>
        <v>12</v>
      </c>
      <c r="L100" s="4">
        <f>Vout*Table1[[#This Row],[Iout]]/(Table1[[#This Row],[Vin]]*Efficiency)</f>
        <v>6.9935931980120944</v>
      </c>
      <c r="M100" s="711">
        <f>MIN(1/Fsw,CHOOSE(Table1[[#This Row],[Mode Digit]],(Vout+(Rdson2+Rs+Rdcr)*Table1[[#This Row],[Iout]])/(Table1[[#This Row],[Vin]]+(Rs+Rdson2-Rdson1)*Table1[[#This Row],[Iout]])/Fsw,(Vout+(Rdson3+Rdcr)*Table1[[#This Row],[Iin]]-Table1[[#This Row],[Vin]])/(Vout+(Rdson3-Rdson4-Rs)*Table1[[#This Row],[Iin]])/Fsw,t1_Ph_II))</f>
        <v>9.3118686868686874E-7</v>
      </c>
      <c r="N100" s="602">
        <f>CHOOSE(Table1[[#This Row],[Mode Digit]],1/Fsw-Table1[[#This Row],[t1_Ph_II]],1/Fsw-Table1[[#This Row],[t1_Ph_II]],(Vout/Fsw-Table1[[#This Row],[Vin]]*t1_Ph_II)/(Table1[[#This Row],[Vin]]+Vout))</f>
        <v>7.3547979797979792E-7</v>
      </c>
      <c r="O100" s="602">
        <f>1/Fsw-(Table1[[#This Row],[t1_Ph_II]]+Table1[[#This Row],[t2_Ph_I]])</f>
        <v>0</v>
      </c>
      <c r="P10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9.9242292718855225</v>
      </c>
      <c r="Q100" s="4">
        <f>CHOOSE(Table1[[#This Row],[Mode Digit]],Table1[[#This Row],[I_0]]+1/Lf*(Table1[[#This Row],[Vin]]-Vout)*Table1[[#This Row],[t1_Ph_II]],Table1[[#This Row],[I_0]]+1/Lf*Table1[[#This Row],[Vin]]*Table1[[#This Row],[t1_Ph_II]],Table1[[#This Row],[I_0]]+(Table1[[#This Row],[Vin]]-Vout)/L*Table1[[#This Row],[t1_Ph_II]])</f>
        <v>14.075770728114479</v>
      </c>
      <c r="R100" s="4">
        <f>CHOOSE(Table1[[#This Row],[Mode Digit]],0,0,Table1[[#This Row],[I_1]]+Table1[[#This Row],[Vin]]/L*Table1[[#This Row],[t2_Ph_I]])</f>
        <v>0</v>
      </c>
      <c r="S100" s="4">
        <f>Fsw*(Table1[[#This Row],[I_0]]*Table1[[#This Row],[t1_Ph_II]]+Table1[[#This Row],[I_1]]*Table1[[#This Row],[t2_Ph_I]]+Table1[[#This Row],[I_2]]*Table1[[#This Row],[t3_Ph_III]])</f>
        <v>11.75625419480474</v>
      </c>
      <c r="T100" s="354">
        <f>MIN(1,CHOOSE(Table1[[#This Row],[Mode Digit]],(Vout+(Rdson2+Rs+Rdcr)*Table1[[#This Row],[Iout]])/(Table1[[#This Row],[Vin]]+(Rs+Rdson2-Rdson1)*Table1[[#This Row],[Iout]]),1,Fsw*Table1[[#This Row],[t2_Ph_I]]+Table1[[#This Row],[t1_Ph_II]]))</f>
        <v>0.55871212121212122</v>
      </c>
      <c r="U100" s="354">
        <f>MIN(1,CHOOSE(Table1[[#This Row],[Mode Digit]],0,(Vout+(Rdson3+Rdcr)*Table1[[#This Row],[Iin]]-Table1[[#This Row],[Vin]])/(Vout+(Rdson3-Rdson4-Rs)*Table1[[#This Row],[Iin]]),Fsw*Table1[[#This Row],[t1_Ph_II]]+Table1[[#This Row],[t3_Ph_III]]))</f>
        <v>0</v>
      </c>
      <c r="V100" s="4">
        <f>MAX(Table1[[#This Row],[I_0]:[I_2]])-MIN(Table1[[#This Row],[I_0]:[I_1]])</f>
        <v>4.1515414562289568</v>
      </c>
      <c r="W10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12.059696294071104</v>
      </c>
      <c r="X100" s="354">
        <f>(Table1[[#This Row],[Irms Lf]]^2*Rdcr*(1+Ltc*Ta-Ltc*25))/(1-Table1[[#This Row],[Irms Lf]]^2*Rdcr*Ltc*ThetaCa)</f>
        <v>0.90457319170291262</v>
      </c>
      <c r="Y100" s="354">
        <f>ABS(7.759*10^-3*Fsw^0.9458*(0.00787*Table1[[#This Row],[Ripple Current pk-pk]])^2.304)</f>
        <v>0.85400693445127351</v>
      </c>
      <c r="Z100" s="354">
        <f>Table1[[#This Row],[DCR    Loss]]+Table1[[#This Row],[Core Loss]]</f>
        <v>1.758580126154186</v>
      </c>
      <c r="AA100" s="4">
        <f>IF(Table1[[#This Row],[Vin]]&gt;Vout, Table1[[#This Row],[Ripple Current pk-pk]]/SQRT(12), SQRT(Table1[[#This Row],[Duty Cycle BOOST Leg]]/(1-Table1[[#This Row],[Duty Cycle BOOST Leg]]))*SQRT(Table1[[#This Row],[Iout]]^2+(Table1[[#This Row],[Ripple Current pk-pk]]^2)/12))</f>
        <v>1.1984467886528396</v>
      </c>
      <c r="AB100" s="354">
        <f>RCoutEsr*Table1[[#This Row],[Irms Cout]]^2</f>
        <v>7.1813735261615202E-3</v>
      </c>
      <c r="AC100" s="354">
        <f>Table1[[#This Row],[Cout ESR Loss]]</f>
        <v>7.1813735261615202E-3</v>
      </c>
      <c r="AD100" s="354">
        <f>IF(Table1[[#This Row],[Vin]]&gt;Vout, SQRT(Table1[[#This Row],[Duty Cycle BUCK Leg]]*(1-Table1[[#This Row],[Duty Cycle BUCK Leg]]))*SQRT(Table1[[#This Row],[Iout]]^2+(Table1[[#This Row],[Ripple Current pk-pk]]^2)/12), Table1[[#This Row],[Ripple Current pk-pk]]/SQRT(12))</f>
        <v>5.9881327120668333</v>
      </c>
      <c r="AE100" s="354">
        <f>RCinEsr*Table1[[#This Row],[Irms Cin]]^2</f>
        <v>7.1715466754649779E-2</v>
      </c>
      <c r="AF100" s="549">
        <f>Table1[[#This Row],[Cin ESR Loss]]</f>
        <v>7.1715466754649779E-2</v>
      </c>
      <c r="AG10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9.0142669996927172</v>
      </c>
      <c r="AH100" s="354">
        <f>Rdson1*Table1[[#This Row],[Irms BuCtrl]]^2</f>
        <v>0.34127944007534644</v>
      </c>
      <c r="AI100" s="354">
        <f>CHOOSE(Table1[[#This Row],[Mode Digit]], (Table1[[#This Row],[Vin]]*Table1[[#This Row],[Iout]]/2)*(Fsw)*(Tr_buck+Tf_buck), 0, (Table1[[#This Row],[Vin]]*Table1[[#This Row],[Avg IL]]/2)*(Fsw/1)*(Tr_buck+Tf_buck))</f>
        <v>3.1379351553849268</v>
      </c>
      <c r="AJ100">
        <f>IF(Table1[[#This Row],[Vin]]&gt;Vout, IF(Table1[[#This Row],[Iout]]&gt;Table1[[#This Row],[Ripple Current pk-pk]]/2,0,ABS(Table1[[#This Row],[Iout]]-Table1[[#This Row],[Ripple Current pk-pk]]/2)*Vsd_Q1*Deadtime*Fsw),0)</f>
        <v>0</v>
      </c>
      <c r="AK100" s="354">
        <f>(Table1[[#This Row],[Dead Time Loss BuCtrl]]+Table1[[#This Row],[Transition Loss BuCtrl]]+Table1[[#This Row],[RDS(on) Loss BuCtrl]]*(1+RdsonTopTc*Ta-RdsonTopTc*25))/(1-Table1[[#This Row],[RDS(on) Loss BuCtrl]]*RdsonTopTc*ThetaJA_Q1)</f>
        <v>3.7896104687948258</v>
      </c>
      <c r="AL100" s="354">
        <f>CHOOSE(Table1[[#This Row],[Mode Digit]],SQRT((Fsw*(Table1[[#This Row],[t2_Ph_I]]+0))*((Table1[[#This Row],[I_0]]*Table1[[#This Row],[I_1]]+((Table1[[#This Row],[I_0]]-Table1[[#This Row],[I_1]])^2)/3))),0,SQRT((Fsw*(Table1[[#This Row],[t3_Ph_III]]+0))*((Table1[[#This Row],[I_0]]*Table1[[#This Row],[I_2]]+((Table1[[#This Row],[I_0]]-Table1[[#This Row],[I_2]])^2)/3))))</f>
        <v>8.0111962379836381</v>
      </c>
      <c r="AM100" s="354">
        <f>Rdson2*Table1[[#This Row],[Irms BuSync]]^2</f>
        <v>0.26955291368662948</v>
      </c>
      <c r="AN10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0" s="354">
        <f>(Table1[[#This Row],[Deadtime Loss BuSync]]+Table1[[#This Row],[RDS(on) Loss BuSync]]*(1+RdsonBotTc*Ta-RdsonBotTc*25))/(1-Table1[[#This Row],[RDS(on) Loss BuSync]]*RdsonBotTc*ThetaJA_Q2)</f>
        <v>0.90550382918045602</v>
      </c>
      <c r="AP100" s="354">
        <f>CHOOSE(Table1[[#This Row],[Mode Digit]],0,SQRT((Fsw*(Table1[[#This Row],[t1_Ph_II]]+0))*((Table1[[#This Row],[I_0]]*Table1[[#This Row],[I_1]]+((Table1[[#This Row],[I_0]]-Table1[[#This Row],[I_1]])^2)/3))),SQRT((Fsw*(Table1[[#This Row],[t2_Ph_I]]+0))*((Table1[[#This Row],[I_1]]*Table1[[#This Row],[I_2]]+((Table1[[#This Row],[I_1]]-Table1[[#This Row],[I_2]])^2)/3))))</f>
        <v>0</v>
      </c>
      <c r="AQ100" s="354">
        <f>Rdson4*Table1[[#This Row],[Irms BoCtlr]]^2</f>
        <v>0</v>
      </c>
      <c r="AR100" s="354">
        <f>CHOOSE(Table1[[#This Row],[Mode Digit]], 0, (Vout*Table1[[#This Row],[Iin]]/2)*(Fsw)*(Tr_boost+Tf_boost), (Vout*Iout/2)*(Fsw/1)*(Tr_boost+Tf_boost))</f>
        <v>0</v>
      </c>
      <c r="AS100">
        <f>IF(Table1[[#This Row],[Vin]]&gt;Vout, 0, IF(Table1[[#This Row],[Iin]]&gt;Table1[[#This Row],[Ripple Current pk-pk]]/2,0,ABS(Table1[[#This Row],[Iin]]-Table1[[#This Row],[Ripple Current pk-pk]]/2)*Vsd_Q4*Deadtime*Fsw))</f>
        <v>0</v>
      </c>
      <c r="AT100" s="354">
        <f>(Table1[[#This Row],[Dead Time Loss BoCtlr]]+Table1[[#This Row],[Transition Loss BoCtlr]]+Table1[[#This Row],[RDS(on) Loss BoCtlr]]*(1+RdsonTopTc*Ta-RdsonTopTc*25))/(1-Table1[[#This Row],[RDS(on) Loss BoCtlr]]*RdsonTopTc*ThetaJA_Q4)</f>
        <v>0</v>
      </c>
      <c r="AU10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12.059696294071104</v>
      </c>
      <c r="AV100" s="354">
        <f>Rdson3*Table1[[#This Row],[Irms BoSync]]^2</f>
        <v>0.61083235376197587</v>
      </c>
      <c r="AW10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0" s="354">
        <f>(Table1[[#This Row],[Deadtime Loss BoSync]]+Table1[[#This Row],[RDS(on) Loss BoSync]]*(1+RdsonBotTc*Ta-RdsonBotTc*25))/(1-Table1[[#This Row],[RDS(on) Loss BoSync]]*RdsonBotTc*ThetaJA_Q3)</f>
        <v>0.71576304838075977</v>
      </c>
      <c r="AY100" s="354">
        <f>CHOOSE(Table1[[#This Row],[Mode Digit]], Rdson3*Table1[[#This Row],[Irms Lf]]^2, Rdson1*Table1[[#This Row],[Irms Lf]]^2, 0)</f>
        <v>0.61083235376197587</v>
      </c>
      <c r="AZ100" s="354">
        <f>CHOOSE(Table1[[#This Row],[Mode Digit]], 2*Deadtime*Fsw*IF(VfdSky_Q2&gt;0,VfdSky_Q2,0)*Table1[[#This Row],[Iout]], 2*Deadtime*Fsw*IF(VfdSky_Q3&gt;0,VfdSky_Q3,0)*Table1[[#This Row],[Iin]], 2*Deadtime*Fsw*IF(VfdSky_Q2&gt;0,VfdSky_Q2,0)*Table1[[#This Row],[Iout]]+2*Deadtime*Fsw*IF(VfdSky_Q3&gt;0,VfdSky_Q3,0)*Table1[[#This Row],[Iin]])</f>
        <v>0</v>
      </c>
      <c r="BA100" s="354">
        <f>CHOOSE(Table1[[#This Row],[Mode Digit]], IF(QrrSky_Q2&gt;0,QrrSky_Q2,Qrr_Q2)*Fsw*(Table1[[#This Row],[Vin]]-Table1[[#This Row],[Iout]]*Rdson1),0,  IF(QrrSky_Q2&gt;0,QrrSky_Q2,Qrr_Q2)*Fsw*(Table1[[#This Row],[Vin]]-Table1[[#This Row],[Iout]]*Rdson1)+IF(QrrSky_Q3&gt;0,QrrSky_Q3,Qrr_Q3)*Fsw*Vout)</f>
        <v>0.31583520000000004</v>
      </c>
      <c r="BB100" s="354">
        <f>CHOOSE(Table1[[#This Row],[Mode Digit]],0, IF(QrrSky_Q3&gt;0,QrrSky_Q3,Qrr_Q3)*Fsw*Vout,  IF(QrrSky_Q2&gt;0,QrrSky_Q2,Qrr_Q2)*Fsw*(Table1[[#This Row],[Vin]]-Table1[[#This Row],[Iout]]*Rdson1)+IF(QrrSky_Q3&gt;0,QrrSky_Q3,Qrr_Q3)*Fsw*Vout)</f>
        <v>0</v>
      </c>
      <c r="BC100" s="354">
        <f>CHOOSE(Table1[[#This Row],[Mode Digit]], Rs*Table1[[#This Row],[Irms BuSync]]^2, Rs*Table1[[#This Row],[Irms BoCtlr]]^2, Rs*(Table1[[#This Row],[Irms BuSync]]^2+Table1[[#This Row],[Irms BoCtlr]]^2))</f>
        <v>0.16044816290870798</v>
      </c>
      <c r="BD100" s="354">
        <f t="shared" si="5"/>
        <v>1.44</v>
      </c>
      <c r="BE100" s="354">
        <f>IF(Vout&gt;8, Iq*Vout, Iq*Table1[[#This Row],[Vin]])</f>
        <v>4.3799999999999999E-2</v>
      </c>
      <c r="BF100" s="354">
        <f>CHOOSE(Table1[[#This Row],[Mode Digit]], (Qg_Q1+Qg_Q2)*Fsw, (Qg_Q3+Qg_Q4)*Fsw, (Qg_Q1+Qg_Q2+Qg_Q3+Qg_Q4)*Fsw)*IF(Vout&gt;8, Vout, Table1[[#This Row],[Vin]])</f>
        <v>0.47303999999999996</v>
      </c>
      <c r="BG100" s="354">
        <f t="shared" si="6"/>
        <v>0.57269042016806726</v>
      </c>
      <c r="BH100" s="354">
        <f>Table1[[#This Row],[IQ Loss]]+Table1[[#This Row],[Switching Current Loss]]</f>
        <v>0.51683999999999997</v>
      </c>
      <c r="BI10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9.681477675699746</v>
      </c>
      <c r="BJ100">
        <f>Vout*Table1[[#This Row],[Iout]]</f>
        <v>175.2</v>
      </c>
      <c r="BK100" s="550">
        <f>Table1[[#This Row],[Pout]]/(Table1[[#This Row],[Pout]]+Table1[[#This Row],[Total Loss]])</f>
        <v>0.94763413946375963</v>
      </c>
      <c r="BL10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227.37662812768954</v>
      </c>
      <c r="BM100" s="559">
        <f>IF(Table1[[#This Row],[Vin]]&gt;Vout, Table1[[#This Row],[Total Sync Bu MOSFET Loss]]*ThetaJA_Q2, ThetaJA_Q3*Table1[[#This Row],[Total Sync Bo MOSFET Loss]])</f>
        <v>54.330229750827364</v>
      </c>
      <c r="BN100" s="9"/>
      <c r="BO100" s="4">
        <f>Table1[[#This Row],[EFF, h]]*100</f>
        <v>94.763413946375962</v>
      </c>
      <c r="BP100" s="354">
        <f>Table1[[#This Row],[Total Inductor Loss]]</f>
        <v>1.758580126154186</v>
      </c>
      <c r="BQ100" s="354">
        <f>Table1[[#This Row],[Total Control Bu MOSFET Loss]]+Table1[[#This Row],[Total Sync Bu MOSFET Loss]]+Table1[[#This Row],[Total Control Bo MOSFET Loss]]+Table1[[#This Row],[Total Sync Bo MOSFET Loss]]+Table1[[#This Row],[Reverse Recovery Loss MOSFET D BUCK]]+Table1[[#This Row],[Reverse Recovery Loss MOSFET D BOOST]]</f>
        <v>5.7267125463560422</v>
      </c>
      <c r="BR100" s="354">
        <f>Table1[[#This Row],[Total Control Bu MOSFET Loss]]+Table1[[#This Row],[Reverse Recovery Loss MOSFET D BUCK]]*0.66</f>
        <v>3.9980617007948256</v>
      </c>
      <c r="BS100" s="354">
        <f>Table1[[#This Row],[Total Sync Bu MOSFET Loss]]+Table1[[#This Row],[Reverse Recovery Loss MOSFET D BUCK]]*0.33</f>
        <v>1.0097294451804562</v>
      </c>
      <c r="BT100" s="354">
        <f xml:space="preserve"> Table1[[#This Row],[Total Control Bo MOSFET Loss]]+Table1[[#This Row],[Reverse Recovery Loss MOSFET D BOOST]]*0.66</f>
        <v>0</v>
      </c>
      <c r="BU100" s="354">
        <f xml:space="preserve"> Table1[[#This Row],[Total Sync Bo MOSFET Loss]]+Table1[[#This Row],[Reverse Recovery Loss MOSFET D BOOST]]*0.33</f>
        <v>0.71576304838075977</v>
      </c>
      <c r="BV100" s="354">
        <f>Table1[[#This Row],[Isense Shunt Loss]]</f>
        <v>0.16044816290870798</v>
      </c>
      <c r="CB100" s="18"/>
      <c r="CC100" s="19"/>
    </row>
    <row r="101" spans="7:81" x14ac:dyDescent="0.2">
      <c r="G101">
        <v>92</v>
      </c>
      <c r="H101" s="555">
        <f>VIN_min+(VIN_max-VIN_min)*(Table1[[#This Row],[Step]]/200)</f>
        <v>26.44</v>
      </c>
      <c r="I101" s="4" t="str">
        <f>IF(Mode = 2,IF(Table1[[#This Row],[Vin]]&gt;Vout, "BUCK","BOOST"),IF(Table1[[#This Row],[Vin]]&gt;VIN_BB_to_buck, "BUCK", IF(Table1[[#This Row],[Vin]]&lt;=VIN_boost_to_BB,"BOOST","BUCK-BST")))</f>
        <v>BUCK</v>
      </c>
      <c r="J101">
        <f>IF(Table1[[#This Row],[Mode]]="BOOST",2, IF(Table1[[#This Row],[Mode]]="BUCK", 1,3))</f>
        <v>1</v>
      </c>
      <c r="K101">
        <f t="shared" si="4"/>
        <v>12</v>
      </c>
      <c r="L101" s="4">
        <f>Vout*Table1[[#This Row],[Iout]]/(Table1[[#This Row],[Vin]]*Efficiency)</f>
        <v>6.9750776335695512</v>
      </c>
      <c r="M101" s="711">
        <f>MIN(1/Fsw,CHOOSE(Table1[[#This Row],[Mode Digit]],(Vout+(Rdson2+Rs+Rdcr)*Table1[[#This Row],[Iout]])/(Table1[[#This Row],[Vin]]+(Rs+Rdson2-Rdson1)*Table1[[#This Row],[Iout]])/Fsw,(Vout+(Rdson3+Rdcr)*Table1[[#This Row],[Iin]]-Table1[[#This Row],[Vin]])/(Vout+(Rdson3-Rdson4-Rs)*Table1[[#This Row],[Iin]])/Fsw,t1_Ph_II))</f>
        <v>9.2872434202241524E-7</v>
      </c>
      <c r="N101" s="602">
        <f>CHOOSE(Table1[[#This Row],[Mode Digit]],1/Fsw-Table1[[#This Row],[t1_Ph_II]],1/Fsw-Table1[[#This Row],[t1_Ph_II]],(Vout/Fsw-Table1[[#This Row],[Vin]]*t1_Ph_II)/(Table1[[#This Row],[Vin]]+Vout))</f>
        <v>7.3794232464425142E-7</v>
      </c>
      <c r="O101" s="602">
        <f>1/Fsw-(Table1[[#This Row],[t1_Ph_II]]+Table1[[#This Row],[t2_Ph_I]])</f>
        <v>0</v>
      </c>
      <c r="P10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9.917406020919433</v>
      </c>
      <c r="Q101" s="4">
        <f>CHOOSE(Table1[[#This Row],[Mode Digit]],Table1[[#This Row],[I_0]]+1/Lf*(Table1[[#This Row],[Vin]]-Vout)*Table1[[#This Row],[t1_Ph_II]],Table1[[#This Row],[I_0]]+1/Lf*Table1[[#This Row],[Vin]]*Table1[[#This Row],[t1_Ph_II]],Table1[[#This Row],[I_0]]+(Table1[[#This Row],[Vin]]-Vout)/L*Table1[[#This Row],[t1_Ph_II]])</f>
        <v>14.082593979080569</v>
      </c>
      <c r="R101" s="4">
        <f>CHOOSE(Table1[[#This Row],[Mode Digit]],0,0,Table1[[#This Row],[I_1]]+Table1[[#This Row],[Vin]]/L*Table1[[#This Row],[t2_Ph_I]])</f>
        <v>0</v>
      </c>
      <c r="S101" s="4">
        <f>Fsw*(Table1[[#This Row],[I_0]]*Table1[[#This Row],[t1_Ph_II]]+Table1[[#This Row],[I_1]]*Table1[[#This Row],[t2_Ph_I]]+Table1[[#This Row],[I_2]]*Table1[[#This Row],[t3_Ph_III]])</f>
        <v>11.761607111574834</v>
      </c>
      <c r="T101" s="354">
        <f>MIN(1,CHOOSE(Table1[[#This Row],[Mode Digit]],(Vout+(Rdson2+Rs+Rdcr)*Table1[[#This Row],[Iout]])/(Table1[[#This Row],[Vin]]+(Rs+Rdson2-Rdson1)*Table1[[#This Row],[Iout]]),1,Fsw*Table1[[#This Row],[t2_Ph_I]]+Table1[[#This Row],[t1_Ph_II]]))</f>
        <v>0.55723460521344914</v>
      </c>
      <c r="U101" s="354">
        <f>MIN(1,CHOOSE(Table1[[#This Row],[Mode Digit]],0,(Vout+(Rdson3+Rdcr)*Table1[[#This Row],[Iin]]-Table1[[#This Row],[Vin]])/(Vout+(Rdson3-Rdson4-Rs)*Table1[[#This Row],[Iin]]),Fsw*Table1[[#This Row],[t1_Ph_II]]+Table1[[#This Row],[t3_Ph_III]]))</f>
        <v>0</v>
      </c>
      <c r="V101" s="4">
        <f>MAX(Table1[[#This Row],[I_0]:[I_2]])-MIN(Table1[[#This Row],[I_0]:[I_1]])</f>
        <v>4.1651879581611357</v>
      </c>
      <c r="W10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12.060088414293137</v>
      </c>
      <c r="X101" s="354">
        <f>(Table1[[#This Row],[Irms Lf]]^2*Rdcr*(1+Ltc*Ta-Ltc*25))/(1-Table1[[#This Row],[Irms Lf]]^2*Rdcr*Ltc*ThetaCa)</f>
        <v>0.90463627416843462</v>
      </c>
      <c r="Y101" s="354">
        <f>ABS(7.759*10^-3*Fsw^0.9458*(0.00787*Table1[[#This Row],[Ripple Current pk-pk]])^2.304)</f>
        <v>0.86048858958897401</v>
      </c>
      <c r="Z101" s="354">
        <f>Table1[[#This Row],[DCR    Loss]]+Table1[[#This Row],[Core Loss]]</f>
        <v>1.7651248637574086</v>
      </c>
      <c r="AA101" s="4">
        <f>IF(Table1[[#This Row],[Vin]]&gt;Vout, Table1[[#This Row],[Ripple Current pk-pk]]/SQRT(12), SQRT(Table1[[#This Row],[Duty Cycle BOOST Leg]]/(1-Table1[[#This Row],[Duty Cycle BOOST Leg]]))*SQRT(Table1[[#This Row],[Iout]]^2+(Table1[[#This Row],[Ripple Current pk-pk]]^2)/12))</f>
        <v>1.2023861944348597</v>
      </c>
      <c r="AB101" s="354">
        <f>RCoutEsr*Table1[[#This Row],[Irms Cout]]^2</f>
        <v>7.2286628028377219E-3</v>
      </c>
      <c r="AC101" s="354">
        <f>Table1[[#This Row],[Cout ESR Loss]]</f>
        <v>7.2286628028377219E-3</v>
      </c>
      <c r="AD101" s="354">
        <f>IF(Table1[[#This Row],[Vin]]&gt;Vout, SQRT(Table1[[#This Row],[Duty Cycle BUCK Leg]]*(1-Table1[[#This Row],[Duty Cycle BUCK Leg]]))*SQRT(Table1[[#This Row],[Iout]]^2+(Table1[[#This Row],[Ripple Current pk-pk]]^2)/12), Table1[[#This Row],[Ripple Current pk-pk]]/SQRT(12))</f>
        <v>5.9904074990340712</v>
      </c>
      <c r="AE101" s="354">
        <f>RCinEsr*Table1[[#This Row],[Irms Cin]]^2</f>
        <v>7.1769964008967277E-2</v>
      </c>
      <c r="AF101" s="549">
        <f>Table1[[#This Row],[Cin ESR Loss]]</f>
        <v>7.1769964008967277E-2</v>
      </c>
      <c r="AG10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9.0026326906838072</v>
      </c>
      <c r="AH101" s="354">
        <f>Rdson1*Table1[[#This Row],[Irms BuCtrl]]^2</f>
        <v>0.34039906052614888</v>
      </c>
      <c r="AI101" s="354">
        <f>CHOOSE(Table1[[#This Row],[Mode Digit]], (Table1[[#This Row],[Vin]]*Table1[[#This Row],[Iout]]/2)*(Fsw)*(Tr_buck+Tf_buck), 0, (Table1[[#This Row],[Vin]]*Table1[[#This Row],[Avg IL]]/2)*(Fsw/1)*(Tr_buck+Tf_buck))</f>
        <v>3.1462649036168933</v>
      </c>
      <c r="AJ101">
        <f>IF(Table1[[#This Row],[Vin]]&gt;Vout, IF(Table1[[#This Row],[Iout]]&gt;Table1[[#This Row],[Ripple Current pk-pk]]/2,0,ABS(Table1[[#This Row],[Iout]]-Table1[[#This Row],[Ripple Current pk-pk]]/2)*Vsd_Q1*Deadtime*Fsw),0)</f>
        <v>0</v>
      </c>
      <c r="AK101" s="354">
        <f>(Table1[[#This Row],[Dead Time Loss BuCtrl]]+Table1[[#This Row],[Transition Loss BuCtrl]]+Table1[[#This Row],[RDS(on) Loss BuCtrl]]*(1+RdsonTopTc*Ta-RdsonTopTc*25))/(1-Table1[[#This Row],[RDS(on) Loss BuCtrl]]*RdsonTopTc*ThetaJA_Q1)</f>
        <v>3.7968506159757478</v>
      </c>
      <c r="AL101" s="354">
        <f>CHOOSE(Table1[[#This Row],[Mode Digit]],SQRT((Fsw*(Table1[[#This Row],[t2_Ph_I]]+0))*((Table1[[#This Row],[I_0]]*Table1[[#This Row],[I_1]]+((Table1[[#This Row],[I_0]]-Table1[[#This Row],[I_1]])^2)/3))),0,SQRT((Fsw*(Table1[[#This Row],[t3_Ph_III]]+0))*((Table1[[#This Row],[I_0]]*Table1[[#This Row],[I_2]]+((Table1[[#This Row],[I_0]]-Table1[[#This Row],[I_2]])^2)/3))))</f>
        <v>8.024857456503435</v>
      </c>
      <c r="AM101" s="354">
        <f>Rdson2*Table1[[#This Row],[Irms BuSync]]^2</f>
        <v>0.27047301622823494</v>
      </c>
      <c r="AN10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1" s="354">
        <f>(Table1[[#This Row],[Deadtime Loss BuSync]]+Table1[[#This Row],[RDS(on) Loss BuSync]]*(1+RdsonBotTc*Ta-RdsonBotTc*25))/(1-Table1[[#This Row],[RDS(on) Loss BuSync]]*RdsonBotTc*ThetaJA_Q2)</f>
        <v>0.90670164360740579</v>
      </c>
      <c r="AP101" s="354">
        <f>CHOOSE(Table1[[#This Row],[Mode Digit]],0,SQRT((Fsw*(Table1[[#This Row],[t1_Ph_II]]+0))*((Table1[[#This Row],[I_0]]*Table1[[#This Row],[I_1]]+((Table1[[#This Row],[I_0]]-Table1[[#This Row],[I_1]])^2)/3))),SQRT((Fsw*(Table1[[#This Row],[t2_Ph_I]]+0))*((Table1[[#This Row],[I_1]]*Table1[[#This Row],[I_2]]+((Table1[[#This Row],[I_1]]-Table1[[#This Row],[I_2]])^2)/3))))</f>
        <v>0</v>
      </c>
      <c r="AQ101" s="354">
        <f>Rdson4*Table1[[#This Row],[Irms BoCtlr]]^2</f>
        <v>0</v>
      </c>
      <c r="AR101" s="354">
        <f>CHOOSE(Table1[[#This Row],[Mode Digit]], 0, (Vout*Table1[[#This Row],[Iin]]/2)*(Fsw)*(Tr_boost+Tf_boost), (Vout*Iout/2)*(Fsw/1)*(Tr_boost+Tf_boost))</f>
        <v>0</v>
      </c>
      <c r="AS101">
        <f>IF(Table1[[#This Row],[Vin]]&gt;Vout, 0, IF(Table1[[#This Row],[Iin]]&gt;Table1[[#This Row],[Ripple Current pk-pk]]/2,0,ABS(Table1[[#This Row],[Iin]]-Table1[[#This Row],[Ripple Current pk-pk]]/2)*Vsd_Q4*Deadtime*Fsw))</f>
        <v>0</v>
      </c>
      <c r="AT101" s="354">
        <f>(Table1[[#This Row],[Dead Time Loss BoCtlr]]+Table1[[#This Row],[Transition Loss BoCtlr]]+Table1[[#This Row],[RDS(on) Loss BoCtlr]]*(1+RdsonTopTc*Ta-RdsonTopTc*25))/(1-Table1[[#This Row],[RDS(on) Loss BoCtlr]]*RdsonTopTc*ThetaJA_Q4)</f>
        <v>0</v>
      </c>
      <c r="AU10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12.060088414293137</v>
      </c>
      <c r="AV101" s="354">
        <f>Rdson3*Table1[[#This Row],[Irms BoSync]]^2</f>
        <v>0.61087207675438382</v>
      </c>
      <c r="AW10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1" s="354">
        <f>(Table1[[#This Row],[Deadtime Loss BoSync]]+Table1[[#This Row],[RDS(on) Loss BoSync]]*(1+RdsonBotTc*Ta-RdsonBotTc*25))/(1-Table1[[#This Row],[RDS(on) Loss BoSync]]*RdsonBotTc*ThetaJA_Q3)</f>
        <v>0.71581759166598036</v>
      </c>
      <c r="AY101" s="354">
        <f>CHOOSE(Table1[[#This Row],[Mode Digit]], Rdson3*Table1[[#This Row],[Irms Lf]]^2, Rdson1*Table1[[#This Row],[Irms Lf]]^2, 0)</f>
        <v>0.61087207675438382</v>
      </c>
      <c r="AZ101" s="354">
        <f>CHOOSE(Table1[[#This Row],[Mode Digit]], 2*Deadtime*Fsw*IF(VfdSky_Q2&gt;0,VfdSky_Q2,0)*Table1[[#This Row],[Iout]], 2*Deadtime*Fsw*IF(VfdSky_Q3&gt;0,VfdSky_Q3,0)*Table1[[#This Row],[Iin]], 2*Deadtime*Fsw*IF(VfdSky_Q2&gt;0,VfdSky_Q2,0)*Table1[[#This Row],[Iout]]+2*Deadtime*Fsw*IF(VfdSky_Q3&gt;0,VfdSky_Q3,0)*Table1[[#This Row],[Iin]])</f>
        <v>0</v>
      </c>
      <c r="BA101" s="354">
        <f>CHOOSE(Table1[[#This Row],[Mode Digit]], IF(QrrSky_Q2&gt;0,QrrSky_Q2,Qrr_Q2)*Fsw*(Table1[[#This Row],[Vin]]-Table1[[#This Row],[Iout]]*Rdson1),0,  IF(QrrSky_Q2&gt;0,QrrSky_Q2,Qrr_Q2)*Fsw*(Table1[[#This Row],[Vin]]-Table1[[#This Row],[Iout]]*Rdson1)+IF(QrrSky_Q3&gt;0,QrrSky_Q3,Qrr_Q3)*Fsw*Vout)</f>
        <v>0.31667520000000005</v>
      </c>
      <c r="BB101" s="354">
        <f>CHOOSE(Table1[[#This Row],[Mode Digit]],0, IF(QrrSky_Q3&gt;0,QrrSky_Q3,Qrr_Q3)*Fsw*Vout,  IF(QrrSky_Q2&gt;0,QrrSky_Q2,Qrr_Q2)*Fsw*(Table1[[#This Row],[Vin]]-Table1[[#This Row],[Iout]]*Rdson1)+IF(QrrSky_Q3&gt;0,QrrSky_Q3,Qrr_Q3)*Fsw*Vout)</f>
        <v>0</v>
      </c>
      <c r="BC101" s="354">
        <f>CHOOSE(Table1[[#This Row],[Mode Digit]], Rs*Table1[[#This Row],[Irms BuSync]]^2, Rs*Table1[[#This Row],[Irms BoCtlr]]^2, Rs*(Table1[[#This Row],[Irms BuSync]]^2+Table1[[#This Row],[Irms BoCtlr]]^2))</f>
        <v>0.16099584299299696</v>
      </c>
      <c r="BD101" s="354">
        <f t="shared" si="5"/>
        <v>1.44</v>
      </c>
      <c r="BE101" s="354">
        <f>IF(Vout&gt;8, Iq*Vout, Iq*Table1[[#This Row],[Vin]])</f>
        <v>4.3799999999999999E-2</v>
      </c>
      <c r="BF101" s="354">
        <f>CHOOSE(Table1[[#This Row],[Mode Digit]], (Qg_Q1+Qg_Q2)*Fsw, (Qg_Q3+Qg_Q4)*Fsw, (Qg_Q1+Qg_Q2+Qg_Q3+Qg_Q4)*Fsw)*IF(Vout&gt;8, Vout, Table1[[#This Row],[Vin]])</f>
        <v>0.47303999999999996</v>
      </c>
      <c r="BG101" s="354">
        <f t="shared" si="6"/>
        <v>0.57269042016806726</v>
      </c>
      <c r="BH101" s="354">
        <f>Table1[[#This Row],[IQ Loss]]+Table1[[#This Row],[Switching Current Loss]]</f>
        <v>0.51683999999999997</v>
      </c>
      <c r="BI10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9.6980043848113429</v>
      </c>
      <c r="BJ101">
        <f>Vout*Table1[[#This Row],[Iout]]</f>
        <v>175.2</v>
      </c>
      <c r="BK101" s="550">
        <f>Table1[[#This Row],[Pout]]/(Table1[[#This Row],[Pout]]+Table1[[#This Row],[Total Loss]])</f>
        <v>0.94754943723120022</v>
      </c>
      <c r="BL10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227.81103695854486</v>
      </c>
      <c r="BM101" s="559">
        <f>IF(Table1[[#This Row],[Vin]]&gt;Vout, Table1[[#This Row],[Total Sync Bu MOSFET Loss]]*ThetaJA_Q2, ThetaJA_Q3*Table1[[#This Row],[Total Sync Bo MOSFET Loss]])</f>
        <v>54.402098616444349</v>
      </c>
      <c r="BN101" s="9"/>
      <c r="BO101" s="4">
        <f>Table1[[#This Row],[EFF, h]]*100</f>
        <v>94.754943723120022</v>
      </c>
      <c r="BP101" s="354">
        <f>Table1[[#This Row],[Total Inductor Loss]]</f>
        <v>1.7651248637574086</v>
      </c>
      <c r="BQ101" s="354">
        <f>Table1[[#This Row],[Total Control Bu MOSFET Loss]]+Table1[[#This Row],[Total Sync Bu MOSFET Loss]]+Table1[[#This Row],[Total Control Bo MOSFET Loss]]+Table1[[#This Row],[Total Sync Bo MOSFET Loss]]+Table1[[#This Row],[Reverse Recovery Loss MOSFET D BUCK]]+Table1[[#This Row],[Reverse Recovery Loss MOSFET D BOOST]]</f>
        <v>5.7360450512491337</v>
      </c>
      <c r="BR101" s="354">
        <f>Table1[[#This Row],[Total Control Bu MOSFET Loss]]+Table1[[#This Row],[Reverse Recovery Loss MOSFET D BUCK]]*0.66</f>
        <v>4.005856247975748</v>
      </c>
      <c r="BS101" s="354">
        <f>Table1[[#This Row],[Total Sync Bu MOSFET Loss]]+Table1[[#This Row],[Reverse Recovery Loss MOSFET D BUCK]]*0.33</f>
        <v>1.0112044596074059</v>
      </c>
      <c r="BT101" s="354">
        <f xml:space="preserve"> Table1[[#This Row],[Total Control Bo MOSFET Loss]]+Table1[[#This Row],[Reverse Recovery Loss MOSFET D BOOST]]*0.66</f>
        <v>0</v>
      </c>
      <c r="BU101" s="354">
        <f xml:space="preserve"> Table1[[#This Row],[Total Sync Bo MOSFET Loss]]+Table1[[#This Row],[Reverse Recovery Loss MOSFET D BOOST]]*0.33</f>
        <v>0.71581759166598036</v>
      </c>
      <c r="BV101" s="354">
        <f>Table1[[#This Row],[Isense Shunt Loss]]</f>
        <v>0.16099584299299696</v>
      </c>
      <c r="CB101" s="18"/>
      <c r="CC101" s="19"/>
    </row>
    <row r="102" spans="7:81" x14ac:dyDescent="0.2">
      <c r="G102">
        <v>93</v>
      </c>
      <c r="H102" s="555">
        <f>VIN_min+(VIN_max-VIN_min)*(Table1[[#This Row],[Step]]/200)</f>
        <v>26.51</v>
      </c>
      <c r="I102" s="4" t="str">
        <f>IF(Mode = 2,IF(Table1[[#This Row],[Vin]]&gt;Vout, "BUCK","BOOST"),IF(Table1[[#This Row],[Vin]]&gt;VIN_BB_to_buck, "BUCK", IF(Table1[[#This Row],[Vin]]&lt;=VIN_boost_to_BB,"BOOST","BUCK-BST")))</f>
        <v>BUCK</v>
      </c>
      <c r="J102">
        <f>IF(Table1[[#This Row],[Mode]]="BOOST",2, IF(Table1[[#This Row],[Mode]]="BUCK", 1,3))</f>
        <v>1</v>
      </c>
      <c r="K102">
        <f t="shared" si="4"/>
        <v>12</v>
      </c>
      <c r="L102" s="4">
        <f>Vout*Table1[[#This Row],[Iout]]/(Table1[[#This Row],[Vin]]*Efficiency)</f>
        <v>6.9566598503047503</v>
      </c>
      <c r="M102" s="711">
        <f>MIN(1/Fsw,CHOOSE(Table1[[#This Row],[Mode Digit]],(Vout+(Rdson2+Rs+Rdcr)*Table1[[#This Row],[Iout]])/(Table1[[#This Row],[Vin]]+(Rs+Rdson2-Rdson1)*Table1[[#This Row],[Iout]])/Fsw,(Vout+(Rdson3+Rdcr)*Table1[[#This Row],[Iin]]-Table1[[#This Row],[Vin]])/(Vout+(Rdson3-Rdson4-Rs)*Table1[[#This Row],[Iin]])/Fsw,t1_Ph_II))</f>
        <v>9.2627480532529507E-7</v>
      </c>
      <c r="N102" s="602">
        <f>CHOOSE(Table1[[#This Row],[Mode Digit]],1/Fsw-Table1[[#This Row],[t1_Ph_II]],1/Fsw-Table1[[#This Row],[t1_Ph_II]],(Vout/Fsw-Table1[[#This Row],[Vin]]*t1_Ph_II)/(Table1[[#This Row],[Vin]]+Vout))</f>
        <v>7.4039186134137159E-7</v>
      </c>
      <c r="O102" s="602">
        <f>1/Fsw-(Table1[[#This Row],[t1_Ph_II]]+Table1[[#This Row],[t2_Ph_I]])</f>
        <v>0</v>
      </c>
      <c r="P10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9.9106187629878288</v>
      </c>
      <c r="Q102" s="4">
        <f>CHOOSE(Table1[[#This Row],[Mode Digit]],Table1[[#This Row],[I_0]]+1/Lf*(Table1[[#This Row],[Vin]]-Vout)*Table1[[#This Row],[t1_Ph_II]],Table1[[#This Row],[I_0]]+1/Lf*Table1[[#This Row],[Vin]]*Table1[[#This Row],[t1_Ph_II]],Table1[[#This Row],[I_0]]+(Table1[[#This Row],[Vin]]-Vout)/L*Table1[[#This Row],[t1_Ph_II]])</f>
        <v>14.089381237012173</v>
      </c>
      <c r="R102" s="4">
        <f>CHOOSE(Table1[[#This Row],[Mode Digit]],0,0,Table1[[#This Row],[I_1]]+Table1[[#This Row],[Vin]]/L*Table1[[#This Row],[t2_Ph_I]])</f>
        <v>0</v>
      </c>
      <c r="S102" s="4">
        <f>Fsw*(Table1[[#This Row],[I_0]]*Table1[[#This Row],[t1_Ph_II]]+Table1[[#This Row],[I_1]]*Table1[[#This Row],[t2_Ph_I]]+Table1[[#This Row],[I_2]]*Table1[[#This Row],[t3_Ph_III]])</f>
        <v>11.766971798735645</v>
      </c>
      <c r="T102" s="354">
        <f>MIN(1,CHOOSE(Table1[[#This Row],[Mode Digit]],(Vout+(Rdson2+Rs+Rdcr)*Table1[[#This Row],[Iout]])/(Table1[[#This Row],[Vin]]+(Rs+Rdson2-Rdson1)*Table1[[#This Row],[Iout]]),1,Fsw*Table1[[#This Row],[t2_Ph_I]]+Table1[[#This Row],[t1_Ph_II]]))</f>
        <v>0.55576488319517703</v>
      </c>
      <c r="U102" s="354">
        <f>MIN(1,CHOOSE(Table1[[#This Row],[Mode Digit]],0,(Vout+(Rdson3+Rdcr)*Table1[[#This Row],[Iin]]-Table1[[#This Row],[Vin]])/(Vout+(Rdson3-Rdson4-Rs)*Table1[[#This Row],[Iin]]),Fsw*Table1[[#This Row],[t1_Ph_II]]+Table1[[#This Row],[t3_Ph_III]]))</f>
        <v>0</v>
      </c>
      <c r="V102" s="4">
        <f>MAX(Table1[[#This Row],[I_0]:[I_2]])-MIN(Table1[[#This Row],[I_0]:[I_1]])</f>
        <v>4.1787624740243441</v>
      </c>
      <c r="W10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12.060479730004918</v>
      </c>
      <c r="X102" s="354">
        <f>(Table1[[#This Row],[Irms Lf]]^2*Rdcr*(1+Ltc*Ta-Ltc*25))/(1-Table1[[#This Row],[Irms Lf]]^2*Rdcr*Ltc*ThetaCa)</f>
        <v>0.9046992298448373</v>
      </c>
      <c r="Y102" s="354">
        <f>ABS(7.759*10^-3*Fsw^0.9458*(0.00787*Table1[[#This Row],[Ripple Current pk-pk]])^2.304)</f>
        <v>0.8669635853812101</v>
      </c>
      <c r="Z102" s="354">
        <f>Table1[[#This Row],[DCR    Loss]]+Table1[[#This Row],[Core Loss]]</f>
        <v>1.7716628152260474</v>
      </c>
      <c r="AA102" s="4">
        <f>IF(Table1[[#This Row],[Vin]]&gt;Vout, Table1[[#This Row],[Ripple Current pk-pk]]/SQRT(12), SQRT(Table1[[#This Row],[Duty Cycle BOOST Leg]]/(1-Table1[[#This Row],[Duty Cycle BOOST Leg]]))*SQRT(Table1[[#This Row],[Iout]]^2+(Table1[[#This Row],[Ripple Current pk-pk]]^2)/12))</f>
        <v>1.2063048196287309</v>
      </c>
      <c r="AB102" s="354">
        <f>RCoutEsr*Table1[[#This Row],[Irms Cout]]^2</f>
        <v>7.2758565892975255E-3</v>
      </c>
      <c r="AC102" s="354">
        <f>Table1[[#This Row],[Cout ESR Loss]]</f>
        <v>7.2758565892975255E-3</v>
      </c>
      <c r="AD102" s="354">
        <f>IF(Table1[[#This Row],[Vin]]&gt;Vout, SQRT(Table1[[#This Row],[Duty Cycle BUCK Leg]]*(1-Table1[[#This Row],[Duty Cycle BUCK Leg]]))*SQRT(Table1[[#This Row],[Iout]]^2+(Table1[[#This Row],[Ripple Current pk-pk]]^2)/12), Table1[[#This Row],[Ripple Current pk-pk]]/SQRT(12))</f>
        <v>5.9926177630845965</v>
      </c>
      <c r="AE102" s="354">
        <f>RCinEsr*Table1[[#This Row],[Irms Cin]]^2</f>
        <v>7.182293530887407E-2</v>
      </c>
      <c r="AF102" s="549">
        <f>Table1[[#This Row],[Cin ESR Loss]]</f>
        <v>7.182293530887407E-2</v>
      </c>
      <c r="AG10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8.9910442273189073</v>
      </c>
      <c r="AH102" s="354">
        <f>Rdson1*Table1[[#This Row],[Irms BuCtrl]]^2</f>
        <v>0.33952328044993957</v>
      </c>
      <c r="AI102" s="354">
        <f>CHOOSE(Table1[[#This Row],[Mode Digit]], (Table1[[#This Row],[Vin]]*Table1[[#This Row],[Iout]]/2)*(Fsw)*(Tr_buck+Tf_buck), 0, (Table1[[#This Row],[Vin]]*Table1[[#This Row],[Avg IL]]/2)*(Fsw/1)*(Tr_buck+Tf_buck))</f>
        <v>3.1545946518488588</v>
      </c>
      <c r="AJ102">
        <f>IF(Table1[[#This Row],[Vin]]&gt;Vout, IF(Table1[[#This Row],[Iout]]&gt;Table1[[#This Row],[Ripple Current pk-pk]]/2,0,ABS(Table1[[#This Row],[Iout]]-Table1[[#This Row],[Ripple Current pk-pk]]/2)*Vsd_Q1*Deadtime*Fsw),0)</f>
        <v>0</v>
      </c>
      <c r="AK102" s="354">
        <f>(Table1[[#This Row],[Dead Time Loss BuCtrl]]+Table1[[#This Row],[Transition Loss BuCtrl]]+Table1[[#This Row],[RDS(on) Loss BuCtrl]]*(1+RdsonTopTc*Ta-RdsonTopTc*25))/(1-Table1[[#This Row],[RDS(on) Loss BuCtrl]]*RdsonTopTc*ThetaJA_Q1)</f>
        <v>3.8040970114536514</v>
      </c>
      <c r="AL102" s="354">
        <f>CHOOSE(Table1[[#This Row],[Mode Digit]],SQRT((Fsw*(Table1[[#This Row],[t2_Ph_I]]+0))*((Table1[[#This Row],[I_0]]*Table1[[#This Row],[I_1]]+((Table1[[#This Row],[I_0]]-Table1[[#This Row],[I_1]])^2)/3))),0,SQRT((Fsw*(Table1[[#This Row],[t3_Ph_III]]+0))*((Table1[[#This Row],[I_0]]*Table1[[#This Row],[I_2]]+((Table1[[#This Row],[I_0]]-Table1[[#This Row],[I_2]])^2)/3))))</f>
        <v>8.0384261531878778</v>
      </c>
      <c r="AM102" s="354">
        <f>Rdson2*Table1[[#This Row],[Irms BuSync]]^2</f>
        <v>0.27138843908507049</v>
      </c>
      <c r="AN10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2" s="354">
        <f>(Table1[[#This Row],[Deadtime Loss BuSync]]+Table1[[#This Row],[RDS(on) Loss BuSync]]*(1+RdsonBotTc*Ta-RdsonBotTc*25))/(1-Table1[[#This Row],[RDS(on) Loss BuSync]]*RdsonBotTc*ThetaJA_Q2)</f>
        <v>0.90789392745493303</v>
      </c>
      <c r="AP102" s="354">
        <f>CHOOSE(Table1[[#This Row],[Mode Digit]],0,SQRT((Fsw*(Table1[[#This Row],[t1_Ph_II]]+0))*((Table1[[#This Row],[I_0]]*Table1[[#This Row],[I_1]]+((Table1[[#This Row],[I_0]]-Table1[[#This Row],[I_1]])^2)/3))),SQRT((Fsw*(Table1[[#This Row],[t2_Ph_I]]+0))*((Table1[[#This Row],[I_1]]*Table1[[#This Row],[I_2]]+((Table1[[#This Row],[I_1]]-Table1[[#This Row],[I_2]])^2)/3))))</f>
        <v>0</v>
      </c>
      <c r="AQ102" s="354">
        <f>Rdson4*Table1[[#This Row],[Irms BoCtlr]]^2</f>
        <v>0</v>
      </c>
      <c r="AR102" s="354">
        <f>CHOOSE(Table1[[#This Row],[Mode Digit]], 0, (Vout*Table1[[#This Row],[Iin]]/2)*(Fsw)*(Tr_boost+Tf_boost), (Vout*Iout/2)*(Fsw/1)*(Tr_boost+Tf_boost))</f>
        <v>0</v>
      </c>
      <c r="AS102">
        <f>IF(Table1[[#This Row],[Vin]]&gt;Vout, 0, IF(Table1[[#This Row],[Iin]]&gt;Table1[[#This Row],[Ripple Current pk-pk]]/2,0,ABS(Table1[[#This Row],[Iin]]-Table1[[#This Row],[Ripple Current pk-pk]]/2)*Vsd_Q4*Deadtime*Fsw))</f>
        <v>0</v>
      </c>
      <c r="AT102" s="354">
        <f>(Table1[[#This Row],[Dead Time Loss BoCtlr]]+Table1[[#This Row],[Transition Loss BoCtlr]]+Table1[[#This Row],[RDS(on) Loss BoCtlr]]*(1+RdsonTopTc*Ta-RdsonTopTc*25))/(1-Table1[[#This Row],[RDS(on) Loss BoCtlr]]*RdsonTopTc*ThetaJA_Q4)</f>
        <v>0</v>
      </c>
      <c r="AU10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12.060479730004918</v>
      </c>
      <c r="AV102" s="354">
        <f>Rdson3*Table1[[#This Row],[Irms BoSync]]^2</f>
        <v>0.61091171953500989</v>
      </c>
      <c r="AW10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2" s="354">
        <f>(Table1[[#This Row],[Deadtime Loss BoSync]]+Table1[[#This Row],[RDS(on) Loss BoSync]]*(1+RdsonBotTc*Ta-RdsonBotTc*25))/(1-Table1[[#This Row],[RDS(on) Loss BoSync]]*RdsonBotTc*ThetaJA_Q3)</f>
        <v>0.71587202602808941</v>
      </c>
      <c r="AY102" s="354">
        <f>CHOOSE(Table1[[#This Row],[Mode Digit]], Rdson3*Table1[[#This Row],[Irms Lf]]^2, Rdson1*Table1[[#This Row],[Irms Lf]]^2, 0)</f>
        <v>0.61091171953500989</v>
      </c>
      <c r="AZ102" s="354">
        <f>CHOOSE(Table1[[#This Row],[Mode Digit]], 2*Deadtime*Fsw*IF(VfdSky_Q2&gt;0,VfdSky_Q2,0)*Table1[[#This Row],[Iout]], 2*Deadtime*Fsw*IF(VfdSky_Q3&gt;0,VfdSky_Q3,0)*Table1[[#This Row],[Iin]], 2*Deadtime*Fsw*IF(VfdSky_Q2&gt;0,VfdSky_Q2,0)*Table1[[#This Row],[Iout]]+2*Deadtime*Fsw*IF(VfdSky_Q3&gt;0,VfdSky_Q3,0)*Table1[[#This Row],[Iin]])</f>
        <v>0</v>
      </c>
      <c r="BA102" s="354">
        <f>CHOOSE(Table1[[#This Row],[Mode Digit]], IF(QrrSky_Q2&gt;0,QrrSky_Q2,Qrr_Q2)*Fsw*(Table1[[#This Row],[Vin]]-Table1[[#This Row],[Iout]]*Rdson1),0,  IF(QrrSky_Q2&gt;0,QrrSky_Q2,Qrr_Q2)*Fsw*(Table1[[#This Row],[Vin]]-Table1[[#This Row],[Iout]]*Rdson1)+IF(QrrSky_Q3&gt;0,QrrSky_Q3,Qrr_Q3)*Fsw*Vout)</f>
        <v>0.31751520000000005</v>
      </c>
      <c r="BB102" s="354">
        <f>CHOOSE(Table1[[#This Row],[Mode Digit]],0, IF(QrrSky_Q3&gt;0,QrrSky_Q3,Qrr_Q3)*Fsw*Vout,  IF(QrrSky_Q2&gt;0,QrrSky_Q2,Qrr_Q2)*Fsw*(Table1[[#This Row],[Vin]]-Table1[[#This Row],[Iout]]*Rdson1)+IF(QrrSky_Q3&gt;0,QrrSky_Q3,Qrr_Q3)*Fsw*Vout)</f>
        <v>0</v>
      </c>
      <c r="BC102" s="354">
        <f>CHOOSE(Table1[[#This Row],[Mode Digit]], Rs*Table1[[#This Row],[Irms BuSync]]^2, Rs*Table1[[#This Row],[Irms BoCtlr]]^2, Rs*(Table1[[#This Row],[Irms BuSync]]^2+Table1[[#This Row],[Irms BoCtlr]]^2))</f>
        <v>0.16154073755063716</v>
      </c>
      <c r="BD102" s="354">
        <f t="shared" si="5"/>
        <v>1.44</v>
      </c>
      <c r="BE102" s="354">
        <f>IF(Vout&gt;8, Iq*Vout, Iq*Table1[[#This Row],[Vin]])</f>
        <v>4.3799999999999999E-2</v>
      </c>
      <c r="BF102" s="354">
        <f>CHOOSE(Table1[[#This Row],[Mode Digit]], (Qg_Q1+Qg_Q2)*Fsw, (Qg_Q3+Qg_Q4)*Fsw, (Qg_Q1+Qg_Q2+Qg_Q3+Qg_Q4)*Fsw)*IF(Vout&gt;8, Vout, Table1[[#This Row],[Vin]])</f>
        <v>0.47303999999999996</v>
      </c>
      <c r="BG102" s="354">
        <f t="shared" si="6"/>
        <v>0.57269042016806726</v>
      </c>
      <c r="BH102" s="354">
        <f>Table1[[#This Row],[IQ Loss]]+Table1[[#This Row],[Switching Current Loss]]</f>
        <v>0.51683999999999997</v>
      </c>
      <c r="BI10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9.7145205096115301</v>
      </c>
      <c r="BJ102">
        <f>Vout*Table1[[#This Row],[Iout]]</f>
        <v>175.2</v>
      </c>
      <c r="BK102" s="550">
        <f>Table1[[#This Row],[Pout]]/(Table1[[#This Row],[Pout]]+Table1[[#This Row],[Total Loss]])</f>
        <v>0.94746480437101965</v>
      </c>
      <c r="BL10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228.24582068721909</v>
      </c>
      <c r="BM102" s="559">
        <f>IF(Table1[[#This Row],[Vin]]&gt;Vout, Table1[[#This Row],[Total Sync Bu MOSFET Loss]]*ThetaJA_Q2, ThetaJA_Q3*Table1[[#This Row],[Total Sync Bo MOSFET Loss]])</f>
        <v>54.473635647295978</v>
      </c>
      <c r="BN102" s="9"/>
      <c r="BO102" s="4">
        <f>Table1[[#This Row],[EFF, h]]*100</f>
        <v>94.746480437101965</v>
      </c>
      <c r="BP102" s="354">
        <f>Table1[[#This Row],[Total Inductor Loss]]</f>
        <v>1.7716628152260474</v>
      </c>
      <c r="BQ102" s="354">
        <f>Table1[[#This Row],[Total Control Bu MOSFET Loss]]+Table1[[#This Row],[Total Sync Bu MOSFET Loss]]+Table1[[#This Row],[Total Control Bo MOSFET Loss]]+Table1[[#This Row],[Total Sync Bo MOSFET Loss]]+Table1[[#This Row],[Reverse Recovery Loss MOSFET D BUCK]]+Table1[[#This Row],[Reverse Recovery Loss MOSFET D BOOST]]</f>
        <v>5.7453781649366737</v>
      </c>
      <c r="BR102" s="354">
        <f>Table1[[#This Row],[Total Control Bu MOSFET Loss]]+Table1[[#This Row],[Reverse Recovery Loss MOSFET D BUCK]]*0.66</f>
        <v>4.0136570434536516</v>
      </c>
      <c r="BS102" s="354">
        <f>Table1[[#This Row],[Total Sync Bu MOSFET Loss]]+Table1[[#This Row],[Reverse Recovery Loss MOSFET D BUCK]]*0.33</f>
        <v>1.012673943454933</v>
      </c>
      <c r="BT102" s="354">
        <f xml:space="preserve"> Table1[[#This Row],[Total Control Bo MOSFET Loss]]+Table1[[#This Row],[Reverse Recovery Loss MOSFET D BOOST]]*0.66</f>
        <v>0</v>
      </c>
      <c r="BU102" s="354">
        <f xml:space="preserve"> Table1[[#This Row],[Total Sync Bo MOSFET Loss]]+Table1[[#This Row],[Reverse Recovery Loss MOSFET D BOOST]]*0.33</f>
        <v>0.71587202602808941</v>
      </c>
      <c r="BV102" s="354">
        <f>Table1[[#This Row],[Isense Shunt Loss]]</f>
        <v>0.16154073755063716</v>
      </c>
      <c r="CB102" s="18"/>
      <c r="CC102" s="19"/>
    </row>
    <row r="103" spans="7:81" x14ac:dyDescent="0.2">
      <c r="G103">
        <v>94</v>
      </c>
      <c r="H103" s="555">
        <f>VIN_min+(VIN_max-VIN_min)*(Table1[[#This Row],[Step]]/200)</f>
        <v>26.58</v>
      </c>
      <c r="I103" s="4" t="str">
        <f>IF(Mode = 2,IF(Table1[[#This Row],[Vin]]&gt;Vout, "BUCK","BOOST"),IF(Table1[[#This Row],[Vin]]&gt;VIN_BB_to_buck, "BUCK", IF(Table1[[#This Row],[Vin]]&lt;=VIN_boost_to_BB,"BOOST","BUCK-BST")))</f>
        <v>BUCK</v>
      </c>
      <c r="J103">
        <f>IF(Table1[[#This Row],[Mode]]="BOOST",2, IF(Table1[[#This Row],[Mode]]="BUCK", 1,3))</f>
        <v>1</v>
      </c>
      <c r="K103">
        <f t="shared" si="4"/>
        <v>12</v>
      </c>
      <c r="L103" s="4">
        <f>Vout*Table1[[#This Row],[Iout]]/(Table1[[#This Row],[Vin]]*Efficiency)</f>
        <v>6.9383390756801715</v>
      </c>
      <c r="M103" s="711">
        <f>MIN(1/Fsw,CHOOSE(Table1[[#This Row],[Mode Digit]],(Vout+(Rdson2+Rs+Rdcr)*Table1[[#This Row],[Iout]])/(Table1[[#This Row],[Vin]]+(Rs+Rdson2-Rdson1)*Table1[[#This Row],[Iout]])/Fsw,(Vout+(Rdson3+Rdcr)*Table1[[#This Row],[Iin]]-Table1[[#This Row],[Vin]])/(Vout+(Rdson3-Rdson4-Rs)*Table1[[#This Row],[Iin]])/Fsw,t1_Ph_II))</f>
        <v>9.2383815608167354E-7</v>
      </c>
      <c r="N103" s="602">
        <f>CHOOSE(Table1[[#This Row],[Mode Digit]],1/Fsw-Table1[[#This Row],[t1_Ph_II]],1/Fsw-Table1[[#This Row],[t1_Ph_II]],(Vout/Fsw-Table1[[#This Row],[Vin]]*t1_Ph_II)/(Table1[[#This Row],[Vin]]+Vout))</f>
        <v>7.4282851058499312E-7</v>
      </c>
      <c r="O103" s="602">
        <f>1/Fsw-(Table1[[#This Row],[t1_Ph_II]]+Table1[[#This Row],[t2_Ph_I]])</f>
        <v>0</v>
      </c>
      <c r="P10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9.903867214041961</v>
      </c>
      <c r="Q103" s="4">
        <f>CHOOSE(Table1[[#This Row],[Mode Digit]],Table1[[#This Row],[I_0]]+1/Lf*(Table1[[#This Row],[Vin]]-Vout)*Table1[[#This Row],[t1_Ph_II]],Table1[[#This Row],[I_0]]+1/Lf*Table1[[#This Row],[Vin]]*Table1[[#This Row],[t1_Ph_II]],Table1[[#This Row],[I_0]]+(Table1[[#This Row],[Vin]]-Vout)/L*Table1[[#This Row],[t1_Ph_II]])</f>
        <v>14.096132785958041</v>
      </c>
      <c r="R103" s="4">
        <f>CHOOSE(Table1[[#This Row],[Mode Digit]],0,0,Table1[[#This Row],[I_1]]+Table1[[#This Row],[Vin]]/L*Table1[[#This Row],[t2_Ph_I]])</f>
        <v>0</v>
      </c>
      <c r="S103" s="4">
        <f>Fsw*(Table1[[#This Row],[I_0]]*Table1[[#This Row],[t1_Ph_II]]+Table1[[#This Row],[I_1]]*Table1[[#This Row],[t2_Ph_I]]+Table1[[#This Row],[I_2]]*Table1[[#This Row],[t3_Ph_III]])</f>
        <v>11.77234784849986</v>
      </c>
      <c r="T103" s="354">
        <f>MIN(1,CHOOSE(Table1[[#This Row],[Mode Digit]],(Vout+(Rdson2+Rs+Rdcr)*Table1[[#This Row],[Iout]])/(Table1[[#This Row],[Vin]]+(Rs+Rdson2-Rdson1)*Table1[[#This Row],[Iout]]),1,Fsw*Table1[[#This Row],[t2_Ph_I]]+Table1[[#This Row],[t1_Ph_II]]))</f>
        <v>0.55430289364900409</v>
      </c>
      <c r="U103" s="354">
        <f>MIN(1,CHOOSE(Table1[[#This Row],[Mode Digit]],0,(Vout+(Rdson3+Rdcr)*Table1[[#This Row],[Iin]]-Table1[[#This Row],[Vin]])/(Vout+(Rdson3-Rdson4-Rs)*Table1[[#This Row],[Iin]]),Fsw*Table1[[#This Row],[t1_Ph_II]]+Table1[[#This Row],[t3_Ph_III]]))</f>
        <v>0</v>
      </c>
      <c r="V103" s="4">
        <f>MAX(Table1[[#This Row],[I_0]:[I_2]])-MIN(Table1[[#This Row],[I_0]:[I_1]])</f>
        <v>4.1922655719160797</v>
      </c>
      <c r="W10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12.060870237485192</v>
      </c>
      <c r="X103" s="354">
        <f>(Table1[[#This Row],[Irms Lf]]^2*Rdcr*(1+Ltc*Ta-Ltc*25))/(1-Table1[[#This Row],[Irms Lf]]^2*Rdcr*Ltc*ThetaCa)</f>
        <v>0.90476205811722044</v>
      </c>
      <c r="Y103" s="354">
        <f>ABS(7.759*10^-3*Fsw^0.9458*(0.00787*Table1[[#This Row],[Ripple Current pk-pk]])^2.304)</f>
        <v>0.87343178463995752</v>
      </c>
      <c r="Z103" s="354">
        <f>Table1[[#This Row],[DCR    Loss]]+Table1[[#This Row],[Core Loss]]</f>
        <v>1.778193842757178</v>
      </c>
      <c r="AA103" s="4">
        <f>IF(Table1[[#This Row],[Vin]]&gt;Vout, Table1[[#This Row],[Ripple Current pk-pk]]/SQRT(12), SQRT(Table1[[#This Row],[Duty Cycle BOOST Leg]]/(1-Table1[[#This Row],[Duty Cycle BOOST Leg]]))*SQRT(Table1[[#This Row],[Iout]]^2+(Table1[[#This Row],[Ripple Current pk-pk]]^2)/12))</f>
        <v>1.2102028282300745</v>
      </c>
      <c r="AB103" s="354">
        <f>RCoutEsr*Table1[[#This Row],[Irms Cout]]^2</f>
        <v>7.3229544272803565E-3</v>
      </c>
      <c r="AC103" s="354">
        <f>Table1[[#This Row],[Cout ESR Loss]]</f>
        <v>7.3229544272803565E-3</v>
      </c>
      <c r="AD103" s="354">
        <f>IF(Table1[[#This Row],[Vin]]&gt;Vout, SQRT(Table1[[#This Row],[Duty Cycle BUCK Leg]]*(1-Table1[[#This Row],[Duty Cycle BUCK Leg]]))*SQRT(Table1[[#This Row],[Iout]]^2+(Table1[[#This Row],[Ripple Current pk-pk]]^2)/12), Table1[[#This Row],[Ripple Current pk-pk]]/SQRT(12))</f>
        <v>5.9947644754633584</v>
      </c>
      <c r="AE103" s="354">
        <f>RCinEsr*Table1[[#This Row],[Irms Cin]]^2</f>
        <v>7.1874402232554951E-2</v>
      </c>
      <c r="AF103" s="549">
        <f>Table1[[#This Row],[Cin ESR Loss]]</f>
        <v>7.1874402232554951E-2</v>
      </c>
      <c r="AG10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8.9795013030388748</v>
      </c>
      <c r="AH103" s="354">
        <f>Rdson1*Table1[[#This Row],[Irms BuCtrl]]^2</f>
        <v>0.33865206333536285</v>
      </c>
      <c r="AI103" s="354">
        <f>CHOOSE(Table1[[#This Row],[Mode Digit]], (Table1[[#This Row],[Vin]]*Table1[[#This Row],[Iout]]/2)*(Fsw)*(Tr_buck+Tf_buck), 0, (Table1[[#This Row],[Vin]]*Table1[[#This Row],[Avg IL]]/2)*(Fsw/1)*(Tr_buck+Tf_buck))</f>
        <v>3.1629244000808248</v>
      </c>
      <c r="AJ103">
        <f>IF(Table1[[#This Row],[Vin]]&gt;Vout, IF(Table1[[#This Row],[Iout]]&gt;Table1[[#This Row],[Ripple Current pk-pk]]/2,0,ABS(Table1[[#This Row],[Iout]]-Table1[[#This Row],[Ripple Current pk-pk]]/2)*Vsd_Q1*Deadtime*Fsw),0)</f>
        <v>0</v>
      </c>
      <c r="AK103" s="354">
        <f>(Table1[[#This Row],[Dead Time Loss BuCtrl]]+Table1[[#This Row],[Transition Loss BuCtrl]]+Table1[[#This Row],[RDS(on) Loss BuCtrl]]*(1+RdsonTopTc*Ta-RdsonTopTc*25))/(1-Table1[[#This Row],[RDS(on) Loss BuCtrl]]*RdsonTopTc*ThetaJA_Q1)</f>
        <v>3.8113496009665213</v>
      </c>
      <c r="AL103" s="354">
        <f>CHOOSE(Table1[[#This Row],[Mode Digit]],SQRT((Fsw*(Table1[[#This Row],[t2_Ph_I]]+0))*((Table1[[#This Row],[I_0]]*Table1[[#This Row],[I_1]]+((Table1[[#This Row],[I_0]]-Table1[[#This Row],[I_1]])^2)/3))),0,SQRT((Fsw*(Table1[[#This Row],[t3_Ph_III]]+0))*((Table1[[#This Row],[I_0]]*Table1[[#This Row],[I_2]]+((Table1[[#This Row],[I_0]]-Table1[[#This Row],[I_2]])^2)/3))))</f>
        <v>8.0519033299077325</v>
      </c>
      <c r="AM103" s="354">
        <f>Rdson2*Table1[[#This Row],[Irms BuSync]]^2</f>
        <v>0.27229921838355281</v>
      </c>
      <c r="AN10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3" s="354">
        <f>(Table1[[#This Row],[Deadtime Loss BuSync]]+Table1[[#This Row],[RDS(on) Loss BuSync]]*(1+RdsonBotTc*Ta-RdsonBotTc*25))/(1-Table1[[#This Row],[RDS(on) Loss BuSync]]*RdsonBotTc*ThetaJA_Q2)</f>
        <v>0.90908071961037218</v>
      </c>
      <c r="AP103" s="354">
        <f>CHOOSE(Table1[[#This Row],[Mode Digit]],0,SQRT((Fsw*(Table1[[#This Row],[t1_Ph_II]]+0))*((Table1[[#This Row],[I_0]]*Table1[[#This Row],[I_1]]+((Table1[[#This Row],[I_0]]-Table1[[#This Row],[I_1]])^2)/3))),SQRT((Fsw*(Table1[[#This Row],[t2_Ph_I]]+0))*((Table1[[#This Row],[I_1]]*Table1[[#This Row],[I_2]]+((Table1[[#This Row],[I_1]]-Table1[[#This Row],[I_2]])^2)/3))))</f>
        <v>0</v>
      </c>
      <c r="AQ103" s="354">
        <f>Rdson4*Table1[[#This Row],[Irms BoCtlr]]^2</f>
        <v>0</v>
      </c>
      <c r="AR103" s="354">
        <f>CHOOSE(Table1[[#This Row],[Mode Digit]], 0, (Vout*Table1[[#This Row],[Iin]]/2)*(Fsw)*(Tr_boost+Tf_boost), (Vout*Iout/2)*(Fsw/1)*(Tr_boost+Tf_boost))</f>
        <v>0</v>
      </c>
      <c r="AS103">
        <f>IF(Table1[[#This Row],[Vin]]&gt;Vout, 0, IF(Table1[[#This Row],[Iin]]&gt;Table1[[#This Row],[Ripple Current pk-pk]]/2,0,ABS(Table1[[#This Row],[Iin]]-Table1[[#This Row],[Ripple Current pk-pk]]/2)*Vsd_Q4*Deadtime*Fsw))</f>
        <v>0</v>
      </c>
      <c r="AT103" s="354">
        <f>(Table1[[#This Row],[Dead Time Loss BoCtlr]]+Table1[[#This Row],[Transition Loss BoCtlr]]+Table1[[#This Row],[RDS(on) Loss BoCtlr]]*(1+RdsonTopTc*Ta-RdsonTopTc*25))/(1-Table1[[#This Row],[RDS(on) Loss BoCtlr]]*RdsonTopTc*ThetaJA_Q4)</f>
        <v>0</v>
      </c>
      <c r="AU10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12.060870237485192</v>
      </c>
      <c r="AV103" s="354">
        <f>Rdson3*Table1[[#This Row],[Irms BoSync]]^2</f>
        <v>0.61095128171891577</v>
      </c>
      <c r="AW10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3" s="354">
        <f>(Table1[[#This Row],[Deadtime Loss BoSync]]+Table1[[#This Row],[RDS(on) Loss BoSync]]*(1+RdsonBotTc*Ta-RdsonBotTc*25))/(1-Table1[[#This Row],[RDS(on) Loss BoSync]]*RdsonBotTc*ThetaJA_Q3)</f>
        <v>0.71592635093117518</v>
      </c>
      <c r="AY103" s="354">
        <f>CHOOSE(Table1[[#This Row],[Mode Digit]], Rdson3*Table1[[#This Row],[Irms Lf]]^2, Rdson1*Table1[[#This Row],[Irms Lf]]^2, 0)</f>
        <v>0.61095128171891577</v>
      </c>
      <c r="AZ103" s="354">
        <f>CHOOSE(Table1[[#This Row],[Mode Digit]], 2*Deadtime*Fsw*IF(VfdSky_Q2&gt;0,VfdSky_Q2,0)*Table1[[#This Row],[Iout]], 2*Deadtime*Fsw*IF(VfdSky_Q3&gt;0,VfdSky_Q3,0)*Table1[[#This Row],[Iin]], 2*Deadtime*Fsw*IF(VfdSky_Q2&gt;0,VfdSky_Q2,0)*Table1[[#This Row],[Iout]]+2*Deadtime*Fsw*IF(VfdSky_Q3&gt;0,VfdSky_Q3,0)*Table1[[#This Row],[Iin]])</f>
        <v>0</v>
      </c>
      <c r="BA103" s="354">
        <f>CHOOSE(Table1[[#This Row],[Mode Digit]], IF(QrrSky_Q2&gt;0,QrrSky_Q2,Qrr_Q2)*Fsw*(Table1[[#This Row],[Vin]]-Table1[[#This Row],[Iout]]*Rdson1),0,  IF(QrrSky_Q2&gt;0,QrrSky_Q2,Qrr_Q2)*Fsw*(Table1[[#This Row],[Vin]]-Table1[[#This Row],[Iout]]*Rdson1)+IF(QrrSky_Q3&gt;0,QrrSky_Q3,Qrr_Q3)*Fsw*Vout)</f>
        <v>0.3183552</v>
      </c>
      <c r="BB103" s="354">
        <f>CHOOSE(Table1[[#This Row],[Mode Digit]],0, IF(QrrSky_Q3&gt;0,QrrSky_Q3,Qrr_Q3)*Fsw*Vout,  IF(QrrSky_Q2&gt;0,QrrSky_Q2,Qrr_Q2)*Fsw*(Table1[[#This Row],[Vin]]-Table1[[#This Row],[Iout]]*Rdson1)+IF(QrrSky_Q3&gt;0,QrrSky_Q3,Qrr_Q3)*Fsw*Vout)</f>
        <v>0</v>
      </c>
      <c r="BC103" s="354">
        <f>CHOOSE(Table1[[#This Row],[Mode Digit]], Rs*Table1[[#This Row],[Irms BuSync]]^2, Rs*Table1[[#This Row],[Irms BoCtlr]]^2, Rs*(Table1[[#This Row],[Irms BuSync]]^2+Table1[[#This Row],[Irms BoCtlr]]^2))</f>
        <v>0.16208286808544808</v>
      </c>
      <c r="BD103" s="354">
        <f t="shared" si="5"/>
        <v>1.44</v>
      </c>
      <c r="BE103" s="354">
        <f>IF(Vout&gt;8, Iq*Vout, Iq*Table1[[#This Row],[Vin]])</f>
        <v>4.3799999999999999E-2</v>
      </c>
      <c r="BF103" s="354">
        <f>CHOOSE(Table1[[#This Row],[Mode Digit]], (Qg_Q1+Qg_Q2)*Fsw, (Qg_Q3+Qg_Q4)*Fsw, (Qg_Q1+Qg_Q2+Qg_Q3+Qg_Q4)*Fsw)*IF(Vout&gt;8, Vout, Table1[[#This Row],[Vin]])</f>
        <v>0.47303999999999996</v>
      </c>
      <c r="BG103" s="354">
        <f t="shared" si="6"/>
        <v>0.57269042016806726</v>
      </c>
      <c r="BH103" s="354">
        <f>Table1[[#This Row],[IQ Loss]]+Table1[[#This Row],[Switching Current Loss]]</f>
        <v>0.51683999999999997</v>
      </c>
      <c r="BI10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9.7310259390105305</v>
      </c>
      <c r="BJ103">
        <f>Vout*Table1[[#This Row],[Iout]]</f>
        <v>175.2</v>
      </c>
      <c r="BK103" s="550">
        <f>Table1[[#This Row],[Pout]]/(Table1[[#This Row],[Pout]]+Table1[[#This Row],[Total Loss]])</f>
        <v>0.9473802414191993</v>
      </c>
      <c r="BL10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228.68097605799127</v>
      </c>
      <c r="BM103" s="559">
        <f>IF(Table1[[#This Row],[Vin]]&gt;Vout, Table1[[#This Row],[Total Sync Bu MOSFET Loss]]*ThetaJA_Q2, ThetaJA_Q3*Table1[[#This Row],[Total Sync Bo MOSFET Loss]])</f>
        <v>54.544843176622329</v>
      </c>
      <c r="BN103" s="9"/>
      <c r="BO103" s="4">
        <f>Table1[[#This Row],[EFF, h]]*100</f>
        <v>94.738024141919936</v>
      </c>
      <c r="BP103" s="354">
        <f>Table1[[#This Row],[Total Inductor Loss]]</f>
        <v>1.778193842757178</v>
      </c>
      <c r="BQ103" s="354">
        <f>Table1[[#This Row],[Total Control Bu MOSFET Loss]]+Table1[[#This Row],[Total Sync Bu MOSFET Loss]]+Table1[[#This Row],[Total Control Bo MOSFET Loss]]+Table1[[#This Row],[Total Sync Bo MOSFET Loss]]+Table1[[#This Row],[Reverse Recovery Loss MOSFET D BUCK]]+Table1[[#This Row],[Reverse Recovery Loss MOSFET D BOOST]]</f>
        <v>5.7547118715080687</v>
      </c>
      <c r="BR103" s="354">
        <f>Table1[[#This Row],[Total Control Bu MOSFET Loss]]+Table1[[#This Row],[Reverse Recovery Loss MOSFET D BUCK]]*0.66</f>
        <v>4.021464032966521</v>
      </c>
      <c r="BS103" s="354">
        <f>Table1[[#This Row],[Total Sync Bu MOSFET Loss]]+Table1[[#This Row],[Reverse Recovery Loss MOSFET D BUCK]]*0.33</f>
        <v>1.0141379356103721</v>
      </c>
      <c r="BT103" s="354">
        <f xml:space="preserve"> Table1[[#This Row],[Total Control Bo MOSFET Loss]]+Table1[[#This Row],[Reverse Recovery Loss MOSFET D BOOST]]*0.66</f>
        <v>0</v>
      </c>
      <c r="BU103" s="354">
        <f xml:space="preserve"> Table1[[#This Row],[Total Sync Bo MOSFET Loss]]+Table1[[#This Row],[Reverse Recovery Loss MOSFET D BOOST]]*0.33</f>
        <v>0.71592635093117518</v>
      </c>
      <c r="BV103" s="354">
        <f>Table1[[#This Row],[Isense Shunt Loss]]</f>
        <v>0.16208286808544808</v>
      </c>
      <c r="CB103" s="18"/>
      <c r="CC103" s="19"/>
    </row>
    <row r="104" spans="7:81" x14ac:dyDescent="0.2">
      <c r="G104">
        <v>95</v>
      </c>
      <c r="H104" s="555">
        <f>VIN_min+(VIN_max-VIN_min)*(Table1[[#This Row],[Step]]/200)</f>
        <v>26.65</v>
      </c>
      <c r="I104" s="4" t="str">
        <f>IF(Mode = 2,IF(Table1[[#This Row],[Vin]]&gt;Vout, "BUCK","BOOST"),IF(Table1[[#This Row],[Vin]]&gt;VIN_BB_to_buck, "BUCK", IF(Table1[[#This Row],[Vin]]&lt;=VIN_boost_to_BB,"BOOST","BUCK-BST")))</f>
        <v>BUCK</v>
      </c>
      <c r="J104">
        <f>IF(Table1[[#This Row],[Mode]]="BOOST",2, IF(Table1[[#This Row],[Mode]]="BUCK", 1,3))</f>
        <v>1</v>
      </c>
      <c r="K104">
        <f t="shared" si="4"/>
        <v>12</v>
      </c>
      <c r="L104" s="4">
        <f>Vout*Table1[[#This Row],[Iout]]/(Table1[[#This Row],[Vin]]*Efficiency)</f>
        <v>6.9201145452750072</v>
      </c>
      <c r="M104" s="711">
        <f>MIN(1/Fsw,CHOOSE(Table1[[#This Row],[Mode Digit]],(Vout+(Rdson2+Rs+Rdcr)*Table1[[#This Row],[Iout]])/(Table1[[#This Row],[Vin]]+(Rs+Rdson2-Rdson1)*Table1[[#This Row],[Iout]])/Fsw,(Vout+(Rdson3+Rdcr)*Table1[[#This Row],[Iin]]-Table1[[#This Row],[Vin]])/(Vout+(Rdson3-Rdson4-Rs)*Table1[[#This Row],[Iin]])/Fsw,t1_Ph_II))</f>
        <v>9.2141429285357325E-7</v>
      </c>
      <c r="N104" s="602">
        <f>CHOOSE(Table1[[#This Row],[Mode Digit]],1/Fsw-Table1[[#This Row],[t1_Ph_II]],1/Fsw-Table1[[#This Row],[t1_Ph_II]],(Vout/Fsw-Table1[[#This Row],[Vin]]*t1_Ph_II)/(Table1[[#This Row],[Vin]]+Vout))</f>
        <v>7.4525237381309341E-7</v>
      </c>
      <c r="O104" s="602">
        <f>1/Fsw-(Table1[[#This Row],[t1_Ph_II]]+Table1[[#This Row],[t2_Ph_I]])</f>
        <v>0</v>
      </c>
      <c r="P10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9.8971510930140987</v>
      </c>
      <c r="Q104" s="4">
        <f>CHOOSE(Table1[[#This Row],[Mode Digit]],Table1[[#This Row],[I_0]]+1/Lf*(Table1[[#This Row],[Vin]]-Vout)*Table1[[#This Row],[t1_Ph_II]],Table1[[#This Row],[I_0]]+1/Lf*Table1[[#This Row],[Vin]]*Table1[[#This Row],[t1_Ph_II]],Table1[[#This Row],[I_0]]+(Table1[[#This Row],[Vin]]-Vout)/L*Table1[[#This Row],[t1_Ph_II]])</f>
        <v>14.102848906985901</v>
      </c>
      <c r="R104" s="4">
        <f>CHOOSE(Table1[[#This Row],[Mode Digit]],0,0,Table1[[#This Row],[I_1]]+Table1[[#This Row],[Vin]]/L*Table1[[#This Row],[t2_Ph_I]])</f>
        <v>0</v>
      </c>
      <c r="S104" s="4">
        <f>Fsw*(Table1[[#This Row],[I_0]]*Table1[[#This Row],[t1_Ph_II]]+Table1[[#This Row],[I_1]]*Table1[[#This Row],[t2_Ph_I]]+Table1[[#This Row],[I_2]]*Table1[[#This Row],[t3_Ph_III]])</f>
        <v>11.777734860655913</v>
      </c>
      <c r="T104" s="354">
        <f>MIN(1,CHOOSE(Table1[[#This Row],[Mode Digit]],(Vout+(Rdson2+Rs+Rdcr)*Table1[[#This Row],[Iout]])/(Table1[[#This Row],[Vin]]+(Rs+Rdson2-Rdson1)*Table1[[#This Row],[Iout]]),1,Fsw*Table1[[#This Row],[t2_Ph_I]]+Table1[[#This Row],[t1_Ph_II]]))</f>
        <v>0.55284857571214396</v>
      </c>
      <c r="U104" s="354">
        <f>MIN(1,CHOOSE(Table1[[#This Row],[Mode Digit]],0,(Vout+(Rdson3+Rdcr)*Table1[[#This Row],[Iin]]-Table1[[#This Row],[Vin]])/(Vout+(Rdson3-Rdson4-Rs)*Table1[[#This Row],[Iin]]),Fsw*Table1[[#This Row],[t1_Ph_II]]+Table1[[#This Row],[t3_Ph_III]]))</f>
        <v>0</v>
      </c>
      <c r="V104" s="4">
        <f>MAX(Table1[[#This Row],[I_0]:[I_2]])-MIN(Table1[[#This Row],[I_0]:[I_1]])</f>
        <v>4.2056978139718026</v>
      </c>
      <c r="W10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12.061259933158059</v>
      </c>
      <c r="X104" s="354">
        <f>(Table1[[#This Row],[Irms Lf]]^2*Rdcr*(1+Ltc*Ta-Ltc*25))/(1-Table1[[#This Row],[Irms Lf]]^2*Rdcr*Ltc*ThetaCa)</f>
        <v>0.90482475839400256</v>
      </c>
      <c r="Y104" s="354">
        <f>ABS(7.759*10^-3*Fsw^0.9458*(0.00787*Table1[[#This Row],[Ripple Current pk-pk]])^2.304)</f>
        <v>0.87989305326177814</v>
      </c>
      <c r="Z104" s="354">
        <f>Table1[[#This Row],[DCR    Loss]]+Table1[[#This Row],[Core Loss]]</f>
        <v>1.7847178116557807</v>
      </c>
      <c r="AA104" s="4">
        <f>IF(Table1[[#This Row],[Vin]]&gt;Vout, Table1[[#This Row],[Ripple Current pk-pk]]/SQRT(12), SQRT(Table1[[#This Row],[Duty Cycle BOOST Leg]]/(1-Table1[[#This Row],[Duty Cycle BOOST Leg]]))*SQRT(Table1[[#This Row],[Iout]]^2+(Table1[[#This Row],[Ripple Current pk-pk]]^2)/12))</f>
        <v>1.2140803825134205</v>
      </c>
      <c r="AB104" s="354">
        <f>RCoutEsr*Table1[[#This Row],[Irms Cout]]^2</f>
        <v>7.3699558760196683E-3</v>
      </c>
      <c r="AC104" s="354">
        <f>Table1[[#This Row],[Cout ESR Loss]]</f>
        <v>7.3699558760196683E-3</v>
      </c>
      <c r="AD104" s="354">
        <f>IF(Table1[[#This Row],[Vin]]&gt;Vout, SQRT(Table1[[#This Row],[Duty Cycle BUCK Leg]]*(1-Table1[[#This Row],[Duty Cycle BUCK Leg]]))*SQRT(Table1[[#This Row],[Iout]]^2+(Table1[[#This Row],[Ripple Current pk-pk]]^2)/12), Table1[[#This Row],[Ripple Current pk-pk]]/SQRT(12))</f>
        <v>5.9968485904094244</v>
      </c>
      <c r="AE104" s="354">
        <f>RCinEsr*Table1[[#This Row],[Irms Cin]]^2</f>
        <v>7.1924386032591006E-2</v>
      </c>
      <c r="AF104" s="549">
        <f>Table1[[#This Row],[Cin ESR Loss]]</f>
        <v>7.1924386032591006E-2</v>
      </c>
      <c r="AG10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8.9680036142038038</v>
      </c>
      <c r="AH104" s="354">
        <f>Rdson1*Table1[[#This Row],[Irms BuCtrl]]^2</f>
        <v>0.33778537306236445</v>
      </c>
      <c r="AI104" s="354">
        <f>CHOOSE(Table1[[#This Row],[Mode Digit]], (Table1[[#This Row],[Vin]]*Table1[[#This Row],[Iout]]/2)*(Fsw)*(Tr_buck+Tf_buck), 0, (Table1[[#This Row],[Vin]]*Table1[[#This Row],[Avg IL]]/2)*(Fsw/1)*(Tr_buck+Tf_buck))</f>
        <v>3.1712541483127907</v>
      </c>
      <c r="AJ104">
        <f>IF(Table1[[#This Row],[Vin]]&gt;Vout, IF(Table1[[#This Row],[Iout]]&gt;Table1[[#This Row],[Ripple Current pk-pk]]/2,0,ABS(Table1[[#This Row],[Iout]]-Table1[[#This Row],[Ripple Current pk-pk]]/2)*Vsd_Q1*Deadtime*Fsw),0)</f>
        <v>0</v>
      </c>
      <c r="AK104" s="354">
        <f>(Table1[[#This Row],[Dead Time Loss BuCtrl]]+Table1[[#This Row],[Transition Loss BuCtrl]]+Table1[[#This Row],[RDS(on) Loss BuCtrl]]*(1+RdsonTopTc*Ta-RdsonTopTc*25))/(1-Table1[[#This Row],[RDS(on) Loss BuCtrl]]*RdsonTopTc*ThetaJA_Q1)</f>
        <v>3.8186083308857022</v>
      </c>
      <c r="AL104" s="354">
        <f>CHOOSE(Table1[[#This Row],[Mode Digit]],SQRT((Fsw*(Table1[[#This Row],[t2_Ph_I]]+0))*((Table1[[#This Row],[I_0]]*Table1[[#This Row],[I_1]]+((Table1[[#This Row],[I_0]]-Table1[[#This Row],[I_1]])^2)/3))),0,SQRT((Fsw*(Table1[[#This Row],[t3_Ph_III]]+0))*((Table1[[#This Row],[I_0]]*Table1[[#This Row],[I_2]]+((Table1[[#This Row],[I_0]]-Table1[[#This Row],[I_2]])^2)/3))))</f>
        <v>8.0652899731399259</v>
      </c>
      <c r="AM104" s="354">
        <f>Rdson2*Table1[[#This Row],[Irms BuSync]]^2</f>
        <v>0.27320538987349202</v>
      </c>
      <c r="AN10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4" s="354">
        <f>(Table1[[#This Row],[Deadtime Loss BuSync]]+Table1[[#This Row],[RDS(on) Loss BuSync]]*(1+RdsonBotTc*Ta-RdsonBotTc*25))/(1-Table1[[#This Row],[RDS(on) Loss BuSync]]*RdsonBotTc*ThetaJA_Q2)</f>
        <v>0.91026205858990517</v>
      </c>
      <c r="AP104" s="354">
        <f>CHOOSE(Table1[[#This Row],[Mode Digit]],0,SQRT((Fsw*(Table1[[#This Row],[t1_Ph_II]]+0))*((Table1[[#This Row],[I_0]]*Table1[[#This Row],[I_1]]+((Table1[[#This Row],[I_0]]-Table1[[#This Row],[I_1]])^2)/3))),SQRT((Fsw*(Table1[[#This Row],[t2_Ph_I]]+0))*((Table1[[#This Row],[I_1]]*Table1[[#This Row],[I_2]]+((Table1[[#This Row],[I_1]]-Table1[[#This Row],[I_2]])^2)/3))))</f>
        <v>0</v>
      </c>
      <c r="AQ104" s="354">
        <f>Rdson4*Table1[[#This Row],[Irms BoCtlr]]^2</f>
        <v>0</v>
      </c>
      <c r="AR104" s="354">
        <f>CHOOSE(Table1[[#This Row],[Mode Digit]], 0, (Vout*Table1[[#This Row],[Iin]]/2)*(Fsw)*(Tr_boost+Tf_boost), (Vout*Iout/2)*(Fsw/1)*(Tr_boost+Tf_boost))</f>
        <v>0</v>
      </c>
      <c r="AS104">
        <f>IF(Table1[[#This Row],[Vin]]&gt;Vout, 0, IF(Table1[[#This Row],[Iin]]&gt;Table1[[#This Row],[Ripple Current pk-pk]]/2,0,ABS(Table1[[#This Row],[Iin]]-Table1[[#This Row],[Ripple Current pk-pk]]/2)*Vsd_Q4*Deadtime*Fsw))</f>
        <v>0</v>
      </c>
      <c r="AT104" s="354">
        <f>(Table1[[#This Row],[Dead Time Loss BoCtlr]]+Table1[[#This Row],[Transition Loss BoCtlr]]+Table1[[#This Row],[RDS(on) Loss BoCtlr]]*(1+RdsonTopTc*Ta-RdsonTopTc*25))/(1-Table1[[#This Row],[RDS(on) Loss BoCtlr]]*RdsonTopTc*ThetaJA_Q4)</f>
        <v>0</v>
      </c>
      <c r="AU10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12.061259933158059</v>
      </c>
      <c r="AV104" s="354">
        <f>Rdson3*Table1[[#This Row],[Irms BoSync]]^2</f>
        <v>0.61099076293585663</v>
      </c>
      <c r="AW10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4" s="354">
        <f>(Table1[[#This Row],[Deadtime Loss BoSync]]+Table1[[#This Row],[RDS(on) Loss BoSync]]*(1+RdsonBotTc*Ta-RdsonBotTc*25))/(1-Table1[[#This Row],[RDS(on) Loss BoSync]]*RdsonBotTc*ThetaJA_Q3)</f>
        <v>0.71598056585947045</v>
      </c>
      <c r="AY104" s="354">
        <f>CHOOSE(Table1[[#This Row],[Mode Digit]], Rdson3*Table1[[#This Row],[Irms Lf]]^2, Rdson1*Table1[[#This Row],[Irms Lf]]^2, 0)</f>
        <v>0.61099076293585663</v>
      </c>
      <c r="AZ104" s="354">
        <f>CHOOSE(Table1[[#This Row],[Mode Digit]], 2*Deadtime*Fsw*IF(VfdSky_Q2&gt;0,VfdSky_Q2,0)*Table1[[#This Row],[Iout]], 2*Deadtime*Fsw*IF(VfdSky_Q3&gt;0,VfdSky_Q3,0)*Table1[[#This Row],[Iin]], 2*Deadtime*Fsw*IF(VfdSky_Q2&gt;0,VfdSky_Q2,0)*Table1[[#This Row],[Iout]]+2*Deadtime*Fsw*IF(VfdSky_Q3&gt;0,VfdSky_Q3,0)*Table1[[#This Row],[Iin]])</f>
        <v>0</v>
      </c>
      <c r="BA104" s="354">
        <f>CHOOSE(Table1[[#This Row],[Mode Digit]], IF(QrrSky_Q2&gt;0,QrrSky_Q2,Qrr_Q2)*Fsw*(Table1[[#This Row],[Vin]]-Table1[[#This Row],[Iout]]*Rdson1),0,  IF(QrrSky_Q2&gt;0,QrrSky_Q2,Qrr_Q2)*Fsw*(Table1[[#This Row],[Vin]]-Table1[[#This Row],[Iout]]*Rdson1)+IF(QrrSky_Q3&gt;0,QrrSky_Q3,Qrr_Q3)*Fsw*Vout)</f>
        <v>0.31919520000000001</v>
      </c>
      <c r="BB104" s="354">
        <f>CHOOSE(Table1[[#This Row],[Mode Digit]],0, IF(QrrSky_Q3&gt;0,QrrSky_Q3,Qrr_Q3)*Fsw*Vout,  IF(QrrSky_Q2&gt;0,QrrSky_Q2,Qrr_Q2)*Fsw*(Table1[[#This Row],[Vin]]-Table1[[#This Row],[Iout]]*Rdson1)+IF(QrrSky_Q3&gt;0,QrrSky_Q3,Qrr_Q3)*Fsw*Vout)</f>
        <v>0</v>
      </c>
      <c r="BC104" s="354">
        <f>CHOOSE(Table1[[#This Row],[Mode Digit]], Rs*Table1[[#This Row],[Irms BuSync]]^2, Rs*Table1[[#This Row],[Irms BoCtlr]]^2, Rs*(Table1[[#This Row],[Irms BuSync]]^2+Table1[[#This Row],[Irms BoCtlr]]^2))</f>
        <v>0.16262225587707857</v>
      </c>
      <c r="BD104" s="354">
        <f t="shared" si="5"/>
        <v>1.44</v>
      </c>
      <c r="BE104" s="354">
        <f>IF(Vout&gt;8, Iq*Vout, Iq*Table1[[#This Row],[Vin]])</f>
        <v>4.3799999999999999E-2</v>
      </c>
      <c r="BF104" s="354">
        <f>CHOOSE(Table1[[#This Row],[Mode Digit]], (Qg_Q1+Qg_Q2)*Fsw, (Qg_Q3+Qg_Q4)*Fsw, (Qg_Q1+Qg_Q2+Qg_Q3+Qg_Q4)*Fsw)*IF(Vout&gt;8, Vout, Table1[[#This Row],[Vin]])</f>
        <v>0.47303999999999996</v>
      </c>
      <c r="BG104" s="354">
        <f t="shared" si="6"/>
        <v>0.57269042016806726</v>
      </c>
      <c r="BH104" s="354">
        <f>Table1[[#This Row],[IQ Loss]]+Table1[[#This Row],[Switching Current Loss]]</f>
        <v>0.51683999999999997</v>
      </c>
      <c r="BI10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9.747520564776547</v>
      </c>
      <c r="BJ104">
        <f>Vout*Table1[[#This Row],[Iout]]</f>
        <v>175.2</v>
      </c>
      <c r="BK104" s="550">
        <f>Table1[[#This Row],[Pout]]/(Table1[[#This Row],[Pout]]+Table1[[#This Row],[Total Loss]])</f>
        <v>0.94729574889671175</v>
      </c>
      <c r="BL10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229.11649985314213</v>
      </c>
      <c r="BM104" s="559">
        <f>IF(Table1[[#This Row],[Vin]]&gt;Vout, Table1[[#This Row],[Total Sync Bu MOSFET Loss]]*ThetaJA_Q2, ThetaJA_Q3*Table1[[#This Row],[Total Sync Bo MOSFET Loss]])</f>
        <v>54.615723515394308</v>
      </c>
      <c r="BN104" s="9"/>
      <c r="BO104" s="4">
        <f>Table1[[#This Row],[EFF, h]]*100</f>
        <v>94.72957488967117</v>
      </c>
      <c r="BP104" s="354">
        <f>Table1[[#This Row],[Total Inductor Loss]]</f>
        <v>1.7847178116557807</v>
      </c>
      <c r="BQ104" s="354">
        <f>Table1[[#This Row],[Total Control Bu MOSFET Loss]]+Table1[[#This Row],[Total Sync Bu MOSFET Loss]]+Table1[[#This Row],[Total Control Bo MOSFET Loss]]+Table1[[#This Row],[Total Sync Bo MOSFET Loss]]+Table1[[#This Row],[Reverse Recovery Loss MOSFET D BUCK]]+Table1[[#This Row],[Reverse Recovery Loss MOSFET D BOOST]]</f>
        <v>5.7640461553350777</v>
      </c>
      <c r="BR104" s="354">
        <f>Table1[[#This Row],[Total Control Bu MOSFET Loss]]+Table1[[#This Row],[Reverse Recovery Loss MOSFET D BUCK]]*0.66</f>
        <v>4.0292771628857018</v>
      </c>
      <c r="BS104" s="354">
        <f>Table1[[#This Row],[Total Sync Bu MOSFET Loss]]+Table1[[#This Row],[Reverse Recovery Loss MOSFET D BUCK]]*0.33</f>
        <v>1.0155964745899051</v>
      </c>
      <c r="BT104" s="354">
        <f xml:space="preserve"> Table1[[#This Row],[Total Control Bo MOSFET Loss]]+Table1[[#This Row],[Reverse Recovery Loss MOSFET D BOOST]]*0.66</f>
        <v>0</v>
      </c>
      <c r="BU104" s="354">
        <f xml:space="preserve"> Table1[[#This Row],[Total Sync Bo MOSFET Loss]]+Table1[[#This Row],[Reverse Recovery Loss MOSFET D BOOST]]*0.33</f>
        <v>0.71598056585947045</v>
      </c>
      <c r="BV104" s="354">
        <f>Table1[[#This Row],[Isense Shunt Loss]]</f>
        <v>0.16262225587707857</v>
      </c>
      <c r="CB104" s="18"/>
      <c r="CC104" s="19"/>
    </row>
    <row r="105" spans="7:81" x14ac:dyDescent="0.2">
      <c r="G105">
        <v>96</v>
      </c>
      <c r="H105" s="555">
        <f>VIN_min+(VIN_max-VIN_min)*(Table1[[#This Row],[Step]]/200)</f>
        <v>26.72</v>
      </c>
      <c r="I105" s="4" t="str">
        <f>IF(Mode = 2,IF(Table1[[#This Row],[Vin]]&gt;Vout, "BUCK","BOOST"),IF(Table1[[#This Row],[Vin]]&gt;VIN_BB_to_buck, "BUCK", IF(Table1[[#This Row],[Vin]]&lt;=VIN_boost_to_BB,"BOOST","BUCK-BST")))</f>
        <v>BUCK</v>
      </c>
      <c r="J105">
        <f>IF(Table1[[#This Row],[Mode]]="BOOST",2, IF(Table1[[#This Row],[Mode]]="BUCK", 1,3))</f>
        <v>1</v>
      </c>
      <c r="K105">
        <f t="shared" si="4"/>
        <v>12</v>
      </c>
      <c r="L105" s="4">
        <f>Vout*Table1[[#This Row],[Iout]]/(Table1[[#This Row],[Vin]]*Efficiency)</f>
        <v>6.901985502678853</v>
      </c>
      <c r="M105" s="711">
        <f>MIN(1/Fsw,CHOOSE(Table1[[#This Row],[Mode Digit]],(Vout+(Rdson2+Rs+Rdcr)*Table1[[#This Row],[Iout]])/(Table1[[#This Row],[Vin]]+(Rs+Rdson2-Rdson1)*Table1[[#This Row],[Iout]])/Fsw,(Vout+(Rdson3+Rdcr)*Table1[[#This Row],[Iin]]-Table1[[#This Row],[Vin]])/(Vout+(Rdson3-Rdson4-Rs)*Table1[[#This Row],[Iin]])/Fsw,t1_Ph_II))</f>
        <v>9.1900311526479741E-7</v>
      </c>
      <c r="N105" s="602">
        <f>CHOOSE(Table1[[#This Row],[Mode Digit]],1/Fsw-Table1[[#This Row],[t1_Ph_II]],1/Fsw-Table1[[#This Row],[t1_Ph_II]],(Vout/Fsw-Table1[[#This Row],[Vin]]*t1_Ph_II)/(Table1[[#This Row],[Vin]]+Vout))</f>
        <v>7.4766355140186925E-7</v>
      </c>
      <c r="O105" s="602">
        <f>1/Fsw-(Table1[[#This Row],[t1_Ph_II]]+Table1[[#This Row],[t2_Ph_I]])</f>
        <v>0</v>
      </c>
      <c r="P10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9.8904701217785327</v>
      </c>
      <c r="Q105" s="4">
        <f>CHOOSE(Table1[[#This Row],[Mode Digit]],Table1[[#This Row],[I_0]]+1/Lf*(Table1[[#This Row],[Vin]]-Vout)*Table1[[#This Row],[t1_Ph_II]],Table1[[#This Row],[I_0]]+1/Lf*Table1[[#This Row],[Vin]]*Table1[[#This Row],[t1_Ph_II]],Table1[[#This Row],[I_0]]+(Table1[[#This Row],[Vin]]-Vout)/L*Table1[[#This Row],[t1_Ph_II]])</f>
        <v>14.109529878221466</v>
      </c>
      <c r="R105" s="4">
        <f>CHOOSE(Table1[[#This Row],[Mode Digit]],0,0,Table1[[#This Row],[I_1]]+Table1[[#This Row],[Vin]]/L*Table1[[#This Row],[t2_Ph_I]])</f>
        <v>0</v>
      </c>
      <c r="S105" s="4">
        <f>Fsw*(Table1[[#This Row],[I_0]]*Table1[[#This Row],[t1_Ph_II]]+Table1[[#This Row],[I_1]]*Table1[[#This Row],[t2_Ph_I]]+Table1[[#This Row],[I_2]]*Table1[[#This Row],[t3_Ph_III]])</f>
        <v>11.783132442425829</v>
      </c>
      <c r="T105" s="354">
        <f>MIN(1,CHOOSE(Table1[[#This Row],[Mode Digit]],(Vout+(Rdson2+Rs+Rdcr)*Table1[[#This Row],[Iout]])/(Table1[[#This Row],[Vin]]+(Rs+Rdson2-Rdson1)*Table1[[#This Row],[Iout]]),1,Fsw*Table1[[#This Row],[t2_Ph_I]]+Table1[[#This Row],[t1_Ph_II]]))</f>
        <v>0.55140186915887845</v>
      </c>
      <c r="U105" s="354">
        <f>MIN(1,CHOOSE(Table1[[#This Row],[Mode Digit]],0,(Vout+(Rdson3+Rdcr)*Table1[[#This Row],[Iin]]-Table1[[#This Row],[Vin]])/(Vout+(Rdson3-Rdson4-Rs)*Table1[[#This Row],[Iin]]),Fsw*Table1[[#This Row],[t1_Ph_II]]+Table1[[#This Row],[t3_Ph_III]]))</f>
        <v>0</v>
      </c>
      <c r="V105" s="4">
        <f>MAX(Table1[[#This Row],[I_0]:[I_2]])-MIN(Table1[[#This Row],[I_0]:[I_1]])</f>
        <v>4.2190597564429329</v>
      </c>
      <c r="W10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12.061648813589695</v>
      </c>
      <c r="X105" s="354">
        <f>(Table1[[#This Row],[Irms Lf]]^2*Rdcr*(1+Ltc*Ta-Ltc*25))/(1-Table1[[#This Row],[Irms Lf]]^2*Rdcr*Ltc*ThetaCa)</f>
        <v>0.90488733010640154</v>
      </c>
      <c r="Y105" s="354">
        <f>ABS(7.759*10^-3*Fsw^0.9458*(0.00787*Table1[[#This Row],[Ripple Current pk-pk]])^2.304)</f>
        <v>0.88634726017152954</v>
      </c>
      <c r="Z105" s="354">
        <f>Table1[[#This Row],[DCR    Loss]]+Table1[[#This Row],[Core Loss]]</f>
        <v>1.7912345902779312</v>
      </c>
      <c r="AA105" s="4">
        <f>IF(Table1[[#This Row],[Vin]]&gt;Vout, Table1[[#This Row],[Ripple Current pk-pk]]/SQRT(12), SQRT(Table1[[#This Row],[Duty Cycle BOOST Leg]]/(1-Table1[[#This Row],[Duty Cycle BOOST Leg]]))*SQRT(Table1[[#This Row],[Iout]]^2+(Table1[[#This Row],[Ripple Current pk-pk]]^2)/12))</f>
        <v>1.2179376430547222</v>
      </c>
      <c r="AB105" s="354">
        <f>RCoutEsr*Table1[[#This Row],[Irms Cout]]^2</f>
        <v>7.4168605118484603E-3</v>
      </c>
      <c r="AC105" s="354">
        <f>Table1[[#This Row],[Cout ESR Loss]]</f>
        <v>7.4168605118484603E-3</v>
      </c>
      <c r="AD105" s="354">
        <f>IF(Table1[[#This Row],[Vin]]&gt;Vout, SQRT(Table1[[#This Row],[Duty Cycle BUCK Leg]]*(1-Table1[[#This Row],[Duty Cycle BUCK Leg]]))*SQRT(Table1[[#This Row],[Iout]]^2+(Table1[[#This Row],[Ripple Current pk-pk]]^2)/12), Table1[[#This Row],[Ripple Current pk-pk]]/SQRT(12))</f>
        <v>5.9988710455186975</v>
      </c>
      <c r="AE105" s="354">
        <f>RCinEsr*Table1[[#This Row],[Irms Cin]]^2</f>
        <v>7.1972907641525183E-2</v>
      </c>
      <c r="AF105" s="549">
        <f>Table1[[#This Row],[Cin ESR Loss]]</f>
        <v>7.1972907641525183E-2</v>
      </c>
      <c r="AG10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8.9565508600567494</v>
      </c>
      <c r="AH105" s="354">
        <f>Rdson1*Table1[[#This Row],[Irms BuCtrl]]^2</f>
        <v>0.33692317389688992</v>
      </c>
      <c r="AI105" s="354">
        <f>CHOOSE(Table1[[#This Row],[Mode Digit]], (Table1[[#This Row],[Vin]]*Table1[[#This Row],[Iout]]/2)*(Fsw)*(Tr_buck+Tf_buck), 0, (Table1[[#This Row],[Vin]]*Table1[[#This Row],[Avg IL]]/2)*(Fsw/1)*(Tr_buck+Tf_buck))</f>
        <v>3.1795838965447571</v>
      </c>
      <c r="AJ105">
        <f>IF(Table1[[#This Row],[Vin]]&gt;Vout, IF(Table1[[#This Row],[Iout]]&gt;Table1[[#This Row],[Ripple Current pk-pk]]/2,0,ABS(Table1[[#This Row],[Iout]]-Table1[[#This Row],[Ripple Current pk-pk]]/2)*Vsd_Q1*Deadtime*Fsw),0)</f>
        <v>0</v>
      </c>
      <c r="AK105" s="354">
        <f>(Table1[[#This Row],[Dead Time Loss BuCtrl]]+Table1[[#This Row],[Transition Loss BuCtrl]]+Table1[[#This Row],[RDS(on) Loss BuCtrl]]*(1+RdsonTopTc*Ta-RdsonTopTc*25))/(1-Table1[[#This Row],[RDS(on) Loss BuCtrl]]*RdsonTopTc*ThetaJA_Q1)</f>
        <v>3.8258731482066044</v>
      </c>
      <c r="AL105" s="354">
        <f>CHOOSE(Table1[[#This Row],[Mode Digit]],SQRT((Fsw*(Table1[[#This Row],[t2_Ph_I]]+0))*((Table1[[#This Row],[I_0]]*Table1[[#This Row],[I_1]]+((Table1[[#This Row],[I_0]]-Table1[[#This Row],[I_1]])^2)/3))),0,SQRT((Fsw*(Table1[[#This Row],[t3_Ph_III]]+0))*((Table1[[#This Row],[I_0]]*Table1[[#This Row],[I_2]]+((Table1[[#This Row],[I_0]]-Table1[[#This Row],[I_2]])^2)/3))))</f>
        <v>8.078587054280371</v>
      </c>
      <c r="AM105" s="354">
        <f>Rdson2*Table1[[#This Row],[Irms BuSync]]^2</f>
        <v>0.2741069889330629</v>
      </c>
      <c r="AN10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5" s="354">
        <f>(Table1[[#This Row],[Deadtime Loss BuSync]]+Table1[[#This Row],[RDS(on) Loss BuSync]]*(1+RdsonBotTc*Ta-RdsonBotTc*25))/(1-Table1[[#This Row],[RDS(on) Loss BuSync]]*RdsonBotTc*ThetaJA_Q2)</f>
        <v>0.91143798254307751</v>
      </c>
      <c r="AP105" s="354">
        <f>CHOOSE(Table1[[#This Row],[Mode Digit]],0,SQRT((Fsw*(Table1[[#This Row],[t1_Ph_II]]+0))*((Table1[[#This Row],[I_0]]*Table1[[#This Row],[I_1]]+((Table1[[#This Row],[I_0]]-Table1[[#This Row],[I_1]])^2)/3))),SQRT((Fsw*(Table1[[#This Row],[t2_Ph_I]]+0))*((Table1[[#This Row],[I_1]]*Table1[[#This Row],[I_2]]+((Table1[[#This Row],[I_1]]-Table1[[#This Row],[I_2]])^2)/3))))</f>
        <v>0</v>
      </c>
      <c r="AQ105" s="354">
        <f>Rdson4*Table1[[#This Row],[Irms BoCtlr]]^2</f>
        <v>0</v>
      </c>
      <c r="AR105" s="354">
        <f>CHOOSE(Table1[[#This Row],[Mode Digit]], 0, (Vout*Table1[[#This Row],[Iin]]/2)*(Fsw)*(Tr_boost+Tf_boost), (Vout*Iout/2)*(Fsw/1)*(Tr_boost+Tf_boost))</f>
        <v>0</v>
      </c>
      <c r="AS105">
        <f>IF(Table1[[#This Row],[Vin]]&gt;Vout, 0, IF(Table1[[#This Row],[Iin]]&gt;Table1[[#This Row],[Ripple Current pk-pk]]/2,0,ABS(Table1[[#This Row],[Iin]]-Table1[[#This Row],[Ripple Current pk-pk]]/2)*Vsd_Q4*Deadtime*Fsw))</f>
        <v>0</v>
      </c>
      <c r="AT105" s="354">
        <f>(Table1[[#This Row],[Dead Time Loss BoCtlr]]+Table1[[#This Row],[Transition Loss BoCtlr]]+Table1[[#This Row],[RDS(on) Loss BoCtlr]]*(1+RdsonTopTc*Ta-RdsonTopTc*25))/(1-Table1[[#This Row],[RDS(on) Loss BoCtlr]]*RdsonTopTc*ThetaJA_Q4)</f>
        <v>0</v>
      </c>
      <c r="AU10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12.061648813589695</v>
      </c>
      <c r="AV105" s="354">
        <f>Rdson3*Table1[[#This Row],[Irms BoSync]]^2</f>
        <v>0.61103016282995282</v>
      </c>
      <c r="AW10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5" s="354">
        <f>(Table1[[#This Row],[Deadtime Loss BoSync]]+Table1[[#This Row],[RDS(on) Loss BoSync]]*(1+RdsonBotTc*Ta-RdsonBotTc*25))/(1-Table1[[#This Row],[RDS(on) Loss BoSync]]*RdsonBotTc*ThetaJA_Q3)</f>
        <v>0.71603467031690382</v>
      </c>
      <c r="AY105" s="354">
        <f>CHOOSE(Table1[[#This Row],[Mode Digit]], Rdson3*Table1[[#This Row],[Irms Lf]]^2, Rdson1*Table1[[#This Row],[Irms Lf]]^2, 0)</f>
        <v>0.61103016282995282</v>
      </c>
      <c r="AZ105" s="354">
        <f>CHOOSE(Table1[[#This Row],[Mode Digit]], 2*Deadtime*Fsw*IF(VfdSky_Q2&gt;0,VfdSky_Q2,0)*Table1[[#This Row],[Iout]], 2*Deadtime*Fsw*IF(VfdSky_Q3&gt;0,VfdSky_Q3,0)*Table1[[#This Row],[Iin]], 2*Deadtime*Fsw*IF(VfdSky_Q2&gt;0,VfdSky_Q2,0)*Table1[[#This Row],[Iout]]+2*Deadtime*Fsw*IF(VfdSky_Q3&gt;0,VfdSky_Q3,0)*Table1[[#This Row],[Iin]])</f>
        <v>0</v>
      </c>
      <c r="BA105" s="354">
        <f>CHOOSE(Table1[[#This Row],[Mode Digit]], IF(QrrSky_Q2&gt;0,QrrSky_Q2,Qrr_Q2)*Fsw*(Table1[[#This Row],[Vin]]-Table1[[#This Row],[Iout]]*Rdson1),0,  IF(QrrSky_Q2&gt;0,QrrSky_Q2,Qrr_Q2)*Fsw*(Table1[[#This Row],[Vin]]-Table1[[#This Row],[Iout]]*Rdson1)+IF(QrrSky_Q3&gt;0,QrrSky_Q3,Qrr_Q3)*Fsw*Vout)</f>
        <v>0.32003520000000002</v>
      </c>
      <c r="BB105" s="354">
        <f>CHOOSE(Table1[[#This Row],[Mode Digit]],0, IF(QrrSky_Q3&gt;0,QrrSky_Q3,Qrr_Q3)*Fsw*Vout,  IF(QrrSky_Q2&gt;0,QrrSky_Q2,Qrr_Q2)*Fsw*(Table1[[#This Row],[Vin]]-Table1[[#This Row],[Iout]]*Rdson1)+IF(QrrSky_Q3&gt;0,QrrSky_Q3,Qrr_Q3)*Fsw*Vout)</f>
        <v>0</v>
      </c>
      <c r="BC105" s="354">
        <f>CHOOSE(Table1[[#This Row],[Mode Digit]], Rs*Table1[[#This Row],[Irms BuSync]]^2, Rs*Table1[[#This Row],[Irms BoCtlr]]^2, Rs*(Table1[[#This Row],[Irms BuSync]]^2+Table1[[#This Row],[Irms BoCtlr]]^2))</f>
        <v>0.163158921983966</v>
      </c>
      <c r="BD105" s="354">
        <f t="shared" si="5"/>
        <v>1.44</v>
      </c>
      <c r="BE105" s="354">
        <f>IF(Vout&gt;8, Iq*Vout, Iq*Table1[[#This Row],[Vin]])</f>
        <v>4.3799999999999999E-2</v>
      </c>
      <c r="BF105" s="354">
        <f>CHOOSE(Table1[[#This Row],[Mode Digit]], (Qg_Q1+Qg_Q2)*Fsw, (Qg_Q3+Qg_Q4)*Fsw, (Qg_Q1+Qg_Q2+Qg_Q3+Qg_Q4)*Fsw)*IF(Vout&gt;8, Vout, Table1[[#This Row],[Vin]])</f>
        <v>0.47303999999999996</v>
      </c>
      <c r="BG105" s="354">
        <f t="shared" si="6"/>
        <v>0.57269042016806726</v>
      </c>
      <c r="BH105" s="354">
        <f>Table1[[#This Row],[IQ Loss]]+Table1[[#This Row],[Switching Current Loss]]</f>
        <v>0.51683999999999997</v>
      </c>
      <c r="BI10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9.7640042814818564</v>
      </c>
      <c r="BJ105">
        <f>Vout*Table1[[#This Row],[Iout]]</f>
        <v>175.2</v>
      </c>
      <c r="BK105" s="550">
        <f>Table1[[#This Row],[Pout]]/(Table1[[#This Row],[Pout]]+Table1[[#This Row],[Total Loss]])</f>
        <v>0.94721132730981106</v>
      </c>
      <c r="BL10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229.55238889239627</v>
      </c>
      <c r="BM105" s="559">
        <f>IF(Table1[[#This Row],[Vin]]&gt;Vout, Table1[[#This Row],[Total Sync Bu MOSFET Loss]]*ThetaJA_Q2, ThetaJA_Q3*Table1[[#This Row],[Total Sync Bo MOSFET Loss]])</f>
        <v>54.686278952584651</v>
      </c>
      <c r="BN105" s="9"/>
      <c r="BO105" s="4">
        <f>Table1[[#This Row],[EFF, h]]*100</f>
        <v>94.721132730981111</v>
      </c>
      <c r="BP105" s="354">
        <f>Table1[[#This Row],[Total Inductor Loss]]</f>
        <v>1.7912345902779312</v>
      </c>
      <c r="BQ105" s="354">
        <f>Table1[[#This Row],[Total Control Bu MOSFET Loss]]+Table1[[#This Row],[Total Sync Bu MOSFET Loss]]+Table1[[#This Row],[Total Control Bo MOSFET Loss]]+Table1[[#This Row],[Total Sync Bo MOSFET Loss]]+Table1[[#This Row],[Reverse Recovery Loss MOSFET D BUCK]]+Table1[[#This Row],[Reverse Recovery Loss MOSFET D BOOST]]</f>
        <v>5.7733810010665865</v>
      </c>
      <c r="BR105" s="354">
        <f>Table1[[#This Row],[Total Control Bu MOSFET Loss]]+Table1[[#This Row],[Reverse Recovery Loss MOSFET D BUCK]]*0.66</f>
        <v>4.037096380206604</v>
      </c>
      <c r="BS105" s="354">
        <f>Table1[[#This Row],[Total Sync Bu MOSFET Loss]]+Table1[[#This Row],[Reverse Recovery Loss MOSFET D BUCK]]*0.33</f>
        <v>1.0170495985430774</v>
      </c>
      <c r="BT105" s="354">
        <f xml:space="preserve"> Table1[[#This Row],[Total Control Bo MOSFET Loss]]+Table1[[#This Row],[Reverse Recovery Loss MOSFET D BOOST]]*0.66</f>
        <v>0</v>
      </c>
      <c r="BU105" s="354">
        <f xml:space="preserve"> Table1[[#This Row],[Total Sync Bo MOSFET Loss]]+Table1[[#This Row],[Reverse Recovery Loss MOSFET D BOOST]]*0.33</f>
        <v>0.71603467031690382</v>
      </c>
      <c r="BV105" s="354">
        <f>Table1[[#This Row],[Isense Shunt Loss]]</f>
        <v>0.163158921983966</v>
      </c>
      <c r="CB105" s="18"/>
      <c r="CC105" s="19"/>
    </row>
    <row r="106" spans="7:81" x14ac:dyDescent="0.2">
      <c r="G106">
        <v>97</v>
      </c>
      <c r="H106" s="555">
        <f>VIN_min+(VIN_max-VIN_min)*(Table1[[#This Row],[Step]]/200)</f>
        <v>26.79</v>
      </c>
      <c r="I106" s="4" t="str">
        <f>IF(Mode = 2,IF(Table1[[#This Row],[Vin]]&gt;Vout, "BUCK","BOOST"),IF(Table1[[#This Row],[Vin]]&gt;VIN_BB_to_buck, "BUCK", IF(Table1[[#This Row],[Vin]]&lt;=VIN_boost_to_BB,"BOOST","BUCK-BST")))</f>
        <v>BUCK</v>
      </c>
      <c r="J106">
        <f>IF(Table1[[#This Row],[Mode]]="BOOST",2, IF(Table1[[#This Row],[Mode]]="BUCK", 1,3))</f>
        <v>1</v>
      </c>
      <c r="K106">
        <f t="shared" si="4"/>
        <v>12</v>
      </c>
      <c r="L106" s="4">
        <f>Vout*Table1[[#This Row],[Iout]]/(Table1[[#This Row],[Vin]]*Efficiency)</f>
        <v>6.8839511993870452</v>
      </c>
      <c r="M106" s="711">
        <f>MIN(1/Fsw,CHOOSE(Table1[[#This Row],[Mode Digit]],(Vout+(Rdson2+Rs+Rdcr)*Table1[[#This Row],[Iout]])/(Table1[[#This Row],[Vin]]+(Rs+Rdson2-Rdson1)*Table1[[#This Row],[Iout]])/Fsw,(Vout+(Rdson3+Rdcr)*Table1[[#This Row],[Iin]]-Table1[[#This Row],[Vin]])/(Vout+(Rdson3-Rdson4-Rs)*Table1[[#This Row],[Iin]])/Fsw,t1_Ph_II))</f>
        <v>9.1660452398707421E-7</v>
      </c>
      <c r="N106" s="602">
        <f>CHOOSE(Table1[[#This Row],[Mode Digit]],1/Fsw-Table1[[#This Row],[t1_Ph_II]],1/Fsw-Table1[[#This Row],[t1_Ph_II]],(Vout/Fsw-Table1[[#This Row],[Vin]]*t1_Ph_II)/(Table1[[#This Row],[Vin]]+Vout))</f>
        <v>7.5006214267959245E-7</v>
      </c>
      <c r="O106" s="602">
        <f>1/Fsw-(Table1[[#This Row],[t1_Ph_II]]+Table1[[#This Row],[t2_Ph_I]])</f>
        <v>0</v>
      </c>
      <c r="P10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9.8838240251131744</v>
      </c>
      <c r="Q106" s="4">
        <f>CHOOSE(Table1[[#This Row],[Mode Digit]],Table1[[#This Row],[I_0]]+1/Lf*(Table1[[#This Row],[Vin]]-Vout)*Table1[[#This Row],[t1_Ph_II]],Table1[[#This Row],[I_0]]+1/Lf*Table1[[#This Row],[Vin]]*Table1[[#This Row],[t1_Ph_II]],Table1[[#This Row],[I_0]]+(Table1[[#This Row],[Vin]]-Vout)/L*Table1[[#This Row],[t1_Ph_II]])</f>
        <v>14.116175974886824</v>
      </c>
      <c r="R106" s="4">
        <f>CHOOSE(Table1[[#This Row],[Mode Digit]],0,0,Table1[[#This Row],[I_1]]+Table1[[#This Row],[Vin]]/L*Table1[[#This Row],[t2_Ph_I]])</f>
        <v>0</v>
      </c>
      <c r="S106" s="4">
        <f>Fsw*(Table1[[#This Row],[I_0]]*Table1[[#This Row],[t1_Ph_II]]+Table1[[#This Row],[I_1]]*Table1[[#This Row],[t2_Ph_I]]+Table1[[#This Row],[I_2]]*Table1[[#This Row],[t3_Ph_III]])</f>
        <v>11.788540208325998</v>
      </c>
      <c r="T106" s="354">
        <f>MIN(1,CHOOSE(Table1[[#This Row],[Mode Digit]],(Vout+(Rdson2+Rs+Rdcr)*Table1[[#This Row],[Iout]])/(Table1[[#This Row],[Vin]]+(Rs+Rdson2-Rdson1)*Table1[[#This Row],[Iout]]),1,Fsw*Table1[[#This Row],[t2_Ph_I]]+Table1[[#This Row],[t1_Ph_II]]))</f>
        <v>0.54996271439224453</v>
      </c>
      <c r="U106" s="354">
        <f>MIN(1,CHOOSE(Table1[[#This Row],[Mode Digit]],0,(Vout+(Rdson3+Rdcr)*Table1[[#This Row],[Iin]]-Table1[[#This Row],[Vin]])/(Vout+(Rdson3-Rdson4-Rs)*Table1[[#This Row],[Iin]]),Fsw*Table1[[#This Row],[t1_Ph_II]]+Table1[[#This Row],[t3_Ph_III]]))</f>
        <v>0</v>
      </c>
      <c r="V106" s="4">
        <f>MAX(Table1[[#This Row],[I_0]:[I_2]])-MIN(Table1[[#This Row],[I_0]:[I_1]])</f>
        <v>4.2323519497736495</v>
      </c>
      <c r="W10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12.062036875485115</v>
      </c>
      <c r="X106" s="354">
        <f>(Table1[[#This Row],[Irms Lf]]^2*Rdcr*(1+Ltc*Ta-Ltc*25))/(1-Table1[[#This Row],[Irms Lf]]^2*Rdcr*Ltc*ThetaCa)</f>
        <v>0.90494977270791732</v>
      </c>
      <c r="Y106" s="354">
        <f>ABS(7.759*10^-3*Fsw^0.9458*(0.00787*Table1[[#This Row],[Ripple Current pk-pk]])^2.304)</f>
        <v>0.89279427726710603</v>
      </c>
      <c r="Z106" s="354">
        <f>Table1[[#This Row],[DCR    Loss]]+Table1[[#This Row],[Core Loss]]</f>
        <v>1.7977440499750235</v>
      </c>
      <c r="AA106" s="4">
        <f>IF(Table1[[#This Row],[Vin]]&gt;Vout, Table1[[#This Row],[Ripple Current pk-pk]]/SQRT(12), SQRT(Table1[[#This Row],[Duty Cycle BOOST Leg]]/(1-Table1[[#This Row],[Duty Cycle BOOST Leg]]))*SQRT(Table1[[#This Row],[Iout]]^2+(Table1[[#This Row],[Ripple Current pk-pk]]^2)/12))</f>
        <v>1.221774768753527</v>
      </c>
      <c r="AB106" s="354">
        <f>RCoutEsr*Table1[[#This Row],[Irms Cout]]^2</f>
        <v>7.4636679278136725E-3</v>
      </c>
      <c r="AC106" s="354">
        <f>Table1[[#This Row],[Cout ESR Loss]]</f>
        <v>7.4636679278136725E-3</v>
      </c>
      <c r="AD106" s="354">
        <f>IF(Table1[[#This Row],[Vin]]&gt;Vout, SQRT(Table1[[#This Row],[Duty Cycle BUCK Leg]]*(1-Table1[[#This Row],[Duty Cycle BUCK Leg]]))*SQRT(Table1[[#This Row],[Iout]]^2+(Table1[[#This Row],[Ripple Current pk-pk]]^2)/12), Table1[[#This Row],[Ripple Current pk-pk]]/SQRT(12))</f>
        <v>6.0008327620972697</v>
      </c>
      <c r="AE106" s="354">
        <f>RCinEsr*Table1[[#This Row],[Irms Cin]]^2</f>
        <v>7.2019987677319888E-2</v>
      </c>
      <c r="AF106" s="549">
        <f>Table1[[#This Row],[Cin ESR Loss]]</f>
        <v>7.2019987677319888E-2</v>
      </c>
      <c r="AG10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8.945142742687997</v>
      </c>
      <c r="AH106" s="354">
        <f>Rdson1*Table1[[#This Row],[Irms BuCtrl]]^2</f>
        <v>0.33606543048566773</v>
      </c>
      <c r="AI106" s="354">
        <f>CHOOSE(Table1[[#This Row],[Mode Digit]], (Table1[[#This Row],[Vin]]*Table1[[#This Row],[Iout]]/2)*(Fsw)*(Tr_buck+Tf_buck), 0, (Table1[[#This Row],[Vin]]*Table1[[#This Row],[Avg IL]]/2)*(Fsw/1)*(Tr_buck+Tf_buck))</f>
        <v>3.1879136447767231</v>
      </c>
      <c r="AJ106">
        <f>IF(Table1[[#This Row],[Vin]]&gt;Vout, IF(Table1[[#This Row],[Iout]]&gt;Table1[[#This Row],[Ripple Current pk-pk]]/2,0,ABS(Table1[[#This Row],[Iout]]-Table1[[#This Row],[Ripple Current pk-pk]]/2)*Vsd_Q1*Deadtime*Fsw),0)</f>
        <v>0</v>
      </c>
      <c r="AK106" s="354">
        <f>(Table1[[#This Row],[Dead Time Loss BuCtrl]]+Table1[[#This Row],[Transition Loss BuCtrl]]+Table1[[#This Row],[RDS(on) Loss BuCtrl]]*(1+RdsonTopTc*Ta-RdsonTopTc*25))/(1-Table1[[#This Row],[RDS(on) Loss BuCtrl]]*RdsonTopTc*ThetaJA_Q1)</f>
        <v>3.8331440005395625</v>
      </c>
      <c r="AL106" s="354">
        <f>CHOOSE(Table1[[#This Row],[Mode Digit]],SQRT((Fsw*(Table1[[#This Row],[t2_Ph_I]]+0))*((Table1[[#This Row],[I_0]]*Table1[[#This Row],[I_1]]+((Table1[[#This Row],[I_0]]-Table1[[#This Row],[I_1]])^2)/3))),0,SQRT((Fsw*(Table1[[#This Row],[t3_Ph_III]]+0))*((Table1[[#This Row],[I_0]]*Table1[[#This Row],[I_2]]+((Table1[[#This Row],[I_0]]-Table1[[#This Row],[I_2]])^2)/3))))</f>
        <v>8.091795529948774</v>
      </c>
      <c r="AM106" s="354">
        <f>Rdson2*Table1[[#This Row],[Irms BuSync]]^2</f>
        <v>0.2750040505736957</v>
      </c>
      <c r="AN10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6" s="354">
        <f>(Table1[[#This Row],[Deadtime Loss BuSync]]+Table1[[#This Row],[RDS(on) Loss BuSync]]*(1+RdsonBotTc*Ta-RdsonBotTc*25))/(1-Table1[[#This Row],[RDS(on) Loss BuSync]]*RdsonBotTc*ThetaJA_Q2)</f>
        <v>0.91260852925724734</v>
      </c>
      <c r="AP106" s="354">
        <f>CHOOSE(Table1[[#This Row],[Mode Digit]],0,SQRT((Fsw*(Table1[[#This Row],[t1_Ph_II]]+0))*((Table1[[#This Row],[I_0]]*Table1[[#This Row],[I_1]]+((Table1[[#This Row],[I_0]]-Table1[[#This Row],[I_1]])^2)/3))),SQRT((Fsw*(Table1[[#This Row],[t2_Ph_I]]+0))*((Table1[[#This Row],[I_1]]*Table1[[#This Row],[I_2]]+((Table1[[#This Row],[I_1]]-Table1[[#This Row],[I_2]])^2)/3))))</f>
        <v>0</v>
      </c>
      <c r="AQ106" s="354">
        <f>Rdson4*Table1[[#This Row],[Irms BoCtlr]]^2</f>
        <v>0</v>
      </c>
      <c r="AR106" s="354">
        <f>CHOOSE(Table1[[#This Row],[Mode Digit]], 0, (Vout*Table1[[#This Row],[Iin]]/2)*(Fsw)*(Tr_boost+Tf_boost), (Vout*Iout/2)*(Fsw/1)*(Tr_boost+Tf_boost))</f>
        <v>0</v>
      </c>
      <c r="AS106">
        <f>IF(Table1[[#This Row],[Vin]]&gt;Vout, 0, IF(Table1[[#This Row],[Iin]]&gt;Table1[[#This Row],[Ripple Current pk-pk]]/2,0,ABS(Table1[[#This Row],[Iin]]-Table1[[#This Row],[Ripple Current pk-pk]]/2)*Vsd_Q4*Deadtime*Fsw))</f>
        <v>0</v>
      </c>
      <c r="AT106" s="354">
        <f>(Table1[[#This Row],[Dead Time Loss BoCtlr]]+Table1[[#This Row],[Transition Loss BoCtlr]]+Table1[[#This Row],[RDS(on) Loss BoCtlr]]*(1+RdsonTopTc*Ta-RdsonTopTc*25))/(1-Table1[[#This Row],[RDS(on) Loss BoCtlr]]*RdsonTopTc*ThetaJA_Q4)</f>
        <v>0</v>
      </c>
      <c r="AU10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12.062036875485115</v>
      </c>
      <c r="AV106" s="354">
        <f>Rdson3*Table1[[#This Row],[Irms BoSync]]^2</f>
        <v>0.61106948105936354</v>
      </c>
      <c r="AW10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6" s="354">
        <f>(Table1[[#This Row],[Deadtime Loss BoSync]]+Table1[[#This Row],[RDS(on) Loss BoSync]]*(1+RdsonBotTc*Ta-RdsonBotTc*25))/(1-Table1[[#This Row],[RDS(on) Loss BoSync]]*RdsonBotTc*ThetaJA_Q3)</f>
        <v>0.71608866382665493</v>
      </c>
      <c r="AY106" s="354">
        <f>CHOOSE(Table1[[#This Row],[Mode Digit]], Rdson3*Table1[[#This Row],[Irms Lf]]^2, Rdson1*Table1[[#This Row],[Irms Lf]]^2, 0)</f>
        <v>0.61106948105936354</v>
      </c>
      <c r="AZ106" s="354">
        <f>CHOOSE(Table1[[#This Row],[Mode Digit]], 2*Deadtime*Fsw*IF(VfdSky_Q2&gt;0,VfdSky_Q2,0)*Table1[[#This Row],[Iout]], 2*Deadtime*Fsw*IF(VfdSky_Q3&gt;0,VfdSky_Q3,0)*Table1[[#This Row],[Iin]], 2*Deadtime*Fsw*IF(VfdSky_Q2&gt;0,VfdSky_Q2,0)*Table1[[#This Row],[Iout]]+2*Deadtime*Fsw*IF(VfdSky_Q3&gt;0,VfdSky_Q3,0)*Table1[[#This Row],[Iin]])</f>
        <v>0</v>
      </c>
      <c r="BA106" s="354">
        <f>CHOOSE(Table1[[#This Row],[Mode Digit]], IF(QrrSky_Q2&gt;0,QrrSky_Q2,Qrr_Q2)*Fsw*(Table1[[#This Row],[Vin]]-Table1[[#This Row],[Iout]]*Rdson1),0,  IF(QrrSky_Q2&gt;0,QrrSky_Q2,Qrr_Q2)*Fsw*(Table1[[#This Row],[Vin]]-Table1[[#This Row],[Iout]]*Rdson1)+IF(QrrSky_Q3&gt;0,QrrSky_Q3,Qrr_Q3)*Fsw*Vout)</f>
        <v>0.32087519999999997</v>
      </c>
      <c r="BB106" s="354">
        <f>CHOOSE(Table1[[#This Row],[Mode Digit]],0, IF(QrrSky_Q3&gt;0,QrrSky_Q3,Qrr_Q3)*Fsw*Vout,  IF(QrrSky_Q2&gt;0,QrrSky_Q2,Qrr_Q2)*Fsw*(Table1[[#This Row],[Vin]]-Table1[[#This Row],[Iout]]*Rdson1)+IF(QrrSky_Q3&gt;0,QrrSky_Q3,Qrr_Q3)*Fsw*Vout)</f>
        <v>0</v>
      </c>
      <c r="BC106" s="354">
        <f>CHOOSE(Table1[[#This Row],[Mode Digit]], Rs*Table1[[#This Row],[Irms BuSync]]^2, Rs*Table1[[#This Row],[Irms BoCtlr]]^2, Rs*(Table1[[#This Row],[Irms BuSync]]^2+Table1[[#This Row],[Irms BoCtlr]]^2))</f>
        <v>0.16369288724624742</v>
      </c>
      <c r="BD106" s="354">
        <f t="shared" si="5"/>
        <v>1.44</v>
      </c>
      <c r="BE106" s="354">
        <f>IF(Vout&gt;8, Iq*Vout, Iq*Table1[[#This Row],[Vin]])</f>
        <v>4.3799999999999999E-2</v>
      </c>
      <c r="BF106" s="354">
        <f>CHOOSE(Table1[[#This Row],[Mode Digit]], (Qg_Q1+Qg_Q2)*Fsw, (Qg_Q3+Qg_Q4)*Fsw, (Qg_Q1+Qg_Q2+Qg_Q3+Qg_Q4)*Fsw)*IF(Vout&gt;8, Vout, Table1[[#This Row],[Vin]])</f>
        <v>0.47303999999999996</v>
      </c>
      <c r="BG106" s="354">
        <f t="shared" si="6"/>
        <v>0.57269042016806726</v>
      </c>
      <c r="BH106" s="354">
        <f>Table1[[#This Row],[IQ Loss]]+Table1[[#This Row],[Switching Current Loss]]</f>
        <v>0.51683999999999997</v>
      </c>
      <c r="BI10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9.7804769864498677</v>
      </c>
      <c r="BJ106">
        <f>Vout*Table1[[#This Row],[Iout]]</f>
        <v>175.2</v>
      </c>
      <c r="BK106" s="550">
        <f>Table1[[#This Row],[Pout]]/(Table1[[#This Row],[Pout]]+Table1[[#This Row],[Total Loss]])</f>
        <v>0.9471269771503168</v>
      </c>
      <c r="BL10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229.98864003237375</v>
      </c>
      <c r="BM106" s="559">
        <f>IF(Table1[[#This Row],[Vin]]&gt;Vout, Table1[[#This Row],[Total Sync Bu MOSFET Loss]]*ThetaJA_Q2, ThetaJA_Q3*Table1[[#This Row],[Total Sync Bo MOSFET Loss]])</f>
        <v>54.756511755434843</v>
      </c>
      <c r="BN106" s="9"/>
      <c r="BO106" s="4">
        <f>Table1[[#This Row],[EFF, h]]*100</f>
        <v>94.71269771503168</v>
      </c>
      <c r="BP106" s="354">
        <f>Table1[[#This Row],[Total Inductor Loss]]</f>
        <v>1.7977440499750235</v>
      </c>
      <c r="BQ106" s="354">
        <f>Table1[[#This Row],[Total Control Bu MOSFET Loss]]+Table1[[#This Row],[Total Sync Bu MOSFET Loss]]+Table1[[#This Row],[Total Control Bo MOSFET Loss]]+Table1[[#This Row],[Total Sync Bo MOSFET Loss]]+Table1[[#This Row],[Reverse Recovery Loss MOSFET D BUCK]]+Table1[[#This Row],[Reverse Recovery Loss MOSFET D BOOST]]</f>
        <v>5.7827163936234642</v>
      </c>
      <c r="BR106" s="354">
        <f>Table1[[#This Row],[Total Control Bu MOSFET Loss]]+Table1[[#This Row],[Reverse Recovery Loss MOSFET D BUCK]]*0.66</f>
        <v>4.0449216325395625</v>
      </c>
      <c r="BS106" s="354">
        <f>Table1[[#This Row],[Total Sync Bu MOSFET Loss]]+Table1[[#This Row],[Reverse Recovery Loss MOSFET D BUCK]]*0.33</f>
        <v>1.0184973452572472</v>
      </c>
      <c r="BT106" s="354">
        <f xml:space="preserve"> Table1[[#This Row],[Total Control Bo MOSFET Loss]]+Table1[[#This Row],[Reverse Recovery Loss MOSFET D BOOST]]*0.66</f>
        <v>0</v>
      </c>
      <c r="BU106" s="354">
        <f xml:space="preserve"> Table1[[#This Row],[Total Sync Bo MOSFET Loss]]+Table1[[#This Row],[Reverse Recovery Loss MOSFET D BOOST]]*0.33</f>
        <v>0.71608866382665493</v>
      </c>
      <c r="BV106" s="354">
        <f>Table1[[#This Row],[Isense Shunt Loss]]</f>
        <v>0.16369288724624742</v>
      </c>
      <c r="CB106" s="18"/>
      <c r="CC106" s="19"/>
    </row>
    <row r="107" spans="7:81" x14ac:dyDescent="0.2">
      <c r="G107">
        <v>98</v>
      </c>
      <c r="H107" s="555">
        <f>VIN_min+(VIN_max-VIN_min)*(Table1[[#This Row],[Step]]/200)</f>
        <v>26.86</v>
      </c>
      <c r="I107" s="4" t="str">
        <f>IF(Mode = 2,IF(Table1[[#This Row],[Vin]]&gt;Vout, "BUCK","BOOST"),IF(Table1[[#This Row],[Vin]]&gt;VIN_BB_to_buck, "BUCK", IF(Table1[[#This Row],[Vin]]&lt;=VIN_boost_to_BB,"BOOST","BUCK-BST")))</f>
        <v>BUCK</v>
      </c>
      <c r="J107">
        <f>IF(Table1[[#This Row],[Mode]]="BOOST",2, IF(Table1[[#This Row],[Mode]]="BUCK", 1,3))</f>
        <v>1</v>
      </c>
      <c r="K107">
        <f t="shared" si="4"/>
        <v>12</v>
      </c>
      <c r="L107" s="4">
        <f>Vout*Table1[[#This Row],[Iout]]/(Table1[[#This Row],[Vin]]*Efficiency)</f>
        <v>6.8660108946976521</v>
      </c>
      <c r="M107" s="711">
        <f>MIN(1/Fsw,CHOOSE(Table1[[#This Row],[Mode Digit]],(Vout+(Rdson2+Rs+Rdcr)*Table1[[#This Row],[Iout]])/(Table1[[#This Row],[Vin]]+(Rs+Rdson2-Rdson1)*Table1[[#This Row],[Iout]])/Fsw,(Vout+(Rdson3+Rdcr)*Table1[[#This Row],[Iin]]-Table1[[#This Row],[Vin]])/(Vout+(Rdson3-Rdson4-Rs)*Table1[[#This Row],[Iin]])/Fsw,t1_Ph_II))</f>
        <v>9.1421842072641628E-7</v>
      </c>
      <c r="N107" s="602">
        <f>CHOOSE(Table1[[#This Row],[Mode Digit]],1/Fsw-Table1[[#This Row],[t1_Ph_II]],1/Fsw-Table1[[#This Row],[t1_Ph_II]],(Vout/Fsw-Table1[[#This Row],[Vin]]*t1_Ph_II)/(Table1[[#This Row],[Vin]]+Vout))</f>
        <v>7.5244824594025038E-7</v>
      </c>
      <c r="O107" s="602">
        <f>1/Fsw-(Table1[[#This Row],[t1_Ph_II]]+Table1[[#This Row],[t2_Ph_I]])</f>
        <v>0</v>
      </c>
      <c r="P10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9.8772125306617689</v>
      </c>
      <c r="Q107" s="4">
        <f>CHOOSE(Table1[[#This Row],[Mode Digit]],Table1[[#This Row],[I_0]]+1/Lf*(Table1[[#This Row],[Vin]]-Vout)*Table1[[#This Row],[t1_Ph_II]],Table1[[#This Row],[I_0]]+1/Lf*Table1[[#This Row],[Vin]]*Table1[[#This Row],[t1_Ph_II]],Table1[[#This Row],[I_0]]+(Table1[[#This Row],[Vin]]-Vout)/L*Table1[[#This Row],[t1_Ph_II]])</f>
        <v>14.122787469338231</v>
      </c>
      <c r="R107" s="4">
        <f>CHOOSE(Table1[[#This Row],[Mode Digit]],0,0,Table1[[#This Row],[I_1]]+Table1[[#This Row],[Vin]]/L*Table1[[#This Row],[t2_Ph_I]])</f>
        <v>0</v>
      </c>
      <c r="S107" s="4">
        <f>Fsw*(Table1[[#This Row],[I_0]]*Table1[[#This Row],[t1_Ph_II]]+Table1[[#This Row],[I_1]]*Table1[[#This Row],[t2_Ph_I]]+Table1[[#This Row],[I_2]]*Table1[[#This Row],[t3_Ph_III]])</f>
        <v>11.793957780030762</v>
      </c>
      <c r="T107" s="354">
        <f>MIN(1,CHOOSE(Table1[[#This Row],[Mode Digit]],(Vout+(Rdson2+Rs+Rdcr)*Table1[[#This Row],[Iout]])/(Table1[[#This Row],[Vin]]+(Rs+Rdson2-Rdson1)*Table1[[#This Row],[Iout]]),1,Fsw*Table1[[#This Row],[t2_Ph_I]]+Table1[[#This Row],[t1_Ph_II]]))</f>
        <v>0.54853105243584976</v>
      </c>
      <c r="U107" s="354">
        <f>MIN(1,CHOOSE(Table1[[#This Row],[Mode Digit]],0,(Vout+(Rdson3+Rdcr)*Table1[[#This Row],[Iin]]-Table1[[#This Row],[Vin]])/(Vout+(Rdson3-Rdson4-Rs)*Table1[[#This Row],[Iin]]),Fsw*Table1[[#This Row],[t1_Ph_II]]+Table1[[#This Row],[t3_Ph_III]]))</f>
        <v>0</v>
      </c>
      <c r="V107" s="4">
        <f>MAX(Table1[[#This Row],[I_0]:[I_2]])-MIN(Table1[[#This Row],[I_0]:[I_1]])</f>
        <v>4.2455749386764623</v>
      </c>
      <c r="W10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12.062424115685031</v>
      </c>
      <c r="X107" s="354">
        <f>(Table1[[#This Row],[Irms Lf]]^2*Rdcr*(1+Ltc*Ta-Ltc*25))/(1-Table1[[#This Row],[Irms Lf]]^2*Rdcr*Ltc*ThetaCa)</f>
        <v>0.90501208567383118</v>
      </c>
      <c r="Y107" s="354">
        <f>ABS(7.759*10^-3*Fsw^0.9458*(0.00787*Table1[[#This Row],[Ripple Current pk-pk]])^2.304)</f>
        <v>0.89923397936515903</v>
      </c>
      <c r="Z107" s="354">
        <f>Table1[[#This Row],[DCR    Loss]]+Table1[[#This Row],[Core Loss]]</f>
        <v>1.8042460650389902</v>
      </c>
      <c r="AA107" s="4">
        <f>IF(Table1[[#This Row],[Vin]]&gt;Vout, Table1[[#This Row],[Ripple Current pk-pk]]/SQRT(12), SQRT(Table1[[#This Row],[Duty Cycle BOOST Leg]]/(1-Table1[[#This Row],[Duty Cycle BOOST Leg]]))*SQRT(Table1[[#This Row],[Iout]]^2+(Table1[[#This Row],[Ripple Current pk-pk]]^2)/12))</f>
        <v>1.2255919168547922</v>
      </c>
      <c r="AB107" s="354">
        <f>RCoutEsr*Table1[[#This Row],[Irms Cout]]^2</f>
        <v>7.51037773329902E-3</v>
      </c>
      <c r="AC107" s="354">
        <f>Table1[[#This Row],[Cout ESR Loss]]</f>
        <v>7.51037773329902E-3</v>
      </c>
      <c r="AD107" s="354">
        <f>IF(Table1[[#This Row],[Vin]]&gt;Vout, SQRT(Table1[[#This Row],[Duty Cycle BUCK Leg]]*(1-Table1[[#This Row],[Duty Cycle BUCK Leg]]))*SQRT(Table1[[#This Row],[Iout]]^2+(Table1[[#This Row],[Ripple Current pk-pk]]^2)/12), Table1[[#This Row],[Ripple Current pk-pk]]/SQRT(12))</f>
        <v>6.0027346455056891</v>
      </c>
      <c r="AE107" s="354">
        <f>RCinEsr*Table1[[#This Row],[Irms Cin]]^2</f>
        <v>7.2065646448708623E-2</v>
      </c>
      <c r="AF107" s="549">
        <f>Table1[[#This Row],[Cin ESR Loss]]</f>
        <v>7.2065646448708623E-2</v>
      </c>
      <c r="AG10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8.9337789669999008</v>
      </c>
      <c r="AH107" s="354">
        <f>Rdson1*Table1[[#This Row],[Irms BuCtrl]]^2</f>
        <v>0.33521210785108124</v>
      </c>
      <c r="AI107" s="354">
        <f>CHOOSE(Table1[[#This Row],[Mode Digit]], (Table1[[#This Row],[Vin]]*Table1[[#This Row],[Iout]]/2)*(Fsw)*(Tr_buck+Tf_buck), 0, (Table1[[#This Row],[Vin]]*Table1[[#This Row],[Avg IL]]/2)*(Fsw/1)*(Tr_buck+Tf_buck))</f>
        <v>3.1962433930086891</v>
      </c>
      <c r="AJ107">
        <f>IF(Table1[[#This Row],[Vin]]&gt;Vout, IF(Table1[[#This Row],[Iout]]&gt;Table1[[#This Row],[Ripple Current pk-pk]]/2,0,ABS(Table1[[#This Row],[Iout]]-Table1[[#This Row],[Ripple Current pk-pk]]/2)*Vsd_Q1*Deadtime*Fsw),0)</f>
        <v>0</v>
      </c>
      <c r="AK107" s="354">
        <f>(Table1[[#This Row],[Dead Time Loss BuCtrl]]+Table1[[#This Row],[Transition Loss BuCtrl]]+Table1[[#This Row],[RDS(on) Loss BuCtrl]]*(1+RdsonTopTc*Ta-RdsonTopTc*25))/(1-Table1[[#This Row],[RDS(on) Loss BuCtrl]]*RdsonTopTc*ThetaJA_Q1)</f>
        <v>3.8404208361008707</v>
      </c>
      <c r="AL107" s="354">
        <f>CHOOSE(Table1[[#This Row],[Mode Digit]],SQRT((Fsw*(Table1[[#This Row],[t2_Ph_I]]+0))*((Table1[[#This Row],[I_0]]*Table1[[#This Row],[I_1]]+((Table1[[#This Row],[I_0]]-Table1[[#This Row],[I_1]])^2)/3))),0,SQRT((Fsw*(Table1[[#This Row],[t3_Ph_III]]+0))*((Table1[[#This Row],[I_0]]*Table1[[#This Row],[I_2]]+((Table1[[#This Row],[I_0]]-Table1[[#This Row],[I_2]])^2)/3))))</f>
        <v>8.1049163422857102</v>
      </c>
      <c r="AM107" s="354">
        <f>Rdson2*Table1[[#This Row],[Irms BuSync]]^2</f>
        <v>0.27589660944488992</v>
      </c>
      <c r="AN10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7" s="354">
        <f>(Table1[[#This Row],[Deadtime Loss BuSync]]+Table1[[#This Row],[RDS(on) Loss BuSync]]*(1+RdsonBotTc*Ta-RdsonBotTc*25))/(1-Table1[[#This Row],[RDS(on) Loss BuSync]]*RdsonBotTc*ThetaJA_Q2)</f>
        <v>0.91377373616196889</v>
      </c>
      <c r="AP107" s="354">
        <f>CHOOSE(Table1[[#This Row],[Mode Digit]],0,SQRT((Fsw*(Table1[[#This Row],[t1_Ph_II]]+0))*((Table1[[#This Row],[I_0]]*Table1[[#This Row],[I_1]]+((Table1[[#This Row],[I_0]]-Table1[[#This Row],[I_1]])^2)/3))),SQRT((Fsw*(Table1[[#This Row],[t2_Ph_I]]+0))*((Table1[[#This Row],[I_1]]*Table1[[#This Row],[I_2]]+((Table1[[#This Row],[I_1]]-Table1[[#This Row],[I_2]])^2)/3))))</f>
        <v>0</v>
      </c>
      <c r="AQ107" s="354">
        <f>Rdson4*Table1[[#This Row],[Irms BoCtlr]]^2</f>
        <v>0</v>
      </c>
      <c r="AR107" s="354">
        <f>CHOOSE(Table1[[#This Row],[Mode Digit]], 0, (Vout*Table1[[#This Row],[Iin]]/2)*(Fsw)*(Tr_boost+Tf_boost), (Vout*Iout/2)*(Fsw/1)*(Tr_boost+Tf_boost))</f>
        <v>0</v>
      </c>
      <c r="AS107">
        <f>IF(Table1[[#This Row],[Vin]]&gt;Vout, 0, IF(Table1[[#This Row],[Iin]]&gt;Table1[[#This Row],[Ripple Current pk-pk]]/2,0,ABS(Table1[[#This Row],[Iin]]-Table1[[#This Row],[Ripple Current pk-pk]]/2)*Vsd_Q4*Deadtime*Fsw))</f>
        <v>0</v>
      </c>
      <c r="AT107" s="354">
        <f>(Table1[[#This Row],[Dead Time Loss BoCtlr]]+Table1[[#This Row],[Transition Loss BoCtlr]]+Table1[[#This Row],[RDS(on) Loss BoCtlr]]*(1+RdsonTopTc*Ta-RdsonTopTc*25))/(1-Table1[[#This Row],[RDS(on) Loss BoCtlr]]*RdsonTopTc*ThetaJA_Q4)</f>
        <v>0</v>
      </c>
      <c r="AU10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12.062424115685031</v>
      </c>
      <c r="AV107" s="354">
        <f>Rdson3*Table1[[#This Row],[Irms BoSync]]^2</f>
        <v>0.61110871729597138</v>
      </c>
      <c r="AW10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7" s="354">
        <f>(Table1[[#This Row],[Deadtime Loss BoSync]]+Table1[[#This Row],[RDS(on) Loss BoSync]]*(1+RdsonBotTc*Ta-RdsonBotTc*25))/(1-Table1[[#This Row],[RDS(on) Loss BoSync]]*RdsonBotTc*ThetaJA_Q3)</f>
        <v>0.71614254593072213</v>
      </c>
      <c r="AY107" s="354">
        <f>CHOOSE(Table1[[#This Row],[Mode Digit]], Rdson3*Table1[[#This Row],[Irms Lf]]^2, Rdson1*Table1[[#This Row],[Irms Lf]]^2, 0)</f>
        <v>0.61110871729597138</v>
      </c>
      <c r="AZ107" s="354">
        <f>CHOOSE(Table1[[#This Row],[Mode Digit]], 2*Deadtime*Fsw*IF(VfdSky_Q2&gt;0,VfdSky_Q2,0)*Table1[[#This Row],[Iout]], 2*Deadtime*Fsw*IF(VfdSky_Q3&gt;0,VfdSky_Q3,0)*Table1[[#This Row],[Iin]], 2*Deadtime*Fsw*IF(VfdSky_Q2&gt;0,VfdSky_Q2,0)*Table1[[#This Row],[Iout]]+2*Deadtime*Fsw*IF(VfdSky_Q3&gt;0,VfdSky_Q3,0)*Table1[[#This Row],[Iin]])</f>
        <v>0</v>
      </c>
      <c r="BA107" s="354">
        <f>CHOOSE(Table1[[#This Row],[Mode Digit]], IF(QrrSky_Q2&gt;0,QrrSky_Q2,Qrr_Q2)*Fsw*(Table1[[#This Row],[Vin]]-Table1[[#This Row],[Iout]]*Rdson1),0,  IF(QrrSky_Q2&gt;0,QrrSky_Q2,Qrr_Q2)*Fsw*(Table1[[#This Row],[Vin]]-Table1[[#This Row],[Iout]]*Rdson1)+IF(QrrSky_Q3&gt;0,QrrSky_Q3,Qrr_Q3)*Fsw*Vout)</f>
        <v>0.32171519999999998</v>
      </c>
      <c r="BB107" s="354">
        <f>CHOOSE(Table1[[#This Row],[Mode Digit]],0, IF(QrrSky_Q3&gt;0,QrrSky_Q3,Qrr_Q3)*Fsw*Vout,  IF(QrrSky_Q2&gt;0,QrrSky_Q2,Qrr_Q2)*Fsw*(Table1[[#This Row],[Vin]]-Table1[[#This Row],[Iout]]*Rdson1)+IF(QrrSky_Q3&gt;0,QrrSky_Q3,Qrr_Q3)*Fsw*Vout)</f>
        <v>0</v>
      </c>
      <c r="BC107" s="354">
        <f>CHOOSE(Table1[[#This Row],[Mode Digit]], Rs*Table1[[#This Row],[Irms BuSync]]^2, Rs*Table1[[#This Row],[Irms BoCtlr]]^2, Rs*(Table1[[#This Row],[Irms BuSync]]^2+Table1[[#This Row],[Irms BoCtlr]]^2))</f>
        <v>0.16422417228862493</v>
      </c>
      <c r="BD107" s="354">
        <f t="shared" si="5"/>
        <v>1.44</v>
      </c>
      <c r="BE107" s="354">
        <f>IF(Vout&gt;8, Iq*Vout, Iq*Table1[[#This Row],[Vin]])</f>
        <v>4.3799999999999999E-2</v>
      </c>
      <c r="BF107" s="354">
        <f>CHOOSE(Table1[[#This Row],[Mode Digit]], (Qg_Q1+Qg_Q2)*Fsw, (Qg_Q3+Qg_Q4)*Fsw, (Qg_Q1+Qg_Q2+Qg_Q3+Qg_Q4)*Fsw)*IF(Vout&gt;8, Vout, Table1[[#This Row],[Vin]])</f>
        <v>0.47303999999999996</v>
      </c>
      <c r="BG107" s="354">
        <f t="shared" si="6"/>
        <v>0.57269042016806726</v>
      </c>
      <c r="BH107" s="354">
        <f>Table1[[#This Row],[IQ Loss]]+Table1[[#This Row],[Switching Current Loss]]</f>
        <v>0.51683999999999997</v>
      </c>
      <c r="BI10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9.796938579703184</v>
      </c>
      <c r="BJ107">
        <f>Vout*Table1[[#This Row],[Iout]]</f>
        <v>175.2</v>
      </c>
      <c r="BK107" s="550">
        <f>Table1[[#This Row],[Pout]]/(Table1[[#This Row],[Pout]]+Table1[[#This Row],[Total Loss]])</f>
        <v>0.94704269889589376</v>
      </c>
      <c r="BL10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230.42525016605225</v>
      </c>
      <c r="BM107" s="559">
        <f>IF(Table1[[#This Row],[Vin]]&gt;Vout, Table1[[#This Row],[Total Sync Bu MOSFET Loss]]*ThetaJA_Q2, ThetaJA_Q3*Table1[[#This Row],[Total Sync Bo MOSFET Loss]])</f>
        <v>54.82642416971813</v>
      </c>
      <c r="BN107" s="9"/>
      <c r="BO107" s="4">
        <f>Table1[[#This Row],[EFF, h]]*100</f>
        <v>94.704269889589369</v>
      </c>
      <c r="BP107" s="354">
        <f>Table1[[#This Row],[Total Inductor Loss]]</f>
        <v>1.8042460650389902</v>
      </c>
      <c r="BQ107" s="354">
        <f>Table1[[#This Row],[Total Control Bu MOSFET Loss]]+Table1[[#This Row],[Total Sync Bu MOSFET Loss]]+Table1[[#This Row],[Total Control Bo MOSFET Loss]]+Table1[[#This Row],[Total Sync Bo MOSFET Loss]]+Table1[[#This Row],[Reverse Recovery Loss MOSFET D BUCK]]+Table1[[#This Row],[Reverse Recovery Loss MOSFET D BOOST]]</f>
        <v>5.7920523181935621</v>
      </c>
      <c r="BR107" s="354">
        <f>Table1[[#This Row],[Total Control Bu MOSFET Loss]]+Table1[[#This Row],[Reverse Recovery Loss MOSFET D BUCK]]*0.66</f>
        <v>4.0527528681008711</v>
      </c>
      <c r="BS107" s="354">
        <f>Table1[[#This Row],[Total Sync Bu MOSFET Loss]]+Table1[[#This Row],[Reverse Recovery Loss MOSFET D BUCK]]*0.33</f>
        <v>1.0199397521619689</v>
      </c>
      <c r="BT107" s="354">
        <f xml:space="preserve"> Table1[[#This Row],[Total Control Bo MOSFET Loss]]+Table1[[#This Row],[Reverse Recovery Loss MOSFET D BOOST]]*0.66</f>
        <v>0</v>
      </c>
      <c r="BU107" s="354">
        <f xml:space="preserve"> Table1[[#This Row],[Total Sync Bo MOSFET Loss]]+Table1[[#This Row],[Reverse Recovery Loss MOSFET D BOOST]]*0.33</f>
        <v>0.71614254593072213</v>
      </c>
      <c r="BV107" s="354">
        <f>Table1[[#This Row],[Isense Shunt Loss]]</f>
        <v>0.16422417228862493</v>
      </c>
      <c r="CB107" s="18"/>
      <c r="CC107" s="19"/>
    </row>
    <row r="108" spans="7:81" x14ac:dyDescent="0.2">
      <c r="G108">
        <v>99</v>
      </c>
      <c r="H108" s="555">
        <f>VIN_min+(VIN_max-VIN_min)*(Table1[[#This Row],[Step]]/200)</f>
        <v>26.93</v>
      </c>
      <c r="I108" s="4" t="str">
        <f>IF(Mode = 2,IF(Table1[[#This Row],[Vin]]&gt;Vout, "BUCK","BOOST"),IF(Table1[[#This Row],[Vin]]&gt;VIN_BB_to_buck, "BUCK", IF(Table1[[#This Row],[Vin]]&lt;=VIN_boost_to_BB,"BOOST","BUCK-BST")))</f>
        <v>BUCK</v>
      </c>
      <c r="J108">
        <f>IF(Table1[[#This Row],[Mode]]="BOOST",2, IF(Table1[[#This Row],[Mode]]="BUCK", 1,3))</f>
        <v>1</v>
      </c>
      <c r="K108">
        <f t="shared" si="4"/>
        <v>12</v>
      </c>
      <c r="L108" s="4">
        <f>Vout*Table1[[#This Row],[Iout]]/(Table1[[#This Row],[Vin]]*Efficiency)</f>
        <v>6.8481638556100615</v>
      </c>
      <c r="M108" s="711">
        <f>MIN(1/Fsw,CHOOSE(Table1[[#This Row],[Mode Digit]],(Vout+(Rdson2+Rs+Rdcr)*Table1[[#This Row],[Iout]])/(Table1[[#This Row],[Vin]]+(Rs+Rdson2-Rdson1)*Table1[[#This Row],[Iout]])/Fsw,(Vout+(Rdson3+Rdcr)*Table1[[#This Row],[Iin]]-Table1[[#This Row],[Vin]])/(Vout+(Rdson3-Rdson4-Rs)*Table1[[#This Row],[Iin]])/Fsw,t1_Ph_II))</f>
        <v>9.1184470820969325E-7</v>
      </c>
      <c r="N108" s="602">
        <f>CHOOSE(Table1[[#This Row],[Mode Digit]],1/Fsw-Table1[[#This Row],[t1_Ph_II]],1/Fsw-Table1[[#This Row],[t1_Ph_II]],(Vout/Fsw-Table1[[#This Row],[Vin]]*t1_Ph_II)/(Table1[[#This Row],[Vin]]+Vout))</f>
        <v>7.5482195845697342E-7</v>
      </c>
      <c r="O108" s="602">
        <f>1/Fsw-(Table1[[#This Row],[t1_Ph_II]]+Table1[[#This Row],[t2_Ph_I]])</f>
        <v>0</v>
      </c>
      <c r="P10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9.8706353688966821</v>
      </c>
      <c r="Q108" s="4">
        <f>CHOOSE(Table1[[#This Row],[Mode Digit]],Table1[[#This Row],[I_0]]+1/Lf*(Table1[[#This Row],[Vin]]-Vout)*Table1[[#This Row],[t1_Ph_II]],Table1[[#This Row],[I_0]]+1/Lf*Table1[[#This Row],[Vin]]*Table1[[#This Row],[t1_Ph_II]],Table1[[#This Row],[I_0]]+(Table1[[#This Row],[Vin]]-Vout)/L*Table1[[#This Row],[t1_Ph_II]])</f>
        <v>14.129364631103318</v>
      </c>
      <c r="R108" s="4">
        <f>CHOOSE(Table1[[#This Row],[Mode Digit]],0,0,Table1[[#This Row],[I_1]]+Table1[[#This Row],[Vin]]/L*Table1[[#This Row],[t2_Ph_I]])</f>
        <v>0</v>
      </c>
      <c r="S108" s="4">
        <f>Fsw*(Table1[[#This Row],[I_0]]*Table1[[#This Row],[t1_Ph_II]]+Table1[[#This Row],[I_1]]*Table1[[#This Row],[t2_Ph_I]]+Table1[[#This Row],[I_2]]*Table1[[#This Row],[t3_Ph_III]])</f>
        <v>11.799384786238782</v>
      </c>
      <c r="T108" s="354">
        <f>MIN(1,CHOOSE(Table1[[#This Row],[Mode Digit]],(Vout+(Rdson2+Rs+Rdcr)*Table1[[#This Row],[Iout]])/(Table1[[#This Row],[Vin]]+(Rs+Rdson2-Rdson1)*Table1[[#This Row],[Iout]]),1,Fsw*Table1[[#This Row],[t2_Ph_I]]+Table1[[#This Row],[t1_Ph_II]]))</f>
        <v>0.54710682492581597</v>
      </c>
      <c r="U108" s="354">
        <f>MIN(1,CHOOSE(Table1[[#This Row],[Mode Digit]],0,(Vout+(Rdson3+Rdcr)*Table1[[#This Row],[Iin]]-Table1[[#This Row],[Vin]])/(Vout+(Rdson3-Rdson4-Rs)*Table1[[#This Row],[Iin]]),Fsw*Table1[[#This Row],[t1_Ph_II]]+Table1[[#This Row],[t3_Ph_III]]))</f>
        <v>0</v>
      </c>
      <c r="V108" s="4">
        <f>MAX(Table1[[#This Row],[I_0]:[I_2]])-MIN(Table1[[#This Row],[I_0]:[I_1]])</f>
        <v>4.2587292622066357</v>
      </c>
      <c r="W10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12.062810531162762</v>
      </c>
      <c r="X108" s="354">
        <f>(Table1[[#This Row],[Irms Lf]]^2*Rdcr*(1+Ltc*Ta-Ltc*25))/(1-Table1[[#This Row],[Irms Lf]]^2*Rdcr*Ltc*ThetaCa)</f>
        <v>0.90507426850071437</v>
      </c>
      <c r="Y108" s="354">
        <f>ABS(7.759*10^-3*Fsw^0.9458*(0.00787*Table1[[#This Row],[Ripple Current pk-pk]])^2.304)</f>
        <v>0.9056662441478246</v>
      </c>
      <c r="Z108" s="354">
        <f>Table1[[#This Row],[DCR    Loss]]+Table1[[#This Row],[Core Loss]]</f>
        <v>1.810740512648539</v>
      </c>
      <c r="AA108" s="4">
        <f>IF(Table1[[#This Row],[Vin]]&gt;Vout, Table1[[#This Row],[Ripple Current pk-pk]]/SQRT(12), SQRT(Table1[[#This Row],[Duty Cycle BOOST Leg]]/(1-Table1[[#This Row],[Duty Cycle BOOST Leg]]))*SQRT(Table1[[#This Row],[Iout]]^2+(Table1[[#This Row],[Ripple Current pk-pk]]^2)/12))</f>
        <v>1.2293892429703688</v>
      </c>
      <c r="AB108" s="354">
        <f>RCoutEsr*Table1[[#This Row],[Irms Cout]]^2</f>
        <v>7.5569895536562823E-3</v>
      </c>
      <c r="AC108" s="354">
        <f>Table1[[#This Row],[Cout ESR Loss]]</f>
        <v>7.5569895536562823E-3</v>
      </c>
      <c r="AD108" s="354">
        <f>IF(Table1[[#This Row],[Vin]]&gt;Vout, SQRT(Table1[[#This Row],[Duty Cycle BUCK Leg]]*(1-Table1[[#This Row],[Duty Cycle BUCK Leg]]))*SQRT(Table1[[#This Row],[Iout]]^2+(Table1[[#This Row],[Ripple Current pk-pk]]^2)/12), Table1[[#This Row],[Ripple Current pk-pk]]/SQRT(12))</f>
        <v>6.0045775854944425</v>
      </c>
      <c r="AE108" s="354">
        <f>RCinEsr*Table1[[#This Row],[Irms Cin]]^2</f>
        <v>7.2109903960444546E-2</v>
      </c>
      <c r="AF108" s="549">
        <f>Table1[[#This Row],[Cin ESR Loss]]</f>
        <v>7.2109903960444546E-2</v>
      </c>
      <c r="AG10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8.9224592406722252</v>
      </c>
      <c r="AH108" s="354">
        <f>Rdson1*Table1[[#This Row],[Irms BuCtrl]]^2</f>
        <v>0.33436317138612021</v>
      </c>
      <c r="AI108" s="354">
        <f>CHOOSE(Table1[[#This Row],[Mode Digit]], (Table1[[#This Row],[Vin]]*Table1[[#This Row],[Iout]]/2)*(Fsw)*(Tr_buck+Tf_buck), 0, (Table1[[#This Row],[Vin]]*Table1[[#This Row],[Avg IL]]/2)*(Fsw/1)*(Tr_buck+Tf_buck))</f>
        <v>3.2045731412406546</v>
      </c>
      <c r="AJ108">
        <f>IF(Table1[[#This Row],[Vin]]&gt;Vout, IF(Table1[[#This Row],[Iout]]&gt;Table1[[#This Row],[Ripple Current pk-pk]]/2,0,ABS(Table1[[#This Row],[Iout]]-Table1[[#This Row],[Ripple Current pk-pk]]/2)*Vsd_Q1*Deadtime*Fsw),0)</f>
        <v>0</v>
      </c>
      <c r="AK108" s="354">
        <f>(Table1[[#This Row],[Dead Time Loss BuCtrl]]+Table1[[#This Row],[Transition Loss BuCtrl]]+Table1[[#This Row],[RDS(on) Loss BuCtrl]]*(1+RdsonTopTc*Ta-RdsonTopTc*25))/(1-Table1[[#This Row],[RDS(on) Loss BuCtrl]]*RdsonTopTc*ThetaJA_Q1)</f>
        <v>3.8477036037039567</v>
      </c>
      <c r="AL108" s="354">
        <f>CHOOSE(Table1[[#This Row],[Mode Digit]],SQRT((Fsw*(Table1[[#This Row],[t2_Ph_I]]+0))*((Table1[[#This Row],[I_0]]*Table1[[#This Row],[I_1]]+((Table1[[#This Row],[I_0]]-Table1[[#This Row],[I_1]])^2)/3))),0,SQRT((Fsw*(Table1[[#This Row],[t3_Ph_III]]+0))*((Table1[[#This Row],[I_0]]*Table1[[#This Row],[I_2]]+((Table1[[#This Row],[I_0]]-Table1[[#This Row],[I_2]])^2)/3))))</f>
        <v>8.1179504192421668</v>
      </c>
      <c r="AM108" s="354">
        <f>Rdson2*Table1[[#This Row],[Irms BuSync]]^2</f>
        <v>0.27678469983895115</v>
      </c>
      <c r="AN10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8" s="354">
        <f>(Table1[[#This Row],[Deadtime Loss BuSync]]+Table1[[#This Row],[RDS(on) Loss BuSync]]*(1+RdsonBotTc*Ta-RdsonBotTc*25))/(1-Table1[[#This Row],[RDS(on) Loss BuSync]]*RdsonBotTc*ThetaJA_Q2)</f>
        <v>0.91493364033331115</v>
      </c>
      <c r="AP108" s="354">
        <f>CHOOSE(Table1[[#This Row],[Mode Digit]],0,SQRT((Fsw*(Table1[[#This Row],[t1_Ph_II]]+0))*((Table1[[#This Row],[I_0]]*Table1[[#This Row],[I_1]]+((Table1[[#This Row],[I_0]]-Table1[[#This Row],[I_1]])^2)/3))),SQRT((Fsw*(Table1[[#This Row],[t2_Ph_I]]+0))*((Table1[[#This Row],[I_1]]*Table1[[#This Row],[I_2]]+((Table1[[#This Row],[I_1]]-Table1[[#This Row],[I_2]])^2)/3))))</f>
        <v>0</v>
      </c>
      <c r="AQ108" s="354">
        <f>Rdson4*Table1[[#This Row],[Irms BoCtlr]]^2</f>
        <v>0</v>
      </c>
      <c r="AR108" s="354">
        <f>CHOOSE(Table1[[#This Row],[Mode Digit]], 0, (Vout*Table1[[#This Row],[Iin]]/2)*(Fsw)*(Tr_boost+Tf_boost), (Vout*Iout/2)*(Fsw/1)*(Tr_boost+Tf_boost))</f>
        <v>0</v>
      </c>
      <c r="AS108">
        <f>IF(Table1[[#This Row],[Vin]]&gt;Vout, 0, IF(Table1[[#This Row],[Iin]]&gt;Table1[[#This Row],[Ripple Current pk-pk]]/2,0,ABS(Table1[[#This Row],[Iin]]-Table1[[#This Row],[Ripple Current pk-pk]]/2)*Vsd_Q4*Deadtime*Fsw))</f>
        <v>0</v>
      </c>
      <c r="AT108" s="354">
        <f>(Table1[[#This Row],[Dead Time Loss BoCtlr]]+Table1[[#This Row],[Transition Loss BoCtlr]]+Table1[[#This Row],[RDS(on) Loss BoCtlr]]*(1+RdsonTopTc*Ta-RdsonTopTc*25))/(1-Table1[[#This Row],[RDS(on) Loss BoCtlr]]*RdsonTopTc*ThetaJA_Q4)</f>
        <v>0</v>
      </c>
      <c r="AU10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12.062810531162762</v>
      </c>
      <c r="AV108" s="354">
        <f>Rdson3*Table1[[#This Row],[Irms BoSync]]^2</f>
        <v>0.61114787122507142</v>
      </c>
      <c r="AW10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8" s="354">
        <f>(Table1[[#This Row],[Deadtime Loss BoSync]]+Table1[[#This Row],[RDS(on) Loss BoSync]]*(1+RdsonBotTc*Ta-RdsonBotTc*25))/(1-Table1[[#This Row],[RDS(on) Loss BoSync]]*RdsonBotTc*ThetaJA_Q3)</f>
        <v>0.71619631618949964</v>
      </c>
      <c r="AY108" s="354">
        <f>CHOOSE(Table1[[#This Row],[Mode Digit]], Rdson3*Table1[[#This Row],[Irms Lf]]^2, Rdson1*Table1[[#This Row],[Irms Lf]]^2, 0)</f>
        <v>0.61114787122507142</v>
      </c>
      <c r="AZ108" s="354">
        <f>CHOOSE(Table1[[#This Row],[Mode Digit]], 2*Deadtime*Fsw*IF(VfdSky_Q2&gt;0,VfdSky_Q2,0)*Table1[[#This Row],[Iout]], 2*Deadtime*Fsw*IF(VfdSky_Q3&gt;0,VfdSky_Q3,0)*Table1[[#This Row],[Iin]], 2*Deadtime*Fsw*IF(VfdSky_Q2&gt;0,VfdSky_Q2,0)*Table1[[#This Row],[Iout]]+2*Deadtime*Fsw*IF(VfdSky_Q3&gt;0,VfdSky_Q3,0)*Table1[[#This Row],[Iin]])</f>
        <v>0</v>
      </c>
      <c r="BA108" s="354">
        <f>CHOOSE(Table1[[#This Row],[Mode Digit]], IF(QrrSky_Q2&gt;0,QrrSky_Q2,Qrr_Q2)*Fsw*(Table1[[#This Row],[Vin]]-Table1[[#This Row],[Iout]]*Rdson1),0,  IF(QrrSky_Q2&gt;0,QrrSky_Q2,Qrr_Q2)*Fsw*(Table1[[#This Row],[Vin]]-Table1[[#This Row],[Iout]]*Rdson1)+IF(QrrSky_Q3&gt;0,QrrSky_Q3,Qrr_Q3)*Fsw*Vout)</f>
        <v>0.32255519999999999</v>
      </c>
      <c r="BB108" s="354">
        <f>CHOOSE(Table1[[#This Row],[Mode Digit]],0, IF(QrrSky_Q3&gt;0,QrrSky_Q3,Qrr_Q3)*Fsw*Vout,  IF(QrrSky_Q2&gt;0,QrrSky_Q2,Qrr_Q2)*Fsw*(Table1[[#This Row],[Vin]]-Table1[[#This Row],[Iout]]*Rdson1)+IF(QrrSky_Q3&gt;0,QrrSky_Q3,Qrr_Q3)*Fsw*Vout)</f>
        <v>0</v>
      </c>
      <c r="BC108" s="354">
        <f>CHOOSE(Table1[[#This Row],[Mode Digit]], Rs*Table1[[#This Row],[Irms BuSync]]^2, Rs*Table1[[#This Row],[Irms BoCtlr]]^2, Rs*(Table1[[#This Row],[Irms BuSync]]^2+Table1[[#This Row],[Irms BoCtlr]]^2))</f>
        <v>0.16475279752318517</v>
      </c>
      <c r="BD108" s="354">
        <f t="shared" si="5"/>
        <v>1.44</v>
      </c>
      <c r="BE108" s="354">
        <f>IF(Vout&gt;8, Iq*Vout, Iq*Table1[[#This Row],[Vin]])</f>
        <v>4.3799999999999999E-2</v>
      </c>
      <c r="BF108" s="354">
        <f>CHOOSE(Table1[[#This Row],[Mode Digit]], (Qg_Q1+Qg_Q2)*Fsw, (Qg_Q3+Qg_Q4)*Fsw, (Qg_Q1+Qg_Q2+Qg_Q3+Qg_Q4)*Fsw)*IF(Vout&gt;8, Vout, Table1[[#This Row],[Vin]])</f>
        <v>0.47303999999999996</v>
      </c>
      <c r="BG108" s="354">
        <f t="shared" si="6"/>
        <v>0.57269042016806726</v>
      </c>
      <c r="BH108" s="354">
        <f>Table1[[#This Row],[IQ Loss]]+Table1[[#This Row],[Switching Current Loss]]</f>
        <v>0.51683999999999997</v>
      </c>
      <c r="BI10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9.8133889639125922</v>
      </c>
      <c r="BJ108">
        <f>Vout*Table1[[#This Row],[Iout]]</f>
        <v>175.2</v>
      </c>
      <c r="BK108" s="550">
        <f>Table1[[#This Row],[Pout]]/(Table1[[#This Row],[Pout]]+Table1[[#This Row],[Total Loss]])</f>
        <v>0.94695849301032631</v>
      </c>
      <c r="BL10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230.86221622223741</v>
      </c>
      <c r="BM108" s="559">
        <f>IF(Table1[[#This Row],[Vin]]&gt;Vout, Table1[[#This Row],[Total Sync Bu MOSFET Loss]]*ThetaJA_Q2, ThetaJA_Q3*Table1[[#This Row],[Total Sync Bo MOSFET Loss]])</f>
        <v>54.896018419998668</v>
      </c>
      <c r="BN108" s="9"/>
      <c r="BO108" s="4">
        <f>Table1[[#This Row],[EFF, h]]*100</f>
        <v>94.695849301032638</v>
      </c>
      <c r="BP108" s="354">
        <f>Table1[[#This Row],[Total Inductor Loss]]</f>
        <v>1.810740512648539</v>
      </c>
      <c r="BQ108" s="354">
        <f>Table1[[#This Row],[Total Control Bu MOSFET Loss]]+Table1[[#This Row],[Total Sync Bu MOSFET Loss]]+Table1[[#This Row],[Total Control Bo MOSFET Loss]]+Table1[[#This Row],[Total Sync Bo MOSFET Loss]]+Table1[[#This Row],[Reverse Recovery Loss MOSFET D BUCK]]+Table1[[#This Row],[Reverse Recovery Loss MOSFET D BOOST]]</f>
        <v>5.8013887602267671</v>
      </c>
      <c r="BR108" s="354">
        <f>Table1[[#This Row],[Total Control Bu MOSFET Loss]]+Table1[[#This Row],[Reverse Recovery Loss MOSFET D BUCK]]*0.66</f>
        <v>4.0605900357039566</v>
      </c>
      <c r="BS108" s="354">
        <f>Table1[[#This Row],[Total Sync Bu MOSFET Loss]]+Table1[[#This Row],[Reverse Recovery Loss MOSFET D BUCK]]*0.33</f>
        <v>1.0213768563333112</v>
      </c>
      <c r="BT108" s="354">
        <f xml:space="preserve"> Table1[[#This Row],[Total Control Bo MOSFET Loss]]+Table1[[#This Row],[Reverse Recovery Loss MOSFET D BOOST]]*0.66</f>
        <v>0</v>
      </c>
      <c r="BU108" s="354">
        <f xml:space="preserve"> Table1[[#This Row],[Total Sync Bo MOSFET Loss]]+Table1[[#This Row],[Reverse Recovery Loss MOSFET D BOOST]]*0.33</f>
        <v>0.71619631618949964</v>
      </c>
      <c r="BV108" s="354">
        <f>Table1[[#This Row],[Isense Shunt Loss]]</f>
        <v>0.16475279752318517</v>
      </c>
      <c r="CB108" s="18"/>
      <c r="CC108" s="19"/>
    </row>
    <row r="109" spans="7:81" x14ac:dyDescent="0.2">
      <c r="G109">
        <v>100</v>
      </c>
      <c r="H109" s="555">
        <f>VIN_min+(VIN_max-VIN_min)*(Table1[[#This Row],[Step]]/200)</f>
        <v>27</v>
      </c>
      <c r="I109" s="4" t="str">
        <f>IF(Mode = 2,IF(Table1[[#This Row],[Vin]]&gt;Vout, "BUCK","BOOST"),IF(Table1[[#This Row],[Vin]]&gt;VIN_BB_to_buck, "BUCK", IF(Table1[[#This Row],[Vin]]&lt;=VIN_boost_to_BB,"BOOST","BUCK-BST")))</f>
        <v>BUCK</v>
      </c>
      <c r="J109">
        <f>IF(Table1[[#This Row],[Mode]]="BOOST",2, IF(Table1[[#This Row],[Mode]]="BUCK", 1,3))</f>
        <v>1</v>
      </c>
      <c r="K109">
        <f t="shared" si="4"/>
        <v>12</v>
      </c>
      <c r="L109" s="4">
        <f>Vout*Table1[[#This Row],[Iout]]/(Table1[[#This Row],[Vin]]*Efficiency)</f>
        <v>6.8304093567251458</v>
      </c>
      <c r="M109" s="711">
        <f>MIN(1/Fsw,CHOOSE(Table1[[#This Row],[Mode Digit]],(Vout+(Rdson2+Rs+Rdcr)*Table1[[#This Row],[Iout]])/(Table1[[#This Row],[Vin]]+(Rs+Rdson2-Rdson1)*Table1[[#This Row],[Iout]])/Fsw,(Vout+(Rdson3+Rdcr)*Table1[[#This Row],[Iin]]-Table1[[#This Row],[Vin]])/(Vout+(Rdson3-Rdson4-Rs)*Table1[[#This Row],[Iin]])/Fsw,t1_Ph_II))</f>
        <v>9.0948329017141447E-7</v>
      </c>
      <c r="N109" s="602">
        <f>CHOOSE(Table1[[#This Row],[Mode Digit]],1/Fsw-Table1[[#This Row],[t1_Ph_II]],1/Fsw-Table1[[#This Row],[t1_Ph_II]],(Vout/Fsw-Table1[[#This Row],[Vin]]*t1_Ph_II)/(Table1[[#This Row],[Vin]]+Vout))</f>
        <v>7.571833764952522E-7</v>
      </c>
      <c r="O109" s="602">
        <f>1/Fsw-(Table1[[#This Row],[t1_Ph_II]]+Table1[[#This Row],[t2_Ph_I]])</f>
        <v>0</v>
      </c>
      <c r="P10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9.8640922730822851</v>
      </c>
      <c r="Q109" s="4">
        <f>CHOOSE(Table1[[#This Row],[Mode Digit]],Table1[[#This Row],[I_0]]+1/Lf*(Table1[[#This Row],[Vin]]-Vout)*Table1[[#This Row],[t1_Ph_II]],Table1[[#This Row],[I_0]]+1/Lf*Table1[[#This Row],[Vin]]*Table1[[#This Row],[t1_Ph_II]],Table1[[#This Row],[I_0]]+(Table1[[#This Row],[Vin]]-Vout)/L*Table1[[#This Row],[t1_Ph_II]])</f>
        <v>14.135907726917717</v>
      </c>
      <c r="R109" s="4">
        <f>CHOOSE(Table1[[#This Row],[Mode Digit]],0,0,Table1[[#This Row],[I_1]]+Table1[[#This Row],[Vin]]/L*Table1[[#This Row],[t2_Ph_I]])</f>
        <v>0</v>
      </c>
      <c r="S109" s="4">
        <f>Fsw*(Table1[[#This Row],[I_0]]*Table1[[#This Row],[t1_Ph_II]]+Table1[[#This Row],[I_1]]*Table1[[#This Row],[t2_Ph_I]]+Table1[[#This Row],[I_2]]*Table1[[#This Row],[t3_Ph_III]])</f>
        <v>11.804820862542112</v>
      </c>
      <c r="T109" s="354">
        <f>MIN(1,CHOOSE(Table1[[#This Row],[Mode Digit]],(Vout+(Rdson2+Rs+Rdcr)*Table1[[#This Row],[Iout]])/(Table1[[#This Row],[Vin]]+(Rs+Rdson2-Rdson1)*Table1[[#This Row],[Iout]]),1,Fsw*Table1[[#This Row],[t2_Ph_I]]+Table1[[#This Row],[t1_Ph_II]]))</f>
        <v>0.5456899741028487</v>
      </c>
      <c r="U109" s="354">
        <f>MIN(1,CHOOSE(Table1[[#This Row],[Mode Digit]],0,(Vout+(Rdson3+Rdcr)*Table1[[#This Row],[Iin]]-Table1[[#This Row],[Vin]])/(Vout+(Rdson3-Rdson4-Rs)*Table1[[#This Row],[Iin]]),Fsw*Table1[[#This Row],[t1_Ph_II]]+Table1[[#This Row],[t3_Ph_III]]))</f>
        <v>0</v>
      </c>
      <c r="V109" s="4">
        <f>MAX(Table1[[#This Row],[I_0]:[I_2]])-MIN(Table1[[#This Row],[I_0]:[I_1]])</f>
        <v>4.2718154538354316</v>
      </c>
      <c r="W10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12.063196119021233</v>
      </c>
      <c r="X109" s="354">
        <f>(Table1[[#This Row],[Irms Lf]]^2*Rdcr*(1+Ltc*Ta-Ltc*25))/(1-Table1[[#This Row],[Irms Lf]]^2*Rdcr*Ltc*ThetaCa)</f>
        <v>0.90513632070594985</v>
      </c>
      <c r="Y109" s="354">
        <f>ABS(7.759*10^-3*Fsw^0.9458*(0.00787*Table1[[#This Row],[Ripple Current pk-pk]])^2.304)</f>
        <v>0.91209095211039881</v>
      </c>
      <c r="Z109" s="354">
        <f>Table1[[#This Row],[DCR    Loss]]+Table1[[#This Row],[Core Loss]]</f>
        <v>1.8172272728163485</v>
      </c>
      <c r="AA109" s="4">
        <f>IF(Table1[[#This Row],[Vin]]&gt;Vout, Table1[[#This Row],[Ripple Current pk-pk]]/SQRT(12), SQRT(Table1[[#This Row],[Duty Cycle BOOST Leg]]/(1-Table1[[#This Row],[Duty Cycle BOOST Leg]]))*SQRT(Table1[[#This Row],[Iout]]^2+(Table1[[#This Row],[Ripple Current pk-pk]]^2)/12))</f>
        <v>1.2331669011001449</v>
      </c>
      <c r="AB109" s="354">
        <f>RCoutEsr*Table1[[#This Row],[Irms Cout]]^2</f>
        <v>7.6035030298446729E-3</v>
      </c>
      <c r="AC109" s="354">
        <f>Table1[[#This Row],[Cout ESR Loss]]</f>
        <v>7.6035030298446729E-3</v>
      </c>
      <c r="AD109" s="354">
        <f>IF(Table1[[#This Row],[Vin]]&gt;Vout, SQRT(Table1[[#This Row],[Duty Cycle BUCK Leg]]*(1-Table1[[#This Row],[Duty Cycle BUCK Leg]]))*SQRT(Table1[[#This Row],[Iout]]^2+(Table1[[#This Row],[Ripple Current pk-pk]]^2)/12), Table1[[#This Row],[Ripple Current pk-pk]]/SQRT(12))</f>
        <v>6.0063624565309031</v>
      </c>
      <c r="AE109" s="354">
        <f>RCinEsr*Table1[[#This Row],[Irms Cin]]^2</f>
        <v>7.2152779918447887E-2</v>
      </c>
      <c r="AF109" s="549">
        <f>Table1[[#This Row],[Cin ESR Loss]]</f>
        <v>7.2152779918447887E-2</v>
      </c>
      <c r="AG10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8.9111832741280548</v>
      </c>
      <c r="AH109" s="354">
        <f>Rdson1*Table1[[#This Row],[Irms BuCtrl]]^2</f>
        <v>0.33351858684941837</v>
      </c>
      <c r="AI109" s="354">
        <f>CHOOSE(Table1[[#This Row],[Mode Digit]], (Table1[[#This Row],[Vin]]*Table1[[#This Row],[Iout]]/2)*(Fsw)*(Tr_buck+Tf_buck), 0, (Table1[[#This Row],[Vin]]*Table1[[#This Row],[Avg IL]]/2)*(Fsw/1)*(Tr_buck+Tf_buck))</f>
        <v>3.2129028894726215</v>
      </c>
      <c r="AJ109">
        <f>IF(Table1[[#This Row],[Vin]]&gt;Vout, IF(Table1[[#This Row],[Iout]]&gt;Table1[[#This Row],[Ripple Current pk-pk]]/2,0,ABS(Table1[[#This Row],[Iout]]-Table1[[#This Row],[Ripple Current pk-pk]]/2)*Vsd_Q1*Deadtime*Fsw),0)</f>
        <v>0</v>
      </c>
      <c r="AK109" s="354">
        <f>(Table1[[#This Row],[Dead Time Loss BuCtrl]]+Table1[[#This Row],[Transition Loss BuCtrl]]+Table1[[#This Row],[RDS(on) Loss BuCtrl]]*(1+RdsonTopTc*Ta-RdsonTopTc*25))/(1-Table1[[#This Row],[RDS(on) Loss BuCtrl]]*RdsonTopTc*ThetaJA_Q1)</f>
        <v>3.8549922527507312</v>
      </c>
      <c r="AL109" s="354">
        <f>CHOOSE(Table1[[#This Row],[Mode Digit]],SQRT((Fsw*(Table1[[#This Row],[t2_Ph_I]]+0))*((Table1[[#This Row],[I_0]]*Table1[[#This Row],[I_1]]+((Table1[[#This Row],[I_0]]-Table1[[#This Row],[I_1]])^2)/3))),0,SQRT((Fsw*(Table1[[#This Row],[t3_Ph_III]]+0))*((Table1[[#This Row],[I_0]]*Table1[[#This Row],[I_2]]+((Table1[[#This Row],[I_0]]-Table1[[#This Row],[I_2]])^2)/3))))</f>
        <v>8.1308986748617986</v>
      </c>
      <c r="AM109" s="354">
        <f>Rdson2*Table1[[#This Row],[Irms BuSync]]^2</f>
        <v>0.27766835569565135</v>
      </c>
      <c r="AN10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09" s="354">
        <f>(Table1[[#This Row],[Deadtime Loss BuSync]]+Table1[[#This Row],[RDS(on) Loss BuSync]]*(1+RdsonBotTc*Ta-RdsonBotTc*25))/(1-Table1[[#This Row],[RDS(on) Loss BuSync]]*RdsonBotTc*ThetaJA_Q2)</f>
        <v>0.91608827849811103</v>
      </c>
      <c r="AP109" s="354">
        <f>CHOOSE(Table1[[#This Row],[Mode Digit]],0,SQRT((Fsw*(Table1[[#This Row],[t1_Ph_II]]+0))*((Table1[[#This Row],[I_0]]*Table1[[#This Row],[I_1]]+((Table1[[#This Row],[I_0]]-Table1[[#This Row],[I_1]])^2)/3))),SQRT((Fsw*(Table1[[#This Row],[t2_Ph_I]]+0))*((Table1[[#This Row],[I_1]]*Table1[[#This Row],[I_2]]+((Table1[[#This Row],[I_1]]-Table1[[#This Row],[I_2]])^2)/3))))</f>
        <v>0</v>
      </c>
      <c r="AQ109" s="354">
        <f>Rdson4*Table1[[#This Row],[Irms BoCtlr]]^2</f>
        <v>0</v>
      </c>
      <c r="AR109" s="354">
        <f>CHOOSE(Table1[[#This Row],[Mode Digit]], 0, (Vout*Table1[[#This Row],[Iin]]/2)*(Fsw)*(Tr_boost+Tf_boost), (Vout*Iout/2)*(Fsw/1)*(Tr_boost+Tf_boost))</f>
        <v>0</v>
      </c>
      <c r="AS109">
        <f>IF(Table1[[#This Row],[Vin]]&gt;Vout, 0, IF(Table1[[#This Row],[Iin]]&gt;Table1[[#This Row],[Ripple Current pk-pk]]/2,0,ABS(Table1[[#This Row],[Iin]]-Table1[[#This Row],[Ripple Current pk-pk]]/2)*Vsd_Q4*Deadtime*Fsw))</f>
        <v>0</v>
      </c>
      <c r="AT109" s="354">
        <f>(Table1[[#This Row],[Dead Time Loss BoCtlr]]+Table1[[#This Row],[Transition Loss BoCtlr]]+Table1[[#This Row],[RDS(on) Loss BoCtlr]]*(1+RdsonTopTc*Ta-RdsonTopTc*25))/(1-Table1[[#This Row],[RDS(on) Loss BoCtlr]]*RdsonTopTc*ThetaJA_Q4)</f>
        <v>0</v>
      </c>
      <c r="AU10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12.063196119021233</v>
      </c>
      <c r="AV109" s="354">
        <f>Rdson3*Table1[[#This Row],[Irms BoSync]]^2</f>
        <v>0.61118694254506967</v>
      </c>
      <c r="AW10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09" s="354">
        <f>(Table1[[#This Row],[Deadtime Loss BoSync]]+Table1[[#This Row],[RDS(on) Loss BoSync]]*(1+RdsonBotTc*Ta-RdsonBotTc*25))/(1-Table1[[#This Row],[RDS(on) Loss BoSync]]*RdsonBotTc*ThetaJA_Q3)</f>
        <v>0.71624997418136394</v>
      </c>
      <c r="AY109" s="354">
        <f>CHOOSE(Table1[[#This Row],[Mode Digit]], Rdson3*Table1[[#This Row],[Irms Lf]]^2, Rdson1*Table1[[#This Row],[Irms Lf]]^2, 0)</f>
        <v>0.61118694254506967</v>
      </c>
      <c r="AZ109" s="354">
        <f>CHOOSE(Table1[[#This Row],[Mode Digit]], 2*Deadtime*Fsw*IF(VfdSky_Q2&gt;0,VfdSky_Q2,0)*Table1[[#This Row],[Iout]], 2*Deadtime*Fsw*IF(VfdSky_Q3&gt;0,VfdSky_Q3,0)*Table1[[#This Row],[Iin]], 2*Deadtime*Fsw*IF(VfdSky_Q2&gt;0,VfdSky_Q2,0)*Table1[[#This Row],[Iout]]+2*Deadtime*Fsw*IF(VfdSky_Q3&gt;0,VfdSky_Q3,0)*Table1[[#This Row],[Iin]])</f>
        <v>0</v>
      </c>
      <c r="BA109" s="354">
        <f>CHOOSE(Table1[[#This Row],[Mode Digit]], IF(QrrSky_Q2&gt;0,QrrSky_Q2,Qrr_Q2)*Fsw*(Table1[[#This Row],[Vin]]-Table1[[#This Row],[Iout]]*Rdson1),0,  IF(QrrSky_Q2&gt;0,QrrSky_Q2,Qrr_Q2)*Fsw*(Table1[[#This Row],[Vin]]-Table1[[#This Row],[Iout]]*Rdson1)+IF(QrrSky_Q3&gt;0,QrrSky_Q3,Qrr_Q3)*Fsw*Vout)</f>
        <v>0.32339519999999999</v>
      </c>
      <c r="BB109" s="354">
        <f>CHOOSE(Table1[[#This Row],[Mode Digit]],0, IF(QrrSky_Q3&gt;0,QrrSky_Q3,Qrr_Q3)*Fsw*Vout,  IF(QrrSky_Q2&gt;0,QrrSky_Q2,Qrr_Q2)*Fsw*(Table1[[#This Row],[Vin]]-Table1[[#This Row],[Iout]]*Rdson1)+IF(QrrSky_Q3&gt;0,QrrSky_Q3,Qrr_Q3)*Fsw*Vout)</f>
        <v>0</v>
      </c>
      <c r="BC109" s="354">
        <f>CHOOSE(Table1[[#This Row],[Mode Digit]], Rs*Table1[[#This Row],[Irms BuSync]]^2, Rs*Table1[[#This Row],[Irms BoCtlr]]^2, Rs*(Table1[[#This Row],[Irms BuSync]]^2+Table1[[#This Row],[Irms BoCtlr]]^2))</f>
        <v>0.1652787831521734</v>
      </c>
      <c r="BD109" s="354">
        <f t="shared" si="5"/>
        <v>1.44</v>
      </c>
      <c r="BE109" s="354">
        <f>IF(Vout&gt;8, Iq*Vout, Iq*Table1[[#This Row],[Vin]])</f>
        <v>4.3799999999999999E-2</v>
      </c>
      <c r="BF109" s="354">
        <f>CHOOSE(Table1[[#This Row],[Mode Digit]], (Qg_Q1+Qg_Q2)*Fsw, (Qg_Q3+Qg_Q4)*Fsw, (Qg_Q1+Qg_Q2+Qg_Q3+Qg_Q4)*Fsw)*IF(Vout&gt;8, Vout, Table1[[#This Row],[Vin]])</f>
        <v>0.47303999999999996</v>
      </c>
      <c r="BG109" s="354">
        <f t="shared" si="6"/>
        <v>0.57269042016806726</v>
      </c>
      <c r="BH109" s="354">
        <f>Table1[[#This Row],[IQ Loss]]+Table1[[#This Row],[Switching Current Loss]]</f>
        <v>0.51683999999999997</v>
      </c>
      <c r="BI10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9.8298280443470194</v>
      </c>
      <c r="BJ109">
        <f>Vout*Table1[[#This Row],[Iout]]</f>
        <v>175.2</v>
      </c>
      <c r="BK109" s="550">
        <f>Table1[[#This Row],[Pout]]/(Table1[[#This Row],[Pout]]+Table1[[#This Row],[Total Loss]])</f>
        <v>0.94687435994378677</v>
      </c>
      <c r="BL10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231.29953516504386</v>
      </c>
      <c r="BM109" s="559">
        <f>IF(Table1[[#This Row],[Vin]]&gt;Vout, Table1[[#This Row],[Total Sync Bu MOSFET Loss]]*ThetaJA_Q2, ThetaJA_Q3*Table1[[#This Row],[Total Sync Bo MOSFET Loss]])</f>
        <v>54.965296709886658</v>
      </c>
      <c r="BN109" s="9"/>
      <c r="BO109" s="4">
        <f>Table1[[#This Row],[EFF, h]]*100</f>
        <v>94.687435994378674</v>
      </c>
      <c r="BP109" s="354">
        <f>Table1[[#This Row],[Total Inductor Loss]]</f>
        <v>1.8172272728163485</v>
      </c>
      <c r="BQ109" s="354">
        <f>Table1[[#This Row],[Total Control Bu MOSFET Loss]]+Table1[[#This Row],[Total Sync Bu MOSFET Loss]]+Table1[[#This Row],[Total Control Bo MOSFET Loss]]+Table1[[#This Row],[Total Sync Bo MOSFET Loss]]+Table1[[#This Row],[Reverse Recovery Loss MOSFET D BUCK]]+Table1[[#This Row],[Reverse Recovery Loss MOSFET D BOOST]]</f>
        <v>5.8107257054302064</v>
      </c>
      <c r="BR109" s="354">
        <f>Table1[[#This Row],[Total Control Bu MOSFET Loss]]+Table1[[#This Row],[Reverse Recovery Loss MOSFET D BUCK]]*0.66</f>
        <v>4.0684330847507315</v>
      </c>
      <c r="BS109" s="354">
        <f>Table1[[#This Row],[Total Sync Bu MOSFET Loss]]+Table1[[#This Row],[Reverse Recovery Loss MOSFET D BUCK]]*0.33</f>
        <v>1.022808694498111</v>
      </c>
      <c r="BT109" s="354">
        <f xml:space="preserve"> Table1[[#This Row],[Total Control Bo MOSFET Loss]]+Table1[[#This Row],[Reverse Recovery Loss MOSFET D BOOST]]*0.66</f>
        <v>0</v>
      </c>
      <c r="BU109" s="354">
        <f xml:space="preserve"> Table1[[#This Row],[Total Sync Bo MOSFET Loss]]+Table1[[#This Row],[Reverse Recovery Loss MOSFET D BOOST]]*0.33</f>
        <v>0.71624997418136394</v>
      </c>
      <c r="BV109" s="354">
        <f>Table1[[#This Row],[Isense Shunt Loss]]</f>
        <v>0.1652787831521734</v>
      </c>
      <c r="CB109" s="18"/>
      <c r="CC109" s="19"/>
    </row>
    <row r="110" spans="7:81" x14ac:dyDescent="0.2">
      <c r="G110">
        <v>101</v>
      </c>
      <c r="H110" s="555">
        <f>VIN_min+(VIN_max-VIN_min)*(Table1[[#This Row],[Step]]/200)</f>
        <v>27.07</v>
      </c>
      <c r="I110" s="4" t="str">
        <f>IF(Mode = 2,IF(Table1[[#This Row],[Vin]]&gt;Vout, "BUCK","BOOST"),IF(Table1[[#This Row],[Vin]]&gt;VIN_BB_to_buck, "BUCK", IF(Table1[[#This Row],[Vin]]&lt;=VIN_boost_to_BB,"BOOST","BUCK-BST")))</f>
        <v>BUCK</v>
      </c>
      <c r="J110">
        <f>IF(Table1[[#This Row],[Mode]]="BOOST",2, IF(Table1[[#This Row],[Mode]]="BUCK", 1,3))</f>
        <v>1</v>
      </c>
      <c r="K110">
        <f t="shared" si="4"/>
        <v>12</v>
      </c>
      <c r="L110" s="4">
        <f>Vout*Table1[[#This Row],[Iout]]/(Table1[[#This Row],[Vin]]*Efficiency)</f>
        <v>6.8127466801469874</v>
      </c>
      <c r="M110" s="711">
        <f>MIN(1/Fsw,CHOOSE(Table1[[#This Row],[Mode Digit]],(Vout+(Rdson2+Rs+Rdcr)*Table1[[#This Row],[Iout]])/(Table1[[#This Row],[Vin]]+(Rs+Rdson2-Rdson1)*Table1[[#This Row],[Iout]])/Fsw,(Vout+(Rdson3+Rdcr)*Table1[[#This Row],[Iin]]-Table1[[#This Row],[Vin]])/(Vout+(Rdson3-Rdson4-Rs)*Table1[[#This Row],[Iin]])/Fsw,t1_Ph_II))</f>
        <v>9.0713407134071328E-7</v>
      </c>
      <c r="N110" s="602">
        <f>CHOOSE(Table1[[#This Row],[Mode Digit]],1/Fsw-Table1[[#This Row],[t1_Ph_II]],1/Fsw-Table1[[#This Row],[t1_Ph_II]],(Vout/Fsw-Table1[[#This Row],[Vin]]*t1_Ph_II)/(Table1[[#This Row],[Vin]]+Vout))</f>
        <v>7.5953259532595338E-7</v>
      </c>
      <c r="O110" s="602">
        <f>1/Fsw-(Table1[[#This Row],[t1_Ph_II]]+Table1[[#This Row],[t2_Ph_I]])</f>
        <v>0</v>
      </c>
      <c r="P11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9.8575829792388845</v>
      </c>
      <c r="Q110" s="4">
        <f>CHOOSE(Table1[[#This Row],[Mode Digit]],Table1[[#This Row],[I_0]]+1/Lf*(Table1[[#This Row],[Vin]]-Vout)*Table1[[#This Row],[t1_Ph_II]],Table1[[#This Row],[I_0]]+1/Lf*Table1[[#This Row],[Vin]]*Table1[[#This Row],[t1_Ph_II]],Table1[[#This Row],[I_0]]+(Table1[[#This Row],[Vin]]-Vout)/L*Table1[[#This Row],[t1_Ph_II]])</f>
        <v>14.142417020761117</v>
      </c>
      <c r="R110" s="4">
        <f>CHOOSE(Table1[[#This Row],[Mode Digit]],0,0,Table1[[#This Row],[I_1]]+Table1[[#This Row],[Vin]]/L*Table1[[#This Row],[t2_Ph_I]])</f>
        <v>0</v>
      </c>
      <c r="S110" s="4">
        <f>Fsw*(Table1[[#This Row],[I_0]]*Table1[[#This Row],[t1_Ph_II]]+Table1[[#This Row],[I_1]]*Table1[[#This Row],[t2_Ph_I]]+Table1[[#This Row],[I_2]]*Table1[[#This Row],[t3_Ph_III]])</f>
        <v>11.810265651297909</v>
      </c>
      <c r="T110" s="354">
        <f>MIN(1,CHOOSE(Table1[[#This Row],[Mode Digit]],(Vout+(Rdson2+Rs+Rdcr)*Table1[[#This Row],[Iout]])/(Table1[[#This Row],[Vin]]+(Rs+Rdson2-Rdson1)*Table1[[#This Row],[Iout]]),1,Fsw*Table1[[#This Row],[t2_Ph_I]]+Table1[[#This Row],[t1_Ph_II]]))</f>
        <v>0.544280442804428</v>
      </c>
      <c r="U110" s="354">
        <f>MIN(1,CHOOSE(Table1[[#This Row],[Mode Digit]],0,(Vout+(Rdson3+Rdcr)*Table1[[#This Row],[Iin]]-Table1[[#This Row],[Vin]])/(Vout+(Rdson3-Rdson4-Rs)*Table1[[#This Row],[Iin]]),Fsw*Table1[[#This Row],[t1_Ph_II]]+Table1[[#This Row],[t3_Ph_III]]))</f>
        <v>0</v>
      </c>
      <c r="V110" s="4">
        <f>MAX(Table1[[#This Row],[I_0]:[I_2]])-MIN(Table1[[#This Row],[I_0]:[I_1]])</f>
        <v>4.2848340415222328</v>
      </c>
      <c r="W11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12.063580876490018</v>
      </c>
      <c r="X110" s="354">
        <f>(Table1[[#This Row],[Irms Lf]]^2*Rdcr*(1+Ltc*Ta-Ltc*25))/(1-Table1[[#This Row],[Irms Lf]]^2*Rdcr*Ltc*ThetaCa)</f>
        <v>0.90519824182726072</v>
      </c>
      <c r="Y110" s="354">
        <f>ABS(7.759*10^-3*Fsw^0.9458*(0.00787*Table1[[#This Row],[Ripple Current pk-pk]])^2.304)</f>
        <v>0.91850798650996723</v>
      </c>
      <c r="Z110" s="354">
        <f>Table1[[#This Row],[DCR    Loss]]+Table1[[#This Row],[Core Loss]]</f>
        <v>1.8237062283372278</v>
      </c>
      <c r="AA110" s="4">
        <f>IF(Table1[[#This Row],[Vin]]&gt;Vout, Table1[[#This Row],[Ripple Current pk-pk]]/SQRT(12), SQRT(Table1[[#This Row],[Duty Cycle BOOST Leg]]/(1-Table1[[#This Row],[Duty Cycle BOOST Leg]]))*SQRT(Table1[[#This Row],[Iout]]^2+(Table1[[#This Row],[Ripple Current pk-pk]]^2)/12))</f>
        <v>1.2369250436528667</v>
      </c>
      <c r="AB110" s="354">
        <f>RCoutEsr*Table1[[#This Row],[Irms Cout]]^2</f>
        <v>7.649917818078231E-3</v>
      </c>
      <c r="AC110" s="354">
        <f>Table1[[#This Row],[Cout ESR Loss]]</f>
        <v>7.649917818078231E-3</v>
      </c>
      <c r="AD110" s="354">
        <f>IF(Table1[[#This Row],[Vin]]&gt;Vout, SQRT(Table1[[#This Row],[Duty Cycle BUCK Leg]]*(1-Table1[[#This Row],[Duty Cycle BUCK Leg]]))*SQRT(Table1[[#This Row],[Iout]]^2+(Table1[[#This Row],[Ripple Current pk-pk]]^2)/12), Table1[[#This Row],[Ripple Current pk-pk]]/SQRT(12))</f>
        <v>6.0080901181179946</v>
      </c>
      <c r="AE110" s="354">
        <f>RCinEsr*Table1[[#This Row],[Irms Cin]]^2</f>
        <v>7.2194293734854198E-2</v>
      </c>
      <c r="AF110" s="549">
        <f>Table1[[#This Row],[Cin ESR Loss]]</f>
        <v>7.2194293734854198E-2</v>
      </c>
      <c r="AG11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8.8999507805001858</v>
      </c>
      <c r="AH110" s="354">
        <f>Rdson1*Table1[[#This Row],[Irms BuCtrl]]^2</f>
        <v>0.33267832036036871</v>
      </c>
      <c r="AI110" s="354">
        <f>CHOOSE(Table1[[#This Row],[Mode Digit]], (Table1[[#This Row],[Vin]]*Table1[[#This Row],[Iout]]/2)*(Fsw)*(Tr_buck+Tf_buck), 0, (Table1[[#This Row],[Vin]]*Table1[[#This Row],[Avg IL]]/2)*(Fsw/1)*(Tr_buck+Tf_buck))</f>
        <v>3.2212326377045879</v>
      </c>
      <c r="AJ110">
        <f>IF(Table1[[#This Row],[Vin]]&gt;Vout, IF(Table1[[#This Row],[Iout]]&gt;Table1[[#This Row],[Ripple Current pk-pk]]/2,0,ABS(Table1[[#This Row],[Iout]]-Table1[[#This Row],[Ripple Current pk-pk]]/2)*Vsd_Q1*Deadtime*Fsw),0)</f>
        <v>0</v>
      </c>
      <c r="AK110" s="354">
        <f>(Table1[[#This Row],[Dead Time Loss BuCtrl]]+Table1[[#This Row],[Transition Loss BuCtrl]]+Table1[[#This Row],[RDS(on) Loss BuCtrl]]*(1+RdsonTopTc*Ta-RdsonTopTc*25))/(1-Table1[[#This Row],[RDS(on) Loss BuCtrl]]*RdsonTopTc*ThetaJA_Q1)</f>
        <v>3.862286733223065</v>
      </c>
      <c r="AL110" s="354">
        <f>CHOOSE(Table1[[#This Row],[Mode Digit]],SQRT((Fsw*(Table1[[#This Row],[t2_Ph_I]]+0))*((Table1[[#This Row],[I_0]]*Table1[[#This Row],[I_1]]+((Table1[[#This Row],[I_0]]-Table1[[#This Row],[I_1]])^2)/3))),0,SQRT((Fsw*(Table1[[#This Row],[t3_Ph_III]]+0))*((Table1[[#This Row],[I_0]]*Table1[[#This Row],[I_2]]+((Table1[[#This Row],[I_0]]-Table1[[#This Row],[I_2]])^2)/3))))</f>
        <v>8.1437620095561378</v>
      </c>
      <c r="AM110" s="354">
        <f>Rdson2*Table1[[#This Row],[Irms BuSync]]^2</f>
        <v>0.27854761060681732</v>
      </c>
      <c r="AN11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0" s="354">
        <f>(Table1[[#This Row],[Deadtime Loss BuSync]]+Table1[[#This Row],[RDS(on) Loss BuSync]]*(1+RdsonBotTc*Ta-RdsonBotTc*25))/(1-Table1[[#This Row],[RDS(on) Loss BuSync]]*RdsonBotTc*ThetaJA_Q2)</f>
        <v>0.9172376870381671</v>
      </c>
      <c r="AP110" s="354">
        <f>CHOOSE(Table1[[#This Row],[Mode Digit]],0,SQRT((Fsw*(Table1[[#This Row],[t1_Ph_II]]+0))*((Table1[[#This Row],[I_0]]*Table1[[#This Row],[I_1]]+((Table1[[#This Row],[I_0]]-Table1[[#This Row],[I_1]])^2)/3))),SQRT((Fsw*(Table1[[#This Row],[t2_Ph_I]]+0))*((Table1[[#This Row],[I_1]]*Table1[[#This Row],[I_2]]+((Table1[[#This Row],[I_1]]-Table1[[#This Row],[I_2]])^2)/3))))</f>
        <v>0</v>
      </c>
      <c r="AQ110" s="354">
        <f>Rdson4*Table1[[#This Row],[Irms BoCtlr]]^2</f>
        <v>0</v>
      </c>
      <c r="AR110" s="354">
        <f>CHOOSE(Table1[[#This Row],[Mode Digit]], 0, (Vout*Table1[[#This Row],[Iin]]/2)*(Fsw)*(Tr_boost+Tf_boost), (Vout*Iout/2)*(Fsw/1)*(Tr_boost+Tf_boost))</f>
        <v>0</v>
      </c>
      <c r="AS110">
        <f>IF(Table1[[#This Row],[Vin]]&gt;Vout, 0, IF(Table1[[#This Row],[Iin]]&gt;Table1[[#This Row],[Ripple Current pk-pk]]/2,0,ABS(Table1[[#This Row],[Iin]]-Table1[[#This Row],[Ripple Current pk-pk]]/2)*Vsd_Q4*Deadtime*Fsw))</f>
        <v>0</v>
      </c>
      <c r="AT110" s="354">
        <f>(Table1[[#This Row],[Dead Time Loss BoCtlr]]+Table1[[#This Row],[Transition Loss BoCtlr]]+Table1[[#This Row],[RDS(on) Loss BoCtlr]]*(1+RdsonTopTc*Ta-RdsonTopTc*25))/(1-Table1[[#This Row],[RDS(on) Loss BoCtlr]]*RdsonTopTc*ThetaJA_Q4)</f>
        <v>0</v>
      </c>
      <c r="AU11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12.063580876490018</v>
      </c>
      <c r="AV110" s="354">
        <f>Rdson3*Table1[[#This Row],[Irms BoSync]]^2</f>
        <v>0.61122593096718592</v>
      </c>
      <c r="AW11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0" s="354">
        <f>(Table1[[#This Row],[Deadtime Loss BoSync]]+Table1[[#This Row],[RDS(on) Loss BoSync]]*(1+RdsonBotTc*Ta-RdsonBotTc*25))/(1-Table1[[#This Row],[RDS(on) Loss BoSync]]*RdsonBotTc*ThetaJA_Q3)</f>
        <v>0.716303519502269</v>
      </c>
      <c r="AY110" s="354">
        <f>CHOOSE(Table1[[#This Row],[Mode Digit]], Rdson3*Table1[[#This Row],[Irms Lf]]^2, Rdson1*Table1[[#This Row],[Irms Lf]]^2, 0)</f>
        <v>0.61122593096718592</v>
      </c>
      <c r="AZ110" s="354">
        <f>CHOOSE(Table1[[#This Row],[Mode Digit]], 2*Deadtime*Fsw*IF(VfdSky_Q2&gt;0,VfdSky_Q2,0)*Table1[[#This Row],[Iout]], 2*Deadtime*Fsw*IF(VfdSky_Q3&gt;0,VfdSky_Q3,0)*Table1[[#This Row],[Iin]], 2*Deadtime*Fsw*IF(VfdSky_Q2&gt;0,VfdSky_Q2,0)*Table1[[#This Row],[Iout]]+2*Deadtime*Fsw*IF(VfdSky_Q3&gt;0,VfdSky_Q3,0)*Table1[[#This Row],[Iin]])</f>
        <v>0</v>
      </c>
      <c r="BA110" s="354">
        <f>CHOOSE(Table1[[#This Row],[Mode Digit]], IF(QrrSky_Q2&gt;0,QrrSky_Q2,Qrr_Q2)*Fsw*(Table1[[#This Row],[Vin]]-Table1[[#This Row],[Iout]]*Rdson1),0,  IF(QrrSky_Q2&gt;0,QrrSky_Q2,Qrr_Q2)*Fsw*(Table1[[#This Row],[Vin]]-Table1[[#This Row],[Iout]]*Rdson1)+IF(QrrSky_Q3&gt;0,QrrSky_Q3,Qrr_Q3)*Fsw*Vout)</f>
        <v>0.3242352</v>
      </c>
      <c r="BB110" s="354">
        <f>CHOOSE(Table1[[#This Row],[Mode Digit]],0, IF(QrrSky_Q3&gt;0,QrrSky_Q3,Qrr_Q3)*Fsw*Vout,  IF(QrrSky_Q2&gt;0,QrrSky_Q2,Qrr_Q2)*Fsw*(Table1[[#This Row],[Vin]]-Table1[[#This Row],[Iout]]*Rdson1)+IF(QrrSky_Q3&gt;0,QrrSky_Q3,Qrr_Q3)*Fsw*Vout)</f>
        <v>0</v>
      </c>
      <c r="BC110" s="354">
        <f>CHOOSE(Table1[[#This Row],[Mode Digit]], Rs*Table1[[#This Row],[Irms BuSync]]^2, Rs*Table1[[#This Row],[Irms BoCtlr]]^2, Rs*(Table1[[#This Row],[Irms BuSync]]^2+Table1[[#This Row],[Irms BoCtlr]]^2))</f>
        <v>0.16580214917072458</v>
      </c>
      <c r="BD110" s="354">
        <f t="shared" si="5"/>
        <v>1.44</v>
      </c>
      <c r="BE110" s="354">
        <f>IF(Vout&gt;8, Iq*Vout, Iq*Table1[[#This Row],[Vin]])</f>
        <v>4.3799999999999999E-2</v>
      </c>
      <c r="BF110" s="354">
        <f>CHOOSE(Table1[[#This Row],[Mode Digit]], (Qg_Q1+Qg_Q2)*Fsw, (Qg_Q3+Qg_Q4)*Fsw, (Qg_Q1+Qg_Q2+Qg_Q3+Qg_Q4)*Fsw)*IF(Vout&gt;8, Vout, Table1[[#This Row],[Vin]])</f>
        <v>0.47303999999999996</v>
      </c>
      <c r="BG110" s="354">
        <f t="shared" si="6"/>
        <v>0.57269042016806726</v>
      </c>
      <c r="BH110" s="354">
        <f>Table1[[#This Row],[IQ Loss]]+Table1[[#This Row],[Switching Current Loss]]</f>
        <v>0.51683999999999997</v>
      </c>
      <c r="BI11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9.846255728824385</v>
      </c>
      <c r="BJ110">
        <f>Vout*Table1[[#This Row],[Iout]]</f>
        <v>175.2</v>
      </c>
      <c r="BK110" s="550">
        <f>Table1[[#This Row],[Pout]]/(Table1[[#This Row],[Pout]]+Table1[[#This Row],[Total Loss]])</f>
        <v>0.94679030013309995</v>
      </c>
      <c r="BL11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231.7372039933839</v>
      </c>
      <c r="BM110" s="559">
        <f>IF(Table1[[#This Row],[Vin]]&gt;Vout, Table1[[#This Row],[Total Sync Bu MOSFET Loss]]*ThetaJA_Q2, ThetaJA_Q3*Table1[[#This Row],[Total Sync Bo MOSFET Loss]])</f>
        <v>55.034261222290027</v>
      </c>
      <c r="BN110" s="9"/>
      <c r="BO110" s="4">
        <f>Table1[[#This Row],[EFF, h]]*100</f>
        <v>94.679030013309998</v>
      </c>
      <c r="BP110" s="354">
        <f>Table1[[#This Row],[Total Inductor Loss]]</f>
        <v>1.8237062283372278</v>
      </c>
      <c r="BQ110" s="354">
        <f>Table1[[#This Row],[Total Control Bu MOSFET Loss]]+Table1[[#This Row],[Total Sync Bu MOSFET Loss]]+Table1[[#This Row],[Total Control Bo MOSFET Loss]]+Table1[[#This Row],[Total Sync Bo MOSFET Loss]]+Table1[[#This Row],[Reverse Recovery Loss MOSFET D BUCK]]+Table1[[#This Row],[Reverse Recovery Loss MOSFET D BOOST]]</f>
        <v>5.8200631397635014</v>
      </c>
      <c r="BR110" s="354">
        <f>Table1[[#This Row],[Total Control Bu MOSFET Loss]]+Table1[[#This Row],[Reverse Recovery Loss MOSFET D BUCK]]*0.66</f>
        <v>4.0762819652230649</v>
      </c>
      <c r="BS110" s="354">
        <f>Table1[[#This Row],[Total Sync Bu MOSFET Loss]]+Table1[[#This Row],[Reverse Recovery Loss MOSFET D BUCK]]*0.33</f>
        <v>1.024235303038167</v>
      </c>
      <c r="BT110" s="354">
        <f xml:space="preserve"> Table1[[#This Row],[Total Control Bo MOSFET Loss]]+Table1[[#This Row],[Reverse Recovery Loss MOSFET D BOOST]]*0.66</f>
        <v>0</v>
      </c>
      <c r="BU110" s="354">
        <f xml:space="preserve"> Table1[[#This Row],[Total Sync Bo MOSFET Loss]]+Table1[[#This Row],[Reverse Recovery Loss MOSFET D BOOST]]*0.33</f>
        <v>0.716303519502269</v>
      </c>
      <c r="BV110" s="354">
        <f>Table1[[#This Row],[Isense Shunt Loss]]</f>
        <v>0.16580214917072458</v>
      </c>
    </row>
    <row r="111" spans="7:81" x14ac:dyDescent="0.2">
      <c r="G111">
        <v>102</v>
      </c>
      <c r="H111" s="555">
        <f>VIN_min+(VIN_max-VIN_min)*(Table1[[#This Row],[Step]]/200)</f>
        <v>27.14</v>
      </c>
      <c r="I111" s="4" t="str">
        <f>IF(Mode = 2,IF(Table1[[#This Row],[Vin]]&gt;Vout, "BUCK","BOOST"),IF(Table1[[#This Row],[Vin]]&gt;VIN_BB_to_buck, "BUCK", IF(Table1[[#This Row],[Vin]]&lt;=VIN_boost_to_BB,"BOOST","BUCK-BST")))</f>
        <v>BUCK</v>
      </c>
      <c r="J111">
        <f>IF(Table1[[#This Row],[Mode]]="BOOST",2, IF(Table1[[#This Row],[Mode]]="BUCK", 1,3))</f>
        <v>1</v>
      </c>
      <c r="K111">
        <f t="shared" si="4"/>
        <v>12</v>
      </c>
      <c r="L111" s="4">
        <f>Vout*Table1[[#This Row],[Iout]]/(Table1[[#This Row],[Vin]]*Efficiency)</f>
        <v>6.7951751153861073</v>
      </c>
      <c r="M111" s="711">
        <f>MIN(1/Fsw,CHOOSE(Table1[[#This Row],[Mode Digit]],(Vout+(Rdson2+Rs+Rdcr)*Table1[[#This Row],[Iout]])/(Table1[[#This Row],[Vin]]+(Rs+Rdson2-Rdson1)*Table1[[#This Row],[Iout]])/Fsw,(Vout+(Rdson3+Rdcr)*Table1[[#This Row],[Iin]]-Table1[[#This Row],[Vin]])/(Vout+(Rdson3-Rdson4-Rs)*Table1[[#This Row],[Iin]])/Fsw,t1_Ph_II))</f>
        <v>9.0479695742853639E-7</v>
      </c>
      <c r="N111" s="602">
        <f>CHOOSE(Table1[[#This Row],[Mode Digit]],1/Fsw-Table1[[#This Row],[t1_Ph_II]],1/Fsw-Table1[[#This Row],[t1_Ph_II]],(Vout/Fsw-Table1[[#This Row],[Vin]]*t1_Ph_II)/(Table1[[#This Row],[Vin]]+Vout))</f>
        <v>7.6186970923813027E-7</v>
      </c>
      <c r="O111" s="602">
        <f>1/Fsw-(Table1[[#This Row],[t1_Ph_II]]+Table1[[#This Row],[t2_Ph_I]])</f>
        <v>0</v>
      </c>
      <c r="P11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9.8511072261072261</v>
      </c>
      <c r="Q111" s="4">
        <f>CHOOSE(Table1[[#This Row],[Mode Digit]],Table1[[#This Row],[I_0]]+1/Lf*(Table1[[#This Row],[Vin]]-Vout)*Table1[[#This Row],[t1_Ph_II]],Table1[[#This Row],[I_0]]+1/Lf*Table1[[#This Row],[Vin]]*Table1[[#This Row],[t1_Ph_II]],Table1[[#This Row],[I_0]]+(Table1[[#This Row],[Vin]]-Vout)/L*Table1[[#This Row],[t1_Ph_II]])</f>
        <v>14.148892773892774</v>
      </c>
      <c r="R111" s="4">
        <f>CHOOSE(Table1[[#This Row],[Mode Digit]],0,0,Table1[[#This Row],[I_1]]+Table1[[#This Row],[Vin]]/L*Table1[[#This Row],[t2_Ph_I]])</f>
        <v>0</v>
      </c>
      <c r="S111" s="4">
        <f>Fsw*(Table1[[#This Row],[I_0]]*Table1[[#This Row],[t1_Ph_II]]+Table1[[#This Row],[I_1]]*Table1[[#This Row],[t2_Ph_I]]+Table1[[#This Row],[I_2]]*Table1[[#This Row],[t3_Ph_III]])</f>
        <v>11.815718801502754</v>
      </c>
      <c r="T111" s="354">
        <f>MIN(1,CHOOSE(Table1[[#This Row],[Mode Digit]],(Vout+(Rdson2+Rs+Rdcr)*Table1[[#This Row],[Iout]])/(Table1[[#This Row],[Vin]]+(Rs+Rdson2-Rdson1)*Table1[[#This Row],[Iout]]),1,Fsw*Table1[[#This Row],[t2_Ph_I]]+Table1[[#This Row],[t1_Ph_II]]))</f>
        <v>0.54287817445712183</v>
      </c>
      <c r="U111" s="354">
        <f>MIN(1,CHOOSE(Table1[[#This Row],[Mode Digit]],0,(Vout+(Rdson3+Rdcr)*Table1[[#This Row],[Iin]]-Table1[[#This Row],[Vin]])/(Vout+(Rdson3-Rdson4-Rs)*Table1[[#This Row],[Iin]]),Fsw*Table1[[#This Row],[t1_Ph_II]]+Table1[[#This Row],[t3_Ph_III]]))</f>
        <v>0</v>
      </c>
      <c r="V111" s="4">
        <f>MAX(Table1[[#This Row],[I_0]:[I_2]])-MIN(Table1[[#This Row],[I_0]:[I_1]])</f>
        <v>4.2977855477855478</v>
      </c>
      <c r="W11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12.063964800922465</v>
      </c>
      <c r="X111" s="354">
        <f>(Table1[[#This Row],[Irms Lf]]^2*Rdcr*(1+Ltc*Ta-Ltc*25))/(1-Table1[[#This Row],[Irms Lf]]^2*Rdcr*Ltc*ThetaCa)</f>
        <v>0.9052600314222522</v>
      </c>
      <c r="Y111" s="354">
        <f>ABS(7.759*10^-3*Fsw^0.9458*(0.00787*Table1[[#This Row],[Ripple Current pk-pk]])^2.304)</f>
        <v>0.92491723331496545</v>
      </c>
      <c r="Z111" s="354">
        <f>Table1[[#This Row],[DCR    Loss]]+Table1[[#This Row],[Core Loss]]</f>
        <v>1.8301772647372176</v>
      </c>
      <c r="AA111" s="4">
        <f>IF(Table1[[#This Row],[Vin]]&gt;Vout, Table1[[#This Row],[Ripple Current pk-pk]]/SQRT(12), SQRT(Table1[[#This Row],[Duty Cycle BOOST Leg]]/(1-Table1[[#This Row],[Duty Cycle BOOST Leg]]))*SQRT(Table1[[#This Row],[Iout]]^2+(Table1[[#This Row],[Ripple Current pk-pk]]^2)/12))</f>
        <v>1.2406638214666348</v>
      </c>
      <c r="AB111" s="354">
        <f>RCoutEsr*Table1[[#This Row],[Irms Cout]]^2</f>
        <v>7.6962335894809695E-3</v>
      </c>
      <c r="AC111" s="354">
        <f>Table1[[#This Row],[Cout ESR Loss]]</f>
        <v>7.6962335894809695E-3</v>
      </c>
      <c r="AD111" s="354">
        <f>IF(Table1[[#This Row],[Vin]]&gt;Vout, SQRT(Table1[[#This Row],[Duty Cycle BUCK Leg]]*(1-Table1[[#This Row],[Duty Cycle BUCK Leg]]))*SQRT(Table1[[#This Row],[Iout]]^2+(Table1[[#This Row],[Ripple Current pk-pk]]^2)/12), Table1[[#This Row],[Ripple Current pk-pk]]/SQRT(12))</f>
        <v>6.0097614151048546</v>
      </c>
      <c r="AE111" s="354">
        <f>RCinEsr*Table1[[#This Row],[Irms Cin]]^2</f>
        <v>7.2234464532966211E-2</v>
      </c>
      <c r="AF111" s="549">
        <f>Table1[[#This Row],[Cin ESR Loss]]</f>
        <v>7.2234464532966211E-2</v>
      </c>
      <c r="AG11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8.8887614755980575</v>
      </c>
      <c r="AH111" s="354">
        <f>Rdson1*Table1[[#This Row],[Irms BuCtrl]]^2</f>
        <v>0.33184233839431992</v>
      </c>
      <c r="AI111" s="354">
        <f>CHOOSE(Table1[[#This Row],[Mode Digit]], (Table1[[#This Row],[Vin]]*Table1[[#This Row],[Iout]]/2)*(Fsw)*(Tr_buck+Tf_buck), 0, (Table1[[#This Row],[Vin]]*Table1[[#This Row],[Avg IL]]/2)*(Fsw/1)*(Tr_buck+Tf_buck))</f>
        <v>3.2295623859365534</v>
      </c>
      <c r="AJ111">
        <f>IF(Table1[[#This Row],[Vin]]&gt;Vout, IF(Table1[[#This Row],[Iout]]&gt;Table1[[#This Row],[Ripple Current pk-pk]]/2,0,ABS(Table1[[#This Row],[Iout]]-Table1[[#This Row],[Ripple Current pk-pk]]/2)*Vsd_Q1*Deadtime*Fsw),0)</f>
        <v>0</v>
      </c>
      <c r="AK111" s="354">
        <f>(Table1[[#This Row],[Dead Time Loss BuCtrl]]+Table1[[#This Row],[Transition Loss BuCtrl]]+Table1[[#This Row],[RDS(on) Loss BuCtrl]]*(1+RdsonTopTc*Ta-RdsonTopTc*25))/(1-Table1[[#This Row],[RDS(on) Loss BuCtrl]]*RdsonTopTc*ThetaJA_Q1)</f>
        <v>3.8695869956744389</v>
      </c>
      <c r="AL111" s="354">
        <f>CHOOSE(Table1[[#This Row],[Mode Digit]],SQRT((Fsw*(Table1[[#This Row],[t2_Ph_I]]+0))*((Table1[[#This Row],[I_0]]*Table1[[#This Row],[I_1]]+((Table1[[#This Row],[I_0]]-Table1[[#This Row],[I_1]])^2)/3))),0,SQRT((Fsw*(Table1[[#This Row],[t3_Ph_III]]+0))*((Table1[[#This Row],[I_0]]*Table1[[#This Row],[I_2]]+((Table1[[#This Row],[I_0]]-Table1[[#This Row],[I_2]])^2)/3))))</f>
        <v>8.1565413103729227</v>
      </c>
      <c r="AM111" s="354">
        <f>Rdson2*Table1[[#This Row],[Irms BuSync]]^2</f>
        <v>0.27942249782084416</v>
      </c>
      <c r="AN11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1" s="354">
        <f>(Table1[[#This Row],[Deadtime Loss BuSync]]+Table1[[#This Row],[RDS(on) Loss BuSync]]*(1+RdsonBotTc*Ta-RdsonBotTc*25))/(1-Table1[[#This Row],[RDS(on) Loss BuSync]]*RdsonBotTc*ThetaJA_Q2)</f>
        <v>0.91838190199436642</v>
      </c>
      <c r="AP111" s="354">
        <f>CHOOSE(Table1[[#This Row],[Mode Digit]],0,SQRT((Fsw*(Table1[[#This Row],[t1_Ph_II]]+0))*((Table1[[#This Row],[I_0]]*Table1[[#This Row],[I_1]]+((Table1[[#This Row],[I_0]]-Table1[[#This Row],[I_1]])^2)/3))),SQRT((Fsw*(Table1[[#This Row],[t2_Ph_I]]+0))*((Table1[[#This Row],[I_1]]*Table1[[#This Row],[I_2]]+((Table1[[#This Row],[I_1]]-Table1[[#This Row],[I_2]])^2)/3))))</f>
        <v>0</v>
      </c>
      <c r="AQ111" s="354">
        <f>Rdson4*Table1[[#This Row],[Irms BoCtlr]]^2</f>
        <v>0</v>
      </c>
      <c r="AR111" s="354">
        <f>CHOOSE(Table1[[#This Row],[Mode Digit]], 0, (Vout*Table1[[#This Row],[Iin]]/2)*(Fsw)*(Tr_boost+Tf_boost), (Vout*Iout/2)*(Fsw/1)*(Tr_boost+Tf_boost))</f>
        <v>0</v>
      </c>
      <c r="AS111">
        <f>IF(Table1[[#This Row],[Vin]]&gt;Vout, 0, IF(Table1[[#This Row],[Iin]]&gt;Table1[[#This Row],[Ripple Current pk-pk]]/2,0,ABS(Table1[[#This Row],[Iin]]-Table1[[#This Row],[Ripple Current pk-pk]]/2)*Vsd_Q4*Deadtime*Fsw))</f>
        <v>0</v>
      </c>
      <c r="AT111" s="354">
        <f>(Table1[[#This Row],[Dead Time Loss BoCtlr]]+Table1[[#This Row],[Transition Loss BoCtlr]]+Table1[[#This Row],[RDS(on) Loss BoCtlr]]*(1+RdsonTopTc*Ta-RdsonTopTc*25))/(1-Table1[[#This Row],[RDS(on) Loss BoCtlr]]*RdsonTopTc*ThetaJA_Q4)</f>
        <v>0</v>
      </c>
      <c r="AU11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12.063964800922465</v>
      </c>
      <c r="AV111" s="354">
        <f>Rdson3*Table1[[#This Row],[Irms BoSync]]^2</f>
        <v>0.61126483621516414</v>
      </c>
      <c r="AW11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1" s="354">
        <f>(Table1[[#This Row],[Deadtime Loss BoSync]]+Table1[[#This Row],[RDS(on) Loss BoSync]]*(1+RdsonBotTc*Ta-RdsonBotTc*25))/(1-Table1[[#This Row],[RDS(on) Loss BoSync]]*RdsonBotTc*ThetaJA_Q3)</f>
        <v>0.71635695176534997</v>
      </c>
      <c r="AY111" s="354">
        <f>CHOOSE(Table1[[#This Row],[Mode Digit]], Rdson3*Table1[[#This Row],[Irms Lf]]^2, Rdson1*Table1[[#This Row],[Irms Lf]]^2, 0)</f>
        <v>0.61126483621516414</v>
      </c>
      <c r="AZ111" s="354">
        <f>CHOOSE(Table1[[#This Row],[Mode Digit]], 2*Deadtime*Fsw*IF(VfdSky_Q2&gt;0,VfdSky_Q2,0)*Table1[[#This Row],[Iout]], 2*Deadtime*Fsw*IF(VfdSky_Q3&gt;0,VfdSky_Q3,0)*Table1[[#This Row],[Iin]], 2*Deadtime*Fsw*IF(VfdSky_Q2&gt;0,VfdSky_Q2,0)*Table1[[#This Row],[Iout]]+2*Deadtime*Fsw*IF(VfdSky_Q3&gt;0,VfdSky_Q3,0)*Table1[[#This Row],[Iin]])</f>
        <v>0</v>
      </c>
      <c r="BA111" s="354">
        <f>CHOOSE(Table1[[#This Row],[Mode Digit]], IF(QrrSky_Q2&gt;0,QrrSky_Q2,Qrr_Q2)*Fsw*(Table1[[#This Row],[Vin]]-Table1[[#This Row],[Iout]]*Rdson1),0,  IF(QrrSky_Q2&gt;0,QrrSky_Q2,Qrr_Q2)*Fsw*(Table1[[#This Row],[Vin]]-Table1[[#This Row],[Iout]]*Rdson1)+IF(QrrSky_Q3&gt;0,QrrSky_Q3,Qrr_Q3)*Fsw*Vout)</f>
        <v>0.32507520000000001</v>
      </c>
      <c r="BB111" s="354">
        <f>CHOOSE(Table1[[#This Row],[Mode Digit]],0, IF(QrrSky_Q3&gt;0,QrrSky_Q3,Qrr_Q3)*Fsw*Vout,  IF(QrrSky_Q2&gt;0,QrrSky_Q2,Qrr_Q2)*Fsw*(Table1[[#This Row],[Vin]]-Table1[[#This Row],[Iout]]*Rdson1)+IF(QrrSky_Q3&gt;0,QrrSky_Q3,Qrr_Q3)*Fsw*Vout)</f>
        <v>0</v>
      </c>
      <c r="BC111" s="354">
        <f>CHOOSE(Table1[[#This Row],[Mode Digit]], Rs*Table1[[#This Row],[Irms BuSync]]^2, Rs*Table1[[#This Row],[Irms BoCtlr]]^2, Rs*(Table1[[#This Row],[Irms BuSync]]^2+Table1[[#This Row],[Irms BoCtlr]]^2))</f>
        <v>0.1663229153695501</v>
      </c>
      <c r="BD111" s="354">
        <f t="shared" si="5"/>
        <v>1.44</v>
      </c>
      <c r="BE111" s="354">
        <f>IF(Vout&gt;8, Iq*Vout, Iq*Table1[[#This Row],[Vin]])</f>
        <v>4.3799999999999999E-2</v>
      </c>
      <c r="BF111" s="354">
        <f>CHOOSE(Table1[[#This Row],[Mode Digit]], (Qg_Q1+Qg_Q2)*Fsw, (Qg_Q3+Qg_Q4)*Fsw, (Qg_Q1+Qg_Q2+Qg_Q3+Qg_Q4)*Fsw)*IF(Vout&gt;8, Vout, Table1[[#This Row],[Vin]])</f>
        <v>0.47303999999999996</v>
      </c>
      <c r="BG111" s="354">
        <f t="shared" si="6"/>
        <v>0.57269042016806726</v>
      </c>
      <c r="BH111" s="354">
        <f>Table1[[#This Row],[IQ Loss]]+Table1[[#This Row],[Switching Current Loss]]</f>
        <v>0.51683999999999997</v>
      </c>
      <c r="BI11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9.862671927663369</v>
      </c>
      <c r="BJ111">
        <f>Vout*Table1[[#This Row],[Iout]]</f>
        <v>175.2</v>
      </c>
      <c r="BK111" s="550">
        <f>Table1[[#This Row],[Pout]]/(Table1[[#This Row],[Pout]]+Table1[[#This Row],[Total Loss]])</f>
        <v>0.94670631400200222</v>
      </c>
      <c r="BL11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232.17521974046633</v>
      </c>
      <c r="BM111" s="559">
        <f>IF(Table1[[#This Row],[Vin]]&gt;Vout, Table1[[#This Row],[Total Sync Bu MOSFET Loss]]*ThetaJA_Q2, ThetaJA_Q3*Table1[[#This Row],[Total Sync Bo MOSFET Loss]])</f>
        <v>55.102914119661989</v>
      </c>
      <c r="BN111" s="9"/>
      <c r="BO111" s="4">
        <f>Table1[[#This Row],[EFF, h]]*100</f>
        <v>94.670631400200222</v>
      </c>
      <c r="BP111" s="354">
        <f>Table1[[#This Row],[Total Inductor Loss]]</f>
        <v>1.8301772647372176</v>
      </c>
      <c r="BQ111" s="354">
        <f>Table1[[#This Row],[Total Control Bu MOSFET Loss]]+Table1[[#This Row],[Total Sync Bu MOSFET Loss]]+Table1[[#This Row],[Total Control Bo MOSFET Loss]]+Table1[[#This Row],[Total Sync Bo MOSFET Loss]]+Table1[[#This Row],[Reverse Recovery Loss MOSFET D BUCK]]+Table1[[#This Row],[Reverse Recovery Loss MOSFET D BOOST]]</f>
        <v>5.8294010494341553</v>
      </c>
      <c r="BR111" s="354">
        <f>Table1[[#This Row],[Total Control Bu MOSFET Loss]]+Table1[[#This Row],[Reverse Recovery Loss MOSFET D BUCK]]*0.66</f>
        <v>4.0841366276744386</v>
      </c>
      <c r="BS111" s="354">
        <f>Table1[[#This Row],[Total Sync Bu MOSFET Loss]]+Table1[[#This Row],[Reverse Recovery Loss MOSFET D BUCK]]*0.33</f>
        <v>1.0256567179943665</v>
      </c>
      <c r="BT111" s="354">
        <f xml:space="preserve"> Table1[[#This Row],[Total Control Bo MOSFET Loss]]+Table1[[#This Row],[Reverse Recovery Loss MOSFET D BOOST]]*0.66</f>
        <v>0</v>
      </c>
      <c r="BU111" s="354">
        <f xml:space="preserve"> Table1[[#This Row],[Total Sync Bo MOSFET Loss]]+Table1[[#This Row],[Reverse Recovery Loss MOSFET D BOOST]]*0.33</f>
        <v>0.71635695176534997</v>
      </c>
      <c r="BV111" s="354">
        <f>Table1[[#This Row],[Isense Shunt Loss]]</f>
        <v>0.1663229153695501</v>
      </c>
    </row>
    <row r="112" spans="7:81" x14ac:dyDescent="0.2">
      <c r="G112">
        <v>103</v>
      </c>
      <c r="H112" s="555">
        <f>VIN_min+(VIN_max-VIN_min)*(Table1[[#This Row],[Step]]/200)</f>
        <v>27.21</v>
      </c>
      <c r="I112" s="4" t="str">
        <f>IF(Mode = 2,IF(Table1[[#This Row],[Vin]]&gt;Vout, "BUCK","BOOST"),IF(Table1[[#This Row],[Vin]]&gt;VIN_BB_to_buck, "BUCK", IF(Table1[[#This Row],[Vin]]&lt;=VIN_boost_to_BB,"BOOST","BUCK-BST")))</f>
        <v>BUCK</v>
      </c>
      <c r="J112">
        <f>IF(Table1[[#This Row],[Mode]]="BOOST",2, IF(Table1[[#This Row],[Mode]]="BUCK", 1,3))</f>
        <v>1</v>
      </c>
      <c r="K112">
        <f t="shared" si="4"/>
        <v>12</v>
      </c>
      <c r="L112" s="4">
        <f>Vout*Table1[[#This Row],[Iout]]/(Table1[[#This Row],[Vin]]*Efficiency)</f>
        <v>6.7776939592642025</v>
      </c>
      <c r="M112" s="711">
        <f>MIN(1/Fsw,CHOOSE(Table1[[#This Row],[Mode Digit]],(Vout+(Rdson2+Rs+Rdcr)*Table1[[#This Row],[Iout]])/(Table1[[#This Row],[Vin]]+(Rs+Rdson2-Rdson1)*Table1[[#This Row],[Iout]])/Fsw,(Vout+(Rdson3+Rdcr)*Table1[[#This Row],[Iin]]-Table1[[#This Row],[Vin]])/(Vout+(Rdson3-Rdson4-Rs)*Table1[[#This Row],[Iin]])/Fsw,t1_Ph_II))</f>
        <v>9.0247185511502677E-7</v>
      </c>
      <c r="N112" s="602">
        <f>CHOOSE(Table1[[#This Row],[Mode Digit]],1/Fsw-Table1[[#This Row],[t1_Ph_II]],1/Fsw-Table1[[#This Row],[t1_Ph_II]],(Vout/Fsw-Table1[[#This Row],[Vin]]*t1_Ph_II)/(Table1[[#This Row],[Vin]]+Vout))</f>
        <v>7.6419481155163989E-7</v>
      </c>
      <c r="O112" s="602">
        <f>1/Fsw-(Table1[[#This Row],[t1_Ph_II]]+Table1[[#This Row],[t2_Ph_I]])</f>
        <v>0</v>
      </c>
      <c r="P11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9.8446647551135431</v>
      </c>
      <c r="Q112" s="4">
        <f>CHOOSE(Table1[[#This Row],[Mode Digit]],Table1[[#This Row],[I_0]]+1/Lf*(Table1[[#This Row],[Vin]]-Vout)*Table1[[#This Row],[t1_Ph_II]],Table1[[#This Row],[I_0]]+1/Lf*Table1[[#This Row],[Vin]]*Table1[[#This Row],[t1_Ph_II]],Table1[[#This Row],[I_0]]+(Table1[[#This Row],[Vin]]-Vout)/L*Table1[[#This Row],[t1_Ph_II]])</f>
        <v>14.155335244886455</v>
      </c>
      <c r="R112" s="4">
        <f>CHOOSE(Table1[[#This Row],[Mode Digit]],0,0,Table1[[#This Row],[I_1]]+Table1[[#This Row],[Vin]]/L*Table1[[#This Row],[t2_Ph_I]])</f>
        <v>0</v>
      </c>
      <c r="S112" s="4">
        <f>Fsw*(Table1[[#This Row],[I_0]]*Table1[[#This Row],[t1_Ph_II]]+Table1[[#This Row],[I_1]]*Table1[[#This Row],[t2_Ph_I]]+Table1[[#This Row],[I_2]]*Table1[[#This Row],[t3_Ph_III]])</f>
        <v>11.821179968669478</v>
      </c>
      <c r="T112" s="354">
        <f>MIN(1,CHOOSE(Table1[[#This Row],[Mode Digit]],(Vout+(Rdson2+Rs+Rdcr)*Table1[[#This Row],[Iout]])/(Table1[[#This Row],[Vin]]+(Rs+Rdson2-Rdson1)*Table1[[#This Row],[Iout]]),1,Fsw*Table1[[#This Row],[t2_Ph_I]]+Table1[[#This Row],[t1_Ph_II]]))</f>
        <v>0.54148311306901609</v>
      </c>
      <c r="U112" s="354">
        <f>MIN(1,CHOOSE(Table1[[#This Row],[Mode Digit]],0,(Vout+(Rdson3+Rdcr)*Table1[[#This Row],[Iin]]-Table1[[#This Row],[Vin]])/(Vout+(Rdson3-Rdson4-Rs)*Table1[[#This Row],[Iin]]),Fsw*Table1[[#This Row],[t1_Ph_II]]+Table1[[#This Row],[t3_Ph_III]]))</f>
        <v>0</v>
      </c>
      <c r="V112" s="4">
        <f>MAX(Table1[[#This Row],[I_0]:[I_2]])-MIN(Table1[[#This Row],[I_0]:[I_1]])</f>
        <v>4.310670489772912</v>
      </c>
      <c r="W11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12.064347889792879</v>
      </c>
      <c r="X112" s="354">
        <f>(Table1[[#This Row],[Irms Lf]]^2*Rdcr*(1+Ltc*Ta-Ltc*25))/(1-Table1[[#This Row],[Irms Lf]]^2*Rdcr*Ltc*ThetaCa)</f>
        <v>0.90532168906796329</v>
      </c>
      <c r="Y112" s="354">
        <f>ABS(7.759*10^-3*Fsw^0.9458*(0.00787*Table1[[#This Row],[Ripple Current pk-pk]])^2.304)</f>
        <v>0.93131858115564692</v>
      </c>
      <c r="Z112" s="354">
        <f>Table1[[#This Row],[DCR    Loss]]+Table1[[#This Row],[Core Loss]]</f>
        <v>1.8366402702236102</v>
      </c>
      <c r="AA112" s="4">
        <f>IF(Table1[[#This Row],[Vin]]&gt;Vout, Table1[[#This Row],[Ripple Current pk-pk]]/SQRT(12), SQRT(Table1[[#This Row],[Duty Cycle BOOST Leg]]/(1-Table1[[#This Row],[Duty Cycle BOOST Leg]]))*SQRT(Table1[[#This Row],[Iout]]^2+(Table1[[#This Row],[Ripple Current pk-pk]]^2)/12))</f>
        <v>1.2443833838290834</v>
      </c>
      <c r="AB112" s="354">
        <f>RCoutEsr*Table1[[#This Row],[Irms Cout]]^2</f>
        <v>7.7424500297496E-3</v>
      </c>
      <c r="AC112" s="354">
        <f>Table1[[#This Row],[Cout ESR Loss]]</f>
        <v>7.7424500297496E-3</v>
      </c>
      <c r="AD112" s="354">
        <f>IF(Table1[[#This Row],[Vin]]&gt;Vout, SQRT(Table1[[#This Row],[Duty Cycle BUCK Leg]]*(1-Table1[[#This Row],[Duty Cycle BUCK Leg]]))*SQRT(Table1[[#This Row],[Iout]]^2+(Table1[[#This Row],[Ripple Current pk-pk]]^2)/12), Table1[[#This Row],[Ripple Current pk-pk]]/SQRT(12))</f>
        <v>6.0113771779896874</v>
      </c>
      <c r="AE112" s="354">
        <f>RCinEsr*Table1[[#This Row],[Irms Cin]]^2</f>
        <v>7.2273311152110511E-2</v>
      </c>
      <c r="AF112" s="549">
        <f>Table1[[#This Row],[Cin ESR Loss]]</f>
        <v>7.2273311152110511E-2</v>
      </c>
      <c r="AG11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8.8776150778751575</v>
      </c>
      <c r="AH112" s="354">
        <f>Rdson1*Table1[[#This Row],[Irms BuCtrl]]^2</f>
        <v>0.33101060777784863</v>
      </c>
      <c r="AI112" s="354">
        <f>CHOOSE(Table1[[#This Row],[Mode Digit]], (Table1[[#This Row],[Vin]]*Table1[[#This Row],[Iout]]/2)*(Fsw)*(Tr_buck+Tf_buck), 0, (Table1[[#This Row],[Vin]]*Table1[[#This Row],[Avg IL]]/2)*(Fsw/1)*(Tr_buck+Tf_buck))</f>
        <v>3.2378921341685194</v>
      </c>
      <c r="AJ112">
        <f>IF(Table1[[#This Row],[Vin]]&gt;Vout, IF(Table1[[#This Row],[Iout]]&gt;Table1[[#This Row],[Ripple Current pk-pk]]/2,0,ABS(Table1[[#This Row],[Iout]]-Table1[[#This Row],[Ripple Current pk-pk]]/2)*Vsd_Q1*Deadtime*Fsw),0)</f>
        <v>0</v>
      </c>
      <c r="AK112" s="354">
        <f>(Table1[[#This Row],[Dead Time Loss BuCtrl]]+Table1[[#This Row],[Transition Loss BuCtrl]]+Table1[[#This Row],[RDS(on) Loss BuCtrl]]*(1+RdsonTopTc*Ta-RdsonTopTc*25))/(1-Table1[[#This Row],[RDS(on) Loss BuCtrl]]*RdsonTopTc*ThetaJA_Q1)</f>
        <v>3.876892991221724</v>
      </c>
      <c r="AL112" s="354">
        <f>CHOOSE(Table1[[#This Row],[Mode Digit]],SQRT((Fsw*(Table1[[#This Row],[t2_Ph_I]]+0))*((Table1[[#This Row],[I_0]]*Table1[[#This Row],[I_1]]+((Table1[[#This Row],[I_0]]-Table1[[#This Row],[I_1]])^2)/3))),0,SQRT((Fsw*(Table1[[#This Row],[t3_Ph_III]]+0))*((Table1[[#This Row],[I_0]]*Table1[[#This Row],[I_2]]+((Table1[[#This Row],[I_0]]-Table1[[#This Row],[I_2]])^2)/3))))</f>
        <v>8.1692374512578319</v>
      </c>
      <c r="AM112" s="354">
        <f>Rdson2*Table1[[#This Row],[Irms BuSync]]^2</f>
        <v>0.28029305024714096</v>
      </c>
      <c r="AN11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2" s="354">
        <f>(Table1[[#This Row],[Deadtime Loss BuSync]]+Table1[[#This Row],[RDS(on) Loss BuSync]]*(1+RdsonBotTc*Ta-RdsonBotTc*25))/(1-Table1[[#This Row],[RDS(on) Loss BuSync]]*RdsonBotTc*ThetaJA_Q2)</f>
        <v>0.91952095907075815</v>
      </c>
      <c r="AP112" s="354">
        <f>CHOOSE(Table1[[#This Row],[Mode Digit]],0,SQRT((Fsw*(Table1[[#This Row],[t1_Ph_II]]+0))*((Table1[[#This Row],[I_0]]*Table1[[#This Row],[I_1]]+((Table1[[#This Row],[I_0]]-Table1[[#This Row],[I_1]])^2)/3))),SQRT((Fsw*(Table1[[#This Row],[t2_Ph_I]]+0))*((Table1[[#This Row],[I_1]]*Table1[[#This Row],[I_2]]+((Table1[[#This Row],[I_1]]-Table1[[#This Row],[I_2]])^2)/3))))</f>
        <v>0</v>
      </c>
      <c r="AQ112" s="354">
        <f>Rdson4*Table1[[#This Row],[Irms BoCtlr]]^2</f>
        <v>0</v>
      </c>
      <c r="AR112" s="354">
        <f>CHOOSE(Table1[[#This Row],[Mode Digit]], 0, (Vout*Table1[[#This Row],[Iin]]/2)*(Fsw)*(Tr_boost+Tf_boost), (Vout*Iout/2)*(Fsw/1)*(Tr_boost+Tf_boost))</f>
        <v>0</v>
      </c>
      <c r="AS112">
        <f>IF(Table1[[#This Row],[Vin]]&gt;Vout, 0, IF(Table1[[#This Row],[Iin]]&gt;Table1[[#This Row],[Ripple Current pk-pk]]/2,0,ABS(Table1[[#This Row],[Iin]]-Table1[[#This Row],[Ripple Current pk-pk]]/2)*Vsd_Q4*Deadtime*Fsw))</f>
        <v>0</v>
      </c>
      <c r="AT112" s="354">
        <f>(Table1[[#This Row],[Dead Time Loss BoCtlr]]+Table1[[#This Row],[Transition Loss BoCtlr]]+Table1[[#This Row],[RDS(on) Loss BoCtlr]]*(1+RdsonTopTc*Ta-RdsonTopTc*25))/(1-Table1[[#This Row],[RDS(on) Loss BoCtlr]]*RdsonTopTc*ThetaJA_Q4)</f>
        <v>0</v>
      </c>
      <c r="AU11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12.064347889792879</v>
      </c>
      <c r="AV112" s="354">
        <f>Rdson3*Table1[[#This Row],[Irms BoSync]]^2</f>
        <v>0.61130365802498965</v>
      </c>
      <c r="AW11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2" s="354">
        <f>(Table1[[#This Row],[Deadtime Loss BoSync]]+Table1[[#This Row],[RDS(on) Loss BoSync]]*(1+RdsonBotTc*Ta-RdsonBotTc*25))/(1-Table1[[#This Row],[RDS(on) Loss BoSync]]*RdsonBotTc*ThetaJA_Q3)</f>
        <v>0.71641027060053708</v>
      </c>
      <c r="AY112" s="354">
        <f>CHOOSE(Table1[[#This Row],[Mode Digit]], Rdson3*Table1[[#This Row],[Irms Lf]]^2, Rdson1*Table1[[#This Row],[Irms Lf]]^2, 0)</f>
        <v>0.61130365802498965</v>
      </c>
      <c r="AZ112" s="354">
        <f>CHOOSE(Table1[[#This Row],[Mode Digit]], 2*Deadtime*Fsw*IF(VfdSky_Q2&gt;0,VfdSky_Q2,0)*Table1[[#This Row],[Iout]], 2*Deadtime*Fsw*IF(VfdSky_Q3&gt;0,VfdSky_Q3,0)*Table1[[#This Row],[Iin]], 2*Deadtime*Fsw*IF(VfdSky_Q2&gt;0,VfdSky_Q2,0)*Table1[[#This Row],[Iout]]+2*Deadtime*Fsw*IF(VfdSky_Q3&gt;0,VfdSky_Q3,0)*Table1[[#This Row],[Iin]])</f>
        <v>0</v>
      </c>
      <c r="BA112" s="354">
        <f>CHOOSE(Table1[[#This Row],[Mode Digit]], IF(QrrSky_Q2&gt;0,QrrSky_Q2,Qrr_Q2)*Fsw*(Table1[[#This Row],[Vin]]-Table1[[#This Row],[Iout]]*Rdson1),0,  IF(QrrSky_Q2&gt;0,QrrSky_Q2,Qrr_Q2)*Fsw*(Table1[[#This Row],[Vin]]-Table1[[#This Row],[Iout]]*Rdson1)+IF(QrrSky_Q3&gt;0,QrrSky_Q3,Qrr_Q3)*Fsw*Vout)</f>
        <v>0.32591520000000002</v>
      </c>
      <c r="BB112" s="354">
        <f>CHOOSE(Table1[[#This Row],[Mode Digit]],0, IF(QrrSky_Q3&gt;0,QrrSky_Q3,Qrr_Q3)*Fsw*Vout,  IF(QrrSky_Q2&gt;0,QrrSky_Q2,Qrr_Q2)*Fsw*(Table1[[#This Row],[Vin]]-Table1[[#This Row],[Iout]]*Rdson1)+IF(QrrSky_Q3&gt;0,QrrSky_Q3,Qrr_Q3)*Fsw*Vout)</f>
        <v>0</v>
      </c>
      <c r="BC112" s="354">
        <f>CHOOSE(Table1[[#This Row],[Mode Digit]], Rs*Table1[[#This Row],[Irms BuSync]]^2, Rs*Table1[[#This Row],[Irms BoCtlr]]^2, Rs*(Table1[[#This Row],[Irms BuSync]]^2+Table1[[#This Row],[Irms BoCtlr]]^2))</f>
        <v>0.16684110133758387</v>
      </c>
      <c r="BD112" s="354">
        <f t="shared" si="5"/>
        <v>1.44</v>
      </c>
      <c r="BE112" s="354">
        <f>IF(Vout&gt;8, Iq*Vout, Iq*Table1[[#This Row],[Vin]])</f>
        <v>4.3799999999999999E-2</v>
      </c>
      <c r="BF112" s="354">
        <f>CHOOSE(Table1[[#This Row],[Mode Digit]], (Qg_Q1+Qg_Q2)*Fsw, (Qg_Q3+Qg_Q4)*Fsw, (Qg_Q1+Qg_Q2+Qg_Q3+Qg_Q4)*Fsw)*IF(Vout&gt;8, Vout, Table1[[#This Row],[Vin]])</f>
        <v>0.47303999999999996</v>
      </c>
      <c r="BG112" s="354">
        <f t="shared" si="6"/>
        <v>0.57269042016806726</v>
      </c>
      <c r="BH112" s="354">
        <f>Table1[[#This Row],[IQ Loss]]+Table1[[#This Row],[Switching Current Loss]]</f>
        <v>0.51683999999999997</v>
      </c>
      <c r="BI11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9.8790765536360734</v>
      </c>
      <c r="BJ112">
        <f>Vout*Table1[[#This Row],[Iout]]</f>
        <v>175.2</v>
      </c>
      <c r="BK112" s="550">
        <f>Table1[[#This Row],[Pout]]/(Table1[[#This Row],[Pout]]+Table1[[#This Row],[Total Loss]])</f>
        <v>0.94662240196139558</v>
      </c>
      <c r="BL11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232.61357947330345</v>
      </c>
      <c r="BM112" s="559">
        <f>IF(Table1[[#This Row],[Vin]]&gt;Vout, Table1[[#This Row],[Total Sync Bu MOSFET Loss]]*ThetaJA_Q2, ThetaJA_Q3*Table1[[#This Row],[Total Sync Bo MOSFET Loss]])</f>
        <v>55.171257544245492</v>
      </c>
      <c r="BN112" s="9"/>
      <c r="BO112" s="4">
        <f>Table1[[#This Row],[EFF, h]]*100</f>
        <v>94.662240196139564</v>
      </c>
      <c r="BP112" s="354">
        <f>Table1[[#This Row],[Total Inductor Loss]]</f>
        <v>1.8366402702236102</v>
      </c>
      <c r="BQ112" s="354">
        <f>Table1[[#This Row],[Total Control Bu MOSFET Loss]]+Table1[[#This Row],[Total Sync Bu MOSFET Loss]]+Table1[[#This Row],[Total Control Bo MOSFET Loss]]+Table1[[#This Row],[Total Sync Bo MOSFET Loss]]+Table1[[#This Row],[Reverse Recovery Loss MOSFET D BUCK]]+Table1[[#This Row],[Reverse Recovery Loss MOSFET D BOOST]]</f>
        <v>5.8387394208930194</v>
      </c>
      <c r="BR112" s="354">
        <f>Table1[[#This Row],[Total Control Bu MOSFET Loss]]+Table1[[#This Row],[Reverse Recovery Loss MOSFET D BUCK]]*0.66</f>
        <v>4.0919970232217242</v>
      </c>
      <c r="BS112" s="354">
        <f>Table1[[#This Row],[Total Sync Bu MOSFET Loss]]+Table1[[#This Row],[Reverse Recovery Loss MOSFET D BUCK]]*0.33</f>
        <v>1.0270729750707581</v>
      </c>
      <c r="BT112" s="354">
        <f xml:space="preserve"> Table1[[#This Row],[Total Control Bo MOSFET Loss]]+Table1[[#This Row],[Reverse Recovery Loss MOSFET D BOOST]]*0.66</f>
        <v>0</v>
      </c>
      <c r="BU112" s="354">
        <f xml:space="preserve"> Table1[[#This Row],[Total Sync Bo MOSFET Loss]]+Table1[[#This Row],[Reverse Recovery Loss MOSFET D BOOST]]*0.33</f>
        <v>0.71641027060053708</v>
      </c>
      <c r="BV112" s="354">
        <f>Table1[[#This Row],[Isense Shunt Loss]]</f>
        <v>0.16684110133758387</v>
      </c>
    </row>
    <row r="113" spans="7:74" x14ac:dyDescent="0.2">
      <c r="G113">
        <v>104</v>
      </c>
      <c r="H113" s="555">
        <f>VIN_min+(VIN_max-VIN_min)*(Table1[[#This Row],[Step]]/200)</f>
        <v>27.28</v>
      </c>
      <c r="I113" s="4" t="str">
        <f>IF(Mode = 2,IF(Table1[[#This Row],[Vin]]&gt;Vout, "BUCK","BOOST"),IF(Table1[[#This Row],[Vin]]&gt;VIN_BB_to_buck, "BUCK", IF(Table1[[#This Row],[Vin]]&lt;=VIN_boost_to_BB,"BOOST","BUCK-BST")))</f>
        <v>BUCK</v>
      </c>
      <c r="J113">
        <f>IF(Table1[[#This Row],[Mode]]="BOOST",2, IF(Table1[[#This Row],[Mode]]="BUCK", 1,3))</f>
        <v>1</v>
      </c>
      <c r="K113">
        <f t="shared" si="4"/>
        <v>12</v>
      </c>
      <c r="L113" s="4">
        <f>Vout*Table1[[#This Row],[Iout]]/(Table1[[#This Row],[Vin]]*Efficiency)</f>
        <v>6.7603025158203423</v>
      </c>
      <c r="M113" s="711">
        <f>MIN(1/Fsw,CHOOSE(Table1[[#This Row],[Mode Digit]],(Vout+(Rdson2+Rs+Rdcr)*Table1[[#This Row],[Iout]])/(Table1[[#This Row],[Vin]]+(Rs+Rdson2-Rdson1)*Table1[[#This Row],[Iout]])/Fsw,(Vout+(Rdson3+Rdcr)*Table1[[#This Row],[Iin]]-Table1[[#This Row],[Vin]])/(Vout+(Rdson3-Rdson4-Rs)*Table1[[#This Row],[Iin]])/Fsw,t1_Ph_II))</f>
        <v>9.0015867203710479E-7</v>
      </c>
      <c r="N113" s="602">
        <f>CHOOSE(Table1[[#This Row],[Mode Digit]],1/Fsw-Table1[[#This Row],[t1_Ph_II]],1/Fsw-Table1[[#This Row],[t1_Ph_II]],(Vout/Fsw-Table1[[#This Row],[Vin]]*t1_Ph_II)/(Table1[[#This Row],[Vin]]+Vout))</f>
        <v>7.6650799462956187E-7</v>
      </c>
      <c r="O113" s="602">
        <f>1/Fsw-(Table1[[#This Row],[t1_Ph_II]]+Table1[[#This Row],[t2_Ph_I]])</f>
        <v>0</v>
      </c>
      <c r="P11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9.8382553103351338</v>
      </c>
      <c r="Q113" s="4">
        <f>CHOOSE(Table1[[#This Row],[Mode Digit]],Table1[[#This Row],[I_0]]+1/Lf*(Table1[[#This Row],[Vin]]-Vout)*Table1[[#This Row],[t1_Ph_II]],Table1[[#This Row],[I_0]]+1/Lf*Table1[[#This Row],[Vin]]*Table1[[#This Row],[t1_Ph_II]],Table1[[#This Row],[I_0]]+(Table1[[#This Row],[Vin]]-Vout)/L*Table1[[#This Row],[t1_Ph_II]])</f>
        <v>14.161744689664864</v>
      </c>
      <c r="R113" s="4">
        <f>CHOOSE(Table1[[#This Row],[Mode Digit]],0,0,Table1[[#This Row],[I_1]]+Table1[[#This Row],[Vin]]/L*Table1[[#This Row],[t2_Ph_I]])</f>
        <v>0</v>
      </c>
      <c r="S113" s="4">
        <f>Fsw*(Table1[[#This Row],[I_0]]*Table1[[#This Row],[t1_Ph_II]]+Table1[[#This Row],[I_1]]*Table1[[#This Row],[t2_Ph_I]]+Table1[[#This Row],[I_2]]*Table1[[#This Row],[t3_Ph_III]])</f>
        <v>11.826648814706477</v>
      </c>
      <c r="T113" s="354">
        <f>MIN(1,CHOOSE(Table1[[#This Row],[Mode Digit]],(Vout+(Rdson2+Rs+Rdcr)*Table1[[#This Row],[Iout]])/(Table1[[#This Row],[Vin]]+(Rs+Rdson2-Rdson1)*Table1[[#This Row],[Iout]]),1,Fsw*Table1[[#This Row],[t2_Ph_I]]+Table1[[#This Row],[t1_Ph_II]]))</f>
        <v>0.5400952032222629</v>
      </c>
      <c r="U113" s="354">
        <f>MIN(1,CHOOSE(Table1[[#This Row],[Mode Digit]],0,(Vout+(Rdson3+Rdcr)*Table1[[#This Row],[Iin]]-Table1[[#This Row],[Vin]])/(Vout+(Rdson3-Rdson4-Rs)*Table1[[#This Row],[Iin]]),Fsw*Table1[[#This Row],[t1_Ph_II]]+Table1[[#This Row],[t3_Ph_III]]))</f>
        <v>0</v>
      </c>
      <c r="V113" s="4">
        <f>MAX(Table1[[#This Row],[I_0]:[I_2]])-MIN(Table1[[#This Row],[I_0]:[I_1]])</f>
        <v>4.3234893793297307</v>
      </c>
      <c r="W11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12.06473014069377</v>
      </c>
      <c r="X113" s="354">
        <f>(Table1[[#This Row],[Irms Lf]]^2*Rdcr*(1+Ltc*Ta-Ltc*25))/(1-Table1[[#This Row],[Irms Lf]]^2*Rdcr*Ltc*ThetaCa)</f>
        <v>0.90538321436042657</v>
      </c>
      <c r="Y113" s="354">
        <f>ABS(7.759*10^-3*Fsw^0.9458*(0.00787*Table1[[#This Row],[Ripple Current pk-pk]])^2.304)</f>
        <v>0.9377119212754581</v>
      </c>
      <c r="Z113" s="354">
        <f>Table1[[#This Row],[DCR    Loss]]+Table1[[#This Row],[Core Loss]]</f>
        <v>1.8430951356358847</v>
      </c>
      <c r="AA113" s="4">
        <f>IF(Table1[[#This Row],[Vin]]&gt;Vout, Table1[[#This Row],[Ripple Current pk-pk]]/SQRT(12), SQRT(Table1[[#This Row],[Duty Cycle BOOST Leg]]/(1-Table1[[#This Row],[Duty Cycle BOOST Leg]]))*SQRT(Table1[[#This Row],[Iout]]^2+(Table1[[#This Row],[Ripple Current pk-pk]]^2)/12))</f>
        <v>1.2480838784972541</v>
      </c>
      <c r="AB113" s="354">
        <f>RCoutEsr*Table1[[#This Row],[Irms Cout]]^2</f>
        <v>7.7885668388237433E-3</v>
      </c>
      <c r="AC113" s="354">
        <f>Table1[[#This Row],[Cout ESR Loss]]</f>
        <v>7.7885668388237433E-3</v>
      </c>
      <c r="AD113" s="354">
        <f>IF(Table1[[#This Row],[Vin]]&gt;Vout, SQRT(Table1[[#This Row],[Duty Cycle BUCK Leg]]*(1-Table1[[#This Row],[Duty Cycle BUCK Leg]]))*SQRT(Table1[[#This Row],[Iout]]^2+(Table1[[#This Row],[Ripple Current pk-pk]]^2)/12), Table1[[#This Row],[Ripple Current pk-pk]]/SQRT(12))</f>
        <v>6.012938223215091</v>
      </c>
      <c r="AE113" s="354">
        <f>RCinEsr*Table1[[#This Row],[Irms Cin]]^2</f>
        <v>7.2310852152402114E-2</v>
      </c>
      <c r="AF113" s="549">
        <f>Table1[[#This Row],[Cin ESR Loss]]</f>
        <v>7.2310852152402114E-2</v>
      </c>
      <c r="AG11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8.8665113083969391</v>
      </c>
      <c r="AH113" s="354">
        <f>Rdson1*Table1[[#This Row],[Irms BuCtrl]]^2</f>
        <v>0.33018309568410942</v>
      </c>
      <c r="AI113" s="354">
        <f>CHOOSE(Table1[[#This Row],[Mode Digit]], (Table1[[#This Row],[Vin]]*Table1[[#This Row],[Iout]]/2)*(Fsw)*(Tr_buck+Tf_buck), 0, (Table1[[#This Row],[Vin]]*Table1[[#This Row],[Avg IL]]/2)*(Fsw/1)*(Tr_buck+Tf_buck))</f>
        <v>3.2462218824004854</v>
      </c>
      <c r="AJ113">
        <f>IF(Table1[[#This Row],[Vin]]&gt;Vout, IF(Table1[[#This Row],[Iout]]&gt;Table1[[#This Row],[Ripple Current pk-pk]]/2,0,ABS(Table1[[#This Row],[Iout]]-Table1[[#This Row],[Ripple Current pk-pk]]/2)*Vsd_Q1*Deadtime*Fsw),0)</f>
        <v>0</v>
      </c>
      <c r="AK113" s="354">
        <f>(Table1[[#This Row],[Dead Time Loss BuCtrl]]+Table1[[#This Row],[Transition Loss BuCtrl]]+Table1[[#This Row],[RDS(on) Loss BuCtrl]]*(1+RdsonTopTc*Ta-RdsonTopTc*25))/(1-Table1[[#This Row],[RDS(on) Loss BuCtrl]]*RdsonTopTc*ThetaJA_Q1)</f>
        <v>3.8842046715371072</v>
      </c>
      <c r="AL113" s="354">
        <f>CHOOSE(Table1[[#This Row],[Mode Digit]],SQRT((Fsw*(Table1[[#This Row],[t2_Ph_I]]+0))*((Table1[[#This Row],[I_0]]*Table1[[#This Row],[I_1]]+((Table1[[#This Row],[I_0]]-Table1[[#This Row],[I_1]])^2)/3))),0,SQRT((Fsw*(Table1[[#This Row],[t3_Ph_III]]+0))*((Table1[[#This Row],[I_0]]*Table1[[#This Row],[I_2]]+((Table1[[#This Row],[I_0]]-Table1[[#This Row],[I_2]])^2)/3))))</f>
        <v>8.1818512933097196</v>
      </c>
      <c r="AM113" s="354">
        <f>Rdson2*Table1[[#This Row],[Irms BuSync]]^2</f>
        <v>0.28115930046050253</v>
      </c>
      <c r="AN11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3" s="354">
        <f>(Table1[[#This Row],[Deadtime Loss BuSync]]+Table1[[#This Row],[RDS(on) Loss BuSync]]*(1+RdsonBotTc*Ta-RdsonBotTc*25))/(1-Table1[[#This Row],[RDS(on) Loss BuSync]]*RdsonBotTc*ThetaJA_Q2)</f>
        <v>0.92065489363856057</v>
      </c>
      <c r="AP113" s="354">
        <f>CHOOSE(Table1[[#This Row],[Mode Digit]],0,SQRT((Fsw*(Table1[[#This Row],[t1_Ph_II]]+0))*((Table1[[#This Row],[I_0]]*Table1[[#This Row],[I_1]]+((Table1[[#This Row],[I_0]]-Table1[[#This Row],[I_1]])^2)/3))),SQRT((Fsw*(Table1[[#This Row],[t2_Ph_I]]+0))*((Table1[[#This Row],[I_1]]*Table1[[#This Row],[I_2]]+((Table1[[#This Row],[I_1]]-Table1[[#This Row],[I_2]])^2)/3))))</f>
        <v>0</v>
      </c>
      <c r="AQ113" s="354">
        <f>Rdson4*Table1[[#This Row],[Irms BoCtlr]]^2</f>
        <v>0</v>
      </c>
      <c r="AR113" s="354">
        <f>CHOOSE(Table1[[#This Row],[Mode Digit]], 0, (Vout*Table1[[#This Row],[Iin]]/2)*(Fsw)*(Tr_boost+Tf_boost), (Vout*Iout/2)*(Fsw/1)*(Tr_boost+Tf_boost))</f>
        <v>0</v>
      </c>
      <c r="AS113">
        <f>IF(Table1[[#This Row],[Vin]]&gt;Vout, 0, IF(Table1[[#This Row],[Iin]]&gt;Table1[[#This Row],[Ripple Current pk-pk]]/2,0,ABS(Table1[[#This Row],[Iin]]-Table1[[#This Row],[Ripple Current pk-pk]]/2)*Vsd_Q4*Deadtime*Fsw))</f>
        <v>0</v>
      </c>
      <c r="AT113" s="354">
        <f>(Table1[[#This Row],[Dead Time Loss BoCtlr]]+Table1[[#This Row],[Transition Loss BoCtlr]]+Table1[[#This Row],[RDS(on) Loss BoCtlr]]*(1+RdsonTopTc*Ta-RdsonTopTc*25))/(1-Table1[[#This Row],[RDS(on) Loss BoCtlr]]*RdsonTopTc*ThetaJA_Q4)</f>
        <v>0</v>
      </c>
      <c r="AU11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12.06473014069377</v>
      </c>
      <c r="AV113" s="354">
        <f>Rdson3*Table1[[#This Row],[Irms BoSync]]^2</f>
        <v>0.61134239614461194</v>
      </c>
      <c r="AW11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3" s="354">
        <f>(Table1[[#This Row],[Deadtime Loss BoSync]]+Table1[[#This Row],[RDS(on) Loss BoSync]]*(1+RdsonBotTc*Ta-RdsonBotTc*25))/(1-Table1[[#This Row],[RDS(on) Loss BoSync]]*RdsonBotTc*ThetaJA_Q3)</f>
        <v>0.71646347565417712</v>
      </c>
      <c r="AY113" s="354">
        <f>CHOOSE(Table1[[#This Row],[Mode Digit]], Rdson3*Table1[[#This Row],[Irms Lf]]^2, Rdson1*Table1[[#This Row],[Irms Lf]]^2, 0)</f>
        <v>0.61134239614461194</v>
      </c>
      <c r="AZ113" s="354">
        <f>CHOOSE(Table1[[#This Row],[Mode Digit]], 2*Deadtime*Fsw*IF(VfdSky_Q2&gt;0,VfdSky_Q2,0)*Table1[[#This Row],[Iout]], 2*Deadtime*Fsw*IF(VfdSky_Q3&gt;0,VfdSky_Q3,0)*Table1[[#This Row],[Iin]], 2*Deadtime*Fsw*IF(VfdSky_Q2&gt;0,VfdSky_Q2,0)*Table1[[#This Row],[Iout]]+2*Deadtime*Fsw*IF(VfdSky_Q3&gt;0,VfdSky_Q3,0)*Table1[[#This Row],[Iin]])</f>
        <v>0</v>
      </c>
      <c r="BA113" s="354">
        <f>CHOOSE(Table1[[#This Row],[Mode Digit]], IF(QrrSky_Q2&gt;0,QrrSky_Q2,Qrr_Q2)*Fsw*(Table1[[#This Row],[Vin]]-Table1[[#This Row],[Iout]]*Rdson1),0,  IF(QrrSky_Q2&gt;0,QrrSky_Q2,Qrr_Q2)*Fsw*(Table1[[#This Row],[Vin]]-Table1[[#This Row],[Iout]]*Rdson1)+IF(QrrSky_Q3&gt;0,QrrSky_Q3,Qrr_Q3)*Fsw*Vout)</f>
        <v>0.32675520000000002</v>
      </c>
      <c r="BB113" s="354">
        <f>CHOOSE(Table1[[#This Row],[Mode Digit]],0, IF(QrrSky_Q3&gt;0,QrrSky_Q3,Qrr_Q3)*Fsw*Vout,  IF(QrrSky_Q2&gt;0,QrrSky_Q2,Qrr_Q2)*Fsw*(Table1[[#This Row],[Vin]]-Table1[[#This Row],[Iout]]*Rdson1)+IF(QrrSky_Q3&gt;0,QrrSky_Q3,Qrr_Q3)*Fsw*Vout)</f>
        <v>0</v>
      </c>
      <c r="BC113" s="354">
        <f>CHOOSE(Table1[[#This Row],[Mode Digit]], Rs*Table1[[#This Row],[Irms BuSync]]^2, Rs*Table1[[#This Row],[Irms BoCtlr]]^2, Rs*(Table1[[#This Row],[Irms BuSync]]^2+Table1[[#This Row],[Irms BoCtlr]]^2))</f>
        <v>0.16735672646458483</v>
      </c>
      <c r="BD113" s="354">
        <f t="shared" si="5"/>
        <v>1.44</v>
      </c>
      <c r="BE113" s="354">
        <f>IF(Vout&gt;8, Iq*Vout, Iq*Table1[[#This Row],[Vin]])</f>
        <v>4.3799999999999999E-2</v>
      </c>
      <c r="BF113" s="354">
        <f>CHOOSE(Table1[[#This Row],[Mode Digit]], (Qg_Q1+Qg_Q2)*Fsw, (Qg_Q3+Qg_Q4)*Fsw, (Qg_Q1+Qg_Q2+Qg_Q3+Qg_Q4)*Fsw)*IF(Vout&gt;8, Vout, Table1[[#This Row],[Vin]])</f>
        <v>0.47303999999999996</v>
      </c>
      <c r="BG113" s="354">
        <f t="shared" si="6"/>
        <v>0.57269042016806726</v>
      </c>
      <c r="BH113" s="354">
        <f>Table1[[#This Row],[IQ Loss]]+Table1[[#This Row],[Switching Current Loss]]</f>
        <v>0.51683999999999997</v>
      </c>
      <c r="BI11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9.8954695219215392</v>
      </c>
      <c r="BJ113">
        <f>Vout*Table1[[#This Row],[Iout]]</f>
        <v>175.2</v>
      </c>
      <c r="BK113" s="550">
        <f>Table1[[#This Row],[Pout]]/(Table1[[#This Row],[Pout]]+Table1[[#This Row],[Total Loss]])</f>
        <v>0.94653856440959738</v>
      </c>
      <c r="BL11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233.05228029222644</v>
      </c>
      <c r="BM113" s="559">
        <f>IF(Table1[[#This Row],[Vin]]&gt;Vout, Table1[[#This Row],[Total Sync Bu MOSFET Loss]]*ThetaJA_Q2, ThetaJA_Q3*Table1[[#This Row],[Total Sync Bo MOSFET Loss]])</f>
        <v>55.239293618313631</v>
      </c>
      <c r="BN113" s="9"/>
      <c r="BO113" s="4">
        <f>Table1[[#This Row],[EFF, h]]*100</f>
        <v>94.653856440959743</v>
      </c>
      <c r="BP113" s="354">
        <f>Table1[[#This Row],[Total Inductor Loss]]</f>
        <v>1.8430951356358847</v>
      </c>
      <c r="BQ113" s="354">
        <f>Table1[[#This Row],[Total Control Bu MOSFET Loss]]+Table1[[#This Row],[Total Sync Bu MOSFET Loss]]+Table1[[#This Row],[Total Control Bo MOSFET Loss]]+Table1[[#This Row],[Total Sync Bo MOSFET Loss]]+Table1[[#This Row],[Reverse Recovery Loss MOSFET D BUCK]]+Table1[[#This Row],[Reverse Recovery Loss MOSFET D BOOST]]</f>
        <v>5.8480782408298451</v>
      </c>
      <c r="BR113" s="354">
        <f>Table1[[#This Row],[Total Control Bu MOSFET Loss]]+Table1[[#This Row],[Reverse Recovery Loss MOSFET D BUCK]]*0.66</f>
        <v>4.0998631035371069</v>
      </c>
      <c r="BS113" s="354">
        <f>Table1[[#This Row],[Total Sync Bu MOSFET Loss]]+Table1[[#This Row],[Reverse Recovery Loss MOSFET D BUCK]]*0.33</f>
        <v>1.0284841096385606</v>
      </c>
      <c r="BT113" s="354">
        <f xml:space="preserve"> Table1[[#This Row],[Total Control Bo MOSFET Loss]]+Table1[[#This Row],[Reverse Recovery Loss MOSFET D BOOST]]*0.66</f>
        <v>0</v>
      </c>
      <c r="BU113" s="354">
        <f xml:space="preserve"> Table1[[#This Row],[Total Sync Bo MOSFET Loss]]+Table1[[#This Row],[Reverse Recovery Loss MOSFET D BOOST]]*0.33</f>
        <v>0.71646347565417712</v>
      </c>
      <c r="BV113" s="354">
        <f>Table1[[#This Row],[Isense Shunt Loss]]</f>
        <v>0.16735672646458483</v>
      </c>
    </row>
    <row r="114" spans="7:74" x14ac:dyDescent="0.2">
      <c r="G114">
        <v>105</v>
      </c>
      <c r="H114" s="555">
        <f>VIN_min+(VIN_max-VIN_min)*(Table1[[#This Row],[Step]]/200)</f>
        <v>27.35</v>
      </c>
      <c r="I114" s="4" t="str">
        <f>IF(Mode = 2,IF(Table1[[#This Row],[Vin]]&gt;Vout, "BUCK","BOOST"),IF(Table1[[#This Row],[Vin]]&gt;VIN_BB_to_buck, "BUCK", IF(Table1[[#This Row],[Vin]]&lt;=VIN_boost_to_BB,"BOOST","BUCK-BST")))</f>
        <v>BUCK</v>
      </c>
      <c r="J114">
        <f>IF(Table1[[#This Row],[Mode]]="BOOST",2, IF(Table1[[#This Row],[Mode]]="BUCK", 1,3))</f>
        <v>1</v>
      </c>
      <c r="K114">
        <f t="shared" si="4"/>
        <v>12</v>
      </c>
      <c r="L114" s="4">
        <f>Vout*Table1[[#This Row],[Iout]]/(Table1[[#This Row],[Vin]]*Efficiency)</f>
        <v>6.7430000962186076</v>
      </c>
      <c r="M114" s="711">
        <f>MIN(1/Fsw,CHOOSE(Table1[[#This Row],[Mode Digit]],(Vout+(Rdson2+Rs+Rdcr)*Table1[[#This Row],[Iout]])/(Table1[[#This Row],[Vin]]+(Rs+Rdson2-Rdson1)*Table1[[#This Row],[Iout]])/Fsw,(Vout+(Rdson3+Rdcr)*Table1[[#This Row],[Iin]]-Table1[[#This Row],[Vin]])/(Vout+(Rdson3-Rdson4-Rs)*Table1[[#This Row],[Iin]])/Fsw,t1_Ph_II))</f>
        <v>8.9785731677623568E-7</v>
      </c>
      <c r="N114" s="602">
        <f>CHOOSE(Table1[[#This Row],[Mode Digit]],1/Fsw-Table1[[#This Row],[t1_Ph_II]],1/Fsw-Table1[[#This Row],[t1_Ph_II]],(Vout/Fsw-Table1[[#This Row],[Vin]]*t1_Ph_II)/(Table1[[#This Row],[Vin]]+Vout))</f>
        <v>7.6880934989043098E-7</v>
      </c>
      <c r="O114" s="602">
        <f>1/Fsw-(Table1[[#This Row],[t1_Ph_II]]+Table1[[#This Row],[t2_Ph_I]])</f>
        <v>0</v>
      </c>
      <c r="P11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9.8318786384664758</v>
      </c>
      <c r="Q114" s="4">
        <f>CHOOSE(Table1[[#This Row],[Mode Digit]],Table1[[#This Row],[I_0]]+1/Lf*(Table1[[#This Row],[Vin]]-Vout)*Table1[[#This Row],[t1_Ph_II]],Table1[[#This Row],[I_0]]+1/Lf*Table1[[#This Row],[Vin]]*Table1[[#This Row],[t1_Ph_II]],Table1[[#This Row],[I_0]]+(Table1[[#This Row],[Vin]]-Vout)/L*Table1[[#This Row],[t1_Ph_II]])</f>
        <v>14.168121361533522</v>
      </c>
      <c r="R114" s="4">
        <f>CHOOSE(Table1[[#This Row],[Mode Digit]],0,0,Table1[[#This Row],[I_1]]+Table1[[#This Row],[Vin]]/L*Table1[[#This Row],[t2_Ph_I]])</f>
        <v>0</v>
      </c>
      <c r="S114" s="4">
        <f>Fsw*(Table1[[#This Row],[I_0]]*Table1[[#This Row],[t1_Ph_II]]+Table1[[#This Row],[I_1]]*Table1[[#This Row],[t2_Ph_I]]+Table1[[#This Row],[I_2]]*Table1[[#This Row],[t3_Ph_III]])</f>
        <v>11.83212500779945</v>
      </c>
      <c r="T114" s="354">
        <f>MIN(1,CHOOSE(Table1[[#This Row],[Mode Digit]],(Vout+(Rdson2+Rs+Rdcr)*Table1[[#This Row],[Iout]])/(Table1[[#This Row],[Vin]]+(Rs+Rdson2-Rdson1)*Table1[[#This Row],[Iout]]),1,Fsw*Table1[[#This Row],[t2_Ph_I]]+Table1[[#This Row],[t1_Ph_II]]))</f>
        <v>0.5387143900657414</v>
      </c>
      <c r="U114" s="354">
        <f>MIN(1,CHOOSE(Table1[[#This Row],[Mode Digit]],0,(Vout+(Rdson3+Rdcr)*Table1[[#This Row],[Iin]]-Table1[[#This Row],[Vin]])/(Vout+(Rdson3-Rdson4-Rs)*Table1[[#This Row],[Iin]]),Fsw*Table1[[#This Row],[t1_Ph_II]]+Table1[[#This Row],[t3_Ph_III]]))</f>
        <v>0</v>
      </c>
      <c r="V114" s="4">
        <f>MAX(Table1[[#This Row],[I_0]:[I_2]])-MIN(Table1[[#This Row],[I_0]:[I_1]])</f>
        <v>4.3362427230670466</v>
      </c>
      <c r="W11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12.065111551333151</v>
      </c>
      <c r="X114" s="354">
        <f>(Table1[[#This Row],[Irms Lf]]^2*Rdcr*(1+Ltc*Ta-Ltc*25))/(1-Table1[[#This Row],[Irms Lf]]^2*Rdcr*Ltc*ThetaCa)</f>
        <v>0.90544460691423967</v>
      </c>
      <c r="Y114" s="354">
        <f>ABS(7.759*10^-3*Fsw^0.9458*(0.00787*Table1[[#This Row],[Ripple Current pk-pk]])^2.304)</f>
        <v>0.94409714748328499</v>
      </c>
      <c r="Z114" s="354">
        <f>Table1[[#This Row],[DCR    Loss]]+Table1[[#This Row],[Core Loss]]</f>
        <v>1.8495417543975248</v>
      </c>
      <c r="AA114" s="4">
        <f>IF(Table1[[#This Row],[Vin]]&gt;Vout, Table1[[#This Row],[Ripple Current pk-pk]]/SQRT(12), SQRT(Table1[[#This Row],[Duty Cycle BOOST Leg]]/(1-Table1[[#This Row],[Duty Cycle BOOST Leg]]))*SQRT(Table1[[#This Row],[Iout]]^2+(Table1[[#This Row],[Ripple Current pk-pk]]^2)/12))</f>
        <v>1.2517654517171577</v>
      </c>
      <c r="AB114" s="354">
        <f>RCoutEsr*Table1[[#This Row],[Irms Cout]]^2</f>
        <v>7.8345837305633E-3</v>
      </c>
      <c r="AC114" s="354">
        <f>Table1[[#This Row],[Cout ESR Loss]]</f>
        <v>7.8345837305633E-3</v>
      </c>
      <c r="AD114" s="354">
        <f>IF(Table1[[#This Row],[Vin]]&gt;Vout, SQRT(Table1[[#This Row],[Duty Cycle BUCK Leg]]*(1-Table1[[#This Row],[Duty Cycle BUCK Leg]]))*SQRT(Table1[[#This Row],[Iout]]^2+(Table1[[#This Row],[Ripple Current pk-pk]]^2)/12), Table1[[#This Row],[Ripple Current pk-pk]]/SQRT(12))</f>
        <v>6.014445353456038</v>
      </c>
      <c r="AE114" s="354">
        <f>RCinEsr*Table1[[#This Row],[Irms Cin]]^2</f>
        <v>7.2347105819417848E-2</v>
      </c>
      <c r="AF114" s="549">
        <f>Table1[[#This Row],[Cin ESR Loss]]</f>
        <v>7.2347105819417848E-2</v>
      </c>
      <c r="AG11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8.8554498908091972</v>
      </c>
      <c r="AH114" s="354">
        <f>Rdson1*Table1[[#This Row],[Irms BuCtrl]]^2</f>
        <v>0.32935976962825703</v>
      </c>
      <c r="AI114" s="354">
        <f>CHOOSE(Table1[[#This Row],[Mode Digit]], (Table1[[#This Row],[Vin]]*Table1[[#This Row],[Iout]]/2)*(Fsw)*(Tr_buck+Tf_buck), 0, (Table1[[#This Row],[Vin]]*Table1[[#This Row],[Avg IL]]/2)*(Fsw/1)*(Tr_buck+Tf_buck))</f>
        <v>3.2545516306324522</v>
      </c>
      <c r="AJ114">
        <f>IF(Table1[[#This Row],[Vin]]&gt;Vout, IF(Table1[[#This Row],[Iout]]&gt;Table1[[#This Row],[Ripple Current pk-pk]]/2,0,ABS(Table1[[#This Row],[Iout]]-Table1[[#This Row],[Ripple Current pk-pk]]/2)*Vsd_Q1*Deadtime*Fsw),0)</f>
        <v>0</v>
      </c>
      <c r="AK114" s="354">
        <f>(Table1[[#This Row],[Dead Time Loss BuCtrl]]+Table1[[#This Row],[Transition Loss BuCtrl]]+Table1[[#This Row],[RDS(on) Loss BuCtrl]]*(1+RdsonTopTc*Ta-RdsonTopTc*25))/(1-Table1[[#This Row],[RDS(on) Loss BuCtrl]]*RdsonTopTc*ThetaJA_Q1)</f>
        <v>3.8915219888401547</v>
      </c>
      <c r="AL114" s="354">
        <f>CHOOSE(Table1[[#This Row],[Mode Digit]],SQRT((Fsw*(Table1[[#This Row],[t2_Ph_I]]+0))*((Table1[[#This Row],[I_0]]*Table1[[#This Row],[I_1]]+((Table1[[#This Row],[I_0]]-Table1[[#This Row],[I_1]])^2)/3))),0,SQRT((Fsw*(Table1[[#This Row],[t3_Ph_III]]+0))*((Table1[[#This Row],[I_0]]*Table1[[#This Row],[I_2]]+((Table1[[#This Row],[I_0]]-Table1[[#This Row],[I_2]])^2)/3))))</f>
        <v>8.1943836850296439</v>
      </c>
      <c r="AM114" s="354">
        <f>Rdson2*Table1[[#This Row],[Irms BuSync]]^2</f>
        <v>0.28202128070541604</v>
      </c>
      <c r="AN11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4" s="354">
        <f>(Table1[[#This Row],[Deadtime Loss BuSync]]+Table1[[#This Row],[RDS(on) Loss BuSync]]*(1+RdsonBotTc*Ta-RdsonBotTc*25))/(1-Table1[[#This Row],[RDS(on) Loss BuSync]]*RdsonBotTc*ThetaJA_Q2)</f>
        <v>0.92178374074011404</v>
      </c>
      <c r="AP114" s="354">
        <f>CHOOSE(Table1[[#This Row],[Mode Digit]],0,SQRT((Fsw*(Table1[[#This Row],[t1_Ph_II]]+0))*((Table1[[#This Row],[I_0]]*Table1[[#This Row],[I_1]]+((Table1[[#This Row],[I_0]]-Table1[[#This Row],[I_1]])^2)/3))),SQRT((Fsw*(Table1[[#This Row],[t2_Ph_I]]+0))*((Table1[[#This Row],[I_1]]*Table1[[#This Row],[I_2]]+((Table1[[#This Row],[I_1]]-Table1[[#This Row],[I_2]])^2)/3))))</f>
        <v>0</v>
      </c>
      <c r="AQ114" s="354">
        <f>Rdson4*Table1[[#This Row],[Irms BoCtlr]]^2</f>
        <v>0</v>
      </c>
      <c r="AR114" s="354">
        <f>CHOOSE(Table1[[#This Row],[Mode Digit]], 0, (Vout*Table1[[#This Row],[Iin]]/2)*(Fsw)*(Tr_boost+Tf_boost), (Vout*Iout/2)*(Fsw/1)*(Tr_boost+Tf_boost))</f>
        <v>0</v>
      </c>
      <c r="AS114">
        <f>IF(Table1[[#This Row],[Vin]]&gt;Vout, 0, IF(Table1[[#This Row],[Iin]]&gt;Table1[[#This Row],[Ripple Current pk-pk]]/2,0,ABS(Table1[[#This Row],[Iin]]-Table1[[#This Row],[Ripple Current pk-pk]]/2)*Vsd_Q4*Deadtime*Fsw))</f>
        <v>0</v>
      </c>
      <c r="AT114" s="354">
        <f>(Table1[[#This Row],[Dead Time Loss BoCtlr]]+Table1[[#This Row],[Transition Loss BoCtlr]]+Table1[[#This Row],[RDS(on) Loss BoCtlr]]*(1+RdsonTopTc*Ta-RdsonTopTc*25))/(1-Table1[[#This Row],[RDS(on) Loss BoCtlr]]*RdsonTopTc*ThetaJA_Q4)</f>
        <v>0</v>
      </c>
      <c r="AU11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12.065111551333151</v>
      </c>
      <c r="AV114" s="354">
        <f>Rdson3*Table1[[#This Row],[Irms BoSync]]^2</f>
        <v>0.61138105033367318</v>
      </c>
      <c r="AW11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4" s="354">
        <f>(Table1[[#This Row],[Deadtime Loss BoSync]]+Table1[[#This Row],[RDS(on) Loss BoSync]]*(1+RdsonBotTc*Ta-RdsonBotTc*25))/(1-Table1[[#This Row],[RDS(on) Loss BoSync]]*RdsonBotTc*ThetaJA_Q3)</f>
        <v>0.71651656658866203</v>
      </c>
      <c r="AY114" s="354">
        <f>CHOOSE(Table1[[#This Row],[Mode Digit]], Rdson3*Table1[[#This Row],[Irms Lf]]^2, Rdson1*Table1[[#This Row],[Irms Lf]]^2, 0)</f>
        <v>0.61138105033367318</v>
      </c>
      <c r="AZ114" s="354">
        <f>CHOOSE(Table1[[#This Row],[Mode Digit]], 2*Deadtime*Fsw*IF(VfdSky_Q2&gt;0,VfdSky_Q2,0)*Table1[[#This Row],[Iout]], 2*Deadtime*Fsw*IF(VfdSky_Q3&gt;0,VfdSky_Q3,0)*Table1[[#This Row],[Iin]], 2*Deadtime*Fsw*IF(VfdSky_Q2&gt;0,VfdSky_Q2,0)*Table1[[#This Row],[Iout]]+2*Deadtime*Fsw*IF(VfdSky_Q3&gt;0,VfdSky_Q3,0)*Table1[[#This Row],[Iin]])</f>
        <v>0</v>
      </c>
      <c r="BA114" s="354">
        <f>CHOOSE(Table1[[#This Row],[Mode Digit]], IF(QrrSky_Q2&gt;0,QrrSky_Q2,Qrr_Q2)*Fsw*(Table1[[#This Row],[Vin]]-Table1[[#This Row],[Iout]]*Rdson1),0,  IF(QrrSky_Q2&gt;0,QrrSky_Q2,Qrr_Q2)*Fsw*(Table1[[#This Row],[Vin]]-Table1[[#This Row],[Iout]]*Rdson1)+IF(QrrSky_Q3&gt;0,QrrSky_Q3,Qrr_Q3)*Fsw*Vout)</f>
        <v>0.32759520000000003</v>
      </c>
      <c r="BB114" s="354">
        <f>CHOOSE(Table1[[#This Row],[Mode Digit]],0, IF(QrrSky_Q3&gt;0,QrrSky_Q3,Qrr_Q3)*Fsw*Vout,  IF(QrrSky_Q2&gt;0,QrrSky_Q2,Qrr_Q2)*Fsw*(Table1[[#This Row],[Vin]]-Table1[[#This Row],[Iout]]*Rdson1)+IF(QrrSky_Q3&gt;0,QrrSky_Q3,Qrr_Q3)*Fsw*Vout)</f>
        <v>0</v>
      </c>
      <c r="BC114" s="354">
        <f>CHOOSE(Table1[[#This Row],[Mode Digit]], Rs*Table1[[#This Row],[Irms BuSync]]^2, Rs*Table1[[#This Row],[Irms BoCtlr]]^2, Rs*(Table1[[#This Row],[Irms BuSync]]^2+Table1[[#This Row],[Irms BoCtlr]]^2))</f>
        <v>0.16786980994370002</v>
      </c>
      <c r="BD114" s="354">
        <f t="shared" si="5"/>
        <v>1.44</v>
      </c>
      <c r="BE114" s="354">
        <f>IF(Vout&gt;8, Iq*Vout, Iq*Table1[[#This Row],[Vin]])</f>
        <v>4.3799999999999999E-2</v>
      </c>
      <c r="BF114" s="354">
        <f>CHOOSE(Table1[[#This Row],[Mode Digit]], (Qg_Q1+Qg_Q2)*Fsw, (Qg_Q3+Qg_Q4)*Fsw, (Qg_Q1+Qg_Q2+Qg_Q3+Qg_Q4)*Fsw)*IF(Vout&gt;8, Vout, Table1[[#This Row],[Vin]])</f>
        <v>0.47303999999999996</v>
      </c>
      <c r="BG114" s="354">
        <f t="shared" si="6"/>
        <v>0.57269042016806726</v>
      </c>
      <c r="BH114" s="354">
        <f>Table1[[#This Row],[IQ Loss]]+Table1[[#This Row],[Switching Current Loss]]</f>
        <v>0.51683999999999997</v>
      </c>
      <c r="BI11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9.9118507500601361</v>
      </c>
      <c r="BJ114">
        <f>Vout*Table1[[#This Row],[Iout]]</f>
        <v>175.2</v>
      </c>
      <c r="BK114" s="550">
        <f>Table1[[#This Row],[Pout]]/(Table1[[#This Row],[Pout]]+Table1[[#This Row],[Total Loss]])</f>
        <v>0.94645480173258489</v>
      </c>
      <c r="BL11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233.49131933040928</v>
      </c>
      <c r="BM114" s="559">
        <f>IF(Table1[[#This Row],[Vin]]&gt;Vout, Table1[[#This Row],[Total Sync Bu MOSFET Loss]]*ThetaJA_Q2, ThetaJA_Q3*Table1[[#This Row],[Total Sync Bo MOSFET Loss]])</f>
        <v>55.307024444406842</v>
      </c>
      <c r="BN114" s="9"/>
      <c r="BO114" s="4">
        <f>Table1[[#This Row],[EFF, h]]*100</f>
        <v>94.645480173258491</v>
      </c>
      <c r="BP114" s="354">
        <f>Table1[[#This Row],[Total Inductor Loss]]</f>
        <v>1.8495417543975248</v>
      </c>
      <c r="BQ114" s="354">
        <f>Table1[[#This Row],[Total Control Bu MOSFET Loss]]+Table1[[#This Row],[Total Sync Bu MOSFET Loss]]+Table1[[#This Row],[Total Control Bo MOSFET Loss]]+Table1[[#This Row],[Total Sync Bo MOSFET Loss]]+Table1[[#This Row],[Reverse Recovery Loss MOSFET D BUCK]]+Table1[[#This Row],[Reverse Recovery Loss MOSFET D BOOST]]</f>
        <v>5.8574174961689307</v>
      </c>
      <c r="BR114" s="354">
        <f>Table1[[#This Row],[Total Control Bu MOSFET Loss]]+Table1[[#This Row],[Reverse Recovery Loss MOSFET D BUCK]]*0.66</f>
        <v>4.1077348208401547</v>
      </c>
      <c r="BS114" s="354">
        <f>Table1[[#This Row],[Total Sync Bu MOSFET Loss]]+Table1[[#This Row],[Reverse Recovery Loss MOSFET D BUCK]]*0.33</f>
        <v>1.029890156740114</v>
      </c>
      <c r="BT114" s="354">
        <f xml:space="preserve"> Table1[[#This Row],[Total Control Bo MOSFET Loss]]+Table1[[#This Row],[Reverse Recovery Loss MOSFET D BOOST]]*0.66</f>
        <v>0</v>
      </c>
      <c r="BU114" s="354">
        <f xml:space="preserve"> Table1[[#This Row],[Total Sync Bo MOSFET Loss]]+Table1[[#This Row],[Reverse Recovery Loss MOSFET D BOOST]]*0.33</f>
        <v>0.71651656658866203</v>
      </c>
      <c r="BV114" s="354">
        <f>Table1[[#This Row],[Isense Shunt Loss]]</f>
        <v>0.16786980994370002</v>
      </c>
    </row>
    <row r="115" spans="7:74" x14ac:dyDescent="0.2">
      <c r="G115">
        <v>106</v>
      </c>
      <c r="H115" s="555">
        <f>VIN_min+(VIN_max-VIN_min)*(Table1[[#This Row],[Step]]/200)</f>
        <v>27.42</v>
      </c>
      <c r="I115" s="4" t="str">
        <f>IF(Mode = 2,IF(Table1[[#This Row],[Vin]]&gt;Vout, "BUCK","BOOST"),IF(Table1[[#This Row],[Vin]]&gt;VIN_BB_to_buck, "BUCK", IF(Table1[[#This Row],[Vin]]&lt;=VIN_boost_to_BB,"BOOST","BUCK-BST")))</f>
        <v>BUCK</v>
      </c>
      <c r="J115">
        <f>IF(Table1[[#This Row],[Mode]]="BOOST",2, IF(Table1[[#This Row],[Mode]]="BUCK", 1,3))</f>
        <v>1</v>
      </c>
      <c r="K115">
        <f t="shared" si="4"/>
        <v>12</v>
      </c>
      <c r="L115" s="4">
        <f>Vout*Table1[[#This Row],[Iout]]/(Table1[[#This Row],[Vin]]*Efficiency)</f>
        <v>6.7257860186571454</v>
      </c>
      <c r="M115" s="711">
        <f>MIN(1/Fsw,CHOOSE(Table1[[#This Row],[Mode Digit]],(Vout+(Rdson2+Rs+Rdcr)*Table1[[#This Row],[Iout]])/(Table1[[#This Row],[Vin]]+(Rs+Rdson2-Rdson1)*Table1[[#This Row],[Iout]])/Fsw,(Vout+(Rdson3+Rdcr)*Table1[[#This Row],[Iin]]-Table1[[#This Row],[Vin]])/(Vout+(Rdson3-Rdson4-Rs)*Table1[[#This Row],[Iin]])/Fsw,t1_Ph_II))</f>
        <v>8.9556769884638728E-7</v>
      </c>
      <c r="N115" s="602">
        <f>CHOOSE(Table1[[#This Row],[Mode Digit]],1/Fsw-Table1[[#This Row],[t1_Ph_II]],1/Fsw-Table1[[#This Row],[t1_Ph_II]],(Vout/Fsw-Table1[[#This Row],[Vin]]*t1_Ph_II)/(Table1[[#This Row],[Vin]]+Vout))</f>
        <v>7.7109896782027939E-7</v>
      </c>
      <c r="O115" s="602">
        <f>1/Fsw-(Table1[[#This Row],[t1_Ph_II]]+Table1[[#This Row],[t2_Ph_I]])</f>
        <v>0</v>
      </c>
      <c r="P11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9.8255344887858556</v>
      </c>
      <c r="Q115" s="4">
        <f>CHOOSE(Table1[[#This Row],[Mode Digit]],Table1[[#This Row],[I_0]]+1/Lf*(Table1[[#This Row],[Vin]]-Vout)*Table1[[#This Row],[t1_Ph_II]],Table1[[#This Row],[I_0]]+1/Lf*Table1[[#This Row],[Vin]]*Table1[[#This Row],[t1_Ph_II]],Table1[[#This Row],[I_0]]+(Table1[[#This Row],[Vin]]-Vout)/L*Table1[[#This Row],[t1_Ph_II]])</f>
        <v>14.174465511214144</v>
      </c>
      <c r="R115" s="4">
        <f>CHOOSE(Table1[[#This Row],[Mode Digit]],0,0,Table1[[#This Row],[I_1]]+Table1[[#This Row],[Vin]]/L*Table1[[#This Row],[t2_Ph_I]])</f>
        <v>0</v>
      </c>
      <c r="S115" s="4">
        <f>Fsw*(Table1[[#This Row],[I_0]]*Table1[[#This Row],[t1_Ph_II]]+Table1[[#This Row],[I_1]]*Table1[[#This Row],[t2_Ph_I]]+Table1[[#This Row],[I_2]]*Table1[[#This Row],[t3_Ph_III]])</f>
        <v>11.837608222295483</v>
      </c>
      <c r="T115" s="354">
        <f>MIN(1,CHOOSE(Table1[[#This Row],[Mode Digit]],(Vout+(Rdson2+Rs+Rdcr)*Table1[[#This Row],[Iout]])/(Table1[[#This Row],[Vin]]+(Rs+Rdson2-Rdson1)*Table1[[#This Row],[Iout]]),1,Fsw*Table1[[#This Row],[t2_Ph_I]]+Table1[[#This Row],[t1_Ph_II]]))</f>
        <v>0.53734061930783239</v>
      </c>
      <c r="U115" s="354">
        <f>MIN(1,CHOOSE(Table1[[#This Row],[Mode Digit]],0,(Vout+(Rdson3+Rdcr)*Table1[[#This Row],[Iin]]-Table1[[#This Row],[Vin]])/(Vout+(Rdson3-Rdson4-Rs)*Table1[[#This Row],[Iin]]),Fsw*Table1[[#This Row],[t1_Ph_II]]+Table1[[#This Row],[t3_Ph_III]]))</f>
        <v>0</v>
      </c>
      <c r="V115" s="4">
        <f>MAX(Table1[[#This Row],[I_0]:[I_2]])-MIN(Table1[[#This Row],[I_0]:[I_1]])</f>
        <v>4.3489310224282889</v>
      </c>
      <c r="W11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12.065492119531909</v>
      </c>
      <c r="X115" s="354">
        <f>(Table1[[#This Row],[Irms Lf]]^2*Rdcr*(1+Ltc*Ta-Ltc*25))/(1-Table1[[#This Row],[Irms Lf]]^2*Rdcr*Ltc*ThetaCa)</f>
        <v>0.90550586636214447</v>
      </c>
      <c r="Y115" s="354">
        <f>ABS(7.759*10^-3*Fsw^0.9458*(0.00787*Table1[[#This Row],[Ripple Current pk-pk]])^2.304)</f>
        <v>0.9504741561065615</v>
      </c>
      <c r="Z115" s="354">
        <f>Table1[[#This Row],[DCR    Loss]]+Table1[[#This Row],[Core Loss]]</f>
        <v>1.855980022468706</v>
      </c>
      <c r="AA115" s="4">
        <f>IF(Table1[[#This Row],[Vin]]&gt;Vout, Table1[[#This Row],[Ripple Current pk-pk]]/SQRT(12), SQRT(Table1[[#This Row],[Duty Cycle BOOST Leg]]/(1-Table1[[#This Row],[Duty Cycle BOOST Leg]]))*SQRT(Table1[[#This Row],[Iout]]^2+(Table1[[#This Row],[Ripple Current pk-pk]]^2)/12))</f>
        <v>1.2554282482430437</v>
      </c>
      <c r="AB115" s="354">
        <f>RCoutEsr*Table1[[#This Row],[Irms Cout]]^2</f>
        <v>7.8805004324329873E-3</v>
      </c>
      <c r="AC115" s="354">
        <f>Table1[[#This Row],[Cout ESR Loss]]</f>
        <v>7.8805004324329873E-3</v>
      </c>
      <c r="AD115" s="354">
        <f>IF(Table1[[#This Row],[Vin]]&gt;Vout, SQRT(Table1[[#This Row],[Duty Cycle BUCK Leg]]*(1-Table1[[#This Row],[Duty Cycle BUCK Leg]]))*SQRT(Table1[[#This Row],[Iout]]^2+(Table1[[#This Row],[Ripple Current pk-pk]]^2)/12), Table1[[#This Row],[Ripple Current pk-pk]]/SQRT(12))</f>
        <v>6.0158993579007536</v>
      </c>
      <c r="AE115" s="354">
        <f>RCinEsr*Table1[[#This Row],[Irms Cin]]^2</f>
        <v>7.2382090168781402E-2</v>
      </c>
      <c r="AF115" s="549">
        <f>Table1[[#This Row],[Cin ESR Loss]]</f>
        <v>7.2382090168781402E-2</v>
      </c>
      <c r="AG11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8.8444305513069477</v>
      </c>
      <c r="AH115" s="354">
        <f>Rdson1*Table1[[#This Row],[Irms BuCtrl]]^2</f>
        <v>0.32854059746294528</v>
      </c>
      <c r="AI115" s="354">
        <f>CHOOSE(Table1[[#This Row],[Mode Digit]], (Table1[[#This Row],[Vin]]*Table1[[#This Row],[Iout]]/2)*(Fsw)*(Tr_buck+Tf_buck), 0, (Table1[[#This Row],[Vin]]*Table1[[#This Row],[Avg IL]]/2)*(Fsw/1)*(Tr_buck+Tf_buck))</f>
        <v>3.2628813788644178</v>
      </c>
      <c r="AJ115">
        <f>IF(Table1[[#This Row],[Vin]]&gt;Vout, IF(Table1[[#This Row],[Iout]]&gt;Table1[[#This Row],[Ripple Current pk-pk]]/2,0,ABS(Table1[[#This Row],[Iout]]-Table1[[#This Row],[Ripple Current pk-pk]]/2)*Vsd_Q1*Deadtime*Fsw),0)</f>
        <v>0</v>
      </c>
      <c r="AK115" s="354">
        <f>(Table1[[#This Row],[Dead Time Loss BuCtrl]]+Table1[[#This Row],[Transition Loss BuCtrl]]+Table1[[#This Row],[RDS(on) Loss BuCtrl]]*(1+RdsonTopTc*Ta-RdsonTopTc*25))/(1-Table1[[#This Row],[RDS(on) Loss BuCtrl]]*RdsonTopTc*ThetaJA_Q1)</f>
        <v>3.8988448958900173</v>
      </c>
      <c r="AL115" s="354">
        <f>CHOOSE(Table1[[#This Row],[Mode Digit]],SQRT((Fsw*(Table1[[#This Row],[t2_Ph_I]]+0))*((Table1[[#This Row],[I_0]]*Table1[[#This Row],[I_1]]+((Table1[[#This Row],[I_0]]-Table1[[#This Row],[I_1]])^2)/3))),0,SQRT((Fsw*(Table1[[#This Row],[t3_Ph_III]]+0))*((Table1[[#This Row],[I_0]]*Table1[[#This Row],[I_2]]+((Table1[[#This Row],[I_0]]-Table1[[#This Row],[I_2]])^2)/3))))</f>
        <v>8.2068354625638076</v>
      </c>
      <c r="AM115" s="354">
        <f>Rdson2*Table1[[#This Row],[Irms BuSync]]^2</f>
        <v>0.28287902290029865</v>
      </c>
      <c r="AN11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5" s="354">
        <f>(Table1[[#This Row],[Deadtime Loss BuSync]]+Table1[[#This Row],[RDS(on) Loss BuSync]]*(1+RdsonBotTc*Ta-RdsonBotTc*25))/(1-Table1[[#This Row],[RDS(on) Loss BuSync]]*RdsonBotTc*ThetaJA_Q2)</f>
        <v>0.92290753509277534</v>
      </c>
      <c r="AP115" s="354">
        <f>CHOOSE(Table1[[#This Row],[Mode Digit]],0,SQRT((Fsw*(Table1[[#This Row],[t1_Ph_II]]+0))*((Table1[[#This Row],[I_0]]*Table1[[#This Row],[I_1]]+((Table1[[#This Row],[I_0]]-Table1[[#This Row],[I_1]])^2)/3))),SQRT((Fsw*(Table1[[#This Row],[t2_Ph_I]]+0))*((Table1[[#This Row],[I_1]]*Table1[[#This Row],[I_2]]+((Table1[[#This Row],[I_1]]-Table1[[#This Row],[I_2]])^2)/3))))</f>
        <v>0</v>
      </c>
      <c r="AQ115" s="354">
        <f>Rdson4*Table1[[#This Row],[Irms BoCtlr]]^2</f>
        <v>0</v>
      </c>
      <c r="AR115" s="354">
        <f>CHOOSE(Table1[[#This Row],[Mode Digit]], 0, (Vout*Table1[[#This Row],[Iin]]/2)*(Fsw)*(Tr_boost+Tf_boost), (Vout*Iout/2)*(Fsw/1)*(Tr_boost+Tf_boost))</f>
        <v>0</v>
      </c>
      <c r="AS115">
        <f>IF(Table1[[#This Row],[Vin]]&gt;Vout, 0, IF(Table1[[#This Row],[Iin]]&gt;Table1[[#This Row],[Ripple Current pk-pk]]/2,0,ABS(Table1[[#This Row],[Iin]]-Table1[[#This Row],[Ripple Current pk-pk]]/2)*Vsd_Q4*Deadtime*Fsw))</f>
        <v>0</v>
      </c>
      <c r="AT115" s="354">
        <f>(Table1[[#This Row],[Dead Time Loss BoCtlr]]+Table1[[#This Row],[Transition Loss BoCtlr]]+Table1[[#This Row],[RDS(on) Loss BoCtlr]]*(1+RdsonTopTc*Ta-RdsonTopTc*25))/(1-Table1[[#This Row],[RDS(on) Loss BoCtlr]]*RdsonTopTc*ThetaJA_Q4)</f>
        <v>0</v>
      </c>
      <c r="AU11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12.065492119531909</v>
      </c>
      <c r="AV115" s="354">
        <f>Rdson3*Table1[[#This Row],[Irms BoSync]]^2</f>
        <v>0.61141962036324371</v>
      </c>
      <c r="AW11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5" s="354">
        <f>(Table1[[#This Row],[Deadtime Loss BoSync]]+Table1[[#This Row],[RDS(on) Loss BoSync]]*(1+RdsonBotTc*Ta-RdsonBotTc*25))/(1-Table1[[#This Row],[RDS(on) Loss BoSync]]*RdsonBotTc*ThetaJA_Q3)</f>
        <v>0.71656954308206799</v>
      </c>
      <c r="AY115" s="354">
        <f>CHOOSE(Table1[[#This Row],[Mode Digit]], Rdson3*Table1[[#This Row],[Irms Lf]]^2, Rdson1*Table1[[#This Row],[Irms Lf]]^2, 0)</f>
        <v>0.61141962036324371</v>
      </c>
      <c r="AZ115" s="354">
        <f>CHOOSE(Table1[[#This Row],[Mode Digit]], 2*Deadtime*Fsw*IF(VfdSky_Q2&gt;0,VfdSky_Q2,0)*Table1[[#This Row],[Iout]], 2*Deadtime*Fsw*IF(VfdSky_Q3&gt;0,VfdSky_Q3,0)*Table1[[#This Row],[Iin]], 2*Deadtime*Fsw*IF(VfdSky_Q2&gt;0,VfdSky_Q2,0)*Table1[[#This Row],[Iout]]+2*Deadtime*Fsw*IF(VfdSky_Q3&gt;0,VfdSky_Q3,0)*Table1[[#This Row],[Iin]])</f>
        <v>0</v>
      </c>
      <c r="BA115" s="354">
        <f>CHOOSE(Table1[[#This Row],[Mode Digit]], IF(QrrSky_Q2&gt;0,QrrSky_Q2,Qrr_Q2)*Fsw*(Table1[[#This Row],[Vin]]-Table1[[#This Row],[Iout]]*Rdson1),0,  IF(QrrSky_Q2&gt;0,QrrSky_Q2,Qrr_Q2)*Fsw*(Table1[[#This Row],[Vin]]-Table1[[#This Row],[Iout]]*Rdson1)+IF(QrrSky_Q3&gt;0,QrrSky_Q3,Qrr_Q3)*Fsw*Vout)</f>
        <v>0.32843520000000004</v>
      </c>
      <c r="BB115" s="354">
        <f>CHOOSE(Table1[[#This Row],[Mode Digit]],0, IF(QrrSky_Q3&gt;0,QrrSky_Q3,Qrr_Q3)*Fsw*Vout,  IF(QrrSky_Q2&gt;0,QrrSky_Q2,Qrr_Q2)*Fsw*(Table1[[#This Row],[Vin]]-Table1[[#This Row],[Iout]]*Rdson1)+IF(QrrSky_Q3&gt;0,QrrSky_Q3,Qrr_Q3)*Fsw*Vout)</f>
        <v>0</v>
      </c>
      <c r="BC115" s="354">
        <f>CHOOSE(Table1[[#This Row],[Mode Digit]], Rs*Table1[[#This Row],[Irms BuSync]]^2, Rs*Table1[[#This Row],[Irms BoCtlr]]^2, Rs*(Table1[[#This Row],[Irms BuSync]]^2+Table1[[#This Row],[Irms BoCtlr]]^2))</f>
        <v>0.16838037077398726</v>
      </c>
      <c r="BD115" s="354">
        <f t="shared" si="5"/>
        <v>1.44</v>
      </c>
      <c r="BE115" s="354">
        <f>IF(Vout&gt;8, Iq*Vout, Iq*Table1[[#This Row],[Vin]])</f>
        <v>4.3799999999999999E-2</v>
      </c>
      <c r="BF115" s="354">
        <f>CHOOSE(Table1[[#This Row],[Mode Digit]], (Qg_Q1+Qg_Q2)*Fsw, (Qg_Q3+Qg_Q4)*Fsw, (Qg_Q1+Qg_Q2+Qg_Q3+Qg_Q4)*Fsw)*IF(Vout&gt;8, Vout, Table1[[#This Row],[Vin]])</f>
        <v>0.47303999999999996</v>
      </c>
      <c r="BG115" s="354">
        <f t="shared" si="6"/>
        <v>0.57269042016806726</v>
      </c>
      <c r="BH115" s="354">
        <f>Table1[[#This Row],[IQ Loss]]+Table1[[#This Row],[Switching Current Loss]]</f>
        <v>0.51683999999999997</v>
      </c>
      <c r="BI11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9.9282201579087666</v>
      </c>
      <c r="BJ115">
        <f>Vout*Table1[[#This Row],[Iout]]</f>
        <v>175.2</v>
      </c>
      <c r="BK115" s="550">
        <f>Table1[[#This Row],[Pout]]/(Table1[[#This Row],[Pout]]+Table1[[#This Row],[Total Loss]])</f>
        <v>0.94637111430423582</v>
      </c>
      <c r="BL11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233.93069375340104</v>
      </c>
      <c r="BM115" s="559">
        <f>IF(Table1[[#This Row],[Vin]]&gt;Vout, Table1[[#This Row],[Total Sync Bu MOSFET Loss]]*ThetaJA_Q2, ThetaJA_Q3*Table1[[#This Row],[Total Sync Bo MOSFET Loss]])</f>
        <v>55.374452105566519</v>
      </c>
      <c r="BN115" s="9"/>
      <c r="BO115" s="4">
        <f>Table1[[#This Row],[EFF, h]]*100</f>
        <v>94.637111430423587</v>
      </c>
      <c r="BP115" s="354">
        <f>Table1[[#This Row],[Total Inductor Loss]]</f>
        <v>1.855980022468706</v>
      </c>
      <c r="BQ115" s="354">
        <f>Table1[[#This Row],[Total Control Bu MOSFET Loss]]+Table1[[#This Row],[Total Sync Bu MOSFET Loss]]+Table1[[#This Row],[Total Control Bo MOSFET Loss]]+Table1[[#This Row],[Total Sync Bo MOSFET Loss]]+Table1[[#This Row],[Reverse Recovery Loss MOSFET D BUCK]]+Table1[[#This Row],[Reverse Recovery Loss MOSFET D BOOST]]</f>
        <v>5.866757174064861</v>
      </c>
      <c r="BR115" s="354">
        <f>Table1[[#This Row],[Total Control Bu MOSFET Loss]]+Table1[[#This Row],[Reverse Recovery Loss MOSFET D BUCK]]*0.66</f>
        <v>4.1156121278900173</v>
      </c>
      <c r="BS115" s="354">
        <f>Table1[[#This Row],[Total Sync Bu MOSFET Loss]]+Table1[[#This Row],[Reverse Recovery Loss MOSFET D BUCK]]*0.33</f>
        <v>1.0312911510927754</v>
      </c>
      <c r="BT115" s="354">
        <f xml:space="preserve"> Table1[[#This Row],[Total Control Bo MOSFET Loss]]+Table1[[#This Row],[Reverse Recovery Loss MOSFET D BOOST]]*0.66</f>
        <v>0</v>
      </c>
      <c r="BU115" s="354">
        <f xml:space="preserve"> Table1[[#This Row],[Total Sync Bo MOSFET Loss]]+Table1[[#This Row],[Reverse Recovery Loss MOSFET D BOOST]]*0.33</f>
        <v>0.71656954308206799</v>
      </c>
      <c r="BV115" s="354">
        <f>Table1[[#This Row],[Isense Shunt Loss]]</f>
        <v>0.16838037077398726</v>
      </c>
    </row>
    <row r="116" spans="7:74" x14ac:dyDescent="0.2">
      <c r="G116">
        <v>107</v>
      </c>
      <c r="H116" s="555">
        <f>VIN_min+(VIN_max-VIN_min)*(Table1[[#This Row],[Step]]/200)</f>
        <v>27.490000000000002</v>
      </c>
      <c r="I116" s="4" t="str">
        <f>IF(Mode = 2,IF(Table1[[#This Row],[Vin]]&gt;Vout, "BUCK","BOOST"),IF(Table1[[#This Row],[Vin]]&gt;VIN_BB_to_buck, "BUCK", IF(Table1[[#This Row],[Vin]]&lt;=VIN_boost_to_BB,"BOOST","BUCK-BST")))</f>
        <v>BUCK</v>
      </c>
      <c r="J116">
        <f>IF(Table1[[#This Row],[Mode]]="BOOST",2, IF(Table1[[#This Row],[Mode]]="BUCK", 1,3))</f>
        <v>1</v>
      </c>
      <c r="K116">
        <f t="shared" si="4"/>
        <v>12</v>
      </c>
      <c r="L116" s="4">
        <f>Vout*Table1[[#This Row],[Iout]]/(Table1[[#This Row],[Vin]]*Efficiency)</f>
        <v>6.7086596082786079</v>
      </c>
      <c r="M116" s="711">
        <f>MIN(1/Fsw,CHOOSE(Table1[[#This Row],[Mode Digit]],(Vout+(Rdson2+Rs+Rdcr)*Table1[[#This Row],[Iout]])/(Table1[[#This Row],[Vin]]+(Rs+Rdson2-Rdson1)*Table1[[#This Row],[Iout]])/Fsw,(Vout+(Rdson3+Rdcr)*Table1[[#This Row],[Iin]]-Table1[[#This Row],[Vin]])/(Vout+(Rdson3-Rdson4-Rs)*Table1[[#This Row],[Iin]])/Fsw,t1_Ph_II))</f>
        <v>8.9328972868217037E-7</v>
      </c>
      <c r="N116" s="602">
        <f>CHOOSE(Table1[[#This Row],[Mode Digit]],1/Fsw-Table1[[#This Row],[t1_Ph_II]],1/Fsw-Table1[[#This Row],[t1_Ph_II]],(Vout/Fsw-Table1[[#This Row],[Vin]]*t1_Ph_II)/(Table1[[#This Row],[Vin]]+Vout))</f>
        <v>7.733769379844963E-7</v>
      </c>
      <c r="O116" s="602">
        <f>1/Fsw-(Table1[[#This Row],[t1_Ph_II]]+Table1[[#This Row],[t2_Ph_I]])</f>
        <v>0</v>
      </c>
      <c r="P11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9.8192226131225038</v>
      </c>
      <c r="Q116" s="4">
        <f>CHOOSE(Table1[[#This Row],[Mode Digit]],Table1[[#This Row],[I_0]]+1/Lf*(Table1[[#This Row],[Vin]]-Vout)*Table1[[#This Row],[t1_Ph_II]],Table1[[#This Row],[I_0]]+1/Lf*Table1[[#This Row],[Vin]]*Table1[[#This Row],[t1_Ph_II]],Table1[[#This Row],[I_0]]+(Table1[[#This Row],[Vin]]-Vout)/L*Table1[[#This Row],[t1_Ph_II]])</f>
        <v>14.180777386877494</v>
      </c>
      <c r="R116" s="4">
        <f>CHOOSE(Table1[[#This Row],[Mode Digit]],0,0,Table1[[#This Row],[I_1]]+Table1[[#This Row],[Vin]]/L*Table1[[#This Row],[t2_Ph_I]])</f>
        <v>0</v>
      </c>
      <c r="S116" s="4">
        <f>Fsw*(Table1[[#This Row],[I_0]]*Table1[[#This Row],[t1_Ph_II]]+Table1[[#This Row],[I_1]]*Table1[[#This Row],[t2_Ph_I]]+Table1[[#This Row],[I_2]]*Table1[[#This Row],[t3_Ph_III]])</f>
        <v>11.843098138589484</v>
      </c>
      <c r="T116" s="354">
        <f>MIN(1,CHOOSE(Table1[[#This Row],[Mode Digit]],(Vout+(Rdson2+Rs+Rdcr)*Table1[[#This Row],[Iout]])/(Table1[[#This Row],[Vin]]+(Rs+Rdson2-Rdson1)*Table1[[#This Row],[Iout]]),1,Fsw*Table1[[#This Row],[t2_Ph_I]]+Table1[[#This Row],[t1_Ph_II]]))</f>
        <v>0.53597383720930225</v>
      </c>
      <c r="U116" s="354">
        <f>MIN(1,CHOOSE(Table1[[#This Row],[Mode Digit]],0,(Vout+(Rdson3+Rdcr)*Table1[[#This Row],[Iin]]-Table1[[#This Row],[Vin]])/(Vout+(Rdson3-Rdson4-Rs)*Table1[[#This Row],[Iin]]),Fsw*Table1[[#This Row],[t1_Ph_II]]+Table1[[#This Row],[t3_Ph_III]]))</f>
        <v>0</v>
      </c>
      <c r="V116" s="4">
        <f>MAX(Table1[[#This Row],[I_0]:[I_2]])-MIN(Table1[[#This Row],[I_0]:[I_1]])</f>
        <v>4.3615547737549907</v>
      </c>
      <c r="W11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12.065871843221224</v>
      </c>
      <c r="X116" s="354">
        <f>(Table1[[#This Row],[Irms Lf]]^2*Rdcr*(1+Ltc*Ta-Ltc*25))/(1-Table1[[#This Row],[Irms Lf]]^2*Rdcr*Ltc*ThetaCa)</f>
        <v>0.90556699235461713</v>
      </c>
      <c r="Y116" s="354">
        <f>ABS(7.759*10^-3*Fsw^0.9458*(0.00787*Table1[[#This Row],[Ripple Current pk-pk]])^2.304)</f>
        <v>0.95684284594524271</v>
      </c>
      <c r="Z116" s="354">
        <f>Table1[[#This Row],[DCR    Loss]]+Table1[[#This Row],[Core Loss]]</f>
        <v>1.8624098382998597</v>
      </c>
      <c r="AA116" s="4">
        <f>IF(Table1[[#This Row],[Vin]]&gt;Vout, Table1[[#This Row],[Ripple Current pk-pk]]/SQRT(12), SQRT(Table1[[#This Row],[Duty Cycle BOOST Leg]]/(1-Table1[[#This Row],[Duty Cycle BOOST Leg]]))*SQRT(Table1[[#This Row],[Iout]]^2+(Table1[[#This Row],[Ripple Current pk-pk]]^2)/12))</f>
        <v>1.2590724113563707</v>
      </c>
      <c r="AB116" s="354">
        <f>RCoutEsr*Table1[[#This Row],[Irms Cout]]^2</f>
        <v>7.9263166851937291E-3</v>
      </c>
      <c r="AC116" s="354">
        <f>Table1[[#This Row],[Cout ESR Loss]]</f>
        <v>7.9263166851937291E-3</v>
      </c>
      <c r="AD116" s="354">
        <f>IF(Table1[[#This Row],[Vin]]&gt;Vout, SQRT(Table1[[#This Row],[Duty Cycle BUCK Leg]]*(1-Table1[[#This Row],[Duty Cycle BUCK Leg]]))*SQRT(Table1[[#This Row],[Iout]]^2+(Table1[[#This Row],[Ripple Current pk-pk]]^2)/12), Table1[[#This Row],[Ripple Current pk-pk]]/SQRT(12))</f>
        <v>6.0173010125246913</v>
      </c>
      <c r="AE116" s="354">
        <f>RCinEsr*Table1[[#This Row],[Irms Cin]]^2</f>
        <v>7.2415822950661346E-2</v>
      </c>
      <c r="AF116" s="549">
        <f>Table1[[#This Row],[Cin ESR Loss]]</f>
        <v>7.2415822950661346E-2</v>
      </c>
      <c r="AG11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8.8334530186037323</v>
      </c>
      <c r="AH116" s="354">
        <f>Rdson1*Table1[[#This Row],[Irms BuCtrl]]^2</f>
        <v>0.32772554737389348</v>
      </c>
      <c r="AI116" s="354">
        <f>CHOOSE(Table1[[#This Row],[Mode Digit]], (Table1[[#This Row],[Vin]]*Table1[[#This Row],[Iout]]/2)*(Fsw)*(Tr_buck+Tf_buck), 0, (Table1[[#This Row],[Vin]]*Table1[[#This Row],[Avg IL]]/2)*(Fsw/1)*(Tr_buck+Tf_buck))</f>
        <v>3.2712111270963837</v>
      </c>
      <c r="AJ116">
        <f>IF(Table1[[#This Row],[Vin]]&gt;Vout, IF(Table1[[#This Row],[Iout]]&gt;Table1[[#This Row],[Ripple Current pk-pk]]/2,0,ABS(Table1[[#This Row],[Iout]]-Table1[[#This Row],[Ripple Current pk-pk]]/2)*Vsd_Q1*Deadtime*Fsw),0)</f>
        <v>0</v>
      </c>
      <c r="AK116" s="354">
        <f>(Table1[[#This Row],[Dead Time Loss BuCtrl]]+Table1[[#This Row],[Transition Loss BuCtrl]]+Table1[[#This Row],[RDS(on) Loss BuCtrl]]*(1+RdsonTopTc*Ta-RdsonTopTc*25))/(1-Table1[[#This Row],[RDS(on) Loss BuCtrl]]*RdsonTopTc*ThetaJA_Q1)</f>
        <v>3.9061733459777677</v>
      </c>
      <c r="AL116" s="354">
        <f>CHOOSE(Table1[[#This Row],[Mode Digit]],SQRT((Fsw*(Table1[[#This Row],[t2_Ph_I]]+0))*((Table1[[#This Row],[I_0]]*Table1[[#This Row],[I_1]]+((Table1[[#This Row],[I_0]]-Table1[[#This Row],[I_1]])^2)/3))),0,SQRT((Fsw*(Table1[[#This Row],[t3_Ph_III]]+0))*((Table1[[#This Row],[I_0]]*Table1[[#This Row],[I_2]]+((Table1[[#This Row],[I_0]]-Table1[[#This Row],[I_2]])^2)/3))))</f>
        <v>8.2192074499406171</v>
      </c>
      <c r="AM116" s="354">
        <f>Rdson2*Table1[[#This Row],[Irms BuSync]]^2</f>
        <v>0.28373255864166924</v>
      </c>
      <c r="AN11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6" s="354">
        <f>(Table1[[#This Row],[Deadtime Loss BuSync]]+Table1[[#This Row],[RDS(on) Loss BuSync]]*(1+RdsonBotTc*Ta-RdsonBotTc*25))/(1-Table1[[#This Row],[RDS(on) Loss BuSync]]*RdsonBotTc*ThetaJA_Q2)</f>
        <v>0.92402631109275468</v>
      </c>
      <c r="AP116" s="354">
        <f>CHOOSE(Table1[[#This Row],[Mode Digit]],0,SQRT((Fsw*(Table1[[#This Row],[t1_Ph_II]]+0))*((Table1[[#This Row],[I_0]]*Table1[[#This Row],[I_1]]+((Table1[[#This Row],[I_0]]-Table1[[#This Row],[I_1]])^2)/3))),SQRT((Fsw*(Table1[[#This Row],[t2_Ph_I]]+0))*((Table1[[#This Row],[I_1]]*Table1[[#This Row],[I_2]]+((Table1[[#This Row],[I_1]]-Table1[[#This Row],[I_2]])^2)/3))))</f>
        <v>0</v>
      </c>
      <c r="AQ116" s="354">
        <f>Rdson4*Table1[[#This Row],[Irms BoCtlr]]^2</f>
        <v>0</v>
      </c>
      <c r="AR116" s="354">
        <f>CHOOSE(Table1[[#This Row],[Mode Digit]], 0, (Vout*Table1[[#This Row],[Iin]]/2)*(Fsw)*(Tr_boost+Tf_boost), (Vout*Iout/2)*(Fsw/1)*(Tr_boost+Tf_boost))</f>
        <v>0</v>
      </c>
      <c r="AS116">
        <f>IF(Table1[[#This Row],[Vin]]&gt;Vout, 0, IF(Table1[[#This Row],[Iin]]&gt;Table1[[#This Row],[Ripple Current pk-pk]]/2,0,ABS(Table1[[#This Row],[Iin]]-Table1[[#This Row],[Ripple Current pk-pk]]/2)*Vsd_Q4*Deadtime*Fsw))</f>
        <v>0</v>
      </c>
      <c r="AT116" s="354">
        <f>(Table1[[#This Row],[Dead Time Loss BoCtlr]]+Table1[[#This Row],[Transition Loss BoCtlr]]+Table1[[#This Row],[RDS(on) Loss BoCtlr]]*(1+RdsonTopTc*Ta-RdsonTopTc*25))/(1-Table1[[#This Row],[RDS(on) Loss BoCtlr]]*RdsonTopTc*ThetaJA_Q4)</f>
        <v>0</v>
      </c>
      <c r="AU11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12.065871843221224</v>
      </c>
      <c r="AV116" s="354">
        <f>Rdson3*Table1[[#This Row],[Irms BoSync]]^2</f>
        <v>0.61145810601556272</v>
      </c>
      <c r="AW11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6" s="354">
        <f>(Table1[[#This Row],[Deadtime Loss BoSync]]+Table1[[#This Row],[RDS(on) Loss BoSync]]*(1+RdsonBotTc*Ta-RdsonBotTc*25))/(1-Table1[[#This Row],[RDS(on) Loss BoSync]]*RdsonBotTc*ThetaJA_Q3)</f>
        <v>0.71662240482780071</v>
      </c>
      <c r="AY116" s="354">
        <f>CHOOSE(Table1[[#This Row],[Mode Digit]], Rdson3*Table1[[#This Row],[Irms Lf]]^2, Rdson1*Table1[[#This Row],[Irms Lf]]^2, 0)</f>
        <v>0.61145810601556272</v>
      </c>
      <c r="AZ116" s="354">
        <f>CHOOSE(Table1[[#This Row],[Mode Digit]], 2*Deadtime*Fsw*IF(VfdSky_Q2&gt;0,VfdSky_Q2,0)*Table1[[#This Row],[Iout]], 2*Deadtime*Fsw*IF(VfdSky_Q3&gt;0,VfdSky_Q3,0)*Table1[[#This Row],[Iin]], 2*Deadtime*Fsw*IF(VfdSky_Q2&gt;0,VfdSky_Q2,0)*Table1[[#This Row],[Iout]]+2*Deadtime*Fsw*IF(VfdSky_Q3&gt;0,VfdSky_Q3,0)*Table1[[#This Row],[Iin]])</f>
        <v>0</v>
      </c>
      <c r="BA116" s="354">
        <f>CHOOSE(Table1[[#This Row],[Mode Digit]], IF(QrrSky_Q2&gt;0,QrrSky_Q2,Qrr_Q2)*Fsw*(Table1[[#This Row],[Vin]]-Table1[[#This Row],[Iout]]*Rdson1),0,  IF(QrrSky_Q2&gt;0,QrrSky_Q2,Qrr_Q2)*Fsw*(Table1[[#This Row],[Vin]]-Table1[[#This Row],[Iout]]*Rdson1)+IF(QrrSky_Q3&gt;0,QrrSky_Q3,Qrr_Q3)*Fsw*Vout)</f>
        <v>0.32927520000000005</v>
      </c>
      <c r="BB116" s="354">
        <f>CHOOSE(Table1[[#This Row],[Mode Digit]],0, IF(QrrSky_Q3&gt;0,QrrSky_Q3,Qrr_Q3)*Fsw*Vout,  IF(QrrSky_Q2&gt;0,QrrSky_Q2,Qrr_Q2)*Fsw*(Table1[[#This Row],[Vin]]-Table1[[#This Row],[Iout]]*Rdson1)+IF(QrrSky_Q3&gt;0,QrrSky_Q3,Qrr_Q3)*Fsw*Vout)</f>
        <v>0</v>
      </c>
      <c r="BC116" s="354">
        <f>CHOOSE(Table1[[#This Row],[Mode Digit]], Rs*Table1[[#This Row],[Irms BuSync]]^2, Rs*Table1[[#This Row],[Irms BoCtlr]]^2, Rs*(Table1[[#This Row],[Irms BuSync]]^2+Table1[[#This Row],[Irms BoCtlr]]^2))</f>
        <v>0.16888842776289834</v>
      </c>
      <c r="BD116" s="354">
        <f t="shared" si="5"/>
        <v>1.44</v>
      </c>
      <c r="BE116" s="354">
        <f>IF(Vout&gt;8, Iq*Vout, Iq*Table1[[#This Row],[Vin]])</f>
        <v>4.3799999999999999E-2</v>
      </c>
      <c r="BF116" s="354">
        <f>CHOOSE(Table1[[#This Row],[Mode Digit]], (Qg_Q1+Qg_Q2)*Fsw, (Qg_Q3+Qg_Q4)*Fsw, (Qg_Q1+Qg_Q2+Qg_Q3+Qg_Q4)*Fsw)*IF(Vout&gt;8, Vout, Table1[[#This Row],[Vin]])</f>
        <v>0.47303999999999996</v>
      </c>
      <c r="BG116" s="354">
        <f t="shared" si="6"/>
        <v>0.57269042016806726</v>
      </c>
      <c r="BH116" s="354">
        <f>Table1[[#This Row],[IQ Loss]]+Table1[[#This Row],[Switching Current Loss]]</f>
        <v>0.51683999999999997</v>
      </c>
      <c r="BI11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9.9445776675969348</v>
      </c>
      <c r="BJ116">
        <f>Vout*Table1[[#This Row],[Iout]]</f>
        <v>175.2</v>
      </c>
      <c r="BK116" s="550">
        <f>Table1[[#This Row],[Pout]]/(Table1[[#This Row],[Pout]]+Table1[[#This Row],[Total Loss]])</f>
        <v>0.94628750248656412</v>
      </c>
      <c r="BL11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234.37040075866605</v>
      </c>
      <c r="BM116" s="559">
        <f>IF(Table1[[#This Row],[Vin]]&gt;Vout, Table1[[#This Row],[Total Sync Bu MOSFET Loss]]*ThetaJA_Q2, ThetaJA_Q3*Table1[[#This Row],[Total Sync Bo MOSFET Loss]])</f>
        <v>55.441578665565281</v>
      </c>
      <c r="BN116" s="9"/>
      <c r="BO116" s="4">
        <f>Table1[[#This Row],[EFF, h]]*100</f>
        <v>94.628750248656416</v>
      </c>
      <c r="BP116" s="354">
        <f>Table1[[#This Row],[Total Inductor Loss]]</f>
        <v>1.8624098382998597</v>
      </c>
      <c r="BQ116" s="354">
        <f>Table1[[#This Row],[Total Control Bu MOSFET Loss]]+Table1[[#This Row],[Total Sync Bu MOSFET Loss]]+Table1[[#This Row],[Total Control Bo MOSFET Loss]]+Table1[[#This Row],[Total Sync Bo MOSFET Loss]]+Table1[[#This Row],[Reverse Recovery Loss MOSFET D BUCK]]+Table1[[#This Row],[Reverse Recovery Loss MOSFET D BOOST]]</f>
        <v>5.8760972618983232</v>
      </c>
      <c r="BR116" s="354">
        <f>Table1[[#This Row],[Total Control Bu MOSFET Loss]]+Table1[[#This Row],[Reverse Recovery Loss MOSFET D BUCK]]*0.66</f>
        <v>4.1234949779777681</v>
      </c>
      <c r="BS116" s="354">
        <f>Table1[[#This Row],[Total Sync Bu MOSFET Loss]]+Table1[[#This Row],[Reverse Recovery Loss MOSFET D BUCK]]*0.33</f>
        <v>1.0326871270927547</v>
      </c>
      <c r="BT116" s="354">
        <f xml:space="preserve"> Table1[[#This Row],[Total Control Bo MOSFET Loss]]+Table1[[#This Row],[Reverse Recovery Loss MOSFET D BOOST]]*0.66</f>
        <v>0</v>
      </c>
      <c r="BU116" s="354">
        <f xml:space="preserve"> Table1[[#This Row],[Total Sync Bo MOSFET Loss]]+Table1[[#This Row],[Reverse Recovery Loss MOSFET D BOOST]]*0.33</f>
        <v>0.71662240482780071</v>
      </c>
      <c r="BV116" s="354">
        <f>Table1[[#This Row],[Isense Shunt Loss]]</f>
        <v>0.16888842776289834</v>
      </c>
    </row>
    <row r="117" spans="7:74" x14ac:dyDescent="0.2">
      <c r="G117">
        <v>108</v>
      </c>
      <c r="H117" s="555">
        <f>VIN_min+(VIN_max-VIN_min)*(Table1[[#This Row],[Step]]/200)</f>
        <v>27.560000000000002</v>
      </c>
      <c r="I117" s="4" t="str">
        <f>IF(Mode = 2,IF(Table1[[#This Row],[Vin]]&gt;Vout, "BUCK","BOOST"),IF(Table1[[#This Row],[Vin]]&gt;VIN_BB_to_buck, "BUCK", IF(Table1[[#This Row],[Vin]]&lt;=VIN_boost_to_BB,"BOOST","BUCK-BST")))</f>
        <v>BUCK</v>
      </c>
      <c r="J117">
        <f>IF(Table1[[#This Row],[Mode]]="BOOST",2, IF(Table1[[#This Row],[Mode]]="BUCK", 1,3))</f>
        <v>1</v>
      </c>
      <c r="K117">
        <f t="shared" si="4"/>
        <v>12</v>
      </c>
      <c r="L117" s="4">
        <f>Vout*Table1[[#This Row],[Iout]]/(Table1[[#This Row],[Vin]]*Efficiency)</f>
        <v>6.6916201970819635</v>
      </c>
      <c r="M117" s="711">
        <f>MIN(1/Fsw,CHOOSE(Table1[[#This Row],[Mode Digit]],(Vout+(Rdson2+Rs+Rdcr)*Table1[[#This Row],[Iout]])/(Table1[[#This Row],[Vin]]+(Rs+Rdson2-Rdson1)*Table1[[#This Row],[Iout]])/Fsw,(Vout+(Rdson3+Rdcr)*Table1[[#This Row],[Iin]]-Table1[[#This Row],[Vin]])/(Vout+(Rdson3-Rdson4-Rs)*Table1[[#This Row],[Iin]])/Fsw,t1_Ph_II))</f>
        <v>8.910233176271594E-7</v>
      </c>
      <c r="N117" s="602">
        <f>CHOOSE(Table1[[#This Row],[Mode Digit]],1/Fsw-Table1[[#This Row],[t1_Ph_II]],1/Fsw-Table1[[#This Row],[t1_Ph_II]],(Vout/Fsw-Table1[[#This Row],[Vin]]*t1_Ph_II)/(Table1[[#This Row],[Vin]]+Vout))</f>
        <v>7.7564334903950726E-7</v>
      </c>
      <c r="O117" s="602">
        <f>1/Fsw-(Table1[[#This Row],[t1_Ph_II]]+Table1[[#This Row],[t2_Ph_I]])</f>
        <v>0</v>
      </c>
      <c r="P11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9.8129427658242445</v>
      </c>
      <c r="Q117" s="4">
        <f>CHOOSE(Table1[[#This Row],[Mode Digit]],Table1[[#This Row],[I_0]]+1/Lf*(Table1[[#This Row],[Vin]]-Vout)*Table1[[#This Row],[t1_Ph_II]],Table1[[#This Row],[I_0]]+1/Lf*Table1[[#This Row],[Vin]]*Table1[[#This Row],[t1_Ph_II]],Table1[[#This Row],[I_0]]+(Table1[[#This Row],[Vin]]-Vout)/L*Table1[[#This Row],[t1_Ph_II]])</f>
        <v>14.187057234175755</v>
      </c>
      <c r="R117" s="4">
        <f>CHOOSE(Table1[[#This Row],[Mode Digit]],0,0,Table1[[#This Row],[I_1]]+Table1[[#This Row],[Vin]]/L*Table1[[#This Row],[t2_Ph_I]])</f>
        <v>0</v>
      </c>
      <c r="S117" s="4">
        <f>Fsw*(Table1[[#This Row],[I_0]]*Table1[[#This Row],[t1_Ph_II]]+Table1[[#This Row],[I_1]]*Table1[[#This Row],[t2_Ph_I]]+Table1[[#This Row],[I_2]]*Table1[[#This Row],[t3_Ph_III]])</f>
        <v>11.848594443012843</v>
      </c>
      <c r="T117" s="354">
        <f>MIN(1,CHOOSE(Table1[[#This Row],[Mode Digit]],(Vout+(Rdson2+Rs+Rdcr)*Table1[[#This Row],[Iout]])/(Table1[[#This Row],[Vin]]+(Rs+Rdson2-Rdson1)*Table1[[#This Row],[Iout]]),1,Fsw*Table1[[#This Row],[t2_Ph_I]]+Table1[[#This Row],[t1_Ph_II]]))</f>
        <v>0.53461399057629566</v>
      </c>
      <c r="U117" s="354">
        <f>MIN(1,CHOOSE(Table1[[#This Row],[Mode Digit]],0,(Vout+(Rdson3+Rdcr)*Table1[[#This Row],[Iin]]-Table1[[#This Row],[Vin]])/(Vout+(Rdson3-Rdson4-Rs)*Table1[[#This Row],[Iin]]),Fsw*Table1[[#This Row],[t1_Ph_II]]+Table1[[#This Row],[t3_Ph_III]]))</f>
        <v>0</v>
      </c>
      <c r="V117" s="4">
        <f>MAX(Table1[[#This Row],[I_0]:[I_2]])-MIN(Table1[[#This Row],[I_0]:[I_1]])</f>
        <v>4.374114468351511</v>
      </c>
      <c r="W11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12.066250720440056</v>
      </c>
      <c r="X117" s="354">
        <f>(Table1[[#This Row],[Irms Lf]]^2*Rdcr*(1+Ltc*Ta-Ltc*25))/(1-Table1[[#This Row],[Irms Lf]]^2*Rdcr*Ltc*ThetaCa)</f>
        <v>0.90562798455946569</v>
      </c>
      <c r="Y117" s="354">
        <f>ABS(7.759*10^-3*Fsw^0.9458*(0.00787*Table1[[#This Row],[Ripple Current pk-pk]])^2.304)</f>
        <v>0.96320311822659066</v>
      </c>
      <c r="Z117" s="354">
        <f>Table1[[#This Row],[DCR    Loss]]+Table1[[#This Row],[Core Loss]]</f>
        <v>1.8688311027860562</v>
      </c>
      <c r="AA117" s="4">
        <f>IF(Table1[[#This Row],[Vin]]&gt;Vout, Table1[[#This Row],[Ripple Current pk-pk]]/SQRT(12), SQRT(Table1[[#This Row],[Duty Cycle BOOST Leg]]/(1-Table1[[#This Row],[Duty Cycle BOOST Leg]]))*SQRT(Table1[[#This Row],[Iout]]^2+(Table1[[#This Row],[Ripple Current pk-pk]]^2)/12))</f>
        <v>1.2626980828844909</v>
      </c>
      <c r="AB117" s="354">
        <f>RCoutEsr*Table1[[#This Row],[Irms Cout]]^2</f>
        <v>7.9720322426008444E-3</v>
      </c>
      <c r="AC117" s="354">
        <f>Table1[[#This Row],[Cout ESR Loss]]</f>
        <v>7.9720322426008444E-3</v>
      </c>
      <c r="AD117" s="354">
        <f>IF(Table1[[#This Row],[Vin]]&gt;Vout, SQRT(Table1[[#This Row],[Duty Cycle BUCK Leg]]*(1-Table1[[#This Row],[Duty Cycle BUCK Leg]]))*SQRT(Table1[[#This Row],[Iout]]^2+(Table1[[#This Row],[Ripple Current pk-pk]]^2)/12), Table1[[#This Row],[Ripple Current pk-pk]]/SQRT(12))</f>
        <v>6.0186510803578024</v>
      </c>
      <c r="AE117" s="354">
        <f>RCinEsr*Table1[[#This Row],[Irms Cin]]^2</f>
        <v>7.2448321654184286E-2</v>
      </c>
      <c r="AF117" s="549">
        <f>Table1[[#This Row],[Cin ESR Loss]]</f>
        <v>7.2448321654184286E-2</v>
      </c>
      <c r="AG11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8.8225170239014279</v>
      </c>
      <c r="AH117" s="354">
        <f>Rdson1*Table1[[#This Row],[Irms BuCtrl]]^2</f>
        <v>0.32691458787552818</v>
      </c>
      <c r="AI117" s="354">
        <f>CHOOSE(Table1[[#This Row],[Mode Digit]], (Table1[[#This Row],[Vin]]*Table1[[#This Row],[Iout]]/2)*(Fsw)*(Tr_buck+Tf_buck), 0, (Table1[[#This Row],[Vin]]*Table1[[#This Row],[Avg IL]]/2)*(Fsw/1)*(Tr_buck+Tf_buck))</f>
        <v>3.2795408753283501</v>
      </c>
      <c r="AJ117">
        <f>IF(Table1[[#This Row],[Vin]]&gt;Vout, IF(Table1[[#This Row],[Iout]]&gt;Table1[[#This Row],[Ripple Current pk-pk]]/2,0,ABS(Table1[[#This Row],[Iout]]-Table1[[#This Row],[Ripple Current pk-pk]]/2)*Vsd_Q1*Deadtime*Fsw),0)</f>
        <v>0</v>
      </c>
      <c r="AK117" s="354">
        <f>(Table1[[#This Row],[Dead Time Loss BuCtrl]]+Table1[[#This Row],[Transition Loss BuCtrl]]+Table1[[#This Row],[RDS(on) Loss BuCtrl]]*(1+RdsonTopTc*Ta-RdsonTopTc*25))/(1-Table1[[#This Row],[RDS(on) Loss BuCtrl]]*RdsonTopTc*ThetaJA_Q1)</f>
        <v>3.9135072929188652</v>
      </c>
      <c r="AL117" s="354">
        <f>CHOOSE(Table1[[#This Row],[Mode Digit]],SQRT((Fsw*(Table1[[#This Row],[t2_Ph_I]]+0))*((Table1[[#This Row],[I_0]]*Table1[[#This Row],[I_1]]+((Table1[[#This Row],[I_0]]-Table1[[#This Row],[I_1]])^2)/3))),0,SQRT((Fsw*(Table1[[#This Row],[t3_Ph_III]]+0))*((Table1[[#This Row],[I_0]]*Table1[[#This Row],[I_2]]+((Table1[[#This Row],[I_0]]-Table1[[#This Row],[I_2]])^2)/3))))</f>
        <v>8.2315004593020369</v>
      </c>
      <c r="AM117" s="354">
        <f>Rdson2*Table1[[#This Row],[Irms BuSync]]^2</f>
        <v>0.28458191920825654</v>
      </c>
      <c r="AN11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7" s="354">
        <f>(Table1[[#This Row],[Deadtime Loss BuSync]]+Table1[[#This Row],[RDS(on) Loss BuSync]]*(1+RdsonBotTc*Ta-RdsonBotTc*25))/(1-Table1[[#This Row],[RDS(on) Loss BuSync]]*RdsonBotTc*ThetaJA_Q2)</f>
        <v>0.92514010281889936</v>
      </c>
      <c r="AP117" s="354">
        <f>CHOOSE(Table1[[#This Row],[Mode Digit]],0,SQRT((Fsw*(Table1[[#This Row],[t1_Ph_II]]+0))*((Table1[[#This Row],[I_0]]*Table1[[#This Row],[I_1]]+((Table1[[#This Row],[I_0]]-Table1[[#This Row],[I_1]])^2)/3))),SQRT((Fsw*(Table1[[#This Row],[t2_Ph_I]]+0))*((Table1[[#This Row],[I_1]]*Table1[[#This Row],[I_2]]+((Table1[[#This Row],[I_1]]-Table1[[#This Row],[I_2]])^2)/3))))</f>
        <v>0</v>
      </c>
      <c r="AQ117" s="354">
        <f>Rdson4*Table1[[#This Row],[Irms BoCtlr]]^2</f>
        <v>0</v>
      </c>
      <c r="AR117" s="354">
        <f>CHOOSE(Table1[[#This Row],[Mode Digit]], 0, (Vout*Table1[[#This Row],[Iin]]/2)*(Fsw)*(Tr_boost+Tf_boost), (Vout*Iout/2)*(Fsw/1)*(Tr_boost+Tf_boost))</f>
        <v>0</v>
      </c>
      <c r="AS117">
        <f>IF(Table1[[#This Row],[Vin]]&gt;Vout, 0, IF(Table1[[#This Row],[Iin]]&gt;Table1[[#This Row],[Ripple Current pk-pk]]/2,0,ABS(Table1[[#This Row],[Iin]]-Table1[[#This Row],[Ripple Current pk-pk]]/2)*Vsd_Q4*Deadtime*Fsw))</f>
        <v>0</v>
      </c>
      <c r="AT117" s="354">
        <f>(Table1[[#This Row],[Dead Time Loss BoCtlr]]+Table1[[#This Row],[Transition Loss BoCtlr]]+Table1[[#This Row],[RDS(on) Loss BoCtlr]]*(1+RdsonTopTc*Ta-RdsonTopTc*25))/(1-Table1[[#This Row],[RDS(on) Loss BoCtlr]]*RdsonTopTc*ThetaJA_Q4)</f>
        <v>0</v>
      </c>
      <c r="AU11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12.066250720440056</v>
      </c>
      <c r="AV117" s="354">
        <f>Rdson3*Table1[[#This Row],[Irms BoSync]]^2</f>
        <v>0.61149650708378478</v>
      </c>
      <c r="AW11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7" s="354">
        <f>(Table1[[#This Row],[Deadtime Loss BoSync]]+Table1[[#This Row],[RDS(on) Loss BoSync]]*(1+RdsonBotTc*Ta-RdsonBotTc*25))/(1-Table1[[#This Row],[RDS(on) Loss BoSync]]*RdsonBotTc*ThetaJA_Q3)</f>
        <v>0.71667515153424932</v>
      </c>
      <c r="AY117" s="354">
        <f>CHOOSE(Table1[[#This Row],[Mode Digit]], Rdson3*Table1[[#This Row],[Irms Lf]]^2, Rdson1*Table1[[#This Row],[Irms Lf]]^2, 0)</f>
        <v>0.61149650708378478</v>
      </c>
      <c r="AZ117" s="354">
        <f>CHOOSE(Table1[[#This Row],[Mode Digit]], 2*Deadtime*Fsw*IF(VfdSky_Q2&gt;0,VfdSky_Q2,0)*Table1[[#This Row],[Iout]], 2*Deadtime*Fsw*IF(VfdSky_Q3&gt;0,VfdSky_Q3,0)*Table1[[#This Row],[Iin]], 2*Deadtime*Fsw*IF(VfdSky_Q2&gt;0,VfdSky_Q2,0)*Table1[[#This Row],[Iout]]+2*Deadtime*Fsw*IF(VfdSky_Q3&gt;0,VfdSky_Q3,0)*Table1[[#This Row],[Iin]])</f>
        <v>0</v>
      </c>
      <c r="BA117" s="354">
        <f>CHOOSE(Table1[[#This Row],[Mode Digit]], IF(QrrSky_Q2&gt;0,QrrSky_Q2,Qrr_Q2)*Fsw*(Table1[[#This Row],[Vin]]-Table1[[#This Row],[Iout]]*Rdson1),0,  IF(QrrSky_Q2&gt;0,QrrSky_Q2,Qrr_Q2)*Fsw*(Table1[[#This Row],[Vin]]-Table1[[#This Row],[Iout]]*Rdson1)+IF(QrrSky_Q3&gt;0,QrrSky_Q3,Qrr_Q3)*Fsw*Vout)</f>
        <v>0.33011520000000005</v>
      </c>
      <c r="BB117" s="354">
        <f>CHOOSE(Table1[[#This Row],[Mode Digit]],0, IF(QrrSky_Q3&gt;0,QrrSky_Q3,Qrr_Q3)*Fsw*Vout,  IF(QrrSky_Q2&gt;0,QrrSky_Q2,Qrr_Q2)*Fsw*(Table1[[#This Row],[Vin]]-Table1[[#This Row],[Iout]]*Rdson1)+IF(QrrSky_Q3&gt;0,QrrSky_Q3,Qrr_Q3)*Fsw*Vout)</f>
        <v>0</v>
      </c>
      <c r="BC117" s="354">
        <f>CHOOSE(Table1[[#This Row],[Mode Digit]], Rs*Table1[[#This Row],[Irms BuSync]]^2, Rs*Table1[[#This Row],[Irms BoCtlr]]^2, Rs*(Table1[[#This Row],[Irms BuSync]]^2+Table1[[#This Row],[Irms BoCtlr]]^2))</f>
        <v>0.16939399952872411</v>
      </c>
      <c r="BD117" s="354">
        <f t="shared" si="5"/>
        <v>1.44</v>
      </c>
      <c r="BE117" s="354">
        <f>IF(Vout&gt;8, Iq*Vout, Iq*Table1[[#This Row],[Vin]])</f>
        <v>4.3799999999999999E-2</v>
      </c>
      <c r="BF117" s="354">
        <f>CHOOSE(Table1[[#This Row],[Mode Digit]], (Qg_Q1+Qg_Q2)*Fsw, (Qg_Q3+Qg_Q4)*Fsw, (Qg_Q1+Qg_Q2+Qg_Q3+Qg_Q4)*Fsw)*IF(Vout&gt;8, Vout, Table1[[#This Row],[Vin]])</f>
        <v>0.47303999999999996</v>
      </c>
      <c r="BG117" s="354">
        <f t="shared" si="6"/>
        <v>0.57269042016806726</v>
      </c>
      <c r="BH117" s="354">
        <f>Table1[[#This Row],[IQ Loss]]+Table1[[#This Row],[Switching Current Loss]]</f>
        <v>0.51683999999999997</v>
      </c>
      <c r="BI11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9.9609232034835777</v>
      </c>
      <c r="BJ117">
        <f>Vout*Table1[[#This Row],[Iout]]</f>
        <v>175.2</v>
      </c>
      <c r="BK117" s="550">
        <f>Table1[[#This Row],[Pout]]/(Table1[[#This Row],[Pout]]+Table1[[#This Row],[Total Loss]])</f>
        <v>0.94620396662995154</v>
      </c>
      <c r="BL11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234.81043757513191</v>
      </c>
      <c r="BM117" s="559">
        <f>IF(Table1[[#This Row],[Vin]]&gt;Vout, Table1[[#This Row],[Total Sync Bu MOSFET Loss]]*ThetaJA_Q2, ThetaJA_Q3*Table1[[#This Row],[Total Sync Bo MOSFET Loss]])</f>
        <v>55.508406169133963</v>
      </c>
      <c r="BN117" s="9"/>
      <c r="BO117" s="4">
        <f>Table1[[#This Row],[EFF, h]]*100</f>
        <v>94.620396662995148</v>
      </c>
      <c r="BP117" s="354">
        <f>Table1[[#This Row],[Total Inductor Loss]]</f>
        <v>1.8688311027860562</v>
      </c>
      <c r="BQ117" s="354">
        <f>Table1[[#This Row],[Total Control Bu MOSFET Loss]]+Table1[[#This Row],[Total Sync Bu MOSFET Loss]]+Table1[[#This Row],[Total Control Bo MOSFET Loss]]+Table1[[#This Row],[Total Sync Bo MOSFET Loss]]+Table1[[#This Row],[Reverse Recovery Loss MOSFET D BUCK]]+Table1[[#This Row],[Reverse Recovery Loss MOSFET D BOOST]]</f>
        <v>5.8854377472720136</v>
      </c>
      <c r="BR117" s="354">
        <f>Table1[[#This Row],[Total Control Bu MOSFET Loss]]+Table1[[#This Row],[Reverse Recovery Loss MOSFET D BUCK]]*0.66</f>
        <v>4.1313833249188656</v>
      </c>
      <c r="BS117" s="354">
        <f>Table1[[#This Row],[Total Sync Bu MOSFET Loss]]+Table1[[#This Row],[Reverse Recovery Loss MOSFET D BUCK]]*0.33</f>
        <v>1.0340781188188994</v>
      </c>
      <c r="BT117" s="354">
        <f xml:space="preserve"> Table1[[#This Row],[Total Control Bo MOSFET Loss]]+Table1[[#This Row],[Reverse Recovery Loss MOSFET D BOOST]]*0.66</f>
        <v>0</v>
      </c>
      <c r="BU117" s="354">
        <f xml:space="preserve"> Table1[[#This Row],[Total Sync Bo MOSFET Loss]]+Table1[[#This Row],[Reverse Recovery Loss MOSFET D BOOST]]*0.33</f>
        <v>0.71667515153424932</v>
      </c>
      <c r="BV117" s="354">
        <f>Table1[[#This Row],[Isense Shunt Loss]]</f>
        <v>0.16939399952872411</v>
      </c>
    </row>
    <row r="118" spans="7:74" x14ac:dyDescent="0.2">
      <c r="G118">
        <v>109</v>
      </c>
      <c r="H118" s="555">
        <f>VIN_min+(VIN_max-VIN_min)*(Table1[[#This Row],[Step]]/200)</f>
        <v>27.630000000000003</v>
      </c>
      <c r="I118" s="4" t="str">
        <f>IF(Mode = 2,IF(Table1[[#This Row],[Vin]]&gt;Vout, "BUCK","BOOST"),IF(Table1[[#This Row],[Vin]]&gt;VIN_BB_to_buck, "BUCK", IF(Table1[[#This Row],[Vin]]&lt;=VIN_boost_to_BB,"BOOST","BUCK-BST")))</f>
        <v>BUCK</v>
      </c>
      <c r="J118">
        <f>IF(Table1[[#This Row],[Mode]]="BOOST",2, IF(Table1[[#This Row],[Mode]]="BUCK", 1,3))</f>
        <v>1</v>
      </c>
      <c r="K118">
        <f t="shared" si="4"/>
        <v>12</v>
      </c>
      <c r="L118" s="4">
        <f>Vout*Table1[[#This Row],[Iout]]/(Table1[[#This Row],[Vin]]*Efficiency)</f>
        <v>6.674667123835647</v>
      </c>
      <c r="M118" s="711">
        <f>MIN(1/Fsw,CHOOSE(Table1[[#This Row],[Mode Digit]],(Vout+(Rdson2+Rs+Rdcr)*Table1[[#This Row],[Iout]])/(Table1[[#This Row],[Vin]]+(Rs+Rdson2-Rdson1)*Table1[[#This Row],[Iout]])/Fsw,(Vout+(Rdson3+Rdcr)*Table1[[#This Row],[Iin]]-Table1[[#This Row],[Vin]])/(Vout+(Rdson3-Rdson4-Rs)*Table1[[#This Row],[Iin]])/Fsw,t1_Ph_II))</f>
        <v>8.8876837792239074E-7</v>
      </c>
      <c r="N118" s="602">
        <f>CHOOSE(Table1[[#This Row],[Mode Digit]],1/Fsw-Table1[[#This Row],[t1_Ph_II]],1/Fsw-Table1[[#This Row],[t1_Ph_II]],(Vout/Fsw-Table1[[#This Row],[Vin]]*t1_Ph_II)/(Table1[[#This Row],[Vin]]+Vout))</f>
        <v>7.7789828874427592E-7</v>
      </c>
      <c r="O118" s="602">
        <f>1/Fsw-(Table1[[#This Row],[t1_Ph_II]]+Table1[[#This Row],[t2_Ph_I]])</f>
        <v>0</v>
      </c>
      <c r="P11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9.8066947037256149</v>
      </c>
      <c r="Q118" s="4">
        <f>CHOOSE(Table1[[#This Row],[Mode Digit]],Table1[[#This Row],[I_0]]+1/Lf*(Table1[[#This Row],[Vin]]-Vout)*Table1[[#This Row],[t1_Ph_II]],Table1[[#This Row],[I_0]]+1/Lf*Table1[[#This Row],[Vin]]*Table1[[#This Row],[t1_Ph_II]],Table1[[#This Row],[I_0]]+(Table1[[#This Row],[Vin]]-Vout)/L*Table1[[#This Row],[t1_Ph_II]])</f>
        <v>14.193305296274385</v>
      </c>
      <c r="R118" s="4">
        <f>CHOOSE(Table1[[#This Row],[Mode Digit]],0,0,Table1[[#This Row],[I_1]]+Table1[[#This Row],[Vin]]/L*Table1[[#This Row],[t2_Ph_I]])</f>
        <v>0</v>
      </c>
      <c r="S118" s="4">
        <f>Fsw*(Table1[[#This Row],[I_0]]*Table1[[#This Row],[t1_Ph_II]]+Table1[[#This Row],[I_1]]*Table1[[#This Row],[t2_Ph_I]]+Table1[[#This Row],[I_2]]*Table1[[#This Row],[t3_Ph_III]])</f>
        <v>11.854096827724337</v>
      </c>
      <c r="T118" s="354">
        <f>MIN(1,CHOOSE(Table1[[#This Row],[Mode Digit]],(Vout+(Rdson2+Rs+Rdcr)*Table1[[#This Row],[Iout]])/(Table1[[#This Row],[Vin]]+(Rs+Rdson2-Rdson1)*Table1[[#This Row],[Iout]]),1,Fsw*Table1[[#This Row],[t2_Ph_I]]+Table1[[#This Row],[t1_Ph_II]]))</f>
        <v>0.53326102675343445</v>
      </c>
      <c r="U118" s="354">
        <f>MIN(1,CHOOSE(Table1[[#This Row],[Mode Digit]],0,(Vout+(Rdson3+Rdcr)*Table1[[#This Row],[Iin]]-Table1[[#This Row],[Vin]])/(Vout+(Rdson3-Rdson4-Rs)*Table1[[#This Row],[Iin]]),Fsw*Table1[[#This Row],[t1_Ph_II]]+Table1[[#This Row],[t3_Ph_III]]))</f>
        <v>0</v>
      </c>
      <c r="V118" s="4">
        <f>MAX(Table1[[#This Row],[I_0]:[I_2]])-MIN(Table1[[#This Row],[I_0]:[I_1]])</f>
        <v>4.3866105925487702</v>
      </c>
      <c r="W11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12.066628749332672</v>
      </c>
      <c r="X118" s="354">
        <f>(Table1[[#This Row],[Irms Lf]]^2*Rdcr*(1+Ltc*Ta-Ltc*25))/(1-Table1[[#This Row],[Irms Lf]]^2*Rdcr*Ltc*ThetaCa)</f>
        <v>0.90568884266143701</v>
      </c>
      <c r="Y118" s="354">
        <f>ABS(7.759*10^-3*Fsw^0.9458*(0.00787*Table1[[#This Row],[Ripple Current pk-pk]])^2.304)</f>
        <v>0.9695548765607882</v>
      </c>
      <c r="Z118" s="354">
        <f>Table1[[#This Row],[DCR    Loss]]+Table1[[#This Row],[Core Loss]]</f>
        <v>1.8752437192222251</v>
      </c>
      <c r="AA118" s="4">
        <f>IF(Table1[[#This Row],[Vin]]&gt;Vout, Table1[[#This Row],[Ripple Current pk-pk]]/SQRT(12), SQRT(Table1[[#This Row],[Duty Cycle BOOST Leg]]/(1-Table1[[#This Row],[Duty Cycle BOOST Leg]]))*SQRT(Table1[[#This Row],[Iout]]^2+(Table1[[#This Row],[Ripple Current pk-pk]]^2)/12))</f>
        <v>1.2663054032190482</v>
      </c>
      <c r="AB118" s="354">
        <f>RCoutEsr*Table1[[#This Row],[Irms Cout]]^2</f>
        <v>8.0176468711087821E-3</v>
      </c>
      <c r="AC118" s="354">
        <f>Table1[[#This Row],[Cout ESR Loss]]</f>
        <v>8.0176468711087821E-3</v>
      </c>
      <c r="AD118" s="354">
        <f>IF(Table1[[#This Row],[Vin]]&gt;Vout, SQRT(Table1[[#This Row],[Duty Cycle BUCK Leg]]*(1-Table1[[#This Row],[Duty Cycle BUCK Leg]]))*SQRT(Table1[[#This Row],[Iout]]^2+(Table1[[#This Row],[Ripple Current pk-pk]]^2)/12), Table1[[#This Row],[Ripple Current pk-pk]]/SQRT(12))</f>
        <v>6.0199503117453013</v>
      </c>
      <c r="AE118" s="354">
        <f>RCinEsr*Table1[[#This Row],[Irms Cin]]^2</f>
        <v>7.247960351176469E-2</v>
      </c>
      <c r="AF118" s="549">
        <f>Table1[[#This Row],[Cin ESR Loss]]</f>
        <v>7.247960351176469E-2</v>
      </c>
      <c r="AG11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8.8116223008604582</v>
      </c>
      <c r="AH118" s="354">
        <f>Rdson1*Table1[[#This Row],[Irms BuCtrl]]^2</f>
        <v>0.32610768780668975</v>
      </c>
      <c r="AI118" s="354">
        <f>CHOOSE(Table1[[#This Row],[Mode Digit]], (Table1[[#This Row],[Vin]]*Table1[[#This Row],[Iout]]/2)*(Fsw)*(Tr_buck+Tf_buck), 0, (Table1[[#This Row],[Vin]]*Table1[[#This Row],[Avg IL]]/2)*(Fsw/1)*(Tr_buck+Tf_buck))</f>
        <v>3.2878706235603161</v>
      </c>
      <c r="AJ118">
        <f>IF(Table1[[#This Row],[Vin]]&gt;Vout, IF(Table1[[#This Row],[Iout]]&gt;Table1[[#This Row],[Ripple Current pk-pk]]/2,0,ABS(Table1[[#This Row],[Iout]]-Table1[[#This Row],[Ripple Current pk-pk]]/2)*Vsd_Q1*Deadtime*Fsw),0)</f>
        <v>0</v>
      </c>
      <c r="AK118" s="354">
        <f>(Table1[[#This Row],[Dead Time Loss BuCtrl]]+Table1[[#This Row],[Transition Loss BuCtrl]]+Table1[[#This Row],[RDS(on) Loss BuCtrl]]*(1+RdsonTopTc*Ta-RdsonTopTc*25))/(1-Table1[[#This Row],[RDS(on) Loss BuCtrl]]*RdsonTopTc*ThetaJA_Q1)</f>
        <v>3.9208466910457518</v>
      </c>
      <c r="AL118" s="354">
        <f>CHOOSE(Table1[[#This Row],[Mode Digit]],SQRT((Fsw*(Table1[[#This Row],[t2_Ph_I]]+0))*((Table1[[#This Row],[I_0]]*Table1[[#This Row],[I_1]]+((Table1[[#This Row],[I_0]]-Table1[[#This Row],[I_1]])^2)/3))),0,SQRT((Fsw*(Table1[[#This Row],[t3_Ph_III]]+0))*((Table1[[#This Row],[I_0]]*Table1[[#This Row],[I_2]]+((Table1[[#This Row],[I_0]]-Table1[[#This Row],[I_2]])^2)/3))))</f>
        <v>8.2437152911293836</v>
      </c>
      <c r="AM118" s="354">
        <f>Rdson2*Table1[[#This Row],[Irms BuSync]]^2</f>
        <v>0.28542713556504179</v>
      </c>
      <c r="AN11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8" s="354">
        <f>(Table1[[#This Row],[Deadtime Loss BuSync]]+Table1[[#This Row],[RDS(on) Loss BuSync]]*(1+RdsonBotTc*Ta-RdsonBotTc*25))/(1-Table1[[#This Row],[RDS(on) Loss BuSync]]*RdsonBotTc*ThetaJA_Q2)</f>
        <v>0.92624894403642088</v>
      </c>
      <c r="AP118" s="354">
        <f>CHOOSE(Table1[[#This Row],[Mode Digit]],0,SQRT((Fsw*(Table1[[#This Row],[t1_Ph_II]]+0))*((Table1[[#This Row],[I_0]]*Table1[[#This Row],[I_1]]+((Table1[[#This Row],[I_0]]-Table1[[#This Row],[I_1]])^2)/3))),SQRT((Fsw*(Table1[[#This Row],[t2_Ph_I]]+0))*((Table1[[#This Row],[I_1]]*Table1[[#This Row],[I_2]]+((Table1[[#This Row],[I_1]]-Table1[[#This Row],[I_2]])^2)/3))))</f>
        <v>0</v>
      </c>
      <c r="AQ118" s="354">
        <f>Rdson4*Table1[[#This Row],[Irms BoCtlr]]^2</f>
        <v>0</v>
      </c>
      <c r="AR118" s="354">
        <f>CHOOSE(Table1[[#This Row],[Mode Digit]], 0, (Vout*Table1[[#This Row],[Iin]]/2)*(Fsw)*(Tr_boost+Tf_boost), (Vout*Iout/2)*(Fsw/1)*(Tr_boost+Tf_boost))</f>
        <v>0</v>
      </c>
      <c r="AS118">
        <f>IF(Table1[[#This Row],[Vin]]&gt;Vout, 0, IF(Table1[[#This Row],[Iin]]&gt;Table1[[#This Row],[Ripple Current pk-pk]]/2,0,ABS(Table1[[#This Row],[Iin]]-Table1[[#This Row],[Ripple Current pk-pk]]/2)*Vsd_Q4*Deadtime*Fsw))</f>
        <v>0</v>
      </c>
      <c r="AT118" s="354">
        <f>(Table1[[#This Row],[Dead Time Loss BoCtlr]]+Table1[[#This Row],[Transition Loss BoCtlr]]+Table1[[#This Row],[RDS(on) Loss BoCtlr]]*(1+RdsonTopTc*Ta-RdsonTopTc*25))/(1-Table1[[#This Row],[RDS(on) Loss BoCtlr]]*RdsonTopTc*ThetaJA_Q4)</f>
        <v>0</v>
      </c>
      <c r="AU11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12.066628749332672</v>
      </c>
      <c r="AV118" s="354">
        <f>Rdson3*Table1[[#This Row],[Irms BoSync]]^2</f>
        <v>0.6115348233717316</v>
      </c>
      <c r="AW11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8" s="354">
        <f>(Table1[[#This Row],[Deadtime Loss BoSync]]+Table1[[#This Row],[RDS(on) Loss BoSync]]*(1+RdsonBotTc*Ta-RdsonBotTc*25))/(1-Table1[[#This Row],[RDS(on) Loss BoSync]]*RdsonBotTc*ThetaJA_Q3)</f>
        <v>0.71672778292444705</v>
      </c>
      <c r="AY118" s="354">
        <f>CHOOSE(Table1[[#This Row],[Mode Digit]], Rdson3*Table1[[#This Row],[Irms Lf]]^2, Rdson1*Table1[[#This Row],[Irms Lf]]^2, 0)</f>
        <v>0.6115348233717316</v>
      </c>
      <c r="AZ118" s="354">
        <f>CHOOSE(Table1[[#This Row],[Mode Digit]], 2*Deadtime*Fsw*IF(VfdSky_Q2&gt;0,VfdSky_Q2,0)*Table1[[#This Row],[Iout]], 2*Deadtime*Fsw*IF(VfdSky_Q3&gt;0,VfdSky_Q3,0)*Table1[[#This Row],[Iin]], 2*Deadtime*Fsw*IF(VfdSky_Q2&gt;0,VfdSky_Q2,0)*Table1[[#This Row],[Iout]]+2*Deadtime*Fsw*IF(VfdSky_Q3&gt;0,VfdSky_Q3,0)*Table1[[#This Row],[Iin]])</f>
        <v>0</v>
      </c>
      <c r="BA118" s="354">
        <f>CHOOSE(Table1[[#This Row],[Mode Digit]], IF(QrrSky_Q2&gt;0,QrrSky_Q2,Qrr_Q2)*Fsw*(Table1[[#This Row],[Vin]]-Table1[[#This Row],[Iout]]*Rdson1),0,  IF(QrrSky_Q2&gt;0,QrrSky_Q2,Qrr_Q2)*Fsw*(Table1[[#This Row],[Vin]]-Table1[[#This Row],[Iout]]*Rdson1)+IF(QrrSky_Q3&gt;0,QrrSky_Q3,Qrr_Q3)*Fsw*Vout)</f>
        <v>0.33095520000000006</v>
      </c>
      <c r="BB118" s="354">
        <f>CHOOSE(Table1[[#This Row],[Mode Digit]],0, IF(QrrSky_Q3&gt;0,QrrSky_Q3,Qrr_Q3)*Fsw*Vout,  IF(QrrSky_Q2&gt;0,QrrSky_Q2,Qrr_Q2)*Fsw*(Table1[[#This Row],[Vin]]-Table1[[#This Row],[Iout]]*Rdson1)+IF(QrrSky_Q3&gt;0,QrrSky_Q3,Qrr_Q3)*Fsw*Vout)</f>
        <v>0</v>
      </c>
      <c r="BC118" s="354">
        <f>CHOOSE(Table1[[#This Row],[Mode Digit]], Rs*Table1[[#This Row],[Irms BuSync]]^2, Rs*Table1[[#This Row],[Irms BoCtlr]]^2, Rs*(Table1[[#This Row],[Irms BuSync]]^2+Table1[[#This Row],[Irms BoCtlr]]^2))</f>
        <v>0.16989710450300105</v>
      </c>
      <c r="BD118" s="354">
        <f t="shared" si="5"/>
        <v>1.44</v>
      </c>
      <c r="BE118" s="354">
        <f>IF(Vout&gt;8, Iq*Vout, Iq*Table1[[#This Row],[Vin]])</f>
        <v>4.3799999999999999E-2</v>
      </c>
      <c r="BF118" s="354">
        <f>CHOOSE(Table1[[#This Row],[Mode Digit]], (Qg_Q1+Qg_Q2)*Fsw, (Qg_Q3+Qg_Q4)*Fsw, (Qg_Q1+Qg_Q2+Qg_Q3+Qg_Q4)*Fsw)*IF(Vout&gt;8, Vout, Table1[[#This Row],[Vin]])</f>
        <v>0.47303999999999996</v>
      </c>
      <c r="BG118" s="354">
        <f t="shared" si="6"/>
        <v>0.57269042016806726</v>
      </c>
      <c r="BH118" s="354">
        <f>Table1[[#This Row],[IQ Loss]]+Table1[[#This Row],[Switching Current Loss]]</f>
        <v>0.51683999999999997</v>
      </c>
      <c r="BI11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9.9772566921147181</v>
      </c>
      <c r="BJ118">
        <f>Vout*Table1[[#This Row],[Iout]]</f>
        <v>175.2</v>
      </c>
      <c r="BK118" s="550">
        <f>Table1[[#This Row],[Pout]]/(Table1[[#This Row],[Pout]]+Table1[[#This Row],[Total Loss]])</f>
        <v>0.94612050707337447</v>
      </c>
      <c r="BL11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235.2508014627451</v>
      </c>
      <c r="BM118" s="559">
        <f>IF(Table1[[#This Row],[Vin]]&gt;Vout, Table1[[#This Row],[Total Sync Bu MOSFET Loss]]*ThetaJA_Q2, ThetaJA_Q3*Table1[[#This Row],[Total Sync Bo MOSFET Loss]])</f>
        <v>55.57493664218525</v>
      </c>
      <c r="BN118" s="9"/>
      <c r="BO118" s="4">
        <f>Table1[[#This Row],[EFF, h]]*100</f>
        <v>94.612050707337445</v>
      </c>
      <c r="BP118" s="354">
        <f>Table1[[#This Row],[Total Inductor Loss]]</f>
        <v>1.8752437192222251</v>
      </c>
      <c r="BQ118" s="354">
        <f>Table1[[#This Row],[Total Control Bu MOSFET Loss]]+Table1[[#This Row],[Total Sync Bu MOSFET Loss]]+Table1[[#This Row],[Total Control Bo MOSFET Loss]]+Table1[[#This Row],[Total Sync Bo MOSFET Loss]]+Table1[[#This Row],[Reverse Recovery Loss MOSFET D BUCK]]+Table1[[#This Row],[Reverse Recovery Loss MOSFET D BOOST]]</f>
        <v>5.8947786180066197</v>
      </c>
      <c r="BR118" s="354">
        <f>Table1[[#This Row],[Total Control Bu MOSFET Loss]]+Table1[[#This Row],[Reverse Recovery Loss MOSFET D BUCK]]*0.66</f>
        <v>4.1392771230457521</v>
      </c>
      <c r="BS118" s="354">
        <f>Table1[[#This Row],[Total Sync Bu MOSFET Loss]]+Table1[[#This Row],[Reverse Recovery Loss MOSFET D BUCK]]*0.33</f>
        <v>1.0354641600364209</v>
      </c>
      <c r="BT118" s="354">
        <f xml:space="preserve"> Table1[[#This Row],[Total Control Bo MOSFET Loss]]+Table1[[#This Row],[Reverse Recovery Loss MOSFET D BOOST]]*0.66</f>
        <v>0</v>
      </c>
      <c r="BU118" s="354">
        <f xml:space="preserve"> Table1[[#This Row],[Total Sync Bo MOSFET Loss]]+Table1[[#This Row],[Reverse Recovery Loss MOSFET D BOOST]]*0.33</f>
        <v>0.71672778292444705</v>
      </c>
      <c r="BV118" s="354">
        <f>Table1[[#This Row],[Isense Shunt Loss]]</f>
        <v>0.16989710450300105</v>
      </c>
    </row>
    <row r="119" spans="7:74" x14ac:dyDescent="0.2">
      <c r="G119">
        <v>110</v>
      </c>
      <c r="H119" s="555">
        <f>VIN_min+(VIN_max-VIN_min)*(Table1[[#This Row],[Step]]/200)</f>
        <v>27.700000000000003</v>
      </c>
      <c r="I119" s="4" t="str">
        <f>IF(Mode = 2,IF(Table1[[#This Row],[Vin]]&gt;Vout, "BUCK","BOOST"),IF(Table1[[#This Row],[Vin]]&gt;VIN_BB_to_buck, "BUCK", IF(Table1[[#This Row],[Vin]]&lt;=VIN_boost_to_BB,"BOOST","BUCK-BST")))</f>
        <v>BUCK</v>
      </c>
      <c r="J119">
        <f>IF(Table1[[#This Row],[Mode]]="BOOST",2, IF(Table1[[#This Row],[Mode]]="BUCK", 1,3))</f>
        <v>1</v>
      </c>
      <c r="K119">
        <f t="shared" si="4"/>
        <v>12</v>
      </c>
      <c r="L119" s="4">
        <f>Vout*Table1[[#This Row],[Iout]]/(Table1[[#This Row],[Vin]]*Efficiency)</f>
        <v>6.657799733992019</v>
      </c>
      <c r="M119" s="711">
        <f>MIN(1/Fsw,CHOOSE(Table1[[#This Row],[Mode Digit]],(Vout+(Rdson2+Rs+Rdcr)*Table1[[#This Row],[Iout]])/(Table1[[#This Row],[Vin]]+(Rs+Rdson2-Rdson1)*Table1[[#This Row],[Iout]])/Fsw,(Vout+(Rdson3+Rdcr)*Table1[[#This Row],[Iin]]-Table1[[#This Row],[Vin]])/(Vout+(Rdson3-Rdson4-Rs)*Table1[[#This Row],[Iin]])/Fsw,t1_Ph_II))</f>
        <v>8.8652482269503526E-7</v>
      </c>
      <c r="N119" s="602">
        <f>CHOOSE(Table1[[#This Row],[Mode Digit]],1/Fsw-Table1[[#This Row],[t1_Ph_II]],1/Fsw-Table1[[#This Row],[t1_Ph_II]],(Vout/Fsw-Table1[[#This Row],[Vin]]*t1_Ph_II)/(Table1[[#This Row],[Vin]]+Vout))</f>
        <v>7.801418439716314E-7</v>
      </c>
      <c r="O119" s="602">
        <f>1/Fsw-(Table1[[#This Row],[t1_Ph_II]]+Table1[[#This Row],[t2_Ph_I]])</f>
        <v>0</v>
      </c>
      <c r="P11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9.800478186116484</v>
      </c>
      <c r="Q119" s="4">
        <f>CHOOSE(Table1[[#This Row],[Mode Digit]],Table1[[#This Row],[I_0]]+1/Lf*(Table1[[#This Row],[Vin]]-Vout)*Table1[[#This Row],[t1_Ph_II]],Table1[[#This Row],[I_0]]+1/Lf*Table1[[#This Row],[Vin]]*Table1[[#This Row],[t1_Ph_II]],Table1[[#This Row],[I_0]]+(Table1[[#This Row],[Vin]]-Vout)/L*Table1[[#This Row],[t1_Ph_II]])</f>
        <v>14.199521813883516</v>
      </c>
      <c r="R119" s="4">
        <f>CHOOSE(Table1[[#This Row],[Mode Digit]],0,0,Table1[[#This Row],[I_1]]+Table1[[#This Row],[Vin]]/L*Table1[[#This Row],[t2_Ph_I]])</f>
        <v>0</v>
      </c>
      <c r="S119" s="4">
        <f>Fsw*(Table1[[#This Row],[I_0]]*Table1[[#This Row],[t1_Ph_II]]+Table1[[#This Row],[I_1]]*Table1[[#This Row],[t2_Ph_I]]+Table1[[#This Row],[I_2]]*Table1[[#This Row],[t3_Ph_III]])</f>
        <v>11.859604990603181</v>
      </c>
      <c r="T119" s="354">
        <f>MIN(1,CHOOSE(Table1[[#This Row],[Mode Digit]],(Vout+(Rdson2+Rs+Rdcr)*Table1[[#This Row],[Iout]])/(Table1[[#This Row],[Vin]]+(Rs+Rdson2-Rdson1)*Table1[[#This Row],[Iout]]),1,Fsw*Table1[[#This Row],[t2_Ph_I]]+Table1[[#This Row],[t1_Ph_II]]))</f>
        <v>0.53191489361702116</v>
      </c>
      <c r="U119" s="354">
        <f>MIN(1,CHOOSE(Table1[[#This Row],[Mode Digit]],0,(Vout+(Rdson3+Rdcr)*Table1[[#This Row],[Iin]]-Table1[[#This Row],[Vin]])/(Vout+(Rdson3-Rdson4-Rs)*Table1[[#This Row],[Iin]]),Fsw*Table1[[#This Row],[t1_Ph_II]]+Table1[[#This Row],[t3_Ph_III]]))</f>
        <v>0</v>
      </c>
      <c r="V119" s="4">
        <f>MAX(Table1[[#This Row],[I_0]:[I_2]])-MIN(Table1[[#This Row],[I_0]:[I_1]])</f>
        <v>4.3990436277670319</v>
      </c>
      <c r="W11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12.067005928146239</v>
      </c>
      <c r="X119" s="354">
        <f>(Table1[[#This Row],[Irms Lf]]^2*Rdcr*(1+Ltc*Ta-Ltc*25))/(1-Table1[[#This Row],[Irms Lf]]^2*Rdcr*Ltc*ThetaCa)</f>
        <v>0.90574956636183279</v>
      </c>
      <c r="Y119" s="354">
        <f>ABS(7.759*10^-3*Fsw^0.9458*(0.00787*Table1[[#This Row],[Ripple Current pk-pk]])^2.304)</f>
        <v>0.97589802689736338</v>
      </c>
      <c r="Z119" s="354">
        <f>Table1[[#This Row],[DCR    Loss]]+Table1[[#This Row],[Core Loss]]</f>
        <v>1.8816475932591961</v>
      </c>
      <c r="AA119" s="4">
        <f>IF(Table1[[#This Row],[Vin]]&gt;Vout, Table1[[#This Row],[Ripple Current pk-pk]]/SQRT(12), SQRT(Table1[[#This Row],[Duty Cycle BOOST Leg]]/(1-Table1[[#This Row],[Duty Cycle BOOST Leg]]))*SQRT(Table1[[#This Row],[Iout]]^2+(Table1[[#This Row],[Ripple Current pk-pk]]^2)/12))</f>
        <v>1.269894511334102</v>
      </c>
      <c r="AB119" s="354">
        <f>RCoutEsr*Table1[[#This Row],[Irms Cout]]^2</f>
        <v>8.0631603495823888E-3</v>
      </c>
      <c r="AC119" s="354">
        <f>Table1[[#This Row],[Cout ESR Loss]]</f>
        <v>8.0631603495823888E-3</v>
      </c>
      <c r="AD119" s="354">
        <f>IF(Table1[[#This Row],[Vin]]&gt;Vout, SQRT(Table1[[#This Row],[Duty Cycle BUCK Leg]]*(1-Table1[[#This Row],[Duty Cycle BUCK Leg]]))*SQRT(Table1[[#This Row],[Iout]]^2+(Table1[[#This Row],[Ripple Current pk-pk]]^2)/12), Table1[[#This Row],[Ripple Current pk-pk]]/SQRT(12))</f>
        <v>6.0211994446021135</v>
      </c>
      <c r="AE119" s="354">
        <f>RCinEsr*Table1[[#This Row],[Irms Cin]]^2</f>
        <v>7.2509685503353599E-2</v>
      </c>
      <c r="AF119" s="549">
        <f>Table1[[#This Row],[Cin ESR Loss]]</f>
        <v>7.2509685503353599E-2</v>
      </c>
      <c r="AG11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8.8007685855704718</v>
      </c>
      <c r="AH119" s="354">
        <f>Rdson1*Table1[[#This Row],[Irms BuCtrl]]^2</f>
        <v>0.32530481632640917</v>
      </c>
      <c r="AI119" s="354">
        <f>CHOOSE(Table1[[#This Row],[Mode Digit]], (Table1[[#This Row],[Vin]]*Table1[[#This Row],[Iout]]/2)*(Fsw)*(Tr_buck+Tf_buck), 0, (Table1[[#This Row],[Vin]]*Table1[[#This Row],[Avg IL]]/2)*(Fsw/1)*(Tr_buck+Tf_buck))</f>
        <v>3.2962003717922825</v>
      </c>
      <c r="AJ119">
        <f>IF(Table1[[#This Row],[Vin]]&gt;Vout, IF(Table1[[#This Row],[Iout]]&gt;Table1[[#This Row],[Ripple Current pk-pk]]/2,0,ABS(Table1[[#This Row],[Iout]]-Table1[[#This Row],[Ripple Current pk-pk]]/2)*Vsd_Q1*Deadtime*Fsw),0)</f>
        <v>0</v>
      </c>
      <c r="AK119" s="354">
        <f>(Table1[[#This Row],[Dead Time Loss BuCtrl]]+Table1[[#This Row],[Transition Loss BuCtrl]]+Table1[[#This Row],[RDS(on) Loss BuCtrl]]*(1+RdsonTopTc*Ta-RdsonTopTc*25))/(1-Table1[[#This Row],[RDS(on) Loss BuCtrl]]*RdsonTopTc*ThetaJA_Q1)</f>
        <v>3.9281914952005765</v>
      </c>
      <c r="AL119" s="354">
        <f>CHOOSE(Table1[[#This Row],[Mode Digit]],SQRT((Fsw*(Table1[[#This Row],[t2_Ph_I]]+0))*((Table1[[#This Row],[I_0]]*Table1[[#This Row],[I_1]]+((Table1[[#This Row],[I_0]]-Table1[[#This Row],[I_1]])^2)/3))),0,SQRT((Fsw*(Table1[[#This Row],[t3_Ph_III]]+0))*((Table1[[#This Row],[I_0]]*Table1[[#This Row],[I_2]]+((Table1[[#This Row],[I_0]]-Table1[[#This Row],[I_2]])^2)/3))))</f>
        <v>8.2558527344637405</v>
      </c>
      <c r="AM119" s="354">
        <f>Rdson2*Table1[[#This Row],[Irms BuSync]]^2</f>
        <v>0.28626823836724019</v>
      </c>
      <c r="AN11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19" s="354">
        <f>(Table1[[#This Row],[Deadtime Loss BuSync]]+Table1[[#This Row],[RDS(on) Loss BuSync]]*(1+RdsonBotTc*Ta-RdsonBotTc*25))/(1-Table1[[#This Row],[RDS(on) Loss BuSync]]*RdsonBotTc*ThetaJA_Q2)</f>
        <v>0.92735286820056895</v>
      </c>
      <c r="AP119" s="354">
        <f>CHOOSE(Table1[[#This Row],[Mode Digit]],0,SQRT((Fsw*(Table1[[#This Row],[t1_Ph_II]]+0))*((Table1[[#This Row],[I_0]]*Table1[[#This Row],[I_1]]+((Table1[[#This Row],[I_0]]-Table1[[#This Row],[I_1]])^2)/3))),SQRT((Fsw*(Table1[[#This Row],[t2_Ph_I]]+0))*((Table1[[#This Row],[I_1]]*Table1[[#This Row],[I_2]]+((Table1[[#This Row],[I_1]]-Table1[[#This Row],[I_2]])^2)/3))))</f>
        <v>0</v>
      </c>
      <c r="AQ119" s="354">
        <f>Rdson4*Table1[[#This Row],[Irms BoCtlr]]^2</f>
        <v>0</v>
      </c>
      <c r="AR119" s="354">
        <f>CHOOSE(Table1[[#This Row],[Mode Digit]], 0, (Vout*Table1[[#This Row],[Iin]]/2)*(Fsw)*(Tr_boost+Tf_boost), (Vout*Iout/2)*(Fsw/1)*(Tr_boost+Tf_boost))</f>
        <v>0</v>
      </c>
      <c r="AS119">
        <f>IF(Table1[[#This Row],[Vin]]&gt;Vout, 0, IF(Table1[[#This Row],[Iin]]&gt;Table1[[#This Row],[Ripple Current pk-pk]]/2,0,ABS(Table1[[#This Row],[Iin]]-Table1[[#This Row],[Ripple Current pk-pk]]/2)*Vsd_Q4*Deadtime*Fsw))</f>
        <v>0</v>
      </c>
      <c r="AT119" s="354">
        <f>(Table1[[#This Row],[Dead Time Loss BoCtlr]]+Table1[[#This Row],[Transition Loss BoCtlr]]+Table1[[#This Row],[RDS(on) Loss BoCtlr]]*(1+RdsonTopTc*Ta-RdsonTopTc*25))/(1-Table1[[#This Row],[RDS(on) Loss BoCtlr]]*RdsonTopTc*ThetaJA_Q4)</f>
        <v>0</v>
      </c>
      <c r="AU11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12.067005928146239</v>
      </c>
      <c r="AV119" s="354">
        <f>Rdson3*Table1[[#This Row],[Irms BoSync]]^2</f>
        <v>0.61157305469364931</v>
      </c>
      <c r="AW11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19" s="354">
        <f>(Table1[[#This Row],[Deadtime Loss BoSync]]+Table1[[#This Row],[RDS(on) Loss BoSync]]*(1+RdsonBotTc*Ta-RdsonBotTc*25))/(1-Table1[[#This Row],[RDS(on) Loss BoSync]]*RdsonBotTc*ThetaJA_Q3)</f>
        <v>0.71678029873573956</v>
      </c>
      <c r="AY119" s="354">
        <f>CHOOSE(Table1[[#This Row],[Mode Digit]], Rdson3*Table1[[#This Row],[Irms Lf]]^2, Rdson1*Table1[[#This Row],[Irms Lf]]^2, 0)</f>
        <v>0.61157305469364931</v>
      </c>
      <c r="AZ119" s="354">
        <f>CHOOSE(Table1[[#This Row],[Mode Digit]], 2*Deadtime*Fsw*IF(VfdSky_Q2&gt;0,VfdSky_Q2,0)*Table1[[#This Row],[Iout]], 2*Deadtime*Fsw*IF(VfdSky_Q3&gt;0,VfdSky_Q3,0)*Table1[[#This Row],[Iin]], 2*Deadtime*Fsw*IF(VfdSky_Q2&gt;0,VfdSky_Q2,0)*Table1[[#This Row],[Iout]]+2*Deadtime*Fsw*IF(VfdSky_Q3&gt;0,VfdSky_Q3,0)*Table1[[#This Row],[Iin]])</f>
        <v>0</v>
      </c>
      <c r="BA119" s="354">
        <f>CHOOSE(Table1[[#This Row],[Mode Digit]], IF(QrrSky_Q2&gt;0,QrrSky_Q2,Qrr_Q2)*Fsw*(Table1[[#This Row],[Vin]]-Table1[[#This Row],[Iout]]*Rdson1),0,  IF(QrrSky_Q2&gt;0,QrrSky_Q2,Qrr_Q2)*Fsw*(Table1[[#This Row],[Vin]]-Table1[[#This Row],[Iout]]*Rdson1)+IF(QrrSky_Q3&gt;0,QrrSky_Q3,Qrr_Q3)*Fsw*Vout)</f>
        <v>0.33179520000000007</v>
      </c>
      <c r="BB119" s="354">
        <f>CHOOSE(Table1[[#This Row],[Mode Digit]],0, IF(QrrSky_Q3&gt;0,QrrSky_Q3,Qrr_Q3)*Fsw*Vout,  IF(QrrSky_Q2&gt;0,QrrSky_Q2,Qrr_Q2)*Fsw*(Table1[[#This Row],[Vin]]-Table1[[#This Row],[Iout]]*Rdson1)+IF(QrrSky_Q3&gt;0,QrrSky_Q3,Qrr_Q3)*Fsw*Vout)</f>
        <v>0</v>
      </c>
      <c r="BC119" s="354">
        <f>CHOOSE(Table1[[#This Row],[Mode Digit]], Rs*Table1[[#This Row],[Irms BuSync]]^2, Rs*Table1[[#This Row],[Irms BoCtlr]]^2, Rs*(Table1[[#This Row],[Irms BuSync]]^2+Table1[[#This Row],[Irms BoCtlr]]^2))</f>
        <v>0.17039776093288103</v>
      </c>
      <c r="BD119" s="354">
        <f t="shared" si="5"/>
        <v>1.44</v>
      </c>
      <c r="BE119" s="354">
        <f>IF(Vout&gt;8, Iq*Vout, Iq*Table1[[#This Row],[Vin]])</f>
        <v>4.3799999999999999E-2</v>
      </c>
      <c r="BF119" s="354">
        <f>CHOOSE(Table1[[#This Row],[Mode Digit]], (Qg_Q1+Qg_Q2)*Fsw, (Qg_Q3+Qg_Q4)*Fsw, (Qg_Q1+Qg_Q2+Qg_Q3+Qg_Q4)*Fsw)*IF(Vout&gt;8, Vout, Table1[[#This Row],[Vin]])</f>
        <v>0.47303999999999996</v>
      </c>
      <c r="BG119" s="354">
        <f t="shared" si="6"/>
        <v>0.57269042016806726</v>
      </c>
      <c r="BH119" s="354">
        <f>Table1[[#This Row],[IQ Loss]]+Table1[[#This Row],[Switching Current Loss]]</f>
        <v>0.51683999999999997</v>
      </c>
      <c r="BI11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9.9935780621818964</v>
      </c>
      <c r="BJ119">
        <f>Vout*Table1[[#This Row],[Iout]]</f>
        <v>175.2</v>
      </c>
      <c r="BK119" s="550">
        <f>Table1[[#This Row],[Pout]]/(Table1[[#This Row],[Pout]]+Table1[[#This Row],[Total Loss]])</f>
        <v>0.94603712414462682</v>
      </c>
      <c r="BL11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235.69148971203458</v>
      </c>
      <c r="BM119" s="559">
        <f>IF(Table1[[#This Row],[Vin]]&gt;Vout, Table1[[#This Row],[Total Sync Bu MOSFET Loss]]*ThetaJA_Q2, ThetaJA_Q3*Table1[[#This Row],[Total Sync Bo MOSFET Loss]])</f>
        <v>55.641172092034139</v>
      </c>
      <c r="BN119" s="9"/>
      <c r="BO119" s="4">
        <f>Table1[[#This Row],[EFF, h]]*100</f>
        <v>94.603712414462677</v>
      </c>
      <c r="BP119" s="354">
        <f>Table1[[#This Row],[Total Inductor Loss]]</f>
        <v>1.8816475932591961</v>
      </c>
      <c r="BQ119" s="354">
        <f>Table1[[#This Row],[Total Control Bu MOSFET Loss]]+Table1[[#This Row],[Total Sync Bu MOSFET Loss]]+Table1[[#This Row],[Total Control Bo MOSFET Loss]]+Table1[[#This Row],[Total Sync Bo MOSFET Loss]]+Table1[[#This Row],[Reverse Recovery Loss MOSFET D BUCK]]+Table1[[#This Row],[Reverse Recovery Loss MOSFET D BOOST]]</f>
        <v>5.9041198621368851</v>
      </c>
      <c r="BR119" s="354">
        <f>Table1[[#This Row],[Total Control Bu MOSFET Loss]]+Table1[[#This Row],[Reverse Recovery Loss MOSFET D BUCK]]*0.66</f>
        <v>4.1471763272005768</v>
      </c>
      <c r="BS119" s="354">
        <f>Table1[[#This Row],[Total Sync Bu MOSFET Loss]]+Table1[[#This Row],[Reverse Recovery Loss MOSFET D BUCK]]*0.33</f>
        <v>1.0368452842005689</v>
      </c>
      <c r="BT119" s="354">
        <f xml:space="preserve"> Table1[[#This Row],[Total Control Bo MOSFET Loss]]+Table1[[#This Row],[Reverse Recovery Loss MOSFET D BOOST]]*0.66</f>
        <v>0</v>
      </c>
      <c r="BU119" s="354">
        <f xml:space="preserve"> Table1[[#This Row],[Total Sync Bo MOSFET Loss]]+Table1[[#This Row],[Reverse Recovery Loss MOSFET D BOOST]]*0.33</f>
        <v>0.71678029873573956</v>
      </c>
      <c r="BV119" s="354">
        <f>Table1[[#This Row],[Isense Shunt Loss]]</f>
        <v>0.17039776093288103</v>
      </c>
    </row>
    <row r="120" spans="7:74" x14ac:dyDescent="0.2">
      <c r="G120">
        <v>111</v>
      </c>
      <c r="H120" s="555">
        <f>VIN_min+(VIN_max-VIN_min)*(Table1[[#This Row],[Step]]/200)</f>
        <v>27.77</v>
      </c>
      <c r="I120" s="4" t="str">
        <f>IF(Mode = 2,IF(Table1[[#This Row],[Vin]]&gt;Vout, "BUCK","BOOST"),IF(Table1[[#This Row],[Vin]]&gt;VIN_BB_to_buck, "BUCK", IF(Table1[[#This Row],[Vin]]&lt;=VIN_boost_to_BB,"BOOST","BUCK-BST")))</f>
        <v>BUCK</v>
      </c>
      <c r="J120">
        <f>IF(Table1[[#This Row],[Mode]]="BOOST",2, IF(Table1[[#This Row],[Mode]]="BUCK", 1,3))</f>
        <v>1</v>
      </c>
      <c r="K120">
        <f t="shared" si="4"/>
        <v>12</v>
      </c>
      <c r="L120" s="4">
        <f>Vout*Table1[[#This Row],[Iout]]/(Table1[[#This Row],[Vin]]*Efficiency)</f>
        <v>6.6410173796031309</v>
      </c>
      <c r="M120" s="711">
        <f>MIN(1/Fsw,CHOOSE(Table1[[#This Row],[Mode Digit]],(Vout+(Rdson2+Rs+Rdcr)*Table1[[#This Row],[Iout]])/(Table1[[#This Row],[Vin]]+(Rs+Rdson2-Rdson1)*Table1[[#This Row],[Iout]])/Fsw,(Vout+(Rdson3+Rdcr)*Table1[[#This Row],[Iin]]-Table1[[#This Row],[Vin]])/(Vout+(Rdson3-Rdson4-Rs)*Table1[[#This Row],[Iin]])/Fsw,t1_Ph_II))</f>
        <v>8.8429256594724221E-7</v>
      </c>
      <c r="N120" s="602">
        <f>CHOOSE(Table1[[#This Row],[Mode Digit]],1/Fsw-Table1[[#This Row],[t1_Ph_II]],1/Fsw-Table1[[#This Row],[t1_Ph_II]],(Vout/Fsw-Table1[[#This Row],[Vin]]*t1_Ph_II)/(Table1[[#This Row],[Vin]]+Vout))</f>
        <v>7.8237410071942445E-7</v>
      </c>
      <c r="O120" s="602">
        <f>1/Fsw-(Table1[[#This Row],[t1_Ph_II]]+Table1[[#This Row],[t2_Ph_I]])</f>
        <v>0</v>
      </c>
      <c r="P12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9.7942929747111407</v>
      </c>
      <c r="Q120" s="4">
        <f>CHOOSE(Table1[[#This Row],[Mode Digit]],Table1[[#This Row],[I_0]]+1/Lf*(Table1[[#This Row],[Vin]]-Vout)*Table1[[#This Row],[t1_Ph_II]],Table1[[#This Row],[I_0]]+1/Lf*Table1[[#This Row],[Vin]]*Table1[[#This Row],[t1_Ph_II]],Table1[[#This Row],[I_0]]+(Table1[[#This Row],[Vin]]-Vout)/L*Table1[[#This Row],[t1_Ph_II]])</f>
        <v>14.205707025288859</v>
      </c>
      <c r="R120" s="4">
        <f>CHOOSE(Table1[[#This Row],[Mode Digit]],0,0,Table1[[#This Row],[I_1]]+Table1[[#This Row],[Vin]]/L*Table1[[#This Row],[t2_Ph_I]])</f>
        <v>0</v>
      </c>
      <c r="S120" s="4">
        <f>Fsw*(Table1[[#This Row],[I_0]]*Table1[[#This Row],[t1_Ph_II]]+Table1[[#This Row],[I_1]]*Table1[[#This Row],[t2_Ph_I]]+Table1[[#This Row],[I_2]]*Table1[[#This Row],[t3_Ph_III]])</f>
        <v>11.865118635144205</v>
      </c>
      <c r="T120" s="354">
        <f>MIN(1,CHOOSE(Table1[[#This Row],[Mode Digit]],(Vout+(Rdson2+Rs+Rdcr)*Table1[[#This Row],[Iout]])/(Table1[[#This Row],[Vin]]+(Rs+Rdson2-Rdson1)*Table1[[#This Row],[Iout]]),1,Fsw*Table1[[#This Row],[t2_Ph_I]]+Table1[[#This Row],[t1_Ph_II]]))</f>
        <v>0.53057553956834536</v>
      </c>
      <c r="U120" s="354">
        <f>MIN(1,CHOOSE(Table1[[#This Row],[Mode Digit]],0,(Vout+(Rdson3+Rdcr)*Table1[[#This Row],[Iin]]-Table1[[#This Row],[Vin]])/(Vout+(Rdson3-Rdson4-Rs)*Table1[[#This Row],[Iin]]),Fsw*Table1[[#This Row],[t1_Ph_II]]+Table1[[#This Row],[t3_Ph_III]]))</f>
        <v>0</v>
      </c>
      <c r="V120" s="4">
        <f>MAX(Table1[[#This Row],[I_0]:[I_2]])-MIN(Table1[[#This Row],[I_0]:[I_1]])</f>
        <v>4.4114140505777186</v>
      </c>
      <c r="W12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12.067382255228466</v>
      </c>
      <c r="X120" s="354">
        <f>(Table1[[#This Row],[Irms Lf]]^2*Rdcr*(1+Ltc*Ta-Ltc*25))/(1-Table1[[#This Row],[Irms Lf]]^2*Rdcr*Ltc*ThetaCa)</f>
        <v>0.90581015537813314</v>
      </c>
      <c r="Y120" s="354">
        <f>ABS(7.759*10^-3*Fsw^0.9458*(0.00787*Table1[[#This Row],[Ripple Current pk-pk]])^2.304)</f>
        <v>0.98223247748238085</v>
      </c>
      <c r="Z120" s="354">
        <f>Table1[[#This Row],[DCR    Loss]]+Table1[[#This Row],[Core Loss]]</f>
        <v>1.888042632860514</v>
      </c>
      <c r="AA120" s="4">
        <f>IF(Table1[[#This Row],[Vin]]&gt;Vout, Table1[[#This Row],[Ripple Current pk-pk]]/SQRT(12), SQRT(Table1[[#This Row],[Duty Cycle BOOST Leg]]/(1-Table1[[#This Row],[Duty Cycle BOOST Leg]]))*SQRT(Table1[[#This Row],[Iout]]^2+(Table1[[#This Row],[Ripple Current pk-pk]]^2)/12))</f>
        <v>1.2734655448039718</v>
      </c>
      <c r="AB120" s="354">
        <f>RCoutEsr*Table1[[#This Row],[Irms Cout]]^2</f>
        <v>8.1085724690143843E-3</v>
      </c>
      <c r="AC120" s="354">
        <f>Table1[[#This Row],[Cout ESR Loss]]</f>
        <v>8.1085724690143843E-3</v>
      </c>
      <c r="AD120" s="354">
        <f>IF(Table1[[#This Row],[Vin]]&gt;Vout, SQRT(Table1[[#This Row],[Duty Cycle BUCK Leg]]*(1-Table1[[#This Row],[Duty Cycle BUCK Leg]]))*SQRT(Table1[[#This Row],[Iout]]^2+(Table1[[#This Row],[Ripple Current pk-pk]]^2)/12), Table1[[#This Row],[Ripple Current pk-pk]]/SQRT(12))</f>
        <v>6.0223992046611841</v>
      </c>
      <c r="AE120" s="354">
        <f>RCinEsr*Table1[[#This Row],[Irms Cin]]^2</f>
        <v>7.2538584360607339E-2</v>
      </c>
      <c r="AF120" s="549">
        <f>Table1[[#This Row],[Cin ESR Loss]]</f>
        <v>7.2538584360607339E-2</v>
      </c>
      <c r="AG12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8.7899556165214499</v>
      </c>
      <c r="AH120" s="354">
        <f>Rdson1*Table1[[#This Row],[Irms BuCtrl]]^2</f>
        <v>0.32450594290975132</v>
      </c>
      <c r="AI120" s="354">
        <f>CHOOSE(Table1[[#This Row],[Mode Digit]], (Table1[[#This Row],[Vin]]*Table1[[#This Row],[Iout]]/2)*(Fsw)*(Tr_buck+Tf_buck), 0, (Table1[[#This Row],[Vin]]*Table1[[#This Row],[Avg IL]]/2)*(Fsw/1)*(Tr_buck+Tf_buck))</f>
        <v>3.3045301200242481</v>
      </c>
      <c r="AJ120">
        <f>IF(Table1[[#This Row],[Vin]]&gt;Vout, IF(Table1[[#This Row],[Iout]]&gt;Table1[[#This Row],[Ripple Current pk-pk]]/2,0,ABS(Table1[[#This Row],[Iout]]-Table1[[#This Row],[Ripple Current pk-pk]]/2)*Vsd_Q1*Deadtime*Fsw),0)</f>
        <v>0</v>
      </c>
      <c r="AK120" s="354">
        <f>(Table1[[#This Row],[Dead Time Loss BuCtrl]]+Table1[[#This Row],[Transition Loss BuCtrl]]+Table1[[#This Row],[RDS(on) Loss BuCtrl]]*(1+RdsonTopTc*Ta-RdsonTopTc*25))/(1-Table1[[#This Row],[RDS(on) Loss BuCtrl]]*RdsonTopTc*ThetaJA_Q1)</f>
        <v>3.9355416607280378</v>
      </c>
      <c r="AL120" s="354">
        <f>CHOOSE(Table1[[#This Row],[Mode Digit]],SQRT((Fsw*(Table1[[#This Row],[t2_Ph_I]]+0))*((Table1[[#This Row],[I_0]]*Table1[[#This Row],[I_1]]+((Table1[[#This Row],[I_0]]-Table1[[#This Row],[I_1]])^2)/3))),0,SQRT((Fsw*(Table1[[#This Row],[t3_Ph_III]]+0))*((Table1[[#This Row],[I_0]]*Table1[[#This Row],[I_2]]+((Table1[[#This Row],[I_0]]-Table1[[#This Row],[I_2]])^2)/3))))</f>
        <v>8.2679135671211448</v>
      </c>
      <c r="AM120" s="354">
        <f>Rdson2*Table1[[#This Row],[Irms BuSync]]^2</f>
        <v>0.28710525796422082</v>
      </c>
      <c r="AN12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0" s="354">
        <f>(Table1[[#This Row],[Deadtime Loss BuSync]]+Table1[[#This Row],[RDS(on) Loss BuSync]]*(1+RdsonBotTc*Ta-RdsonBotTc*25))/(1-Table1[[#This Row],[RDS(on) Loss BuSync]]*RdsonBotTc*ThetaJA_Q2)</f>
        <v>0.92845190846025438</v>
      </c>
      <c r="AP120" s="354">
        <f>CHOOSE(Table1[[#This Row],[Mode Digit]],0,SQRT((Fsw*(Table1[[#This Row],[t1_Ph_II]]+0))*((Table1[[#This Row],[I_0]]*Table1[[#This Row],[I_1]]+((Table1[[#This Row],[I_0]]-Table1[[#This Row],[I_1]])^2)/3))),SQRT((Fsw*(Table1[[#This Row],[t2_Ph_I]]+0))*((Table1[[#This Row],[I_1]]*Table1[[#This Row],[I_2]]+((Table1[[#This Row],[I_1]]-Table1[[#This Row],[I_2]])^2)/3))))</f>
        <v>0</v>
      </c>
      <c r="AQ120" s="354">
        <f>Rdson4*Table1[[#This Row],[Irms BoCtlr]]^2</f>
        <v>0</v>
      </c>
      <c r="AR120" s="354">
        <f>CHOOSE(Table1[[#This Row],[Mode Digit]], 0, (Vout*Table1[[#This Row],[Iin]]/2)*(Fsw)*(Tr_boost+Tf_boost), (Vout*Iout/2)*(Fsw/1)*(Tr_boost+Tf_boost))</f>
        <v>0</v>
      </c>
      <c r="AS120">
        <f>IF(Table1[[#This Row],[Vin]]&gt;Vout, 0, IF(Table1[[#This Row],[Iin]]&gt;Table1[[#This Row],[Ripple Current pk-pk]]/2,0,ABS(Table1[[#This Row],[Iin]]-Table1[[#This Row],[Ripple Current pk-pk]]/2)*Vsd_Q4*Deadtime*Fsw))</f>
        <v>0</v>
      </c>
      <c r="AT120" s="354">
        <f>(Table1[[#This Row],[Dead Time Loss BoCtlr]]+Table1[[#This Row],[Transition Loss BoCtlr]]+Table1[[#This Row],[RDS(on) Loss BoCtlr]]*(1+RdsonTopTc*Ta-RdsonTopTc*25))/(1-Table1[[#This Row],[RDS(on) Loss BoCtlr]]*RdsonTopTc*ThetaJA_Q4)</f>
        <v>0</v>
      </c>
      <c r="AU12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12.067382255228466</v>
      </c>
      <c r="AV120" s="354">
        <f>Rdson3*Table1[[#This Row],[Irms BoSync]]^2</f>
        <v>0.61161120087397214</v>
      </c>
      <c r="AW12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0" s="354">
        <f>(Table1[[#This Row],[Deadtime Loss BoSync]]+Table1[[#This Row],[RDS(on) Loss BoSync]]*(1+RdsonBotTc*Ta-RdsonBotTc*25))/(1-Table1[[#This Row],[RDS(on) Loss BoSync]]*RdsonBotTc*ThetaJA_Q3)</f>
        <v>0.71683269871946176</v>
      </c>
      <c r="AY120" s="354">
        <f>CHOOSE(Table1[[#This Row],[Mode Digit]], Rdson3*Table1[[#This Row],[Irms Lf]]^2, Rdson1*Table1[[#This Row],[Irms Lf]]^2, 0)</f>
        <v>0.61161120087397214</v>
      </c>
      <c r="AZ120" s="354">
        <f>CHOOSE(Table1[[#This Row],[Mode Digit]], 2*Deadtime*Fsw*IF(VfdSky_Q2&gt;0,VfdSky_Q2,0)*Table1[[#This Row],[Iout]], 2*Deadtime*Fsw*IF(VfdSky_Q3&gt;0,VfdSky_Q3,0)*Table1[[#This Row],[Iin]], 2*Deadtime*Fsw*IF(VfdSky_Q2&gt;0,VfdSky_Q2,0)*Table1[[#This Row],[Iout]]+2*Deadtime*Fsw*IF(VfdSky_Q3&gt;0,VfdSky_Q3,0)*Table1[[#This Row],[Iin]])</f>
        <v>0</v>
      </c>
      <c r="BA120" s="354">
        <f>CHOOSE(Table1[[#This Row],[Mode Digit]], IF(QrrSky_Q2&gt;0,QrrSky_Q2,Qrr_Q2)*Fsw*(Table1[[#This Row],[Vin]]-Table1[[#This Row],[Iout]]*Rdson1),0,  IF(QrrSky_Q2&gt;0,QrrSky_Q2,Qrr_Q2)*Fsw*(Table1[[#This Row],[Vin]]-Table1[[#This Row],[Iout]]*Rdson1)+IF(QrrSky_Q3&gt;0,QrrSky_Q3,Qrr_Q3)*Fsw*Vout)</f>
        <v>0.33263520000000002</v>
      </c>
      <c r="BB120" s="354">
        <f>CHOOSE(Table1[[#This Row],[Mode Digit]],0, IF(QrrSky_Q3&gt;0,QrrSky_Q3,Qrr_Q3)*Fsw*Vout,  IF(QrrSky_Q2&gt;0,QrrSky_Q2,Qrr_Q2)*Fsw*(Table1[[#This Row],[Vin]]-Table1[[#This Row],[Iout]]*Rdson1)+IF(QrrSky_Q3&gt;0,QrrSky_Q3,Qrr_Q3)*Fsw*Vout)</f>
        <v>0</v>
      </c>
      <c r="BC120" s="354">
        <f>CHOOSE(Table1[[#This Row],[Mode Digit]], Rs*Table1[[#This Row],[Irms BuSync]]^2, Rs*Table1[[#This Row],[Irms BoCtlr]]^2, Rs*(Table1[[#This Row],[Irms BuSync]]^2+Table1[[#This Row],[Irms BoCtlr]]^2))</f>
        <v>0.17089598688346475</v>
      </c>
      <c r="BD120" s="354">
        <f t="shared" si="5"/>
        <v>1.44</v>
      </c>
      <c r="BE120" s="354">
        <f>IF(Vout&gt;8, Iq*Vout, Iq*Table1[[#This Row],[Vin]])</f>
        <v>4.3799999999999999E-2</v>
      </c>
      <c r="BF120" s="354">
        <f>CHOOSE(Table1[[#This Row],[Mode Digit]], (Qg_Q1+Qg_Q2)*Fsw, (Qg_Q3+Qg_Q4)*Fsw, (Qg_Q1+Qg_Q2+Qg_Q3+Qg_Q4)*Fsw)*IF(Vout&gt;8, Vout, Table1[[#This Row],[Vin]])</f>
        <v>0.47303999999999996</v>
      </c>
      <c r="BG120" s="354">
        <f t="shared" si="6"/>
        <v>0.57269042016806726</v>
      </c>
      <c r="BH120" s="354">
        <f>Table1[[#This Row],[IQ Loss]]+Table1[[#This Row],[Switching Current Loss]]</f>
        <v>0.51683999999999997</v>
      </c>
      <c r="BI12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10.009887244481355</v>
      </c>
      <c r="BJ120">
        <f>Vout*Table1[[#This Row],[Iout]]</f>
        <v>175.2</v>
      </c>
      <c r="BK120" s="550">
        <f>Table1[[#This Row],[Pout]]/(Table1[[#This Row],[Pout]]+Table1[[#This Row],[Total Loss]])</f>
        <v>0.94595381816053881</v>
      </c>
      <c r="BL12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236.13249964368228</v>
      </c>
      <c r="BM120" s="559">
        <f>IF(Table1[[#This Row],[Vin]]&gt;Vout, Table1[[#This Row],[Total Sync Bu MOSFET Loss]]*ThetaJA_Q2, ThetaJA_Q3*Table1[[#This Row],[Total Sync Bo MOSFET Loss]])</f>
        <v>55.707114507615266</v>
      </c>
      <c r="BN120" s="9"/>
      <c r="BO120" s="4">
        <f>Table1[[#This Row],[EFF, h]]*100</f>
        <v>94.595381816053887</v>
      </c>
      <c r="BP120" s="354">
        <f>Table1[[#This Row],[Total Inductor Loss]]</f>
        <v>1.888042632860514</v>
      </c>
      <c r="BQ120" s="354">
        <f>Table1[[#This Row],[Total Control Bu MOSFET Loss]]+Table1[[#This Row],[Total Sync Bu MOSFET Loss]]+Table1[[#This Row],[Total Control Bo MOSFET Loss]]+Table1[[#This Row],[Total Sync Bo MOSFET Loss]]+Table1[[#This Row],[Reverse Recovery Loss MOSFET D BUCK]]+Table1[[#This Row],[Reverse Recovery Loss MOSFET D BOOST]]</f>
        <v>5.9134614679077542</v>
      </c>
      <c r="BR120" s="354">
        <f>Table1[[#This Row],[Total Control Bu MOSFET Loss]]+Table1[[#This Row],[Reverse Recovery Loss MOSFET D BUCK]]*0.66</f>
        <v>4.155080892728038</v>
      </c>
      <c r="BS120" s="354">
        <f>Table1[[#This Row],[Total Sync Bu MOSFET Loss]]+Table1[[#This Row],[Reverse Recovery Loss MOSFET D BUCK]]*0.33</f>
        <v>1.0382215244602544</v>
      </c>
      <c r="BT120" s="354">
        <f xml:space="preserve"> Table1[[#This Row],[Total Control Bo MOSFET Loss]]+Table1[[#This Row],[Reverse Recovery Loss MOSFET D BOOST]]*0.66</f>
        <v>0</v>
      </c>
      <c r="BU120" s="354">
        <f xml:space="preserve"> Table1[[#This Row],[Total Sync Bo MOSFET Loss]]+Table1[[#This Row],[Reverse Recovery Loss MOSFET D BOOST]]*0.33</f>
        <v>0.71683269871946176</v>
      </c>
      <c r="BV120" s="354">
        <f>Table1[[#This Row],[Isense Shunt Loss]]</f>
        <v>0.17089598688346475</v>
      </c>
    </row>
    <row r="121" spans="7:74" x14ac:dyDescent="0.2">
      <c r="G121">
        <v>112</v>
      </c>
      <c r="H121" s="555">
        <f>VIN_min+(VIN_max-VIN_min)*(Table1[[#This Row],[Step]]/200)</f>
        <v>27.84</v>
      </c>
      <c r="I121" s="4" t="str">
        <f>IF(Mode = 2,IF(Table1[[#This Row],[Vin]]&gt;Vout, "BUCK","BOOST"),IF(Table1[[#This Row],[Vin]]&gt;VIN_BB_to_buck, "BUCK", IF(Table1[[#This Row],[Vin]]&lt;=VIN_boost_to_BB,"BOOST","BUCK-BST")))</f>
        <v>BUCK</v>
      </c>
      <c r="J121">
        <f>IF(Table1[[#This Row],[Mode]]="BOOST",2, IF(Table1[[#This Row],[Mode]]="BUCK", 1,3))</f>
        <v>1</v>
      </c>
      <c r="K121">
        <f t="shared" si="4"/>
        <v>12</v>
      </c>
      <c r="L121" s="4">
        <f>Vout*Table1[[#This Row],[Iout]]/(Table1[[#This Row],[Vin]]*Efficiency)</f>
        <v>6.6243194192377493</v>
      </c>
      <c r="M121" s="711">
        <f>MIN(1/Fsw,CHOOSE(Table1[[#This Row],[Mode Digit]],(Vout+(Rdson2+Rs+Rdcr)*Table1[[#This Row],[Iout]])/(Table1[[#This Row],[Vin]]+(Rs+Rdson2-Rdson1)*Table1[[#This Row],[Iout]])/Fsw,(Vout+(Rdson3+Rdcr)*Table1[[#This Row],[Iin]]-Table1[[#This Row],[Vin]])/(Vout+(Rdson3-Rdson4-Rs)*Table1[[#This Row],[Iin]])/Fsw,t1_Ph_II))</f>
        <v>8.8207152254515011E-7</v>
      </c>
      <c r="N121" s="602">
        <f>CHOOSE(Table1[[#This Row],[Mode Digit]],1/Fsw-Table1[[#This Row],[t1_Ph_II]],1/Fsw-Table1[[#This Row],[t1_Ph_II]],(Vout/Fsw-Table1[[#This Row],[Vin]]*t1_Ph_II)/(Table1[[#This Row],[Vin]]+Vout))</f>
        <v>7.8459514412151655E-7</v>
      </c>
      <c r="O121" s="602">
        <f>1/Fsw-(Table1[[#This Row],[t1_Ph_II]]+Table1[[#This Row],[t2_Ph_I]])</f>
        <v>0</v>
      </c>
      <c r="P12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9.7881388336178432</v>
      </c>
      <c r="Q121" s="4">
        <f>CHOOSE(Table1[[#This Row],[Mode Digit]],Table1[[#This Row],[I_0]]+1/Lf*(Table1[[#This Row],[Vin]]-Vout)*Table1[[#This Row],[t1_Ph_II]],Table1[[#This Row],[I_0]]+1/Lf*Table1[[#This Row],[Vin]]*Table1[[#This Row],[t1_Ph_II]],Table1[[#This Row],[I_0]]+(Table1[[#This Row],[Vin]]-Vout)/L*Table1[[#This Row],[t1_Ph_II]])</f>
        <v>14.211861166382157</v>
      </c>
      <c r="R121" s="4">
        <f>CHOOSE(Table1[[#This Row],[Mode Digit]],0,0,Table1[[#This Row],[I_1]]+Table1[[#This Row],[Vin]]/L*Table1[[#This Row],[t2_Ph_I]])</f>
        <v>0</v>
      </c>
      <c r="S121" s="4">
        <f>Fsw*(Table1[[#This Row],[I_0]]*Table1[[#This Row],[t1_Ph_II]]+Table1[[#This Row],[I_1]]*Table1[[#This Row],[t2_Ph_I]]+Table1[[#This Row],[I_2]]*Table1[[#This Row],[t3_Ph_III]])</f>
        <v>11.870637470355117</v>
      </c>
      <c r="T121" s="354">
        <f>MIN(1,CHOOSE(Table1[[#This Row],[Mode Digit]],(Vout+(Rdson2+Rs+Rdcr)*Table1[[#This Row],[Iout]])/(Table1[[#This Row],[Vin]]+(Rs+Rdson2-Rdson1)*Table1[[#This Row],[Iout]]),1,Fsw*Table1[[#This Row],[t2_Ph_I]]+Table1[[#This Row],[t1_Ph_II]]))</f>
        <v>0.52924291352709008</v>
      </c>
      <c r="U121" s="354">
        <f>MIN(1,CHOOSE(Table1[[#This Row],[Mode Digit]],0,(Vout+(Rdson3+Rdcr)*Table1[[#This Row],[Iin]]-Table1[[#This Row],[Vin]])/(Vout+(Rdson3-Rdson4-Rs)*Table1[[#This Row],[Iin]]),Fsw*Table1[[#This Row],[t1_Ph_II]]+Table1[[#This Row],[t3_Ph_III]]))</f>
        <v>0</v>
      </c>
      <c r="V121" s="4">
        <f>MAX(Table1[[#This Row],[I_0]:[I_2]])-MIN(Table1[[#This Row],[I_0]:[I_1]])</f>
        <v>4.4237223327643136</v>
      </c>
      <c r="W12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12.067757729025297</v>
      </c>
      <c r="X121" s="354">
        <f>(Table1[[#This Row],[Irms Lf]]^2*Rdcr*(1+Ltc*Ta-Ltc*25))/(1-Table1[[#This Row],[Irms Lf]]^2*Rdcr*Ltc*ThetaCa)</f>
        <v>0.90587060944362929</v>
      </c>
      <c r="Y121" s="354">
        <f>ABS(7.759*10^-3*Fsw^0.9458*(0.00787*Table1[[#This Row],[Ripple Current pk-pk]])^2.304)</f>
        <v>0.98855813881642973</v>
      </c>
      <c r="Z121" s="354">
        <f>Table1[[#This Row],[DCR    Loss]]+Table1[[#This Row],[Core Loss]]</f>
        <v>1.894428748260059</v>
      </c>
      <c r="AA121" s="4">
        <f>IF(Table1[[#This Row],[Vin]]&gt;Vout, Table1[[#This Row],[Ripple Current pk-pk]]/SQRT(12), SQRT(Table1[[#This Row],[Duty Cycle BOOST Leg]]/(1-Table1[[#This Row],[Duty Cycle BOOST Leg]]))*SQRT(Table1[[#This Row],[Iout]]^2+(Table1[[#This Row],[Ripple Current pk-pk]]^2)/12))</f>
        <v>1.2770186398208179</v>
      </c>
      <c r="AB121" s="354">
        <f>RCoutEsr*Table1[[#This Row],[Irms Cout]]^2</f>
        <v>8.1538830322490582E-3</v>
      </c>
      <c r="AC121" s="354">
        <f>Table1[[#This Row],[Cout ESR Loss]]</f>
        <v>8.1538830322490582E-3</v>
      </c>
      <c r="AD121" s="354">
        <f>IF(Table1[[#This Row],[Vin]]&gt;Vout, SQRT(Table1[[#This Row],[Duty Cycle BUCK Leg]]*(1-Table1[[#This Row],[Duty Cycle BUCK Leg]]))*SQRT(Table1[[#This Row],[Iout]]^2+(Table1[[#This Row],[Ripple Current pk-pk]]^2)/12), Table1[[#This Row],[Ripple Current pk-pk]]/SQRT(12))</f>
        <v>6.0235503057158208</v>
      </c>
      <c r="AE121" s="354">
        <f>RCinEsr*Table1[[#This Row],[Irms Cin]]^2</f>
        <v>7.2566316570978312E-2</v>
      </c>
      <c r="AF121" s="549">
        <f>Table1[[#This Row],[Cin ESR Loss]]</f>
        <v>7.2566316570978312E-2</v>
      </c>
      <c r="AG12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8.7791831345752378</v>
      </c>
      <c r="AH121" s="354">
        <f>Rdson1*Table1[[#This Row],[Irms BuCtrl]]^2</f>
        <v>0.32371103734372331</v>
      </c>
      <c r="AI121" s="354">
        <f>CHOOSE(Table1[[#This Row],[Mode Digit]], (Table1[[#This Row],[Vin]]*Table1[[#This Row],[Iout]]/2)*(Fsw)*(Tr_buck+Tf_buck), 0, (Table1[[#This Row],[Vin]]*Table1[[#This Row],[Avg IL]]/2)*(Fsw/1)*(Tr_buck+Tf_buck))</f>
        <v>3.312859868256214</v>
      </c>
      <c r="AJ121">
        <f>IF(Table1[[#This Row],[Vin]]&gt;Vout, IF(Table1[[#This Row],[Iout]]&gt;Table1[[#This Row],[Ripple Current pk-pk]]/2,0,ABS(Table1[[#This Row],[Iout]]-Table1[[#This Row],[Ripple Current pk-pk]]/2)*Vsd_Q1*Deadtime*Fsw),0)</f>
        <v>0</v>
      </c>
      <c r="AK121" s="354">
        <f>(Table1[[#This Row],[Dead Time Loss BuCtrl]]+Table1[[#This Row],[Transition Loss BuCtrl]]+Table1[[#This Row],[RDS(on) Loss BuCtrl]]*(1+RdsonTopTc*Ta-RdsonTopTc*25))/(1-Table1[[#This Row],[RDS(on) Loss BuCtrl]]*RdsonTopTc*ThetaJA_Q1)</f>
        <v>3.9428971434683557</v>
      </c>
      <c r="AL121" s="354">
        <f>CHOOSE(Table1[[#This Row],[Mode Digit]],SQRT((Fsw*(Table1[[#This Row],[t2_Ph_I]]+0))*((Table1[[#This Row],[I_0]]*Table1[[#This Row],[I_1]]+((Table1[[#This Row],[I_0]]-Table1[[#This Row],[I_1]])^2)/3))),0,SQRT((Fsw*(Table1[[#This Row],[t3_Ph_III]]+0))*((Table1[[#This Row],[I_0]]*Table1[[#This Row],[I_2]]+((Table1[[#This Row],[I_0]]-Table1[[#This Row],[I_2]])^2)/3))))</f>
        <v>8.2798985559026939</v>
      </c>
      <c r="AM121" s="354">
        <f>Rdson2*Table1[[#This Row],[Irms BuSync]]^2</f>
        <v>0.28793822440336597</v>
      </c>
      <c r="AN12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1" s="354">
        <f>(Table1[[#This Row],[Deadtime Loss BuSync]]+Table1[[#This Row],[RDS(on) Loss BuSync]]*(1+RdsonBotTc*Ta-RdsonBotTc*25))/(1-Table1[[#This Row],[RDS(on) Loss BuSync]]*RdsonBotTc*ThetaJA_Q2)</f>
        <v>0.92954609766161789</v>
      </c>
      <c r="AP121" s="354">
        <f>CHOOSE(Table1[[#This Row],[Mode Digit]],0,SQRT((Fsw*(Table1[[#This Row],[t1_Ph_II]]+0))*((Table1[[#This Row],[I_0]]*Table1[[#This Row],[I_1]]+((Table1[[#This Row],[I_0]]-Table1[[#This Row],[I_1]])^2)/3))),SQRT((Fsw*(Table1[[#This Row],[t2_Ph_I]]+0))*((Table1[[#This Row],[I_1]]*Table1[[#This Row],[I_2]]+((Table1[[#This Row],[I_1]]-Table1[[#This Row],[I_2]])^2)/3))))</f>
        <v>0</v>
      </c>
      <c r="AQ121" s="354">
        <f>Rdson4*Table1[[#This Row],[Irms BoCtlr]]^2</f>
        <v>0</v>
      </c>
      <c r="AR121" s="354">
        <f>CHOOSE(Table1[[#This Row],[Mode Digit]], 0, (Vout*Table1[[#This Row],[Iin]]/2)*(Fsw)*(Tr_boost+Tf_boost), (Vout*Iout/2)*(Fsw/1)*(Tr_boost+Tf_boost))</f>
        <v>0</v>
      </c>
      <c r="AS121">
        <f>IF(Table1[[#This Row],[Vin]]&gt;Vout, 0, IF(Table1[[#This Row],[Iin]]&gt;Table1[[#This Row],[Ripple Current pk-pk]]/2,0,ABS(Table1[[#This Row],[Iin]]-Table1[[#This Row],[Ripple Current pk-pk]]/2)*Vsd_Q4*Deadtime*Fsw))</f>
        <v>0</v>
      </c>
      <c r="AT121" s="354">
        <f>(Table1[[#This Row],[Dead Time Loss BoCtlr]]+Table1[[#This Row],[Transition Loss BoCtlr]]+Table1[[#This Row],[RDS(on) Loss BoCtlr]]*(1+RdsonTopTc*Ta-RdsonTopTc*25))/(1-Table1[[#This Row],[RDS(on) Loss BoCtlr]]*RdsonTopTc*ThetaJA_Q4)</f>
        <v>0</v>
      </c>
      <c r="AU12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12.067757729025297</v>
      </c>
      <c r="AV121" s="354">
        <f>Rdson3*Table1[[#This Row],[Irms BoSync]]^2</f>
        <v>0.61164926174708933</v>
      </c>
      <c r="AW12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1" s="354">
        <f>(Table1[[#This Row],[Deadtime Loss BoSync]]+Table1[[#This Row],[RDS(on) Loss BoSync]]*(1+RdsonBotTc*Ta-RdsonBotTc*25))/(1-Table1[[#This Row],[RDS(on) Loss BoSync]]*RdsonBotTc*ThetaJA_Q3)</f>
        <v>0.71688498264061973</v>
      </c>
      <c r="AY121" s="354">
        <f>CHOOSE(Table1[[#This Row],[Mode Digit]], Rdson3*Table1[[#This Row],[Irms Lf]]^2, Rdson1*Table1[[#This Row],[Irms Lf]]^2, 0)</f>
        <v>0.61164926174708933</v>
      </c>
      <c r="AZ121" s="354">
        <f>CHOOSE(Table1[[#This Row],[Mode Digit]], 2*Deadtime*Fsw*IF(VfdSky_Q2&gt;0,VfdSky_Q2,0)*Table1[[#This Row],[Iout]], 2*Deadtime*Fsw*IF(VfdSky_Q3&gt;0,VfdSky_Q3,0)*Table1[[#This Row],[Iin]], 2*Deadtime*Fsw*IF(VfdSky_Q2&gt;0,VfdSky_Q2,0)*Table1[[#This Row],[Iout]]+2*Deadtime*Fsw*IF(VfdSky_Q3&gt;0,VfdSky_Q3,0)*Table1[[#This Row],[Iin]])</f>
        <v>0</v>
      </c>
      <c r="BA121" s="354">
        <f>CHOOSE(Table1[[#This Row],[Mode Digit]], IF(QrrSky_Q2&gt;0,QrrSky_Q2,Qrr_Q2)*Fsw*(Table1[[#This Row],[Vin]]-Table1[[#This Row],[Iout]]*Rdson1),0,  IF(QrrSky_Q2&gt;0,QrrSky_Q2,Qrr_Q2)*Fsw*(Table1[[#This Row],[Vin]]-Table1[[#This Row],[Iout]]*Rdson1)+IF(QrrSky_Q3&gt;0,QrrSky_Q3,Qrr_Q3)*Fsw*Vout)</f>
        <v>0.33347520000000003</v>
      </c>
      <c r="BB121" s="354">
        <f>CHOOSE(Table1[[#This Row],[Mode Digit]],0, IF(QrrSky_Q3&gt;0,QrrSky_Q3,Qrr_Q3)*Fsw*Vout,  IF(QrrSky_Q2&gt;0,QrrSky_Q2,Qrr_Q2)*Fsw*(Table1[[#This Row],[Vin]]-Table1[[#This Row],[Iout]]*Rdson1)+IF(QrrSky_Q3&gt;0,QrrSky_Q3,Qrr_Q3)*Fsw*Vout)</f>
        <v>0</v>
      </c>
      <c r="BC121" s="354">
        <f>CHOOSE(Table1[[#This Row],[Mode Digit]], Rs*Table1[[#This Row],[Irms BuSync]]^2, Rs*Table1[[#This Row],[Irms BoCtlr]]^2, Rs*(Table1[[#This Row],[Irms BuSync]]^2+Table1[[#This Row],[Irms BoCtlr]]^2))</f>
        <v>0.17139180024009879</v>
      </c>
      <c r="BD121" s="354">
        <f t="shared" si="5"/>
        <v>1.44</v>
      </c>
      <c r="BE121" s="354">
        <f>IF(Vout&gt;8, Iq*Vout, Iq*Table1[[#This Row],[Vin]])</f>
        <v>4.3799999999999999E-2</v>
      </c>
      <c r="BF121" s="354">
        <f>CHOOSE(Table1[[#This Row],[Mode Digit]], (Qg_Q1+Qg_Q2)*Fsw, (Qg_Q3+Qg_Q4)*Fsw, (Qg_Q1+Qg_Q2+Qg_Q3+Qg_Q4)*Fsw)*IF(Vout&gt;8, Vout, Table1[[#This Row],[Vin]])</f>
        <v>0.47303999999999996</v>
      </c>
      <c r="BG121" s="354">
        <f t="shared" si="6"/>
        <v>0.57269042016806726</v>
      </c>
      <c r="BH121" s="354">
        <f>Table1[[#This Row],[IQ Loss]]+Table1[[#This Row],[Switching Current Loss]]</f>
        <v>0.51683999999999997</v>
      </c>
      <c r="BI12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10.026184171873977</v>
      </c>
      <c r="BJ121">
        <f>Vout*Table1[[#This Row],[Iout]]</f>
        <v>175.2</v>
      </c>
      <c r="BK121" s="550">
        <f>Table1[[#This Row],[Pout]]/(Table1[[#This Row],[Pout]]+Table1[[#This Row],[Total Loss]])</f>
        <v>0.94587058942719171</v>
      </c>
      <c r="BL12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236.57382860810134</v>
      </c>
      <c r="BM121" s="559">
        <f>IF(Table1[[#This Row],[Vin]]&gt;Vout, Table1[[#This Row],[Total Sync Bu MOSFET Loss]]*ThetaJA_Q2, ThetaJA_Q3*Table1[[#This Row],[Total Sync Bo MOSFET Loss]])</f>
        <v>55.772765859697074</v>
      </c>
      <c r="BN121" s="9"/>
      <c r="BO121" s="4">
        <f>Table1[[#This Row],[EFF, h]]*100</f>
        <v>94.587058942719167</v>
      </c>
      <c r="BP121" s="354">
        <f>Table1[[#This Row],[Total Inductor Loss]]</f>
        <v>1.894428748260059</v>
      </c>
      <c r="BQ121" s="354">
        <f>Table1[[#This Row],[Total Control Bu MOSFET Loss]]+Table1[[#This Row],[Total Sync Bu MOSFET Loss]]+Table1[[#This Row],[Total Control Bo MOSFET Loss]]+Table1[[#This Row],[Total Sync Bo MOSFET Loss]]+Table1[[#This Row],[Reverse Recovery Loss MOSFET D BUCK]]+Table1[[#This Row],[Reverse Recovery Loss MOSFET D BOOST]]</f>
        <v>5.9228034237705929</v>
      </c>
      <c r="BR121" s="354">
        <f>Table1[[#This Row],[Total Control Bu MOSFET Loss]]+Table1[[#This Row],[Reverse Recovery Loss MOSFET D BUCK]]*0.66</f>
        <v>4.1629907754683559</v>
      </c>
      <c r="BS121" s="354">
        <f>Table1[[#This Row],[Total Sync Bu MOSFET Loss]]+Table1[[#This Row],[Reverse Recovery Loss MOSFET D BUCK]]*0.33</f>
        <v>1.039592913661618</v>
      </c>
      <c r="BT121" s="354">
        <f xml:space="preserve"> Table1[[#This Row],[Total Control Bo MOSFET Loss]]+Table1[[#This Row],[Reverse Recovery Loss MOSFET D BOOST]]*0.66</f>
        <v>0</v>
      </c>
      <c r="BU121" s="354">
        <f xml:space="preserve"> Table1[[#This Row],[Total Sync Bo MOSFET Loss]]+Table1[[#This Row],[Reverse Recovery Loss MOSFET D BOOST]]*0.33</f>
        <v>0.71688498264061973</v>
      </c>
      <c r="BV121" s="354">
        <f>Table1[[#This Row],[Isense Shunt Loss]]</f>
        <v>0.17139180024009879</v>
      </c>
    </row>
    <row r="122" spans="7:74" x14ac:dyDescent="0.2">
      <c r="G122">
        <v>113</v>
      </c>
      <c r="H122" s="555">
        <f>VIN_min+(VIN_max-VIN_min)*(Table1[[#This Row],[Step]]/200)</f>
        <v>27.91</v>
      </c>
      <c r="I122" s="4" t="str">
        <f>IF(Mode = 2,IF(Table1[[#This Row],[Vin]]&gt;Vout, "BUCK","BOOST"),IF(Table1[[#This Row],[Vin]]&gt;VIN_BB_to_buck, "BUCK", IF(Table1[[#This Row],[Vin]]&lt;=VIN_boost_to_BB,"BOOST","BUCK-BST")))</f>
        <v>BUCK</v>
      </c>
      <c r="J122">
        <f>IF(Table1[[#This Row],[Mode]]="BOOST",2, IF(Table1[[#This Row],[Mode]]="BUCK", 1,3))</f>
        <v>1</v>
      </c>
      <c r="K122">
        <f t="shared" si="4"/>
        <v>12</v>
      </c>
      <c r="L122" s="4">
        <f>Vout*Table1[[#This Row],[Iout]]/(Table1[[#This Row],[Vin]]*Efficiency)</f>
        <v>6.6077052178996398</v>
      </c>
      <c r="M122" s="711">
        <f>MIN(1/Fsw,CHOOSE(Table1[[#This Row],[Mode Digit]],(Vout+(Rdson2+Rs+Rdcr)*Table1[[#This Row],[Iout]])/(Table1[[#This Row],[Vin]]+(Rs+Rdson2-Rdson1)*Table1[[#This Row],[Iout]])/Fsw,(Vout+(Rdson3+Rdcr)*Table1[[#This Row],[Iin]]-Table1[[#This Row],[Vin]])/(Vout+(Rdson3-Rdson4-Rs)*Table1[[#This Row],[Iin]])/Fsw,t1_Ph_II))</f>
        <v>8.7986160820806496E-7</v>
      </c>
      <c r="N122" s="602">
        <f>CHOOSE(Table1[[#This Row],[Mode Digit]],1/Fsw-Table1[[#This Row],[t1_Ph_II]],1/Fsw-Table1[[#This Row],[t1_Ph_II]],(Vout/Fsw-Table1[[#This Row],[Vin]]*t1_Ph_II)/(Table1[[#This Row],[Vin]]+Vout))</f>
        <v>7.868050584586017E-7</v>
      </c>
      <c r="O122" s="602">
        <f>1/Fsw-(Table1[[#This Row],[t1_Ph_II]]+Table1[[#This Row],[t2_Ph_I]])</f>
        <v>0</v>
      </c>
      <c r="P12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9.7820155293088362</v>
      </c>
      <c r="Q122" s="4">
        <f>CHOOSE(Table1[[#This Row],[Mode Digit]],Table1[[#This Row],[I_0]]+1/Lf*(Table1[[#This Row],[Vin]]-Vout)*Table1[[#This Row],[t1_Ph_II]],Table1[[#This Row],[I_0]]+1/Lf*Table1[[#This Row],[Vin]]*Table1[[#This Row],[t1_Ph_II]],Table1[[#This Row],[I_0]]+(Table1[[#This Row],[Vin]]-Vout)/L*Table1[[#This Row],[t1_Ph_II]])</f>
        <v>14.217984470691164</v>
      </c>
      <c r="R122" s="4">
        <f>CHOOSE(Table1[[#This Row],[Mode Digit]],0,0,Table1[[#This Row],[I_1]]+Table1[[#This Row],[Vin]]/L*Table1[[#This Row],[t2_Ph_I]])</f>
        <v>0</v>
      </c>
      <c r="S122" s="4">
        <f>Fsw*(Table1[[#This Row],[I_0]]*Table1[[#This Row],[t1_Ph_II]]+Table1[[#This Row],[I_1]]*Table1[[#This Row],[t2_Ph_I]]+Table1[[#This Row],[I_2]]*Table1[[#This Row],[t3_Ph_III]])</f>
        <v>11.876161210655754</v>
      </c>
      <c r="T122" s="354">
        <f>MIN(1,CHOOSE(Table1[[#This Row],[Mode Digit]],(Vout+(Rdson2+Rs+Rdcr)*Table1[[#This Row],[Iout]])/(Table1[[#This Row],[Vin]]+(Rs+Rdson2-Rdson1)*Table1[[#This Row],[Iout]]),1,Fsw*Table1[[#This Row],[t2_Ph_I]]+Table1[[#This Row],[t1_Ph_II]]))</f>
        <v>0.52791696492483897</v>
      </c>
      <c r="U122" s="354">
        <f>MIN(1,CHOOSE(Table1[[#This Row],[Mode Digit]],0,(Vout+(Rdson3+Rdcr)*Table1[[#This Row],[Iin]]-Table1[[#This Row],[Vin]])/(Vout+(Rdson3-Rdson4-Rs)*Table1[[#This Row],[Iin]]),Fsw*Table1[[#This Row],[t1_Ph_II]]+Table1[[#This Row],[t3_Ph_III]]))</f>
        <v>0</v>
      </c>
      <c r="V122" s="4">
        <f>MAX(Table1[[#This Row],[I_0]:[I_2]])-MIN(Table1[[#This Row],[I_0]:[I_1]])</f>
        <v>4.4359689413823276</v>
      </c>
      <c r="W12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12.068132348078654</v>
      </c>
      <c r="X122" s="354">
        <f>(Table1[[#This Row],[Irms Lf]]^2*Rdcr*(1+Ltc*Ta-Ltc*25))/(1-Table1[[#This Row],[Irms Lf]]^2*Rdcr*Ltc*ThetaCa)</f>
        <v>0.90593092830706234</v>
      </c>
      <c r="Y122" s="354">
        <f>ABS(7.759*10^-3*Fsw^0.9458*(0.00787*Table1[[#This Row],[Ripple Current pk-pk]])^2.304)</f>
        <v>0.99487492361335217</v>
      </c>
      <c r="Z122" s="354">
        <f>Table1[[#This Row],[DCR    Loss]]+Table1[[#This Row],[Core Loss]]</f>
        <v>1.9008058519204145</v>
      </c>
      <c r="AA122" s="4">
        <f>IF(Table1[[#This Row],[Vin]]&gt;Vout, Table1[[#This Row],[Ripple Current pk-pk]]/SQRT(12), SQRT(Table1[[#This Row],[Duty Cycle BOOST Leg]]/(1-Table1[[#This Row],[Duty Cycle BOOST Leg]]))*SQRT(Table1[[#This Row],[Iout]]^2+(Table1[[#This Row],[Ripple Current pk-pk]]^2)/12))</f>
        <v>1.2805539312119532</v>
      </c>
      <c r="AB122" s="354">
        <f>RCoutEsr*Table1[[#This Row],[Irms Cout]]^2</f>
        <v>8.1990918537119383E-3</v>
      </c>
      <c r="AC122" s="354">
        <f>Table1[[#This Row],[Cout ESR Loss]]</f>
        <v>8.1990918537119383E-3</v>
      </c>
      <c r="AD122" s="354">
        <f>IF(Table1[[#This Row],[Vin]]&gt;Vout, SQRT(Table1[[#This Row],[Duty Cycle BUCK Leg]]*(1-Table1[[#This Row],[Duty Cycle BUCK Leg]]))*SQRT(Table1[[#This Row],[Iout]]^2+(Table1[[#This Row],[Ripple Current pk-pk]]^2)/12), Table1[[#This Row],[Ripple Current pk-pk]]/SQRT(12))</f>
        <v>6.0246534498562561</v>
      </c>
      <c r="AE122" s="354">
        <f>RCinEsr*Table1[[#This Row],[Irms Cin]]^2</f>
        <v>7.259289838172979E-2</v>
      </c>
      <c r="AF122" s="549">
        <f>Table1[[#This Row],[Cin ESR Loss]]</f>
        <v>7.259289838172979E-2</v>
      </c>
      <c r="AG12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8.7684508829374845</v>
      </c>
      <c r="AH122" s="354">
        <f>Rdson1*Table1[[#This Row],[Irms BuCtrl]]^2</f>
        <v>0.32292006972324611</v>
      </c>
      <c r="AI122" s="354">
        <f>CHOOSE(Table1[[#This Row],[Mode Digit]], (Table1[[#This Row],[Vin]]*Table1[[#This Row],[Iout]]/2)*(Fsw)*(Tr_buck+Tf_buck), 0, (Table1[[#This Row],[Vin]]*Table1[[#This Row],[Avg IL]]/2)*(Fsw/1)*(Tr_buck+Tf_buck))</f>
        <v>3.32118961648818</v>
      </c>
      <c r="AJ122">
        <f>IF(Table1[[#This Row],[Vin]]&gt;Vout, IF(Table1[[#This Row],[Iout]]&gt;Table1[[#This Row],[Ripple Current pk-pk]]/2,0,ABS(Table1[[#This Row],[Iout]]-Table1[[#This Row],[Ripple Current pk-pk]]/2)*Vsd_Q1*Deadtime*Fsw),0)</f>
        <v>0</v>
      </c>
      <c r="AK122" s="354">
        <f>(Table1[[#This Row],[Dead Time Loss BuCtrl]]+Table1[[#This Row],[Transition Loss BuCtrl]]+Table1[[#This Row],[RDS(on) Loss BuCtrl]]*(1+RdsonTopTc*Ta-RdsonTopTc*25))/(1-Table1[[#This Row],[RDS(on) Loss BuCtrl]]*RdsonTopTc*ThetaJA_Q1)</f>
        <v>3.9502578997503512</v>
      </c>
      <c r="AL122" s="354">
        <f>CHOOSE(Table1[[#This Row],[Mode Digit]],SQRT((Fsw*(Table1[[#This Row],[t2_Ph_I]]+0))*((Table1[[#This Row],[I_0]]*Table1[[#This Row],[I_1]]+((Table1[[#This Row],[I_0]]-Table1[[#This Row],[I_1]])^2)/3))),0,SQRT((Fsw*(Table1[[#This Row],[t3_Ph_III]]+0))*((Table1[[#This Row],[I_0]]*Table1[[#This Row],[I_2]]+((Table1[[#This Row],[I_0]]-Table1[[#This Row],[I_2]])^2)/3))))</f>
        <v>8.2918084567997141</v>
      </c>
      <c r="AM122" s="354">
        <f>Rdson2*Table1[[#This Row],[Irms BuSync]]^2</f>
        <v>0.2887671674338721</v>
      </c>
      <c r="AN12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2" s="354">
        <f>(Table1[[#This Row],[Deadtime Loss BuSync]]+Table1[[#This Row],[RDS(on) Loss BuSync]]*(1+RdsonBotTc*Ta-RdsonBotTc*25))/(1-Table1[[#This Row],[RDS(on) Loss BuSync]]*RdsonBotTc*ThetaJA_Q2)</f>
        <v>0.93063546835154998</v>
      </c>
      <c r="AP122" s="354">
        <f>CHOOSE(Table1[[#This Row],[Mode Digit]],0,SQRT((Fsw*(Table1[[#This Row],[t1_Ph_II]]+0))*((Table1[[#This Row],[I_0]]*Table1[[#This Row],[I_1]]+((Table1[[#This Row],[I_0]]-Table1[[#This Row],[I_1]])^2)/3))),SQRT((Fsw*(Table1[[#This Row],[t2_Ph_I]]+0))*((Table1[[#This Row],[I_1]]*Table1[[#This Row],[I_2]]+((Table1[[#This Row],[I_1]]-Table1[[#This Row],[I_2]])^2)/3))))</f>
        <v>0</v>
      </c>
      <c r="AQ122" s="354">
        <f>Rdson4*Table1[[#This Row],[Irms BoCtlr]]^2</f>
        <v>0</v>
      </c>
      <c r="AR122" s="354">
        <f>CHOOSE(Table1[[#This Row],[Mode Digit]], 0, (Vout*Table1[[#This Row],[Iin]]/2)*(Fsw)*(Tr_boost+Tf_boost), (Vout*Iout/2)*(Fsw/1)*(Tr_boost+Tf_boost))</f>
        <v>0</v>
      </c>
      <c r="AS122">
        <f>IF(Table1[[#This Row],[Vin]]&gt;Vout, 0, IF(Table1[[#This Row],[Iin]]&gt;Table1[[#This Row],[Ripple Current pk-pk]]/2,0,ABS(Table1[[#This Row],[Iin]]-Table1[[#This Row],[Ripple Current pk-pk]]/2)*Vsd_Q4*Deadtime*Fsw))</f>
        <v>0</v>
      </c>
      <c r="AT122" s="354">
        <f>(Table1[[#This Row],[Dead Time Loss BoCtlr]]+Table1[[#This Row],[Transition Loss BoCtlr]]+Table1[[#This Row],[RDS(on) Loss BoCtlr]]*(1+RdsonTopTc*Ta-RdsonTopTc*25))/(1-Table1[[#This Row],[RDS(on) Loss BoCtlr]]*RdsonTopTc*ThetaJA_Q4)</f>
        <v>0</v>
      </c>
      <c r="AU12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12.068132348078654</v>
      </c>
      <c r="AV122" s="354">
        <f>Rdson3*Table1[[#This Row],[Irms BoSync]]^2</f>
        <v>0.61168723715711815</v>
      </c>
      <c r="AW12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2" s="354">
        <f>(Table1[[#This Row],[Deadtime Loss BoSync]]+Table1[[#This Row],[RDS(on) Loss BoSync]]*(1+RdsonBotTc*Ta-RdsonBotTc*25))/(1-Table1[[#This Row],[RDS(on) Loss BoSync]]*RdsonBotTc*ThetaJA_Q3)</f>
        <v>0.71693715027757987</v>
      </c>
      <c r="AY122" s="354">
        <f>CHOOSE(Table1[[#This Row],[Mode Digit]], Rdson3*Table1[[#This Row],[Irms Lf]]^2, Rdson1*Table1[[#This Row],[Irms Lf]]^2, 0)</f>
        <v>0.61168723715711815</v>
      </c>
      <c r="AZ122" s="354">
        <f>CHOOSE(Table1[[#This Row],[Mode Digit]], 2*Deadtime*Fsw*IF(VfdSky_Q2&gt;0,VfdSky_Q2,0)*Table1[[#This Row],[Iout]], 2*Deadtime*Fsw*IF(VfdSky_Q3&gt;0,VfdSky_Q3,0)*Table1[[#This Row],[Iin]], 2*Deadtime*Fsw*IF(VfdSky_Q2&gt;0,VfdSky_Q2,0)*Table1[[#This Row],[Iout]]+2*Deadtime*Fsw*IF(VfdSky_Q3&gt;0,VfdSky_Q3,0)*Table1[[#This Row],[Iin]])</f>
        <v>0</v>
      </c>
      <c r="BA122" s="354">
        <f>CHOOSE(Table1[[#This Row],[Mode Digit]], IF(QrrSky_Q2&gt;0,QrrSky_Q2,Qrr_Q2)*Fsw*(Table1[[#This Row],[Vin]]-Table1[[#This Row],[Iout]]*Rdson1),0,  IF(QrrSky_Q2&gt;0,QrrSky_Q2,Qrr_Q2)*Fsw*(Table1[[#This Row],[Vin]]-Table1[[#This Row],[Iout]]*Rdson1)+IF(QrrSky_Q3&gt;0,QrrSky_Q3,Qrr_Q3)*Fsw*Vout)</f>
        <v>0.33431520000000003</v>
      </c>
      <c r="BB122" s="354">
        <f>CHOOSE(Table1[[#This Row],[Mode Digit]],0, IF(QrrSky_Q3&gt;0,QrrSky_Q3,Qrr_Q3)*Fsw*Vout,  IF(QrrSky_Q2&gt;0,QrrSky_Q2,Qrr_Q2)*Fsw*(Table1[[#This Row],[Vin]]-Table1[[#This Row],[Iout]]*Rdson1)+IF(QrrSky_Q3&gt;0,QrrSky_Q3,Qrr_Q3)*Fsw*Vout)</f>
        <v>0</v>
      </c>
      <c r="BC122" s="354">
        <f>CHOOSE(Table1[[#This Row],[Mode Digit]], Rs*Table1[[#This Row],[Irms BuSync]]^2, Rs*Table1[[#This Row],[Irms BoCtlr]]^2, Rs*(Table1[[#This Row],[Irms BuSync]]^2+Table1[[#This Row],[Irms BoCtlr]]^2))</f>
        <v>0.17188521871063814</v>
      </c>
      <c r="BD122" s="354">
        <f t="shared" si="5"/>
        <v>1.44</v>
      </c>
      <c r="BE122" s="354">
        <f>IF(Vout&gt;8, Iq*Vout, Iq*Table1[[#This Row],[Vin]])</f>
        <v>4.3799999999999999E-2</v>
      </c>
      <c r="BF122" s="354">
        <f>CHOOSE(Table1[[#This Row],[Mode Digit]], (Qg_Q1+Qg_Q2)*Fsw, (Qg_Q3+Qg_Q4)*Fsw, (Qg_Q1+Qg_Q2+Qg_Q3+Qg_Q4)*Fsw)*IF(Vout&gt;8, Vout, Table1[[#This Row],[Vin]])</f>
        <v>0.47303999999999996</v>
      </c>
      <c r="BG122" s="354">
        <f t="shared" si="6"/>
        <v>0.57269042016806726</v>
      </c>
      <c r="BH122" s="354">
        <f>Table1[[#This Row],[IQ Loss]]+Table1[[#This Row],[Switching Current Loss]]</f>
        <v>0.51683999999999997</v>
      </c>
      <c r="BI12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10.042468779245976</v>
      </c>
      <c r="BJ122">
        <f>Vout*Table1[[#This Row],[Iout]]</f>
        <v>175.2</v>
      </c>
      <c r="BK122" s="550">
        <f>Table1[[#This Row],[Pout]]/(Table1[[#This Row],[Pout]]+Table1[[#This Row],[Total Loss]])</f>
        <v>0.94578743824012834</v>
      </c>
      <c r="BL12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237.01547398502106</v>
      </c>
      <c r="BM122" s="559">
        <f>IF(Table1[[#This Row],[Vin]]&gt;Vout, Table1[[#This Row],[Total Sync Bu MOSFET Loss]]*ThetaJA_Q2, ThetaJA_Q3*Table1[[#This Row],[Total Sync Bo MOSFET Loss]])</f>
        <v>55.838128101092998</v>
      </c>
      <c r="BN122" s="9"/>
      <c r="BO122" s="4">
        <f>Table1[[#This Row],[EFF, h]]*100</f>
        <v>94.578743824012832</v>
      </c>
      <c r="BP122" s="354">
        <f>Table1[[#This Row],[Total Inductor Loss]]</f>
        <v>1.9008058519204145</v>
      </c>
      <c r="BQ122" s="354">
        <f>Table1[[#This Row],[Total Control Bu MOSFET Loss]]+Table1[[#This Row],[Total Sync Bu MOSFET Loss]]+Table1[[#This Row],[Total Control Bo MOSFET Loss]]+Table1[[#This Row],[Total Sync Bo MOSFET Loss]]+Table1[[#This Row],[Reverse Recovery Loss MOSFET D BUCK]]+Table1[[#This Row],[Reverse Recovery Loss MOSFET D BOOST]]</f>
        <v>5.9321457183794815</v>
      </c>
      <c r="BR122" s="354">
        <f>Table1[[#This Row],[Total Control Bu MOSFET Loss]]+Table1[[#This Row],[Reverse Recovery Loss MOSFET D BUCK]]*0.66</f>
        <v>4.170905931750351</v>
      </c>
      <c r="BS122" s="354">
        <f>Table1[[#This Row],[Total Sync Bu MOSFET Loss]]+Table1[[#This Row],[Reverse Recovery Loss MOSFET D BUCK]]*0.33</f>
        <v>1.0409594843515499</v>
      </c>
      <c r="BT122" s="354">
        <f xml:space="preserve"> Table1[[#This Row],[Total Control Bo MOSFET Loss]]+Table1[[#This Row],[Reverse Recovery Loss MOSFET D BOOST]]*0.66</f>
        <v>0</v>
      </c>
      <c r="BU122" s="354">
        <f xml:space="preserve"> Table1[[#This Row],[Total Sync Bo MOSFET Loss]]+Table1[[#This Row],[Reverse Recovery Loss MOSFET D BOOST]]*0.33</f>
        <v>0.71693715027757987</v>
      </c>
      <c r="BV122" s="354">
        <f>Table1[[#This Row],[Isense Shunt Loss]]</f>
        <v>0.17188521871063814</v>
      </c>
    </row>
    <row r="123" spans="7:74" x14ac:dyDescent="0.2">
      <c r="G123">
        <v>114</v>
      </c>
      <c r="H123" s="555">
        <f>VIN_min+(VIN_max-VIN_min)*(Table1[[#This Row],[Step]]/200)</f>
        <v>27.98</v>
      </c>
      <c r="I123" s="4" t="str">
        <f>IF(Mode = 2,IF(Table1[[#This Row],[Vin]]&gt;Vout, "BUCK","BOOST"),IF(Table1[[#This Row],[Vin]]&gt;VIN_BB_to_buck, "BUCK", IF(Table1[[#This Row],[Vin]]&lt;=VIN_boost_to_BB,"BOOST","BUCK-BST")))</f>
        <v>BUCK</v>
      </c>
      <c r="J123">
        <f>IF(Table1[[#This Row],[Mode]]="BOOST",2, IF(Table1[[#This Row],[Mode]]="BUCK", 1,3))</f>
        <v>1</v>
      </c>
      <c r="K123">
        <f t="shared" si="4"/>
        <v>12</v>
      </c>
      <c r="L123" s="4">
        <f>Vout*Table1[[#This Row],[Iout]]/(Table1[[#This Row],[Vin]]*Efficiency)</f>
        <v>6.5911741469470675</v>
      </c>
      <c r="M123" s="711">
        <f>MIN(1/Fsw,CHOOSE(Table1[[#This Row],[Mode Digit]],(Vout+(Rdson2+Rs+Rdcr)*Table1[[#This Row],[Iout]])/(Table1[[#This Row],[Vin]]+(Rs+Rdson2-Rdson1)*Table1[[#This Row],[Iout]])/Fsw,(Vout+(Rdson3+Rdcr)*Table1[[#This Row],[Iin]]-Table1[[#This Row],[Vin]])/(Vout+(Rdson3-Rdson4-Rs)*Table1[[#This Row],[Iin]])/Fsw,t1_Ph_II))</f>
        <v>8.7766273949779832E-7</v>
      </c>
      <c r="N123" s="602">
        <f>CHOOSE(Table1[[#This Row],[Mode Digit]],1/Fsw-Table1[[#This Row],[t1_Ph_II]],1/Fsw-Table1[[#This Row],[t1_Ph_II]],(Vout/Fsw-Table1[[#This Row],[Vin]]*t1_Ph_II)/(Table1[[#This Row],[Vin]]+Vout))</f>
        <v>7.8900392716886834E-7</v>
      </c>
      <c r="O123" s="602">
        <f>1/Fsw-(Table1[[#This Row],[t1_Ph_II]]+Table1[[#This Row],[t2_Ph_I]])</f>
        <v>0</v>
      </c>
      <c r="P12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9.7759228305908064</v>
      </c>
      <c r="Q123" s="4">
        <f>CHOOSE(Table1[[#This Row],[Mode Digit]],Table1[[#This Row],[I_0]]+1/Lf*(Table1[[#This Row],[Vin]]-Vout)*Table1[[#This Row],[t1_Ph_II]],Table1[[#This Row],[I_0]]+1/Lf*Table1[[#This Row],[Vin]]*Table1[[#This Row],[t1_Ph_II]],Table1[[#This Row],[I_0]]+(Table1[[#This Row],[Vin]]-Vout)/L*Table1[[#This Row],[t1_Ph_II]])</f>
        <v>14.224077169409194</v>
      </c>
      <c r="R123" s="4">
        <f>CHOOSE(Table1[[#This Row],[Mode Digit]],0,0,Table1[[#This Row],[I_1]]+Table1[[#This Row],[Vin]]/L*Table1[[#This Row],[t2_Ph_I]])</f>
        <v>0</v>
      </c>
      <c r="S123" s="4">
        <f>Fsw*(Table1[[#This Row],[I_0]]*Table1[[#This Row],[t1_Ph_II]]+Table1[[#This Row],[I_1]]*Table1[[#This Row],[t2_Ph_I]]+Table1[[#This Row],[I_2]]*Table1[[#This Row],[t3_Ph_III]])</f>
        <v>11.881689575779374</v>
      </c>
      <c r="T123" s="354">
        <f>MIN(1,CHOOSE(Table1[[#This Row],[Mode Digit]],(Vout+(Rdson2+Rs+Rdcr)*Table1[[#This Row],[Iout]])/(Table1[[#This Row],[Vin]]+(Rs+Rdson2-Rdson1)*Table1[[#This Row],[Iout]]),1,Fsw*Table1[[#This Row],[t2_Ph_I]]+Table1[[#This Row],[t1_Ph_II]]))</f>
        <v>0.52659764369867901</v>
      </c>
      <c r="U123" s="354">
        <f>MIN(1,CHOOSE(Table1[[#This Row],[Mode Digit]],0,(Vout+(Rdson3+Rdcr)*Table1[[#This Row],[Iin]]-Table1[[#This Row],[Vin]])/(Vout+(Rdson3-Rdson4-Rs)*Table1[[#This Row],[Iin]]),Fsw*Table1[[#This Row],[t1_Ph_II]]+Table1[[#This Row],[t3_Ph_III]]))</f>
        <v>0</v>
      </c>
      <c r="V123" s="4">
        <f>MAX(Table1[[#This Row],[I_0]:[I_2]])-MIN(Table1[[#This Row],[I_0]:[I_1]])</f>
        <v>4.4481543388183873</v>
      </c>
      <c r="W12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12.068506111024226</v>
      </c>
      <c r="X123" s="354">
        <f>(Table1[[#This Row],[Irms Lf]]^2*Rdcr*(1+Ltc*Ta-Ltc*25))/(1-Table1[[#This Row],[Irms Lf]]^2*Rdcr*Ltc*ThetaCa)</f>
        <v>0.90599111173227231</v>
      </c>
      <c r="Y123" s="354">
        <f>ABS(7.759*10^-3*Fsw^0.9458*(0.00787*Table1[[#This Row],[Ripple Current pk-pk]])^2.304)</f>
        <v>1.0011827467597332</v>
      </c>
      <c r="Z123" s="354">
        <f>Table1[[#This Row],[DCR    Loss]]+Table1[[#This Row],[Core Loss]]</f>
        <v>1.9071738584920055</v>
      </c>
      <c r="AA123" s="4">
        <f>IF(Table1[[#This Row],[Vin]]&gt;Vout, Table1[[#This Row],[Ripple Current pk-pk]]/SQRT(12), SQRT(Table1[[#This Row],[Duty Cycle BOOST Leg]]/(1-Table1[[#This Row],[Duty Cycle BOOST Leg]]))*SQRT(Table1[[#This Row],[Iout]]^2+(Table1[[#This Row],[Ripple Current pk-pk]]^2)/12))</f>
        <v>1.2840715524568989</v>
      </c>
      <c r="AB123" s="354">
        <f>RCoutEsr*Table1[[#This Row],[Irms Cout]]^2</f>
        <v>8.2441987591453519E-3</v>
      </c>
      <c r="AC123" s="354">
        <f>Table1[[#This Row],[Cout ESR Loss]]</f>
        <v>8.2441987591453519E-3</v>
      </c>
      <c r="AD123" s="354">
        <f>IF(Table1[[#This Row],[Vin]]&gt;Vout, SQRT(Table1[[#This Row],[Duty Cycle BUCK Leg]]*(1-Table1[[#This Row],[Duty Cycle BUCK Leg]]))*SQRT(Table1[[#This Row],[Iout]]^2+(Table1[[#This Row],[Ripple Current pk-pk]]^2)/12), Table1[[#This Row],[Ripple Current pk-pk]]/SQRT(12))</f>
        <v>6.0257093277005689</v>
      </c>
      <c r="AE123" s="354">
        <f>RCinEsr*Table1[[#This Row],[Irms Cin]]^2</f>
        <v>7.2618345803875287E-2</v>
      </c>
      <c r="AF123" s="549">
        <f>Table1[[#This Row],[Cin ESR Loss]]</f>
        <v>7.2618345803875287E-2</v>
      </c>
      <c r="AG12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8.7577586071300058</v>
      </c>
      <c r="AH123" s="354">
        <f>Rdson1*Table1[[#This Row],[Irms BuCtrl]]^2</f>
        <v>0.32213301044719078</v>
      </c>
      <c r="AI123" s="354">
        <f>CHOOSE(Table1[[#This Row],[Mode Digit]], (Table1[[#This Row],[Vin]]*Table1[[#This Row],[Iout]]/2)*(Fsw)*(Tr_buck+Tf_buck), 0, (Table1[[#This Row],[Vin]]*Table1[[#This Row],[Avg IL]]/2)*(Fsw/1)*(Tr_buck+Tf_buck))</f>
        <v>3.329519364720146</v>
      </c>
      <c r="AJ123">
        <f>IF(Table1[[#This Row],[Vin]]&gt;Vout, IF(Table1[[#This Row],[Iout]]&gt;Table1[[#This Row],[Ripple Current pk-pk]]/2,0,ABS(Table1[[#This Row],[Iout]]-Table1[[#This Row],[Ripple Current pk-pk]]/2)*Vsd_Q1*Deadtime*Fsw),0)</f>
        <v>0</v>
      </c>
      <c r="AK123" s="354">
        <f>(Table1[[#This Row],[Dead Time Loss BuCtrl]]+Table1[[#This Row],[Transition Loss BuCtrl]]+Table1[[#This Row],[RDS(on) Loss BuCtrl]]*(1+RdsonTopTc*Ta-RdsonTopTc*25))/(1-Table1[[#This Row],[RDS(on) Loss BuCtrl]]*RdsonTopTc*ThetaJA_Q1)</f>
        <v>3.9576238863846478</v>
      </c>
      <c r="AL123" s="354">
        <f>CHOOSE(Table1[[#This Row],[Mode Digit]],SQRT((Fsw*(Table1[[#This Row],[t2_Ph_I]]+0))*((Table1[[#This Row],[I_0]]*Table1[[#This Row],[I_1]]+((Table1[[#This Row],[I_0]]-Table1[[#This Row],[I_1]])^2)/3))),0,SQRT((Fsw*(Table1[[#This Row],[t3_Ph_III]]+0))*((Table1[[#This Row],[I_0]]*Table1[[#This Row],[I_2]]+((Table1[[#This Row],[I_0]]-Table1[[#This Row],[I_2]])^2)/3))))</f>
        <v>8.303644015194136</v>
      </c>
      <c r="AM123" s="354">
        <f>Rdson2*Table1[[#This Row],[Irms BuSync]]^2</f>
        <v>0.28959211651049149</v>
      </c>
      <c r="AN12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3" s="354">
        <f>(Table1[[#This Row],[Deadtime Loss BuSync]]+Table1[[#This Row],[RDS(on) Loss BuSync]]*(1+RdsonBotTc*Ta-RdsonBotTc*25))/(1-Table1[[#This Row],[RDS(on) Loss BuSync]]*RdsonBotTc*ThetaJA_Q2)</f>
        <v>0.9317200527811591</v>
      </c>
      <c r="AP123" s="354">
        <f>CHOOSE(Table1[[#This Row],[Mode Digit]],0,SQRT((Fsw*(Table1[[#This Row],[t1_Ph_II]]+0))*((Table1[[#This Row],[I_0]]*Table1[[#This Row],[I_1]]+((Table1[[#This Row],[I_0]]-Table1[[#This Row],[I_1]])^2)/3))),SQRT((Fsw*(Table1[[#This Row],[t2_Ph_I]]+0))*((Table1[[#This Row],[I_1]]*Table1[[#This Row],[I_2]]+((Table1[[#This Row],[I_1]]-Table1[[#This Row],[I_2]])^2)/3))))</f>
        <v>0</v>
      </c>
      <c r="AQ123" s="354">
        <f>Rdson4*Table1[[#This Row],[Irms BoCtlr]]^2</f>
        <v>0</v>
      </c>
      <c r="AR123" s="354">
        <f>CHOOSE(Table1[[#This Row],[Mode Digit]], 0, (Vout*Table1[[#This Row],[Iin]]/2)*(Fsw)*(Tr_boost+Tf_boost), (Vout*Iout/2)*(Fsw/1)*(Tr_boost+Tf_boost))</f>
        <v>0</v>
      </c>
      <c r="AS123">
        <f>IF(Table1[[#This Row],[Vin]]&gt;Vout, 0, IF(Table1[[#This Row],[Iin]]&gt;Table1[[#This Row],[Ripple Current pk-pk]]/2,0,ABS(Table1[[#This Row],[Iin]]-Table1[[#This Row],[Ripple Current pk-pk]]/2)*Vsd_Q4*Deadtime*Fsw))</f>
        <v>0</v>
      </c>
      <c r="AT123" s="354">
        <f>(Table1[[#This Row],[Dead Time Loss BoCtlr]]+Table1[[#This Row],[Transition Loss BoCtlr]]+Table1[[#This Row],[RDS(on) Loss BoCtlr]]*(1+RdsonTopTc*Ta-RdsonTopTc*25))/(1-Table1[[#This Row],[RDS(on) Loss BoCtlr]]*RdsonTopTc*ThetaJA_Q4)</f>
        <v>0</v>
      </c>
      <c r="AU12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12.068506111024226</v>
      </c>
      <c r="AV123" s="354">
        <f>Rdson3*Table1[[#This Row],[Irms BoSync]]^2</f>
        <v>0.61172512695768222</v>
      </c>
      <c r="AW12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3" s="354">
        <f>(Table1[[#This Row],[Deadtime Loss BoSync]]+Table1[[#This Row],[RDS(on) Loss BoSync]]*(1+RdsonBotTc*Ta-RdsonBotTc*25))/(1-Table1[[#This Row],[RDS(on) Loss BoSync]]*RdsonBotTc*ThetaJA_Q3)</f>
        <v>0.71698920142176636</v>
      </c>
      <c r="AY123" s="354">
        <f>CHOOSE(Table1[[#This Row],[Mode Digit]], Rdson3*Table1[[#This Row],[Irms Lf]]^2, Rdson1*Table1[[#This Row],[Irms Lf]]^2, 0)</f>
        <v>0.61172512695768222</v>
      </c>
      <c r="AZ123" s="354">
        <f>CHOOSE(Table1[[#This Row],[Mode Digit]], 2*Deadtime*Fsw*IF(VfdSky_Q2&gt;0,VfdSky_Q2,0)*Table1[[#This Row],[Iout]], 2*Deadtime*Fsw*IF(VfdSky_Q3&gt;0,VfdSky_Q3,0)*Table1[[#This Row],[Iin]], 2*Deadtime*Fsw*IF(VfdSky_Q2&gt;0,VfdSky_Q2,0)*Table1[[#This Row],[Iout]]+2*Deadtime*Fsw*IF(VfdSky_Q3&gt;0,VfdSky_Q3,0)*Table1[[#This Row],[Iin]])</f>
        <v>0</v>
      </c>
      <c r="BA123" s="354">
        <f>CHOOSE(Table1[[#This Row],[Mode Digit]], IF(QrrSky_Q2&gt;0,QrrSky_Q2,Qrr_Q2)*Fsw*(Table1[[#This Row],[Vin]]-Table1[[#This Row],[Iout]]*Rdson1),0,  IF(QrrSky_Q2&gt;0,QrrSky_Q2,Qrr_Q2)*Fsw*(Table1[[#This Row],[Vin]]-Table1[[#This Row],[Iout]]*Rdson1)+IF(QrrSky_Q3&gt;0,QrrSky_Q3,Qrr_Q3)*Fsw*Vout)</f>
        <v>0.33515520000000004</v>
      </c>
      <c r="BB123" s="354">
        <f>CHOOSE(Table1[[#This Row],[Mode Digit]],0, IF(QrrSky_Q3&gt;0,QrrSky_Q3,Qrr_Q3)*Fsw*Vout,  IF(QrrSky_Q2&gt;0,QrrSky_Q2,Qrr_Q2)*Fsw*(Table1[[#This Row],[Vin]]-Table1[[#This Row],[Iout]]*Rdson1)+IF(QrrSky_Q3&gt;0,QrrSky_Q3,Qrr_Q3)*Fsw*Vout)</f>
        <v>0</v>
      </c>
      <c r="BC123" s="354">
        <f>CHOOSE(Table1[[#This Row],[Mode Digit]], Rs*Table1[[#This Row],[Irms BuSync]]^2, Rs*Table1[[#This Row],[Irms BoCtlr]]^2, Rs*(Table1[[#This Row],[Irms BuSync]]^2+Table1[[#This Row],[Irms BoCtlr]]^2))</f>
        <v>0.17237625982767349</v>
      </c>
      <c r="BD123" s="354">
        <f t="shared" si="5"/>
        <v>1.44</v>
      </c>
      <c r="BE123" s="354">
        <f>IF(Vout&gt;8, Iq*Vout, Iq*Table1[[#This Row],[Vin]])</f>
        <v>4.3799999999999999E-2</v>
      </c>
      <c r="BF123" s="354">
        <f>CHOOSE(Table1[[#This Row],[Mode Digit]], (Qg_Q1+Qg_Q2)*Fsw, (Qg_Q3+Qg_Q4)*Fsw, (Qg_Q1+Qg_Q2+Qg_Q3+Qg_Q4)*Fsw)*IF(Vout&gt;8, Vout, Table1[[#This Row],[Vin]])</f>
        <v>0.47303999999999996</v>
      </c>
      <c r="BG123" s="354">
        <f t="shared" si="6"/>
        <v>0.57269042016806726</v>
      </c>
      <c r="BH123" s="354">
        <f>Table1[[#This Row],[IQ Loss]]+Table1[[#This Row],[Switching Current Loss]]</f>
        <v>0.51683999999999997</v>
      </c>
      <c r="BI12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10.058741003470272</v>
      </c>
      <c r="BJ123">
        <f>Vout*Table1[[#This Row],[Iout]]</f>
        <v>175.2</v>
      </c>
      <c r="BK123" s="550">
        <f>Table1[[#This Row],[Pout]]/(Table1[[#This Row],[Pout]]+Table1[[#This Row],[Total Loss]])</f>
        <v>0.94570436488455978</v>
      </c>
      <c r="BL12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237.45743318307888</v>
      </c>
      <c r="BM123" s="559">
        <f>IF(Table1[[#This Row],[Vin]]&gt;Vout, Table1[[#This Row],[Total Sync Bu MOSFET Loss]]*ThetaJA_Q2, ThetaJA_Q3*Table1[[#This Row],[Total Sync Bo MOSFET Loss]])</f>
        <v>55.903203166869545</v>
      </c>
      <c r="BN123" s="9"/>
      <c r="BO123" s="4">
        <f>Table1[[#This Row],[EFF, h]]*100</f>
        <v>94.570436488455982</v>
      </c>
      <c r="BP123" s="354">
        <f>Table1[[#This Row],[Total Inductor Loss]]</f>
        <v>1.9071738584920055</v>
      </c>
      <c r="BQ123" s="354">
        <f>Table1[[#This Row],[Total Control Bu MOSFET Loss]]+Table1[[#This Row],[Total Sync Bu MOSFET Loss]]+Table1[[#This Row],[Total Control Bo MOSFET Loss]]+Table1[[#This Row],[Total Sync Bo MOSFET Loss]]+Table1[[#This Row],[Reverse Recovery Loss MOSFET D BUCK]]+Table1[[#This Row],[Reverse Recovery Loss MOSFET D BOOST]]</f>
        <v>5.9414883405875729</v>
      </c>
      <c r="BR123" s="354">
        <f>Table1[[#This Row],[Total Control Bu MOSFET Loss]]+Table1[[#This Row],[Reverse Recovery Loss MOSFET D BUCK]]*0.66</f>
        <v>4.1788263183846475</v>
      </c>
      <c r="BS123" s="354">
        <f>Table1[[#This Row],[Total Sync Bu MOSFET Loss]]+Table1[[#This Row],[Reverse Recovery Loss MOSFET D BUCK]]*0.33</f>
        <v>1.0423212687811592</v>
      </c>
      <c r="BT123" s="354">
        <f xml:space="preserve"> Table1[[#This Row],[Total Control Bo MOSFET Loss]]+Table1[[#This Row],[Reverse Recovery Loss MOSFET D BOOST]]*0.66</f>
        <v>0</v>
      </c>
      <c r="BU123" s="354">
        <f xml:space="preserve"> Table1[[#This Row],[Total Sync Bo MOSFET Loss]]+Table1[[#This Row],[Reverse Recovery Loss MOSFET D BOOST]]*0.33</f>
        <v>0.71698920142176636</v>
      </c>
      <c r="BV123" s="354">
        <f>Table1[[#This Row],[Isense Shunt Loss]]</f>
        <v>0.17237625982767349</v>
      </c>
    </row>
    <row r="124" spans="7:74" x14ac:dyDescent="0.2">
      <c r="G124">
        <v>115</v>
      </c>
      <c r="H124" s="555">
        <f>VIN_min+(VIN_max-VIN_min)*(Table1[[#This Row],[Step]]/200)</f>
        <v>28.049999999999997</v>
      </c>
      <c r="I124" s="4" t="str">
        <f>IF(Mode = 2,IF(Table1[[#This Row],[Vin]]&gt;Vout, "BUCK","BOOST"),IF(Table1[[#This Row],[Vin]]&gt;VIN_BB_to_buck, "BUCK", IF(Table1[[#This Row],[Vin]]&lt;=VIN_boost_to_BB,"BOOST","BUCK-BST")))</f>
        <v>BUCK</v>
      </c>
      <c r="J124">
        <f>IF(Table1[[#This Row],[Mode]]="BOOST",2, IF(Table1[[#This Row],[Mode]]="BUCK", 1,3))</f>
        <v>1</v>
      </c>
      <c r="K124">
        <f t="shared" si="4"/>
        <v>12</v>
      </c>
      <c r="L124" s="4">
        <f>Vout*Table1[[#This Row],[Iout]]/(Table1[[#This Row],[Vin]]*Efficiency)</f>
        <v>6.5747255840135104</v>
      </c>
      <c r="M124" s="711">
        <f>MIN(1/Fsw,CHOOSE(Table1[[#This Row],[Mode Digit]],(Vout+(Rdson2+Rs+Rdcr)*Table1[[#This Row],[Iout]])/(Table1[[#This Row],[Vin]]+(Rs+Rdson2-Rdson1)*Table1[[#This Row],[Iout]])/Fsw,(Vout+(Rdson3+Rdcr)*Table1[[#This Row],[Iin]]-Table1[[#This Row],[Vin]])/(Vout+(Rdson3-Rdson4-Rs)*Table1[[#This Row],[Iin]])/Fsw,t1_Ph_II))</f>
        <v>8.7547483380816716E-7</v>
      </c>
      <c r="N124" s="602">
        <f>CHOOSE(Table1[[#This Row],[Mode Digit]],1/Fsw-Table1[[#This Row],[t1_Ph_II]],1/Fsw-Table1[[#This Row],[t1_Ph_II]],(Vout/Fsw-Table1[[#This Row],[Vin]]*t1_Ph_II)/(Table1[[#This Row],[Vin]]+Vout))</f>
        <v>7.911918328584995E-7</v>
      </c>
      <c r="O124" s="602">
        <f>1/Fsw-(Table1[[#This Row],[t1_Ph_II]]+Table1[[#This Row],[t2_Ph_I]])</f>
        <v>0</v>
      </c>
      <c r="P12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9.7698605085757873</v>
      </c>
      <c r="Q124" s="4">
        <f>CHOOSE(Table1[[#This Row],[Mode Digit]],Table1[[#This Row],[I_0]]+1/Lf*(Table1[[#This Row],[Vin]]-Vout)*Table1[[#This Row],[t1_Ph_II]],Table1[[#This Row],[I_0]]+1/Lf*Table1[[#This Row],[Vin]]*Table1[[#This Row],[t1_Ph_II]],Table1[[#This Row],[I_0]]+(Table1[[#This Row],[Vin]]-Vout)/L*Table1[[#This Row],[t1_Ph_II]])</f>
        <v>14.230139491424215</v>
      </c>
      <c r="R124" s="4">
        <f>CHOOSE(Table1[[#This Row],[Mode Digit]],0,0,Table1[[#This Row],[I_1]]+Table1[[#This Row],[Vin]]/L*Table1[[#This Row],[t2_Ph_I]])</f>
        <v>0</v>
      </c>
      <c r="S124" s="4">
        <f>Fsw*(Table1[[#This Row],[I_0]]*Table1[[#This Row],[t1_Ph_II]]+Table1[[#This Row],[I_1]]*Table1[[#This Row],[t2_Ph_I]]+Table1[[#This Row],[I_2]]*Table1[[#This Row],[t3_Ph_III]])</f>
        <v>11.887222290675842</v>
      </c>
      <c r="T124" s="354">
        <f>MIN(1,CHOOSE(Table1[[#This Row],[Mode Digit]],(Vout+(Rdson2+Rs+Rdcr)*Table1[[#This Row],[Iout]])/(Table1[[#This Row],[Vin]]+(Rs+Rdson2-Rdson1)*Table1[[#This Row],[Iout]]),1,Fsw*Table1[[#This Row],[t2_Ph_I]]+Table1[[#This Row],[t1_Ph_II]]))</f>
        <v>0.52528490028490027</v>
      </c>
      <c r="U124" s="354">
        <f>MIN(1,CHOOSE(Table1[[#This Row],[Mode Digit]],0,(Vout+(Rdson3+Rdcr)*Table1[[#This Row],[Iin]]-Table1[[#This Row],[Vin]])/(Vout+(Rdson3-Rdson4-Rs)*Table1[[#This Row],[Iin]]),Fsw*Table1[[#This Row],[t1_Ph_II]]+Table1[[#This Row],[t3_Ph_III]]))</f>
        <v>0</v>
      </c>
      <c r="V124" s="4">
        <f>MAX(Table1[[#This Row],[I_0]:[I_2]])-MIN(Table1[[#This Row],[I_0]:[I_1]])</f>
        <v>4.4602789828484273</v>
      </c>
      <c r="W12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12.068879016589319</v>
      </c>
      <c r="X124" s="354">
        <f>(Table1[[#This Row],[Irms Lf]]^2*Rdcr*(1+Ltc*Ta-Ltc*25))/(1-Table1[[#This Row],[Irms Lf]]^2*Rdcr*Ltc*ThetaCa)</f>
        <v>0.90605115949785364</v>
      </c>
      <c r="Y124" s="354">
        <f>ABS(7.759*10^-3*Fsw^0.9458*(0.00787*Table1[[#This Row],[Ripple Current pk-pk]])^2.304)</f>
        <v>1.0074815252751104</v>
      </c>
      <c r="Z124" s="354">
        <f>Table1[[#This Row],[DCR    Loss]]+Table1[[#This Row],[Core Loss]]</f>
        <v>1.9135326847729641</v>
      </c>
      <c r="AA124" s="4">
        <f>IF(Table1[[#This Row],[Vin]]&gt;Vout, Table1[[#This Row],[Ripple Current pk-pk]]/SQRT(12), SQRT(Table1[[#This Row],[Duty Cycle BOOST Leg]]/(1-Table1[[#This Row],[Duty Cycle BOOST Leg]]))*SQRT(Table1[[#This Row],[Iout]]^2+(Table1[[#This Row],[Ripple Current pk-pk]]^2)/12))</f>
        <v>1.2875716357041849</v>
      </c>
      <c r="AB124" s="354">
        <f>RCoutEsr*Table1[[#This Row],[Irms Cout]]^2</f>
        <v>8.2892035853497498E-3</v>
      </c>
      <c r="AC124" s="354">
        <f>Table1[[#This Row],[Cout ESR Loss]]</f>
        <v>8.2892035853497498E-3</v>
      </c>
      <c r="AD124" s="354">
        <f>IF(Table1[[#This Row],[Vin]]&gt;Vout, SQRT(Table1[[#This Row],[Duty Cycle BUCK Leg]]*(1-Table1[[#This Row],[Duty Cycle BUCK Leg]]))*SQRT(Table1[[#This Row],[Iout]]^2+(Table1[[#This Row],[Ripple Current pk-pk]]^2)/12), Table1[[#This Row],[Ripple Current pk-pk]]/SQRT(12))</f>
        <v>6.0267186186201425</v>
      </c>
      <c r="AE124" s="354">
        <f>RCinEsr*Table1[[#This Row],[Irms Cin]]^2</f>
        <v>7.2642674616045358E-2</v>
      </c>
      <c r="AF124" s="549">
        <f>Table1[[#This Row],[Cin ESR Loss]]</f>
        <v>7.2642674616045358E-2</v>
      </c>
      <c r="AG12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8.7471060549635489</v>
      </c>
      <c r="AH124" s="354">
        <f>Rdson1*Table1[[#This Row],[Irms BuCtrl]]^2</f>
        <v>0.32134983021447594</v>
      </c>
      <c r="AI124" s="354">
        <f>CHOOSE(Table1[[#This Row],[Mode Digit]], (Table1[[#This Row],[Vin]]*Table1[[#This Row],[Iout]]/2)*(Fsw)*(Tr_buck+Tf_buck), 0, (Table1[[#This Row],[Vin]]*Table1[[#This Row],[Avg IL]]/2)*(Fsw/1)*(Tr_buck+Tf_buck))</f>
        <v>3.3378491129521115</v>
      </c>
      <c r="AJ124">
        <f>IF(Table1[[#This Row],[Vin]]&gt;Vout, IF(Table1[[#This Row],[Iout]]&gt;Table1[[#This Row],[Ripple Current pk-pk]]/2,0,ABS(Table1[[#This Row],[Iout]]-Table1[[#This Row],[Ripple Current pk-pk]]/2)*Vsd_Q1*Deadtime*Fsw),0)</f>
        <v>0</v>
      </c>
      <c r="AK124" s="354">
        <f>(Table1[[#This Row],[Dead Time Loss BuCtrl]]+Table1[[#This Row],[Transition Loss BuCtrl]]+Table1[[#This Row],[RDS(on) Loss BuCtrl]]*(1+RdsonTopTc*Ta-RdsonTopTc*25))/(1-Table1[[#This Row],[RDS(on) Loss BuCtrl]]*RdsonTopTc*ThetaJA_Q1)</f>
        <v>3.9649950606569937</v>
      </c>
      <c r="AL124" s="354">
        <f>CHOOSE(Table1[[#This Row],[Mode Digit]],SQRT((Fsw*(Table1[[#This Row],[t2_Ph_I]]+0))*((Table1[[#This Row],[I_0]]*Table1[[#This Row],[I_1]]+((Table1[[#This Row],[I_0]]-Table1[[#This Row],[I_1]])^2)/3))),0,SQRT((Fsw*(Table1[[#This Row],[t3_Ph_III]]+0))*((Table1[[#This Row],[I_0]]*Table1[[#This Row],[I_2]]+((Table1[[#This Row],[I_0]]-Table1[[#This Row],[I_2]])^2)/3))))</f>
        <v>8.315405966054211</v>
      </c>
      <c r="AM124" s="354">
        <f>Rdson2*Table1[[#This Row],[Irms BuSync]]^2</f>
        <v>0.29041310079721788</v>
      </c>
      <c r="AN12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4" s="354">
        <f>(Table1[[#This Row],[Deadtime Loss BuSync]]+Table1[[#This Row],[RDS(on) Loss BuSync]]*(1+RdsonBotTc*Ta-RdsonBotTc*25))/(1-Table1[[#This Row],[RDS(on) Loss BuSync]]*RdsonBotTc*ThetaJA_Q2)</f>
        <v>0.93279988290919202</v>
      </c>
      <c r="AP124" s="354">
        <f>CHOOSE(Table1[[#This Row],[Mode Digit]],0,SQRT((Fsw*(Table1[[#This Row],[t1_Ph_II]]+0))*((Table1[[#This Row],[I_0]]*Table1[[#This Row],[I_1]]+((Table1[[#This Row],[I_0]]-Table1[[#This Row],[I_1]])^2)/3))),SQRT((Fsw*(Table1[[#This Row],[t2_Ph_I]]+0))*((Table1[[#This Row],[I_1]]*Table1[[#This Row],[I_2]]+((Table1[[#This Row],[I_1]]-Table1[[#This Row],[I_2]])^2)/3))))</f>
        <v>0</v>
      </c>
      <c r="AQ124" s="354">
        <f>Rdson4*Table1[[#This Row],[Irms BoCtlr]]^2</f>
        <v>0</v>
      </c>
      <c r="AR124" s="354">
        <f>CHOOSE(Table1[[#This Row],[Mode Digit]], 0, (Vout*Table1[[#This Row],[Iin]]/2)*(Fsw)*(Tr_boost+Tf_boost), (Vout*Iout/2)*(Fsw/1)*(Tr_boost+Tf_boost))</f>
        <v>0</v>
      </c>
      <c r="AS124">
        <f>IF(Table1[[#This Row],[Vin]]&gt;Vout, 0, IF(Table1[[#This Row],[Iin]]&gt;Table1[[#This Row],[Ripple Current pk-pk]]/2,0,ABS(Table1[[#This Row],[Iin]]-Table1[[#This Row],[Ripple Current pk-pk]]/2)*Vsd_Q4*Deadtime*Fsw))</f>
        <v>0</v>
      </c>
      <c r="AT124" s="354">
        <f>(Table1[[#This Row],[Dead Time Loss BoCtlr]]+Table1[[#This Row],[Transition Loss BoCtlr]]+Table1[[#This Row],[RDS(on) Loss BoCtlr]]*(1+RdsonTopTc*Ta-RdsonTopTc*25))/(1-Table1[[#This Row],[RDS(on) Loss BoCtlr]]*RdsonTopTc*ThetaJA_Q4)</f>
        <v>0</v>
      </c>
      <c r="AU12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12.068879016589319</v>
      </c>
      <c r="AV124" s="354">
        <f>Rdson3*Table1[[#This Row],[Irms BoSync]]^2</f>
        <v>0.61176293101169399</v>
      </c>
      <c r="AW12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4" s="354">
        <f>(Table1[[#This Row],[Deadtime Loss BoSync]]+Table1[[#This Row],[RDS(on) Loss BoSync]]*(1+RdsonBotTc*Ta-RdsonBotTc*25))/(1-Table1[[#This Row],[RDS(on) Loss BoSync]]*RdsonBotTc*ThetaJA_Q3)</f>
        <v>0.71704113587736373</v>
      </c>
      <c r="AY124" s="354">
        <f>CHOOSE(Table1[[#This Row],[Mode Digit]], Rdson3*Table1[[#This Row],[Irms Lf]]^2, Rdson1*Table1[[#This Row],[Irms Lf]]^2, 0)</f>
        <v>0.61176293101169399</v>
      </c>
      <c r="AZ124" s="354">
        <f>CHOOSE(Table1[[#This Row],[Mode Digit]], 2*Deadtime*Fsw*IF(VfdSky_Q2&gt;0,VfdSky_Q2,0)*Table1[[#This Row],[Iout]], 2*Deadtime*Fsw*IF(VfdSky_Q3&gt;0,VfdSky_Q3,0)*Table1[[#This Row],[Iin]], 2*Deadtime*Fsw*IF(VfdSky_Q2&gt;0,VfdSky_Q2,0)*Table1[[#This Row],[Iout]]+2*Deadtime*Fsw*IF(VfdSky_Q3&gt;0,VfdSky_Q3,0)*Table1[[#This Row],[Iin]])</f>
        <v>0</v>
      </c>
      <c r="BA124" s="354">
        <f>CHOOSE(Table1[[#This Row],[Mode Digit]], IF(QrrSky_Q2&gt;0,QrrSky_Q2,Qrr_Q2)*Fsw*(Table1[[#This Row],[Vin]]-Table1[[#This Row],[Iout]]*Rdson1),0,  IF(QrrSky_Q2&gt;0,QrrSky_Q2,Qrr_Q2)*Fsw*(Table1[[#This Row],[Vin]]-Table1[[#This Row],[Iout]]*Rdson1)+IF(QrrSky_Q3&gt;0,QrrSky_Q3,Qrr_Q3)*Fsw*Vout)</f>
        <v>0.33599519999999999</v>
      </c>
      <c r="BB124" s="354">
        <f>CHOOSE(Table1[[#This Row],[Mode Digit]],0, IF(QrrSky_Q3&gt;0,QrrSky_Q3,Qrr_Q3)*Fsw*Vout,  IF(QrrSky_Q2&gt;0,QrrSky_Q2,Qrr_Q2)*Fsw*(Table1[[#This Row],[Vin]]-Table1[[#This Row],[Iout]]*Rdson1)+IF(QrrSky_Q3&gt;0,QrrSky_Q3,Qrr_Q3)*Fsw*Vout)</f>
        <v>0</v>
      </c>
      <c r="BC124" s="354">
        <f>CHOOSE(Table1[[#This Row],[Mode Digit]], Rs*Table1[[#This Row],[Irms BuSync]]^2, Rs*Table1[[#This Row],[Irms BoCtlr]]^2, Rs*(Table1[[#This Row],[Irms BuSync]]^2+Table1[[#This Row],[Irms BoCtlr]]^2))</f>
        <v>0.17286494095072491</v>
      </c>
      <c r="BD124" s="354">
        <f t="shared" si="5"/>
        <v>1.44</v>
      </c>
      <c r="BE124" s="354">
        <f>IF(Vout&gt;8, Iq*Vout, Iq*Table1[[#This Row],[Vin]])</f>
        <v>4.3799999999999999E-2</v>
      </c>
      <c r="BF124" s="354">
        <f>CHOOSE(Table1[[#This Row],[Mode Digit]], (Qg_Q1+Qg_Q2)*Fsw, (Qg_Q3+Qg_Q4)*Fsw, (Qg_Q1+Qg_Q2+Qg_Q3+Qg_Q4)*Fsw)*IF(Vout&gt;8, Vout, Table1[[#This Row],[Vin]])</f>
        <v>0.47303999999999996</v>
      </c>
      <c r="BG124" s="354">
        <f t="shared" si="6"/>
        <v>0.57269042016806726</v>
      </c>
      <c r="BH124" s="354">
        <f>Table1[[#This Row],[IQ Loss]]+Table1[[#This Row],[Switching Current Loss]]</f>
        <v>0.51683999999999997</v>
      </c>
      <c r="BI12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10.075000783368631</v>
      </c>
      <c r="BJ124">
        <f>Vout*Table1[[#This Row],[Iout]]</f>
        <v>175.2</v>
      </c>
      <c r="BK124" s="550">
        <f>Table1[[#This Row],[Pout]]/(Table1[[#This Row],[Pout]]+Table1[[#This Row],[Total Loss]])</f>
        <v>0.94562136963556809</v>
      </c>
      <c r="BL12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237.89970363941961</v>
      </c>
      <c r="BM124" s="559">
        <f>IF(Table1[[#This Row],[Vin]]&gt;Vout, Table1[[#This Row],[Total Sync Bu MOSFET Loss]]*ThetaJA_Q2, ThetaJA_Q3*Table1[[#This Row],[Total Sync Bo MOSFET Loss]])</f>
        <v>55.967992974551521</v>
      </c>
      <c r="BN124" s="9"/>
      <c r="BO124" s="4">
        <f>Table1[[#This Row],[EFF, h]]*100</f>
        <v>94.56213696355681</v>
      </c>
      <c r="BP124" s="354">
        <f>Table1[[#This Row],[Total Inductor Loss]]</f>
        <v>1.9135326847729641</v>
      </c>
      <c r="BQ124" s="354">
        <f>Table1[[#This Row],[Total Control Bu MOSFET Loss]]+Table1[[#This Row],[Total Sync Bu MOSFET Loss]]+Table1[[#This Row],[Total Control Bo MOSFET Loss]]+Table1[[#This Row],[Total Sync Bo MOSFET Loss]]+Table1[[#This Row],[Reverse Recovery Loss MOSFET D BUCK]]+Table1[[#This Row],[Reverse Recovery Loss MOSFET D BOOST]]</f>
        <v>5.9508312794435492</v>
      </c>
      <c r="BR124" s="354">
        <f>Table1[[#This Row],[Total Control Bu MOSFET Loss]]+Table1[[#This Row],[Reverse Recovery Loss MOSFET D BUCK]]*0.66</f>
        <v>4.1867518926569938</v>
      </c>
      <c r="BS124" s="354">
        <f>Table1[[#This Row],[Total Sync Bu MOSFET Loss]]+Table1[[#This Row],[Reverse Recovery Loss MOSFET D BUCK]]*0.33</f>
        <v>1.0436782989091919</v>
      </c>
      <c r="BT124" s="354">
        <f xml:space="preserve"> Table1[[#This Row],[Total Control Bo MOSFET Loss]]+Table1[[#This Row],[Reverse Recovery Loss MOSFET D BOOST]]*0.66</f>
        <v>0</v>
      </c>
      <c r="BU124" s="354">
        <f xml:space="preserve"> Table1[[#This Row],[Total Sync Bo MOSFET Loss]]+Table1[[#This Row],[Reverse Recovery Loss MOSFET D BOOST]]*0.33</f>
        <v>0.71704113587736373</v>
      </c>
      <c r="BV124" s="354">
        <f>Table1[[#This Row],[Isense Shunt Loss]]</f>
        <v>0.17286494095072491</v>
      </c>
    </row>
    <row r="125" spans="7:74" x14ac:dyDescent="0.2">
      <c r="G125">
        <v>116</v>
      </c>
      <c r="H125" s="555">
        <f>VIN_min+(VIN_max-VIN_min)*(Table1[[#This Row],[Step]]/200)</f>
        <v>28.119999999999997</v>
      </c>
      <c r="I125" s="4" t="str">
        <f>IF(Mode = 2,IF(Table1[[#This Row],[Vin]]&gt;Vout, "BUCK","BOOST"),IF(Table1[[#This Row],[Vin]]&gt;VIN_BB_to_buck, "BUCK", IF(Table1[[#This Row],[Vin]]&lt;=VIN_boost_to_BB,"BOOST","BUCK-BST")))</f>
        <v>BUCK</v>
      </c>
      <c r="J125">
        <f>IF(Table1[[#This Row],[Mode]]="BOOST",2, IF(Table1[[#This Row],[Mode]]="BUCK", 1,3))</f>
        <v>1</v>
      </c>
      <c r="K125">
        <f t="shared" si="4"/>
        <v>12</v>
      </c>
      <c r="L125" s="4">
        <f>Vout*Table1[[#This Row],[Iout]]/(Table1[[#This Row],[Vin]]*Efficiency)</f>
        <v>6.5583589129295508</v>
      </c>
      <c r="M125" s="711">
        <f>MIN(1/Fsw,CHOOSE(Table1[[#This Row],[Mode Digit]],(Vout+(Rdson2+Rs+Rdcr)*Table1[[#This Row],[Iout]])/(Table1[[#This Row],[Vin]]+(Rs+Rdson2-Rdson1)*Table1[[#This Row],[Iout]])/Fsw,(Vout+(Rdson3+Rdcr)*Table1[[#This Row],[Iin]]-Table1[[#This Row],[Vin]])/(Vout+(Rdson3-Rdson4-Rs)*Table1[[#This Row],[Iin]])/Fsw,t1_Ph_II))</f>
        <v>8.7329780935464789E-7</v>
      </c>
      <c r="N125" s="602">
        <f>CHOOSE(Table1[[#This Row],[Mode Digit]],1/Fsw-Table1[[#This Row],[t1_Ph_II]],1/Fsw-Table1[[#This Row],[t1_Ph_II]],(Vout/Fsw-Table1[[#This Row],[Vin]]*t1_Ph_II)/(Table1[[#This Row],[Vin]]+Vout))</f>
        <v>7.9336885731201877E-7</v>
      </c>
      <c r="O125" s="602">
        <f>1/Fsw-(Table1[[#This Row],[t1_Ph_II]]+Table1[[#This Row],[t2_Ph_I]])</f>
        <v>0</v>
      </c>
      <c r="P12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9.7638283366524927</v>
      </c>
      <c r="Q125" s="4">
        <f>CHOOSE(Table1[[#This Row],[Mode Digit]],Table1[[#This Row],[I_0]]+1/Lf*(Table1[[#This Row],[Vin]]-Vout)*Table1[[#This Row],[t1_Ph_II]],Table1[[#This Row],[I_0]]+1/Lf*Table1[[#This Row],[Vin]]*Table1[[#This Row],[t1_Ph_II]],Table1[[#This Row],[I_0]]+(Table1[[#This Row],[Vin]]-Vout)/L*Table1[[#This Row],[t1_Ph_II]])</f>
        <v>14.236171663347506</v>
      </c>
      <c r="R125" s="4">
        <f>CHOOSE(Table1[[#This Row],[Mode Digit]],0,0,Table1[[#This Row],[I_1]]+Table1[[#This Row],[Vin]]/L*Table1[[#This Row],[t2_Ph_I]])</f>
        <v>0</v>
      </c>
      <c r="S125" s="4">
        <f>Fsw*(Table1[[#This Row],[I_0]]*Table1[[#This Row],[t1_Ph_II]]+Table1[[#This Row],[I_1]]*Table1[[#This Row],[t2_Ph_I]]+Table1[[#This Row],[I_2]]*Table1[[#This Row],[t3_Ph_III]])</f>
        <v>11.892759085416726</v>
      </c>
      <c r="T125" s="354">
        <f>MIN(1,CHOOSE(Table1[[#This Row],[Mode Digit]],(Vout+(Rdson2+Rs+Rdcr)*Table1[[#This Row],[Iout]])/(Table1[[#This Row],[Vin]]+(Rs+Rdson2-Rdson1)*Table1[[#This Row],[Iout]]),1,Fsw*Table1[[#This Row],[t2_Ph_I]]+Table1[[#This Row],[t1_Ph_II]]))</f>
        <v>0.52397868561278871</v>
      </c>
      <c r="U125" s="354">
        <f>MIN(1,CHOOSE(Table1[[#This Row],[Mode Digit]],0,(Vout+(Rdson3+Rdcr)*Table1[[#This Row],[Iin]]-Table1[[#This Row],[Vin]])/(Vout+(Rdson3-Rdson4-Rs)*Table1[[#This Row],[Iin]]),Fsw*Table1[[#This Row],[t1_Ph_II]]+Table1[[#This Row],[t3_Ph_III]]))</f>
        <v>0</v>
      </c>
      <c r="V125" s="4">
        <f>MAX(Table1[[#This Row],[I_0]:[I_2]])-MIN(Table1[[#This Row],[I_0]:[I_1]])</f>
        <v>4.4723433266950128</v>
      </c>
      <c r="W12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12.069251063590736</v>
      </c>
      <c r="X125" s="354">
        <f>(Table1[[#This Row],[Irms Lf]]^2*Rdcr*(1+Ltc*Ta-Ltc*25))/(1-Table1[[#This Row],[Irms Lf]]^2*Rdcr*Ltc*ThetaCa)</f>
        <v>0.90611107139681746</v>
      </c>
      <c r="Y125" s="354">
        <f>ABS(7.759*10^-3*Fsw^0.9458*(0.00787*Table1[[#This Row],[Ripple Current pk-pk]])^2.304)</f>
        <v>1.0137711782729055</v>
      </c>
      <c r="Z125" s="354">
        <f>Table1[[#This Row],[DCR    Loss]]+Table1[[#This Row],[Core Loss]]</f>
        <v>1.919882249669723</v>
      </c>
      <c r="AA125" s="4">
        <f>IF(Table1[[#This Row],[Vin]]&gt;Vout, Table1[[#This Row],[Ripple Current pk-pk]]/SQRT(12), SQRT(Table1[[#This Row],[Duty Cycle BOOST Leg]]/(1-Table1[[#This Row],[Duty Cycle BOOST Leg]]))*SQRT(Table1[[#This Row],[Iout]]^2+(Table1[[#This Row],[Ripple Current pk-pk]]^2)/12))</f>
        <v>1.2910543117878961</v>
      </c>
      <c r="AB125" s="354">
        <f>RCoutEsr*Table1[[#This Row],[Irms Cout]]^2</f>
        <v>8.3341061799305904E-3</v>
      </c>
      <c r="AC125" s="354">
        <f>Table1[[#This Row],[Cout ESR Loss]]</f>
        <v>8.3341061799305904E-3</v>
      </c>
      <c r="AD125" s="354">
        <f>IF(Table1[[#This Row],[Vin]]&gt;Vout, SQRT(Table1[[#This Row],[Duty Cycle BUCK Leg]]*(1-Table1[[#This Row],[Duty Cycle BUCK Leg]]))*SQRT(Table1[[#This Row],[Iout]]^2+(Table1[[#This Row],[Ripple Current pk-pk]]^2)/12), Table1[[#This Row],[Ripple Current pk-pk]]/SQRT(12))</f>
        <v>6.0276819909598105</v>
      </c>
      <c r="AE125" s="354">
        <f>RCinEsr*Table1[[#This Row],[Irms Cin]]^2</f>
        <v>7.2665900368282452E-2</v>
      </c>
      <c r="AF125" s="549">
        <f>Table1[[#This Row],[Cin ESR Loss]]</f>
        <v>7.2665900368282452E-2</v>
      </c>
      <c r="AG12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8.7364929765109451</v>
      </c>
      <c r="AH125" s="354">
        <f>Rdson1*Table1[[#This Row],[Irms BuCtrl]]^2</f>
        <v>0.32057050002022536</v>
      </c>
      <c r="AI125" s="354">
        <f>CHOOSE(Table1[[#This Row],[Mode Digit]], (Table1[[#This Row],[Vin]]*Table1[[#This Row],[Iout]]/2)*(Fsw)*(Tr_buck+Tf_buck), 0, (Table1[[#This Row],[Vin]]*Table1[[#This Row],[Avg IL]]/2)*(Fsw/1)*(Tr_buck+Tf_buck))</f>
        <v>3.3461788611840775</v>
      </c>
      <c r="AJ125">
        <f>IF(Table1[[#This Row],[Vin]]&gt;Vout, IF(Table1[[#This Row],[Iout]]&gt;Table1[[#This Row],[Ripple Current pk-pk]]/2,0,ABS(Table1[[#This Row],[Iout]]-Table1[[#This Row],[Ripple Current pk-pk]]/2)*Vsd_Q1*Deadtime*Fsw),0)</f>
        <v>0</v>
      </c>
      <c r="AK125" s="354">
        <f>(Table1[[#This Row],[Dead Time Loss BuCtrl]]+Table1[[#This Row],[Transition Loss BuCtrl]]+Table1[[#This Row],[RDS(on) Loss BuCtrl]]*(1+RdsonTopTc*Ta-RdsonTopTc*25))/(1-Table1[[#This Row],[RDS(on) Loss BuCtrl]]*RdsonTopTc*ThetaJA_Q1)</f>
        <v>3.9723713803216838</v>
      </c>
      <c r="AL125" s="354">
        <f>CHOOSE(Table1[[#This Row],[Mode Digit]],SQRT((Fsw*(Table1[[#This Row],[t2_Ph_I]]+0))*((Table1[[#This Row],[I_0]]*Table1[[#This Row],[I_1]]+((Table1[[#This Row],[I_0]]-Table1[[#This Row],[I_1]])^2)/3))),0,SQRT((Fsw*(Table1[[#This Row],[t3_Ph_III]]+0))*((Table1[[#This Row],[I_0]]*Table1[[#This Row],[I_2]]+((Table1[[#This Row],[I_0]]-Table1[[#This Row],[I_2]])^2)/3))))</f>
        <v>8.3270950341257084</v>
      </c>
      <c r="AM125" s="354">
        <f>Rdson2*Table1[[#This Row],[Irms BuSync]]^2</f>
        <v>0.29123014917091639</v>
      </c>
      <c r="AN12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5" s="354">
        <f>(Table1[[#This Row],[Deadtime Loss BuSync]]+Table1[[#This Row],[RDS(on) Loss BuSync]]*(1+RdsonBotTc*Ta-RdsonBotTc*25))/(1-Table1[[#This Row],[RDS(on) Loss BuSync]]*RdsonBotTc*ThetaJA_Q2)</f>
        <v>0.933874990405406</v>
      </c>
      <c r="AP125" s="354">
        <f>CHOOSE(Table1[[#This Row],[Mode Digit]],0,SQRT((Fsw*(Table1[[#This Row],[t1_Ph_II]]+0))*((Table1[[#This Row],[I_0]]*Table1[[#This Row],[I_1]]+((Table1[[#This Row],[I_0]]-Table1[[#This Row],[I_1]])^2)/3))),SQRT((Fsw*(Table1[[#This Row],[t2_Ph_I]]+0))*((Table1[[#This Row],[I_1]]*Table1[[#This Row],[I_2]]+((Table1[[#This Row],[I_1]]-Table1[[#This Row],[I_2]])^2)/3))))</f>
        <v>0</v>
      </c>
      <c r="AQ125" s="354">
        <f>Rdson4*Table1[[#This Row],[Irms BoCtlr]]^2</f>
        <v>0</v>
      </c>
      <c r="AR125" s="354">
        <f>CHOOSE(Table1[[#This Row],[Mode Digit]], 0, (Vout*Table1[[#This Row],[Iin]]/2)*(Fsw)*(Tr_boost+Tf_boost), (Vout*Iout/2)*(Fsw/1)*(Tr_boost+Tf_boost))</f>
        <v>0</v>
      </c>
      <c r="AS125">
        <f>IF(Table1[[#This Row],[Vin]]&gt;Vout, 0, IF(Table1[[#This Row],[Iin]]&gt;Table1[[#This Row],[Ripple Current pk-pk]]/2,0,ABS(Table1[[#This Row],[Iin]]-Table1[[#This Row],[Ripple Current pk-pk]]/2)*Vsd_Q4*Deadtime*Fsw))</f>
        <v>0</v>
      </c>
      <c r="AT125" s="354">
        <f>(Table1[[#This Row],[Dead Time Loss BoCtlr]]+Table1[[#This Row],[Transition Loss BoCtlr]]+Table1[[#This Row],[RDS(on) Loss BoCtlr]]*(1+RdsonTopTc*Ta-RdsonTopTc*25))/(1-Table1[[#This Row],[RDS(on) Loss BoCtlr]]*RdsonTopTc*ThetaJA_Q4)</f>
        <v>0</v>
      </c>
      <c r="AU12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12.069251063590736</v>
      </c>
      <c r="AV125" s="354">
        <f>Rdson3*Table1[[#This Row],[Irms BoSync]]^2</f>
        <v>0.61180064919114174</v>
      </c>
      <c r="AW12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5" s="354">
        <f>(Table1[[#This Row],[Deadtime Loss BoSync]]+Table1[[#This Row],[RDS(on) Loss BoSync]]*(1+RdsonBotTc*Ta-RdsonBotTc*25))/(1-Table1[[#This Row],[RDS(on) Loss BoSync]]*RdsonBotTc*ThetaJA_Q3)</f>
        <v>0.71709295346102542</v>
      </c>
      <c r="AY125" s="354">
        <f>CHOOSE(Table1[[#This Row],[Mode Digit]], Rdson3*Table1[[#This Row],[Irms Lf]]^2, Rdson1*Table1[[#This Row],[Irms Lf]]^2, 0)</f>
        <v>0.61180064919114174</v>
      </c>
      <c r="AZ125" s="354">
        <f>CHOOSE(Table1[[#This Row],[Mode Digit]], 2*Deadtime*Fsw*IF(VfdSky_Q2&gt;0,VfdSky_Q2,0)*Table1[[#This Row],[Iout]], 2*Deadtime*Fsw*IF(VfdSky_Q3&gt;0,VfdSky_Q3,0)*Table1[[#This Row],[Iin]], 2*Deadtime*Fsw*IF(VfdSky_Q2&gt;0,VfdSky_Q2,0)*Table1[[#This Row],[Iout]]+2*Deadtime*Fsw*IF(VfdSky_Q3&gt;0,VfdSky_Q3,0)*Table1[[#This Row],[Iin]])</f>
        <v>0</v>
      </c>
      <c r="BA125" s="354">
        <f>CHOOSE(Table1[[#This Row],[Mode Digit]], IF(QrrSky_Q2&gt;0,QrrSky_Q2,Qrr_Q2)*Fsw*(Table1[[#This Row],[Vin]]-Table1[[#This Row],[Iout]]*Rdson1),0,  IF(QrrSky_Q2&gt;0,QrrSky_Q2,Qrr_Q2)*Fsw*(Table1[[#This Row],[Vin]]-Table1[[#This Row],[Iout]]*Rdson1)+IF(QrrSky_Q3&gt;0,QrrSky_Q3,Qrr_Q3)*Fsw*Vout)</f>
        <v>0.3368352</v>
      </c>
      <c r="BB125" s="354">
        <f>CHOOSE(Table1[[#This Row],[Mode Digit]],0, IF(QrrSky_Q3&gt;0,QrrSky_Q3,Qrr_Q3)*Fsw*Vout,  IF(QrrSky_Q2&gt;0,QrrSky_Q2,Qrr_Q2)*Fsw*(Table1[[#This Row],[Vin]]-Table1[[#This Row],[Iout]]*Rdson1)+IF(QrrSky_Q3&gt;0,QrrSky_Q3,Qrr_Q3)*Fsw*Vout)</f>
        <v>0</v>
      </c>
      <c r="BC125" s="354">
        <f>CHOOSE(Table1[[#This Row],[Mode Digit]], Rs*Table1[[#This Row],[Irms BuSync]]^2, Rs*Table1[[#This Row],[Irms BoCtlr]]^2, Rs*(Table1[[#This Row],[Irms BuSync]]^2+Table1[[#This Row],[Irms BoCtlr]]^2))</f>
        <v>0.17335127926840257</v>
      </c>
      <c r="BD125" s="354">
        <f t="shared" si="5"/>
        <v>1.44</v>
      </c>
      <c r="BE125" s="354">
        <f>IF(Vout&gt;8, Iq*Vout, Iq*Table1[[#This Row],[Vin]])</f>
        <v>4.3799999999999999E-2</v>
      </c>
      <c r="BF125" s="354">
        <f>CHOOSE(Table1[[#This Row],[Mode Digit]], (Qg_Q1+Qg_Q2)*Fsw, (Qg_Q3+Qg_Q4)*Fsw, (Qg_Q1+Qg_Q2+Qg_Q3+Qg_Q4)*Fsw)*IF(Vout&gt;8, Vout, Table1[[#This Row],[Vin]])</f>
        <v>0.47303999999999996</v>
      </c>
      <c r="BG125" s="354">
        <f t="shared" si="6"/>
        <v>0.57269042016806726</v>
      </c>
      <c r="BH125" s="354">
        <f>Table1[[#This Row],[IQ Loss]]+Table1[[#This Row],[Switching Current Loss]]</f>
        <v>0.51683999999999997</v>
      </c>
      <c r="BI12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10.091248059674454</v>
      </c>
      <c r="BJ125">
        <f>Vout*Table1[[#This Row],[Iout]]</f>
        <v>175.2</v>
      </c>
      <c r="BK125" s="550">
        <f>Table1[[#This Row],[Pout]]/(Table1[[#This Row],[Pout]]+Table1[[#This Row],[Total Loss]])</f>
        <v>0.94553845275830573</v>
      </c>
      <c r="BL12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238.34228281930103</v>
      </c>
      <c r="BM125" s="559">
        <f>IF(Table1[[#This Row],[Vin]]&gt;Vout, Table1[[#This Row],[Total Sync Bu MOSFET Loss]]*ThetaJA_Q2, ThetaJA_Q3*Table1[[#This Row],[Total Sync Bo MOSFET Loss]])</f>
        <v>56.032499424324357</v>
      </c>
      <c r="BN125" s="9"/>
      <c r="BO125" s="4">
        <f>Table1[[#This Row],[EFF, h]]*100</f>
        <v>94.553845275830568</v>
      </c>
      <c r="BP125" s="354">
        <f>Table1[[#This Row],[Total Inductor Loss]]</f>
        <v>1.919882249669723</v>
      </c>
      <c r="BQ125" s="354">
        <f>Table1[[#This Row],[Total Control Bu MOSFET Loss]]+Table1[[#This Row],[Total Sync Bu MOSFET Loss]]+Table1[[#This Row],[Total Control Bo MOSFET Loss]]+Table1[[#This Row],[Total Sync Bo MOSFET Loss]]+Table1[[#This Row],[Reverse Recovery Loss MOSFET D BUCK]]+Table1[[#This Row],[Reverse Recovery Loss MOSFET D BOOST]]</f>
        <v>5.9601745241881154</v>
      </c>
      <c r="BR125" s="354">
        <f>Table1[[#This Row],[Total Control Bu MOSFET Loss]]+Table1[[#This Row],[Reverse Recovery Loss MOSFET D BUCK]]*0.66</f>
        <v>4.1946826123216834</v>
      </c>
      <c r="BS125" s="354">
        <f>Table1[[#This Row],[Total Sync Bu MOSFET Loss]]+Table1[[#This Row],[Reverse Recovery Loss MOSFET D BUCK]]*0.33</f>
        <v>1.045030606405406</v>
      </c>
      <c r="BT125" s="354">
        <f xml:space="preserve"> Table1[[#This Row],[Total Control Bo MOSFET Loss]]+Table1[[#This Row],[Reverse Recovery Loss MOSFET D BOOST]]*0.66</f>
        <v>0</v>
      </c>
      <c r="BU125" s="354">
        <f xml:space="preserve"> Table1[[#This Row],[Total Sync Bo MOSFET Loss]]+Table1[[#This Row],[Reverse Recovery Loss MOSFET D BOOST]]*0.33</f>
        <v>0.71709295346102542</v>
      </c>
      <c r="BV125" s="354">
        <f>Table1[[#This Row],[Isense Shunt Loss]]</f>
        <v>0.17335127926840257</v>
      </c>
    </row>
    <row r="126" spans="7:74" x14ac:dyDescent="0.2">
      <c r="G126">
        <v>117</v>
      </c>
      <c r="H126" s="555">
        <f>VIN_min+(VIN_max-VIN_min)*(Table1[[#This Row],[Step]]/200)</f>
        <v>28.189999999999998</v>
      </c>
      <c r="I126" s="4" t="str">
        <f>IF(Mode = 2,IF(Table1[[#This Row],[Vin]]&gt;Vout, "BUCK","BOOST"),IF(Table1[[#This Row],[Vin]]&gt;VIN_BB_to_buck, "BUCK", IF(Table1[[#This Row],[Vin]]&lt;=VIN_boost_to_BB,"BOOST","BUCK-BST")))</f>
        <v>BUCK</v>
      </c>
      <c r="J126">
        <f>IF(Table1[[#This Row],[Mode]]="BOOST",2, IF(Table1[[#This Row],[Mode]]="BUCK", 1,3))</f>
        <v>1</v>
      </c>
      <c r="K126">
        <f t="shared" si="4"/>
        <v>12</v>
      </c>
      <c r="L126" s="4">
        <f>Vout*Table1[[#This Row],[Iout]]/(Table1[[#This Row],[Vin]]*Efficiency)</f>
        <v>6.5420735236459366</v>
      </c>
      <c r="M126" s="711">
        <f>MIN(1/Fsw,CHOOSE(Table1[[#This Row],[Mode Digit]],(Vout+(Rdson2+Rs+Rdcr)*Table1[[#This Row],[Iout]])/(Table1[[#This Row],[Vin]]+(Rs+Rdson2-Rdson1)*Table1[[#This Row],[Iout]])/Fsw,(Vout+(Rdson3+Rdcr)*Table1[[#This Row],[Iin]]-Table1[[#This Row],[Vin]])/(Vout+(Rdson3-Rdson4-Rs)*Table1[[#This Row],[Iin]])/Fsw,t1_Ph_II))</f>
        <v>8.7113158516418614E-7</v>
      </c>
      <c r="N126" s="602">
        <f>CHOOSE(Table1[[#This Row],[Mode Digit]],1/Fsw-Table1[[#This Row],[t1_Ph_II]],1/Fsw-Table1[[#This Row],[t1_Ph_II]],(Vout/Fsw-Table1[[#This Row],[Vin]]*t1_Ph_II)/(Table1[[#This Row],[Vin]]+Vout))</f>
        <v>7.9553508150248052E-7</v>
      </c>
      <c r="O126" s="602">
        <f>1/Fsw-(Table1[[#This Row],[t1_Ph_II]]+Table1[[#This Row],[t2_Ph_I]])</f>
        <v>0</v>
      </c>
      <c r="P12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9.7578260904580887</v>
      </c>
      <c r="Q126" s="4">
        <f>CHOOSE(Table1[[#This Row],[Mode Digit]],Table1[[#This Row],[I_0]]+1/Lf*(Table1[[#This Row],[Vin]]-Vout)*Table1[[#This Row],[t1_Ph_II]],Table1[[#This Row],[I_0]]+1/Lf*Table1[[#This Row],[Vin]]*Table1[[#This Row],[t1_Ph_II]],Table1[[#This Row],[I_0]]+(Table1[[#This Row],[Vin]]-Vout)/L*Table1[[#This Row],[t1_Ph_II]])</f>
        <v>14.24217390954191</v>
      </c>
      <c r="R126" s="4">
        <f>CHOOSE(Table1[[#This Row],[Mode Digit]],0,0,Table1[[#This Row],[I_1]]+Table1[[#This Row],[Vin]]/L*Table1[[#This Row],[t2_Ph_I]])</f>
        <v>0</v>
      </c>
      <c r="S126" s="4">
        <f>Fsw*(Table1[[#This Row],[I_0]]*Table1[[#This Row],[t1_Ph_II]]+Table1[[#This Row],[I_1]]*Table1[[#This Row],[t2_Ph_I]]+Table1[[#This Row],[I_2]]*Table1[[#This Row],[t3_Ph_III]])</f>
        <v>11.898299695102279</v>
      </c>
      <c r="T126" s="354">
        <f>MIN(1,CHOOSE(Table1[[#This Row],[Mode Digit]],(Vout+(Rdson2+Rs+Rdcr)*Table1[[#This Row],[Iout]])/(Table1[[#This Row],[Vin]]+(Rs+Rdson2-Rdson1)*Table1[[#This Row],[Iout]]),1,Fsw*Table1[[#This Row],[t2_Ph_I]]+Table1[[#This Row],[t1_Ph_II]]))</f>
        <v>0.5226789510985117</v>
      </c>
      <c r="U126" s="354">
        <f>MIN(1,CHOOSE(Table1[[#This Row],[Mode Digit]],0,(Vout+(Rdson3+Rdcr)*Table1[[#This Row],[Iin]]-Table1[[#This Row],[Vin]])/(Vout+(Rdson3-Rdson4-Rs)*Table1[[#This Row],[Iin]]),Fsw*Table1[[#This Row],[t1_Ph_II]]+Table1[[#This Row],[t3_Ph_III]]))</f>
        <v>0</v>
      </c>
      <c r="V126" s="4">
        <f>MAX(Table1[[#This Row],[I_0]:[I_2]])-MIN(Table1[[#This Row],[I_0]:[I_1]])</f>
        <v>4.4843478190838209</v>
      </c>
      <c r="W12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12.069622250932717</v>
      </c>
      <c r="X126" s="354">
        <f>(Table1[[#This Row],[Irms Lf]]^2*Rdcr*(1+Ltc*Ta-Ltc*25))/(1-Table1[[#This Row],[Irms Lf]]^2*Rdcr*Ltc*ThetaCa)</f>
        <v>0.9061708472362634</v>
      </c>
      <c r="Y126" s="354">
        <f>ABS(7.759*10^-3*Fsw^0.9458*(0.00787*Table1[[#This Row],[Ripple Current pk-pk]])^2.304)</f>
        <v>1.0200516269220687</v>
      </c>
      <c r="Z126" s="354">
        <f>Table1[[#This Row],[DCR    Loss]]+Table1[[#This Row],[Core Loss]]</f>
        <v>1.9262224741583323</v>
      </c>
      <c r="AA126" s="4">
        <f>IF(Table1[[#This Row],[Vin]]&gt;Vout, Table1[[#This Row],[Ripple Current pk-pk]]/SQRT(12), SQRT(Table1[[#This Row],[Duty Cycle BOOST Leg]]/(1-Table1[[#This Row],[Duty Cycle BOOST Leg]]))*SQRT(Table1[[#This Row],[Iout]]^2+(Table1[[#This Row],[Ripple Current pk-pk]]^2)/12))</f>
        <v>1.2945197102439776</v>
      </c>
      <c r="AB126" s="354">
        <f>RCoutEsr*Table1[[#This Row],[Irms Cout]]^2</f>
        <v>8.3789064010507588E-3</v>
      </c>
      <c r="AC126" s="354">
        <f>Table1[[#This Row],[Cout ESR Loss]]</f>
        <v>8.3789064010507588E-3</v>
      </c>
      <c r="AD126" s="354">
        <f>IF(Table1[[#This Row],[Vin]]&gt;Vout, SQRT(Table1[[#This Row],[Duty Cycle BUCK Leg]]*(1-Table1[[#This Row],[Duty Cycle BUCK Leg]]))*SQRT(Table1[[#This Row],[Iout]]^2+(Table1[[#This Row],[Ripple Current pk-pk]]^2)/12), Table1[[#This Row],[Ripple Current pk-pk]]/SQRT(12))</f>
        <v>6.0286001022528257</v>
      </c>
      <c r="AE126" s="354">
        <f>RCinEsr*Table1[[#This Row],[Irms Cin]]^2</f>
        <v>7.2688038385765569E-2</v>
      </c>
      <c r="AF126" s="549">
        <f>Table1[[#This Row],[Cin ESR Loss]]</f>
        <v>7.2688038385765569E-2</v>
      </c>
      <c r="AG12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8.7259191240806508</v>
      </c>
      <c r="AH126" s="354">
        <f>Rdson1*Table1[[#This Row],[Irms BuCtrl]]^2</f>
        <v>0.31979499115198506</v>
      </c>
      <c r="AI126" s="354">
        <f>CHOOSE(Table1[[#This Row],[Mode Digit]], (Table1[[#This Row],[Vin]]*Table1[[#This Row],[Iout]]/2)*(Fsw)*(Tr_buck+Tf_buck), 0, (Table1[[#This Row],[Vin]]*Table1[[#This Row],[Avg IL]]/2)*(Fsw/1)*(Tr_buck+Tf_buck))</f>
        <v>3.3545086094160439</v>
      </c>
      <c r="AJ126">
        <f>IF(Table1[[#This Row],[Vin]]&gt;Vout, IF(Table1[[#This Row],[Iout]]&gt;Table1[[#This Row],[Ripple Current pk-pk]]/2,0,ABS(Table1[[#This Row],[Iout]]-Table1[[#This Row],[Ripple Current pk-pk]]/2)*Vsd_Q1*Deadtime*Fsw),0)</f>
        <v>0</v>
      </c>
      <c r="AK126" s="354">
        <f>(Table1[[#This Row],[Dead Time Loss BuCtrl]]+Table1[[#This Row],[Transition Loss BuCtrl]]+Table1[[#This Row],[RDS(on) Loss BuCtrl]]*(1+RdsonTopTc*Ta-RdsonTopTc*25))/(1-Table1[[#This Row],[RDS(on) Loss BuCtrl]]*RdsonTopTc*ThetaJA_Q1)</f>
        <v>3.9797528035950966</v>
      </c>
      <c r="AL126" s="354">
        <f>CHOOSE(Table1[[#This Row],[Mode Digit]],SQRT((Fsw*(Table1[[#This Row],[t2_Ph_I]]+0))*((Table1[[#This Row],[I_0]]*Table1[[#This Row],[I_1]]+((Table1[[#This Row],[I_0]]-Table1[[#This Row],[I_1]])^2)/3))),0,SQRT((Fsw*(Table1[[#This Row],[t3_Ph_III]]+0))*((Table1[[#This Row],[I_0]]*Table1[[#This Row],[I_2]]+((Table1[[#This Row],[I_0]]-Table1[[#This Row],[I_2]])^2)/3))))</f>
        <v>8.3387119341187041</v>
      </c>
      <c r="AM126" s="354">
        <f>Rdson2*Table1[[#This Row],[Irms BuSync]]^2</f>
        <v>0.29204329022489761</v>
      </c>
      <c r="AN12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6" s="354">
        <f>(Table1[[#This Row],[Deadtime Loss BuSync]]+Table1[[#This Row],[RDS(on) Loss BuSync]]*(1+RdsonBotTc*Ta-RdsonBotTc*25))/(1-Table1[[#This Row],[RDS(on) Loss BuSync]]*RdsonBotTc*ThetaJA_Q2)</f>
        <v>0.93494540665389192</v>
      </c>
      <c r="AP126" s="354">
        <f>CHOOSE(Table1[[#This Row],[Mode Digit]],0,SQRT((Fsw*(Table1[[#This Row],[t1_Ph_II]]+0))*((Table1[[#This Row],[I_0]]*Table1[[#This Row],[I_1]]+((Table1[[#This Row],[I_0]]-Table1[[#This Row],[I_1]])^2)/3))),SQRT((Fsw*(Table1[[#This Row],[t2_Ph_I]]+0))*((Table1[[#This Row],[I_1]]*Table1[[#This Row],[I_2]]+((Table1[[#This Row],[I_1]]-Table1[[#This Row],[I_2]])^2)/3))))</f>
        <v>0</v>
      </c>
      <c r="AQ126" s="354">
        <f>Rdson4*Table1[[#This Row],[Irms BoCtlr]]^2</f>
        <v>0</v>
      </c>
      <c r="AR126" s="354">
        <f>CHOOSE(Table1[[#This Row],[Mode Digit]], 0, (Vout*Table1[[#This Row],[Iin]]/2)*(Fsw)*(Tr_boost+Tf_boost), (Vout*Iout/2)*(Fsw/1)*(Tr_boost+Tf_boost))</f>
        <v>0</v>
      </c>
      <c r="AS126">
        <f>IF(Table1[[#This Row],[Vin]]&gt;Vout, 0, IF(Table1[[#This Row],[Iin]]&gt;Table1[[#This Row],[Ripple Current pk-pk]]/2,0,ABS(Table1[[#This Row],[Iin]]-Table1[[#This Row],[Ripple Current pk-pk]]/2)*Vsd_Q4*Deadtime*Fsw))</f>
        <v>0</v>
      </c>
      <c r="AT126" s="354">
        <f>(Table1[[#This Row],[Dead Time Loss BoCtlr]]+Table1[[#This Row],[Transition Loss BoCtlr]]+Table1[[#This Row],[RDS(on) Loss BoCtlr]]*(1+RdsonTopTc*Ta-RdsonTopTc*25))/(1-Table1[[#This Row],[RDS(on) Loss BoCtlr]]*RdsonTopTc*ThetaJA_Q4)</f>
        <v>0</v>
      </c>
      <c r="AU12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12.069622250932717</v>
      </c>
      <c r="AV126" s="354">
        <f>Rdson3*Table1[[#This Row],[Irms BoSync]]^2</f>
        <v>0.61183828137688268</v>
      </c>
      <c r="AW12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6" s="354">
        <f>(Table1[[#This Row],[Deadtime Loss BoSync]]+Table1[[#This Row],[RDS(on) Loss BoSync]]*(1+RdsonBotTc*Ta-RdsonBotTc*25))/(1-Table1[[#This Row],[RDS(on) Loss BoSync]]*RdsonBotTc*ThetaJA_Q3)</f>
        <v>0.71714465400159133</v>
      </c>
      <c r="AY126" s="354">
        <f>CHOOSE(Table1[[#This Row],[Mode Digit]], Rdson3*Table1[[#This Row],[Irms Lf]]^2, Rdson1*Table1[[#This Row],[Irms Lf]]^2, 0)</f>
        <v>0.61183828137688268</v>
      </c>
      <c r="AZ126" s="354">
        <f>CHOOSE(Table1[[#This Row],[Mode Digit]], 2*Deadtime*Fsw*IF(VfdSky_Q2&gt;0,VfdSky_Q2,0)*Table1[[#This Row],[Iout]], 2*Deadtime*Fsw*IF(VfdSky_Q3&gt;0,VfdSky_Q3,0)*Table1[[#This Row],[Iin]], 2*Deadtime*Fsw*IF(VfdSky_Q2&gt;0,VfdSky_Q2,0)*Table1[[#This Row],[Iout]]+2*Deadtime*Fsw*IF(VfdSky_Q3&gt;0,VfdSky_Q3,0)*Table1[[#This Row],[Iin]])</f>
        <v>0</v>
      </c>
      <c r="BA126" s="354">
        <f>CHOOSE(Table1[[#This Row],[Mode Digit]], IF(QrrSky_Q2&gt;0,QrrSky_Q2,Qrr_Q2)*Fsw*(Table1[[#This Row],[Vin]]-Table1[[#This Row],[Iout]]*Rdson1),0,  IF(QrrSky_Q2&gt;0,QrrSky_Q2,Qrr_Q2)*Fsw*(Table1[[#This Row],[Vin]]-Table1[[#This Row],[Iout]]*Rdson1)+IF(QrrSky_Q3&gt;0,QrrSky_Q3,Qrr_Q3)*Fsw*Vout)</f>
        <v>0.33767520000000001</v>
      </c>
      <c r="BB126" s="354">
        <f>CHOOSE(Table1[[#This Row],[Mode Digit]],0, IF(QrrSky_Q3&gt;0,QrrSky_Q3,Qrr_Q3)*Fsw*Vout,  IF(QrrSky_Q2&gt;0,QrrSky_Q2,Qrr_Q2)*Fsw*(Table1[[#This Row],[Vin]]-Table1[[#This Row],[Iout]]*Rdson1)+IF(QrrSky_Q3&gt;0,QrrSky_Q3,Qrr_Q3)*Fsw*Vout)</f>
        <v>0</v>
      </c>
      <c r="BC126" s="354">
        <f>CHOOSE(Table1[[#This Row],[Mode Digit]], Rs*Table1[[#This Row],[Irms BuSync]]^2, Rs*Table1[[#This Row],[Irms BoCtlr]]^2, Rs*(Table1[[#This Row],[Irms BuSync]]^2+Table1[[#This Row],[Irms BoCtlr]]^2))</f>
        <v>0.17383529180053425</v>
      </c>
      <c r="BD126" s="354">
        <f t="shared" si="5"/>
        <v>1.44</v>
      </c>
      <c r="BE126" s="354">
        <f>IF(Vout&gt;8, Iq*Vout, Iq*Table1[[#This Row],[Vin]])</f>
        <v>4.3799999999999999E-2</v>
      </c>
      <c r="BF126" s="354">
        <f>CHOOSE(Table1[[#This Row],[Mode Digit]], (Qg_Q1+Qg_Q2)*Fsw, (Qg_Q3+Qg_Q4)*Fsw, (Qg_Q1+Qg_Q2+Qg_Q3+Qg_Q4)*Fsw)*IF(Vout&gt;8, Vout, Table1[[#This Row],[Vin]])</f>
        <v>0.47303999999999996</v>
      </c>
      <c r="BG126" s="354">
        <f t="shared" si="6"/>
        <v>0.57269042016806726</v>
      </c>
      <c r="BH126" s="354">
        <f>Table1[[#This Row],[IQ Loss]]+Table1[[#This Row],[Switching Current Loss]]</f>
        <v>0.51683999999999997</v>
      </c>
      <c r="BI12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10.107482774996262</v>
      </c>
      <c r="BJ126">
        <f>Vout*Table1[[#This Row],[Iout]]</f>
        <v>175.2</v>
      </c>
      <c r="BK126" s="550">
        <f>Table1[[#This Row],[Pout]]/(Table1[[#This Row],[Pout]]+Table1[[#This Row],[Total Loss]])</f>
        <v>0.94545561450819038</v>
      </c>
      <c r="BL12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238.7851682157058</v>
      </c>
      <c r="BM126" s="559">
        <f>IF(Table1[[#This Row],[Vin]]&gt;Vout, Table1[[#This Row],[Total Sync Bu MOSFET Loss]]*ThetaJA_Q2, ThetaJA_Q3*Table1[[#This Row],[Total Sync Bo MOSFET Loss]])</f>
        <v>56.096724399233516</v>
      </c>
      <c r="BN126" s="9"/>
      <c r="BO126" s="4">
        <f>Table1[[#This Row],[EFF, h]]*100</f>
        <v>94.545561450819037</v>
      </c>
      <c r="BP126" s="354">
        <f>Table1[[#This Row],[Total Inductor Loss]]</f>
        <v>1.9262224741583323</v>
      </c>
      <c r="BQ126" s="354">
        <f>Table1[[#This Row],[Total Control Bu MOSFET Loss]]+Table1[[#This Row],[Total Sync Bu MOSFET Loss]]+Table1[[#This Row],[Total Control Bo MOSFET Loss]]+Table1[[#This Row],[Total Sync Bo MOSFET Loss]]+Table1[[#This Row],[Reverse Recovery Loss MOSFET D BUCK]]+Table1[[#This Row],[Reverse Recovery Loss MOSFET D BOOST]]</f>
        <v>5.969518064250579</v>
      </c>
      <c r="BR126" s="354">
        <f>Table1[[#This Row],[Total Control Bu MOSFET Loss]]+Table1[[#This Row],[Reverse Recovery Loss MOSFET D BUCK]]*0.66</f>
        <v>4.2026184355950971</v>
      </c>
      <c r="BS126" s="354">
        <f>Table1[[#This Row],[Total Sync Bu MOSFET Loss]]+Table1[[#This Row],[Reverse Recovery Loss MOSFET D BUCK]]*0.33</f>
        <v>1.046378222653892</v>
      </c>
      <c r="BT126" s="354">
        <f xml:space="preserve"> Table1[[#This Row],[Total Control Bo MOSFET Loss]]+Table1[[#This Row],[Reverse Recovery Loss MOSFET D BOOST]]*0.66</f>
        <v>0</v>
      </c>
      <c r="BU126" s="354">
        <f xml:space="preserve"> Table1[[#This Row],[Total Sync Bo MOSFET Loss]]+Table1[[#This Row],[Reverse Recovery Loss MOSFET D BOOST]]*0.33</f>
        <v>0.71714465400159133</v>
      </c>
      <c r="BV126" s="354">
        <f>Table1[[#This Row],[Isense Shunt Loss]]</f>
        <v>0.17383529180053425</v>
      </c>
    </row>
    <row r="127" spans="7:74" x14ac:dyDescent="0.2">
      <c r="G127">
        <v>118</v>
      </c>
      <c r="H127" s="555">
        <f>VIN_min+(VIN_max-VIN_min)*(Table1[[#This Row],[Step]]/200)</f>
        <v>28.259999999999998</v>
      </c>
      <c r="I127" s="4" t="str">
        <f>IF(Mode = 2,IF(Table1[[#This Row],[Vin]]&gt;Vout, "BUCK","BOOST"),IF(Table1[[#This Row],[Vin]]&gt;VIN_BB_to_buck, "BUCK", IF(Table1[[#This Row],[Vin]]&lt;=VIN_boost_to_BB,"BOOST","BUCK-BST")))</f>
        <v>BUCK</v>
      </c>
      <c r="J127">
        <f>IF(Table1[[#This Row],[Mode]]="BOOST",2, IF(Table1[[#This Row],[Mode]]="BUCK", 1,3))</f>
        <v>1</v>
      </c>
      <c r="K127">
        <f t="shared" si="4"/>
        <v>12</v>
      </c>
      <c r="L127" s="4">
        <f>Vout*Table1[[#This Row],[Iout]]/(Table1[[#This Row],[Vin]]*Efficiency)</f>
        <v>6.5258688121577828</v>
      </c>
      <c r="M127" s="711">
        <f>MIN(1/Fsw,CHOOSE(Table1[[#This Row],[Mode Digit]],(Vout+(Rdson2+Rs+Rdcr)*Table1[[#This Row],[Iout]])/(Table1[[#This Row],[Vin]]+(Rs+Rdson2-Rdson1)*Table1[[#This Row],[Iout]])/Fsw,(Vout+(Rdson3+Rdcr)*Table1[[#This Row],[Iin]]-Table1[[#This Row],[Vin]])/(Vout+(Rdson3-Rdson4-Rs)*Table1[[#This Row],[Iin]])/Fsw,t1_Ph_II))</f>
        <v>8.6897608106515845E-7</v>
      </c>
      <c r="N127" s="602">
        <f>CHOOSE(Table1[[#This Row],[Mode Digit]],1/Fsw-Table1[[#This Row],[t1_Ph_II]],1/Fsw-Table1[[#This Row],[t1_Ph_II]],(Vout/Fsw-Table1[[#This Row],[Vin]]*t1_Ph_II)/(Table1[[#This Row],[Vin]]+Vout))</f>
        <v>7.9769058560150821E-7</v>
      </c>
      <c r="O127" s="602">
        <f>1/Fsw-(Table1[[#This Row],[t1_Ph_II]]+Table1[[#This Row],[t2_Ph_I]])</f>
        <v>0</v>
      </c>
      <c r="P12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9.7518535478503665</v>
      </c>
      <c r="Q127" s="4">
        <f>CHOOSE(Table1[[#This Row],[Mode Digit]],Table1[[#This Row],[I_0]]+1/Lf*(Table1[[#This Row],[Vin]]-Vout)*Table1[[#This Row],[t1_Ph_II]],Table1[[#This Row],[I_0]]+1/Lf*Table1[[#This Row],[Vin]]*Table1[[#This Row],[t1_Ph_II]],Table1[[#This Row],[I_0]]+(Table1[[#This Row],[Vin]]-Vout)/L*Table1[[#This Row],[t1_Ph_II]])</f>
        <v>14.248146452149633</v>
      </c>
      <c r="R127" s="4">
        <f>CHOOSE(Table1[[#This Row],[Mode Digit]],0,0,Table1[[#This Row],[I_1]]+Table1[[#This Row],[Vin]]/L*Table1[[#This Row],[t2_Ph_I]])</f>
        <v>0</v>
      </c>
      <c r="S127" s="4">
        <f>Fsw*(Table1[[#This Row],[I_0]]*Table1[[#This Row],[t1_Ph_II]]+Table1[[#This Row],[I_1]]*Table1[[#This Row],[t2_Ph_I]]+Table1[[#This Row],[I_2]]*Table1[[#This Row],[t3_Ph_III]])</f>
        <v>11.9038438597702</v>
      </c>
      <c r="T127" s="354">
        <f>MIN(1,CHOOSE(Table1[[#This Row],[Mode Digit]],(Vout+(Rdson2+Rs+Rdcr)*Table1[[#This Row],[Iout]])/(Table1[[#This Row],[Vin]]+(Rs+Rdson2-Rdson1)*Table1[[#This Row],[Iout]]),1,Fsw*Table1[[#This Row],[t2_Ph_I]]+Table1[[#This Row],[t1_Ph_II]]))</f>
        <v>0.52138564863909509</v>
      </c>
      <c r="U127" s="354">
        <f>MIN(1,CHOOSE(Table1[[#This Row],[Mode Digit]],0,(Vout+(Rdson3+Rdcr)*Table1[[#This Row],[Iin]]-Table1[[#This Row],[Vin]])/(Vout+(Rdson3-Rdson4-Rs)*Table1[[#This Row],[Iin]]),Fsw*Table1[[#This Row],[t1_Ph_II]]+Table1[[#This Row],[t3_Ph_III]]))</f>
        <v>0</v>
      </c>
      <c r="V127" s="4">
        <f>MAX(Table1[[#This Row],[I_0]:[I_2]])-MIN(Table1[[#This Row],[I_0]:[I_1]])</f>
        <v>4.496292904299267</v>
      </c>
      <c r="W12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12.069992577604912</v>
      </c>
      <c r="X127" s="354">
        <f>(Table1[[#This Row],[Irms Lf]]^2*Rdcr*(1+Ltc*Ta-Ltc*25))/(1-Table1[[#This Row],[Irms Lf]]^2*Rdcr*Ltc*ThetaCa)</f>
        <v>0.90623048683705509</v>
      </c>
      <c r="Y127" s="354">
        <f>ABS(7.759*10^-3*Fsw^0.9458*(0.00787*Table1[[#This Row],[Ripple Current pk-pk]])^2.304)</f>
        <v>1.0263227944094</v>
      </c>
      <c r="Z127" s="354">
        <f>Table1[[#This Row],[DCR    Loss]]+Table1[[#This Row],[Core Loss]]</f>
        <v>1.932553281246455</v>
      </c>
      <c r="AA127" s="4">
        <f>IF(Table1[[#This Row],[Vin]]&gt;Vout, Table1[[#This Row],[Ripple Current pk-pk]]/SQRT(12), SQRT(Table1[[#This Row],[Duty Cycle BOOST Leg]]/(1-Table1[[#This Row],[Duty Cycle BOOST Leg]]))*SQRT(Table1[[#This Row],[Iout]]^2+(Table1[[#This Row],[Ripple Current pk-pk]]^2)/12))</f>
        <v>1.2979679593262932</v>
      </c>
      <c r="AB127" s="354">
        <f>RCoutEsr*Table1[[#This Row],[Irms Cout]]^2</f>
        <v>8.4236041171883089E-3</v>
      </c>
      <c r="AC127" s="354">
        <f>Table1[[#This Row],[Cout ESR Loss]]</f>
        <v>8.4236041171883089E-3</v>
      </c>
      <c r="AD127" s="354">
        <f>IF(Table1[[#This Row],[Vin]]&gt;Vout, SQRT(Table1[[#This Row],[Duty Cycle BUCK Leg]]*(1-Table1[[#This Row],[Duty Cycle BUCK Leg]]))*SQRT(Table1[[#This Row],[Iout]]^2+(Table1[[#This Row],[Ripple Current pk-pk]]^2)/12), Table1[[#This Row],[Ripple Current pk-pk]]/SQRT(12))</f>
        <v>6.029473599430812</v>
      </c>
      <c r="AE127" s="354">
        <f>RCinEsr*Table1[[#This Row],[Irms Cin]]^2</f>
        <v>7.270910377246631E-2</v>
      </c>
      <c r="AF127" s="549">
        <f>Table1[[#This Row],[Cin ESR Loss]]</f>
        <v>7.270910377246631E-2</v>
      </c>
      <c r="AG12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8.7153842521906935</v>
      </c>
      <c r="AH127" s="354">
        <f>Rdson1*Table1[[#This Row],[Irms BuCtrl]]^2</f>
        <v>0.31902327518600088</v>
      </c>
      <c r="AI127" s="354">
        <f>CHOOSE(Table1[[#This Row],[Mode Digit]], (Table1[[#This Row],[Vin]]*Table1[[#This Row],[Iout]]/2)*(Fsw)*(Tr_buck+Tf_buck), 0, (Table1[[#This Row],[Vin]]*Table1[[#This Row],[Avg IL]]/2)*(Fsw/1)*(Tr_buck+Tf_buck))</f>
        <v>3.3628383576480103</v>
      </c>
      <c r="AJ127">
        <f>IF(Table1[[#This Row],[Vin]]&gt;Vout, IF(Table1[[#This Row],[Iout]]&gt;Table1[[#This Row],[Ripple Current pk-pk]]/2,0,ABS(Table1[[#This Row],[Iout]]-Table1[[#This Row],[Ripple Current pk-pk]]/2)*Vsd_Q1*Deadtime*Fsw),0)</f>
        <v>0</v>
      </c>
      <c r="AK127" s="354">
        <f>(Table1[[#This Row],[Dead Time Loss BuCtrl]]+Table1[[#This Row],[Transition Loss BuCtrl]]+Table1[[#This Row],[RDS(on) Loss BuCtrl]]*(1+RdsonTopTc*Ta-RdsonTopTc*25))/(1-Table1[[#This Row],[RDS(on) Loss BuCtrl]]*RdsonTopTc*ThetaJA_Q1)</f>
        <v>3.9871392891493405</v>
      </c>
      <c r="AL127" s="354">
        <f>CHOOSE(Table1[[#This Row],[Mode Digit]],SQRT((Fsw*(Table1[[#This Row],[t2_Ph_I]]+0))*((Table1[[#This Row],[I_0]]*Table1[[#This Row],[I_1]]+((Table1[[#This Row],[I_0]]-Table1[[#This Row],[I_1]])^2)/3))),0,SQRT((Fsw*(Table1[[#This Row],[t3_Ph_III]]+0))*((Table1[[#This Row],[I_0]]*Table1[[#This Row],[I_2]]+((Table1[[#This Row],[I_0]]-Table1[[#This Row],[I_2]])^2)/3))))</f>
        <v>8.3502573708900822</v>
      </c>
      <c r="AM127" s="354">
        <f>Rdson2*Table1[[#This Row],[Irms BuSync]]^2</f>
        <v>0.29285255227243751</v>
      </c>
      <c r="AN12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7" s="354">
        <f>(Table1[[#This Row],[Deadtime Loss BuSync]]+Table1[[#This Row],[RDS(on) Loss BuSync]]*(1+RdsonBotTc*Ta-RdsonBotTc*25))/(1-Table1[[#This Row],[RDS(on) Loss BuSync]]*RdsonBotTc*ThetaJA_Q2)</f>
        <v>0.93601116275635154</v>
      </c>
      <c r="AP127" s="354">
        <f>CHOOSE(Table1[[#This Row],[Mode Digit]],0,SQRT((Fsw*(Table1[[#This Row],[t1_Ph_II]]+0))*((Table1[[#This Row],[I_0]]*Table1[[#This Row],[I_1]]+((Table1[[#This Row],[I_0]]-Table1[[#This Row],[I_1]])^2)/3))),SQRT((Fsw*(Table1[[#This Row],[t2_Ph_I]]+0))*((Table1[[#This Row],[I_1]]*Table1[[#This Row],[I_2]]+((Table1[[#This Row],[I_1]]-Table1[[#This Row],[I_2]])^2)/3))))</f>
        <v>0</v>
      </c>
      <c r="AQ127" s="354">
        <f>Rdson4*Table1[[#This Row],[Irms BoCtlr]]^2</f>
        <v>0</v>
      </c>
      <c r="AR127" s="354">
        <f>CHOOSE(Table1[[#This Row],[Mode Digit]], 0, (Vout*Table1[[#This Row],[Iin]]/2)*(Fsw)*(Tr_boost+Tf_boost), (Vout*Iout/2)*(Fsw/1)*(Tr_boost+Tf_boost))</f>
        <v>0</v>
      </c>
      <c r="AS127">
        <f>IF(Table1[[#This Row],[Vin]]&gt;Vout, 0, IF(Table1[[#This Row],[Iin]]&gt;Table1[[#This Row],[Ripple Current pk-pk]]/2,0,ABS(Table1[[#This Row],[Iin]]-Table1[[#This Row],[Ripple Current pk-pk]]/2)*Vsd_Q4*Deadtime*Fsw))</f>
        <v>0</v>
      </c>
      <c r="AT127" s="354">
        <f>(Table1[[#This Row],[Dead Time Loss BoCtlr]]+Table1[[#This Row],[Transition Loss BoCtlr]]+Table1[[#This Row],[RDS(on) Loss BoCtlr]]*(1+RdsonTopTc*Ta-RdsonTopTc*25))/(1-Table1[[#This Row],[RDS(on) Loss BoCtlr]]*RdsonTopTc*ThetaJA_Q4)</f>
        <v>0</v>
      </c>
      <c r="AU12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12.069992577604912</v>
      </c>
      <c r="AV127" s="354">
        <f>Rdson3*Table1[[#This Row],[Irms BoSync]]^2</f>
        <v>0.61187582745843838</v>
      </c>
      <c r="AW12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7" s="354">
        <f>(Table1[[#This Row],[Deadtime Loss BoSync]]+Table1[[#This Row],[RDS(on) Loss BoSync]]*(1+RdsonBotTc*Ta-RdsonBotTc*25))/(1-Table1[[#This Row],[RDS(on) Loss BoSync]]*RdsonBotTc*ThetaJA_Q3)</f>
        <v>0.71719623733980808</v>
      </c>
      <c r="AY127" s="354">
        <f>CHOOSE(Table1[[#This Row],[Mode Digit]], Rdson3*Table1[[#This Row],[Irms Lf]]^2, Rdson1*Table1[[#This Row],[Irms Lf]]^2, 0)</f>
        <v>0.61187582745843838</v>
      </c>
      <c r="AZ127" s="354">
        <f>CHOOSE(Table1[[#This Row],[Mode Digit]], 2*Deadtime*Fsw*IF(VfdSky_Q2&gt;0,VfdSky_Q2,0)*Table1[[#This Row],[Iout]], 2*Deadtime*Fsw*IF(VfdSky_Q3&gt;0,VfdSky_Q3,0)*Table1[[#This Row],[Iin]], 2*Deadtime*Fsw*IF(VfdSky_Q2&gt;0,VfdSky_Q2,0)*Table1[[#This Row],[Iout]]+2*Deadtime*Fsw*IF(VfdSky_Q3&gt;0,VfdSky_Q3,0)*Table1[[#This Row],[Iin]])</f>
        <v>0</v>
      </c>
      <c r="BA127" s="354">
        <f>CHOOSE(Table1[[#This Row],[Mode Digit]], IF(QrrSky_Q2&gt;0,QrrSky_Q2,Qrr_Q2)*Fsw*(Table1[[#This Row],[Vin]]-Table1[[#This Row],[Iout]]*Rdson1),0,  IF(QrrSky_Q2&gt;0,QrrSky_Q2,Qrr_Q2)*Fsw*(Table1[[#This Row],[Vin]]-Table1[[#This Row],[Iout]]*Rdson1)+IF(QrrSky_Q3&gt;0,QrrSky_Q3,Qrr_Q3)*Fsw*Vout)</f>
        <v>0.33851519999999996</v>
      </c>
      <c r="BB127" s="354">
        <f>CHOOSE(Table1[[#This Row],[Mode Digit]],0, IF(QrrSky_Q3&gt;0,QrrSky_Q3,Qrr_Q3)*Fsw*Vout,  IF(QrrSky_Q2&gt;0,QrrSky_Q2,Qrr_Q2)*Fsw*(Table1[[#This Row],[Vin]]-Table1[[#This Row],[Iout]]*Rdson1)+IF(QrrSky_Q3&gt;0,QrrSky_Q3,Qrr_Q3)*Fsw*Vout)</f>
        <v>0</v>
      </c>
      <c r="BC127" s="354">
        <f>CHOOSE(Table1[[#This Row],[Mode Digit]], Rs*Table1[[#This Row],[Irms BuSync]]^2, Rs*Table1[[#This Row],[Irms BoCtlr]]^2, Rs*(Table1[[#This Row],[Irms BuSync]]^2+Table1[[#This Row],[Irms BoCtlr]]^2))</f>
        <v>0.17431699540026038</v>
      </c>
      <c r="BD127" s="354">
        <f t="shared" si="5"/>
        <v>1.44</v>
      </c>
      <c r="BE127" s="354">
        <f>IF(Vout&gt;8, Iq*Vout, Iq*Table1[[#This Row],[Vin]])</f>
        <v>4.3799999999999999E-2</v>
      </c>
      <c r="BF127" s="354">
        <f>CHOOSE(Table1[[#This Row],[Mode Digit]], (Qg_Q1+Qg_Q2)*Fsw, (Qg_Q3+Qg_Q4)*Fsw, (Qg_Q1+Qg_Q2+Qg_Q3+Qg_Q4)*Fsw)*IF(Vout&gt;8, Vout, Table1[[#This Row],[Vin]])</f>
        <v>0.47303999999999996</v>
      </c>
      <c r="BG127" s="354">
        <f t="shared" si="6"/>
        <v>0.57269042016806726</v>
      </c>
      <c r="BH127" s="354">
        <f>Table1[[#This Row],[IQ Loss]]+Table1[[#This Row],[Switching Current Loss]]</f>
        <v>0.51683999999999997</v>
      </c>
      <c r="BI12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10.12370487378187</v>
      </c>
      <c r="BJ127">
        <f>Vout*Table1[[#This Row],[Iout]]</f>
        <v>175.2</v>
      </c>
      <c r="BK127" s="550">
        <f>Table1[[#This Row],[Pout]]/(Table1[[#This Row],[Pout]]+Table1[[#This Row],[Total Loss]])</f>
        <v>0.94537285513109726</v>
      </c>
      <c r="BL12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239.22835734896043</v>
      </c>
      <c r="BM127" s="559">
        <f>IF(Table1[[#This Row],[Vin]]&gt;Vout, Table1[[#This Row],[Total Sync Bu MOSFET Loss]]*ThetaJA_Q2, ThetaJA_Q3*Table1[[#This Row],[Total Sync Bo MOSFET Loss]])</f>
        <v>56.160669765381094</v>
      </c>
      <c r="BN127" s="9"/>
      <c r="BO127" s="4">
        <f>Table1[[#This Row],[EFF, h]]*100</f>
        <v>94.537285513109723</v>
      </c>
      <c r="BP127" s="354">
        <f>Table1[[#This Row],[Total Inductor Loss]]</f>
        <v>1.932553281246455</v>
      </c>
      <c r="BQ127" s="354">
        <f>Table1[[#This Row],[Total Control Bu MOSFET Loss]]+Table1[[#This Row],[Total Sync Bu MOSFET Loss]]+Table1[[#This Row],[Total Control Bo MOSFET Loss]]+Table1[[#This Row],[Total Sync Bo MOSFET Loss]]+Table1[[#This Row],[Reverse Recovery Loss MOSFET D BUCK]]+Table1[[#This Row],[Reverse Recovery Loss MOSFET D BOOST]]</f>
        <v>5.9788618892454997</v>
      </c>
      <c r="BR127" s="354">
        <f>Table1[[#This Row],[Total Control Bu MOSFET Loss]]+Table1[[#This Row],[Reverse Recovery Loss MOSFET D BUCK]]*0.66</f>
        <v>4.2105593211493408</v>
      </c>
      <c r="BS127" s="354">
        <f>Table1[[#This Row],[Total Sync Bu MOSFET Loss]]+Table1[[#This Row],[Reverse Recovery Loss MOSFET D BUCK]]*0.33</f>
        <v>1.0477211787563516</v>
      </c>
      <c r="BT127" s="354">
        <f xml:space="preserve"> Table1[[#This Row],[Total Control Bo MOSFET Loss]]+Table1[[#This Row],[Reverse Recovery Loss MOSFET D BOOST]]*0.66</f>
        <v>0</v>
      </c>
      <c r="BU127" s="354">
        <f xml:space="preserve"> Table1[[#This Row],[Total Sync Bo MOSFET Loss]]+Table1[[#This Row],[Reverse Recovery Loss MOSFET D BOOST]]*0.33</f>
        <v>0.71719623733980808</v>
      </c>
      <c r="BV127" s="354">
        <f>Table1[[#This Row],[Isense Shunt Loss]]</f>
        <v>0.17431699540026038</v>
      </c>
    </row>
    <row r="128" spans="7:74" x14ac:dyDescent="0.2">
      <c r="G128">
        <v>119</v>
      </c>
      <c r="H128" s="555">
        <f>VIN_min+(VIN_max-VIN_min)*(Table1[[#This Row],[Step]]/200)</f>
        <v>28.33</v>
      </c>
      <c r="I128" s="4" t="str">
        <f>IF(Mode = 2,IF(Table1[[#This Row],[Vin]]&gt;Vout, "BUCK","BOOST"),IF(Table1[[#This Row],[Vin]]&gt;VIN_BB_to_buck, "BUCK", IF(Table1[[#This Row],[Vin]]&lt;=VIN_boost_to_BB,"BOOST","BUCK-BST")))</f>
        <v>BUCK</v>
      </c>
      <c r="J128">
        <f>IF(Table1[[#This Row],[Mode]]="BOOST",2, IF(Table1[[#This Row],[Mode]]="BUCK", 1,3))</f>
        <v>1</v>
      </c>
      <c r="K128">
        <f t="shared" si="4"/>
        <v>12</v>
      </c>
      <c r="L128" s="4">
        <f>Vout*Table1[[#This Row],[Iout]]/(Table1[[#This Row],[Vin]]*Efficiency)</f>
        <v>6.5097441804298963</v>
      </c>
      <c r="M128" s="711">
        <f>MIN(1/Fsw,CHOOSE(Table1[[#This Row],[Mode Digit]],(Vout+(Rdson2+Rs+Rdcr)*Table1[[#This Row],[Iout]])/(Table1[[#This Row],[Vin]]+(Rs+Rdson2-Rdson1)*Table1[[#This Row],[Iout]])/Fsw,(Vout+(Rdson3+Rdcr)*Table1[[#This Row],[Iin]]-Table1[[#This Row],[Vin]])/(Vout+(Rdson3-Rdson4-Rs)*Table1[[#This Row],[Iin]])/Fsw,t1_Ph_II))</f>
        <v>8.6683121767748009E-7</v>
      </c>
      <c r="N128" s="602">
        <f>CHOOSE(Table1[[#This Row],[Mode Digit]],1/Fsw-Table1[[#This Row],[t1_Ph_II]],1/Fsw-Table1[[#This Row],[t1_Ph_II]],(Vout/Fsw-Table1[[#This Row],[Vin]]*t1_Ph_II)/(Table1[[#This Row],[Vin]]+Vout))</f>
        <v>7.9983544898918657E-7</v>
      </c>
      <c r="O128" s="602">
        <f>1/Fsw-(Table1[[#This Row],[t1_Ph_II]]+Table1[[#This Row],[t2_Ph_I]])</f>
        <v>0</v>
      </c>
      <c r="P12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9.7459104888803409</v>
      </c>
      <c r="Q128" s="4">
        <f>CHOOSE(Table1[[#This Row],[Mode Digit]],Table1[[#This Row],[I_0]]+1/Lf*(Table1[[#This Row],[Vin]]-Vout)*Table1[[#This Row],[t1_Ph_II]],Table1[[#This Row],[I_0]]+1/Lf*Table1[[#This Row],[Vin]]*Table1[[#This Row],[t1_Ph_II]],Table1[[#This Row],[I_0]]+(Table1[[#This Row],[Vin]]-Vout)/L*Table1[[#This Row],[t1_Ph_II]])</f>
        <v>14.254089511119659</v>
      </c>
      <c r="R128" s="4">
        <f>CHOOSE(Table1[[#This Row],[Mode Digit]],0,0,Table1[[#This Row],[I_1]]+Table1[[#This Row],[Vin]]/L*Table1[[#This Row],[t2_Ph_I]])</f>
        <v>0</v>
      </c>
      <c r="S128" s="4">
        <f>Fsw*(Table1[[#This Row],[I_0]]*Table1[[#This Row],[t1_Ph_II]]+Table1[[#This Row],[I_1]]*Table1[[#This Row],[t2_Ph_I]]+Table1[[#This Row],[I_2]]*Table1[[#This Row],[t3_Ph_III]])</f>
        <v>11.909391324306192</v>
      </c>
      <c r="T128" s="354">
        <f>MIN(1,CHOOSE(Table1[[#This Row],[Mode Digit]],(Vout+(Rdson2+Rs+Rdcr)*Table1[[#This Row],[Iout]])/(Table1[[#This Row],[Vin]]+(Rs+Rdson2-Rdson1)*Table1[[#This Row],[Iout]]),1,Fsw*Table1[[#This Row],[t2_Ph_I]]+Table1[[#This Row],[t1_Ph_II]]))</f>
        <v>0.52009873060648804</v>
      </c>
      <c r="U128" s="354">
        <f>MIN(1,CHOOSE(Table1[[#This Row],[Mode Digit]],0,(Vout+(Rdson3+Rdcr)*Table1[[#This Row],[Iin]]-Table1[[#This Row],[Vin]])/(Vout+(Rdson3-Rdson4-Rs)*Table1[[#This Row],[Iin]]),Fsw*Table1[[#This Row],[t1_Ph_II]]+Table1[[#This Row],[t3_Ph_III]]))</f>
        <v>0</v>
      </c>
      <c r="V128" s="4">
        <f>MAX(Table1[[#This Row],[I_0]:[I_2]])-MIN(Table1[[#This Row],[I_0]:[I_1]])</f>
        <v>4.5081790222393181</v>
      </c>
      <c r="W12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12.070362042680406</v>
      </c>
      <c r="X128" s="354">
        <f>(Table1[[#This Row],[Irms Lf]]^2*Rdcr*(1+Ltc*Ta-Ltc*25))/(1-Table1[[#This Row],[Irms Lf]]^2*Rdcr*Ltc*ThetaCa)</f>
        <v>0.90628999003350563</v>
      </c>
      <c r="Y128" s="354">
        <f>ABS(7.759*10^-3*Fsw^0.9458*(0.00787*Table1[[#This Row],[Ripple Current pk-pk]])^2.304)</f>
        <v>1.0325846059025647</v>
      </c>
      <c r="Z128" s="354">
        <f>Table1[[#This Row],[DCR    Loss]]+Table1[[#This Row],[Core Loss]]</f>
        <v>1.9388745959360705</v>
      </c>
      <c r="AA128" s="4">
        <f>IF(Table1[[#This Row],[Vin]]&gt;Vout, Table1[[#This Row],[Ripple Current pk-pk]]/SQRT(12), SQRT(Table1[[#This Row],[Duty Cycle BOOST Leg]]/(1-Table1[[#This Row],[Duty Cycle BOOST Leg]]))*SQRT(Table1[[#This Row],[Iout]]^2+(Table1[[#This Row],[Ripple Current pk-pk]]^2)/12))</f>
        <v>1.3013991860224472</v>
      </c>
      <c r="AB128" s="354">
        <f>RCoutEsr*Table1[[#This Row],[Irms Cout]]^2</f>
        <v>8.4681992068994412E-3</v>
      </c>
      <c r="AC128" s="354">
        <f>Table1[[#This Row],[Cout ESR Loss]]</f>
        <v>8.4681992068994412E-3</v>
      </c>
      <c r="AD128" s="354">
        <f>IF(Table1[[#This Row],[Vin]]&gt;Vout, SQRT(Table1[[#This Row],[Duty Cycle BUCK Leg]]*(1-Table1[[#This Row],[Duty Cycle BUCK Leg]]))*SQRT(Table1[[#This Row],[Iout]]^2+(Table1[[#This Row],[Ripple Current pk-pk]]^2)/12), Table1[[#This Row],[Ripple Current pk-pk]]/SQRT(12))</f>
        <v>6.0303031190288303</v>
      </c>
      <c r="AE128" s="354">
        <f>RCinEsr*Table1[[#This Row],[Irms Cin]]^2</f>
        <v>7.2729111414737674E-2</v>
      </c>
      <c r="AF128" s="549">
        <f>Table1[[#This Row],[Cin ESR Loss]]</f>
        <v>7.2729111414737674E-2</v>
      </c>
      <c r="AG12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8.7048881175429553</v>
      </c>
      <c r="AH128" s="354">
        <f>Rdson1*Table1[[#This Row],[Irms BuCtrl]]^2</f>
        <v>0.31825532398355028</v>
      </c>
      <c r="AI128" s="354">
        <f>CHOOSE(Table1[[#This Row],[Mode Digit]], (Table1[[#This Row],[Vin]]*Table1[[#This Row],[Iout]]/2)*(Fsw)*(Tr_buck+Tf_buck), 0, (Table1[[#This Row],[Vin]]*Table1[[#This Row],[Avg IL]]/2)*(Fsw/1)*(Tr_buck+Tf_buck))</f>
        <v>3.3711681058799763</v>
      </c>
      <c r="AJ128">
        <f>IF(Table1[[#This Row],[Vin]]&gt;Vout, IF(Table1[[#This Row],[Iout]]&gt;Table1[[#This Row],[Ripple Current pk-pk]]/2,0,ABS(Table1[[#This Row],[Iout]]-Table1[[#This Row],[Ripple Current pk-pk]]/2)*Vsd_Q1*Deadtime*Fsw),0)</f>
        <v>0</v>
      </c>
      <c r="AK128" s="354">
        <f>(Table1[[#This Row],[Dead Time Loss BuCtrl]]+Table1[[#This Row],[Transition Loss BuCtrl]]+Table1[[#This Row],[RDS(on) Loss BuCtrl]]*(1+RdsonTopTc*Ta-RdsonTopTc*25))/(1-Table1[[#This Row],[RDS(on) Loss BuCtrl]]*RdsonTopTc*ThetaJA_Q1)</f>
        <v>3.994530796106003</v>
      </c>
      <c r="AL128" s="354">
        <f>CHOOSE(Table1[[#This Row],[Mode Digit]],SQRT((Fsw*(Table1[[#This Row],[t2_Ph_I]]+0))*((Table1[[#This Row],[I_0]]*Table1[[#This Row],[I_1]]+((Table1[[#This Row],[I_0]]-Table1[[#This Row],[I_1]])^2)/3))),0,SQRT((Fsw*(Table1[[#This Row],[t3_Ph_III]]+0))*((Table1[[#This Row],[I_0]]*Table1[[#This Row],[I_2]]+((Table1[[#This Row],[I_0]]-Table1[[#This Row],[I_2]])^2)/3))))</f>
        <v>8.3617320396218968</v>
      </c>
      <c r="AM128" s="354">
        <f>Rdson2*Table1[[#This Row],[Irms BuSync]]^2</f>
        <v>0.29365796335024535</v>
      </c>
      <c r="AN12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8" s="354">
        <f>(Table1[[#This Row],[Deadtime Loss BuSync]]+Table1[[#This Row],[RDS(on) Loss BuSync]]*(1+RdsonBotTc*Ta-RdsonBotTc*25))/(1-Table1[[#This Row],[RDS(on) Loss BuSync]]*RdsonBotTc*ThetaJA_Q2)</f>
        <v>0.93707228953532895</v>
      </c>
      <c r="AP128" s="354">
        <f>CHOOSE(Table1[[#This Row],[Mode Digit]],0,SQRT((Fsw*(Table1[[#This Row],[t1_Ph_II]]+0))*((Table1[[#This Row],[I_0]]*Table1[[#This Row],[I_1]]+((Table1[[#This Row],[I_0]]-Table1[[#This Row],[I_1]])^2)/3))),SQRT((Fsw*(Table1[[#This Row],[t2_Ph_I]]+0))*((Table1[[#This Row],[I_1]]*Table1[[#This Row],[I_2]]+((Table1[[#This Row],[I_1]]-Table1[[#This Row],[I_2]])^2)/3))))</f>
        <v>0</v>
      </c>
      <c r="AQ128" s="354">
        <f>Rdson4*Table1[[#This Row],[Irms BoCtlr]]^2</f>
        <v>0</v>
      </c>
      <c r="AR128" s="354">
        <f>CHOOSE(Table1[[#This Row],[Mode Digit]], 0, (Vout*Table1[[#This Row],[Iin]]/2)*(Fsw)*(Tr_boost+Tf_boost), (Vout*Iout/2)*(Fsw/1)*(Tr_boost+Tf_boost))</f>
        <v>0</v>
      </c>
      <c r="AS128">
        <f>IF(Table1[[#This Row],[Vin]]&gt;Vout, 0, IF(Table1[[#This Row],[Iin]]&gt;Table1[[#This Row],[Ripple Current pk-pk]]/2,0,ABS(Table1[[#This Row],[Iin]]-Table1[[#This Row],[Ripple Current pk-pk]]/2)*Vsd_Q4*Deadtime*Fsw))</f>
        <v>0</v>
      </c>
      <c r="AT128" s="354">
        <f>(Table1[[#This Row],[Dead Time Loss BoCtlr]]+Table1[[#This Row],[Transition Loss BoCtlr]]+Table1[[#This Row],[RDS(on) Loss BoCtlr]]*(1+RdsonTopTc*Ta-RdsonTopTc*25))/(1-Table1[[#This Row],[RDS(on) Loss BoCtlr]]*RdsonTopTc*ThetaJA_Q4)</f>
        <v>0</v>
      </c>
      <c r="AU12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12.070362042680406</v>
      </c>
      <c r="AV128" s="354">
        <f>Rdson3*Table1[[#This Row],[Irms BoSync]]^2</f>
        <v>0.61191328733379569</v>
      </c>
      <c r="AW12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8" s="354">
        <f>(Table1[[#This Row],[Deadtime Loss BoSync]]+Table1[[#This Row],[RDS(on) Loss BoSync]]*(1+RdsonBotTc*Ta-RdsonBotTc*25))/(1-Table1[[#This Row],[RDS(on) Loss BoSync]]*RdsonBotTc*ThetaJA_Q3)</f>
        <v>0.71724770332805632</v>
      </c>
      <c r="AY128" s="354">
        <f>CHOOSE(Table1[[#This Row],[Mode Digit]], Rdson3*Table1[[#This Row],[Irms Lf]]^2, Rdson1*Table1[[#This Row],[Irms Lf]]^2, 0)</f>
        <v>0.61191328733379569</v>
      </c>
      <c r="AZ128" s="354">
        <f>CHOOSE(Table1[[#This Row],[Mode Digit]], 2*Deadtime*Fsw*IF(VfdSky_Q2&gt;0,VfdSky_Q2,0)*Table1[[#This Row],[Iout]], 2*Deadtime*Fsw*IF(VfdSky_Q3&gt;0,VfdSky_Q3,0)*Table1[[#This Row],[Iin]], 2*Deadtime*Fsw*IF(VfdSky_Q2&gt;0,VfdSky_Q2,0)*Table1[[#This Row],[Iout]]+2*Deadtime*Fsw*IF(VfdSky_Q3&gt;0,VfdSky_Q3,0)*Table1[[#This Row],[Iin]])</f>
        <v>0</v>
      </c>
      <c r="BA128" s="354">
        <f>CHOOSE(Table1[[#This Row],[Mode Digit]], IF(QrrSky_Q2&gt;0,QrrSky_Q2,Qrr_Q2)*Fsw*(Table1[[#This Row],[Vin]]-Table1[[#This Row],[Iout]]*Rdson1),0,  IF(QrrSky_Q2&gt;0,QrrSky_Q2,Qrr_Q2)*Fsw*(Table1[[#This Row],[Vin]]-Table1[[#This Row],[Iout]]*Rdson1)+IF(QrrSky_Q3&gt;0,QrrSky_Q3,Qrr_Q3)*Fsw*Vout)</f>
        <v>0.33935519999999997</v>
      </c>
      <c r="BB128" s="354">
        <f>CHOOSE(Table1[[#This Row],[Mode Digit]],0, IF(QrrSky_Q3&gt;0,QrrSky_Q3,Qrr_Q3)*Fsw*Vout,  IF(QrrSky_Q2&gt;0,QrrSky_Q2,Qrr_Q2)*Fsw*(Table1[[#This Row],[Vin]]-Table1[[#This Row],[Iout]]*Rdson1)+IF(QrrSky_Q3&gt;0,QrrSky_Q3,Qrr_Q3)*Fsw*Vout)</f>
        <v>0</v>
      </c>
      <c r="BC128" s="354">
        <f>CHOOSE(Table1[[#This Row],[Mode Digit]], Rs*Table1[[#This Row],[Irms BuSync]]^2, Rs*Table1[[#This Row],[Irms BoCtlr]]^2, Rs*(Table1[[#This Row],[Irms BuSync]]^2+Table1[[#This Row],[Irms BoCtlr]]^2))</f>
        <v>0.17479640675609839</v>
      </c>
      <c r="BD128" s="354">
        <f t="shared" si="5"/>
        <v>1.44</v>
      </c>
      <c r="BE128" s="354">
        <f>IF(Vout&gt;8, Iq*Vout, Iq*Table1[[#This Row],[Vin]])</f>
        <v>4.3799999999999999E-2</v>
      </c>
      <c r="BF128" s="354">
        <f>CHOOSE(Table1[[#This Row],[Mode Digit]], (Qg_Q1+Qg_Q2)*Fsw, (Qg_Q3+Qg_Q4)*Fsw, (Qg_Q1+Qg_Q2+Qg_Q3+Qg_Q4)*Fsw)*IF(Vout&gt;8, Vout, Table1[[#This Row],[Vin]])</f>
        <v>0.47303999999999996</v>
      </c>
      <c r="BG128" s="354">
        <f t="shared" si="6"/>
        <v>0.57269042016806726</v>
      </c>
      <c r="BH128" s="354">
        <f>Table1[[#This Row],[IQ Loss]]+Table1[[#This Row],[Switching Current Loss]]</f>
        <v>0.51683999999999997</v>
      </c>
      <c r="BI12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10.139914302283193</v>
      </c>
      <c r="BJ128">
        <f>Vout*Table1[[#This Row],[Iout]]</f>
        <v>175.2</v>
      </c>
      <c r="BK128" s="550">
        <f>Table1[[#This Row],[Pout]]/(Table1[[#This Row],[Pout]]+Table1[[#This Row],[Total Loss]])</f>
        <v>0.9452901748635465</v>
      </c>
      <c r="BL12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239.67184776636017</v>
      </c>
      <c r="BM128" s="559">
        <f>IF(Table1[[#This Row],[Vin]]&gt;Vout, Table1[[#This Row],[Total Sync Bu MOSFET Loss]]*ThetaJA_Q2, ThetaJA_Q3*Table1[[#This Row],[Total Sync Bo MOSFET Loss]])</f>
        <v>56.224337372119734</v>
      </c>
      <c r="BN128" s="9"/>
      <c r="BO128" s="4">
        <f>Table1[[#This Row],[EFF, h]]*100</f>
        <v>94.529017486354647</v>
      </c>
      <c r="BP128" s="354">
        <f>Table1[[#This Row],[Total Inductor Loss]]</f>
        <v>1.9388745959360705</v>
      </c>
      <c r="BQ128" s="354">
        <f>Table1[[#This Row],[Total Control Bu MOSFET Loss]]+Table1[[#This Row],[Total Sync Bu MOSFET Loss]]+Table1[[#This Row],[Total Control Bo MOSFET Loss]]+Table1[[#This Row],[Total Sync Bo MOSFET Loss]]+Table1[[#This Row],[Reverse Recovery Loss MOSFET D BUCK]]+Table1[[#This Row],[Reverse Recovery Loss MOSFET D BOOST]]</f>
        <v>5.9882059889693888</v>
      </c>
      <c r="BR128" s="354">
        <f>Table1[[#This Row],[Total Control Bu MOSFET Loss]]+Table1[[#This Row],[Reverse Recovery Loss MOSFET D BUCK]]*0.66</f>
        <v>4.2185052281060029</v>
      </c>
      <c r="BS128" s="354">
        <f>Table1[[#This Row],[Total Sync Bu MOSFET Loss]]+Table1[[#This Row],[Reverse Recovery Loss MOSFET D BUCK]]*0.33</f>
        <v>1.0490595055353289</v>
      </c>
      <c r="BT128" s="354">
        <f xml:space="preserve"> Table1[[#This Row],[Total Control Bo MOSFET Loss]]+Table1[[#This Row],[Reverse Recovery Loss MOSFET D BOOST]]*0.66</f>
        <v>0</v>
      </c>
      <c r="BU128" s="354">
        <f xml:space="preserve"> Table1[[#This Row],[Total Sync Bo MOSFET Loss]]+Table1[[#This Row],[Reverse Recovery Loss MOSFET D BOOST]]*0.33</f>
        <v>0.71724770332805632</v>
      </c>
      <c r="BV128" s="354">
        <f>Table1[[#This Row],[Isense Shunt Loss]]</f>
        <v>0.17479640675609839</v>
      </c>
    </row>
    <row r="129" spans="7:74" x14ac:dyDescent="0.2">
      <c r="G129">
        <v>120</v>
      </c>
      <c r="H129" s="555">
        <f>VIN_min+(VIN_max-VIN_min)*(Table1[[#This Row],[Step]]/200)</f>
        <v>28.4</v>
      </c>
      <c r="I129" s="4" t="str">
        <f>IF(Mode = 2,IF(Table1[[#This Row],[Vin]]&gt;Vout, "BUCK","BOOST"),IF(Table1[[#This Row],[Vin]]&gt;VIN_BB_to_buck, "BUCK", IF(Table1[[#This Row],[Vin]]&lt;=VIN_boost_to_BB,"BOOST","BUCK-BST")))</f>
        <v>BUCK</v>
      </c>
      <c r="J129">
        <f>IF(Table1[[#This Row],[Mode]]="BOOST",2, IF(Table1[[#This Row],[Mode]]="BUCK", 1,3))</f>
        <v>1</v>
      </c>
      <c r="K129">
        <f t="shared" si="4"/>
        <v>12</v>
      </c>
      <c r="L129" s="4">
        <f>Vout*Table1[[#This Row],[Iout]]/(Table1[[#This Row],[Vin]]*Efficiency)</f>
        <v>6.4936990363232026</v>
      </c>
      <c r="M129" s="711">
        <f>MIN(1/Fsw,CHOOSE(Table1[[#This Row],[Mode Digit]],(Vout+(Rdson2+Rs+Rdcr)*Table1[[#This Row],[Iout]])/(Table1[[#This Row],[Vin]]+(Rs+Rdson2-Rdson1)*Table1[[#This Row],[Iout]])/Fsw,(Vout+(Rdson3+Rdcr)*Table1[[#This Row],[Iin]]-Table1[[#This Row],[Vin]])/(Vout+(Rdson3-Rdson4-Rs)*Table1[[#This Row],[Iin]])/Fsw,t1_Ph_II))</f>
        <v>8.6469691640286082E-7</v>
      </c>
      <c r="N129" s="602">
        <f>CHOOSE(Table1[[#This Row],[Mode Digit]],1/Fsw-Table1[[#This Row],[t1_Ph_II]],1/Fsw-Table1[[#This Row],[t1_Ph_II]],(Vout/Fsw-Table1[[#This Row],[Vin]]*t1_Ph_II)/(Table1[[#This Row],[Vin]]+Vout))</f>
        <v>8.0196975026380584E-7</v>
      </c>
      <c r="O129" s="602">
        <f>1/Fsw-(Table1[[#This Row],[t1_Ph_II]]+Table1[[#This Row],[t2_Ph_I]])</f>
        <v>0</v>
      </c>
      <c r="P12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9.7399966957652495</v>
      </c>
      <c r="Q129" s="4">
        <f>CHOOSE(Table1[[#This Row],[Mode Digit]],Table1[[#This Row],[I_0]]+1/Lf*(Table1[[#This Row],[Vin]]-Vout)*Table1[[#This Row],[t1_Ph_II]],Table1[[#This Row],[I_0]]+1/Lf*Table1[[#This Row],[Vin]]*Table1[[#This Row],[t1_Ph_II]],Table1[[#This Row],[I_0]]+(Table1[[#This Row],[Vin]]-Vout)/L*Table1[[#This Row],[t1_Ph_II]])</f>
        <v>14.260003304234749</v>
      </c>
      <c r="R129" s="4">
        <f>CHOOSE(Table1[[#This Row],[Mode Digit]],0,0,Table1[[#This Row],[I_1]]+Table1[[#This Row],[Vin]]/L*Table1[[#This Row],[t2_Ph_I]])</f>
        <v>0</v>
      </c>
      <c r="S129" s="4">
        <f>Fsw*(Table1[[#This Row],[I_0]]*Table1[[#This Row],[t1_Ph_II]]+Table1[[#This Row],[I_1]]*Table1[[#This Row],[t2_Ph_I]]+Table1[[#This Row],[I_2]]*Table1[[#This Row],[t3_Ph_III]])</f>
        <v>11.91494183835627</v>
      </c>
      <c r="T129" s="354">
        <f>MIN(1,CHOOSE(Table1[[#This Row],[Mode Digit]],(Vout+(Rdson2+Rs+Rdcr)*Table1[[#This Row],[Iout]])/(Table1[[#This Row],[Vin]]+(Rs+Rdson2-Rdson1)*Table1[[#This Row],[Iout]]),1,Fsw*Table1[[#This Row],[t2_Ph_I]]+Table1[[#This Row],[t1_Ph_II]]))</f>
        <v>0.51881814984171648</v>
      </c>
      <c r="U129" s="354">
        <f>MIN(1,CHOOSE(Table1[[#This Row],[Mode Digit]],0,(Vout+(Rdson3+Rdcr)*Table1[[#This Row],[Iin]]-Table1[[#This Row],[Vin]])/(Vout+(Rdson3-Rdson4-Rs)*Table1[[#This Row],[Iin]]),Fsw*Table1[[#This Row],[t1_Ph_II]]+Table1[[#This Row],[t3_Ph_III]]))</f>
        <v>0</v>
      </c>
      <c r="V129" s="4">
        <f>MAX(Table1[[#This Row],[I_0]:[I_2]])-MIN(Table1[[#This Row],[I_0]:[I_1]])</f>
        <v>4.5200066084694992</v>
      </c>
      <c r="W12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12.070730645313782</v>
      </c>
      <c r="X129" s="354">
        <f>(Table1[[#This Row],[Irms Lf]]^2*Rdcr*(1+Ltc*Ta-Ltc*25))/(1-Table1[[#This Row],[Irms Lf]]^2*Rdcr*Ltc*ThetaCa)</f>
        <v>0.9063493566730686</v>
      </c>
      <c r="Y129" s="354">
        <f>ABS(7.759*10^-3*Fsw^0.9458*(0.00787*Table1[[#This Row],[Ripple Current pk-pk]])^2.304)</f>
        <v>1.0388369885137649</v>
      </c>
      <c r="Z129" s="354">
        <f>Table1[[#This Row],[DCR    Loss]]+Table1[[#This Row],[Core Loss]]</f>
        <v>1.9451863451868334</v>
      </c>
      <c r="AA129" s="4">
        <f>IF(Table1[[#This Row],[Vin]]&gt;Vout, Table1[[#This Row],[Ripple Current pk-pk]]/SQRT(12), SQRT(Table1[[#This Row],[Duty Cycle BOOST Leg]]/(1-Table1[[#This Row],[Duty Cycle BOOST Leg]]))*SQRT(Table1[[#This Row],[Iout]]^2+(Table1[[#This Row],[Ripple Current pk-pk]]^2)/12))</f>
        <v>1.3048135160693763</v>
      </c>
      <c r="AB129" s="354">
        <f>RCoutEsr*Table1[[#This Row],[Irms Cout]]^2</f>
        <v>8.5126915585866433E-3</v>
      </c>
      <c r="AC129" s="354">
        <f>Table1[[#This Row],[Cout ESR Loss]]</f>
        <v>8.5126915585866433E-3</v>
      </c>
      <c r="AD129" s="354">
        <f>IF(Table1[[#This Row],[Vin]]&gt;Vout, SQRT(Table1[[#This Row],[Duty Cycle BUCK Leg]]*(1-Table1[[#This Row],[Duty Cycle BUCK Leg]]))*SQRT(Table1[[#This Row],[Iout]]^2+(Table1[[#This Row],[Ripple Current pk-pk]]^2)/12), Table1[[#This Row],[Ripple Current pk-pk]]/SQRT(12))</f>
        <v>6.0310892873856936</v>
      </c>
      <c r="AE129" s="354">
        <f>RCinEsr*Table1[[#This Row],[Irms Cin]]^2</f>
        <v>7.2748075984836943E-2</v>
      </c>
      <c r="AF129" s="549">
        <f>Table1[[#This Row],[Cin ESR Loss]]</f>
        <v>7.2748075984836943E-2</v>
      </c>
      <c r="AG12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8.6944304789978606</v>
      </c>
      <c r="AH129" s="354">
        <f>Rdson1*Table1[[#This Row],[Irms BuCtrl]]^2</f>
        <v>0.31749110968733329</v>
      </c>
      <c r="AI129" s="354">
        <f>CHOOSE(Table1[[#This Row],[Mode Digit]], (Table1[[#This Row],[Vin]]*Table1[[#This Row],[Iout]]/2)*(Fsw)*(Tr_buck+Tf_buck), 0, (Table1[[#This Row],[Vin]]*Table1[[#This Row],[Avg IL]]/2)*(Fsw/1)*(Tr_buck+Tf_buck))</f>
        <v>3.3794978541119418</v>
      </c>
      <c r="AJ129">
        <f>IF(Table1[[#This Row],[Vin]]&gt;Vout, IF(Table1[[#This Row],[Iout]]&gt;Table1[[#This Row],[Ripple Current pk-pk]]/2,0,ABS(Table1[[#This Row],[Iout]]-Table1[[#This Row],[Ripple Current pk-pk]]/2)*Vsd_Q1*Deadtime*Fsw),0)</f>
        <v>0</v>
      </c>
      <c r="AK129" s="354">
        <f>(Table1[[#This Row],[Dead Time Loss BuCtrl]]+Table1[[#This Row],[Transition Loss BuCtrl]]+Table1[[#This Row],[RDS(on) Loss BuCtrl]]*(1+RdsonTopTc*Ta-RdsonTopTc*25))/(1-Table1[[#This Row],[RDS(on) Loss BuCtrl]]*RdsonTopTc*ThetaJA_Q1)</f>
        <v>4.0019272840300033</v>
      </c>
      <c r="AL129" s="354">
        <f>CHOOSE(Table1[[#This Row],[Mode Digit]],SQRT((Fsw*(Table1[[#This Row],[t2_Ph_I]]+0))*((Table1[[#This Row],[I_0]]*Table1[[#This Row],[I_1]]+((Table1[[#This Row],[I_0]]-Table1[[#This Row],[I_1]])^2)/3))),0,SQRT((Fsw*(Table1[[#This Row],[t3_Ph_III]]+0))*((Table1[[#This Row],[I_0]]*Table1[[#This Row],[I_2]]+((Table1[[#This Row],[I_0]]-Table1[[#This Row],[I_2]])^2)/3))))</f>
        <v>8.373136625995679</v>
      </c>
      <c r="AM129" s="354">
        <f>Rdson2*Table1[[#This Row],[Irms BuSync]]^2</f>
        <v>0.29445955122187928</v>
      </c>
      <c r="AN12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29" s="354">
        <f>(Table1[[#This Row],[Deadtime Loss BuSync]]+Table1[[#This Row],[RDS(on) Loss BuSync]]*(1+RdsonBotTc*Ta-RdsonBotTc*25))/(1-Table1[[#This Row],[RDS(on) Loss BuSync]]*RdsonBotTc*ThetaJA_Q2)</f>
        <v>0.93812881753739774</v>
      </c>
      <c r="AP129" s="354">
        <f>CHOOSE(Table1[[#This Row],[Mode Digit]],0,SQRT((Fsw*(Table1[[#This Row],[t1_Ph_II]]+0))*((Table1[[#This Row],[I_0]]*Table1[[#This Row],[I_1]]+((Table1[[#This Row],[I_0]]-Table1[[#This Row],[I_1]])^2)/3))),SQRT((Fsw*(Table1[[#This Row],[t2_Ph_I]]+0))*((Table1[[#This Row],[I_1]]*Table1[[#This Row],[I_2]]+((Table1[[#This Row],[I_1]]-Table1[[#This Row],[I_2]])^2)/3))))</f>
        <v>0</v>
      </c>
      <c r="AQ129" s="354">
        <f>Rdson4*Table1[[#This Row],[Irms BoCtlr]]^2</f>
        <v>0</v>
      </c>
      <c r="AR129" s="354">
        <f>CHOOSE(Table1[[#This Row],[Mode Digit]], 0, (Vout*Table1[[#This Row],[Iin]]/2)*(Fsw)*(Tr_boost+Tf_boost), (Vout*Iout/2)*(Fsw/1)*(Tr_boost+Tf_boost))</f>
        <v>0</v>
      </c>
      <c r="AS129">
        <f>IF(Table1[[#This Row],[Vin]]&gt;Vout, 0, IF(Table1[[#This Row],[Iin]]&gt;Table1[[#This Row],[Ripple Current pk-pk]]/2,0,ABS(Table1[[#This Row],[Iin]]-Table1[[#This Row],[Ripple Current pk-pk]]/2)*Vsd_Q4*Deadtime*Fsw))</f>
        <v>0</v>
      </c>
      <c r="AT129" s="354">
        <f>(Table1[[#This Row],[Dead Time Loss BoCtlr]]+Table1[[#This Row],[Transition Loss BoCtlr]]+Table1[[#This Row],[RDS(on) Loss BoCtlr]]*(1+RdsonTopTc*Ta-RdsonTopTc*25))/(1-Table1[[#This Row],[RDS(on) Loss BoCtlr]]*RdsonTopTc*ThetaJA_Q4)</f>
        <v>0</v>
      </c>
      <c r="AU12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12.070730645313782</v>
      </c>
      <c r="AV129" s="354">
        <f>Rdson3*Table1[[#This Row],[Irms BoSync]]^2</f>
        <v>0.61195066090921257</v>
      </c>
      <c r="AW12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29" s="354">
        <f>(Table1[[#This Row],[Deadtime Loss BoSync]]+Table1[[#This Row],[RDS(on) Loss BoSync]]*(1+RdsonBotTc*Ta-RdsonBotTc*25))/(1-Table1[[#This Row],[RDS(on) Loss BoSync]]*RdsonBotTc*ThetaJA_Q3)</f>
        <v>0.71729905183008602</v>
      </c>
      <c r="AY129" s="354">
        <f>CHOOSE(Table1[[#This Row],[Mode Digit]], Rdson3*Table1[[#This Row],[Irms Lf]]^2, Rdson1*Table1[[#This Row],[Irms Lf]]^2, 0)</f>
        <v>0.61195066090921257</v>
      </c>
      <c r="AZ129" s="354">
        <f>CHOOSE(Table1[[#This Row],[Mode Digit]], 2*Deadtime*Fsw*IF(VfdSky_Q2&gt;0,VfdSky_Q2,0)*Table1[[#This Row],[Iout]], 2*Deadtime*Fsw*IF(VfdSky_Q3&gt;0,VfdSky_Q3,0)*Table1[[#This Row],[Iin]], 2*Deadtime*Fsw*IF(VfdSky_Q2&gt;0,VfdSky_Q2,0)*Table1[[#This Row],[Iout]]+2*Deadtime*Fsw*IF(VfdSky_Q3&gt;0,VfdSky_Q3,0)*Table1[[#This Row],[Iin]])</f>
        <v>0</v>
      </c>
      <c r="BA129" s="354">
        <f>CHOOSE(Table1[[#This Row],[Mode Digit]], IF(QrrSky_Q2&gt;0,QrrSky_Q2,Qrr_Q2)*Fsw*(Table1[[#This Row],[Vin]]-Table1[[#This Row],[Iout]]*Rdson1),0,  IF(QrrSky_Q2&gt;0,QrrSky_Q2,Qrr_Q2)*Fsw*(Table1[[#This Row],[Vin]]-Table1[[#This Row],[Iout]]*Rdson1)+IF(QrrSky_Q3&gt;0,QrrSky_Q3,Qrr_Q3)*Fsw*Vout)</f>
        <v>0.34019519999999998</v>
      </c>
      <c r="BB129" s="354">
        <f>CHOOSE(Table1[[#This Row],[Mode Digit]],0, IF(QrrSky_Q3&gt;0,QrrSky_Q3,Qrr_Q3)*Fsw*Vout,  IF(QrrSky_Q2&gt;0,QrrSky_Q2,Qrr_Q2)*Fsw*(Table1[[#This Row],[Vin]]-Table1[[#This Row],[Iout]]*Rdson1)+IF(QrrSky_Q3&gt;0,QrrSky_Q3,Qrr_Q3)*Fsw*Vout)</f>
        <v>0</v>
      </c>
      <c r="BC129" s="354">
        <f>CHOOSE(Table1[[#This Row],[Mode Digit]], Rs*Table1[[#This Row],[Irms BuSync]]^2, Rs*Table1[[#This Row],[Irms BoCtlr]]^2, Rs*(Table1[[#This Row],[Irms BuSync]]^2+Table1[[#This Row],[Irms BoCtlr]]^2))</f>
        <v>0.17527354239397575</v>
      </c>
      <c r="BD129" s="354">
        <f t="shared" si="5"/>
        <v>1.44</v>
      </c>
      <c r="BE129" s="354">
        <f>IF(Vout&gt;8, Iq*Vout, Iq*Table1[[#This Row],[Vin]])</f>
        <v>4.3799999999999999E-2</v>
      </c>
      <c r="BF129" s="354">
        <f>CHOOSE(Table1[[#This Row],[Mode Digit]], (Qg_Q1+Qg_Q2)*Fsw, (Qg_Q3+Qg_Q4)*Fsw, (Qg_Q1+Qg_Q2+Qg_Q3+Qg_Q4)*Fsw)*IF(Vout&gt;8, Vout, Table1[[#This Row],[Vin]])</f>
        <v>0.47303999999999996</v>
      </c>
      <c r="BG129" s="354">
        <f t="shared" si="6"/>
        <v>0.57269042016806726</v>
      </c>
      <c r="BH129" s="354">
        <f>Table1[[#This Row],[IQ Loss]]+Table1[[#This Row],[Switching Current Loss]]</f>
        <v>0.51683999999999997</v>
      </c>
      <c r="BI12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10.156111008521719</v>
      </c>
      <c r="BJ129">
        <f>Vout*Table1[[#This Row],[Iout]]</f>
        <v>175.2</v>
      </c>
      <c r="BK129" s="550">
        <f>Table1[[#This Row],[Pout]]/(Table1[[#This Row],[Pout]]+Table1[[#This Row],[Total Loss]])</f>
        <v>0.94520757393288857</v>
      </c>
      <c r="BL12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240.1156370418002</v>
      </c>
      <c r="BM129" s="559">
        <f>IF(Table1[[#This Row],[Vin]]&gt;Vout, Table1[[#This Row],[Total Sync Bu MOSFET Loss]]*ThetaJA_Q2, ThetaJA_Q3*Table1[[#This Row],[Total Sync Bo MOSFET Loss]])</f>
        <v>56.287729052243861</v>
      </c>
      <c r="BN129" s="9"/>
      <c r="BO129" s="4">
        <f>Table1[[#This Row],[EFF, h]]*100</f>
        <v>94.520757393288861</v>
      </c>
      <c r="BP129" s="354">
        <f>Table1[[#This Row],[Total Inductor Loss]]</f>
        <v>1.9451863451868334</v>
      </c>
      <c r="BQ129" s="354">
        <f>Table1[[#This Row],[Total Control Bu MOSFET Loss]]+Table1[[#This Row],[Total Sync Bu MOSFET Loss]]+Table1[[#This Row],[Total Control Bo MOSFET Loss]]+Table1[[#This Row],[Total Sync Bo MOSFET Loss]]+Table1[[#This Row],[Reverse Recovery Loss MOSFET D BUCK]]+Table1[[#This Row],[Reverse Recovery Loss MOSFET D BOOST]]</f>
        <v>5.9975503533974868</v>
      </c>
      <c r="BR129" s="354">
        <f>Table1[[#This Row],[Total Control Bu MOSFET Loss]]+Table1[[#This Row],[Reverse Recovery Loss MOSFET D BUCK]]*0.66</f>
        <v>4.2264561160300032</v>
      </c>
      <c r="BS129" s="354">
        <f>Table1[[#This Row],[Total Sync Bu MOSFET Loss]]+Table1[[#This Row],[Reverse Recovery Loss MOSFET D BUCK]]*0.33</f>
        <v>1.0503932335373978</v>
      </c>
      <c r="BT129" s="354">
        <f xml:space="preserve"> Table1[[#This Row],[Total Control Bo MOSFET Loss]]+Table1[[#This Row],[Reverse Recovery Loss MOSFET D BOOST]]*0.66</f>
        <v>0</v>
      </c>
      <c r="BU129" s="354">
        <f xml:space="preserve"> Table1[[#This Row],[Total Sync Bo MOSFET Loss]]+Table1[[#This Row],[Reverse Recovery Loss MOSFET D BOOST]]*0.33</f>
        <v>0.71729905183008602</v>
      </c>
      <c r="BV129" s="354">
        <f>Table1[[#This Row],[Isense Shunt Loss]]</f>
        <v>0.17527354239397575</v>
      </c>
    </row>
    <row r="130" spans="7:74" x14ac:dyDescent="0.2">
      <c r="G130">
        <v>121</v>
      </c>
      <c r="H130" s="555">
        <f>VIN_min+(VIN_max-VIN_min)*(Table1[[#This Row],[Step]]/200)</f>
        <v>28.47</v>
      </c>
      <c r="I130" s="4" t="str">
        <f>IF(Mode = 2,IF(Table1[[#This Row],[Vin]]&gt;Vout, "BUCK","BOOST"),IF(Table1[[#This Row],[Vin]]&gt;VIN_BB_to_buck, "BUCK", IF(Table1[[#This Row],[Vin]]&lt;=VIN_boost_to_BB,"BOOST","BUCK-BST")))</f>
        <v>BUCK</v>
      </c>
      <c r="J130">
        <f>IF(Table1[[#This Row],[Mode]]="BOOST",2, IF(Table1[[#This Row],[Mode]]="BUCK", 1,3))</f>
        <v>1</v>
      </c>
      <c r="K130">
        <f t="shared" si="4"/>
        <v>12</v>
      </c>
      <c r="L130" s="4">
        <f>Vout*Table1[[#This Row],[Iout]]/(Table1[[#This Row],[Vin]]*Efficiency)</f>
        <v>6.4777327935222671</v>
      </c>
      <c r="M130" s="711">
        <f>MIN(1/Fsw,CHOOSE(Table1[[#This Row],[Mode Digit]],(Vout+(Rdson2+Rs+Rdcr)*Table1[[#This Row],[Iout]])/(Table1[[#This Row],[Vin]]+(Rs+Rdson2-Rdson1)*Table1[[#This Row],[Iout]])/Fsw,(Vout+(Rdson3+Rdcr)*Table1[[#This Row],[Iin]]-Table1[[#This Row],[Vin]])/(Vout+(Rdson3-Rdson4-Rs)*Table1[[#This Row],[Iin]])/Fsw,t1_Ph_II))</f>
        <v>8.625730994152048E-7</v>
      </c>
      <c r="N130" s="602">
        <f>CHOOSE(Table1[[#This Row],[Mode Digit]],1/Fsw-Table1[[#This Row],[t1_Ph_II]],1/Fsw-Table1[[#This Row],[t1_Ph_II]],(Vout/Fsw-Table1[[#This Row],[Vin]]*t1_Ph_II)/(Table1[[#This Row],[Vin]]+Vout))</f>
        <v>8.0409356725146187E-7</v>
      </c>
      <c r="O130" s="602">
        <f>1/Fsw-(Table1[[#This Row],[t1_Ph_II]]+Table1[[#This Row],[t2_Ph_I]])</f>
        <v>0</v>
      </c>
      <c r="P13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9.7341119528619515</v>
      </c>
      <c r="Q130" s="4">
        <f>CHOOSE(Table1[[#This Row],[Mode Digit]],Table1[[#This Row],[I_0]]+1/Lf*(Table1[[#This Row],[Vin]]-Vout)*Table1[[#This Row],[t1_Ph_II]],Table1[[#This Row],[I_0]]+1/Lf*Table1[[#This Row],[Vin]]*Table1[[#This Row],[t1_Ph_II]],Table1[[#This Row],[I_0]]+(Table1[[#This Row],[Vin]]-Vout)/L*Table1[[#This Row],[t1_Ph_II]])</f>
        <v>14.265888047138047</v>
      </c>
      <c r="R130" s="4">
        <f>CHOOSE(Table1[[#This Row],[Mode Digit]],0,0,Table1[[#This Row],[I_1]]+Table1[[#This Row],[Vin]]/L*Table1[[#This Row],[t2_Ph_I]])</f>
        <v>0</v>
      </c>
      <c r="S130" s="4">
        <f>Fsw*(Table1[[#This Row],[I_0]]*Table1[[#This Row],[t1_Ph_II]]+Table1[[#This Row],[I_1]]*Table1[[#This Row],[t2_Ph_I]]+Table1[[#This Row],[I_2]]*Table1[[#This Row],[t3_Ph_III]])</f>
        <v>11.920495156240769</v>
      </c>
      <c r="T130" s="354">
        <f>MIN(1,CHOOSE(Table1[[#This Row],[Mode Digit]],(Vout+(Rdson2+Rs+Rdcr)*Table1[[#This Row],[Iout]])/(Table1[[#This Row],[Vin]]+(Rs+Rdson2-Rdson1)*Table1[[#This Row],[Iout]]),1,Fsw*Table1[[#This Row],[t2_Ph_I]]+Table1[[#This Row],[t1_Ph_II]]))</f>
        <v>0.51754385964912286</v>
      </c>
      <c r="U130" s="354">
        <f>MIN(1,CHOOSE(Table1[[#This Row],[Mode Digit]],0,(Vout+(Rdson3+Rdcr)*Table1[[#This Row],[Iin]]-Table1[[#This Row],[Vin]])/(Vout+(Rdson3-Rdson4-Rs)*Table1[[#This Row],[Iin]]),Fsw*Table1[[#This Row],[t1_Ph_II]]+Table1[[#This Row],[t3_Ph_III]]))</f>
        <v>0</v>
      </c>
      <c r="V130" s="4">
        <f>MAX(Table1[[#This Row],[I_0]:[I_2]])-MIN(Table1[[#This Row],[I_0]:[I_1]])</f>
        <v>4.5317760942760952</v>
      </c>
      <c r="W13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12.071098384739242</v>
      </c>
      <c r="X130" s="354">
        <f>(Table1[[#This Row],[Irms Lf]]^2*Rdcr*(1+Ltc*Ta-Ltc*25))/(1-Table1[[#This Row],[Irms Lf]]^2*Rdcr*Ltc*ThetaCa)</f>
        <v>0.90640858661603774</v>
      </c>
      <c r="Y130" s="354">
        <f>ABS(7.759*10^-3*Fsw^0.9458*(0.00787*Table1[[#This Row],[Ripple Current pk-pk]])^2.304)</f>
        <v>1.0450798712640792</v>
      </c>
      <c r="Z130" s="354">
        <f>Table1[[#This Row],[DCR    Loss]]+Table1[[#This Row],[Core Loss]]</f>
        <v>1.9514884578801168</v>
      </c>
      <c r="AA130" s="4">
        <f>IF(Table1[[#This Row],[Vin]]&gt;Vout, Table1[[#This Row],[Ripple Current pk-pk]]/SQRT(12), SQRT(Table1[[#This Row],[Duty Cycle BOOST Leg]]/(1-Table1[[#This Row],[Duty Cycle BOOST Leg]]))*SQRT(Table1[[#This Row],[Iout]]^2+(Table1[[#This Row],[Ripple Current pk-pk]]^2)/12))</f>
        <v>1.3082110739687074</v>
      </c>
      <c r="AB130" s="354">
        <f>RCoutEsr*Table1[[#This Row],[Irms Cout]]^2</f>
        <v>8.5570810702717947E-3</v>
      </c>
      <c r="AC130" s="354">
        <f>Table1[[#This Row],[Cout ESR Loss]]</f>
        <v>8.5570810702717947E-3</v>
      </c>
      <c r="AD130" s="354">
        <f>IF(Table1[[#This Row],[Vin]]&gt;Vout, SQRT(Table1[[#This Row],[Duty Cycle BUCK Leg]]*(1-Table1[[#This Row],[Duty Cycle BUCK Leg]]))*SQRT(Table1[[#This Row],[Iout]]^2+(Table1[[#This Row],[Ripple Current pk-pk]]^2)/12), Table1[[#This Row],[Ripple Current pk-pk]]/SQRT(12))</f>
        <v>6.031832720839656</v>
      </c>
      <c r="AE130" s="354">
        <f>RCinEsr*Table1[[#This Row],[Irms Cin]]^2</f>
        <v>7.2766011944383868E-2</v>
      </c>
      <c r="AF130" s="549">
        <f>Table1[[#This Row],[Cin ESR Loss]]</f>
        <v>7.2766011944383868E-2</v>
      </c>
      <c r="AG13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8.6840110975494191</v>
      </c>
      <c r="AH130" s="354">
        <f>Rdson1*Table1[[#This Row],[Irms BuCtrl]]^2</f>
        <v>0.3167306047179182</v>
      </c>
      <c r="AI130" s="354">
        <f>CHOOSE(Table1[[#This Row],[Mode Digit]], (Table1[[#This Row],[Vin]]*Table1[[#This Row],[Iout]]/2)*(Fsw)*(Tr_buck+Tf_buck), 0, (Table1[[#This Row],[Vin]]*Table1[[#This Row],[Avg IL]]/2)*(Fsw/1)*(Tr_buck+Tf_buck))</f>
        <v>3.3878276023439087</v>
      </c>
      <c r="AJ130">
        <f>IF(Table1[[#This Row],[Vin]]&gt;Vout, IF(Table1[[#This Row],[Iout]]&gt;Table1[[#This Row],[Ripple Current pk-pk]]/2,0,ABS(Table1[[#This Row],[Iout]]-Table1[[#This Row],[Ripple Current pk-pk]]/2)*Vsd_Q1*Deadtime*Fsw),0)</f>
        <v>0</v>
      </c>
      <c r="AK130" s="354">
        <f>(Table1[[#This Row],[Dead Time Loss BuCtrl]]+Table1[[#This Row],[Transition Loss BuCtrl]]+Table1[[#This Row],[RDS(on) Loss BuCtrl]]*(1+RdsonTopTc*Ta-RdsonTopTc*25))/(1-Table1[[#This Row],[RDS(on) Loss BuCtrl]]*RdsonTopTc*ThetaJA_Q1)</f>
        <v>4.0093287129235522</v>
      </c>
      <c r="AL130" s="354">
        <f>CHOOSE(Table1[[#This Row],[Mode Digit]],SQRT((Fsw*(Table1[[#This Row],[t2_Ph_I]]+0))*((Table1[[#This Row],[I_0]]*Table1[[#This Row],[I_1]]+((Table1[[#This Row],[I_0]]-Table1[[#This Row],[I_1]])^2)/3))),0,SQRT((Fsw*(Table1[[#This Row],[t3_Ph_III]]+0))*((Table1[[#This Row],[I_0]]*Table1[[#This Row],[I_2]]+((Table1[[#This Row],[I_0]]-Table1[[#This Row],[I_2]])^2)/3))))</f>
        <v>8.3844718063628125</v>
      </c>
      <c r="AM130" s="354">
        <f>Rdson2*Table1[[#This Row],[Irms BuSync]]^2</f>
        <v>0.2952573433811102</v>
      </c>
      <c r="AN13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0" s="354">
        <f>(Table1[[#This Row],[Deadtime Loss BuSync]]+Table1[[#This Row],[RDS(on) Loss BuSync]]*(1+RdsonBotTc*Ta-RdsonBotTc*25))/(1-Table1[[#This Row],[RDS(on) Loss BuSync]]*RdsonBotTc*ThetaJA_Q2)</f>
        <v>0.93918077703630165</v>
      </c>
      <c r="AP130" s="354">
        <f>CHOOSE(Table1[[#This Row],[Mode Digit]],0,SQRT((Fsw*(Table1[[#This Row],[t1_Ph_II]]+0))*((Table1[[#This Row],[I_0]]*Table1[[#This Row],[I_1]]+((Table1[[#This Row],[I_0]]-Table1[[#This Row],[I_1]])^2)/3))),SQRT((Fsw*(Table1[[#This Row],[t2_Ph_I]]+0))*((Table1[[#This Row],[I_1]]*Table1[[#This Row],[I_2]]+((Table1[[#This Row],[I_1]]-Table1[[#This Row],[I_2]])^2)/3))))</f>
        <v>0</v>
      </c>
      <c r="AQ130" s="354">
        <f>Rdson4*Table1[[#This Row],[Irms BoCtlr]]^2</f>
        <v>0</v>
      </c>
      <c r="AR130" s="354">
        <f>CHOOSE(Table1[[#This Row],[Mode Digit]], 0, (Vout*Table1[[#This Row],[Iin]]/2)*(Fsw)*(Tr_boost+Tf_boost), (Vout*Iout/2)*(Fsw/1)*(Tr_boost+Tf_boost))</f>
        <v>0</v>
      </c>
      <c r="AS130">
        <f>IF(Table1[[#This Row],[Vin]]&gt;Vout, 0, IF(Table1[[#This Row],[Iin]]&gt;Table1[[#This Row],[Ripple Current pk-pk]]/2,0,ABS(Table1[[#This Row],[Iin]]-Table1[[#This Row],[Ripple Current pk-pk]]/2)*Vsd_Q4*Deadtime*Fsw))</f>
        <v>0</v>
      </c>
      <c r="AT130" s="354">
        <f>(Table1[[#This Row],[Dead Time Loss BoCtlr]]+Table1[[#This Row],[Transition Loss BoCtlr]]+Table1[[#This Row],[RDS(on) Loss BoCtlr]]*(1+RdsonTopTc*Ta-RdsonTopTc*25))/(1-Table1[[#This Row],[RDS(on) Loss BoCtlr]]*RdsonTopTc*ThetaJA_Q4)</f>
        <v>0</v>
      </c>
      <c r="AU13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12.071098384739242</v>
      </c>
      <c r="AV130" s="354">
        <f>Rdson3*Table1[[#This Row],[Irms BoSync]]^2</f>
        <v>0.61198794809902834</v>
      </c>
      <c r="AW13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0" s="354">
        <f>(Table1[[#This Row],[Deadtime Loss BoSync]]+Table1[[#This Row],[RDS(on) Loss BoSync]]*(1+RdsonBotTc*Ta-RdsonBotTc*25))/(1-Table1[[#This Row],[RDS(on) Loss BoSync]]*RdsonBotTc*ThetaJA_Q3)</f>
        <v>0.7173502827207564</v>
      </c>
      <c r="AY130" s="354">
        <f>CHOOSE(Table1[[#This Row],[Mode Digit]], Rdson3*Table1[[#This Row],[Irms Lf]]^2, Rdson1*Table1[[#This Row],[Irms Lf]]^2, 0)</f>
        <v>0.61198794809902834</v>
      </c>
      <c r="AZ130" s="354">
        <f>CHOOSE(Table1[[#This Row],[Mode Digit]], 2*Deadtime*Fsw*IF(VfdSky_Q2&gt;0,VfdSky_Q2,0)*Table1[[#This Row],[Iout]], 2*Deadtime*Fsw*IF(VfdSky_Q3&gt;0,VfdSky_Q3,0)*Table1[[#This Row],[Iin]], 2*Deadtime*Fsw*IF(VfdSky_Q2&gt;0,VfdSky_Q2,0)*Table1[[#This Row],[Iout]]+2*Deadtime*Fsw*IF(VfdSky_Q3&gt;0,VfdSky_Q3,0)*Table1[[#This Row],[Iin]])</f>
        <v>0</v>
      </c>
      <c r="BA130" s="354">
        <f>CHOOSE(Table1[[#This Row],[Mode Digit]], IF(QrrSky_Q2&gt;0,QrrSky_Q2,Qrr_Q2)*Fsw*(Table1[[#This Row],[Vin]]-Table1[[#This Row],[Iout]]*Rdson1),0,  IF(QrrSky_Q2&gt;0,QrrSky_Q2,Qrr_Q2)*Fsw*(Table1[[#This Row],[Vin]]-Table1[[#This Row],[Iout]]*Rdson1)+IF(QrrSky_Q3&gt;0,QrrSky_Q3,Qrr_Q3)*Fsw*Vout)</f>
        <v>0.34103519999999998</v>
      </c>
      <c r="BB130" s="354">
        <f>CHOOSE(Table1[[#This Row],[Mode Digit]],0, IF(QrrSky_Q3&gt;0,QrrSky_Q3,Qrr_Q3)*Fsw*Vout,  IF(QrrSky_Q2&gt;0,QrrSky_Q2,Qrr_Q2)*Fsw*(Table1[[#This Row],[Vin]]-Table1[[#This Row],[Iout]]*Rdson1)+IF(QrrSky_Q3&gt;0,QrrSky_Q3,Qrr_Q3)*Fsw*Vout)</f>
        <v>0</v>
      </c>
      <c r="BC130" s="354">
        <f>CHOOSE(Table1[[#This Row],[Mode Digit]], Rs*Table1[[#This Row],[Irms BuSync]]^2, Rs*Table1[[#This Row],[Irms BoCtlr]]^2, Rs*(Table1[[#This Row],[Irms BuSync]]^2+Table1[[#This Row],[Irms BoCtlr]]^2))</f>
        <v>0.17574841867923222</v>
      </c>
      <c r="BD130" s="354">
        <f t="shared" si="5"/>
        <v>1.44</v>
      </c>
      <c r="BE130" s="354">
        <f>IF(Vout&gt;8, Iq*Vout, Iq*Table1[[#This Row],[Vin]])</f>
        <v>4.3799999999999999E-2</v>
      </c>
      <c r="BF130" s="354">
        <f>CHOOSE(Table1[[#This Row],[Mode Digit]], (Qg_Q1+Qg_Q2)*Fsw, (Qg_Q3+Qg_Q4)*Fsw, (Qg_Q1+Qg_Q2+Qg_Q3+Qg_Q4)*Fsw)*IF(Vout&gt;8, Vout, Table1[[#This Row],[Vin]])</f>
        <v>0.47303999999999996</v>
      </c>
      <c r="BG130" s="354">
        <f t="shared" si="6"/>
        <v>0.57269042016806726</v>
      </c>
      <c r="BH130" s="354">
        <f>Table1[[#This Row],[IQ Loss]]+Table1[[#This Row],[Switching Current Loss]]</f>
        <v>0.51683999999999997</v>
      </c>
      <c r="BI13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10.172294942254615</v>
      </c>
      <c r="BJ130">
        <f>Vout*Table1[[#This Row],[Iout]]</f>
        <v>175.2</v>
      </c>
      <c r="BK130" s="550">
        <f>Table1[[#This Row],[Pout]]/(Table1[[#This Row],[Pout]]+Table1[[#This Row],[Total Loss]])</f>
        <v>0.94512505255748502</v>
      </c>
      <c r="BL13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240.55972277541312</v>
      </c>
      <c r="BM130" s="559">
        <f>IF(Table1[[#This Row],[Vin]]&gt;Vout, Table1[[#This Row],[Total Sync Bu MOSFET Loss]]*ThetaJA_Q2, ThetaJA_Q3*Table1[[#This Row],[Total Sync Bo MOSFET Loss]])</f>
        <v>56.350846622178096</v>
      </c>
      <c r="BN130" s="9"/>
      <c r="BO130" s="4">
        <f>Table1[[#This Row],[EFF, h]]*100</f>
        <v>94.512505255748508</v>
      </c>
      <c r="BP130" s="354">
        <f>Table1[[#This Row],[Total Inductor Loss]]</f>
        <v>1.9514884578801168</v>
      </c>
      <c r="BQ130" s="354">
        <f>Table1[[#This Row],[Total Control Bu MOSFET Loss]]+Table1[[#This Row],[Total Sync Bu MOSFET Loss]]+Table1[[#This Row],[Total Control Bo MOSFET Loss]]+Table1[[#This Row],[Total Sync Bo MOSFET Loss]]+Table1[[#This Row],[Reverse Recovery Loss MOSFET D BUCK]]+Table1[[#This Row],[Reverse Recovery Loss MOSFET D BOOST]]</f>
        <v>6.0068949726806107</v>
      </c>
      <c r="BR130" s="354">
        <f>Table1[[#This Row],[Total Control Bu MOSFET Loss]]+Table1[[#This Row],[Reverse Recovery Loss MOSFET D BUCK]]*0.66</f>
        <v>4.2344119449235524</v>
      </c>
      <c r="BS130" s="354">
        <f>Table1[[#This Row],[Total Sync Bu MOSFET Loss]]+Table1[[#This Row],[Reverse Recovery Loss MOSFET D BUCK]]*0.33</f>
        <v>1.0517223930363016</v>
      </c>
      <c r="BT130" s="354">
        <f xml:space="preserve"> Table1[[#This Row],[Total Control Bo MOSFET Loss]]+Table1[[#This Row],[Reverse Recovery Loss MOSFET D BOOST]]*0.66</f>
        <v>0</v>
      </c>
      <c r="BU130" s="354">
        <f xml:space="preserve"> Table1[[#This Row],[Total Sync Bo MOSFET Loss]]+Table1[[#This Row],[Reverse Recovery Loss MOSFET D BOOST]]*0.33</f>
        <v>0.7173502827207564</v>
      </c>
      <c r="BV130" s="354">
        <f>Table1[[#This Row],[Isense Shunt Loss]]</f>
        <v>0.17574841867923222</v>
      </c>
    </row>
    <row r="131" spans="7:74" x14ac:dyDescent="0.2">
      <c r="G131">
        <v>122</v>
      </c>
      <c r="H131" s="555">
        <f>VIN_min+(VIN_max-VIN_min)*(Table1[[#This Row],[Step]]/200)</f>
        <v>28.54</v>
      </c>
      <c r="I131" s="4" t="str">
        <f>IF(Mode = 2,IF(Table1[[#This Row],[Vin]]&gt;Vout, "BUCK","BOOST"),IF(Table1[[#This Row],[Vin]]&gt;VIN_BB_to_buck, "BUCK", IF(Table1[[#This Row],[Vin]]&lt;=VIN_boost_to_BB,"BOOST","BUCK-BST")))</f>
        <v>BUCK</v>
      </c>
      <c r="J131">
        <f>IF(Table1[[#This Row],[Mode]]="BOOST",2, IF(Table1[[#This Row],[Mode]]="BUCK", 1,3))</f>
        <v>1</v>
      </c>
      <c r="K131">
        <f t="shared" si="4"/>
        <v>12</v>
      </c>
      <c r="L131" s="4">
        <f>Vout*Table1[[#This Row],[Iout]]/(Table1[[#This Row],[Vin]]*Efficiency)</f>
        <v>6.4618448714638728</v>
      </c>
      <c r="M131" s="711">
        <f>MIN(1/Fsw,CHOOSE(Table1[[#This Row],[Mode Digit]],(Vout+(Rdson2+Rs+Rdcr)*Table1[[#This Row],[Iout]])/(Table1[[#This Row],[Vin]]+(Rs+Rdson2-Rdson1)*Table1[[#This Row],[Iout]])/Fsw,(Vout+(Rdson3+Rdcr)*Table1[[#This Row],[Iin]]-Table1[[#This Row],[Vin]])/(Vout+(Rdson3-Rdson4-Rs)*Table1[[#This Row],[Iin]])/Fsw,t1_Ph_II))</f>
        <v>8.6045968965114922E-7</v>
      </c>
      <c r="N131" s="602">
        <f>CHOOSE(Table1[[#This Row],[Mode Digit]],1/Fsw-Table1[[#This Row],[t1_Ph_II]],1/Fsw-Table1[[#This Row],[t1_Ph_II]],(Vout/Fsw-Table1[[#This Row],[Vin]]*t1_Ph_II)/(Table1[[#This Row],[Vin]]+Vout))</f>
        <v>8.0620697701551744E-7</v>
      </c>
      <c r="O131" s="602">
        <f>1/Fsw-(Table1[[#This Row],[t1_Ph_II]]+Table1[[#This Row],[t2_Ph_I]])</f>
        <v>0</v>
      </c>
      <c r="P13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9.7282560466407162</v>
      </c>
      <c r="Q131" s="4">
        <f>CHOOSE(Table1[[#This Row],[Mode Digit]],Table1[[#This Row],[I_0]]+1/Lf*(Table1[[#This Row],[Vin]]-Vout)*Table1[[#This Row],[t1_Ph_II]],Table1[[#This Row],[I_0]]+1/Lf*Table1[[#This Row],[Vin]]*Table1[[#This Row],[t1_Ph_II]],Table1[[#This Row],[I_0]]+(Table1[[#This Row],[Vin]]-Vout)/L*Table1[[#This Row],[t1_Ph_II]])</f>
        <v>14.271743953359284</v>
      </c>
      <c r="R131" s="4">
        <f>CHOOSE(Table1[[#This Row],[Mode Digit]],0,0,Table1[[#This Row],[I_1]]+Table1[[#This Row],[Vin]]/L*Table1[[#This Row],[t2_Ph_I]])</f>
        <v>0</v>
      </c>
      <c r="S131" s="4">
        <f>Fsw*(Table1[[#This Row],[I_0]]*Table1[[#This Row],[t1_Ph_II]]+Table1[[#This Row],[I_1]]*Table1[[#This Row],[t2_Ph_I]]+Table1[[#This Row],[I_2]]*Table1[[#This Row],[t3_Ph_III]])</f>
        <v>11.926051036869998</v>
      </c>
      <c r="T131" s="354">
        <f>MIN(1,CHOOSE(Table1[[#This Row],[Mode Digit]],(Vout+(Rdson2+Rs+Rdcr)*Table1[[#This Row],[Iout]])/(Table1[[#This Row],[Vin]]+(Rs+Rdson2-Rdson1)*Table1[[#This Row],[Iout]]),1,Fsw*Table1[[#This Row],[t2_Ph_I]]+Table1[[#This Row],[t1_Ph_II]]))</f>
        <v>0.51627581379068954</v>
      </c>
      <c r="U131" s="354">
        <f>MIN(1,CHOOSE(Table1[[#This Row],[Mode Digit]],0,(Vout+(Rdson3+Rdcr)*Table1[[#This Row],[Iin]]-Table1[[#This Row],[Vin]])/(Vout+(Rdson3-Rdson4-Rs)*Table1[[#This Row],[Iin]]),Fsw*Table1[[#This Row],[t1_Ph_II]]+Table1[[#This Row],[t3_Ph_III]]))</f>
        <v>0</v>
      </c>
      <c r="V131" s="4">
        <f>MAX(Table1[[#This Row],[I_0]:[I_2]])-MIN(Table1[[#This Row],[I_0]:[I_1]])</f>
        <v>4.5434879067185676</v>
      </c>
      <c r="W13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12.071465260268731</v>
      </c>
      <c r="X131" s="354">
        <f>(Table1[[#This Row],[Irms Lf]]^2*Rdcr*(1+Ltc*Ta-Ltc*25))/(1-Table1[[#This Row],[Irms Lf]]^2*Rdcr*Ltc*ThetaCa)</f>
        <v>0.90646767973524711</v>
      </c>
      <c r="Y131" s="354">
        <f>ABS(7.759*10^-3*Fsw^0.9458*(0.00787*Table1[[#This Row],[Ripple Current pk-pk]])^2.304)</f>
        <v>1.0513131850484214</v>
      </c>
      <c r="Z131" s="354">
        <f>Table1[[#This Row],[DCR    Loss]]+Table1[[#This Row],[Core Loss]]</f>
        <v>1.9577808647836685</v>
      </c>
      <c r="AA131" s="4">
        <f>IF(Table1[[#This Row],[Vin]]&gt;Vout, Table1[[#This Row],[Ripple Current pk-pk]]/SQRT(12), SQRT(Table1[[#This Row],[Duty Cycle BOOST Leg]]/(1-Table1[[#This Row],[Duty Cycle BOOST Leg]]))*SQRT(Table1[[#This Row],[Iout]]^2+(Table1[[#This Row],[Ripple Current pk-pk]]^2)/12))</f>
        <v>1.3115919830018872</v>
      </c>
      <c r="AB131" s="354">
        <f>RCoutEsr*Table1[[#This Row],[Irms Cout]]^2</f>
        <v>8.6013676493741139E-3</v>
      </c>
      <c r="AC131" s="354">
        <f>Table1[[#This Row],[Cout ESR Loss]]</f>
        <v>8.6013676493741139E-3</v>
      </c>
      <c r="AD131" s="354">
        <f>IF(Table1[[#This Row],[Vin]]&gt;Vout, SQRT(Table1[[#This Row],[Duty Cycle BUCK Leg]]*(1-Table1[[#This Row],[Duty Cycle BUCK Leg]]))*SQRT(Table1[[#This Row],[Iout]]^2+(Table1[[#This Row],[Ripple Current pk-pk]]^2)/12), Table1[[#This Row],[Ripple Current pk-pk]]/SQRT(12))</f>
        <v>6.0325340259196176</v>
      </c>
      <c r="AE131" s="354">
        <f>RCinEsr*Table1[[#This Row],[Irms Cin]]^2</f>
        <v>7.2782933547755904E-2</v>
      </c>
      <c r="AF131" s="549">
        <f>Table1[[#This Row],[Cin ESR Loss]]</f>
        <v>7.2782933547755904E-2</v>
      </c>
      <c r="AG13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8.6736297363005992</v>
      </c>
      <c r="AH131" s="354">
        <f>Rdson1*Table1[[#This Row],[Irms BuCtrl]]^2</f>
        <v>0.31597378177023966</v>
      </c>
      <c r="AI131" s="354">
        <f>CHOOSE(Table1[[#This Row],[Mode Digit]], (Table1[[#This Row],[Vin]]*Table1[[#This Row],[Iout]]/2)*(Fsw)*(Tr_buck+Tf_buck), 0, (Table1[[#This Row],[Vin]]*Table1[[#This Row],[Avg IL]]/2)*(Fsw/1)*(Tr_buck+Tf_buck))</f>
        <v>3.3961573505758746</v>
      </c>
      <c r="AJ131">
        <f>IF(Table1[[#This Row],[Vin]]&gt;Vout, IF(Table1[[#This Row],[Iout]]&gt;Table1[[#This Row],[Ripple Current pk-pk]]/2,0,ABS(Table1[[#This Row],[Iout]]-Table1[[#This Row],[Ripple Current pk-pk]]/2)*Vsd_Q1*Deadtime*Fsw),0)</f>
        <v>0</v>
      </c>
      <c r="AK131" s="354">
        <f>(Table1[[#This Row],[Dead Time Loss BuCtrl]]+Table1[[#This Row],[Transition Loss BuCtrl]]+Table1[[#This Row],[RDS(on) Loss BuCtrl]]*(1+RdsonTopTc*Ta-RdsonTopTc*25))/(1-Table1[[#This Row],[RDS(on) Loss BuCtrl]]*RdsonTopTc*ThetaJA_Q1)</f>
        <v>4.0167350432201943</v>
      </c>
      <c r="AL131" s="354">
        <f>CHOOSE(Table1[[#This Row],[Mode Digit]],SQRT((Fsw*(Table1[[#This Row],[t2_Ph_I]]+0))*((Table1[[#This Row],[I_0]]*Table1[[#This Row],[I_1]]+((Table1[[#This Row],[I_0]]-Table1[[#This Row],[I_1]])^2)/3))),0,SQRT((Fsw*(Table1[[#This Row],[t3_Ph_III]]+0))*((Table1[[#This Row],[I_0]]*Table1[[#This Row],[I_2]]+((Table1[[#This Row],[I_0]]-Table1[[#This Row],[I_2]])^2)/3))))</f>
        <v>8.3957382479110692</v>
      </c>
      <c r="AM131" s="354">
        <f>Rdson2*Table1[[#This Row],[Irms BuSync]]^2</f>
        <v>0.29605136705523472</v>
      </c>
      <c r="AN13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1" s="354">
        <f>(Table1[[#This Row],[Deadtime Loss BuSync]]+Table1[[#This Row],[RDS(on) Loss BuSync]]*(1+RdsonBotTc*Ta-RdsonBotTc*25))/(1-Table1[[#This Row],[RDS(on) Loss BuSync]]*RdsonBotTc*ThetaJA_Q2)</f>
        <v>0.94022819803605207</v>
      </c>
      <c r="AP131" s="354">
        <f>CHOOSE(Table1[[#This Row],[Mode Digit]],0,SQRT((Fsw*(Table1[[#This Row],[t1_Ph_II]]+0))*((Table1[[#This Row],[I_0]]*Table1[[#This Row],[I_1]]+((Table1[[#This Row],[I_0]]-Table1[[#This Row],[I_1]])^2)/3))),SQRT((Fsw*(Table1[[#This Row],[t2_Ph_I]]+0))*((Table1[[#This Row],[I_1]]*Table1[[#This Row],[I_2]]+((Table1[[#This Row],[I_1]]-Table1[[#This Row],[I_2]])^2)/3))))</f>
        <v>0</v>
      </c>
      <c r="AQ131" s="354">
        <f>Rdson4*Table1[[#This Row],[Irms BoCtlr]]^2</f>
        <v>0</v>
      </c>
      <c r="AR131" s="354">
        <f>CHOOSE(Table1[[#This Row],[Mode Digit]], 0, (Vout*Table1[[#This Row],[Iin]]/2)*(Fsw)*(Tr_boost+Tf_boost), (Vout*Iout/2)*(Fsw/1)*(Tr_boost+Tf_boost))</f>
        <v>0</v>
      </c>
      <c r="AS131">
        <f>IF(Table1[[#This Row],[Vin]]&gt;Vout, 0, IF(Table1[[#This Row],[Iin]]&gt;Table1[[#This Row],[Ripple Current pk-pk]]/2,0,ABS(Table1[[#This Row],[Iin]]-Table1[[#This Row],[Ripple Current pk-pk]]/2)*Vsd_Q4*Deadtime*Fsw))</f>
        <v>0</v>
      </c>
      <c r="AT131" s="354">
        <f>(Table1[[#This Row],[Dead Time Loss BoCtlr]]+Table1[[#This Row],[Transition Loss BoCtlr]]+Table1[[#This Row],[RDS(on) Loss BoCtlr]]*(1+RdsonTopTc*Ta-RdsonTopTc*25))/(1-Table1[[#This Row],[RDS(on) Loss BoCtlr]]*RdsonTopTc*ThetaJA_Q4)</f>
        <v>0</v>
      </c>
      <c r="AU13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12.071465260268731</v>
      </c>
      <c r="AV131" s="354">
        <f>Rdson3*Table1[[#This Row],[Irms BoSync]]^2</f>
        <v>0.61202514882547432</v>
      </c>
      <c r="AW13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1" s="354">
        <f>(Table1[[#This Row],[Deadtime Loss BoSync]]+Table1[[#This Row],[RDS(on) Loss BoSync]]*(1+RdsonBotTc*Ta-RdsonBotTc*25))/(1-Table1[[#This Row],[RDS(on) Loss BoSync]]*RdsonBotTc*ThetaJA_Q3)</f>
        <v>0.71740139588577734</v>
      </c>
      <c r="AY131" s="354">
        <f>CHOOSE(Table1[[#This Row],[Mode Digit]], Rdson3*Table1[[#This Row],[Irms Lf]]^2, Rdson1*Table1[[#This Row],[Irms Lf]]^2, 0)</f>
        <v>0.61202514882547432</v>
      </c>
      <c r="AZ131" s="354">
        <f>CHOOSE(Table1[[#This Row],[Mode Digit]], 2*Deadtime*Fsw*IF(VfdSky_Q2&gt;0,VfdSky_Q2,0)*Table1[[#This Row],[Iout]], 2*Deadtime*Fsw*IF(VfdSky_Q3&gt;0,VfdSky_Q3,0)*Table1[[#This Row],[Iin]], 2*Deadtime*Fsw*IF(VfdSky_Q2&gt;0,VfdSky_Q2,0)*Table1[[#This Row],[Iout]]+2*Deadtime*Fsw*IF(VfdSky_Q3&gt;0,VfdSky_Q3,0)*Table1[[#This Row],[Iin]])</f>
        <v>0</v>
      </c>
      <c r="BA131" s="354">
        <f>CHOOSE(Table1[[#This Row],[Mode Digit]], IF(QrrSky_Q2&gt;0,QrrSky_Q2,Qrr_Q2)*Fsw*(Table1[[#This Row],[Vin]]-Table1[[#This Row],[Iout]]*Rdson1),0,  IF(QrrSky_Q2&gt;0,QrrSky_Q2,Qrr_Q2)*Fsw*(Table1[[#This Row],[Vin]]-Table1[[#This Row],[Iout]]*Rdson1)+IF(QrrSky_Q3&gt;0,QrrSky_Q3,Qrr_Q3)*Fsw*Vout)</f>
        <v>0.34187519999999999</v>
      </c>
      <c r="BB131" s="354">
        <f>CHOOSE(Table1[[#This Row],[Mode Digit]],0, IF(QrrSky_Q3&gt;0,QrrSky_Q3,Qrr_Q3)*Fsw*Vout,  IF(QrrSky_Q2&gt;0,QrrSky_Q2,Qrr_Q2)*Fsw*(Table1[[#This Row],[Vin]]-Table1[[#This Row],[Iout]]*Rdson1)+IF(QrrSky_Q3&gt;0,QrrSky_Q3,Qrr_Q3)*Fsw*Vout)</f>
        <v>0</v>
      </c>
      <c r="BC131" s="354">
        <f>CHOOSE(Table1[[#This Row],[Mode Digit]], Rs*Table1[[#This Row],[Irms BuSync]]^2, Rs*Table1[[#This Row],[Irms BoCtlr]]^2, Rs*(Table1[[#This Row],[Irms BuSync]]^2+Table1[[#This Row],[Irms BoCtlr]]^2))</f>
        <v>0.17622105181859207</v>
      </c>
      <c r="BD131" s="354">
        <f t="shared" si="5"/>
        <v>1.44</v>
      </c>
      <c r="BE131" s="354">
        <f>IF(Vout&gt;8, Iq*Vout, Iq*Table1[[#This Row],[Vin]])</f>
        <v>4.3799999999999999E-2</v>
      </c>
      <c r="BF131" s="354">
        <f>CHOOSE(Table1[[#This Row],[Mode Digit]], (Qg_Q1+Qg_Q2)*Fsw, (Qg_Q3+Qg_Q4)*Fsw, (Qg_Q1+Qg_Q2+Qg_Q3+Qg_Q4)*Fsw)*IF(Vout&gt;8, Vout, Table1[[#This Row],[Vin]])</f>
        <v>0.47303999999999996</v>
      </c>
      <c r="BG131" s="354">
        <f t="shared" si="6"/>
        <v>0.57269042016806726</v>
      </c>
      <c r="BH131" s="354">
        <f>Table1[[#This Row],[IQ Loss]]+Table1[[#This Row],[Switching Current Loss]]</f>
        <v>0.51683999999999997</v>
      </c>
      <c r="BI13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10.188466054941413</v>
      </c>
      <c r="BJ131">
        <f>Vout*Table1[[#This Row],[Iout]]</f>
        <v>175.2</v>
      </c>
      <c r="BK131" s="550">
        <f>Table1[[#This Row],[Pout]]/(Table1[[#This Row],[Pout]]+Table1[[#This Row],[Total Loss]])</f>
        <v>0.94504261094688613</v>
      </c>
      <c r="BL13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241.00410259321166</v>
      </c>
      <c r="BM131" s="559">
        <f>IF(Table1[[#This Row],[Vin]]&gt;Vout, Table1[[#This Row],[Total Sync Bu MOSFET Loss]]*ThetaJA_Q2, ThetaJA_Q3*Table1[[#This Row],[Total Sync Bo MOSFET Loss]])</f>
        <v>56.413691882163121</v>
      </c>
      <c r="BN131" s="9"/>
      <c r="BO131" s="4">
        <f>Table1[[#This Row],[EFF, h]]*100</f>
        <v>94.504261094688616</v>
      </c>
      <c r="BP131" s="354">
        <f>Table1[[#This Row],[Total Inductor Loss]]</f>
        <v>1.9577808647836685</v>
      </c>
      <c r="BQ131" s="354">
        <f>Table1[[#This Row],[Total Control Bu MOSFET Loss]]+Table1[[#This Row],[Total Sync Bu MOSFET Loss]]+Table1[[#This Row],[Total Control Bo MOSFET Loss]]+Table1[[#This Row],[Total Sync Bo MOSFET Loss]]+Table1[[#This Row],[Reverse Recovery Loss MOSFET D BUCK]]+Table1[[#This Row],[Reverse Recovery Loss MOSFET D BOOST]]</f>
        <v>6.0162398371420229</v>
      </c>
      <c r="BR131" s="354">
        <f>Table1[[#This Row],[Total Control Bu MOSFET Loss]]+Table1[[#This Row],[Reverse Recovery Loss MOSFET D BUCK]]*0.66</f>
        <v>4.242372675220194</v>
      </c>
      <c r="BS131" s="354">
        <f>Table1[[#This Row],[Total Sync Bu MOSFET Loss]]+Table1[[#This Row],[Reverse Recovery Loss MOSFET D BUCK]]*0.33</f>
        <v>1.0530470140360522</v>
      </c>
      <c r="BT131" s="354">
        <f xml:space="preserve"> Table1[[#This Row],[Total Control Bo MOSFET Loss]]+Table1[[#This Row],[Reverse Recovery Loss MOSFET D BOOST]]*0.66</f>
        <v>0</v>
      </c>
      <c r="BU131" s="354">
        <f xml:space="preserve"> Table1[[#This Row],[Total Sync Bo MOSFET Loss]]+Table1[[#This Row],[Reverse Recovery Loss MOSFET D BOOST]]*0.33</f>
        <v>0.71740139588577734</v>
      </c>
      <c r="BV131" s="354">
        <f>Table1[[#This Row],[Isense Shunt Loss]]</f>
        <v>0.17622105181859207</v>
      </c>
    </row>
    <row r="132" spans="7:74" x14ac:dyDescent="0.2">
      <c r="G132">
        <v>123</v>
      </c>
      <c r="H132" s="555">
        <f>VIN_min+(VIN_max-VIN_min)*(Table1[[#This Row],[Step]]/200)</f>
        <v>28.61</v>
      </c>
      <c r="I132" s="4" t="str">
        <f>IF(Mode = 2,IF(Table1[[#This Row],[Vin]]&gt;Vout, "BUCK","BOOST"),IF(Table1[[#This Row],[Vin]]&gt;VIN_BB_to_buck, "BUCK", IF(Table1[[#This Row],[Vin]]&lt;=VIN_boost_to_BB,"BOOST","BUCK-BST")))</f>
        <v>BUCK</v>
      </c>
      <c r="J132">
        <f>IF(Table1[[#This Row],[Mode]]="BOOST",2, IF(Table1[[#This Row],[Mode]]="BUCK", 1,3))</f>
        <v>1</v>
      </c>
      <c r="K132">
        <f t="shared" si="4"/>
        <v>12</v>
      </c>
      <c r="L132" s="4">
        <f>Vout*Table1[[#This Row],[Iout]]/(Table1[[#This Row],[Vin]]*Efficiency)</f>
        <v>6.4460346952666532</v>
      </c>
      <c r="M132" s="711">
        <f>MIN(1/Fsw,CHOOSE(Table1[[#This Row],[Mode Digit]],(Vout+(Rdson2+Rs+Rdcr)*Table1[[#This Row],[Iout]])/(Table1[[#This Row],[Vin]]+(Rs+Rdson2-Rdson1)*Table1[[#This Row],[Iout]])/Fsw,(Vout+(Rdson3+Rdcr)*Table1[[#This Row],[Iin]]-Table1[[#This Row],[Vin]])/(Vout+(Rdson3-Rdson4-Rs)*Table1[[#This Row],[Iin]])/Fsw,t1_Ph_II))</f>
        <v>8.5835661080074488E-7</v>
      </c>
      <c r="N132" s="602">
        <f>CHOOSE(Table1[[#This Row],[Mode Digit]],1/Fsw-Table1[[#This Row],[t1_Ph_II]],1/Fsw-Table1[[#This Row],[t1_Ph_II]],(Vout/Fsw-Table1[[#This Row],[Vin]]*t1_Ph_II)/(Table1[[#This Row],[Vin]]+Vout))</f>
        <v>8.0831005586592179E-7</v>
      </c>
      <c r="O132" s="602">
        <f>1/Fsw-(Table1[[#This Row],[t1_Ph_II]]+Table1[[#This Row],[t2_Ph_I]])</f>
        <v>0</v>
      </c>
      <c r="P13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9.7224287656593873</v>
      </c>
      <c r="Q132" s="4">
        <f>CHOOSE(Table1[[#This Row],[Mode Digit]],Table1[[#This Row],[I_0]]+1/Lf*(Table1[[#This Row],[Vin]]-Vout)*Table1[[#This Row],[t1_Ph_II]],Table1[[#This Row],[I_0]]+1/Lf*Table1[[#This Row],[Vin]]*Table1[[#This Row],[t1_Ph_II]],Table1[[#This Row],[I_0]]+(Table1[[#This Row],[Vin]]-Vout)/L*Table1[[#This Row],[t1_Ph_II]])</f>
        <v>14.277571234340613</v>
      </c>
      <c r="R132" s="4">
        <f>CHOOSE(Table1[[#This Row],[Mode Digit]],0,0,Table1[[#This Row],[I_1]]+Table1[[#This Row],[Vin]]/L*Table1[[#This Row],[t2_Ph_I]])</f>
        <v>0</v>
      </c>
      <c r="S132" s="4">
        <f>Fsw*(Table1[[#This Row],[I_0]]*Table1[[#This Row],[t1_Ph_II]]+Table1[[#This Row],[I_1]]*Table1[[#This Row],[t2_Ph_I]]+Table1[[#This Row],[I_2]]*Table1[[#This Row],[t3_Ph_III]])</f>
        <v>11.93160924366156</v>
      </c>
      <c r="T132" s="354">
        <f>MIN(1,CHOOSE(Table1[[#This Row],[Mode Digit]],(Vout+(Rdson2+Rs+Rdcr)*Table1[[#This Row],[Iout]])/(Table1[[#This Row],[Vin]]+(Rs+Rdson2-Rdson1)*Table1[[#This Row],[Iout]]),1,Fsw*Table1[[#This Row],[t2_Ph_I]]+Table1[[#This Row],[t1_Ph_II]]))</f>
        <v>0.51501396648044695</v>
      </c>
      <c r="U132" s="354">
        <f>MIN(1,CHOOSE(Table1[[#This Row],[Mode Digit]],0,(Vout+(Rdson3+Rdcr)*Table1[[#This Row],[Iin]]-Table1[[#This Row],[Vin]])/(Vout+(Rdson3-Rdson4-Rs)*Table1[[#This Row],[Iin]]),Fsw*Table1[[#This Row],[t1_Ph_II]]+Table1[[#This Row],[t3_Ph_III]]))</f>
        <v>0</v>
      </c>
      <c r="V132" s="4">
        <f>MAX(Table1[[#This Row],[I_0]:[I_2]])-MIN(Table1[[#This Row],[I_0]:[I_1]])</f>
        <v>4.5551424686812254</v>
      </c>
      <c r="W13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12.071831271290144</v>
      </c>
      <c r="X132" s="354">
        <f>(Table1[[#This Row],[Irms Lf]]^2*Rdcr*(1+Ltc*Ta-Ltc*25))/(1-Table1[[#This Row],[Irms Lf]]^2*Rdcr*Ltc*ThetaCa)</f>
        <v>0.90652663591578542</v>
      </c>
      <c r="Y132" s="354">
        <f>ABS(7.759*10^-3*Fsw^0.9458*(0.00787*Table1[[#This Row],[Ripple Current pk-pk]])^2.304)</f>
        <v>1.0575368626011648</v>
      </c>
      <c r="Z132" s="354">
        <f>Table1[[#This Row],[DCR    Loss]]+Table1[[#This Row],[Core Loss]]</f>
        <v>1.9640634985169503</v>
      </c>
      <c r="AA132" s="4">
        <f>IF(Table1[[#This Row],[Vin]]&gt;Vout, Table1[[#This Row],[Ripple Current pk-pk]]/SQRT(12), SQRT(Table1[[#This Row],[Duty Cycle BOOST Leg]]/(1-Table1[[#This Row],[Duty Cycle BOOST Leg]]))*SQRT(Table1[[#This Row],[Iout]]^2+(Table1[[#This Row],[Ripple Current pk-pk]]^2)/12))</f>
        <v>1.3149563652451011</v>
      </c>
      <c r="AB132" s="354">
        <f>RCoutEsr*Table1[[#This Row],[Irms Cout]]^2</f>
        <v>8.6455512124930384E-3</v>
      </c>
      <c r="AC132" s="354">
        <f>Table1[[#This Row],[Cout ESR Loss]]</f>
        <v>8.6455512124930384E-3</v>
      </c>
      <c r="AD132" s="354">
        <f>IF(Table1[[#This Row],[Vin]]&gt;Vout, SQRT(Table1[[#This Row],[Duty Cycle BUCK Leg]]*(1-Table1[[#This Row],[Duty Cycle BUCK Leg]]))*SQRT(Table1[[#This Row],[Iout]]^2+(Table1[[#This Row],[Ripple Current pk-pk]]^2)/12), Table1[[#This Row],[Ripple Current pk-pk]]/SQRT(12))</f>
        <v>6.0331937995319471</v>
      </c>
      <c r="AE132" s="354">
        <f>RCinEsr*Table1[[#This Row],[Irms Cin]]^2</f>
        <v>7.2798854845421465E-2</v>
      </c>
      <c r="AF132" s="549">
        <f>Table1[[#This Row],[Cin ESR Loss]]</f>
        <v>7.2798854845421465E-2</v>
      </c>
      <c r="AG13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8.6632861604390925</v>
      </c>
      <c r="AH132" s="354">
        <f>Rdson1*Table1[[#This Row],[Irms BuCtrl]]^2</f>
        <v>0.31522061381015321</v>
      </c>
      <c r="AI132" s="354">
        <f>CHOOSE(Table1[[#This Row],[Mode Digit]], (Table1[[#This Row],[Vin]]*Table1[[#This Row],[Iout]]/2)*(Fsw)*(Tr_buck+Tf_buck), 0, (Table1[[#This Row],[Vin]]*Table1[[#This Row],[Avg IL]]/2)*(Fsw/1)*(Tr_buck+Tf_buck))</f>
        <v>3.4044870988078406</v>
      </c>
      <c r="AJ132">
        <f>IF(Table1[[#This Row],[Vin]]&gt;Vout, IF(Table1[[#This Row],[Iout]]&gt;Table1[[#This Row],[Ripple Current pk-pk]]/2,0,ABS(Table1[[#This Row],[Iout]]-Table1[[#This Row],[Ripple Current pk-pk]]/2)*Vsd_Q1*Deadtime*Fsw),0)</f>
        <v>0</v>
      </c>
      <c r="AK132" s="354">
        <f>(Table1[[#This Row],[Dead Time Loss BuCtrl]]+Table1[[#This Row],[Transition Loss BuCtrl]]+Table1[[#This Row],[RDS(on) Loss BuCtrl]]*(1+RdsonTopTc*Ta-RdsonTopTc*25))/(1-Table1[[#This Row],[RDS(on) Loss BuCtrl]]*RdsonTopTc*ThetaJA_Q1)</f>
        <v>4.0241462357789688</v>
      </c>
      <c r="AL132" s="354">
        <f>CHOOSE(Table1[[#This Row],[Mode Digit]],SQRT((Fsw*(Table1[[#This Row],[t2_Ph_I]]+0))*((Table1[[#This Row],[I_0]]*Table1[[#This Row],[I_1]]+((Table1[[#This Row],[I_0]]-Table1[[#This Row],[I_1]])^2)/3))),0,SQRT((Fsw*(Table1[[#This Row],[t3_Ph_III]]+0))*((Table1[[#This Row],[I_0]]*Table1[[#This Row],[I_2]]+((Table1[[#This Row],[I_0]]-Table1[[#This Row],[I_2]])^2)/3))))</f>
        <v>8.4069366088274435</v>
      </c>
      <c r="AM132" s="354">
        <f>Rdson2*Table1[[#This Row],[Irms BuSync]]^2</f>
        <v>0.296841649208341</v>
      </c>
      <c r="AN13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2" s="354">
        <f>(Table1[[#This Row],[Deadtime Loss BuSync]]+Table1[[#This Row],[RDS(on) Loss BuSync]]*(1+RdsonBotTc*Ta-RdsonBotTc*25))/(1-Table1[[#This Row],[RDS(on) Loss BuSync]]*RdsonBotTc*ThetaJA_Q2)</f>
        <v>0.94127111027398458</v>
      </c>
      <c r="AP132" s="354">
        <f>CHOOSE(Table1[[#This Row],[Mode Digit]],0,SQRT((Fsw*(Table1[[#This Row],[t1_Ph_II]]+0))*((Table1[[#This Row],[I_0]]*Table1[[#This Row],[I_1]]+((Table1[[#This Row],[I_0]]-Table1[[#This Row],[I_1]])^2)/3))),SQRT((Fsw*(Table1[[#This Row],[t2_Ph_I]]+0))*((Table1[[#This Row],[I_1]]*Table1[[#This Row],[I_2]]+((Table1[[#This Row],[I_1]]-Table1[[#This Row],[I_2]])^2)/3))))</f>
        <v>0</v>
      </c>
      <c r="AQ132" s="354">
        <f>Rdson4*Table1[[#This Row],[Irms BoCtlr]]^2</f>
        <v>0</v>
      </c>
      <c r="AR132" s="354">
        <f>CHOOSE(Table1[[#This Row],[Mode Digit]], 0, (Vout*Table1[[#This Row],[Iin]]/2)*(Fsw)*(Tr_boost+Tf_boost), (Vout*Iout/2)*(Fsw/1)*(Tr_boost+Tf_boost))</f>
        <v>0</v>
      </c>
      <c r="AS132">
        <f>IF(Table1[[#This Row],[Vin]]&gt;Vout, 0, IF(Table1[[#This Row],[Iin]]&gt;Table1[[#This Row],[Ripple Current pk-pk]]/2,0,ABS(Table1[[#This Row],[Iin]]-Table1[[#This Row],[Ripple Current pk-pk]]/2)*Vsd_Q4*Deadtime*Fsw))</f>
        <v>0</v>
      </c>
      <c r="AT132" s="354">
        <f>(Table1[[#This Row],[Dead Time Loss BoCtlr]]+Table1[[#This Row],[Transition Loss BoCtlr]]+Table1[[#This Row],[RDS(on) Loss BoCtlr]]*(1+RdsonTopTc*Ta-RdsonTopTc*25))/(1-Table1[[#This Row],[RDS(on) Loss BoCtlr]]*RdsonTopTc*ThetaJA_Q4)</f>
        <v>0</v>
      </c>
      <c r="AU13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12.071831271290144</v>
      </c>
      <c r="AV132" s="354">
        <f>Rdson3*Table1[[#This Row],[Irms BoSync]]^2</f>
        <v>0.6120622630184942</v>
      </c>
      <c r="AW13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2" s="354">
        <f>(Table1[[#This Row],[Deadtime Loss BoSync]]+Table1[[#This Row],[RDS(on) Loss BoSync]]*(1+RdsonBotTc*Ta-RdsonBotTc*25))/(1-Table1[[#This Row],[RDS(on) Loss BoSync]]*RdsonBotTc*ThetaJA_Q3)</f>
        <v>0.71745239122146354</v>
      </c>
      <c r="AY132" s="354">
        <f>CHOOSE(Table1[[#This Row],[Mode Digit]], Rdson3*Table1[[#This Row],[Irms Lf]]^2, Rdson1*Table1[[#This Row],[Irms Lf]]^2, 0)</f>
        <v>0.6120622630184942</v>
      </c>
      <c r="AZ132" s="354">
        <f>CHOOSE(Table1[[#This Row],[Mode Digit]], 2*Deadtime*Fsw*IF(VfdSky_Q2&gt;0,VfdSky_Q2,0)*Table1[[#This Row],[Iout]], 2*Deadtime*Fsw*IF(VfdSky_Q3&gt;0,VfdSky_Q3,0)*Table1[[#This Row],[Iin]], 2*Deadtime*Fsw*IF(VfdSky_Q2&gt;0,VfdSky_Q2,0)*Table1[[#This Row],[Iout]]+2*Deadtime*Fsw*IF(VfdSky_Q3&gt;0,VfdSky_Q3,0)*Table1[[#This Row],[Iin]])</f>
        <v>0</v>
      </c>
      <c r="BA132" s="354">
        <f>CHOOSE(Table1[[#This Row],[Mode Digit]], IF(QrrSky_Q2&gt;0,QrrSky_Q2,Qrr_Q2)*Fsw*(Table1[[#This Row],[Vin]]-Table1[[#This Row],[Iout]]*Rdson1),0,  IF(QrrSky_Q2&gt;0,QrrSky_Q2,Qrr_Q2)*Fsw*(Table1[[#This Row],[Vin]]-Table1[[#This Row],[Iout]]*Rdson1)+IF(QrrSky_Q3&gt;0,QrrSky_Q3,Qrr_Q3)*Fsw*Vout)</f>
        <v>0.3427152</v>
      </c>
      <c r="BB132" s="354">
        <f>CHOOSE(Table1[[#This Row],[Mode Digit]],0, IF(QrrSky_Q3&gt;0,QrrSky_Q3,Qrr_Q3)*Fsw*Vout,  IF(QrrSky_Q2&gt;0,QrrSky_Q2,Qrr_Q2)*Fsw*(Table1[[#This Row],[Vin]]-Table1[[#This Row],[Iout]]*Rdson1)+IF(QrrSky_Q3&gt;0,QrrSky_Q3,Qrr_Q3)*Fsw*Vout)</f>
        <v>0</v>
      </c>
      <c r="BC132" s="354">
        <f>CHOOSE(Table1[[#This Row],[Mode Digit]], Rs*Table1[[#This Row],[Irms BuSync]]^2, Rs*Table1[[#This Row],[Irms BoCtlr]]^2, Rs*(Table1[[#This Row],[Irms BuSync]]^2+Table1[[#This Row],[Irms BoCtlr]]^2))</f>
        <v>0.17669145786210769</v>
      </c>
      <c r="BD132" s="354">
        <f t="shared" si="5"/>
        <v>1.44</v>
      </c>
      <c r="BE132" s="354">
        <f>IF(Vout&gt;8, Iq*Vout, Iq*Table1[[#This Row],[Vin]])</f>
        <v>4.3799999999999999E-2</v>
      </c>
      <c r="BF132" s="354">
        <f>CHOOSE(Table1[[#This Row],[Mode Digit]], (Qg_Q1+Qg_Q2)*Fsw, (Qg_Q3+Qg_Q4)*Fsw, (Qg_Q1+Qg_Q2+Qg_Q3+Qg_Q4)*Fsw)*IF(Vout&gt;8, Vout, Table1[[#This Row],[Vin]])</f>
        <v>0.47303999999999996</v>
      </c>
      <c r="BG132" s="354">
        <f t="shared" si="6"/>
        <v>0.57269042016806726</v>
      </c>
      <c r="BH132" s="354">
        <f>Table1[[#This Row],[IQ Loss]]+Table1[[#This Row],[Switching Current Loss]]</f>
        <v>0.51683999999999997</v>
      </c>
      <c r="BI13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10.204624299711389</v>
      </c>
      <c r="BJ132">
        <f>Vout*Table1[[#This Row],[Iout]]</f>
        <v>175.2</v>
      </c>
      <c r="BK132" s="550">
        <f>Table1[[#This Row],[Pout]]/(Table1[[#This Row],[Pout]]+Table1[[#This Row],[Total Loss]])</f>
        <v>0.94496024930200584</v>
      </c>
      <c r="BL13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241.44877414673812</v>
      </c>
      <c r="BM132" s="559">
        <f>IF(Table1[[#This Row],[Vin]]&gt;Vout, Table1[[#This Row],[Total Sync Bu MOSFET Loss]]*ThetaJA_Q2, ThetaJA_Q3*Table1[[#This Row],[Total Sync Bo MOSFET Loss]])</f>
        <v>56.476266616439077</v>
      </c>
      <c r="BN132" s="9"/>
      <c r="BO132" s="4">
        <f>Table1[[#This Row],[EFF, h]]*100</f>
        <v>94.496024930200591</v>
      </c>
      <c r="BP132" s="354">
        <f>Table1[[#This Row],[Total Inductor Loss]]</f>
        <v>1.9640634985169503</v>
      </c>
      <c r="BQ132" s="354">
        <f>Table1[[#This Row],[Total Control Bu MOSFET Loss]]+Table1[[#This Row],[Total Sync Bu MOSFET Loss]]+Table1[[#This Row],[Total Control Bo MOSFET Loss]]+Table1[[#This Row],[Total Sync Bo MOSFET Loss]]+Table1[[#This Row],[Reverse Recovery Loss MOSFET D BUCK]]+Table1[[#This Row],[Reverse Recovery Loss MOSFET D BOOST]]</f>
        <v>6.0255849372744175</v>
      </c>
      <c r="BR132" s="354">
        <f>Table1[[#This Row],[Total Control Bu MOSFET Loss]]+Table1[[#This Row],[Reverse Recovery Loss MOSFET D BUCK]]*0.66</f>
        <v>4.2503382677789689</v>
      </c>
      <c r="BS132" s="354">
        <f>Table1[[#This Row],[Total Sync Bu MOSFET Loss]]+Table1[[#This Row],[Reverse Recovery Loss MOSFET D BUCK]]*0.33</f>
        <v>1.0543671262739847</v>
      </c>
      <c r="BT132" s="354">
        <f xml:space="preserve"> Table1[[#This Row],[Total Control Bo MOSFET Loss]]+Table1[[#This Row],[Reverse Recovery Loss MOSFET D BOOST]]*0.66</f>
        <v>0</v>
      </c>
      <c r="BU132" s="354">
        <f xml:space="preserve"> Table1[[#This Row],[Total Sync Bo MOSFET Loss]]+Table1[[#This Row],[Reverse Recovery Loss MOSFET D BOOST]]*0.33</f>
        <v>0.71745239122146354</v>
      </c>
      <c r="BV132" s="354">
        <f>Table1[[#This Row],[Isense Shunt Loss]]</f>
        <v>0.17669145786210769</v>
      </c>
    </row>
    <row r="133" spans="7:74" x14ac:dyDescent="0.2">
      <c r="G133">
        <v>124</v>
      </c>
      <c r="H133" s="555">
        <f>VIN_min+(VIN_max-VIN_min)*(Table1[[#This Row],[Step]]/200)</f>
        <v>28.68</v>
      </c>
      <c r="I133" s="4" t="str">
        <f>IF(Mode = 2,IF(Table1[[#This Row],[Vin]]&gt;Vout, "BUCK","BOOST"),IF(Table1[[#This Row],[Vin]]&gt;VIN_BB_to_buck, "BUCK", IF(Table1[[#This Row],[Vin]]&lt;=VIN_boost_to_BB,"BOOST","BUCK-BST")))</f>
        <v>BUCK</v>
      </c>
      <c r="J133">
        <f>IF(Table1[[#This Row],[Mode]]="BOOST",2, IF(Table1[[#This Row],[Mode]]="BUCK", 1,3))</f>
        <v>1</v>
      </c>
      <c r="K133">
        <f t="shared" si="4"/>
        <v>12</v>
      </c>
      <c r="L133" s="4">
        <f>Vout*Table1[[#This Row],[Iout]]/(Table1[[#This Row],[Vin]]*Efficiency)</f>
        <v>6.4303016956617487</v>
      </c>
      <c r="M133" s="711">
        <f>MIN(1/Fsw,CHOOSE(Table1[[#This Row],[Mode Digit]],(Vout+(Rdson2+Rs+Rdcr)*Table1[[#This Row],[Iout]])/(Table1[[#This Row],[Vin]]+(Rs+Rdson2-Rdson1)*Table1[[#This Row],[Iout]])/Fsw,(Vout+(Rdson3+Rdcr)*Table1[[#This Row],[Iin]]-Table1[[#This Row],[Vin]])/(Vout+(Rdson3-Rdson4-Rs)*Table1[[#This Row],[Iin]])/Fsw,t1_Ph_II))</f>
        <v>8.5626378729826994E-7</v>
      </c>
      <c r="N133" s="602">
        <f>CHOOSE(Table1[[#This Row],[Mode Digit]],1/Fsw-Table1[[#This Row],[t1_Ph_II]],1/Fsw-Table1[[#This Row],[t1_Ph_II]],(Vout/Fsw-Table1[[#This Row],[Vin]]*t1_Ph_II)/(Table1[[#This Row],[Vin]]+Vout))</f>
        <v>8.1040287936839672E-7</v>
      </c>
      <c r="O133" s="602">
        <f>1/Fsw-(Table1[[#This Row],[t1_Ph_II]]+Table1[[#This Row],[t2_Ph_I]])</f>
        <v>0</v>
      </c>
      <c r="P13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9.7166299005379475</v>
      </c>
      <c r="Q133" s="4">
        <f>CHOOSE(Table1[[#This Row],[Mode Digit]],Table1[[#This Row],[I_0]]+1/Lf*(Table1[[#This Row],[Vin]]-Vout)*Table1[[#This Row],[t1_Ph_II]],Table1[[#This Row],[I_0]]+1/Lf*Table1[[#This Row],[Vin]]*Table1[[#This Row],[t1_Ph_II]],Table1[[#This Row],[I_0]]+(Table1[[#This Row],[Vin]]-Vout)/L*Table1[[#This Row],[t1_Ph_II]])</f>
        <v>14.283370099462054</v>
      </c>
      <c r="R133" s="4">
        <f>CHOOSE(Table1[[#This Row],[Mode Digit]],0,0,Table1[[#This Row],[I_1]]+Table1[[#This Row],[Vin]]/L*Table1[[#This Row],[t2_Ph_I]])</f>
        <v>0</v>
      </c>
      <c r="S133" s="4">
        <f>Fsw*(Table1[[#This Row],[I_0]]*Table1[[#This Row],[t1_Ph_II]]+Table1[[#This Row],[I_1]]*Table1[[#This Row],[t2_Ph_I]]+Table1[[#This Row],[I_2]]*Table1[[#This Row],[t3_Ph_III]])</f>
        <v>11.937169544459248</v>
      </c>
      <c r="T133" s="354">
        <f>MIN(1,CHOOSE(Table1[[#This Row],[Mode Digit]],(Vout+(Rdson2+Rs+Rdcr)*Table1[[#This Row],[Iout]])/(Table1[[#This Row],[Vin]]+(Rs+Rdson2-Rdson1)*Table1[[#This Row],[Iout]]),1,Fsw*Table1[[#This Row],[t2_Ph_I]]+Table1[[#This Row],[t1_Ph_II]]))</f>
        <v>0.51375827237896199</v>
      </c>
      <c r="U133" s="354">
        <f>MIN(1,CHOOSE(Table1[[#This Row],[Mode Digit]],0,(Vout+(Rdson3+Rdcr)*Table1[[#This Row],[Iin]]-Table1[[#This Row],[Vin]])/(Vout+(Rdson3-Rdson4-Rs)*Table1[[#This Row],[Iin]]),Fsw*Table1[[#This Row],[t1_Ph_II]]+Table1[[#This Row],[t3_Ph_III]]))</f>
        <v>0</v>
      </c>
      <c r="V133" s="4">
        <f>MAX(Table1[[#This Row],[I_0]:[I_2]])-MIN(Table1[[#This Row],[I_0]:[I_1]])</f>
        <v>4.5667401989241068</v>
      </c>
      <c r="W13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12.072196417265546</v>
      </c>
      <c r="X133" s="354">
        <f>(Table1[[#This Row],[Irms Lf]]^2*Rdcr*(1+Ltc*Ta-Ltc*25))/(1-Table1[[#This Row],[Irms Lf]]^2*Rdcr*Ltc*ThetaCa)</f>
        <v>0.90658545505471211</v>
      </c>
      <c r="Y133" s="354">
        <f>ABS(7.759*10^-3*Fsw^0.9458*(0.00787*Table1[[#This Row],[Ripple Current pk-pk]])^2.304)</f>
        <v>1.063750838462346</v>
      </c>
      <c r="Z133" s="354">
        <f>Table1[[#This Row],[DCR    Loss]]+Table1[[#This Row],[Core Loss]]</f>
        <v>1.9703362935170581</v>
      </c>
      <c r="AA133" s="4">
        <f>IF(Table1[[#This Row],[Vin]]&gt;Vout, Table1[[#This Row],[Ripple Current pk-pk]]/SQRT(12), SQRT(Table1[[#This Row],[Duty Cycle BOOST Leg]]/(1-Table1[[#This Row],[Duty Cycle BOOST Leg]]))*SQRT(Table1[[#This Row],[Iout]]^2+(Table1[[#This Row],[Ripple Current pk-pk]]^2)/12))</f>
        <v>1.3183043415839593</v>
      </c>
      <c r="AB133" s="354">
        <f>RCoutEsr*Table1[[#This Row],[Irms Cout]]^2</f>
        <v>8.6896316851955823E-3</v>
      </c>
      <c r="AC133" s="354">
        <f>Table1[[#This Row],[Cout ESR Loss]]</f>
        <v>8.6896316851955823E-3</v>
      </c>
      <c r="AD133" s="354">
        <f>IF(Table1[[#This Row],[Vin]]&gt;Vout, SQRT(Table1[[#This Row],[Duty Cycle BUCK Leg]]*(1-Table1[[#This Row],[Duty Cycle BUCK Leg]]))*SQRT(Table1[[#This Row],[Iout]]^2+(Table1[[#This Row],[Ripple Current pk-pk]]^2)/12), Table1[[#This Row],[Ripple Current pk-pk]]/SQRT(12))</f>
        <v>6.0338126291430543</v>
      </c>
      <c r="AE133" s="354">
        <f>RCinEsr*Table1[[#This Row],[Irms Cin]]^2</f>
        <v>7.281378968721243E-2</v>
      </c>
      <c r="AF133" s="549">
        <f>Table1[[#This Row],[Cin ESR Loss]]</f>
        <v>7.281378968721243E-2</v>
      </c>
      <c r="AG13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8.652980137213401</v>
      </c>
      <c r="AH133" s="354">
        <f>Rdson1*Table1[[#This Row],[Irms BuCtrl]]^2</f>
        <v>0.31447107407104058</v>
      </c>
      <c r="AI133" s="354">
        <f>CHOOSE(Table1[[#This Row],[Mode Digit]], (Table1[[#This Row],[Vin]]*Table1[[#This Row],[Iout]]/2)*(Fsw)*(Tr_buck+Tf_buck), 0, (Table1[[#This Row],[Vin]]*Table1[[#This Row],[Avg IL]]/2)*(Fsw/1)*(Tr_buck+Tf_buck))</f>
        <v>3.4128168470398061</v>
      </c>
      <c r="AJ133">
        <f>IF(Table1[[#This Row],[Vin]]&gt;Vout, IF(Table1[[#This Row],[Iout]]&gt;Table1[[#This Row],[Ripple Current pk-pk]]/2,0,ABS(Table1[[#This Row],[Iout]]-Table1[[#This Row],[Ripple Current pk-pk]]/2)*Vsd_Q1*Deadtime*Fsw),0)</f>
        <v>0</v>
      </c>
      <c r="AK133" s="354">
        <f>(Table1[[#This Row],[Dead Time Loss BuCtrl]]+Table1[[#This Row],[Transition Loss BuCtrl]]+Table1[[#This Row],[RDS(on) Loss BuCtrl]]*(1+RdsonTopTc*Ta-RdsonTopTc*25))/(1-Table1[[#This Row],[RDS(on) Loss BuCtrl]]*RdsonTopTc*ThetaJA_Q1)</f>
        <v>4.0315622518786576</v>
      </c>
      <c r="AL133" s="354">
        <f>CHOOSE(Table1[[#This Row],[Mode Digit]],SQRT((Fsw*(Table1[[#This Row],[t2_Ph_I]]+0))*((Table1[[#This Row],[I_0]]*Table1[[#This Row],[I_1]]+((Table1[[#This Row],[I_0]]-Table1[[#This Row],[I_1]])^2)/3))),0,SQRT((Fsw*(Table1[[#This Row],[t3_Ph_III]]+0))*((Table1[[#This Row],[I_0]]*Table1[[#This Row],[I_2]]+((Table1[[#This Row],[I_0]]-Table1[[#This Row],[I_2]])^2)/3))))</f>
        <v>8.4180675384573558</v>
      </c>
      <c r="AM133" s="354">
        <f>Rdson2*Table1[[#This Row],[Irms BuSync]]^2</f>
        <v>0.29762821654452387</v>
      </c>
      <c r="AN13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3" s="354">
        <f>(Table1[[#This Row],[Deadtime Loss BuSync]]+Table1[[#This Row],[RDS(on) Loss BuSync]]*(1+RdsonBotTc*Ta-RdsonBotTc*25))/(1-Table1[[#This Row],[RDS(on) Loss BuSync]]*RdsonBotTc*ThetaJA_Q2)</f>
        <v>0.94230954322377058</v>
      </c>
      <c r="AP133" s="354">
        <f>CHOOSE(Table1[[#This Row],[Mode Digit]],0,SQRT((Fsw*(Table1[[#This Row],[t1_Ph_II]]+0))*((Table1[[#This Row],[I_0]]*Table1[[#This Row],[I_1]]+((Table1[[#This Row],[I_0]]-Table1[[#This Row],[I_1]])^2)/3))),SQRT((Fsw*(Table1[[#This Row],[t2_Ph_I]]+0))*((Table1[[#This Row],[I_1]]*Table1[[#This Row],[I_2]]+((Table1[[#This Row],[I_1]]-Table1[[#This Row],[I_2]])^2)/3))))</f>
        <v>0</v>
      </c>
      <c r="AQ133" s="354">
        <f>Rdson4*Table1[[#This Row],[Irms BoCtlr]]^2</f>
        <v>0</v>
      </c>
      <c r="AR133" s="354">
        <f>CHOOSE(Table1[[#This Row],[Mode Digit]], 0, (Vout*Table1[[#This Row],[Iin]]/2)*(Fsw)*(Tr_boost+Tf_boost), (Vout*Iout/2)*(Fsw/1)*(Tr_boost+Tf_boost))</f>
        <v>0</v>
      </c>
      <c r="AS133">
        <f>IF(Table1[[#This Row],[Vin]]&gt;Vout, 0, IF(Table1[[#This Row],[Iin]]&gt;Table1[[#This Row],[Ripple Current pk-pk]]/2,0,ABS(Table1[[#This Row],[Iin]]-Table1[[#This Row],[Ripple Current pk-pk]]/2)*Vsd_Q4*Deadtime*Fsw))</f>
        <v>0</v>
      </c>
      <c r="AT133" s="354">
        <f>(Table1[[#This Row],[Dead Time Loss BoCtlr]]+Table1[[#This Row],[Transition Loss BoCtlr]]+Table1[[#This Row],[RDS(on) Loss BoCtlr]]*(1+RdsonTopTc*Ta-RdsonTopTc*25))/(1-Table1[[#This Row],[RDS(on) Loss BoCtlr]]*RdsonTopTc*ThetaJA_Q4)</f>
        <v>0</v>
      </c>
      <c r="AU13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12.072196417265546</v>
      </c>
      <c r="AV133" s="354">
        <f>Rdson3*Table1[[#This Row],[Irms BoSync]]^2</f>
        <v>0.61209929061556423</v>
      </c>
      <c r="AW13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3" s="354">
        <f>(Table1[[#This Row],[Deadtime Loss BoSync]]+Table1[[#This Row],[RDS(on) Loss BoSync]]*(1+RdsonBotTc*Ta-RdsonBotTc*25))/(1-Table1[[#This Row],[RDS(on) Loss BoSync]]*RdsonBotTc*ThetaJA_Q3)</f>
        <v>0.71750326863448888</v>
      </c>
      <c r="AY133" s="354">
        <f>CHOOSE(Table1[[#This Row],[Mode Digit]], Rdson3*Table1[[#This Row],[Irms Lf]]^2, Rdson1*Table1[[#This Row],[Irms Lf]]^2, 0)</f>
        <v>0.61209929061556423</v>
      </c>
      <c r="AZ133" s="354">
        <f>CHOOSE(Table1[[#This Row],[Mode Digit]], 2*Deadtime*Fsw*IF(VfdSky_Q2&gt;0,VfdSky_Q2,0)*Table1[[#This Row],[Iout]], 2*Deadtime*Fsw*IF(VfdSky_Q3&gt;0,VfdSky_Q3,0)*Table1[[#This Row],[Iin]], 2*Deadtime*Fsw*IF(VfdSky_Q2&gt;0,VfdSky_Q2,0)*Table1[[#This Row],[Iout]]+2*Deadtime*Fsw*IF(VfdSky_Q3&gt;0,VfdSky_Q3,0)*Table1[[#This Row],[Iin]])</f>
        <v>0</v>
      </c>
      <c r="BA133" s="354">
        <f>CHOOSE(Table1[[#This Row],[Mode Digit]], IF(QrrSky_Q2&gt;0,QrrSky_Q2,Qrr_Q2)*Fsw*(Table1[[#This Row],[Vin]]-Table1[[#This Row],[Iout]]*Rdson1),0,  IF(QrrSky_Q2&gt;0,QrrSky_Q2,Qrr_Q2)*Fsw*(Table1[[#This Row],[Vin]]-Table1[[#This Row],[Iout]]*Rdson1)+IF(QrrSky_Q3&gt;0,QrrSky_Q3,Qrr_Q3)*Fsw*Vout)</f>
        <v>0.34355520000000001</v>
      </c>
      <c r="BB133" s="354">
        <f>CHOOSE(Table1[[#This Row],[Mode Digit]],0, IF(QrrSky_Q3&gt;0,QrrSky_Q3,Qrr_Q3)*Fsw*Vout,  IF(QrrSky_Q2&gt;0,QrrSky_Q2,Qrr_Q2)*Fsw*(Table1[[#This Row],[Vin]]-Table1[[#This Row],[Iout]]*Rdson1)+IF(QrrSky_Q3&gt;0,QrrSky_Q3,Qrr_Q3)*Fsw*Vout)</f>
        <v>0</v>
      </c>
      <c r="BC133" s="354">
        <f>CHOOSE(Table1[[#This Row],[Mode Digit]], Rs*Table1[[#This Row],[Irms BuSync]]^2, Rs*Table1[[#This Row],[Irms BoCtlr]]^2, Rs*(Table1[[#This Row],[Irms BuSync]]^2+Table1[[#This Row],[Irms BoCtlr]]^2))</f>
        <v>0.17715965270507372</v>
      </c>
      <c r="BD133" s="354">
        <f t="shared" si="5"/>
        <v>1.44</v>
      </c>
      <c r="BE133" s="354">
        <f>IF(Vout&gt;8, Iq*Vout, Iq*Table1[[#This Row],[Vin]])</f>
        <v>4.3799999999999999E-2</v>
      </c>
      <c r="BF133" s="354">
        <f>CHOOSE(Table1[[#This Row],[Mode Digit]], (Qg_Q1+Qg_Q2)*Fsw, (Qg_Q3+Qg_Q4)*Fsw, (Qg_Q1+Qg_Q2+Qg_Q3+Qg_Q4)*Fsw)*IF(Vout&gt;8, Vout, Table1[[#This Row],[Vin]])</f>
        <v>0.47303999999999996</v>
      </c>
      <c r="BG133" s="354">
        <f t="shared" si="6"/>
        <v>0.57269042016806726</v>
      </c>
      <c r="BH133" s="354">
        <f>Table1[[#This Row],[IQ Loss]]+Table1[[#This Row],[Switching Current Loss]]</f>
        <v>0.51683999999999997</v>
      </c>
      <c r="BI13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10.220769631331457</v>
      </c>
      <c r="BJ133">
        <f>Vout*Table1[[#This Row],[Iout]]</f>
        <v>175.2</v>
      </c>
      <c r="BK133" s="550">
        <f>Table1[[#This Row],[Pout]]/(Table1[[#This Row],[Pout]]+Table1[[#This Row],[Total Loss]])</f>
        <v>0.94487796781529265</v>
      </c>
      <c r="BL13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241.89373511271947</v>
      </c>
      <c r="BM133" s="559">
        <f>IF(Table1[[#This Row],[Vin]]&gt;Vout, Table1[[#This Row],[Total Sync Bu MOSFET Loss]]*ThetaJA_Q2, ThetaJA_Q3*Table1[[#This Row],[Total Sync Bo MOSFET Loss]])</f>
        <v>56.538572593426238</v>
      </c>
      <c r="BN133" s="9"/>
      <c r="BO133" s="4">
        <f>Table1[[#This Row],[EFF, h]]*100</f>
        <v>94.487796781529269</v>
      </c>
      <c r="BP133" s="354">
        <f>Table1[[#This Row],[Total Inductor Loss]]</f>
        <v>1.9703362935170581</v>
      </c>
      <c r="BQ133" s="354">
        <f>Table1[[#This Row],[Total Control Bu MOSFET Loss]]+Table1[[#This Row],[Total Sync Bu MOSFET Loss]]+Table1[[#This Row],[Total Control Bo MOSFET Loss]]+Table1[[#This Row],[Total Sync Bo MOSFET Loss]]+Table1[[#This Row],[Reverse Recovery Loss MOSFET D BUCK]]+Table1[[#This Row],[Reverse Recovery Loss MOSFET D BOOST]]</f>
        <v>6.0349302637369169</v>
      </c>
      <c r="BR133" s="354">
        <f>Table1[[#This Row],[Total Control Bu MOSFET Loss]]+Table1[[#This Row],[Reverse Recovery Loss MOSFET D BUCK]]*0.66</f>
        <v>4.2583086838786572</v>
      </c>
      <c r="BS133" s="354">
        <f>Table1[[#This Row],[Total Sync Bu MOSFET Loss]]+Table1[[#This Row],[Reverse Recovery Loss MOSFET D BUCK]]*0.33</f>
        <v>1.0556827592237705</v>
      </c>
      <c r="BT133" s="354">
        <f xml:space="preserve"> Table1[[#This Row],[Total Control Bo MOSFET Loss]]+Table1[[#This Row],[Reverse Recovery Loss MOSFET D BOOST]]*0.66</f>
        <v>0</v>
      </c>
      <c r="BU133" s="354">
        <f xml:space="preserve"> Table1[[#This Row],[Total Sync Bo MOSFET Loss]]+Table1[[#This Row],[Reverse Recovery Loss MOSFET D BOOST]]*0.33</f>
        <v>0.71750326863448888</v>
      </c>
      <c r="BV133" s="354">
        <f>Table1[[#This Row],[Isense Shunt Loss]]</f>
        <v>0.17715965270507372</v>
      </c>
    </row>
    <row r="134" spans="7:74" x14ac:dyDescent="0.2">
      <c r="G134">
        <v>125</v>
      </c>
      <c r="H134" s="555">
        <f>VIN_min+(VIN_max-VIN_min)*(Table1[[#This Row],[Step]]/200)</f>
        <v>28.75</v>
      </c>
      <c r="I134" s="4" t="str">
        <f>IF(Mode = 2,IF(Table1[[#This Row],[Vin]]&gt;Vout, "BUCK","BOOST"),IF(Table1[[#This Row],[Vin]]&gt;VIN_BB_to_buck, "BUCK", IF(Table1[[#This Row],[Vin]]&lt;=VIN_boost_to_BB,"BOOST","BUCK-BST")))</f>
        <v>BUCK</v>
      </c>
      <c r="J134">
        <f>IF(Table1[[#This Row],[Mode]]="BOOST",2, IF(Table1[[#This Row],[Mode]]="BUCK", 1,3))</f>
        <v>1</v>
      </c>
      <c r="K134">
        <f t="shared" si="4"/>
        <v>12</v>
      </c>
      <c r="L134" s="4">
        <f>Vout*Table1[[#This Row],[Iout]]/(Table1[[#This Row],[Vin]]*Efficiency)</f>
        <v>6.4146453089244844</v>
      </c>
      <c r="M134" s="711">
        <f>MIN(1/Fsw,CHOOSE(Table1[[#This Row],[Mode Digit]],(Vout+(Rdson2+Rs+Rdcr)*Table1[[#This Row],[Iout]])/(Table1[[#This Row],[Vin]]+(Rs+Rdson2-Rdson1)*Table1[[#This Row],[Iout]])/Fsw,(Vout+(Rdson3+Rdcr)*Table1[[#This Row],[Iin]]-Table1[[#This Row],[Vin]])/(Vout+(Rdson3-Rdson4-Rs)*Table1[[#This Row],[Iin]])/Fsw,t1_Ph_II))</f>
        <v>8.5418114431318049E-7</v>
      </c>
      <c r="N134" s="602">
        <f>CHOOSE(Table1[[#This Row],[Mode Digit]],1/Fsw-Table1[[#This Row],[t1_Ph_II]],1/Fsw-Table1[[#This Row],[t1_Ph_II]],(Vout/Fsw-Table1[[#This Row],[Vin]]*t1_Ph_II)/(Table1[[#This Row],[Vin]]+Vout))</f>
        <v>8.1248552235348617E-7</v>
      </c>
      <c r="O134" s="602">
        <f>1/Fsw-(Table1[[#This Row],[t1_Ph_II]]+Table1[[#This Row],[t2_Ph_I]])</f>
        <v>0</v>
      </c>
      <c r="P13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9.7108592439334274</v>
      </c>
      <c r="Q134" s="4">
        <f>CHOOSE(Table1[[#This Row],[Mode Digit]],Table1[[#This Row],[I_0]]+1/Lf*(Table1[[#This Row],[Vin]]-Vout)*Table1[[#This Row],[t1_Ph_II]],Table1[[#This Row],[I_0]]+1/Lf*Table1[[#This Row],[Vin]]*Table1[[#This Row],[t1_Ph_II]],Table1[[#This Row],[I_0]]+(Table1[[#This Row],[Vin]]-Vout)/L*Table1[[#This Row],[t1_Ph_II]])</f>
        <v>14.289140756066573</v>
      </c>
      <c r="R134" s="4">
        <f>CHOOSE(Table1[[#This Row],[Mode Digit]],0,0,Table1[[#This Row],[I_1]]+Table1[[#This Row],[Vin]]/L*Table1[[#This Row],[t2_Ph_I]])</f>
        <v>0</v>
      </c>
      <c r="S134" s="4">
        <f>Fsw*(Table1[[#This Row],[I_0]]*Table1[[#This Row],[t1_Ph_II]]+Table1[[#This Row],[I_1]]*Table1[[#This Row],[t2_Ph_I]]+Table1[[#This Row],[I_2]]*Table1[[#This Row],[t3_Ph_III]])</f>
        <v>11.94273171145351</v>
      </c>
      <c r="T134" s="354">
        <f>MIN(1,CHOOSE(Table1[[#This Row],[Mode Digit]],(Vout+(Rdson2+Rs+Rdcr)*Table1[[#This Row],[Iout]])/(Table1[[#This Row],[Vin]]+(Rs+Rdson2-Rdson1)*Table1[[#This Row],[Iout]]),1,Fsw*Table1[[#This Row],[t2_Ph_I]]+Table1[[#This Row],[t1_Ph_II]]))</f>
        <v>0.51250868658790827</v>
      </c>
      <c r="U134" s="354">
        <f>MIN(1,CHOOSE(Table1[[#This Row],[Mode Digit]],0,(Vout+(Rdson3+Rdcr)*Table1[[#This Row],[Iin]]-Table1[[#This Row],[Vin]])/(Vout+(Rdson3-Rdson4-Rs)*Table1[[#This Row],[Iin]]),Fsw*Table1[[#This Row],[t1_Ph_II]]+Table1[[#This Row],[t3_Ph_III]]))</f>
        <v>0</v>
      </c>
      <c r="V134" s="4">
        <f>MAX(Table1[[#This Row],[I_0]:[I_2]])-MIN(Table1[[#This Row],[I_0]:[I_1]])</f>
        <v>4.5782815121331453</v>
      </c>
      <c r="W13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12.072560697729445</v>
      </c>
      <c r="X134" s="354">
        <f>(Table1[[#This Row],[Irms Lf]]^2*Rdcr*(1+Ltc*Ta-Ltc*25))/(1-Table1[[#This Row],[Irms Lf]]^2*Rdcr*Ltc*ThetaCa)</f>
        <v>0.90664413706078029</v>
      </c>
      <c r="Y134" s="354">
        <f>ABS(7.759*10^-3*Fsw^0.9458*(0.00787*Table1[[#This Row],[Ripple Current pk-pk]])^2.304)</f>
        <v>1.0699550489445095</v>
      </c>
      <c r="Z134" s="354">
        <f>Table1[[#This Row],[DCR    Loss]]+Table1[[#This Row],[Core Loss]]</f>
        <v>1.9765991860052898</v>
      </c>
      <c r="AA134" s="4">
        <f>IF(Table1[[#This Row],[Vin]]&gt;Vout, Table1[[#This Row],[Ripple Current pk-pk]]/SQRT(12), SQRT(Table1[[#This Row],[Duty Cycle BOOST Leg]]/(1-Table1[[#This Row],[Duty Cycle BOOST Leg]]))*SQRT(Table1[[#This Row],[Iout]]^2+(Table1[[#This Row],[Ripple Current pk-pk]]^2)/12))</f>
        <v>1.3216360317279792</v>
      </c>
      <c r="AB134" s="354">
        <f>RCoutEsr*Table1[[#This Row],[Irms Cout]]^2</f>
        <v>8.7336090018084005E-3</v>
      </c>
      <c r="AC134" s="354">
        <f>Table1[[#This Row],[Cout ESR Loss]]</f>
        <v>8.7336090018084005E-3</v>
      </c>
      <c r="AD134" s="354">
        <f>IF(Table1[[#This Row],[Vin]]&gt;Vout, SQRT(Table1[[#This Row],[Duty Cycle BUCK Leg]]*(1-Table1[[#This Row],[Duty Cycle BUCK Leg]]))*SQRT(Table1[[#This Row],[Iout]]^2+(Table1[[#This Row],[Ripple Current pk-pk]]^2)/12), Table1[[#This Row],[Ripple Current pk-pk]]/SQRT(12))</f>
        <v>6.0343910929578257</v>
      </c>
      <c r="AE134" s="354">
        <f>RCinEsr*Table1[[#This Row],[Irms Cin]]^2</f>
        <v>7.2827751725537487E-2</v>
      </c>
      <c r="AF134" s="549">
        <f>Table1[[#This Row],[Cin ESR Loss]]</f>
        <v>7.2827751725537487E-2</v>
      </c>
      <c r="AG13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8.6427114359092556</v>
      </c>
      <c r="AH134" s="354">
        <f>Rdson1*Table1[[#This Row],[Irms BuCtrl]]^2</f>
        <v>0.31372513605046587</v>
      </c>
      <c r="AI134" s="354">
        <f>CHOOSE(Table1[[#This Row],[Mode Digit]], (Table1[[#This Row],[Vin]]*Table1[[#This Row],[Iout]]/2)*(Fsw)*(Tr_buck+Tf_buck), 0, (Table1[[#This Row],[Vin]]*Table1[[#This Row],[Avg IL]]/2)*(Fsw/1)*(Tr_buck+Tf_buck))</f>
        <v>3.4211465952717726</v>
      </c>
      <c r="AJ134">
        <f>IF(Table1[[#This Row],[Vin]]&gt;Vout, IF(Table1[[#This Row],[Iout]]&gt;Table1[[#This Row],[Ripple Current pk-pk]]/2,0,ABS(Table1[[#This Row],[Iout]]-Table1[[#This Row],[Ripple Current pk-pk]]/2)*Vsd_Q1*Deadtime*Fsw),0)</f>
        <v>0</v>
      </c>
      <c r="AK134" s="354">
        <f>(Table1[[#This Row],[Dead Time Loss BuCtrl]]+Table1[[#This Row],[Transition Loss BuCtrl]]+Table1[[#This Row],[RDS(on) Loss BuCtrl]]*(1+RdsonTopTc*Ta-RdsonTopTc*25))/(1-Table1[[#This Row],[RDS(on) Loss BuCtrl]]*RdsonTopTc*ThetaJA_Q1)</f>
        <v>4.0389830532121174</v>
      </c>
      <c r="AL134" s="354">
        <f>CHOOSE(Table1[[#This Row],[Mode Digit]],SQRT((Fsw*(Table1[[#This Row],[t2_Ph_I]]+0))*((Table1[[#This Row],[I_0]]*Table1[[#This Row],[I_1]]+((Table1[[#This Row],[I_0]]-Table1[[#This Row],[I_1]])^2)/3))),0,SQRT((Fsw*(Table1[[#This Row],[t3_Ph_III]]+0))*((Table1[[#This Row],[I_0]]*Table1[[#This Row],[I_2]]+((Table1[[#This Row],[I_0]]-Table1[[#This Row],[I_2]])^2)/3))))</f>
        <v>8.4291316774603207</v>
      </c>
      <c r="AM134" s="354">
        <f>Rdson2*Table1[[#This Row],[Irms BuSync]]^2</f>
        <v>0.29841109551105316</v>
      </c>
      <c r="AN13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4" s="354">
        <f>(Table1[[#This Row],[Deadtime Loss BuSync]]+Table1[[#This Row],[RDS(on) Loss BuSync]]*(1+RdsonBotTc*Ta-RdsonBotTc*25))/(1-Table1[[#This Row],[RDS(on) Loss BuSync]]*RdsonBotTc*ThetaJA_Q2)</f>
        <v>0.9433435260983889</v>
      </c>
      <c r="AP134" s="354">
        <f>CHOOSE(Table1[[#This Row],[Mode Digit]],0,SQRT((Fsw*(Table1[[#This Row],[t1_Ph_II]]+0))*((Table1[[#This Row],[I_0]]*Table1[[#This Row],[I_1]]+((Table1[[#This Row],[I_0]]-Table1[[#This Row],[I_1]])^2)/3))),SQRT((Fsw*(Table1[[#This Row],[t2_Ph_I]]+0))*((Table1[[#This Row],[I_1]]*Table1[[#This Row],[I_2]]+((Table1[[#This Row],[I_1]]-Table1[[#This Row],[I_2]])^2)/3))))</f>
        <v>0</v>
      </c>
      <c r="AQ134" s="354">
        <f>Rdson4*Table1[[#This Row],[Irms BoCtlr]]^2</f>
        <v>0</v>
      </c>
      <c r="AR134" s="354">
        <f>CHOOSE(Table1[[#This Row],[Mode Digit]], 0, (Vout*Table1[[#This Row],[Iin]]/2)*(Fsw)*(Tr_boost+Tf_boost), (Vout*Iout/2)*(Fsw/1)*(Tr_boost+Tf_boost))</f>
        <v>0</v>
      </c>
      <c r="AS134">
        <f>IF(Table1[[#This Row],[Vin]]&gt;Vout, 0, IF(Table1[[#This Row],[Iin]]&gt;Table1[[#This Row],[Ripple Current pk-pk]]/2,0,ABS(Table1[[#This Row],[Iin]]-Table1[[#This Row],[Ripple Current pk-pk]]/2)*Vsd_Q4*Deadtime*Fsw))</f>
        <v>0</v>
      </c>
      <c r="AT134" s="354">
        <f>(Table1[[#This Row],[Dead Time Loss BoCtlr]]+Table1[[#This Row],[Transition Loss BoCtlr]]+Table1[[#This Row],[RDS(on) Loss BoCtlr]]*(1+RdsonTopTc*Ta-RdsonTopTc*25))/(1-Table1[[#This Row],[RDS(on) Loss BoCtlr]]*RdsonTopTc*ThetaJA_Q4)</f>
        <v>0</v>
      </c>
      <c r="AU13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12.072560697729445</v>
      </c>
      <c r="AV134" s="354">
        <f>Rdson3*Table1[[#This Row],[Irms BoSync]]^2</f>
        <v>0.61213623156151908</v>
      </c>
      <c r="AW13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4" s="354">
        <f>(Table1[[#This Row],[Deadtime Loss BoSync]]+Table1[[#This Row],[RDS(on) Loss BoSync]]*(1+RdsonBotTc*Ta-RdsonBotTc*25))/(1-Table1[[#This Row],[RDS(on) Loss BoSync]]*RdsonBotTc*ThetaJA_Q3)</f>
        <v>0.71755402804164781</v>
      </c>
      <c r="AY134" s="354">
        <f>CHOOSE(Table1[[#This Row],[Mode Digit]], Rdson3*Table1[[#This Row],[Irms Lf]]^2, Rdson1*Table1[[#This Row],[Irms Lf]]^2, 0)</f>
        <v>0.61213623156151908</v>
      </c>
      <c r="AZ134" s="354">
        <f>CHOOSE(Table1[[#This Row],[Mode Digit]], 2*Deadtime*Fsw*IF(VfdSky_Q2&gt;0,VfdSky_Q2,0)*Table1[[#This Row],[Iout]], 2*Deadtime*Fsw*IF(VfdSky_Q3&gt;0,VfdSky_Q3,0)*Table1[[#This Row],[Iin]], 2*Deadtime*Fsw*IF(VfdSky_Q2&gt;0,VfdSky_Q2,0)*Table1[[#This Row],[Iout]]+2*Deadtime*Fsw*IF(VfdSky_Q3&gt;0,VfdSky_Q3,0)*Table1[[#This Row],[Iin]])</f>
        <v>0</v>
      </c>
      <c r="BA134" s="354">
        <f>CHOOSE(Table1[[#This Row],[Mode Digit]], IF(QrrSky_Q2&gt;0,QrrSky_Q2,Qrr_Q2)*Fsw*(Table1[[#This Row],[Vin]]-Table1[[#This Row],[Iout]]*Rdson1),0,  IF(QrrSky_Q2&gt;0,QrrSky_Q2,Qrr_Q2)*Fsw*(Table1[[#This Row],[Vin]]-Table1[[#This Row],[Iout]]*Rdson1)+IF(QrrSky_Q3&gt;0,QrrSky_Q3,Qrr_Q3)*Fsw*Vout)</f>
        <v>0.34439520000000001</v>
      </c>
      <c r="BB134" s="354">
        <f>CHOOSE(Table1[[#This Row],[Mode Digit]],0, IF(QrrSky_Q3&gt;0,QrrSky_Q3,Qrr_Q3)*Fsw*Vout,  IF(QrrSky_Q2&gt;0,QrrSky_Q2,Qrr_Q2)*Fsw*(Table1[[#This Row],[Vin]]-Table1[[#This Row],[Iout]]*Rdson1)+IF(QrrSky_Q3&gt;0,QrrSky_Q3,Qrr_Q3)*Fsw*Vout)</f>
        <v>0</v>
      </c>
      <c r="BC134" s="354">
        <f>CHOOSE(Table1[[#This Row],[Mode Digit]], Rs*Table1[[#This Row],[Irms BuSync]]^2, Rs*Table1[[#This Row],[Irms BoCtlr]]^2, Rs*(Table1[[#This Row],[Irms BuSync]]^2+Table1[[#This Row],[Irms BoCtlr]]^2))</f>
        <v>0.1776256520899126</v>
      </c>
      <c r="BD134" s="354">
        <f t="shared" si="5"/>
        <v>1.44</v>
      </c>
      <c r="BE134" s="354">
        <f>IF(Vout&gt;8, Iq*Vout, Iq*Table1[[#This Row],[Vin]])</f>
        <v>4.3799999999999999E-2</v>
      </c>
      <c r="BF134" s="354">
        <f>CHOOSE(Table1[[#This Row],[Mode Digit]], (Qg_Q1+Qg_Q2)*Fsw, (Qg_Q3+Qg_Q4)*Fsw, (Qg_Q1+Qg_Q2+Qg_Q3+Qg_Q4)*Fsw)*IF(Vout&gt;8, Vout, Table1[[#This Row],[Vin]])</f>
        <v>0.47303999999999996</v>
      </c>
      <c r="BG134" s="354">
        <f t="shared" si="6"/>
        <v>0.57269042016806726</v>
      </c>
      <c r="BH134" s="354">
        <f>Table1[[#This Row],[IQ Loss]]+Table1[[#This Row],[Switching Current Loss]]</f>
        <v>0.51683999999999997</v>
      </c>
      <c r="BI13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10.2369020061747</v>
      </c>
      <c r="BJ134">
        <f>Vout*Table1[[#This Row],[Iout]]</f>
        <v>175.2</v>
      </c>
      <c r="BK134" s="550">
        <f>Table1[[#This Row],[Pout]]/(Table1[[#This Row],[Pout]]+Table1[[#This Row],[Total Loss]])</f>
        <v>0.94479576667089804</v>
      </c>
      <c r="BL13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242.33898319272703</v>
      </c>
      <c r="BM134" s="559">
        <f>IF(Table1[[#This Row],[Vin]]&gt;Vout, Table1[[#This Row],[Total Sync Bu MOSFET Loss]]*ThetaJA_Q2, ThetaJA_Q3*Table1[[#This Row],[Total Sync Bo MOSFET Loss]])</f>
        <v>56.600611565903336</v>
      </c>
      <c r="BN134" s="9"/>
      <c r="BO134" s="4">
        <f>Table1[[#This Row],[EFF, h]]*100</f>
        <v>94.479576667089802</v>
      </c>
      <c r="BP134" s="354">
        <f>Table1[[#This Row],[Total Inductor Loss]]</f>
        <v>1.9765991860052898</v>
      </c>
      <c r="BQ134" s="354">
        <f>Table1[[#This Row],[Total Control Bu MOSFET Loss]]+Table1[[#This Row],[Total Sync Bu MOSFET Loss]]+Table1[[#This Row],[Total Control Bo MOSFET Loss]]+Table1[[#This Row],[Total Sync Bo MOSFET Loss]]+Table1[[#This Row],[Reverse Recovery Loss MOSFET D BUCK]]+Table1[[#This Row],[Reverse Recovery Loss MOSFET D BOOST]]</f>
        <v>6.0442758073521539</v>
      </c>
      <c r="BR134" s="354">
        <f>Table1[[#This Row],[Total Control Bu MOSFET Loss]]+Table1[[#This Row],[Reverse Recovery Loss MOSFET D BUCK]]*0.66</f>
        <v>4.2662838852121174</v>
      </c>
      <c r="BS134" s="354">
        <f>Table1[[#This Row],[Total Sync Bu MOSFET Loss]]+Table1[[#This Row],[Reverse Recovery Loss MOSFET D BUCK]]*0.33</f>
        <v>1.0569939420983889</v>
      </c>
      <c r="BT134" s="354">
        <f xml:space="preserve"> Table1[[#This Row],[Total Control Bo MOSFET Loss]]+Table1[[#This Row],[Reverse Recovery Loss MOSFET D BOOST]]*0.66</f>
        <v>0</v>
      </c>
      <c r="BU134" s="354">
        <f xml:space="preserve"> Table1[[#This Row],[Total Sync Bo MOSFET Loss]]+Table1[[#This Row],[Reverse Recovery Loss MOSFET D BOOST]]*0.33</f>
        <v>0.71755402804164781</v>
      </c>
      <c r="BV134" s="354">
        <f>Table1[[#This Row],[Isense Shunt Loss]]</f>
        <v>0.1776256520899126</v>
      </c>
    </row>
    <row r="135" spans="7:74" x14ac:dyDescent="0.2">
      <c r="G135">
        <v>126</v>
      </c>
      <c r="H135" s="555">
        <f>VIN_min+(VIN_max-VIN_min)*(Table1[[#This Row],[Step]]/200)</f>
        <v>28.82</v>
      </c>
      <c r="I135" s="4" t="str">
        <f>IF(Mode = 2,IF(Table1[[#This Row],[Vin]]&gt;Vout, "BUCK","BOOST"),IF(Table1[[#This Row],[Vin]]&gt;VIN_BB_to_buck, "BUCK", IF(Table1[[#This Row],[Vin]]&lt;=VIN_boost_to_BB,"BOOST","BUCK-BST")))</f>
        <v>BUCK</v>
      </c>
      <c r="J135">
        <f>IF(Table1[[#This Row],[Mode]]="BOOST",2, IF(Table1[[#This Row],[Mode]]="BUCK", 1,3))</f>
        <v>1</v>
      </c>
      <c r="K135">
        <f t="shared" si="4"/>
        <v>12</v>
      </c>
      <c r="L135" s="4">
        <f>Vout*Table1[[#This Row],[Iout]]/(Table1[[#This Row],[Vin]]*Efficiency)</f>
        <v>6.3990649768070416</v>
      </c>
      <c r="M135" s="711">
        <f>MIN(1/Fsw,CHOOSE(Table1[[#This Row],[Mode Digit]],(Vout+(Rdson2+Rs+Rdcr)*Table1[[#This Row],[Iout]])/(Table1[[#This Row],[Vin]]+(Rs+Rdson2-Rdson1)*Table1[[#This Row],[Iout]])/Fsw,(Vout+(Rdson3+Rdcr)*Table1[[#This Row],[Iin]]-Table1[[#This Row],[Vin]])/(Vout+(Rdson3-Rdson4-Rs)*Table1[[#This Row],[Iin]])/Fsw,t1_Ph_II))</f>
        <v>8.5210860774119009E-7</v>
      </c>
      <c r="N135" s="602">
        <f>CHOOSE(Table1[[#This Row],[Mode Digit]],1/Fsw-Table1[[#This Row],[t1_Ph_II]],1/Fsw-Table1[[#This Row],[t1_Ph_II]],(Vout/Fsw-Table1[[#This Row],[Vin]]*t1_Ph_II)/(Table1[[#This Row],[Vin]]+Vout))</f>
        <v>8.1455805892547657E-7</v>
      </c>
      <c r="O135" s="602">
        <f>1/Fsw-(Table1[[#This Row],[t1_Ph_II]]+Table1[[#This Row],[t2_Ph_I]])</f>
        <v>0</v>
      </c>
      <c r="P13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9.7051165905152033</v>
      </c>
      <c r="Q135" s="4">
        <f>CHOOSE(Table1[[#This Row],[Mode Digit]],Table1[[#This Row],[I_0]]+1/Lf*(Table1[[#This Row],[Vin]]-Vout)*Table1[[#This Row],[t1_Ph_II]],Table1[[#This Row],[I_0]]+1/Lf*Table1[[#This Row],[Vin]]*Table1[[#This Row],[t1_Ph_II]],Table1[[#This Row],[I_0]]+(Table1[[#This Row],[Vin]]-Vout)/L*Table1[[#This Row],[t1_Ph_II]])</f>
        <v>14.294883409484797</v>
      </c>
      <c r="R135" s="4">
        <f>CHOOSE(Table1[[#This Row],[Mode Digit]],0,0,Table1[[#This Row],[I_1]]+Table1[[#This Row],[Vin]]/L*Table1[[#This Row],[t2_Ph_I]])</f>
        <v>0</v>
      </c>
      <c r="S135" s="4">
        <f>Fsw*(Table1[[#This Row],[I_0]]*Table1[[#This Row],[t1_Ph_II]]+Table1[[#This Row],[I_1]]*Table1[[#This Row],[t2_Ph_I]]+Table1[[#This Row],[I_2]]*Table1[[#This Row],[t3_Ph_III]])</f>
        <v>11.948295521103461</v>
      </c>
      <c r="T135" s="354">
        <f>MIN(1,CHOOSE(Table1[[#This Row],[Mode Digit]],(Vout+(Rdson2+Rs+Rdcr)*Table1[[#This Row],[Iout]])/(Table1[[#This Row],[Vin]]+(Rs+Rdson2-Rdson1)*Table1[[#This Row],[Iout]]),1,Fsw*Table1[[#This Row],[t2_Ph_I]]+Table1[[#This Row],[t1_Ph_II]]))</f>
        <v>0.51126516464471405</v>
      </c>
      <c r="U135" s="354">
        <f>MIN(1,CHOOSE(Table1[[#This Row],[Mode Digit]],0,(Vout+(Rdson3+Rdcr)*Table1[[#This Row],[Iin]]-Table1[[#This Row],[Vin]])/(Vout+(Rdson3-Rdson4-Rs)*Table1[[#This Row],[Iin]]),Fsw*Table1[[#This Row],[t1_Ph_II]]+Table1[[#This Row],[t3_Ph_III]]))</f>
        <v>0</v>
      </c>
      <c r="V135" s="4">
        <f>MAX(Table1[[#This Row],[I_0]:[I_2]])-MIN(Table1[[#This Row],[I_0]:[I_1]])</f>
        <v>4.5897668189695935</v>
      </c>
      <c r="W13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12.072924112287083</v>
      </c>
      <c r="X135" s="354">
        <f>(Table1[[#This Row],[Irms Lf]]^2*Rdcr*(1+Ltc*Ta-Ltc*25))/(1-Table1[[#This Row],[Irms Lf]]^2*Rdcr*Ltc*ThetaCa)</f>
        <v>0.90670268185416492</v>
      </c>
      <c r="Y135" s="354">
        <f>ABS(7.759*10^-3*Fsw^0.9458*(0.00787*Table1[[#This Row],[Ripple Current pk-pk]])^2.304)</f>
        <v>1.0761494321001326</v>
      </c>
      <c r="Z135" s="354">
        <f>Table1[[#This Row],[DCR    Loss]]+Table1[[#This Row],[Core Loss]]</f>
        <v>1.9828521139542974</v>
      </c>
      <c r="AA135" s="4">
        <f>IF(Table1[[#This Row],[Vin]]&gt;Vout, Table1[[#This Row],[Ripple Current pk-pk]]/SQRT(12), SQRT(Table1[[#This Row],[Duty Cycle BOOST Leg]]/(1-Table1[[#This Row],[Duty Cycle BOOST Leg]]))*SQRT(Table1[[#This Row],[Iout]]^2+(Table1[[#This Row],[Ripple Current pk-pk]]^2)/12))</f>
        <v>1.3249515542248536</v>
      </c>
      <c r="AB135" s="354">
        <f>RCoutEsr*Table1[[#This Row],[Irms Cout]]^2</f>
        <v>8.7774831052142756E-3</v>
      </c>
      <c r="AC135" s="354">
        <f>Table1[[#This Row],[Cout ESR Loss]]</f>
        <v>8.7774831052142756E-3</v>
      </c>
      <c r="AD135" s="354">
        <f>IF(Table1[[#This Row],[Vin]]&gt;Vout, SQRT(Table1[[#This Row],[Duty Cycle BUCK Leg]]*(1-Table1[[#This Row],[Duty Cycle BUCK Leg]]))*SQRT(Table1[[#This Row],[Iout]]^2+(Table1[[#This Row],[Ripple Current pk-pk]]^2)/12), Table1[[#This Row],[Ripple Current pk-pk]]/SQRT(12))</f>
        <v>6.0349297600940233</v>
      </c>
      <c r="AE135" s="354">
        <f>RCinEsr*Table1[[#This Row],[Irms Cin]]^2</f>
        <v>7.2840754418537018E-2</v>
      </c>
      <c r="AF135" s="549">
        <f>Table1[[#This Row],[Cin ESR Loss]]</f>
        <v>7.2840754418537018E-2</v>
      </c>
      <c r="AG13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8.6324798278263906</v>
      </c>
      <c r="AH135" s="354">
        <f>Rdson1*Table1[[#This Row],[Irms BuCtrl]]^2</f>
        <v>0.31298277350688419</v>
      </c>
      <c r="AI135" s="354">
        <f>CHOOSE(Table1[[#This Row],[Mode Digit]], (Table1[[#This Row],[Vin]]*Table1[[#This Row],[Iout]]/2)*(Fsw)*(Tr_buck+Tf_buck), 0, (Table1[[#This Row],[Vin]]*Table1[[#This Row],[Avg IL]]/2)*(Fsw/1)*(Tr_buck+Tf_buck))</f>
        <v>3.4294763435037394</v>
      </c>
      <c r="AJ135">
        <f>IF(Table1[[#This Row],[Vin]]&gt;Vout, IF(Table1[[#This Row],[Iout]]&gt;Table1[[#This Row],[Ripple Current pk-pk]]/2,0,ABS(Table1[[#This Row],[Iout]]-Table1[[#This Row],[Ripple Current pk-pk]]/2)*Vsd_Q1*Deadtime*Fsw),0)</f>
        <v>0</v>
      </c>
      <c r="AK135" s="354">
        <f>(Table1[[#This Row],[Dead Time Loss BuCtrl]]+Table1[[#This Row],[Transition Loss BuCtrl]]+Table1[[#This Row],[RDS(on) Loss BuCtrl]]*(1+RdsonTopTc*Ta-RdsonTopTc*25))/(1-Table1[[#This Row],[RDS(on) Loss BuCtrl]]*RdsonTopTc*ThetaJA_Q1)</f>
        <v>4.0464086018807217</v>
      </c>
      <c r="AL135" s="354">
        <f>CHOOSE(Table1[[#This Row],[Mode Digit]],SQRT((Fsw*(Table1[[#This Row],[t2_Ph_I]]+0))*((Table1[[#This Row],[I_0]]*Table1[[#This Row],[I_1]]+((Table1[[#This Row],[I_0]]-Table1[[#This Row],[I_1]])^2)/3))),0,SQRT((Fsw*(Table1[[#This Row],[t3_Ph_III]]+0))*((Table1[[#This Row],[I_0]]*Table1[[#This Row],[I_2]]+((Table1[[#This Row],[I_0]]-Table1[[#This Row],[I_2]])^2)/3))))</f>
        <v>8.4401296579622116</v>
      </c>
      <c r="AM135" s="354">
        <f>Rdson2*Table1[[#This Row],[Irms BuSync]]^2</f>
        <v>0.29919031230149601</v>
      </c>
      <c r="AN13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5" s="354">
        <f>(Table1[[#This Row],[Deadtime Loss BuSync]]+Table1[[#This Row],[RDS(on) Loss BuSync]]*(1+RdsonBotTc*Ta-RdsonBotTc*25))/(1-Table1[[#This Row],[RDS(on) Loss BuSync]]*RdsonBotTc*ThetaJA_Q2)</f>
        <v>0.94437308785305663</v>
      </c>
      <c r="AP135" s="354">
        <f>CHOOSE(Table1[[#This Row],[Mode Digit]],0,SQRT((Fsw*(Table1[[#This Row],[t1_Ph_II]]+0))*((Table1[[#This Row],[I_0]]*Table1[[#This Row],[I_1]]+((Table1[[#This Row],[I_0]]-Table1[[#This Row],[I_1]])^2)/3))),SQRT((Fsw*(Table1[[#This Row],[t2_Ph_I]]+0))*((Table1[[#This Row],[I_1]]*Table1[[#This Row],[I_2]]+((Table1[[#This Row],[I_1]]-Table1[[#This Row],[I_2]])^2)/3))))</f>
        <v>0</v>
      </c>
      <c r="AQ135" s="354">
        <f>Rdson4*Table1[[#This Row],[Irms BoCtlr]]^2</f>
        <v>0</v>
      </c>
      <c r="AR135" s="354">
        <f>CHOOSE(Table1[[#This Row],[Mode Digit]], 0, (Vout*Table1[[#This Row],[Iin]]/2)*(Fsw)*(Tr_boost+Tf_boost), (Vout*Iout/2)*(Fsw/1)*(Tr_boost+Tf_boost))</f>
        <v>0</v>
      </c>
      <c r="AS135">
        <f>IF(Table1[[#This Row],[Vin]]&gt;Vout, 0, IF(Table1[[#This Row],[Iin]]&gt;Table1[[#This Row],[Ripple Current pk-pk]]/2,0,ABS(Table1[[#This Row],[Iin]]-Table1[[#This Row],[Ripple Current pk-pk]]/2)*Vsd_Q4*Deadtime*Fsw))</f>
        <v>0</v>
      </c>
      <c r="AT135" s="354">
        <f>(Table1[[#This Row],[Dead Time Loss BoCtlr]]+Table1[[#This Row],[Transition Loss BoCtlr]]+Table1[[#This Row],[RDS(on) Loss BoCtlr]]*(1+RdsonTopTc*Ta-RdsonTopTc*25))/(1-Table1[[#This Row],[RDS(on) Loss BoCtlr]]*RdsonTopTc*ThetaJA_Q4)</f>
        <v>0</v>
      </c>
      <c r="AU13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12.072924112287083</v>
      </c>
      <c r="AV135" s="354">
        <f>Rdson3*Table1[[#This Row],[Irms BoSync]]^2</f>
        <v>0.61217308580838004</v>
      </c>
      <c r="AW13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5" s="354">
        <f>(Table1[[#This Row],[Deadtime Loss BoSync]]+Table1[[#This Row],[RDS(on) Loss BoSync]]*(1+RdsonBotTc*Ta-RdsonBotTc*25))/(1-Table1[[#This Row],[RDS(on) Loss BoSync]]*RdsonBotTc*ThetaJA_Q3)</f>
        <v>0.71760466936962075</v>
      </c>
      <c r="AY135" s="354">
        <f>CHOOSE(Table1[[#This Row],[Mode Digit]], Rdson3*Table1[[#This Row],[Irms Lf]]^2, Rdson1*Table1[[#This Row],[Irms Lf]]^2, 0)</f>
        <v>0.61217308580838004</v>
      </c>
      <c r="AZ135" s="354">
        <f>CHOOSE(Table1[[#This Row],[Mode Digit]], 2*Deadtime*Fsw*IF(VfdSky_Q2&gt;0,VfdSky_Q2,0)*Table1[[#This Row],[Iout]], 2*Deadtime*Fsw*IF(VfdSky_Q3&gt;0,VfdSky_Q3,0)*Table1[[#This Row],[Iin]], 2*Deadtime*Fsw*IF(VfdSky_Q2&gt;0,VfdSky_Q2,0)*Table1[[#This Row],[Iout]]+2*Deadtime*Fsw*IF(VfdSky_Q3&gt;0,VfdSky_Q3,0)*Table1[[#This Row],[Iin]])</f>
        <v>0</v>
      </c>
      <c r="BA135" s="354">
        <f>CHOOSE(Table1[[#This Row],[Mode Digit]], IF(QrrSky_Q2&gt;0,QrrSky_Q2,Qrr_Q2)*Fsw*(Table1[[#This Row],[Vin]]-Table1[[#This Row],[Iout]]*Rdson1),0,  IF(QrrSky_Q2&gt;0,QrrSky_Q2,Qrr_Q2)*Fsw*(Table1[[#This Row],[Vin]]-Table1[[#This Row],[Iout]]*Rdson1)+IF(QrrSky_Q3&gt;0,QrrSky_Q3,Qrr_Q3)*Fsw*Vout)</f>
        <v>0.34523520000000002</v>
      </c>
      <c r="BB135" s="354">
        <f>CHOOSE(Table1[[#This Row],[Mode Digit]],0, IF(QrrSky_Q3&gt;0,QrrSky_Q3,Qrr_Q3)*Fsw*Vout,  IF(QrrSky_Q2&gt;0,QrrSky_Q2,Qrr_Q2)*Fsw*(Table1[[#This Row],[Vin]]-Table1[[#This Row],[Iout]]*Rdson1)+IF(QrrSky_Q3&gt;0,QrrSky_Q3,Qrr_Q3)*Fsw*Vout)</f>
        <v>0</v>
      </c>
      <c r="BC135" s="354">
        <f>CHOOSE(Table1[[#This Row],[Mode Digit]], Rs*Table1[[#This Row],[Irms BuSync]]^2, Rs*Table1[[#This Row],[Irms BoCtlr]]^2, Rs*(Table1[[#This Row],[Irms BuSync]]^2+Table1[[#This Row],[Irms BoCtlr]]^2))</f>
        <v>0.17808947160803332</v>
      </c>
      <c r="BD135" s="354">
        <f t="shared" si="5"/>
        <v>1.44</v>
      </c>
      <c r="BE135" s="354">
        <f>IF(Vout&gt;8, Iq*Vout, Iq*Table1[[#This Row],[Vin]])</f>
        <v>4.3799999999999999E-2</v>
      </c>
      <c r="BF135" s="354">
        <f>CHOOSE(Table1[[#This Row],[Mode Digit]], (Qg_Q1+Qg_Q2)*Fsw, (Qg_Q3+Qg_Q4)*Fsw, (Qg_Q1+Qg_Q2+Qg_Q3+Qg_Q4)*Fsw)*IF(Vout&gt;8, Vout, Table1[[#This Row],[Vin]])</f>
        <v>0.47303999999999996</v>
      </c>
      <c r="BG135" s="354">
        <f t="shared" si="6"/>
        <v>0.57269042016806726</v>
      </c>
      <c r="BH135" s="354">
        <f>Table1[[#This Row],[IQ Loss]]+Table1[[#This Row],[Switching Current Loss]]</f>
        <v>0.51683999999999997</v>
      </c>
      <c r="BI13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10.25302138218948</v>
      </c>
      <c r="BJ135">
        <f>Vout*Table1[[#This Row],[Iout]]</f>
        <v>175.2</v>
      </c>
      <c r="BK135" s="550">
        <f>Table1[[#This Row],[Pout]]/(Table1[[#This Row],[Pout]]+Table1[[#This Row],[Total Loss]])</f>
        <v>0.94471364604484054</v>
      </c>
      <c r="BL13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242.78451611284331</v>
      </c>
      <c r="BM135" s="559">
        <f>IF(Table1[[#This Row],[Vin]]&gt;Vout, Table1[[#This Row],[Total Sync Bu MOSFET Loss]]*ThetaJA_Q2, ThetaJA_Q3*Table1[[#This Row],[Total Sync Bo MOSFET Loss]])</f>
        <v>56.662385271183396</v>
      </c>
      <c r="BN135" s="9"/>
      <c r="BO135" s="4">
        <f>Table1[[#This Row],[EFF, h]]*100</f>
        <v>94.471364604484052</v>
      </c>
      <c r="BP135" s="354">
        <f>Table1[[#This Row],[Total Inductor Loss]]</f>
        <v>1.9828521139542974</v>
      </c>
      <c r="BQ135" s="354">
        <f>Table1[[#This Row],[Total Control Bu MOSFET Loss]]+Table1[[#This Row],[Total Sync Bu MOSFET Loss]]+Table1[[#This Row],[Total Control Bo MOSFET Loss]]+Table1[[#This Row],[Total Sync Bo MOSFET Loss]]+Table1[[#This Row],[Reverse Recovery Loss MOSFET D BUCK]]+Table1[[#This Row],[Reverse Recovery Loss MOSFET D BOOST]]</f>
        <v>6.0536215591033997</v>
      </c>
      <c r="BR135" s="354">
        <f>Table1[[#This Row],[Total Control Bu MOSFET Loss]]+Table1[[#This Row],[Reverse Recovery Loss MOSFET D BUCK]]*0.66</f>
        <v>4.2742638338807222</v>
      </c>
      <c r="BS135" s="354">
        <f>Table1[[#This Row],[Total Sync Bu MOSFET Loss]]+Table1[[#This Row],[Reverse Recovery Loss MOSFET D BUCK]]*0.33</f>
        <v>1.0583007038530567</v>
      </c>
      <c r="BT135" s="354">
        <f xml:space="preserve"> Table1[[#This Row],[Total Control Bo MOSFET Loss]]+Table1[[#This Row],[Reverse Recovery Loss MOSFET D BOOST]]*0.66</f>
        <v>0</v>
      </c>
      <c r="BU135" s="354">
        <f xml:space="preserve"> Table1[[#This Row],[Total Sync Bo MOSFET Loss]]+Table1[[#This Row],[Reverse Recovery Loss MOSFET D BOOST]]*0.33</f>
        <v>0.71760466936962075</v>
      </c>
      <c r="BV135" s="354">
        <f>Table1[[#This Row],[Isense Shunt Loss]]</f>
        <v>0.17808947160803332</v>
      </c>
    </row>
    <row r="136" spans="7:74" x14ac:dyDescent="0.2">
      <c r="G136">
        <v>127</v>
      </c>
      <c r="H136" s="555">
        <f>VIN_min+(VIN_max-VIN_min)*(Table1[[#This Row],[Step]]/200)</f>
        <v>28.89</v>
      </c>
      <c r="I136" s="4" t="str">
        <f>IF(Mode = 2,IF(Table1[[#This Row],[Vin]]&gt;Vout, "BUCK","BOOST"),IF(Table1[[#This Row],[Vin]]&gt;VIN_BB_to_buck, "BUCK", IF(Table1[[#This Row],[Vin]]&lt;=VIN_boost_to_BB,"BOOST","BUCK-BST")))</f>
        <v>BUCK</v>
      </c>
      <c r="J136">
        <f>IF(Table1[[#This Row],[Mode]]="BOOST",2, IF(Table1[[#This Row],[Mode]]="BUCK", 1,3))</f>
        <v>1</v>
      </c>
      <c r="K136">
        <f t="shared" si="4"/>
        <v>12</v>
      </c>
      <c r="L136" s="4">
        <f>Vout*Table1[[#This Row],[Iout]]/(Table1[[#This Row],[Vin]]*Efficiency)</f>
        <v>6.3835601464720995</v>
      </c>
      <c r="M136" s="711">
        <f>MIN(1/Fsw,CHOOSE(Table1[[#This Row],[Mode Digit]],(Vout+(Rdson2+Rs+Rdcr)*Table1[[#This Row],[Iout]])/(Table1[[#This Row],[Vin]]+(Rs+Rdson2-Rdson1)*Table1[[#This Row],[Iout]])/Fsw,(Vout+(Rdson3+Rdcr)*Table1[[#This Row],[Iin]]-Table1[[#This Row],[Vin]])/(Vout+(Rdson3-Rdson4-Rs)*Table1[[#This Row],[Iin]])/Fsw,t1_Ph_II))</f>
        <v>8.5004610419548173E-7</v>
      </c>
      <c r="N136" s="602">
        <f>CHOOSE(Table1[[#This Row],[Mode Digit]],1/Fsw-Table1[[#This Row],[t1_Ph_II]],1/Fsw-Table1[[#This Row],[t1_Ph_II]],(Vout/Fsw-Table1[[#This Row],[Vin]]*t1_Ph_II)/(Table1[[#This Row],[Vin]]+Vout))</f>
        <v>8.1662056247118494E-7</v>
      </c>
      <c r="O136" s="602">
        <f>1/Fsw-(Table1[[#This Row],[t1_Ph_II]]+Table1[[#This Row],[t2_Ph_I]])</f>
        <v>0</v>
      </c>
      <c r="P13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9.6994017369406365</v>
      </c>
      <c r="Q136" s="4">
        <f>CHOOSE(Table1[[#This Row],[Mode Digit]],Table1[[#This Row],[I_0]]+1/Lf*(Table1[[#This Row],[Vin]]-Vout)*Table1[[#This Row],[t1_Ph_II]],Table1[[#This Row],[I_0]]+1/Lf*Table1[[#This Row],[Vin]]*Table1[[#This Row],[t1_Ph_II]],Table1[[#This Row],[I_0]]+(Table1[[#This Row],[Vin]]-Vout)/L*Table1[[#This Row],[t1_Ph_II]])</f>
        <v>14.300598263059362</v>
      </c>
      <c r="R136" s="4">
        <f>CHOOSE(Table1[[#This Row],[Mode Digit]],0,0,Table1[[#This Row],[I_1]]+Table1[[#This Row],[Vin]]/L*Table1[[#This Row],[t2_Ph_I]])</f>
        <v>0</v>
      </c>
      <c r="S136" s="4">
        <f>Fsw*(Table1[[#This Row],[I_0]]*Table1[[#This Row],[t1_Ph_II]]+Table1[[#This Row],[I_1]]*Table1[[#This Row],[t2_Ph_I]]+Table1[[#This Row],[I_2]]*Table1[[#This Row],[t3_Ph_III]])</f>
        <v>11.95386075406036</v>
      </c>
      <c r="T136" s="354">
        <f>MIN(1,CHOOSE(Table1[[#This Row],[Mode Digit]],(Vout+(Rdson2+Rs+Rdcr)*Table1[[#This Row],[Iout]])/(Table1[[#This Row],[Vin]]+(Rs+Rdson2-Rdson1)*Table1[[#This Row],[Iout]]),1,Fsw*Table1[[#This Row],[t2_Ph_I]]+Table1[[#This Row],[t1_Ph_II]]))</f>
        <v>0.51002766251728904</v>
      </c>
      <c r="U136" s="354">
        <f>MIN(1,CHOOSE(Table1[[#This Row],[Mode Digit]],0,(Vout+(Rdson3+Rdcr)*Table1[[#This Row],[Iin]]-Table1[[#This Row],[Vin]])/(Vout+(Rdson3-Rdson4-Rs)*Table1[[#This Row],[Iin]]),Fsw*Table1[[#This Row],[t1_Ph_II]]+Table1[[#This Row],[t3_Ph_III]]))</f>
        <v>0</v>
      </c>
      <c r="V136" s="4">
        <f>MAX(Table1[[#This Row],[I_0]:[I_2]])-MIN(Table1[[#This Row],[I_0]:[I_1]])</f>
        <v>4.6011965261187253</v>
      </c>
      <c r="W13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12.073286660612784</v>
      </c>
      <c r="X136" s="354">
        <f>(Table1[[#This Row],[Irms Lf]]^2*Rdcr*(1+Ltc*Ta-Ltc*25))/(1-Table1[[#This Row],[Irms Lf]]^2*Rdcr*Ltc*ThetaCa)</f>
        <v>0.90676108936619815</v>
      </c>
      <c r="Y136" s="354">
        <f>ABS(7.759*10^-3*Fsw^0.9458*(0.00787*Table1[[#This Row],[Ripple Current pk-pk]])^2.304)</f>
        <v>1.082333927689636</v>
      </c>
      <c r="Z136" s="354">
        <f>Table1[[#This Row],[DCR    Loss]]+Table1[[#This Row],[Core Loss]]</f>
        <v>1.9890950170558341</v>
      </c>
      <c r="AA136" s="4">
        <f>IF(Table1[[#This Row],[Vin]]&gt;Vout, Table1[[#This Row],[Ripple Current pk-pk]]/SQRT(12), SQRT(Table1[[#This Row],[Duty Cycle BOOST Leg]]/(1-Table1[[#This Row],[Duty Cycle BOOST Leg]]))*SQRT(Table1[[#This Row],[Iout]]^2+(Table1[[#This Row],[Ripple Current pk-pk]]^2)/12))</f>
        <v>1.3282510264745087</v>
      </c>
      <c r="AB136" s="354">
        <f>RCoutEsr*Table1[[#This Row],[Irms Cout]]^2</f>
        <v>8.821253946652929E-3</v>
      </c>
      <c r="AC136" s="354">
        <f>Table1[[#This Row],[Cout ESR Loss]]</f>
        <v>8.821253946652929E-3</v>
      </c>
      <c r="AD136" s="354">
        <f>IF(Table1[[#This Row],[Vin]]&gt;Vout, SQRT(Table1[[#This Row],[Duty Cycle BUCK Leg]]*(1-Table1[[#This Row],[Duty Cycle BUCK Leg]]))*SQRT(Table1[[#This Row],[Iout]]^2+(Table1[[#This Row],[Ripple Current pk-pk]]^2)/12), Table1[[#This Row],[Ripple Current pk-pk]]/SQRT(12))</f>
        <v>6.0354291907527662</v>
      </c>
      <c r="AE136" s="354">
        <f>RCinEsr*Table1[[#This Row],[Irms Cin]]^2</f>
        <v>7.2852811033181183E-2</v>
      </c>
      <c r="AF136" s="549">
        <f>Table1[[#This Row],[Cin ESR Loss]]</f>
        <v>7.2852811033181183E-2</v>
      </c>
      <c r="AG13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8.6222850862556246</v>
      </c>
      <c r="AH136" s="354">
        <f>Rdson1*Table1[[#This Row],[Irms BuCtrl]]^2</f>
        <v>0.31224396045639791</v>
      </c>
      <c r="AI136" s="354">
        <f>CHOOSE(Table1[[#This Row],[Mode Digit]], (Table1[[#This Row],[Vin]]*Table1[[#This Row],[Iout]]/2)*(Fsw)*(Tr_buck+Tf_buck), 0, (Table1[[#This Row],[Vin]]*Table1[[#This Row],[Avg IL]]/2)*(Fsw/1)*(Tr_buck+Tf_buck))</f>
        <v>3.4378060917357049</v>
      </c>
      <c r="AJ136">
        <f>IF(Table1[[#This Row],[Vin]]&gt;Vout, IF(Table1[[#This Row],[Iout]]&gt;Table1[[#This Row],[Ripple Current pk-pk]]/2,0,ABS(Table1[[#This Row],[Iout]]-Table1[[#This Row],[Ripple Current pk-pk]]/2)*Vsd_Q1*Deadtime*Fsw),0)</f>
        <v>0</v>
      </c>
      <c r="AK136" s="354">
        <f>(Table1[[#This Row],[Dead Time Loss BuCtrl]]+Table1[[#This Row],[Transition Loss BuCtrl]]+Table1[[#This Row],[RDS(on) Loss BuCtrl]]*(1+RdsonTopTc*Ta-RdsonTopTc*25))/(1-Table1[[#This Row],[RDS(on) Loss BuCtrl]]*RdsonTopTc*ThetaJA_Q1)</f>
        <v>4.053838860388872</v>
      </c>
      <c r="AL136" s="354">
        <f>CHOOSE(Table1[[#This Row],[Mode Digit]],SQRT((Fsw*(Table1[[#This Row],[t2_Ph_I]]+0))*((Table1[[#This Row],[I_0]]*Table1[[#This Row],[I_1]]+((Table1[[#This Row],[I_0]]-Table1[[#This Row],[I_1]])^2)/3))),0,SQRT((Fsw*(Table1[[#This Row],[t3_Ph_III]]+0))*((Table1[[#This Row],[I_0]]*Table1[[#This Row],[I_2]]+((Table1[[#This Row],[I_0]]-Table1[[#This Row],[I_2]])^2)/3))))</f>
        <v>8.4510621037041478</v>
      </c>
      <c r="AM136" s="354">
        <f>Rdson2*Table1[[#This Row],[Irms BuSync]]^2</f>
        <v>0.29996589285879044</v>
      </c>
      <c r="AN13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6" s="354">
        <f>(Table1[[#This Row],[Deadtime Loss BuSync]]+Table1[[#This Row],[RDS(on) Loss BuSync]]*(1+RdsonBotTc*Ta-RdsonBotTc*25))/(1-Table1[[#This Row],[RDS(on) Loss BuSync]]*RdsonBotTc*ThetaJA_Q2)</f>
        <v>0.94539825718811765</v>
      </c>
      <c r="AP136" s="354">
        <f>CHOOSE(Table1[[#This Row],[Mode Digit]],0,SQRT((Fsw*(Table1[[#This Row],[t1_Ph_II]]+0))*((Table1[[#This Row],[I_0]]*Table1[[#This Row],[I_1]]+((Table1[[#This Row],[I_0]]-Table1[[#This Row],[I_1]])^2)/3))),SQRT((Fsw*(Table1[[#This Row],[t2_Ph_I]]+0))*((Table1[[#This Row],[I_1]]*Table1[[#This Row],[I_2]]+((Table1[[#This Row],[I_1]]-Table1[[#This Row],[I_2]])^2)/3))))</f>
        <v>0</v>
      </c>
      <c r="AQ136" s="354">
        <f>Rdson4*Table1[[#This Row],[Irms BoCtlr]]^2</f>
        <v>0</v>
      </c>
      <c r="AR136" s="354">
        <f>CHOOSE(Table1[[#This Row],[Mode Digit]], 0, (Vout*Table1[[#This Row],[Iin]]/2)*(Fsw)*(Tr_boost+Tf_boost), (Vout*Iout/2)*(Fsw/1)*(Tr_boost+Tf_boost))</f>
        <v>0</v>
      </c>
      <c r="AS136">
        <f>IF(Table1[[#This Row],[Vin]]&gt;Vout, 0, IF(Table1[[#This Row],[Iin]]&gt;Table1[[#This Row],[Ripple Current pk-pk]]/2,0,ABS(Table1[[#This Row],[Iin]]-Table1[[#This Row],[Ripple Current pk-pk]]/2)*Vsd_Q4*Deadtime*Fsw))</f>
        <v>0</v>
      </c>
      <c r="AT136" s="354">
        <f>(Table1[[#This Row],[Dead Time Loss BoCtlr]]+Table1[[#This Row],[Transition Loss BoCtlr]]+Table1[[#This Row],[RDS(on) Loss BoCtlr]]*(1+RdsonTopTc*Ta-RdsonTopTc*25))/(1-Table1[[#This Row],[RDS(on) Loss BoCtlr]]*RdsonTopTc*ThetaJA_Q4)</f>
        <v>0</v>
      </c>
      <c r="AU13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12.073286660612784</v>
      </c>
      <c r="AV136" s="354">
        <f>Rdson3*Table1[[#This Row],[Irms BoSync]]^2</f>
        <v>0.61220985331518851</v>
      </c>
      <c r="AW13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6" s="354">
        <f>(Table1[[#This Row],[Deadtime Loss BoSync]]+Table1[[#This Row],[RDS(on) Loss BoSync]]*(1+RdsonBotTc*Ta-RdsonBotTc*25))/(1-Table1[[#This Row],[RDS(on) Loss BoSync]]*RdsonBotTc*ThetaJA_Q3)</f>
        <v>0.71765519255474641</v>
      </c>
      <c r="AY136" s="354">
        <f>CHOOSE(Table1[[#This Row],[Mode Digit]], Rdson3*Table1[[#This Row],[Irms Lf]]^2, Rdson1*Table1[[#This Row],[Irms Lf]]^2, 0)</f>
        <v>0.61220985331518851</v>
      </c>
      <c r="AZ136" s="354">
        <f>CHOOSE(Table1[[#This Row],[Mode Digit]], 2*Deadtime*Fsw*IF(VfdSky_Q2&gt;0,VfdSky_Q2,0)*Table1[[#This Row],[Iout]], 2*Deadtime*Fsw*IF(VfdSky_Q3&gt;0,VfdSky_Q3,0)*Table1[[#This Row],[Iin]], 2*Deadtime*Fsw*IF(VfdSky_Q2&gt;0,VfdSky_Q2,0)*Table1[[#This Row],[Iout]]+2*Deadtime*Fsw*IF(VfdSky_Q3&gt;0,VfdSky_Q3,0)*Table1[[#This Row],[Iin]])</f>
        <v>0</v>
      </c>
      <c r="BA136" s="354">
        <f>CHOOSE(Table1[[#This Row],[Mode Digit]], IF(QrrSky_Q2&gt;0,QrrSky_Q2,Qrr_Q2)*Fsw*(Table1[[#This Row],[Vin]]-Table1[[#This Row],[Iout]]*Rdson1),0,  IF(QrrSky_Q2&gt;0,QrrSky_Q2,Qrr_Q2)*Fsw*(Table1[[#This Row],[Vin]]-Table1[[#This Row],[Iout]]*Rdson1)+IF(QrrSky_Q3&gt;0,QrrSky_Q3,Qrr_Q3)*Fsw*Vout)</f>
        <v>0.34607520000000003</v>
      </c>
      <c r="BB136" s="354">
        <f>CHOOSE(Table1[[#This Row],[Mode Digit]],0, IF(QrrSky_Q3&gt;0,QrrSky_Q3,Qrr_Q3)*Fsw*Vout,  IF(QrrSky_Q2&gt;0,QrrSky_Q2,Qrr_Q2)*Fsw*(Table1[[#This Row],[Vin]]-Table1[[#This Row],[Iout]]*Rdson1)+IF(QrrSky_Q3&gt;0,QrrSky_Q3,Qrr_Q3)*Fsw*Vout)</f>
        <v>0</v>
      </c>
      <c r="BC136" s="354">
        <f>CHOOSE(Table1[[#This Row],[Mode Digit]], Rs*Table1[[#This Row],[Irms BuSync]]^2, Rs*Table1[[#This Row],[Irms BoCtlr]]^2, Rs*(Table1[[#This Row],[Irms BuSync]]^2+Table1[[#This Row],[Irms BoCtlr]]^2))</f>
        <v>0.17855112670166093</v>
      </c>
      <c r="BD136" s="354">
        <f t="shared" si="5"/>
        <v>1.44</v>
      </c>
      <c r="BE136" s="354">
        <f>IF(Vout&gt;8, Iq*Vout, Iq*Table1[[#This Row],[Vin]])</f>
        <v>4.3799999999999999E-2</v>
      </c>
      <c r="BF136" s="354">
        <f>CHOOSE(Table1[[#This Row],[Mode Digit]], (Qg_Q1+Qg_Q2)*Fsw, (Qg_Q3+Qg_Q4)*Fsw, (Qg_Q1+Qg_Q2+Qg_Q3+Qg_Q4)*Fsw)*IF(Vout&gt;8, Vout, Table1[[#This Row],[Vin]])</f>
        <v>0.47303999999999996</v>
      </c>
      <c r="BG136" s="354">
        <f t="shared" si="6"/>
        <v>0.57269042016806726</v>
      </c>
      <c r="BH136" s="354">
        <f>Table1[[#This Row],[IQ Loss]]+Table1[[#This Row],[Switching Current Loss]]</f>
        <v>0.51683999999999997</v>
      </c>
      <c r="BI13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10.269127718869065</v>
      </c>
      <c r="BJ136">
        <f>Vout*Table1[[#This Row],[Iout]]</f>
        <v>175.2</v>
      </c>
      <c r="BK136" s="550">
        <f>Table1[[#This Row],[Pout]]/(Table1[[#This Row],[Pout]]+Table1[[#This Row],[Total Loss]])</f>
        <v>0.94463160610516894</v>
      </c>
      <c r="BL13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243.23033162333232</v>
      </c>
      <c r="BM136" s="559">
        <f>IF(Table1[[#This Row],[Vin]]&gt;Vout, Table1[[#This Row],[Total Sync Bu MOSFET Loss]]*ThetaJA_Q2, ThetaJA_Q3*Table1[[#This Row],[Total Sync Bo MOSFET Loss]])</f>
        <v>56.723895431287062</v>
      </c>
      <c r="BN136" s="9"/>
      <c r="BO136" s="4">
        <f>Table1[[#This Row],[EFF, h]]*100</f>
        <v>94.463160610516894</v>
      </c>
      <c r="BP136" s="354">
        <f>Table1[[#This Row],[Total Inductor Loss]]</f>
        <v>1.9890950170558341</v>
      </c>
      <c r="BQ136" s="354">
        <f>Table1[[#This Row],[Total Control Bu MOSFET Loss]]+Table1[[#This Row],[Total Sync Bu MOSFET Loss]]+Table1[[#This Row],[Total Control Bo MOSFET Loss]]+Table1[[#This Row],[Total Sync Bo MOSFET Loss]]+Table1[[#This Row],[Reverse Recovery Loss MOSFET D BUCK]]+Table1[[#This Row],[Reverse Recovery Loss MOSFET D BOOST]]</f>
        <v>6.0629675101317364</v>
      </c>
      <c r="BR136" s="354">
        <f>Table1[[#This Row],[Total Control Bu MOSFET Loss]]+Table1[[#This Row],[Reverse Recovery Loss MOSFET D BUCK]]*0.66</f>
        <v>4.282248492388872</v>
      </c>
      <c r="BS136" s="354">
        <f>Table1[[#This Row],[Total Sync Bu MOSFET Loss]]+Table1[[#This Row],[Reverse Recovery Loss MOSFET D BUCK]]*0.33</f>
        <v>1.0596030731881176</v>
      </c>
      <c r="BT136" s="354">
        <f xml:space="preserve"> Table1[[#This Row],[Total Control Bo MOSFET Loss]]+Table1[[#This Row],[Reverse Recovery Loss MOSFET D BOOST]]*0.66</f>
        <v>0</v>
      </c>
      <c r="BU136" s="354">
        <f xml:space="preserve"> Table1[[#This Row],[Total Sync Bo MOSFET Loss]]+Table1[[#This Row],[Reverse Recovery Loss MOSFET D BOOST]]*0.33</f>
        <v>0.71765519255474641</v>
      </c>
      <c r="BV136" s="354">
        <f>Table1[[#This Row],[Isense Shunt Loss]]</f>
        <v>0.17855112670166093</v>
      </c>
    </row>
    <row r="137" spans="7:74" x14ac:dyDescent="0.2">
      <c r="G137">
        <v>128</v>
      </c>
      <c r="H137" s="555">
        <f>VIN_min+(VIN_max-VIN_min)*(Table1[[#This Row],[Step]]/200)</f>
        <v>28.96</v>
      </c>
      <c r="I137" s="4" t="str">
        <f>IF(Mode = 2,IF(Table1[[#This Row],[Vin]]&gt;Vout, "BUCK","BOOST"),IF(Table1[[#This Row],[Vin]]&gt;VIN_BB_to_buck, "BUCK", IF(Table1[[#This Row],[Vin]]&lt;=VIN_boost_to_BB,"BOOST","BUCK-BST")))</f>
        <v>BUCK</v>
      </c>
      <c r="J137">
        <f>IF(Table1[[#This Row],[Mode]]="BOOST",2, IF(Table1[[#This Row],[Mode]]="BUCK", 1,3))</f>
        <v>1</v>
      </c>
      <c r="K137">
        <f t="shared" ref="K137:K200" si="7">Iout</f>
        <v>12</v>
      </c>
      <c r="L137" s="4">
        <f>Vout*Table1[[#This Row],[Iout]]/(Table1[[#This Row],[Vin]]*Efficiency)</f>
        <v>6.3681302704274492</v>
      </c>
      <c r="M137" s="711">
        <f>MIN(1/Fsw,CHOOSE(Table1[[#This Row],[Mode Digit]],(Vout+(Rdson2+Rs+Rdcr)*Table1[[#This Row],[Iout]])/(Table1[[#This Row],[Vin]]+(Rs+Rdson2-Rdson1)*Table1[[#This Row],[Iout]])/Fsw,(Vout+(Rdson3+Rdcr)*Table1[[#This Row],[Iin]]-Table1[[#This Row],[Vin]])/(Vout+(Rdson3-Rdson4-Rs)*Table1[[#This Row],[Iin]])/Fsw,t1_Ph_II))</f>
        <v>8.4799356099804527E-7</v>
      </c>
      <c r="N137" s="602">
        <f>CHOOSE(Table1[[#This Row],[Mode Digit]],1/Fsw-Table1[[#This Row],[t1_Ph_II]],1/Fsw-Table1[[#This Row],[t1_Ph_II]],(Vout/Fsw-Table1[[#This Row],[Vin]]*t1_Ph_II)/(Table1[[#This Row],[Vin]]+Vout))</f>
        <v>8.1867310566862139E-7</v>
      </c>
      <c r="O137" s="602">
        <f>1/Fsw-(Table1[[#This Row],[t1_Ph_II]]+Table1[[#This Row],[t2_Ph_I]])</f>
        <v>0</v>
      </c>
      <c r="P13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9.6937144818310728</v>
      </c>
      <c r="Q137" s="4">
        <f>CHOOSE(Table1[[#This Row],[Mode Digit]],Table1[[#This Row],[I_0]]+1/Lf*(Table1[[#This Row],[Vin]]-Vout)*Table1[[#This Row],[t1_Ph_II]],Table1[[#This Row],[I_0]]+1/Lf*Table1[[#This Row],[Vin]]*Table1[[#This Row],[t1_Ph_II]],Table1[[#This Row],[I_0]]+(Table1[[#This Row],[Vin]]-Vout)/L*Table1[[#This Row],[t1_Ph_II]])</f>
        <v>14.306285518168925</v>
      </c>
      <c r="R137" s="4">
        <f>CHOOSE(Table1[[#This Row],[Mode Digit]],0,0,Table1[[#This Row],[I_1]]+Table1[[#This Row],[Vin]]/L*Table1[[#This Row],[t2_Ph_I]])</f>
        <v>0</v>
      </c>
      <c r="S137" s="4">
        <f>Fsw*(Table1[[#This Row],[I_0]]*Table1[[#This Row],[t1_Ph_II]]+Table1[[#This Row],[I_1]]*Table1[[#This Row],[t2_Ph_I]]+Table1[[#This Row],[I_2]]*Table1[[#This Row],[t3_Ph_III]])</f>
        <v>11.959427195092577</v>
      </c>
      <c r="T137" s="354">
        <f>MIN(1,CHOOSE(Table1[[#This Row],[Mode Digit]],(Vout+(Rdson2+Rs+Rdcr)*Table1[[#This Row],[Iout]])/(Table1[[#This Row],[Vin]]+(Rs+Rdson2-Rdson1)*Table1[[#This Row],[Iout]]),1,Fsw*Table1[[#This Row],[t2_Ph_I]]+Table1[[#This Row],[t1_Ph_II]]))</f>
        <v>0.50879613659882716</v>
      </c>
      <c r="U137" s="354">
        <f>MIN(1,CHOOSE(Table1[[#This Row],[Mode Digit]],0,(Vout+(Rdson3+Rdcr)*Table1[[#This Row],[Iin]]-Table1[[#This Row],[Vin]])/(Vout+(Rdson3-Rdson4-Rs)*Table1[[#This Row],[Iin]]),Fsw*Table1[[#This Row],[t1_Ph_II]]+Table1[[#This Row],[t3_Ph_III]]))</f>
        <v>0</v>
      </c>
      <c r="V137" s="4">
        <f>MAX(Table1[[#This Row],[I_0]:[I_2]])-MIN(Table1[[#This Row],[I_0]:[I_1]])</f>
        <v>4.6125710363378527</v>
      </c>
      <c r="W13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12.073648342448326</v>
      </c>
      <c r="X137" s="354">
        <f>(Table1[[#This Row],[Irms Lf]]^2*Rdcr*(1+Ltc*Ta-Ltc*25))/(1-Table1[[#This Row],[Irms Lf]]^2*Rdcr*Ltc*ThetaCa)</f>
        <v>0.90681935953911053</v>
      </c>
      <c r="Y137" s="354">
        <f>ABS(7.759*10^-3*Fsw^0.9458*(0.00787*Table1[[#This Row],[Ripple Current pk-pk]])^2.304)</f>
        <v>1.0885084771499767</v>
      </c>
      <c r="Z137" s="354">
        <f>Table1[[#This Row],[DCR    Loss]]+Table1[[#This Row],[Core Loss]]</f>
        <v>1.9953278366890872</v>
      </c>
      <c r="AA137" s="4">
        <f>IF(Table1[[#This Row],[Vin]]&gt;Vout, Table1[[#This Row],[Ripple Current pk-pk]]/SQRT(12), SQRT(Table1[[#This Row],[Duty Cycle BOOST Leg]]/(1-Table1[[#This Row],[Duty Cycle BOOST Leg]]))*SQRT(Table1[[#This Row],[Iout]]^2+(Table1[[#This Row],[Ripple Current pk-pk]]^2)/12))</f>
        <v>1.3315345647429653</v>
      </c>
      <c r="AB137" s="354">
        <f>RCoutEsr*Table1[[#This Row],[Irms Cout]]^2</f>
        <v>8.86492148552619E-3</v>
      </c>
      <c r="AC137" s="354">
        <f>Table1[[#This Row],[Cout ESR Loss]]</f>
        <v>8.86492148552619E-3</v>
      </c>
      <c r="AD137" s="354">
        <f>IF(Table1[[#This Row],[Vin]]&gt;Vout, SQRT(Table1[[#This Row],[Duty Cycle BUCK Leg]]*(1-Table1[[#This Row],[Duty Cycle BUCK Leg]]))*SQRT(Table1[[#This Row],[Iout]]^2+(Table1[[#This Row],[Ripple Current pk-pk]]^2)/12), Table1[[#This Row],[Ripple Current pk-pk]]/SQRT(12))</f>
        <v>6.0358899363851961</v>
      </c>
      <c r="AE137" s="354">
        <f>RCinEsr*Table1[[#This Row],[Irms Cin]]^2</f>
        <v>7.2863934648312173E-2</v>
      </c>
      <c r="AF137" s="549">
        <f>Table1[[#This Row],[Cin ESR Loss]]</f>
        <v>7.2863934648312173E-2</v>
      </c>
      <c r="AG13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8.6121269864562855</v>
      </c>
      <c r="AH137" s="354">
        <f>Rdson1*Table1[[#This Row],[Irms BuCtrl]]^2</f>
        <v>0.31150867116956427</v>
      </c>
      <c r="AI137" s="354">
        <f>CHOOSE(Table1[[#This Row],[Mode Digit]], (Table1[[#This Row],[Vin]]*Table1[[#This Row],[Iout]]/2)*(Fsw)*(Tr_buck+Tf_buck), 0, (Table1[[#This Row],[Vin]]*Table1[[#This Row],[Avg IL]]/2)*(Fsw/1)*(Tr_buck+Tf_buck))</f>
        <v>3.4461358399676709</v>
      </c>
      <c r="AJ137">
        <f>IF(Table1[[#This Row],[Vin]]&gt;Vout, IF(Table1[[#This Row],[Iout]]&gt;Table1[[#This Row],[Ripple Current pk-pk]]/2,0,ABS(Table1[[#This Row],[Iout]]-Table1[[#This Row],[Ripple Current pk-pk]]/2)*Vsd_Q1*Deadtime*Fsw),0)</f>
        <v>0</v>
      </c>
      <c r="AK137" s="354">
        <f>(Table1[[#This Row],[Dead Time Loss BuCtrl]]+Table1[[#This Row],[Transition Loss BuCtrl]]+Table1[[#This Row],[RDS(on) Loss BuCtrl]]*(1+RdsonTopTc*Ta-RdsonTopTc*25))/(1-Table1[[#This Row],[RDS(on) Loss BuCtrl]]*RdsonTopTc*ThetaJA_Q1)</f>
        <v>4.0612737916386248</v>
      </c>
      <c r="AL137" s="354">
        <f>CHOOSE(Table1[[#This Row],[Mode Digit]],SQRT((Fsw*(Table1[[#This Row],[t2_Ph_I]]+0))*((Table1[[#This Row],[I_0]]*Table1[[#This Row],[I_1]]+((Table1[[#This Row],[I_0]]-Table1[[#This Row],[I_1]])^2)/3))),0,SQRT((Fsw*(Table1[[#This Row],[t3_Ph_III]]+0))*((Table1[[#This Row],[I_0]]*Table1[[#This Row],[I_2]]+((Table1[[#This Row],[I_0]]-Table1[[#This Row],[I_2]])^2)/3))))</f>
        <v>8.461929630188175</v>
      </c>
      <c r="AM137" s="354">
        <f>Rdson2*Table1[[#This Row],[Irms BuSync]]^2</f>
        <v>0.3007378628782777</v>
      </c>
      <c r="AN13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7" s="354">
        <f>(Table1[[#This Row],[Deadtime Loss BuSync]]+Table1[[#This Row],[RDS(on) Loss BuSync]]*(1+RdsonBotTc*Ta-RdsonBotTc*25))/(1-Table1[[#This Row],[RDS(on) Loss BuSync]]*RdsonBotTc*ThetaJA_Q2)</f>
        <v>0.9464190625518949</v>
      </c>
      <c r="AP137" s="354">
        <f>CHOOSE(Table1[[#This Row],[Mode Digit]],0,SQRT((Fsw*(Table1[[#This Row],[t1_Ph_II]]+0))*((Table1[[#This Row],[I_0]]*Table1[[#This Row],[I_1]]+((Table1[[#This Row],[I_0]]-Table1[[#This Row],[I_1]])^2)/3))),SQRT((Fsw*(Table1[[#This Row],[t2_Ph_I]]+0))*((Table1[[#This Row],[I_1]]*Table1[[#This Row],[I_2]]+((Table1[[#This Row],[I_1]]-Table1[[#This Row],[I_2]])^2)/3))))</f>
        <v>0</v>
      </c>
      <c r="AQ137" s="354">
        <f>Rdson4*Table1[[#This Row],[Irms BoCtlr]]^2</f>
        <v>0</v>
      </c>
      <c r="AR137" s="354">
        <f>CHOOSE(Table1[[#This Row],[Mode Digit]], 0, (Vout*Table1[[#This Row],[Iin]]/2)*(Fsw)*(Tr_boost+Tf_boost), (Vout*Iout/2)*(Fsw/1)*(Tr_boost+Tf_boost))</f>
        <v>0</v>
      </c>
      <c r="AS137">
        <f>IF(Table1[[#This Row],[Vin]]&gt;Vout, 0, IF(Table1[[#This Row],[Iin]]&gt;Table1[[#This Row],[Ripple Current pk-pk]]/2,0,ABS(Table1[[#This Row],[Iin]]-Table1[[#This Row],[Ripple Current pk-pk]]/2)*Vsd_Q4*Deadtime*Fsw))</f>
        <v>0</v>
      </c>
      <c r="AT137" s="354">
        <f>(Table1[[#This Row],[Dead Time Loss BoCtlr]]+Table1[[#This Row],[Transition Loss BoCtlr]]+Table1[[#This Row],[RDS(on) Loss BoCtlr]]*(1+RdsonTopTc*Ta-RdsonTopTc*25))/(1-Table1[[#This Row],[RDS(on) Loss BoCtlr]]*RdsonTopTc*ThetaJA_Q4)</f>
        <v>0</v>
      </c>
      <c r="AU13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12.073648342448326</v>
      </c>
      <c r="AV137" s="354">
        <f>Rdson3*Table1[[#This Row],[Irms BoSync]]^2</f>
        <v>0.61224653404784202</v>
      </c>
      <c r="AW13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7" s="354">
        <f>(Table1[[#This Row],[Deadtime Loss BoSync]]+Table1[[#This Row],[RDS(on) Loss BoSync]]*(1+RdsonBotTc*Ta-RdsonBotTc*25))/(1-Table1[[#This Row],[RDS(on) Loss BoSync]]*RdsonBotTc*ThetaJA_Q3)</f>
        <v>0.71770559754279717</v>
      </c>
      <c r="AY137" s="354">
        <f>CHOOSE(Table1[[#This Row],[Mode Digit]], Rdson3*Table1[[#This Row],[Irms Lf]]^2, Rdson1*Table1[[#This Row],[Irms Lf]]^2, 0)</f>
        <v>0.61224653404784202</v>
      </c>
      <c r="AZ137" s="354">
        <f>CHOOSE(Table1[[#This Row],[Mode Digit]], 2*Deadtime*Fsw*IF(VfdSky_Q2&gt;0,VfdSky_Q2,0)*Table1[[#This Row],[Iout]], 2*Deadtime*Fsw*IF(VfdSky_Q3&gt;0,VfdSky_Q3,0)*Table1[[#This Row],[Iin]], 2*Deadtime*Fsw*IF(VfdSky_Q2&gt;0,VfdSky_Q2,0)*Table1[[#This Row],[Iout]]+2*Deadtime*Fsw*IF(VfdSky_Q3&gt;0,VfdSky_Q3,0)*Table1[[#This Row],[Iin]])</f>
        <v>0</v>
      </c>
      <c r="BA137" s="354">
        <f>CHOOSE(Table1[[#This Row],[Mode Digit]], IF(QrrSky_Q2&gt;0,QrrSky_Q2,Qrr_Q2)*Fsw*(Table1[[#This Row],[Vin]]-Table1[[#This Row],[Iout]]*Rdson1),0,  IF(QrrSky_Q2&gt;0,QrrSky_Q2,Qrr_Q2)*Fsw*(Table1[[#This Row],[Vin]]-Table1[[#This Row],[Iout]]*Rdson1)+IF(QrrSky_Q3&gt;0,QrrSky_Q3,Qrr_Q3)*Fsw*Vout)</f>
        <v>0.34691520000000003</v>
      </c>
      <c r="BB137" s="354">
        <f>CHOOSE(Table1[[#This Row],[Mode Digit]],0, IF(QrrSky_Q3&gt;0,QrrSky_Q3,Qrr_Q3)*Fsw*Vout,  IF(QrrSky_Q2&gt;0,QrrSky_Q2,Qrr_Q2)*Fsw*(Table1[[#This Row],[Vin]]-Table1[[#This Row],[Iout]]*Rdson1)+IF(QrrSky_Q3&gt;0,QrrSky_Q3,Qrr_Q3)*Fsw*Vout)</f>
        <v>0</v>
      </c>
      <c r="BC137" s="354">
        <f>CHOOSE(Table1[[#This Row],[Mode Digit]], Rs*Table1[[#This Row],[Irms BuSync]]^2, Rs*Table1[[#This Row],[Irms BoCtlr]]^2, Rs*(Table1[[#This Row],[Irms BuSync]]^2+Table1[[#This Row],[Irms BoCtlr]]^2))</f>
        <v>0.17901063266564149</v>
      </c>
      <c r="BD137" s="354">
        <f t="shared" ref="BD137:BD200" si="8">Rshunt/1000*Iout^2</f>
        <v>1.44</v>
      </c>
      <c r="BE137" s="354">
        <f>IF(Vout&gt;8, Iq*Vout, Iq*Table1[[#This Row],[Vin]])</f>
        <v>4.3799999999999999E-2</v>
      </c>
      <c r="BF137" s="354">
        <f>CHOOSE(Table1[[#This Row],[Mode Digit]], (Qg_Q1+Qg_Q2)*Fsw, (Qg_Q3+Qg_Q4)*Fsw, (Qg_Q1+Qg_Q2+Qg_Q3+Qg_Q4)*Fsw)*IF(Vout&gt;8, Vout, Table1[[#This Row],[Vin]])</f>
        <v>0.47303999999999996</v>
      </c>
      <c r="BG137" s="354">
        <f t="shared" ref="BG137:BG200" si="9">(Vin-Vdd)*Fsw*(Qg_Q1+Qg_Q2)+(RdsonDRT+RdsonDRT2)*Fsw*Qg_Q1*Vdd/(RdsonDRT+2*Rgate1+RdsonDRT2)+(RdsonDRB+RdsonDRB2)*Fsw*Qg_Q2*Vdd/(RdsonDRB+2*Rgate2+RdsonDRB2)</f>
        <v>0.57269042016806726</v>
      </c>
      <c r="BH137" s="354">
        <f>Table1[[#This Row],[IQ Loss]]+Table1[[#This Row],[Switching Current Loss]]</f>
        <v>0.51683999999999997</v>
      </c>
      <c r="BI13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10.285220977221883</v>
      </c>
      <c r="BJ137">
        <f>Vout*Table1[[#This Row],[Iout]]</f>
        <v>175.2</v>
      </c>
      <c r="BK137" s="550">
        <f>Table1[[#This Row],[Pout]]/(Table1[[#This Row],[Pout]]+Table1[[#This Row],[Total Loss]])</f>
        <v>0.94454964701211996</v>
      </c>
      <c r="BL13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243.67642749831748</v>
      </c>
      <c r="BM137" s="559">
        <f>IF(Table1[[#This Row],[Vin]]&gt;Vout, Table1[[#This Row],[Total Sync Bu MOSFET Loss]]*ThetaJA_Q2, ThetaJA_Q3*Table1[[#This Row],[Total Sync Bo MOSFET Loss]])</f>
        <v>56.785143753113694</v>
      </c>
      <c r="BN137" s="9"/>
      <c r="BO137" s="4">
        <f>Table1[[#This Row],[EFF, h]]*100</f>
        <v>94.454964701211992</v>
      </c>
      <c r="BP137" s="354">
        <f>Table1[[#This Row],[Total Inductor Loss]]</f>
        <v>1.9953278366890872</v>
      </c>
      <c r="BQ137" s="354">
        <f>Table1[[#This Row],[Total Control Bu MOSFET Loss]]+Table1[[#This Row],[Total Sync Bu MOSFET Loss]]+Table1[[#This Row],[Total Control Bo MOSFET Loss]]+Table1[[#This Row],[Total Sync Bo MOSFET Loss]]+Table1[[#This Row],[Reverse Recovery Loss MOSFET D BUCK]]+Table1[[#This Row],[Reverse Recovery Loss MOSFET D BOOST]]</f>
        <v>6.0723136517333165</v>
      </c>
      <c r="BR137" s="354">
        <f>Table1[[#This Row],[Total Control Bu MOSFET Loss]]+Table1[[#This Row],[Reverse Recovery Loss MOSFET D BUCK]]*0.66</f>
        <v>4.2902378236386252</v>
      </c>
      <c r="BS137" s="354">
        <f>Table1[[#This Row],[Total Sync Bu MOSFET Loss]]+Table1[[#This Row],[Reverse Recovery Loss MOSFET D BUCK]]*0.33</f>
        <v>1.0609010785518949</v>
      </c>
      <c r="BT137" s="354">
        <f xml:space="preserve"> Table1[[#This Row],[Total Control Bo MOSFET Loss]]+Table1[[#This Row],[Reverse Recovery Loss MOSFET D BOOST]]*0.66</f>
        <v>0</v>
      </c>
      <c r="BU137" s="354">
        <f xml:space="preserve"> Table1[[#This Row],[Total Sync Bo MOSFET Loss]]+Table1[[#This Row],[Reverse Recovery Loss MOSFET D BOOST]]*0.33</f>
        <v>0.71770559754279717</v>
      </c>
      <c r="BV137" s="354">
        <f>Table1[[#This Row],[Isense Shunt Loss]]</f>
        <v>0.17901063266564149</v>
      </c>
    </row>
    <row r="138" spans="7:74" x14ac:dyDescent="0.2">
      <c r="G138">
        <v>129</v>
      </c>
      <c r="H138" s="555">
        <f>VIN_min+(VIN_max-VIN_min)*(Table1[[#This Row],[Step]]/200)</f>
        <v>29.03</v>
      </c>
      <c r="I138" s="4" t="str">
        <f>IF(Mode = 2,IF(Table1[[#This Row],[Vin]]&gt;Vout, "BUCK","BOOST"),IF(Table1[[#This Row],[Vin]]&gt;VIN_BB_to_buck, "BUCK", IF(Table1[[#This Row],[Vin]]&lt;=VIN_boost_to_BB,"BOOST","BUCK-BST")))</f>
        <v>BUCK</v>
      </c>
      <c r="J138">
        <f>IF(Table1[[#This Row],[Mode]]="BOOST",2, IF(Table1[[#This Row],[Mode]]="BUCK", 1,3))</f>
        <v>1</v>
      </c>
      <c r="K138">
        <f t="shared" si="7"/>
        <v>12</v>
      </c>
      <c r="L138" s="4">
        <f>Vout*Table1[[#This Row],[Iout]]/(Table1[[#This Row],[Vin]]*Efficiency)</f>
        <v>6.3527748064615555</v>
      </c>
      <c r="M138" s="711">
        <f>MIN(1/Fsw,CHOOSE(Table1[[#This Row],[Mode Digit]],(Vout+(Rdson2+Rs+Rdcr)*Table1[[#This Row],[Iout]])/(Table1[[#This Row],[Vin]]+(Rs+Rdson2-Rdson1)*Table1[[#This Row],[Iout]])/Fsw,(Vout+(Rdson3+Rdcr)*Table1[[#This Row],[Iin]]-Table1[[#This Row],[Vin]])/(Vout+(Rdson3-Rdson4-Rs)*Table1[[#This Row],[Iin]])/Fsw,t1_Ph_II))</f>
        <v>8.4595090617114007E-7</v>
      </c>
      <c r="N138" s="602">
        <f>CHOOSE(Table1[[#This Row],[Mode Digit]],1/Fsw-Table1[[#This Row],[t1_Ph_II]],1/Fsw-Table1[[#This Row],[t1_Ph_II]],(Vout/Fsw-Table1[[#This Row],[Vin]]*t1_Ph_II)/(Table1[[#This Row],[Vin]]+Vout))</f>
        <v>8.2071576049552659E-7</v>
      </c>
      <c r="O138" s="602">
        <f>1/Fsw-(Table1[[#This Row],[t1_Ph_II]]+Table1[[#This Row],[t2_Ph_I]])</f>
        <v>0</v>
      </c>
      <c r="P13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9.6880546257481903</v>
      </c>
      <c r="Q138" s="4">
        <f>CHOOSE(Table1[[#This Row],[Mode Digit]],Table1[[#This Row],[I_0]]+1/Lf*(Table1[[#This Row],[Vin]]-Vout)*Table1[[#This Row],[t1_Ph_II]],Table1[[#This Row],[I_0]]+1/Lf*Table1[[#This Row],[Vin]]*Table1[[#This Row],[t1_Ph_II]],Table1[[#This Row],[I_0]]+(Table1[[#This Row],[Vin]]-Vout)/L*Table1[[#This Row],[t1_Ph_II]])</f>
        <v>14.31194537425181</v>
      </c>
      <c r="R138" s="4">
        <f>CHOOSE(Table1[[#This Row],[Mode Digit]],0,0,Table1[[#This Row],[I_1]]+Table1[[#This Row],[Vin]]/L*Table1[[#This Row],[t2_Ph_I]])</f>
        <v>0</v>
      </c>
      <c r="S138" s="4">
        <f>Fsw*(Table1[[#This Row],[I_0]]*Table1[[#This Row],[t1_Ph_II]]+Table1[[#This Row],[I_1]]*Table1[[#This Row],[t2_Ph_I]]+Table1[[#This Row],[I_2]]*Table1[[#This Row],[t3_Ph_III]])</f>
        <v>11.964994633012017</v>
      </c>
      <c r="T138" s="354">
        <f>MIN(1,CHOOSE(Table1[[#This Row],[Mode Digit]],(Vout+(Rdson2+Rs+Rdcr)*Table1[[#This Row],[Iout]])/(Table1[[#This Row],[Vin]]+(Rs+Rdson2-Rdson1)*Table1[[#This Row],[Iout]]),1,Fsw*Table1[[#This Row],[t2_Ph_I]]+Table1[[#This Row],[t1_Ph_II]]))</f>
        <v>0.50757054370268406</v>
      </c>
      <c r="U138" s="354">
        <f>MIN(1,CHOOSE(Table1[[#This Row],[Mode Digit]],0,(Vout+(Rdson3+Rdcr)*Table1[[#This Row],[Iin]]-Table1[[#This Row],[Vin]])/(Vout+(Rdson3-Rdson4-Rs)*Table1[[#This Row],[Iin]]),Fsw*Table1[[#This Row],[t1_Ph_II]]+Table1[[#This Row],[t3_Ph_III]]))</f>
        <v>0</v>
      </c>
      <c r="V138" s="4">
        <f>MAX(Table1[[#This Row],[I_0]:[I_2]])-MIN(Table1[[#This Row],[I_0]:[I_1]])</f>
        <v>4.6238907485036194</v>
      </c>
      <c r="W13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12.074009157601358</v>
      </c>
      <c r="X138" s="354">
        <f>(Table1[[#This Row],[Irms Lf]]^2*Rdcr*(1+Ltc*Ta-Ltc*25))/(1-Table1[[#This Row],[Irms Lf]]^2*Rdcr*Ltc*ThetaCa)</f>
        <v>0.90687749232577619</v>
      </c>
      <c r="Y138" s="354">
        <f>ABS(7.759*10^-3*Fsw^0.9458*(0.00787*Table1[[#This Row],[Ripple Current pk-pk]])^2.304)</f>
        <v>1.0946730235637983</v>
      </c>
      <c r="Z138" s="354">
        <f>Table1[[#This Row],[DCR    Loss]]+Table1[[#This Row],[Core Loss]]</f>
        <v>2.0015505158895746</v>
      </c>
      <c r="AA138" s="4">
        <f>IF(Table1[[#This Row],[Vin]]&gt;Vout, Table1[[#This Row],[Ripple Current pk-pk]]/SQRT(12), SQRT(Table1[[#This Row],[Duty Cycle BOOST Leg]]/(1-Table1[[#This Row],[Duty Cycle BOOST Leg]]))*SQRT(Table1[[#This Row],[Iout]]^2+(Table1[[#This Row],[Ripple Current pk-pk]]^2)/12))</f>
        <v>1.3348022841759926</v>
      </c>
      <c r="AB138" s="354">
        <f>RCoutEsr*Table1[[#This Row],[Irms Cout]]^2</f>
        <v>8.9084856892072371E-3</v>
      </c>
      <c r="AC138" s="354">
        <f>Table1[[#This Row],[Cout ESR Loss]]</f>
        <v>8.9084856892072371E-3</v>
      </c>
      <c r="AD138" s="354">
        <f>IF(Table1[[#This Row],[Vin]]&gt;Vout, SQRT(Table1[[#This Row],[Duty Cycle BUCK Leg]]*(1-Table1[[#This Row],[Duty Cycle BUCK Leg]]))*SQRT(Table1[[#This Row],[Iout]]^2+(Table1[[#This Row],[Ripple Current pk-pk]]^2)/12), Table1[[#This Row],[Ripple Current pk-pk]]/SQRT(12))</f>
        <v>6.0363125398554196</v>
      </c>
      <c r="AE138" s="354">
        <f>RCinEsr*Table1[[#This Row],[Irms Cin]]^2</f>
        <v>7.2874138157631579E-2</v>
      </c>
      <c r="AF138" s="549">
        <f>Table1[[#This Row],[Cin ESR Loss]]</f>
        <v>7.2874138157631579E-2</v>
      </c>
      <c r="AG13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8.6020053056339272</v>
      </c>
      <c r="AH138" s="354">
        <f>Rdson1*Table1[[#This Row],[Irms BuCtrl]]^2</f>
        <v>0.31077688016824784</v>
      </c>
      <c r="AI138" s="354">
        <f>CHOOSE(Table1[[#This Row],[Mode Digit]], (Table1[[#This Row],[Vin]]*Table1[[#This Row],[Iout]]/2)*(Fsw)*(Tr_buck+Tf_buck), 0, (Table1[[#This Row],[Vin]]*Table1[[#This Row],[Avg IL]]/2)*(Fsw/1)*(Tr_buck+Tf_buck))</f>
        <v>3.4544655881996369</v>
      </c>
      <c r="AJ138">
        <f>IF(Table1[[#This Row],[Vin]]&gt;Vout, IF(Table1[[#This Row],[Iout]]&gt;Table1[[#This Row],[Ripple Current pk-pk]]/2,0,ABS(Table1[[#This Row],[Iout]]-Table1[[#This Row],[Ripple Current pk-pk]]/2)*Vsd_Q1*Deadtime*Fsw),0)</f>
        <v>0</v>
      </c>
      <c r="AK138" s="354">
        <f>(Table1[[#This Row],[Dead Time Loss BuCtrl]]+Table1[[#This Row],[Transition Loss BuCtrl]]+Table1[[#This Row],[RDS(on) Loss BuCtrl]]*(1+RdsonTopTc*Ta-RdsonTopTc*25))/(1-Table1[[#This Row],[RDS(on) Loss BuCtrl]]*RdsonTopTc*ThetaJA_Q1)</f>
        <v>4.068713358924378</v>
      </c>
      <c r="AL138" s="354">
        <f>CHOOSE(Table1[[#This Row],[Mode Digit]],SQRT((Fsw*(Table1[[#This Row],[t2_Ph_I]]+0))*((Table1[[#This Row],[I_0]]*Table1[[#This Row],[I_1]]+((Table1[[#This Row],[I_0]]-Table1[[#This Row],[I_1]])^2)/3))),0,SQRT((Fsw*(Table1[[#This Row],[t3_Ph_III]]+0))*((Table1[[#This Row],[I_0]]*Table1[[#This Row],[I_2]]+((Table1[[#This Row],[I_0]]-Table1[[#This Row],[I_2]])^2)/3))))</f>
        <v>8.4727328448197419</v>
      </c>
      <c r="AM138" s="354">
        <f>Rdson2*Table1[[#This Row],[Irms BuSync]]^2</f>
        <v>0.30150624781068641</v>
      </c>
      <c r="AN13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8" s="354">
        <f>(Table1[[#This Row],[Deadtime Loss BuSync]]+Table1[[#This Row],[RDS(on) Loss BuSync]]*(1+RdsonBotTc*Ta-RdsonBotTc*25))/(1-Table1[[#This Row],[RDS(on) Loss BuSync]]*RdsonBotTc*ThetaJA_Q2)</f>
        <v>0.94743553214350074</v>
      </c>
      <c r="AP138" s="354">
        <f>CHOOSE(Table1[[#This Row],[Mode Digit]],0,SQRT((Fsw*(Table1[[#This Row],[t1_Ph_II]]+0))*((Table1[[#This Row],[I_0]]*Table1[[#This Row],[I_1]]+((Table1[[#This Row],[I_0]]-Table1[[#This Row],[I_1]])^2)/3))),SQRT((Fsw*(Table1[[#This Row],[t2_Ph_I]]+0))*((Table1[[#This Row],[I_1]]*Table1[[#This Row],[I_2]]+((Table1[[#This Row],[I_1]]-Table1[[#This Row],[I_2]])^2)/3))))</f>
        <v>0</v>
      </c>
      <c r="AQ138" s="354">
        <f>Rdson4*Table1[[#This Row],[Irms BoCtlr]]^2</f>
        <v>0</v>
      </c>
      <c r="AR138" s="354">
        <f>CHOOSE(Table1[[#This Row],[Mode Digit]], 0, (Vout*Table1[[#This Row],[Iin]]/2)*(Fsw)*(Tr_boost+Tf_boost), (Vout*Iout/2)*(Fsw/1)*(Tr_boost+Tf_boost))</f>
        <v>0</v>
      </c>
      <c r="AS138">
        <f>IF(Table1[[#This Row],[Vin]]&gt;Vout, 0, IF(Table1[[#This Row],[Iin]]&gt;Table1[[#This Row],[Ripple Current pk-pk]]/2,0,ABS(Table1[[#This Row],[Iin]]-Table1[[#This Row],[Ripple Current pk-pk]]/2)*Vsd_Q4*Deadtime*Fsw))</f>
        <v>0</v>
      </c>
      <c r="AT138" s="354">
        <f>(Table1[[#This Row],[Dead Time Loss BoCtlr]]+Table1[[#This Row],[Transition Loss BoCtlr]]+Table1[[#This Row],[RDS(on) Loss BoCtlr]]*(1+RdsonTopTc*Ta-RdsonTopTc*25))/(1-Table1[[#This Row],[RDS(on) Loss BoCtlr]]*RdsonTopTc*ThetaJA_Q4)</f>
        <v>0</v>
      </c>
      <c r="AU13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12.074009157601358</v>
      </c>
      <c r="AV138" s="354">
        <f>Rdson3*Table1[[#This Row],[Irms BoSync]]^2</f>
        <v>0.61228312797893425</v>
      </c>
      <c r="AW13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8" s="354">
        <f>(Table1[[#This Row],[Deadtime Loss BoSync]]+Table1[[#This Row],[RDS(on) Loss BoSync]]*(1+RdsonBotTc*Ta-RdsonBotTc*25))/(1-Table1[[#This Row],[RDS(on) Loss BoSync]]*RdsonBotTc*ThetaJA_Q3)</f>
        <v>0.71775588428876025</v>
      </c>
      <c r="AY138" s="354">
        <f>CHOOSE(Table1[[#This Row],[Mode Digit]], Rdson3*Table1[[#This Row],[Irms Lf]]^2, Rdson1*Table1[[#This Row],[Irms Lf]]^2, 0)</f>
        <v>0.61228312797893425</v>
      </c>
      <c r="AZ138" s="354">
        <f>CHOOSE(Table1[[#This Row],[Mode Digit]], 2*Deadtime*Fsw*IF(VfdSky_Q2&gt;0,VfdSky_Q2,0)*Table1[[#This Row],[Iout]], 2*Deadtime*Fsw*IF(VfdSky_Q3&gt;0,VfdSky_Q3,0)*Table1[[#This Row],[Iin]], 2*Deadtime*Fsw*IF(VfdSky_Q2&gt;0,VfdSky_Q2,0)*Table1[[#This Row],[Iout]]+2*Deadtime*Fsw*IF(VfdSky_Q3&gt;0,VfdSky_Q3,0)*Table1[[#This Row],[Iin]])</f>
        <v>0</v>
      </c>
      <c r="BA138" s="354">
        <f>CHOOSE(Table1[[#This Row],[Mode Digit]], IF(QrrSky_Q2&gt;0,QrrSky_Q2,Qrr_Q2)*Fsw*(Table1[[#This Row],[Vin]]-Table1[[#This Row],[Iout]]*Rdson1),0,  IF(QrrSky_Q2&gt;0,QrrSky_Q2,Qrr_Q2)*Fsw*(Table1[[#This Row],[Vin]]-Table1[[#This Row],[Iout]]*Rdson1)+IF(QrrSky_Q3&gt;0,QrrSky_Q3,Qrr_Q3)*Fsw*Vout)</f>
        <v>0.34775520000000004</v>
      </c>
      <c r="BB138" s="354">
        <f>CHOOSE(Table1[[#This Row],[Mode Digit]],0, IF(QrrSky_Q3&gt;0,QrrSky_Q3,Qrr_Q3)*Fsw*Vout,  IF(QrrSky_Q2&gt;0,QrrSky_Q2,Qrr_Q2)*Fsw*(Table1[[#This Row],[Vin]]-Table1[[#This Row],[Iout]]*Rdson1)+IF(QrrSky_Q3&gt;0,QrrSky_Q3,Qrr_Q3)*Fsw*Vout)</f>
        <v>0</v>
      </c>
      <c r="BC138" s="354">
        <f>CHOOSE(Table1[[#This Row],[Mode Digit]], Rs*Table1[[#This Row],[Irms BuSync]]^2, Rs*Table1[[#This Row],[Irms BoCtlr]]^2, Rs*(Table1[[#This Row],[Irms BuSync]]^2+Table1[[#This Row],[Irms BoCtlr]]^2))</f>
        <v>0.17946800464921808</v>
      </c>
      <c r="BD138" s="354">
        <f t="shared" si="8"/>
        <v>1.44</v>
      </c>
      <c r="BE138" s="354">
        <f>IF(Vout&gt;8, Iq*Vout, Iq*Table1[[#This Row],[Vin]])</f>
        <v>4.3799999999999999E-2</v>
      </c>
      <c r="BF138" s="354">
        <f>CHOOSE(Table1[[#This Row],[Mode Digit]], (Qg_Q1+Qg_Q2)*Fsw, (Qg_Q3+Qg_Q4)*Fsw, (Qg_Q1+Qg_Q2+Qg_Q3+Qg_Q4)*Fsw)*IF(Vout&gt;8, Vout, Table1[[#This Row],[Vin]])</f>
        <v>0.47303999999999996</v>
      </c>
      <c r="BG138" s="354">
        <f t="shared" si="9"/>
        <v>0.57269042016806726</v>
      </c>
      <c r="BH138" s="354">
        <f>Table1[[#This Row],[IQ Loss]]+Table1[[#This Row],[Switching Current Loss]]</f>
        <v>0.51683999999999997</v>
      </c>
      <c r="BI13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10.30130111974227</v>
      </c>
      <c r="BJ138">
        <f>Vout*Table1[[#This Row],[Iout]]</f>
        <v>175.2</v>
      </c>
      <c r="BK138" s="550">
        <f>Table1[[#This Row],[Pout]]/(Table1[[#This Row],[Pout]]+Table1[[#This Row],[Total Loss]])</f>
        <v>0.94446776891827444</v>
      </c>
      <c r="BL13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244.12280153546268</v>
      </c>
      <c r="BM138" s="559">
        <f>IF(Table1[[#This Row],[Vin]]&gt;Vout, Table1[[#This Row],[Total Sync Bu MOSFET Loss]]*ThetaJA_Q2, ThetaJA_Q3*Table1[[#This Row],[Total Sync Bo MOSFET Loss]])</f>
        <v>56.846131928610042</v>
      </c>
      <c r="BN138" s="9"/>
      <c r="BO138" s="4">
        <f>Table1[[#This Row],[EFF, h]]*100</f>
        <v>94.44677689182744</v>
      </c>
      <c r="BP138" s="354">
        <f>Table1[[#This Row],[Total Inductor Loss]]</f>
        <v>2.0015505158895746</v>
      </c>
      <c r="BQ138" s="354">
        <f>Table1[[#This Row],[Total Control Bu MOSFET Loss]]+Table1[[#This Row],[Total Sync Bu MOSFET Loss]]+Table1[[#This Row],[Total Control Bo MOSFET Loss]]+Table1[[#This Row],[Total Sync Bo MOSFET Loss]]+Table1[[#This Row],[Reverse Recovery Loss MOSFET D BUCK]]+Table1[[#This Row],[Reverse Recovery Loss MOSFET D BOOST]]</f>
        <v>6.0816599753566383</v>
      </c>
      <c r="BR138" s="354">
        <f>Table1[[#This Row],[Total Control Bu MOSFET Loss]]+Table1[[#This Row],[Reverse Recovery Loss MOSFET D BUCK]]*0.66</f>
        <v>4.2982317909243779</v>
      </c>
      <c r="BS138" s="354">
        <f>Table1[[#This Row],[Total Sync Bu MOSFET Loss]]+Table1[[#This Row],[Reverse Recovery Loss MOSFET D BUCK]]*0.33</f>
        <v>1.0621947481435008</v>
      </c>
      <c r="BT138" s="354">
        <f xml:space="preserve"> Table1[[#This Row],[Total Control Bo MOSFET Loss]]+Table1[[#This Row],[Reverse Recovery Loss MOSFET D BOOST]]*0.66</f>
        <v>0</v>
      </c>
      <c r="BU138" s="354">
        <f xml:space="preserve"> Table1[[#This Row],[Total Sync Bo MOSFET Loss]]+Table1[[#This Row],[Reverse Recovery Loss MOSFET D BOOST]]*0.33</f>
        <v>0.71775588428876025</v>
      </c>
      <c r="BV138" s="354">
        <f>Table1[[#This Row],[Isense Shunt Loss]]</f>
        <v>0.17946800464921808</v>
      </c>
    </row>
    <row r="139" spans="7:74" x14ac:dyDescent="0.2">
      <c r="G139">
        <v>130</v>
      </c>
      <c r="H139" s="555">
        <f>VIN_min+(VIN_max-VIN_min)*(Table1[[#This Row],[Step]]/200)</f>
        <v>29.1</v>
      </c>
      <c r="I139" s="4" t="str">
        <f>IF(Mode = 2,IF(Table1[[#This Row],[Vin]]&gt;Vout, "BUCK","BOOST"),IF(Table1[[#This Row],[Vin]]&gt;VIN_BB_to_buck, "BUCK", IF(Table1[[#This Row],[Vin]]&lt;=VIN_boost_to_BB,"BOOST","BUCK-BST")))</f>
        <v>BUCK</v>
      </c>
      <c r="J139">
        <f>IF(Table1[[#This Row],[Mode]]="BOOST",2, IF(Table1[[#This Row],[Mode]]="BUCK", 1,3))</f>
        <v>1</v>
      </c>
      <c r="K139">
        <f t="shared" si="7"/>
        <v>12</v>
      </c>
      <c r="L139" s="4">
        <f>Vout*Table1[[#This Row],[Iout]]/(Table1[[#This Row],[Vin]]*Efficiency)</f>
        <v>6.3374932175800325</v>
      </c>
      <c r="M139" s="711">
        <f>MIN(1/Fsw,CHOOSE(Table1[[#This Row],[Mode Digit]],(Vout+(Rdson2+Rs+Rdcr)*Table1[[#This Row],[Iout]])/(Table1[[#This Row],[Vin]]+(Rs+Rdson2-Rdson1)*Table1[[#This Row],[Iout]])/Fsw,(Vout+(Rdson3+Rdcr)*Table1[[#This Row],[Iin]]-Table1[[#This Row],[Vin]])/(Vout+(Rdson3-Rdson4-Rs)*Table1[[#This Row],[Iin]])/Fsw,t1_Ph_II))</f>
        <v>8.4391806842888199E-7</v>
      </c>
      <c r="N139" s="602">
        <f>CHOOSE(Table1[[#This Row],[Mode Digit]],1/Fsw-Table1[[#This Row],[t1_Ph_II]],1/Fsw-Table1[[#This Row],[t1_Ph_II]],(Vout/Fsw-Table1[[#This Row],[Vin]]*t1_Ph_II)/(Table1[[#This Row],[Vin]]+Vout))</f>
        <v>8.2274859823778468E-7</v>
      </c>
      <c r="O139" s="602">
        <f>1/Fsw-(Table1[[#This Row],[t1_Ph_II]]+Table1[[#This Row],[t2_Ph_I]])</f>
        <v>0</v>
      </c>
      <c r="P13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9.6824219711706832</v>
      </c>
      <c r="Q139" s="4">
        <f>CHOOSE(Table1[[#This Row],[Mode Digit]],Table1[[#This Row],[I_0]]+1/Lf*(Table1[[#This Row],[Vin]]-Vout)*Table1[[#This Row],[t1_Ph_II]],Table1[[#This Row],[I_0]]+1/Lf*Table1[[#This Row],[Vin]]*Table1[[#This Row],[t1_Ph_II]],Table1[[#This Row],[I_0]]+(Table1[[#This Row],[Vin]]-Vout)/L*Table1[[#This Row],[t1_Ph_II]])</f>
        <v>14.317578028829317</v>
      </c>
      <c r="R139" s="4">
        <f>CHOOSE(Table1[[#This Row],[Mode Digit]],0,0,Table1[[#This Row],[I_1]]+Table1[[#This Row],[Vin]]/L*Table1[[#This Row],[t2_Ph_I]])</f>
        <v>0</v>
      </c>
      <c r="S139" s="4">
        <f>Fsw*(Table1[[#This Row],[I_0]]*Table1[[#This Row],[t1_Ph_II]]+Table1[[#This Row],[I_1]]*Table1[[#This Row],[t2_Ph_I]]+Table1[[#This Row],[I_2]]*Table1[[#This Row],[t3_Ph_III]])</f>
        <v>11.970562860601893</v>
      </c>
      <c r="T139" s="354">
        <f>MIN(1,CHOOSE(Table1[[#This Row],[Mode Digit]],(Vout+(Rdson2+Rs+Rdcr)*Table1[[#This Row],[Iout]])/(Table1[[#This Row],[Vin]]+(Rs+Rdson2-Rdson1)*Table1[[#This Row],[Iout]]),1,Fsw*Table1[[#This Row],[t2_Ph_I]]+Table1[[#This Row],[t1_Ph_II]]))</f>
        <v>0.50635084105732919</v>
      </c>
      <c r="U139" s="354">
        <f>MIN(1,CHOOSE(Table1[[#This Row],[Mode Digit]],0,(Vout+(Rdson3+Rdcr)*Table1[[#This Row],[Iin]]-Table1[[#This Row],[Vin]])/(Vout+(Rdson3-Rdson4-Rs)*Table1[[#This Row],[Iin]]),Fsw*Table1[[#This Row],[t1_Ph_II]]+Table1[[#This Row],[t3_Ph_III]]))</f>
        <v>0</v>
      </c>
      <c r="V139" s="4">
        <f>MAX(Table1[[#This Row],[I_0]:[I_2]])-MIN(Table1[[#This Row],[I_0]:[I_1]])</f>
        <v>4.6351560576586337</v>
      </c>
      <c r="W13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12.074369105943831</v>
      </c>
      <c r="X139" s="354">
        <f>(Table1[[#This Row],[Irms Lf]]^2*Rdcr*(1+Ltc*Ta-Ltc*25))/(1-Table1[[#This Row],[Irms Lf]]^2*Rdcr*Ltc*ThetaCa)</f>
        <v>0.90693548768946364</v>
      </c>
      <c r="Y139" s="354">
        <f>ABS(7.759*10^-3*Fsw^0.9458*(0.00787*Table1[[#This Row],[Ripple Current pk-pk]])^2.304)</f>
        <v>1.1008275116291375</v>
      </c>
      <c r="Z139" s="354">
        <f>Table1[[#This Row],[DCR    Loss]]+Table1[[#This Row],[Core Loss]]</f>
        <v>2.0077629993186012</v>
      </c>
      <c r="AA139" s="4">
        <f>IF(Table1[[#This Row],[Vin]]&gt;Vout, Table1[[#This Row],[Ripple Current pk-pk]]/SQRT(12), SQRT(Table1[[#This Row],[Duty Cycle BOOST Leg]]/(1-Table1[[#This Row],[Duty Cycle BOOST Leg]]))*SQRT(Table1[[#This Row],[Iout]]^2+(Table1[[#This Row],[Ripple Current pk-pk]]^2)/12))</f>
        <v>1.3380542988125683</v>
      </c>
      <c r="AB139" s="354">
        <f>RCoutEsr*Table1[[#This Row],[Irms Cout]]^2</f>
        <v>8.9519465328539698E-3</v>
      </c>
      <c r="AC139" s="354">
        <f>Table1[[#This Row],[Cout ESR Loss]]</f>
        <v>8.9519465328539698E-3</v>
      </c>
      <c r="AD139" s="354">
        <f>IF(Table1[[#This Row],[Vin]]&gt;Vout, SQRT(Table1[[#This Row],[Duty Cycle BUCK Leg]]*(1-Table1[[#This Row],[Duty Cycle BUCK Leg]]))*SQRT(Table1[[#This Row],[Iout]]^2+(Table1[[#This Row],[Ripple Current pk-pk]]^2)/12), Table1[[#This Row],[Ripple Current pk-pk]]/SQRT(12))</f>
        <v>6.036697535599842</v>
      </c>
      <c r="AE139" s="354">
        <f>RCinEsr*Table1[[#This Row],[Irms Cin]]^2</f>
        <v>7.2883434272634426E-2</v>
      </c>
      <c r="AF139" s="549">
        <f>Table1[[#This Row],[Cin ESR Loss]]</f>
        <v>7.2883434272634426E-2</v>
      </c>
      <c r="AG13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8.5919198229183671</v>
      </c>
      <c r="AH139" s="354">
        <f>Rdson1*Table1[[#This Row],[Irms BuCtrl]]^2</f>
        <v>0.31004856222252192</v>
      </c>
      <c r="AI139" s="354">
        <f>CHOOSE(Table1[[#This Row],[Mode Digit]], (Table1[[#This Row],[Vin]]*Table1[[#This Row],[Iout]]/2)*(Fsw)*(Tr_buck+Tf_buck), 0, (Table1[[#This Row],[Vin]]*Table1[[#This Row],[Avg IL]]/2)*(Fsw/1)*(Tr_buck+Tf_buck))</f>
        <v>3.4627953364316033</v>
      </c>
      <c r="AJ139">
        <f>IF(Table1[[#This Row],[Vin]]&gt;Vout, IF(Table1[[#This Row],[Iout]]&gt;Table1[[#This Row],[Ripple Current pk-pk]]/2,0,ABS(Table1[[#This Row],[Iout]]-Table1[[#This Row],[Ripple Current pk-pk]]/2)*Vsd_Q1*Deadtime*Fsw),0)</f>
        <v>0</v>
      </c>
      <c r="AK139" s="354">
        <f>(Table1[[#This Row],[Dead Time Loss BuCtrl]]+Table1[[#This Row],[Transition Loss BuCtrl]]+Table1[[#This Row],[RDS(on) Loss BuCtrl]]*(1+RdsonTopTc*Ta-RdsonTopTc*25))/(1-Table1[[#This Row],[RDS(on) Loss BuCtrl]]*RdsonTopTc*ThetaJA_Q1)</f>
        <v>4.0761575259276572</v>
      </c>
      <c r="AL139" s="354">
        <f>CHOOSE(Table1[[#This Row],[Mode Digit]],SQRT((Fsw*(Table1[[#This Row],[t2_Ph_I]]+0))*((Table1[[#This Row],[I_0]]*Table1[[#This Row],[I_1]]+((Table1[[#This Row],[I_0]]-Table1[[#This Row],[I_1]])^2)/3))),0,SQRT((Fsw*(Table1[[#This Row],[t3_Ph_III]]+0))*((Table1[[#This Row],[I_0]]*Table1[[#This Row],[I_2]]+((Table1[[#This Row],[I_0]]-Table1[[#This Row],[I_2]])^2)/3))))</f>
        <v>8.4834723470471243</v>
      </c>
      <c r="AM139" s="354">
        <f>Rdson2*Table1[[#This Row],[Irms BuSync]]^2</f>
        <v>0.30227107286507565</v>
      </c>
      <c r="AN13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39" s="354">
        <f>(Table1[[#This Row],[Deadtime Loss BuSync]]+Table1[[#This Row],[RDS(on) Loss BuSync]]*(1+RdsonBotTc*Ta-RdsonBotTc*25))/(1-Table1[[#This Row],[RDS(on) Loss BuSync]]*RdsonBotTc*ThetaJA_Q2)</f>
        <v>0.94844769391561101</v>
      </c>
      <c r="AP139" s="354">
        <f>CHOOSE(Table1[[#This Row],[Mode Digit]],0,SQRT((Fsw*(Table1[[#This Row],[t1_Ph_II]]+0))*((Table1[[#This Row],[I_0]]*Table1[[#This Row],[I_1]]+((Table1[[#This Row],[I_0]]-Table1[[#This Row],[I_1]])^2)/3))),SQRT((Fsw*(Table1[[#This Row],[t2_Ph_I]]+0))*((Table1[[#This Row],[I_1]]*Table1[[#This Row],[I_2]]+((Table1[[#This Row],[I_1]]-Table1[[#This Row],[I_2]])^2)/3))))</f>
        <v>0</v>
      </c>
      <c r="AQ139" s="354">
        <f>Rdson4*Table1[[#This Row],[Irms BoCtlr]]^2</f>
        <v>0</v>
      </c>
      <c r="AR139" s="354">
        <f>CHOOSE(Table1[[#This Row],[Mode Digit]], 0, (Vout*Table1[[#This Row],[Iin]]/2)*(Fsw)*(Tr_boost+Tf_boost), (Vout*Iout/2)*(Fsw/1)*(Tr_boost+Tf_boost))</f>
        <v>0</v>
      </c>
      <c r="AS139">
        <f>IF(Table1[[#This Row],[Vin]]&gt;Vout, 0, IF(Table1[[#This Row],[Iin]]&gt;Table1[[#This Row],[Ripple Current pk-pk]]/2,0,ABS(Table1[[#This Row],[Iin]]-Table1[[#This Row],[Ripple Current pk-pk]]/2)*Vsd_Q4*Deadtime*Fsw))</f>
        <v>0</v>
      </c>
      <c r="AT139" s="354">
        <f>(Table1[[#This Row],[Dead Time Loss BoCtlr]]+Table1[[#This Row],[Transition Loss BoCtlr]]+Table1[[#This Row],[RDS(on) Loss BoCtlr]]*(1+RdsonTopTc*Ta-RdsonTopTc*25))/(1-Table1[[#This Row],[RDS(on) Loss BoCtlr]]*RdsonTopTc*ThetaJA_Q4)</f>
        <v>0</v>
      </c>
      <c r="AU13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12.074369105943831</v>
      </c>
      <c r="AV139" s="354">
        <f>Rdson3*Table1[[#This Row],[Irms BoSync]]^2</f>
        <v>0.61231963508759757</v>
      </c>
      <c r="AW13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39" s="354">
        <f>(Table1[[#This Row],[Deadtime Loss BoSync]]+Table1[[#This Row],[RDS(on) Loss BoSync]]*(1+RdsonBotTc*Ta-RdsonBotTc*25))/(1-Table1[[#This Row],[RDS(on) Loss BoSync]]*RdsonBotTc*ThetaJA_Q3)</f>
        <v>0.71780605275662246</v>
      </c>
      <c r="AY139" s="354">
        <f>CHOOSE(Table1[[#This Row],[Mode Digit]], Rdson3*Table1[[#This Row],[Irms Lf]]^2, Rdson1*Table1[[#This Row],[Irms Lf]]^2, 0)</f>
        <v>0.61231963508759757</v>
      </c>
      <c r="AZ139" s="354">
        <f>CHOOSE(Table1[[#This Row],[Mode Digit]], 2*Deadtime*Fsw*IF(VfdSky_Q2&gt;0,VfdSky_Q2,0)*Table1[[#This Row],[Iout]], 2*Deadtime*Fsw*IF(VfdSky_Q3&gt;0,VfdSky_Q3,0)*Table1[[#This Row],[Iin]], 2*Deadtime*Fsw*IF(VfdSky_Q2&gt;0,VfdSky_Q2,0)*Table1[[#This Row],[Iout]]+2*Deadtime*Fsw*IF(VfdSky_Q3&gt;0,VfdSky_Q3,0)*Table1[[#This Row],[Iin]])</f>
        <v>0</v>
      </c>
      <c r="BA139" s="354">
        <f>CHOOSE(Table1[[#This Row],[Mode Digit]], IF(QrrSky_Q2&gt;0,QrrSky_Q2,Qrr_Q2)*Fsw*(Table1[[#This Row],[Vin]]-Table1[[#This Row],[Iout]]*Rdson1),0,  IF(QrrSky_Q2&gt;0,QrrSky_Q2,Qrr_Q2)*Fsw*(Table1[[#This Row],[Vin]]-Table1[[#This Row],[Iout]]*Rdson1)+IF(QrrSky_Q3&gt;0,QrrSky_Q3,Qrr_Q3)*Fsw*Vout)</f>
        <v>0.34859520000000005</v>
      </c>
      <c r="BB139" s="354">
        <f>CHOOSE(Table1[[#This Row],[Mode Digit]],0, IF(QrrSky_Q3&gt;0,QrrSky_Q3,Qrr_Q3)*Fsw*Vout,  IF(QrrSky_Q2&gt;0,QrrSky_Q2,Qrr_Q2)*Fsw*(Table1[[#This Row],[Vin]]-Table1[[#This Row],[Iout]]*Rdson1)+IF(QrrSky_Q3&gt;0,QrrSky_Q3,Qrr_Q3)*Fsw*Vout)</f>
        <v>0</v>
      </c>
      <c r="BC139" s="354">
        <f>CHOOSE(Table1[[#This Row],[Mode Digit]], Rs*Table1[[#This Row],[Irms BuSync]]^2, Rs*Table1[[#This Row],[Irms BoCtlr]]^2, Rs*(Table1[[#This Row],[Irms BuSync]]^2+Table1[[#This Row],[Irms BoCtlr]]^2))</f>
        <v>0.17992325765778311</v>
      </c>
      <c r="BD139" s="354">
        <f t="shared" si="8"/>
        <v>1.44</v>
      </c>
      <c r="BE139" s="354">
        <f>IF(Vout&gt;8, Iq*Vout, Iq*Table1[[#This Row],[Vin]])</f>
        <v>4.3799999999999999E-2</v>
      </c>
      <c r="BF139" s="354">
        <f>CHOOSE(Table1[[#This Row],[Mode Digit]], (Qg_Q1+Qg_Q2)*Fsw, (Qg_Q3+Qg_Q4)*Fsw, (Qg_Q1+Qg_Q2+Qg_Q3+Qg_Q4)*Fsw)*IF(Vout&gt;8, Vout, Table1[[#This Row],[Vin]])</f>
        <v>0.47303999999999996</v>
      </c>
      <c r="BG139" s="354">
        <f t="shared" si="9"/>
        <v>0.57269042016806726</v>
      </c>
      <c r="BH139" s="354">
        <f>Table1[[#This Row],[IQ Loss]]+Table1[[#This Row],[Switching Current Loss]]</f>
        <v>0.51683999999999997</v>
      </c>
      <c r="BI13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10.317368110381762</v>
      </c>
      <c r="BJ139">
        <f>Vout*Table1[[#This Row],[Iout]]</f>
        <v>175.2</v>
      </c>
      <c r="BK139" s="550">
        <f>Table1[[#This Row],[Pout]]/(Table1[[#This Row],[Pout]]+Table1[[#This Row],[Total Loss]])</f>
        <v>0.94438597196871088</v>
      </c>
      <c r="BL13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244.56945155565944</v>
      </c>
      <c r="BM139" s="559">
        <f>IF(Table1[[#This Row],[Vin]]&gt;Vout, Table1[[#This Row],[Total Sync Bu MOSFET Loss]]*ThetaJA_Q2, ThetaJA_Q3*Table1[[#This Row],[Total Sync Bo MOSFET Loss]])</f>
        <v>56.906861634936661</v>
      </c>
      <c r="BN139" s="9"/>
      <c r="BO139" s="4">
        <f>Table1[[#This Row],[EFF, h]]*100</f>
        <v>94.438597196871086</v>
      </c>
      <c r="BP139" s="354">
        <f>Table1[[#This Row],[Total Inductor Loss]]</f>
        <v>2.0077629993186012</v>
      </c>
      <c r="BQ139" s="354">
        <f>Table1[[#This Row],[Total Control Bu MOSFET Loss]]+Table1[[#This Row],[Total Sync Bu MOSFET Loss]]+Table1[[#This Row],[Total Control Bo MOSFET Loss]]+Table1[[#This Row],[Total Sync Bo MOSFET Loss]]+Table1[[#This Row],[Reverse Recovery Loss MOSFET D BUCK]]+Table1[[#This Row],[Reverse Recovery Loss MOSFET D BOOST]]</f>
        <v>6.0910064725998909</v>
      </c>
      <c r="BR139" s="354">
        <f>Table1[[#This Row],[Total Control Bu MOSFET Loss]]+Table1[[#This Row],[Reverse Recovery Loss MOSFET D BUCK]]*0.66</f>
        <v>4.3062303579276575</v>
      </c>
      <c r="BS139" s="354">
        <f>Table1[[#This Row],[Total Sync Bu MOSFET Loss]]+Table1[[#This Row],[Reverse Recovery Loss MOSFET D BUCK]]*0.33</f>
        <v>1.0634841099156109</v>
      </c>
      <c r="BT139" s="354">
        <f xml:space="preserve"> Table1[[#This Row],[Total Control Bo MOSFET Loss]]+Table1[[#This Row],[Reverse Recovery Loss MOSFET D BOOST]]*0.66</f>
        <v>0</v>
      </c>
      <c r="BU139" s="354">
        <f xml:space="preserve"> Table1[[#This Row],[Total Sync Bo MOSFET Loss]]+Table1[[#This Row],[Reverse Recovery Loss MOSFET D BOOST]]*0.33</f>
        <v>0.71780605275662246</v>
      </c>
      <c r="BV139" s="354">
        <f>Table1[[#This Row],[Isense Shunt Loss]]</f>
        <v>0.17992325765778311</v>
      </c>
    </row>
    <row r="140" spans="7:74" x14ac:dyDescent="0.2">
      <c r="G140">
        <v>131</v>
      </c>
      <c r="H140" s="555">
        <f>VIN_min+(VIN_max-VIN_min)*(Table1[[#This Row],[Step]]/200)</f>
        <v>29.17</v>
      </c>
      <c r="I140" s="4" t="str">
        <f>IF(Mode = 2,IF(Table1[[#This Row],[Vin]]&gt;Vout, "BUCK","BOOST"),IF(Table1[[#This Row],[Vin]]&gt;VIN_BB_to_buck, "BUCK", IF(Table1[[#This Row],[Vin]]&lt;=VIN_boost_to_BB,"BOOST","BUCK-BST")))</f>
        <v>BUCK</v>
      </c>
      <c r="J140">
        <f>IF(Table1[[#This Row],[Mode]]="BOOST",2, IF(Table1[[#This Row],[Mode]]="BUCK", 1,3))</f>
        <v>1</v>
      </c>
      <c r="K140">
        <f t="shared" si="7"/>
        <v>12</v>
      </c>
      <c r="L140" s="4">
        <f>Vout*Table1[[#This Row],[Iout]]/(Table1[[#This Row],[Vin]]*Efficiency)</f>
        <v>6.3222849719430556</v>
      </c>
      <c r="M140" s="711">
        <f>MIN(1/Fsw,CHOOSE(Table1[[#This Row],[Mode Digit]],(Vout+(Rdson2+Rs+Rdcr)*Table1[[#This Row],[Iout]])/(Table1[[#This Row],[Vin]]+(Rs+Rdson2-Rdson1)*Table1[[#This Row],[Iout]])/Fsw,(Vout+(Rdson3+Rdcr)*Table1[[#This Row],[Iin]]-Table1[[#This Row],[Vin]])/(Vout+(Rdson3-Rdson4-Rs)*Table1[[#This Row],[Iin]])/Fsw,t1_Ph_II))</f>
        <v>8.4189497716894975E-7</v>
      </c>
      <c r="N140" s="602">
        <f>CHOOSE(Table1[[#This Row],[Mode Digit]],1/Fsw-Table1[[#This Row],[t1_Ph_II]],1/Fsw-Table1[[#This Row],[t1_Ph_II]],(Vout/Fsw-Table1[[#This Row],[Vin]]*t1_Ph_II)/(Table1[[#This Row],[Vin]]+Vout))</f>
        <v>8.2477168949771691E-7</v>
      </c>
      <c r="O140" s="602">
        <f>1/Fsw-(Table1[[#This Row],[t1_Ph_II]]+Table1[[#This Row],[t2_Ph_I]])</f>
        <v>0</v>
      </c>
      <c r="P14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9.6768163224712875</v>
      </c>
      <c r="Q140" s="4">
        <f>CHOOSE(Table1[[#This Row],[Mode Digit]],Table1[[#This Row],[I_0]]+1/Lf*(Table1[[#This Row],[Vin]]-Vout)*Table1[[#This Row],[t1_Ph_II]],Table1[[#This Row],[I_0]]+1/Lf*Table1[[#This Row],[Vin]]*Table1[[#This Row],[t1_Ph_II]],Table1[[#This Row],[I_0]]+(Table1[[#This Row],[Vin]]-Vout)/L*Table1[[#This Row],[t1_Ph_II]])</f>
        <v>14.323183677528711</v>
      </c>
      <c r="R140" s="4">
        <f>CHOOSE(Table1[[#This Row],[Mode Digit]],0,0,Table1[[#This Row],[I_1]]+Table1[[#This Row],[Vin]]/L*Table1[[#This Row],[t2_Ph_I]])</f>
        <v>0</v>
      </c>
      <c r="S140" s="4">
        <f>Fsw*(Table1[[#This Row],[I_0]]*Table1[[#This Row],[t1_Ph_II]]+Table1[[#This Row],[I_1]]*Table1[[#This Row],[t2_Ph_I]]+Table1[[#This Row],[I_2]]*Table1[[#This Row],[t3_Ph_III]])</f>
        <v>11.976131674545936</v>
      </c>
      <c r="T140" s="354">
        <f>MIN(1,CHOOSE(Table1[[#This Row],[Mode Digit]],(Vout+(Rdson2+Rs+Rdcr)*Table1[[#This Row],[Iout]])/(Table1[[#This Row],[Vin]]+(Rs+Rdson2-Rdson1)*Table1[[#This Row],[Iout]]),1,Fsw*Table1[[#This Row],[t2_Ph_I]]+Table1[[#This Row],[t1_Ph_II]]))</f>
        <v>0.50513698630136983</v>
      </c>
      <c r="U140" s="354">
        <f>MIN(1,CHOOSE(Table1[[#This Row],[Mode Digit]],0,(Vout+(Rdson3+Rdcr)*Table1[[#This Row],[Iin]]-Table1[[#This Row],[Vin]])/(Vout+(Rdson3-Rdson4-Rs)*Table1[[#This Row],[Iin]]),Fsw*Table1[[#This Row],[t1_Ph_II]]+Table1[[#This Row],[t3_Ph_III]]))</f>
        <v>0</v>
      </c>
      <c r="V140" s="4">
        <f>MAX(Table1[[#This Row],[I_0]:[I_2]])-MIN(Table1[[#This Row],[I_0]:[I_1]])</f>
        <v>4.6463673550574232</v>
      </c>
      <c r="W14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12.074728187410484</v>
      </c>
      <c r="X140" s="354">
        <f>(Table1[[#This Row],[Irms Lf]]^2*Rdcr*(1+Ltc*Ta-Ltc*25))/(1-Table1[[#This Row],[Irms Lf]]^2*Rdcr*Ltc*ThetaCa)</f>
        <v>0.90699334560359368</v>
      </c>
      <c r="Y140" s="354">
        <f>ABS(7.759*10^-3*Fsw^0.9458*(0.00787*Table1[[#This Row],[Ripple Current pk-pk]])^2.304)</f>
        <v>1.1069718876296746</v>
      </c>
      <c r="Z140" s="354">
        <f>Table1[[#This Row],[DCR    Loss]]+Table1[[#This Row],[Core Loss]]</f>
        <v>2.013965233233268</v>
      </c>
      <c r="AA140" s="4">
        <f>IF(Table1[[#This Row],[Vin]]&gt;Vout, Table1[[#This Row],[Ripple Current pk-pk]]/SQRT(12), SQRT(Table1[[#This Row],[Duty Cycle BOOST Leg]]/(1-Table1[[#This Row],[Duty Cycle BOOST Leg]]))*SQRT(Table1[[#This Row],[Iout]]^2+(Table1[[#This Row],[Ripple Current pk-pk]]^2)/12))</f>
        <v>1.3412907215981464</v>
      </c>
      <c r="AB140" s="354">
        <f>RCoutEsr*Table1[[#This Row],[Irms Cout]]^2</f>
        <v>8.9953039992263818E-3</v>
      </c>
      <c r="AC140" s="354">
        <f>Table1[[#This Row],[Cout ESR Loss]]</f>
        <v>8.9953039992263818E-3</v>
      </c>
      <c r="AD140" s="354">
        <f>IF(Table1[[#This Row],[Vin]]&gt;Vout, SQRT(Table1[[#This Row],[Duty Cycle BUCK Leg]]*(1-Table1[[#This Row],[Duty Cycle BUCK Leg]]))*SQRT(Table1[[#This Row],[Iout]]^2+(Table1[[#This Row],[Ripple Current pk-pk]]^2)/12), Table1[[#This Row],[Ripple Current pk-pk]]/SQRT(12))</f>
        <v>6.0370454497829602</v>
      </c>
      <c r="AE140" s="354">
        <f>RCinEsr*Table1[[#This Row],[Irms Cin]]^2</f>
        <v>7.2891835525490292E-2</v>
      </c>
      <c r="AF140" s="549">
        <f>Table1[[#This Row],[Cin ESR Loss]]</f>
        <v>7.2891835525490292E-2</v>
      </c>
      <c r="AG14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8.58187031934205</v>
      </c>
      <c r="AH140" s="354">
        <f>Rdson1*Table1[[#This Row],[Irms BuCtrl]]^2</f>
        <v>0.30932369234761692</v>
      </c>
      <c r="AI140" s="354">
        <f>CHOOSE(Table1[[#This Row],[Mode Digit]], (Table1[[#This Row],[Vin]]*Table1[[#This Row],[Iout]]/2)*(Fsw)*(Tr_buck+Tf_buck), 0, (Table1[[#This Row],[Vin]]*Table1[[#This Row],[Avg IL]]/2)*(Fsw/1)*(Tr_buck+Tf_buck))</f>
        <v>3.4711250846635688</v>
      </c>
      <c r="AJ140">
        <f>IF(Table1[[#This Row],[Vin]]&gt;Vout, IF(Table1[[#This Row],[Iout]]&gt;Table1[[#This Row],[Ripple Current pk-pk]]/2,0,ABS(Table1[[#This Row],[Iout]]-Table1[[#This Row],[Ripple Current pk-pk]]/2)*Vsd_Q1*Deadtime*Fsw),0)</f>
        <v>0</v>
      </c>
      <c r="AK140" s="354">
        <f>(Table1[[#This Row],[Dead Time Loss BuCtrl]]+Table1[[#This Row],[Transition Loss BuCtrl]]+Table1[[#This Row],[RDS(on) Loss BuCtrl]]*(1+RdsonTopTc*Ta-RdsonTopTc*25))/(1-Table1[[#This Row],[RDS(on) Loss BuCtrl]]*RdsonTopTc*ThetaJA_Q1)</f>
        <v>4.0836062567119811</v>
      </c>
      <c r="AL140" s="354">
        <f>CHOOSE(Table1[[#This Row],[Mode Digit]],SQRT((Fsw*(Table1[[#This Row],[t2_Ph_I]]+0))*((Table1[[#This Row],[I_0]]*Table1[[#This Row],[I_1]]+((Table1[[#This Row],[I_0]]-Table1[[#This Row],[I_1]])^2)/3))),0,SQRT((Fsw*(Table1[[#This Row],[t3_Ph_III]]+0))*((Table1[[#This Row],[I_0]]*Table1[[#This Row],[I_2]]+((Table1[[#This Row],[I_0]]-Table1[[#This Row],[I_2]])^2)/3))))</f>
        <v>8.4941487284978265</v>
      </c>
      <c r="AM140" s="354">
        <f>Rdson2*Table1[[#This Row],[Irms BuSync]]^2</f>
        <v>0.30303236301173325</v>
      </c>
      <c r="AN14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0" s="354">
        <f>(Table1[[#This Row],[Deadtime Loss BuSync]]+Table1[[#This Row],[RDS(on) Loss BuSync]]*(1+RdsonBotTc*Ta-RdsonBotTc*25))/(1-Table1[[#This Row],[RDS(on) Loss BuSync]]*RdsonBotTc*ThetaJA_Q2)</f>
        <v>0.9494555755771994</v>
      </c>
      <c r="AP140" s="354">
        <f>CHOOSE(Table1[[#This Row],[Mode Digit]],0,SQRT((Fsw*(Table1[[#This Row],[t1_Ph_II]]+0))*((Table1[[#This Row],[I_0]]*Table1[[#This Row],[I_1]]+((Table1[[#This Row],[I_0]]-Table1[[#This Row],[I_1]])^2)/3))),SQRT((Fsw*(Table1[[#This Row],[t2_Ph_I]]+0))*((Table1[[#This Row],[I_1]]*Table1[[#This Row],[I_2]]+((Table1[[#This Row],[I_1]]-Table1[[#This Row],[I_2]])^2)/3))))</f>
        <v>0</v>
      </c>
      <c r="AQ140" s="354">
        <f>Rdson4*Table1[[#This Row],[Irms BoCtlr]]^2</f>
        <v>0</v>
      </c>
      <c r="AR140" s="354">
        <f>CHOOSE(Table1[[#This Row],[Mode Digit]], 0, (Vout*Table1[[#This Row],[Iin]]/2)*(Fsw)*(Tr_boost+Tf_boost), (Vout*Iout/2)*(Fsw/1)*(Tr_boost+Tf_boost))</f>
        <v>0</v>
      </c>
      <c r="AS140">
        <f>IF(Table1[[#This Row],[Vin]]&gt;Vout, 0, IF(Table1[[#This Row],[Iin]]&gt;Table1[[#This Row],[Ripple Current pk-pk]]/2,0,ABS(Table1[[#This Row],[Iin]]-Table1[[#This Row],[Ripple Current pk-pk]]/2)*Vsd_Q4*Deadtime*Fsw))</f>
        <v>0</v>
      </c>
      <c r="AT140" s="354">
        <f>(Table1[[#This Row],[Dead Time Loss BoCtlr]]+Table1[[#This Row],[Transition Loss BoCtlr]]+Table1[[#This Row],[RDS(on) Loss BoCtlr]]*(1+RdsonTopTc*Ta-RdsonTopTc*25))/(1-Table1[[#This Row],[RDS(on) Loss BoCtlr]]*RdsonTopTc*ThetaJA_Q4)</f>
        <v>0</v>
      </c>
      <c r="AU14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12.074728187410484</v>
      </c>
      <c r="AV140" s="354">
        <f>Rdson3*Table1[[#This Row],[Irms BoSync]]^2</f>
        <v>0.61235605535935023</v>
      </c>
      <c r="AW14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0" s="354">
        <f>(Table1[[#This Row],[Deadtime Loss BoSync]]+Table1[[#This Row],[RDS(on) Loss BoSync]]*(1+RdsonBotTc*Ta-RdsonBotTc*25))/(1-Table1[[#This Row],[RDS(on) Loss BoSync]]*RdsonBotTc*ThetaJA_Q3)</f>
        <v>0.71785610291916147</v>
      </c>
      <c r="AY140" s="354">
        <f>CHOOSE(Table1[[#This Row],[Mode Digit]], Rdson3*Table1[[#This Row],[Irms Lf]]^2, Rdson1*Table1[[#This Row],[Irms Lf]]^2, 0)</f>
        <v>0.61235605535935023</v>
      </c>
      <c r="AZ140" s="354">
        <f>CHOOSE(Table1[[#This Row],[Mode Digit]], 2*Deadtime*Fsw*IF(VfdSky_Q2&gt;0,VfdSky_Q2,0)*Table1[[#This Row],[Iout]], 2*Deadtime*Fsw*IF(VfdSky_Q3&gt;0,VfdSky_Q3,0)*Table1[[#This Row],[Iin]], 2*Deadtime*Fsw*IF(VfdSky_Q2&gt;0,VfdSky_Q2,0)*Table1[[#This Row],[Iout]]+2*Deadtime*Fsw*IF(VfdSky_Q3&gt;0,VfdSky_Q3,0)*Table1[[#This Row],[Iin]])</f>
        <v>0</v>
      </c>
      <c r="BA140" s="354">
        <f>CHOOSE(Table1[[#This Row],[Mode Digit]], IF(QrrSky_Q2&gt;0,QrrSky_Q2,Qrr_Q2)*Fsw*(Table1[[#This Row],[Vin]]-Table1[[#This Row],[Iout]]*Rdson1),0,  IF(QrrSky_Q2&gt;0,QrrSky_Q2,Qrr_Q2)*Fsw*(Table1[[#This Row],[Vin]]-Table1[[#This Row],[Iout]]*Rdson1)+IF(QrrSky_Q3&gt;0,QrrSky_Q3,Qrr_Q3)*Fsw*Vout)</f>
        <v>0.34943520000000006</v>
      </c>
      <c r="BB140" s="354">
        <f>CHOOSE(Table1[[#This Row],[Mode Digit]],0, IF(QrrSky_Q3&gt;0,QrrSky_Q3,Qrr_Q3)*Fsw*Vout,  IF(QrrSky_Q2&gt;0,QrrSky_Q2,Qrr_Q2)*Fsw*(Table1[[#This Row],[Vin]]-Table1[[#This Row],[Iout]]*Rdson1)+IF(QrrSky_Q3&gt;0,QrrSky_Q3,Qrr_Q3)*Fsw*Vout)</f>
        <v>0</v>
      </c>
      <c r="BC140" s="354">
        <f>CHOOSE(Table1[[#This Row],[Mode Digit]], Rs*Table1[[#This Row],[Irms BuSync]]^2, Rs*Table1[[#This Row],[Irms BoCtlr]]^2, Rs*(Table1[[#This Row],[Irms BuSync]]^2+Table1[[#This Row],[Irms BoCtlr]]^2))</f>
        <v>0.18037640655460313</v>
      </c>
      <c r="BD140" s="354">
        <f t="shared" si="8"/>
        <v>1.44</v>
      </c>
      <c r="BE140" s="354">
        <f>IF(Vout&gt;8, Iq*Vout, Iq*Table1[[#This Row],[Vin]])</f>
        <v>4.3799999999999999E-2</v>
      </c>
      <c r="BF140" s="354">
        <f>CHOOSE(Table1[[#This Row],[Mode Digit]], (Qg_Q1+Qg_Q2)*Fsw, (Qg_Q3+Qg_Q4)*Fsw, (Qg_Q1+Qg_Q2+Qg_Q3+Qg_Q4)*Fsw)*IF(Vout&gt;8, Vout, Table1[[#This Row],[Vin]])</f>
        <v>0.47303999999999996</v>
      </c>
      <c r="BG140" s="354">
        <f t="shared" si="9"/>
        <v>0.57269042016806726</v>
      </c>
      <c r="BH140" s="354">
        <f>Table1[[#This Row],[IQ Loss]]+Table1[[#This Row],[Switching Current Loss]]</f>
        <v>0.51683999999999997</v>
      </c>
      <c r="BI14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10.33342191452093</v>
      </c>
      <c r="BJ140">
        <f>Vout*Table1[[#This Row],[Iout]]</f>
        <v>175.2</v>
      </c>
      <c r="BK140" s="550">
        <f>Table1[[#This Row],[Pout]]/(Table1[[#This Row],[Pout]]+Table1[[#This Row],[Total Loss]])</f>
        <v>0.94430425630115444</v>
      </c>
      <c r="BL14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245.01637540271886</v>
      </c>
      <c r="BM140" s="559">
        <f>IF(Table1[[#This Row],[Vin]]&gt;Vout, Table1[[#This Row],[Total Sync Bu MOSFET Loss]]*ThetaJA_Q2, ThetaJA_Q3*Table1[[#This Row],[Total Sync Bo MOSFET Loss]])</f>
        <v>56.967334534631966</v>
      </c>
      <c r="BN140" s="9"/>
      <c r="BO140" s="4">
        <f>Table1[[#This Row],[EFF, h]]*100</f>
        <v>94.430425630115451</v>
      </c>
      <c r="BP140" s="354">
        <f>Table1[[#This Row],[Total Inductor Loss]]</f>
        <v>2.013965233233268</v>
      </c>
      <c r="BQ140" s="354">
        <f>Table1[[#This Row],[Total Control Bu MOSFET Loss]]+Table1[[#This Row],[Total Sync Bu MOSFET Loss]]+Table1[[#This Row],[Total Control Bo MOSFET Loss]]+Table1[[#This Row],[Total Sync Bo MOSFET Loss]]+Table1[[#This Row],[Reverse Recovery Loss MOSFET D BUCK]]+Table1[[#This Row],[Reverse Recovery Loss MOSFET D BOOST]]</f>
        <v>6.1003531352083424</v>
      </c>
      <c r="BR140" s="354">
        <f>Table1[[#This Row],[Total Control Bu MOSFET Loss]]+Table1[[#This Row],[Reverse Recovery Loss MOSFET D BUCK]]*0.66</f>
        <v>4.3142334887119809</v>
      </c>
      <c r="BS140" s="354">
        <f>Table1[[#This Row],[Total Sync Bu MOSFET Loss]]+Table1[[#This Row],[Reverse Recovery Loss MOSFET D BUCK]]*0.33</f>
        <v>1.0647691915771995</v>
      </c>
      <c r="BT140" s="354">
        <f xml:space="preserve"> Table1[[#This Row],[Total Control Bo MOSFET Loss]]+Table1[[#This Row],[Reverse Recovery Loss MOSFET D BOOST]]*0.66</f>
        <v>0</v>
      </c>
      <c r="BU140" s="354">
        <f xml:space="preserve"> Table1[[#This Row],[Total Sync Bo MOSFET Loss]]+Table1[[#This Row],[Reverse Recovery Loss MOSFET D BOOST]]*0.33</f>
        <v>0.71785610291916147</v>
      </c>
      <c r="BV140" s="354">
        <f>Table1[[#This Row],[Isense Shunt Loss]]</f>
        <v>0.18037640655460313</v>
      </c>
    </row>
    <row r="141" spans="7:74" x14ac:dyDescent="0.2">
      <c r="G141">
        <v>132</v>
      </c>
      <c r="H141" s="555">
        <f>VIN_min+(VIN_max-VIN_min)*(Table1[[#This Row],[Step]]/200)</f>
        <v>29.240000000000002</v>
      </c>
      <c r="I141" s="4" t="str">
        <f>IF(Mode = 2,IF(Table1[[#This Row],[Vin]]&gt;Vout, "BUCK","BOOST"),IF(Table1[[#This Row],[Vin]]&gt;VIN_BB_to_buck, "BUCK", IF(Table1[[#This Row],[Vin]]&lt;=VIN_boost_to_BB,"BOOST","BUCK-BST")))</f>
        <v>BUCK</v>
      </c>
      <c r="J141">
        <f>IF(Table1[[#This Row],[Mode]]="BOOST",2, IF(Table1[[#This Row],[Mode]]="BUCK", 1,3))</f>
        <v>1</v>
      </c>
      <c r="K141">
        <f t="shared" si="7"/>
        <v>12</v>
      </c>
      <c r="L141" s="4">
        <f>Vout*Table1[[#This Row],[Iout]]/(Table1[[#This Row],[Vin]]*Efficiency)</f>
        <v>6.307149542803657</v>
      </c>
      <c r="M141" s="711">
        <f>MIN(1/Fsw,CHOOSE(Table1[[#This Row],[Mode Digit]],(Vout+(Rdson2+Rs+Rdcr)*Table1[[#This Row],[Iout]])/(Table1[[#This Row],[Vin]]+(Rs+Rdson2-Rdson1)*Table1[[#This Row],[Iout]])/Fsw,(Vout+(Rdson3+Rdcr)*Table1[[#This Row],[Iin]]-Table1[[#This Row],[Vin]])/(Vout+(Rdson3-Rdson4-Rs)*Table1[[#This Row],[Iin]])/Fsw,t1_Ph_II))</f>
        <v>8.3988156246441168E-7</v>
      </c>
      <c r="N141" s="602">
        <f>CHOOSE(Table1[[#This Row],[Mode Digit]],1/Fsw-Table1[[#This Row],[t1_Ph_II]],1/Fsw-Table1[[#This Row],[t1_Ph_II]],(Vout/Fsw-Table1[[#This Row],[Vin]]*t1_Ph_II)/(Table1[[#This Row],[Vin]]+Vout))</f>
        <v>8.2678510420225499E-7</v>
      </c>
      <c r="O141" s="602">
        <f>1/Fsw-(Table1[[#This Row],[t1_Ph_II]]+Table1[[#This Row],[t2_Ph_I]])</f>
        <v>0</v>
      </c>
      <c r="P14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9.6712374858941317</v>
      </c>
      <c r="Q141" s="4">
        <f>CHOOSE(Table1[[#This Row],[Mode Digit]],Table1[[#This Row],[I_0]]+1/Lf*(Table1[[#This Row],[Vin]]-Vout)*Table1[[#This Row],[t1_Ph_II]],Table1[[#This Row],[I_0]]+1/Lf*Table1[[#This Row],[Vin]]*Table1[[#This Row],[t1_Ph_II]],Table1[[#This Row],[I_0]]+(Table1[[#This Row],[Vin]]-Vout)/L*Table1[[#This Row],[t1_Ph_II]])</f>
        <v>14.328762514105868</v>
      </c>
      <c r="R141" s="4">
        <f>CHOOSE(Table1[[#This Row],[Mode Digit]],0,0,Table1[[#This Row],[I_1]]+Table1[[#This Row],[Vin]]/L*Table1[[#This Row],[t2_Ph_I]])</f>
        <v>0</v>
      </c>
      <c r="S141" s="4">
        <f>Fsw*(Table1[[#This Row],[I_0]]*Table1[[#This Row],[t1_Ph_II]]+Table1[[#This Row],[I_1]]*Table1[[#This Row],[t2_Ph_I]]+Table1[[#This Row],[I_2]]*Table1[[#This Row],[t3_Ph_III]])</f>
        <v>11.981700875358923</v>
      </c>
      <c r="T141" s="354">
        <f>MIN(1,CHOOSE(Table1[[#This Row],[Mode Digit]],(Vout+(Rdson2+Rs+Rdcr)*Table1[[#This Row],[Iout]])/(Table1[[#This Row],[Vin]]+(Rs+Rdson2-Rdson1)*Table1[[#This Row],[Iout]]),1,Fsw*Table1[[#This Row],[t2_Ph_I]]+Table1[[#This Row],[t1_Ph_II]]))</f>
        <v>0.50392893747864698</v>
      </c>
      <c r="U141" s="354">
        <f>MIN(1,CHOOSE(Table1[[#This Row],[Mode Digit]],0,(Vout+(Rdson3+Rdcr)*Table1[[#This Row],[Iin]]-Table1[[#This Row],[Vin]])/(Vout+(Rdson3-Rdson4-Rs)*Table1[[#This Row],[Iin]]),Fsw*Table1[[#This Row],[t1_Ph_II]]+Table1[[#This Row],[t3_Ph_III]]))</f>
        <v>0</v>
      </c>
      <c r="V141" s="4">
        <f>MAX(Table1[[#This Row],[I_0]:[I_2]])-MIN(Table1[[#This Row],[I_0]:[I_1]])</f>
        <v>4.6575250282117366</v>
      </c>
      <c r="W14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12.07508640199736</v>
      </c>
      <c r="X141" s="354">
        <f>(Table1[[#This Row],[Irms Lf]]^2*Rdcr*(1+Ltc*Ta-Ltc*25))/(1-Table1[[#This Row],[Irms Lf]]^2*Rdcr*Ltc*ThetaCa)</f>
        <v>0.90705106605150099</v>
      </c>
      <c r="Y141" s="354">
        <f>ABS(7.759*10^-3*Fsw^0.9458*(0.00787*Table1[[#This Row],[Ripple Current pk-pk]])^2.304)</f>
        <v>1.1131060994055222</v>
      </c>
      <c r="Z141" s="354">
        <f>Table1[[#This Row],[DCR    Loss]]+Table1[[#This Row],[Core Loss]]</f>
        <v>2.0201571654570234</v>
      </c>
      <c r="AA141" s="4">
        <f>IF(Table1[[#This Row],[Vin]]&gt;Vout, Table1[[#This Row],[Ripple Current pk-pk]]/SQRT(12), SQRT(Table1[[#This Row],[Duty Cycle BOOST Leg]]/(1-Table1[[#This Row],[Duty Cycle BOOST Leg]]))*SQRT(Table1[[#This Row],[Iout]]^2+(Table1[[#This Row],[Ripple Current pk-pk]]^2)/12))</f>
        <v>1.3445116643977328</v>
      </c>
      <c r="AB141" s="354">
        <f>RCoutEsr*Table1[[#This Row],[Irms Cout]]^2</f>
        <v>9.03855807850781E-3</v>
      </c>
      <c r="AC141" s="354">
        <f>Table1[[#This Row],[Cout ESR Loss]]</f>
        <v>9.03855807850781E-3</v>
      </c>
      <c r="AD141" s="354">
        <f>IF(Table1[[#This Row],[Vin]]&gt;Vout, SQRT(Table1[[#This Row],[Duty Cycle BUCK Leg]]*(1-Table1[[#This Row],[Duty Cycle BUCK Leg]]))*SQRT(Table1[[#This Row],[Iout]]^2+(Table1[[#This Row],[Ripple Current pk-pk]]^2)/12), Table1[[#This Row],[Ripple Current pk-pk]]/SQRT(12))</f>
        <v>6.0373568004497438</v>
      </c>
      <c r="AE141" s="354">
        <f>RCinEsr*Table1[[#This Row],[Irms Cin]]^2</f>
        <v>7.2899354271873537E-2</v>
      </c>
      <c r="AF141" s="549">
        <f>Table1[[#This Row],[Cin ESR Loss]]</f>
        <v>7.2899354271873537E-2</v>
      </c>
      <c r="AG14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8.5718565778186857</v>
      </c>
      <c r="AH141" s="354">
        <f>Rdson1*Table1[[#This Row],[Irms BuCtrl]]^2</f>
        <v>0.30860224580091261</v>
      </c>
      <c r="AI141" s="354">
        <f>CHOOSE(Table1[[#This Row],[Mode Digit]], (Table1[[#This Row],[Vin]]*Table1[[#This Row],[Iout]]/2)*(Fsw)*(Tr_buck+Tf_buck), 0, (Table1[[#This Row],[Vin]]*Table1[[#This Row],[Avg IL]]/2)*(Fsw/1)*(Tr_buck+Tf_buck))</f>
        <v>3.4794548328955353</v>
      </c>
      <c r="AJ141">
        <f>IF(Table1[[#This Row],[Vin]]&gt;Vout, IF(Table1[[#This Row],[Iout]]&gt;Table1[[#This Row],[Ripple Current pk-pk]]/2,0,ABS(Table1[[#This Row],[Iout]]-Table1[[#This Row],[Ripple Current pk-pk]]/2)*Vsd_Q1*Deadtime*Fsw),0)</f>
        <v>0</v>
      </c>
      <c r="AK141" s="354">
        <f>(Table1[[#This Row],[Dead Time Loss BuCtrl]]+Table1[[#This Row],[Transition Loss BuCtrl]]+Table1[[#This Row],[RDS(on) Loss BuCtrl]]*(1+RdsonTopTc*Ta-RdsonTopTc*25))/(1-Table1[[#This Row],[RDS(on) Loss BuCtrl]]*RdsonTopTc*ThetaJA_Q1)</f>
        <v>4.0910595157178191</v>
      </c>
      <c r="AL141" s="354">
        <f>CHOOSE(Table1[[#This Row],[Mode Digit]],SQRT((Fsw*(Table1[[#This Row],[t2_Ph_I]]+0))*((Table1[[#This Row],[I_0]]*Table1[[#This Row],[I_1]]+((Table1[[#This Row],[I_0]]-Table1[[#This Row],[I_1]])^2)/3))),0,SQRT((Fsw*(Table1[[#This Row],[t3_Ph_III]]+0))*((Table1[[#This Row],[I_0]]*Table1[[#This Row],[I_2]]+((Table1[[#This Row],[I_0]]-Table1[[#This Row],[I_2]])^2)/3))))</f>
        <v>8.5047625731120853</v>
      </c>
      <c r="AM141" s="354">
        <f>Rdson2*Table1[[#This Row],[Irms BuSync]]^2</f>
        <v>0.30379014298503404</v>
      </c>
      <c r="AN14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1" s="354">
        <f>(Table1[[#This Row],[Deadtime Loss BuSync]]+Table1[[#This Row],[RDS(on) Loss BuSync]]*(1+RdsonBotTc*Ta-RdsonBotTc*25))/(1-Table1[[#This Row],[RDS(on) Loss BuSync]]*RdsonBotTc*ThetaJA_Q2)</f>
        <v>0.95045920459623856</v>
      </c>
      <c r="AP141" s="354">
        <f>CHOOSE(Table1[[#This Row],[Mode Digit]],0,SQRT((Fsw*(Table1[[#This Row],[t1_Ph_II]]+0))*((Table1[[#This Row],[I_0]]*Table1[[#This Row],[I_1]]+((Table1[[#This Row],[I_0]]-Table1[[#This Row],[I_1]])^2)/3))),SQRT((Fsw*(Table1[[#This Row],[t2_Ph_I]]+0))*((Table1[[#This Row],[I_1]]*Table1[[#This Row],[I_2]]+((Table1[[#This Row],[I_1]]-Table1[[#This Row],[I_2]])^2)/3))))</f>
        <v>0</v>
      </c>
      <c r="AQ141" s="354">
        <f>Rdson4*Table1[[#This Row],[Irms BoCtlr]]^2</f>
        <v>0</v>
      </c>
      <c r="AR141" s="354">
        <f>CHOOSE(Table1[[#This Row],[Mode Digit]], 0, (Vout*Table1[[#This Row],[Iin]]/2)*(Fsw)*(Tr_boost+Tf_boost), (Vout*Iout/2)*(Fsw/1)*(Tr_boost+Tf_boost))</f>
        <v>0</v>
      </c>
      <c r="AS141">
        <f>IF(Table1[[#This Row],[Vin]]&gt;Vout, 0, IF(Table1[[#This Row],[Iin]]&gt;Table1[[#This Row],[Ripple Current pk-pk]]/2,0,ABS(Table1[[#This Row],[Iin]]-Table1[[#This Row],[Ripple Current pk-pk]]/2)*Vsd_Q4*Deadtime*Fsw))</f>
        <v>0</v>
      </c>
      <c r="AT141" s="354">
        <f>(Table1[[#This Row],[Dead Time Loss BoCtlr]]+Table1[[#This Row],[Transition Loss BoCtlr]]+Table1[[#This Row],[RDS(on) Loss BoCtlr]]*(1+RdsonTopTc*Ta-RdsonTopTc*25))/(1-Table1[[#This Row],[RDS(on) Loss BoCtlr]]*RdsonTopTc*ThetaJA_Q4)</f>
        <v>0</v>
      </c>
      <c r="AU14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12.07508640199736</v>
      </c>
      <c r="AV141" s="354">
        <f>Rdson3*Table1[[#This Row],[Irms BoSync]]^2</f>
        <v>0.6123923887859466</v>
      </c>
      <c r="AW14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1" s="354">
        <f>(Table1[[#This Row],[Deadtime Loss BoSync]]+Table1[[#This Row],[RDS(on) Loss BoSync]]*(1+RdsonBotTc*Ta-RdsonBotTc*25))/(1-Table1[[#This Row],[RDS(on) Loss BoSync]]*RdsonBotTc*ThetaJA_Q3)</f>
        <v>0.71790603475773995</v>
      </c>
      <c r="AY141" s="354">
        <f>CHOOSE(Table1[[#This Row],[Mode Digit]], Rdson3*Table1[[#This Row],[Irms Lf]]^2, Rdson1*Table1[[#This Row],[Irms Lf]]^2, 0)</f>
        <v>0.6123923887859466</v>
      </c>
      <c r="AZ141" s="354">
        <f>CHOOSE(Table1[[#This Row],[Mode Digit]], 2*Deadtime*Fsw*IF(VfdSky_Q2&gt;0,VfdSky_Q2,0)*Table1[[#This Row],[Iout]], 2*Deadtime*Fsw*IF(VfdSky_Q3&gt;0,VfdSky_Q3,0)*Table1[[#This Row],[Iin]], 2*Deadtime*Fsw*IF(VfdSky_Q2&gt;0,VfdSky_Q2,0)*Table1[[#This Row],[Iout]]+2*Deadtime*Fsw*IF(VfdSky_Q3&gt;0,VfdSky_Q3,0)*Table1[[#This Row],[Iin]])</f>
        <v>0</v>
      </c>
      <c r="BA141" s="354">
        <f>CHOOSE(Table1[[#This Row],[Mode Digit]], IF(QrrSky_Q2&gt;0,QrrSky_Q2,Qrr_Q2)*Fsw*(Table1[[#This Row],[Vin]]-Table1[[#This Row],[Iout]]*Rdson1),0,  IF(QrrSky_Q2&gt;0,QrrSky_Q2,Qrr_Q2)*Fsw*(Table1[[#This Row],[Vin]]-Table1[[#This Row],[Iout]]*Rdson1)+IF(QrrSky_Q3&gt;0,QrrSky_Q3,Qrr_Q3)*Fsw*Vout)</f>
        <v>0.35027520000000001</v>
      </c>
      <c r="BB141" s="354">
        <f>CHOOSE(Table1[[#This Row],[Mode Digit]],0, IF(QrrSky_Q3&gt;0,QrrSky_Q3,Qrr_Q3)*Fsw*Vout,  IF(QrrSky_Q2&gt;0,QrrSky_Q2,Qrr_Q2)*Fsw*(Table1[[#This Row],[Vin]]-Table1[[#This Row],[Iout]]*Rdson1)+IF(QrrSky_Q3&gt;0,QrrSky_Q3,Qrr_Q3)*Fsw*Vout)</f>
        <v>0</v>
      </c>
      <c r="BC141" s="354">
        <f>CHOOSE(Table1[[#This Row],[Mode Digit]], Rs*Table1[[#This Row],[Irms BuSync]]^2, Rs*Table1[[#This Row],[Irms BoCtlr]]^2, Rs*(Table1[[#This Row],[Irms BuSync]]^2+Table1[[#This Row],[Irms BoCtlr]]^2))</f>
        <v>0.18082746606252023</v>
      </c>
      <c r="BD141" s="354">
        <f t="shared" si="8"/>
        <v>1.44</v>
      </c>
      <c r="BE141" s="354">
        <f>IF(Vout&gt;8, Iq*Vout, Iq*Table1[[#This Row],[Vin]])</f>
        <v>4.3799999999999999E-2</v>
      </c>
      <c r="BF141" s="354">
        <f>CHOOSE(Table1[[#This Row],[Mode Digit]], (Qg_Q1+Qg_Q2)*Fsw, (Qg_Q3+Qg_Q4)*Fsw, (Qg_Q1+Qg_Q2+Qg_Q3+Qg_Q4)*Fsw)*IF(Vout&gt;8, Vout, Table1[[#This Row],[Vin]])</f>
        <v>0.47303999999999996</v>
      </c>
      <c r="BG141" s="354">
        <f t="shared" si="9"/>
        <v>0.57269042016806726</v>
      </c>
      <c r="BH141" s="354">
        <f>Table1[[#This Row],[IQ Loss]]+Table1[[#This Row],[Switching Current Loss]]</f>
        <v>0.51683999999999997</v>
      </c>
      <c r="BI14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10.349462498941723</v>
      </c>
      <c r="BJ141">
        <f>Vout*Table1[[#This Row],[Iout]]</f>
        <v>175.2</v>
      </c>
      <c r="BK141" s="550">
        <f>Table1[[#This Row],[Pout]]/(Table1[[#This Row],[Pout]]+Table1[[#This Row],[Total Loss]])</f>
        <v>0.9442226220461255</v>
      </c>
      <c r="BL14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245.46357094306916</v>
      </c>
      <c r="BM141" s="559">
        <f>IF(Table1[[#This Row],[Vin]]&gt;Vout, Table1[[#This Row],[Total Sync Bu MOSFET Loss]]*ThetaJA_Q2, ThetaJA_Q3*Table1[[#This Row],[Total Sync Bo MOSFET Loss]])</f>
        <v>57.027552275774312</v>
      </c>
      <c r="BN141" s="9"/>
      <c r="BO141" s="4">
        <f>Table1[[#This Row],[EFF, h]]*100</f>
        <v>94.422262204612551</v>
      </c>
      <c r="BP141" s="354">
        <f>Table1[[#This Row],[Total Inductor Loss]]</f>
        <v>2.0201571654570234</v>
      </c>
      <c r="BQ141" s="354">
        <f>Table1[[#This Row],[Total Control Bu MOSFET Loss]]+Table1[[#This Row],[Total Sync Bu MOSFET Loss]]+Table1[[#This Row],[Total Control Bo MOSFET Loss]]+Table1[[#This Row],[Total Sync Bo MOSFET Loss]]+Table1[[#This Row],[Reverse Recovery Loss MOSFET D BUCK]]+Table1[[#This Row],[Reverse Recovery Loss MOSFET D BOOST]]</f>
        <v>6.1096999550717968</v>
      </c>
      <c r="BR141" s="354">
        <f>Table1[[#This Row],[Total Control Bu MOSFET Loss]]+Table1[[#This Row],[Reverse Recovery Loss MOSFET D BUCK]]*0.66</f>
        <v>4.3222411477178193</v>
      </c>
      <c r="BS141" s="354">
        <f>Table1[[#This Row],[Total Sync Bu MOSFET Loss]]+Table1[[#This Row],[Reverse Recovery Loss MOSFET D BUCK]]*0.33</f>
        <v>1.0660500205962387</v>
      </c>
      <c r="BT141" s="354">
        <f xml:space="preserve"> Table1[[#This Row],[Total Control Bo MOSFET Loss]]+Table1[[#This Row],[Reverse Recovery Loss MOSFET D BOOST]]*0.66</f>
        <v>0</v>
      </c>
      <c r="BU141" s="354">
        <f xml:space="preserve"> Table1[[#This Row],[Total Sync Bo MOSFET Loss]]+Table1[[#This Row],[Reverse Recovery Loss MOSFET D BOOST]]*0.33</f>
        <v>0.71790603475773995</v>
      </c>
      <c r="BV141" s="354">
        <f>Table1[[#This Row],[Isense Shunt Loss]]</f>
        <v>0.18082746606252023</v>
      </c>
    </row>
    <row r="142" spans="7:74" x14ac:dyDescent="0.2">
      <c r="G142">
        <v>133</v>
      </c>
      <c r="H142" s="555">
        <f>VIN_min+(VIN_max-VIN_min)*(Table1[[#This Row],[Step]]/200)</f>
        <v>29.310000000000002</v>
      </c>
      <c r="I142" s="4" t="str">
        <f>IF(Mode = 2,IF(Table1[[#This Row],[Vin]]&gt;Vout, "BUCK","BOOST"),IF(Table1[[#This Row],[Vin]]&gt;VIN_BB_to_buck, "BUCK", IF(Table1[[#This Row],[Vin]]&lt;=VIN_boost_to_BB,"BOOST","BUCK-BST")))</f>
        <v>BUCK</v>
      </c>
      <c r="J142">
        <f>IF(Table1[[#This Row],[Mode]]="BOOST",2, IF(Table1[[#This Row],[Mode]]="BUCK", 1,3))</f>
        <v>1</v>
      </c>
      <c r="K142">
        <f t="shared" si="7"/>
        <v>12</v>
      </c>
      <c r="L142" s="4">
        <f>Vout*Table1[[#This Row],[Iout]]/(Table1[[#This Row],[Vin]]*Efficiency)</f>
        <v>6.2920864084469104</v>
      </c>
      <c r="M142" s="711">
        <f>MIN(1/Fsw,CHOOSE(Table1[[#This Row],[Mode Digit]],(Vout+(Rdson2+Rs+Rdcr)*Table1[[#This Row],[Iout]])/(Table1[[#This Row],[Vin]]+(Rs+Rdson2-Rdson1)*Table1[[#This Row],[Iout]])/Fsw,(Vout+(Rdson3+Rdcr)*Table1[[#This Row],[Iin]]-Table1[[#This Row],[Vin]])/(Vout+(Rdson3-Rdson4-Rs)*Table1[[#This Row],[Iin]])/Fsw,t1_Ph_II))</f>
        <v>8.3787775505566917E-7</v>
      </c>
      <c r="N142" s="602">
        <f>CHOOSE(Table1[[#This Row],[Mode Digit]],1/Fsw-Table1[[#This Row],[t1_Ph_II]],1/Fsw-Table1[[#This Row],[t1_Ph_II]],(Vout/Fsw-Table1[[#This Row],[Vin]]*t1_Ph_II)/(Table1[[#This Row],[Vin]]+Vout))</f>
        <v>8.2878891161099749E-7</v>
      </c>
      <c r="O142" s="602">
        <f>1/Fsw-(Table1[[#This Row],[t1_Ph_II]]+Table1[[#This Row],[t2_Ph_I]])</f>
        <v>0</v>
      </c>
      <c r="P14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9.6656852695324069</v>
      </c>
      <c r="Q142" s="4">
        <f>CHOOSE(Table1[[#This Row],[Mode Digit]],Table1[[#This Row],[I_0]]+1/Lf*(Table1[[#This Row],[Vin]]-Vout)*Table1[[#This Row],[t1_Ph_II]],Table1[[#This Row],[I_0]]+1/Lf*Table1[[#This Row],[Vin]]*Table1[[#This Row],[t1_Ph_II]],Table1[[#This Row],[I_0]]+(Table1[[#This Row],[Vin]]-Vout)/L*Table1[[#This Row],[t1_Ph_II]])</f>
        <v>14.334314730467595</v>
      </c>
      <c r="R142" s="4">
        <f>CHOOSE(Table1[[#This Row],[Mode Digit]],0,0,Table1[[#This Row],[I_1]]+Table1[[#This Row],[Vin]]/L*Table1[[#This Row],[t2_Ph_I]])</f>
        <v>0</v>
      </c>
      <c r="S142" s="4">
        <f>Fsw*(Table1[[#This Row],[I_0]]*Table1[[#This Row],[t1_Ph_II]]+Table1[[#This Row],[I_1]]*Table1[[#This Row],[t2_Ph_I]]+Table1[[#This Row],[I_2]]*Table1[[#This Row],[t3_Ph_III]])</f>
        <v>11.987270267318513</v>
      </c>
      <c r="T142" s="354">
        <f>MIN(1,CHOOSE(Table1[[#This Row],[Mode Digit]],(Vout+(Rdson2+Rs+Rdcr)*Table1[[#This Row],[Iout]])/(Table1[[#This Row],[Vin]]+(Rs+Rdson2-Rdson1)*Table1[[#This Row],[Iout]]),1,Fsw*Table1[[#This Row],[t2_Ph_I]]+Table1[[#This Row],[t1_Ph_II]]))</f>
        <v>0.50272665303340147</v>
      </c>
      <c r="U142" s="354">
        <f>MIN(1,CHOOSE(Table1[[#This Row],[Mode Digit]],0,(Vout+(Rdson3+Rdcr)*Table1[[#This Row],[Iin]]-Table1[[#This Row],[Vin]])/(Vout+(Rdson3-Rdson4-Rs)*Table1[[#This Row],[Iin]]),Fsw*Table1[[#This Row],[t1_Ph_II]]+Table1[[#This Row],[t3_Ph_III]]))</f>
        <v>0</v>
      </c>
      <c r="V142" s="4">
        <f>MAX(Table1[[#This Row],[I_0]:[I_2]])-MIN(Table1[[#This Row],[I_0]:[I_1]])</f>
        <v>4.6686294609351879</v>
      </c>
      <c r="W14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12.075443749760337</v>
      </c>
      <c r="X142" s="354">
        <f>(Table1[[#This Row],[Irms Lf]]^2*Rdcr*(1+Ltc*Ta-Ltc*25))/(1-Table1[[#This Row],[Irms Lf]]^2*Rdcr*Ltc*ThetaCa)</f>
        <v>0.90710864902620147</v>
      </c>
      <c r="Y142" s="354">
        <f>ABS(7.759*10^-3*Fsw^0.9458*(0.00787*Table1[[#This Row],[Ripple Current pk-pk]])^2.304)</f>
        <v>1.119230096324529</v>
      </c>
      <c r="Z142" s="354">
        <f>Table1[[#This Row],[DCR    Loss]]+Table1[[#This Row],[Core Loss]]</f>
        <v>2.0263387453507304</v>
      </c>
      <c r="AA142" s="4">
        <f>IF(Table1[[#This Row],[Vin]]&gt;Vout, Table1[[#This Row],[Ripple Current pk-pk]]/SQRT(12), SQRT(Table1[[#This Row],[Duty Cycle BOOST Leg]]/(1-Table1[[#This Row],[Duty Cycle BOOST Leg]]))*SQRT(Table1[[#This Row],[Iout]]^2+(Table1[[#This Row],[Ripple Current pk-pk]]^2)/12))</f>
        <v>1.3477172380087741</v>
      </c>
      <c r="AB142" s="354">
        <f>RCoutEsr*Table1[[#This Row],[Irms Cout]]^2</f>
        <v>9.0817087681299945E-3</v>
      </c>
      <c r="AC142" s="354">
        <f>Table1[[#This Row],[Cout ESR Loss]]</f>
        <v>9.0817087681299945E-3</v>
      </c>
      <c r="AD142" s="354">
        <f>IF(Table1[[#This Row],[Vin]]&gt;Vout, SQRT(Table1[[#This Row],[Duty Cycle BUCK Leg]]*(1-Table1[[#This Row],[Duty Cycle BUCK Leg]]))*SQRT(Table1[[#This Row],[Iout]]^2+(Table1[[#This Row],[Ripple Current pk-pk]]^2)/12), Table1[[#This Row],[Ripple Current pk-pk]]/SQRT(12))</f>
        <v>6.0376320976746527</v>
      </c>
      <c r="AE142" s="354">
        <f>RCinEsr*Table1[[#This Row],[Irms Cin]]^2</f>
        <v>7.290600269374245E-2</v>
      </c>
      <c r="AF142" s="549">
        <f>Table1[[#This Row],[Cin ESR Loss]]</f>
        <v>7.290600269374245E-2</v>
      </c>
      <c r="AG14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8.5618783831221901</v>
      </c>
      <c r="AH142" s="354">
        <f>Rdson1*Table1[[#This Row],[Irms BuCtrl]]^2</f>
        <v>0.30788419807897527</v>
      </c>
      <c r="AI142" s="354">
        <f>CHOOSE(Table1[[#This Row],[Mode Digit]], (Table1[[#This Row],[Vin]]*Table1[[#This Row],[Iout]]/2)*(Fsw)*(Tr_buck+Tf_buck), 0, (Table1[[#This Row],[Vin]]*Table1[[#This Row],[Avg IL]]/2)*(Fsw/1)*(Tr_buck+Tf_buck))</f>
        <v>3.4877845811275017</v>
      </c>
      <c r="AJ142">
        <f>IF(Table1[[#This Row],[Vin]]&gt;Vout, IF(Table1[[#This Row],[Iout]]&gt;Table1[[#This Row],[Ripple Current pk-pk]]/2,0,ABS(Table1[[#This Row],[Iout]]-Table1[[#This Row],[Ripple Current pk-pk]]/2)*Vsd_Q1*Deadtime*Fsw),0)</f>
        <v>0</v>
      </c>
      <c r="AK142" s="354">
        <f>(Table1[[#This Row],[Dead Time Loss BuCtrl]]+Table1[[#This Row],[Transition Loss BuCtrl]]+Table1[[#This Row],[RDS(on) Loss BuCtrl]]*(1+RdsonTopTc*Ta-RdsonTopTc*25))/(1-Table1[[#This Row],[RDS(on) Loss BuCtrl]]*RdsonTopTc*ThetaJA_Q1)</f>
        <v>4.0985172677576092</v>
      </c>
      <c r="AL142" s="354">
        <f>CHOOSE(Table1[[#This Row],[Mode Digit]],SQRT((Fsw*(Table1[[#This Row],[t2_Ph_I]]+0))*((Table1[[#This Row],[I_0]]*Table1[[#This Row],[I_1]]+((Table1[[#This Row],[I_0]]-Table1[[#This Row],[I_1]])^2)/3))),0,SQRT((Fsw*(Table1[[#This Row],[t3_Ph_III]]+0))*((Table1[[#This Row],[I_0]]*Table1[[#This Row],[I_2]]+((Table1[[#This Row],[I_0]]-Table1[[#This Row],[I_2]])^2)/3))))</f>
        <v>8.515314457273492</v>
      </c>
      <c r="AM142" s="354">
        <f>Rdson2*Table1[[#This Row],[Irms BuSync]]^2</f>
        <v>0.30454443728625402</v>
      </c>
      <c r="AN14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2" s="354">
        <f>(Table1[[#This Row],[Deadtime Loss BuSync]]+Table1[[#This Row],[RDS(on) Loss BuSync]]*(1+RdsonBotTc*Ta-RdsonBotTc*25))/(1-Table1[[#This Row],[RDS(on) Loss BuSync]]*RdsonBotTc*ThetaJA_Q2)</f>
        <v>0.9514586082023585</v>
      </c>
      <c r="AP142" s="354">
        <f>CHOOSE(Table1[[#This Row],[Mode Digit]],0,SQRT((Fsw*(Table1[[#This Row],[t1_Ph_II]]+0))*((Table1[[#This Row],[I_0]]*Table1[[#This Row],[I_1]]+((Table1[[#This Row],[I_0]]-Table1[[#This Row],[I_1]])^2)/3))),SQRT((Fsw*(Table1[[#This Row],[t2_Ph_I]]+0))*((Table1[[#This Row],[I_1]]*Table1[[#This Row],[I_2]]+((Table1[[#This Row],[I_1]]-Table1[[#This Row],[I_2]])^2)/3))))</f>
        <v>0</v>
      </c>
      <c r="AQ142" s="354">
        <f>Rdson4*Table1[[#This Row],[Irms BoCtlr]]^2</f>
        <v>0</v>
      </c>
      <c r="AR142" s="354">
        <f>CHOOSE(Table1[[#This Row],[Mode Digit]], 0, (Vout*Table1[[#This Row],[Iin]]/2)*(Fsw)*(Tr_boost+Tf_boost), (Vout*Iout/2)*(Fsw/1)*(Tr_boost+Tf_boost))</f>
        <v>0</v>
      </c>
      <c r="AS142">
        <f>IF(Table1[[#This Row],[Vin]]&gt;Vout, 0, IF(Table1[[#This Row],[Iin]]&gt;Table1[[#This Row],[Ripple Current pk-pk]]/2,0,ABS(Table1[[#This Row],[Iin]]-Table1[[#This Row],[Ripple Current pk-pk]]/2)*Vsd_Q4*Deadtime*Fsw))</f>
        <v>0</v>
      </c>
      <c r="AT142" s="354">
        <f>(Table1[[#This Row],[Dead Time Loss BoCtlr]]+Table1[[#This Row],[Transition Loss BoCtlr]]+Table1[[#This Row],[RDS(on) Loss BoCtlr]]*(1+RdsonTopTc*Ta-RdsonTopTc*25))/(1-Table1[[#This Row],[RDS(on) Loss BoCtlr]]*RdsonTopTc*ThetaJA_Q4)</f>
        <v>0</v>
      </c>
      <c r="AU14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12.075443749760337</v>
      </c>
      <c r="AV142" s="354">
        <f>Rdson3*Table1[[#This Row],[Irms BoSync]]^2</f>
        <v>0.61242863536522929</v>
      </c>
      <c r="AW14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2" s="354">
        <f>(Table1[[#This Row],[Deadtime Loss BoSync]]+Table1[[#This Row],[RDS(on) Loss BoSync]]*(1+RdsonBotTc*Ta-RdsonBotTc*25))/(1-Table1[[#This Row],[RDS(on) Loss BoSync]]*RdsonBotTc*ThetaJA_Q3)</f>
        <v>0.71795584826210446</v>
      </c>
      <c r="AY142" s="354">
        <f>CHOOSE(Table1[[#This Row],[Mode Digit]], Rdson3*Table1[[#This Row],[Irms Lf]]^2, Rdson1*Table1[[#This Row],[Irms Lf]]^2, 0)</f>
        <v>0.61242863536522929</v>
      </c>
      <c r="AZ142" s="354">
        <f>CHOOSE(Table1[[#This Row],[Mode Digit]], 2*Deadtime*Fsw*IF(VfdSky_Q2&gt;0,VfdSky_Q2,0)*Table1[[#This Row],[Iout]], 2*Deadtime*Fsw*IF(VfdSky_Q3&gt;0,VfdSky_Q3,0)*Table1[[#This Row],[Iin]], 2*Deadtime*Fsw*IF(VfdSky_Q2&gt;0,VfdSky_Q2,0)*Table1[[#This Row],[Iout]]+2*Deadtime*Fsw*IF(VfdSky_Q3&gt;0,VfdSky_Q3,0)*Table1[[#This Row],[Iin]])</f>
        <v>0</v>
      </c>
      <c r="BA142" s="354">
        <f>CHOOSE(Table1[[#This Row],[Mode Digit]], IF(QrrSky_Q2&gt;0,QrrSky_Q2,Qrr_Q2)*Fsw*(Table1[[#This Row],[Vin]]-Table1[[#This Row],[Iout]]*Rdson1),0,  IF(QrrSky_Q2&gt;0,QrrSky_Q2,Qrr_Q2)*Fsw*(Table1[[#This Row],[Vin]]-Table1[[#This Row],[Iout]]*Rdson1)+IF(QrrSky_Q3&gt;0,QrrSky_Q3,Qrr_Q3)*Fsw*Vout)</f>
        <v>0.35111520000000002</v>
      </c>
      <c r="BB142" s="354">
        <f>CHOOSE(Table1[[#This Row],[Mode Digit]],0, IF(QrrSky_Q3&gt;0,QrrSky_Q3,Qrr_Q3)*Fsw*Vout,  IF(QrrSky_Q2&gt;0,QrrSky_Q2,Qrr_Q2)*Fsw*(Table1[[#This Row],[Vin]]-Table1[[#This Row],[Iout]]*Rdson1)+IF(QrrSky_Q3&gt;0,QrrSky_Q3,Qrr_Q3)*Fsw*Vout)</f>
        <v>0</v>
      </c>
      <c r="BC142" s="354">
        <f>CHOOSE(Table1[[#This Row],[Mode Digit]], Rs*Table1[[#This Row],[Irms BuSync]]^2, Rs*Table1[[#This Row],[Irms BoCtlr]]^2, Rs*(Table1[[#This Row],[Irms BuSync]]^2+Table1[[#This Row],[Irms BoCtlr]]^2))</f>
        <v>0.18127645076562737</v>
      </c>
      <c r="BD142" s="354">
        <f t="shared" si="8"/>
        <v>1.44</v>
      </c>
      <c r="BE142" s="354">
        <f>IF(Vout&gt;8, Iq*Vout, Iq*Table1[[#This Row],[Vin]])</f>
        <v>4.3799999999999999E-2</v>
      </c>
      <c r="BF142" s="354">
        <f>CHOOSE(Table1[[#This Row],[Mode Digit]], (Qg_Q1+Qg_Q2)*Fsw, (Qg_Q3+Qg_Q4)*Fsw, (Qg_Q1+Qg_Q2+Qg_Q3+Qg_Q4)*Fsw)*IF(Vout&gt;8, Vout, Table1[[#This Row],[Vin]])</f>
        <v>0.47303999999999996</v>
      </c>
      <c r="BG142" s="354">
        <f t="shared" si="9"/>
        <v>0.57269042016806726</v>
      </c>
      <c r="BH142" s="354">
        <f>Table1[[#This Row],[IQ Loss]]+Table1[[#This Row],[Switching Current Loss]]</f>
        <v>0.51683999999999997</v>
      </c>
      <c r="BI14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10.365489831800303</v>
      </c>
      <c r="BJ142">
        <f>Vout*Table1[[#This Row],[Iout]]</f>
        <v>175.2</v>
      </c>
      <c r="BK142" s="550">
        <f>Table1[[#This Row],[Pout]]/(Table1[[#This Row],[Pout]]+Table1[[#This Row],[Total Loss]])</f>
        <v>0.94414106932708364</v>
      </c>
      <c r="BL14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245.91103606545656</v>
      </c>
      <c r="BM142" s="559">
        <f>IF(Table1[[#This Row],[Vin]]&gt;Vout, Table1[[#This Row],[Total Sync Bu MOSFET Loss]]*ThetaJA_Q2, ThetaJA_Q3*Table1[[#This Row],[Total Sync Bo MOSFET Loss]])</f>
        <v>57.087516492141511</v>
      </c>
      <c r="BN142" s="9"/>
      <c r="BO142" s="4">
        <f>Table1[[#This Row],[EFF, h]]*100</f>
        <v>94.414106932708364</v>
      </c>
      <c r="BP142" s="354">
        <f>Table1[[#This Row],[Total Inductor Loss]]</f>
        <v>2.0263387453507304</v>
      </c>
      <c r="BQ142" s="354">
        <f>Table1[[#This Row],[Total Control Bu MOSFET Loss]]+Table1[[#This Row],[Total Sync Bu MOSFET Loss]]+Table1[[#This Row],[Total Control Bo MOSFET Loss]]+Table1[[#This Row],[Total Sync Bo MOSFET Loss]]+Table1[[#This Row],[Reverse Recovery Loss MOSFET D BUCK]]+Table1[[#This Row],[Reverse Recovery Loss MOSFET D BOOST]]</f>
        <v>6.1190469242220713</v>
      </c>
      <c r="BR142" s="354">
        <f>Table1[[#This Row],[Total Control Bu MOSFET Loss]]+Table1[[#This Row],[Reverse Recovery Loss MOSFET D BUCK]]*0.66</f>
        <v>4.3302532997576089</v>
      </c>
      <c r="BS142" s="354">
        <f>Table1[[#This Row],[Total Sync Bu MOSFET Loss]]+Table1[[#This Row],[Reverse Recovery Loss MOSFET D BUCK]]*0.33</f>
        <v>1.0673266242023585</v>
      </c>
      <c r="BT142" s="354">
        <f xml:space="preserve"> Table1[[#This Row],[Total Control Bo MOSFET Loss]]+Table1[[#This Row],[Reverse Recovery Loss MOSFET D BOOST]]*0.66</f>
        <v>0</v>
      </c>
      <c r="BU142" s="354">
        <f xml:space="preserve"> Table1[[#This Row],[Total Sync Bo MOSFET Loss]]+Table1[[#This Row],[Reverse Recovery Loss MOSFET D BOOST]]*0.33</f>
        <v>0.71795584826210446</v>
      </c>
      <c r="BV142" s="354">
        <f>Table1[[#This Row],[Isense Shunt Loss]]</f>
        <v>0.18127645076562737</v>
      </c>
    </row>
    <row r="143" spans="7:74" x14ac:dyDescent="0.2">
      <c r="G143">
        <v>134</v>
      </c>
      <c r="H143" s="555">
        <f>VIN_min+(VIN_max-VIN_min)*(Table1[[#This Row],[Step]]/200)</f>
        <v>29.380000000000003</v>
      </c>
      <c r="I143" s="4" t="str">
        <f>IF(Mode = 2,IF(Table1[[#This Row],[Vin]]&gt;Vout, "BUCK","BOOST"),IF(Table1[[#This Row],[Vin]]&gt;VIN_BB_to_buck, "BUCK", IF(Table1[[#This Row],[Vin]]&lt;=VIN_boost_to_BB,"BOOST","BUCK-BST")))</f>
        <v>BUCK</v>
      </c>
      <c r="J143">
        <f>IF(Table1[[#This Row],[Mode]]="BOOST",2, IF(Table1[[#This Row],[Mode]]="BUCK", 1,3))</f>
        <v>1</v>
      </c>
      <c r="K143">
        <f t="shared" si="7"/>
        <v>12</v>
      </c>
      <c r="L143" s="4">
        <f>Vout*Table1[[#This Row],[Iout]]/(Table1[[#This Row],[Vin]]*Efficiency)</f>
        <v>6.277095052129984</v>
      </c>
      <c r="M143" s="711">
        <f>MIN(1/Fsw,CHOOSE(Table1[[#This Row],[Mode Digit]],(Vout+(Rdson2+Rs+Rdcr)*Table1[[#This Row],[Iout]])/(Table1[[#This Row],[Vin]]+(Rs+Rdson2-Rdson1)*Table1[[#This Row],[Iout]])/Fsw,(Vout+(Rdson3+Rdcr)*Table1[[#This Row],[Iin]]-Table1[[#This Row],[Vin]])/(Vout+(Rdson3-Rdson4-Rs)*Table1[[#This Row],[Iin]])/Fsw,t1_Ph_II))</f>
        <v>8.3588348634251369E-7</v>
      </c>
      <c r="N143" s="602">
        <f>CHOOSE(Table1[[#This Row],[Mode Digit]],1/Fsw-Table1[[#This Row],[t1_Ph_II]],1/Fsw-Table1[[#This Row],[t1_Ph_II]],(Vout/Fsw-Table1[[#This Row],[Vin]]*t1_Ph_II)/(Table1[[#This Row],[Vin]]+Vout))</f>
        <v>8.3078318032415297E-7</v>
      </c>
      <c r="O143" s="602">
        <f>1/Fsw-(Table1[[#This Row],[t1_Ph_II]]+Table1[[#This Row],[t2_Ph_I]])</f>
        <v>0</v>
      </c>
      <c r="P14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9.6601594833063729</v>
      </c>
      <c r="Q143" s="4">
        <f>CHOOSE(Table1[[#This Row],[Mode Digit]],Table1[[#This Row],[I_0]]+1/Lf*(Table1[[#This Row],[Vin]]-Vout)*Table1[[#This Row],[t1_Ph_II]],Table1[[#This Row],[I_0]]+1/Lf*Table1[[#This Row],[Vin]]*Table1[[#This Row],[t1_Ph_II]],Table1[[#This Row],[I_0]]+(Table1[[#This Row],[Vin]]-Vout)/L*Table1[[#This Row],[t1_Ph_II]])</f>
        <v>14.339840516693627</v>
      </c>
      <c r="R143" s="4">
        <f>CHOOSE(Table1[[#This Row],[Mode Digit]],0,0,Table1[[#This Row],[I_1]]+Table1[[#This Row],[Vin]]/L*Table1[[#This Row],[t2_Ph_I]])</f>
        <v>0</v>
      </c>
      <c r="S143" s="4">
        <f>Fsw*(Table1[[#This Row],[I_0]]*Table1[[#This Row],[t1_Ph_II]]+Table1[[#This Row],[I_1]]*Table1[[#This Row],[t2_Ph_I]]+Table1[[#This Row],[I_2]]*Table1[[#This Row],[t3_Ph_III]])</f>
        <v>11.992839658398422</v>
      </c>
      <c r="T143" s="354">
        <f>MIN(1,CHOOSE(Table1[[#This Row],[Mode Digit]],(Vout+(Rdson2+Rs+Rdcr)*Table1[[#This Row],[Iout]])/(Table1[[#This Row],[Vin]]+(Rs+Rdson2-Rdson1)*Table1[[#This Row],[Iout]]),1,Fsw*Table1[[#This Row],[t2_Ph_I]]+Table1[[#This Row],[t1_Ph_II]]))</f>
        <v>0.50153009180550823</v>
      </c>
      <c r="U143" s="354">
        <f>MIN(1,CHOOSE(Table1[[#This Row],[Mode Digit]],0,(Vout+(Rdson3+Rdcr)*Table1[[#This Row],[Iin]]-Table1[[#This Row],[Vin]])/(Vout+(Rdson3-Rdson4-Rs)*Table1[[#This Row],[Iin]]),Fsw*Table1[[#This Row],[t1_Ph_II]]+Table1[[#This Row],[t3_Ph_III]]))</f>
        <v>0</v>
      </c>
      <c r="V143" s="4">
        <f>MAX(Table1[[#This Row],[I_0]:[I_2]])-MIN(Table1[[#This Row],[I_0]:[I_1]])</f>
        <v>4.6796810333872543</v>
      </c>
      <c r="W14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12.075800230813707</v>
      </c>
      <c r="X143" s="354">
        <f>(Table1[[#This Row],[Irms Lf]]^2*Rdcr*(1+Ltc*Ta-Ltc*25))/(1-Table1[[#This Row],[Irms Lf]]^2*Rdcr*Ltc*ThetaCa)</f>
        <v>0.90716609453016228</v>
      </c>
      <c r="Y143" s="354">
        <f>ABS(7.759*10^-3*Fsw^0.9458*(0.00787*Table1[[#This Row],[Ripple Current pk-pk]])^2.304)</f>
        <v>1.1253438292540945</v>
      </c>
      <c r="Z143" s="354">
        <f>Table1[[#This Row],[DCR    Loss]]+Table1[[#This Row],[Core Loss]]</f>
        <v>2.0325099237842568</v>
      </c>
      <c r="AA143" s="4">
        <f>IF(Table1[[#This Row],[Vin]]&gt;Vout, Table1[[#This Row],[Ripple Current pk-pk]]/SQRT(12), SQRT(Table1[[#This Row],[Duty Cycle BOOST Leg]]/(1-Table1[[#This Row],[Duty Cycle BOOST Leg]]))*SQRT(Table1[[#This Row],[Iout]]^2+(Table1[[#This Row],[Ripple Current pk-pk]]^2)/12))</f>
        <v>1.3509075521738587</v>
      </c>
      <c r="AB143" s="354">
        <f>RCoutEsr*Table1[[#This Row],[Irms Cout]]^2</f>
        <v>9.1247560726018338E-3</v>
      </c>
      <c r="AC143" s="354">
        <f>Table1[[#This Row],[Cout ESR Loss]]</f>
        <v>9.1247560726018338E-3</v>
      </c>
      <c r="AD143" s="354">
        <f>IF(Table1[[#This Row],[Vin]]&gt;Vout, SQRT(Table1[[#This Row],[Duty Cycle BUCK Leg]]*(1-Table1[[#This Row],[Duty Cycle BUCK Leg]]))*SQRT(Table1[[#This Row],[Iout]]^2+(Table1[[#This Row],[Ripple Current pk-pk]]^2)/12), Table1[[#This Row],[Ripple Current pk-pk]]/SQRT(12))</f>
        <v>6.0378718437074088</v>
      </c>
      <c r="AE143" s="354">
        <f>RCinEsr*Table1[[#This Row],[Irms Cin]]^2</f>
        <v>7.2911792802069414E-2</v>
      </c>
      <c r="AF143" s="549">
        <f>Table1[[#This Row],[Cin ESR Loss]]</f>
        <v>7.2911792802069414E-2</v>
      </c>
      <c r="AG14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8.5519355218659232</v>
      </c>
      <c r="AH143" s="354">
        <f>Rdson1*Table1[[#This Row],[Irms BuCtrl]]^2</f>
        <v>0.30716952491463922</v>
      </c>
      <c r="AI143" s="354">
        <f>CHOOSE(Table1[[#This Row],[Mode Digit]], (Table1[[#This Row],[Vin]]*Table1[[#This Row],[Iout]]/2)*(Fsw)*(Tr_buck+Tf_buck), 0, (Table1[[#This Row],[Vin]]*Table1[[#This Row],[Avg IL]]/2)*(Fsw/1)*(Tr_buck+Tf_buck))</f>
        <v>3.4961143293594676</v>
      </c>
      <c r="AJ143">
        <f>IF(Table1[[#This Row],[Vin]]&gt;Vout, IF(Table1[[#This Row],[Iout]]&gt;Table1[[#This Row],[Ripple Current pk-pk]]/2,0,ABS(Table1[[#This Row],[Iout]]-Table1[[#This Row],[Ripple Current pk-pk]]/2)*Vsd_Q1*Deadtime*Fsw),0)</f>
        <v>0</v>
      </c>
      <c r="AK143" s="354">
        <f>(Table1[[#This Row],[Dead Time Loss BuCtrl]]+Table1[[#This Row],[Transition Loss BuCtrl]]+Table1[[#This Row],[RDS(on) Loss BuCtrl]]*(1+RdsonTopTc*Ta-RdsonTopTc*25))/(1-Table1[[#This Row],[RDS(on) Loss BuCtrl]]*RdsonTopTc*ThetaJA_Q1)</f>
        <v>4.1059794780108732</v>
      </c>
      <c r="AL143" s="354">
        <f>CHOOSE(Table1[[#This Row],[Mode Digit]],SQRT((Fsw*(Table1[[#This Row],[t2_Ph_I]]+0))*((Table1[[#This Row],[I_0]]*Table1[[#This Row],[I_1]]+((Table1[[#This Row],[I_0]]-Table1[[#This Row],[I_1]])^2)/3))),0,SQRT((Fsw*(Table1[[#This Row],[t3_Ph_III]]+0))*((Table1[[#This Row],[I_0]]*Table1[[#This Row],[I_2]]+((Table1[[#This Row],[I_0]]-Table1[[#This Row],[I_2]])^2)/3))))</f>
        <v>8.5258049499368802</v>
      </c>
      <c r="AM143" s="354">
        <f>Rdson2*Table1[[#This Row],[Irms BuSync]]^2</f>
        <v>0.30529527018634656</v>
      </c>
      <c r="AN14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3" s="354">
        <f>(Table1[[#This Row],[Deadtime Loss BuSync]]+Table1[[#This Row],[RDS(on) Loss BuSync]]*(1+RdsonBotTc*Ta-RdsonBotTc*25))/(1-Table1[[#This Row],[RDS(on) Loss BuSync]]*RdsonBotTc*ThetaJA_Q2)</f>
        <v>0.95245381338947666</v>
      </c>
      <c r="AP143" s="354">
        <f>CHOOSE(Table1[[#This Row],[Mode Digit]],0,SQRT((Fsw*(Table1[[#This Row],[t1_Ph_II]]+0))*((Table1[[#This Row],[I_0]]*Table1[[#This Row],[I_1]]+((Table1[[#This Row],[I_0]]-Table1[[#This Row],[I_1]])^2)/3))),SQRT((Fsw*(Table1[[#This Row],[t2_Ph_I]]+0))*((Table1[[#This Row],[I_1]]*Table1[[#This Row],[I_2]]+((Table1[[#This Row],[I_1]]-Table1[[#This Row],[I_2]])^2)/3))))</f>
        <v>0</v>
      </c>
      <c r="AQ143" s="354">
        <f>Rdson4*Table1[[#This Row],[Irms BoCtlr]]^2</f>
        <v>0</v>
      </c>
      <c r="AR143" s="354">
        <f>CHOOSE(Table1[[#This Row],[Mode Digit]], 0, (Vout*Table1[[#This Row],[Iin]]/2)*(Fsw)*(Tr_boost+Tf_boost), (Vout*Iout/2)*(Fsw/1)*(Tr_boost+Tf_boost))</f>
        <v>0</v>
      </c>
      <c r="AS143">
        <f>IF(Table1[[#This Row],[Vin]]&gt;Vout, 0, IF(Table1[[#This Row],[Iin]]&gt;Table1[[#This Row],[Ripple Current pk-pk]]/2,0,ABS(Table1[[#This Row],[Iin]]-Table1[[#This Row],[Ripple Current pk-pk]]/2)*Vsd_Q4*Deadtime*Fsw))</f>
        <v>0</v>
      </c>
      <c r="AT143" s="354">
        <f>(Table1[[#This Row],[Dead Time Loss BoCtlr]]+Table1[[#This Row],[Transition Loss BoCtlr]]+Table1[[#This Row],[RDS(on) Loss BoCtlr]]*(1+RdsonTopTc*Ta-RdsonTopTc*25))/(1-Table1[[#This Row],[RDS(on) Loss BoCtlr]]*RdsonTopTc*ThetaJA_Q4)</f>
        <v>0</v>
      </c>
      <c r="AU14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12.075800230813707</v>
      </c>
      <c r="AV143" s="354">
        <f>Rdson3*Table1[[#This Row],[Irms BoSync]]^2</f>
        <v>0.61246479510098573</v>
      </c>
      <c r="AW14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3" s="354">
        <f>(Table1[[#This Row],[Deadtime Loss BoSync]]+Table1[[#This Row],[RDS(on) Loss BoSync]]*(1+RdsonBotTc*Ta-RdsonBotTc*25))/(1-Table1[[#This Row],[RDS(on) Loss BoSync]]*RdsonBotTc*ThetaJA_Q3)</f>
        <v>0.71800554343018774</v>
      </c>
      <c r="AY143" s="354">
        <f>CHOOSE(Table1[[#This Row],[Mode Digit]], Rdson3*Table1[[#This Row],[Irms Lf]]^2, Rdson1*Table1[[#This Row],[Irms Lf]]^2, 0)</f>
        <v>0.61246479510098573</v>
      </c>
      <c r="AZ143" s="354">
        <f>CHOOSE(Table1[[#This Row],[Mode Digit]], 2*Deadtime*Fsw*IF(VfdSky_Q2&gt;0,VfdSky_Q2,0)*Table1[[#This Row],[Iout]], 2*Deadtime*Fsw*IF(VfdSky_Q3&gt;0,VfdSky_Q3,0)*Table1[[#This Row],[Iin]], 2*Deadtime*Fsw*IF(VfdSky_Q2&gt;0,VfdSky_Q2,0)*Table1[[#This Row],[Iout]]+2*Deadtime*Fsw*IF(VfdSky_Q3&gt;0,VfdSky_Q3,0)*Table1[[#This Row],[Iin]])</f>
        <v>0</v>
      </c>
      <c r="BA143" s="354">
        <f>CHOOSE(Table1[[#This Row],[Mode Digit]], IF(QrrSky_Q2&gt;0,QrrSky_Q2,Qrr_Q2)*Fsw*(Table1[[#This Row],[Vin]]-Table1[[#This Row],[Iout]]*Rdson1),0,  IF(QrrSky_Q2&gt;0,QrrSky_Q2,Qrr_Q2)*Fsw*(Table1[[#This Row],[Vin]]-Table1[[#This Row],[Iout]]*Rdson1)+IF(QrrSky_Q3&gt;0,QrrSky_Q3,Qrr_Q3)*Fsw*Vout)</f>
        <v>0.35195520000000002</v>
      </c>
      <c r="BB143" s="354">
        <f>CHOOSE(Table1[[#This Row],[Mode Digit]],0, IF(QrrSky_Q3&gt;0,QrrSky_Q3,Qrr_Q3)*Fsw*Vout,  IF(QrrSky_Q2&gt;0,QrrSky_Q2,Qrr_Q2)*Fsw*(Table1[[#This Row],[Vin]]-Table1[[#This Row],[Iout]]*Rdson1)+IF(QrrSky_Q3&gt;0,QrrSky_Q3,Qrr_Q3)*Fsw*Vout)</f>
        <v>0</v>
      </c>
      <c r="BC143" s="354">
        <f>CHOOSE(Table1[[#This Row],[Mode Digit]], Rs*Table1[[#This Row],[Irms BuSync]]^2, Rs*Table1[[#This Row],[Irms BoCtlr]]^2, Rs*(Table1[[#This Row],[Irms BuSync]]^2+Table1[[#This Row],[Irms BoCtlr]]^2))</f>
        <v>0.18172337511092054</v>
      </c>
      <c r="BD143" s="354">
        <f t="shared" si="8"/>
        <v>1.44</v>
      </c>
      <c r="BE143" s="354">
        <f>IF(Vout&gt;8, Iq*Vout, Iq*Table1[[#This Row],[Vin]])</f>
        <v>4.3799999999999999E-2</v>
      </c>
      <c r="BF143" s="354">
        <f>CHOOSE(Table1[[#This Row],[Mode Digit]], (Qg_Q1+Qg_Q2)*Fsw, (Qg_Q3+Qg_Q4)*Fsw, (Qg_Q1+Qg_Q2+Qg_Q3+Qg_Q4)*Fsw)*IF(Vout&gt;8, Vout, Table1[[#This Row],[Vin]])</f>
        <v>0.47303999999999996</v>
      </c>
      <c r="BG143" s="354">
        <f t="shared" si="9"/>
        <v>0.57269042016806726</v>
      </c>
      <c r="BH143" s="354">
        <f>Table1[[#This Row],[IQ Loss]]+Table1[[#This Row],[Switching Current Loss]]</f>
        <v>0.51683999999999997</v>
      </c>
      <c r="BI14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10.381503882600386</v>
      </c>
      <c r="BJ143">
        <f>Vout*Table1[[#This Row],[Iout]]</f>
        <v>175.2</v>
      </c>
      <c r="BK143" s="550">
        <f>Table1[[#This Row],[Pout]]/(Table1[[#This Row],[Pout]]+Table1[[#This Row],[Total Loss]])</f>
        <v>0.94405959826056929</v>
      </c>
      <c r="BL14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246.35876868065239</v>
      </c>
      <c r="BM143" s="559">
        <f>IF(Table1[[#This Row],[Vin]]&gt;Vout, Table1[[#This Row],[Total Sync Bu MOSFET Loss]]*ThetaJA_Q2, ThetaJA_Q3*Table1[[#This Row],[Total Sync Bo MOSFET Loss]])</f>
        <v>57.147228803368598</v>
      </c>
      <c r="BN143" s="9"/>
      <c r="BO143" s="4">
        <f>Table1[[#This Row],[EFF, h]]*100</f>
        <v>94.405959826056929</v>
      </c>
      <c r="BP143" s="354">
        <f>Table1[[#This Row],[Total Inductor Loss]]</f>
        <v>2.0325099237842568</v>
      </c>
      <c r="BQ143" s="354">
        <f>Table1[[#This Row],[Total Control Bu MOSFET Loss]]+Table1[[#This Row],[Total Sync Bu MOSFET Loss]]+Table1[[#This Row],[Total Control Bo MOSFET Loss]]+Table1[[#This Row],[Total Sync Bo MOSFET Loss]]+Table1[[#This Row],[Reverse Recovery Loss MOSFET D BUCK]]+Table1[[#This Row],[Reverse Recovery Loss MOSFET D BOOST]]</f>
        <v>6.1283940348305377</v>
      </c>
      <c r="BR143" s="354">
        <f>Table1[[#This Row],[Total Control Bu MOSFET Loss]]+Table1[[#This Row],[Reverse Recovery Loss MOSFET D BUCK]]*0.66</f>
        <v>4.3382699100108733</v>
      </c>
      <c r="BS143" s="354">
        <f>Table1[[#This Row],[Total Sync Bu MOSFET Loss]]+Table1[[#This Row],[Reverse Recovery Loss MOSFET D BUCK]]*0.33</f>
        <v>1.0685990293894767</v>
      </c>
      <c r="BT143" s="354">
        <f xml:space="preserve"> Table1[[#This Row],[Total Control Bo MOSFET Loss]]+Table1[[#This Row],[Reverse Recovery Loss MOSFET D BOOST]]*0.66</f>
        <v>0</v>
      </c>
      <c r="BU143" s="354">
        <f xml:space="preserve"> Table1[[#This Row],[Total Sync Bo MOSFET Loss]]+Table1[[#This Row],[Reverse Recovery Loss MOSFET D BOOST]]*0.33</f>
        <v>0.71800554343018774</v>
      </c>
      <c r="BV143" s="354">
        <f>Table1[[#This Row],[Isense Shunt Loss]]</f>
        <v>0.18172337511092054</v>
      </c>
    </row>
    <row r="144" spans="7:74" x14ac:dyDescent="0.2">
      <c r="G144">
        <v>135</v>
      </c>
      <c r="H144" s="555">
        <f>VIN_min+(VIN_max-VIN_min)*(Table1[[#This Row],[Step]]/200)</f>
        <v>29.450000000000003</v>
      </c>
      <c r="I144" s="4" t="str">
        <f>IF(Mode = 2,IF(Table1[[#This Row],[Vin]]&gt;Vout, "BUCK","BOOST"),IF(Table1[[#This Row],[Vin]]&gt;VIN_BB_to_buck, "BUCK", IF(Table1[[#This Row],[Vin]]&lt;=VIN_boost_to_BB,"BOOST","BUCK-BST")))</f>
        <v>BUCK</v>
      </c>
      <c r="J144">
        <f>IF(Table1[[#This Row],[Mode]]="BOOST",2, IF(Table1[[#This Row],[Mode]]="BUCK", 1,3))</f>
        <v>1</v>
      </c>
      <c r="K144">
        <f t="shared" si="7"/>
        <v>12</v>
      </c>
      <c r="L144" s="4">
        <f>Vout*Table1[[#This Row],[Iout]]/(Table1[[#This Row],[Vin]]*Efficiency)</f>
        <v>6.2621749620230531</v>
      </c>
      <c r="M144" s="711">
        <f>MIN(1/Fsw,CHOOSE(Table1[[#This Row],[Mode Digit]],(Vout+(Rdson2+Rs+Rdcr)*Table1[[#This Row],[Iout]])/(Table1[[#This Row],[Vin]]+(Rs+Rdson2-Rdson1)*Table1[[#This Row],[Iout]])/Fsw,(Vout+(Rdson3+Rdcr)*Table1[[#This Row],[Iin]]-Table1[[#This Row],[Vin]])/(Vout+(Rdson3-Rdson4-Rs)*Table1[[#This Row],[Iin]])/Fsw,t1_Ph_II))</f>
        <v>8.3389868837630019E-7</v>
      </c>
      <c r="N144" s="602">
        <f>CHOOSE(Table1[[#This Row],[Mode Digit]],1/Fsw-Table1[[#This Row],[t1_Ph_II]],1/Fsw-Table1[[#This Row],[t1_Ph_II]],(Vout/Fsw-Table1[[#This Row],[Vin]]*t1_Ph_II)/(Table1[[#This Row],[Vin]]+Vout))</f>
        <v>8.3276797829036648E-7</v>
      </c>
      <c r="O144" s="602">
        <f>1/Fsw-(Table1[[#This Row],[t1_Ph_II]]+Table1[[#This Row],[t2_Ph_I]])</f>
        <v>0</v>
      </c>
      <c r="P14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9.6546599389416556</v>
      </c>
      <c r="Q144" s="4">
        <f>CHOOSE(Table1[[#This Row],[Mode Digit]],Table1[[#This Row],[I_0]]+1/Lf*(Table1[[#This Row],[Vin]]-Vout)*Table1[[#This Row],[t1_Ph_II]],Table1[[#This Row],[I_0]]+1/Lf*Table1[[#This Row],[Vin]]*Table1[[#This Row],[t1_Ph_II]],Table1[[#This Row],[I_0]]+(Table1[[#This Row],[Vin]]-Vout)/L*Table1[[#This Row],[t1_Ph_II]])</f>
        <v>14.345340061058344</v>
      </c>
      <c r="R144" s="4">
        <f>CHOOSE(Table1[[#This Row],[Mode Digit]],0,0,Table1[[#This Row],[I_1]]+Table1[[#This Row],[Vin]]/L*Table1[[#This Row],[t2_Ph_I]])</f>
        <v>0</v>
      </c>
      <c r="S144" s="4">
        <f>Fsw*(Table1[[#This Row],[I_0]]*Table1[[#This Row],[t1_Ph_II]]+Table1[[#This Row],[I_1]]*Table1[[#This Row],[t2_Ph_I]]+Table1[[#This Row],[I_2]]*Table1[[#This Row],[t3_Ph_III]])</f>
        <v>11.99840886020281</v>
      </c>
      <c r="T144" s="354">
        <f>MIN(1,CHOOSE(Table1[[#This Row],[Mode Digit]],(Vout+(Rdson2+Rs+Rdcr)*Table1[[#This Row],[Iout]])/(Table1[[#This Row],[Vin]]+(Rs+Rdson2-Rdson1)*Table1[[#This Row],[Iout]]),1,Fsw*Table1[[#This Row],[t2_Ph_I]]+Table1[[#This Row],[t1_Ph_II]]))</f>
        <v>0.50033921302578011</v>
      </c>
      <c r="U144" s="354">
        <f>MIN(1,CHOOSE(Table1[[#This Row],[Mode Digit]],0,(Vout+(Rdson3+Rdcr)*Table1[[#This Row],[Iin]]-Table1[[#This Row],[Vin]])/(Vout+(Rdson3-Rdson4-Rs)*Table1[[#This Row],[Iin]]),Fsw*Table1[[#This Row],[t1_Ph_II]]+Table1[[#This Row],[t3_Ph_III]]))</f>
        <v>0</v>
      </c>
      <c r="V144" s="4">
        <f>MAX(Table1[[#This Row],[I_0]:[I_2]])-MIN(Table1[[#This Row],[I_0]:[I_1]])</f>
        <v>4.6906801221166887</v>
      </c>
      <c r="W14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12.076155845328778</v>
      </c>
      <c r="X144" s="354">
        <f>(Table1[[#This Row],[Irms Lf]]^2*Rdcr*(1+Ltc*Ta-Ltc*25))/(1-Table1[[#This Row],[Irms Lf]]^2*Rdcr*Ltc*ThetaCa)</f>
        <v>0.90722340257508127</v>
      </c>
      <c r="Y144" s="354">
        <f>ABS(7.759*10^-3*Fsw^0.9458*(0.00787*Table1[[#This Row],[Ripple Current pk-pk]])^2.304)</f>
        <v>1.1314472505335176</v>
      </c>
      <c r="Z144" s="354">
        <f>Table1[[#This Row],[DCR    Loss]]+Table1[[#This Row],[Core Loss]]</f>
        <v>2.038670653108599</v>
      </c>
      <c r="AA144" s="4">
        <f>IF(Table1[[#This Row],[Vin]]&gt;Vout, Table1[[#This Row],[Ripple Current pk-pk]]/SQRT(12), SQRT(Table1[[#This Row],[Duty Cycle BOOST Leg]]/(1-Table1[[#This Row],[Duty Cycle BOOST Leg]]))*SQRT(Table1[[#This Row],[Iout]]^2+(Table1[[#This Row],[Ripple Current pk-pk]]^2)/12))</f>
        <v>1.3540827155932484</v>
      </c>
      <c r="AB144" s="354">
        <f>RCoutEsr*Table1[[#This Row],[Irms Cout]]^2</f>
        <v>9.1677000033419317E-3</v>
      </c>
      <c r="AC144" s="354">
        <f>Table1[[#This Row],[Cout ESR Loss]]</f>
        <v>9.1677000033419317E-3</v>
      </c>
      <c r="AD144" s="354">
        <f>IF(Table1[[#This Row],[Vin]]&gt;Vout, SQRT(Table1[[#This Row],[Duty Cycle BUCK Leg]]*(1-Table1[[#This Row],[Duty Cycle BUCK Leg]]))*SQRT(Table1[[#This Row],[Iout]]^2+(Table1[[#This Row],[Ripple Current pk-pk]]^2)/12), Table1[[#This Row],[Ripple Current pk-pk]]/SQRT(12))</f>
        <v>6.0380765331155972</v>
      </c>
      <c r="AE144" s="354">
        <f>RCinEsr*Table1[[#This Row],[Irms Cin]]^2</f>
        <v>7.2916736439522539E-2</v>
      </c>
      <c r="AF144" s="549">
        <f>Table1[[#This Row],[Cin ESR Loss]]</f>
        <v>7.2916736439522539E-2</v>
      </c>
      <c r="AG14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8.5420277824822168</v>
      </c>
      <c r="AH144" s="354">
        <f>Rdson1*Table1[[#This Row],[Irms BuCtrl]]^2</f>
        <v>0.3064582022741319</v>
      </c>
      <c r="AI144" s="354">
        <f>CHOOSE(Table1[[#This Row],[Mode Digit]], (Table1[[#This Row],[Vin]]*Table1[[#This Row],[Iout]]/2)*(Fsw)*(Tr_buck+Tf_buck), 0, (Table1[[#This Row],[Vin]]*Table1[[#This Row],[Avg IL]]/2)*(Fsw/1)*(Tr_buck+Tf_buck))</f>
        <v>3.5044440775914336</v>
      </c>
      <c r="AJ144">
        <f>IF(Table1[[#This Row],[Vin]]&gt;Vout, IF(Table1[[#This Row],[Iout]]&gt;Table1[[#This Row],[Ripple Current pk-pk]]/2,0,ABS(Table1[[#This Row],[Iout]]-Table1[[#This Row],[Ripple Current pk-pk]]/2)*Vsd_Q1*Deadtime*Fsw),0)</f>
        <v>0</v>
      </c>
      <c r="AK144" s="354">
        <f>(Table1[[#This Row],[Dead Time Loss BuCtrl]]+Table1[[#This Row],[Transition Loss BuCtrl]]+Table1[[#This Row],[RDS(on) Loss BuCtrl]]*(1+RdsonTopTc*Ta-RdsonTopTc*25))/(1-Table1[[#This Row],[RDS(on) Loss BuCtrl]]*RdsonTopTc*ThetaJA_Q1)</f>
        <v>4.1134461120194015</v>
      </c>
      <c r="AL144" s="354">
        <f>CHOOSE(Table1[[#This Row],[Mode Digit]],SQRT((Fsw*(Table1[[#This Row],[t2_Ph_I]]+0))*((Table1[[#This Row],[I_0]]*Table1[[#This Row],[I_1]]+((Table1[[#This Row],[I_0]]-Table1[[#This Row],[I_1]])^2)/3))),0,SQRT((Fsw*(Table1[[#This Row],[t3_Ph_III]]+0))*((Table1[[#This Row],[I_0]]*Table1[[#This Row],[I_2]]+((Table1[[#This Row],[I_0]]-Table1[[#This Row],[I_2]])^2)/3))))</f>
        <v>8.5362346127534678</v>
      </c>
      <c r="AM144" s="354">
        <f>Rdson2*Table1[[#This Row],[Irms BuSync]]^2</f>
        <v>0.3060426657286755</v>
      </c>
      <c r="AN14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4" s="354">
        <f>(Table1[[#This Row],[Deadtime Loss BuSync]]+Table1[[#This Row],[RDS(on) Loss BuSync]]*(1+RdsonBotTc*Ta-RdsonBotTc*25))/(1-Table1[[#This Row],[RDS(on) Loss BuSync]]*RdsonBotTc*ThetaJA_Q2)</f>
        <v>0.95344484691838527</v>
      </c>
      <c r="AP144" s="354">
        <f>CHOOSE(Table1[[#This Row],[Mode Digit]],0,SQRT((Fsw*(Table1[[#This Row],[t1_Ph_II]]+0))*((Table1[[#This Row],[I_0]]*Table1[[#This Row],[I_1]]+((Table1[[#This Row],[I_0]]-Table1[[#This Row],[I_1]])^2)/3))),SQRT((Fsw*(Table1[[#This Row],[t2_Ph_I]]+0))*((Table1[[#This Row],[I_1]]*Table1[[#This Row],[I_2]]+((Table1[[#This Row],[I_1]]-Table1[[#This Row],[I_2]])^2)/3))))</f>
        <v>0</v>
      </c>
      <c r="AQ144" s="354">
        <f>Rdson4*Table1[[#This Row],[Irms BoCtlr]]^2</f>
        <v>0</v>
      </c>
      <c r="AR144" s="354">
        <f>CHOOSE(Table1[[#This Row],[Mode Digit]], 0, (Vout*Table1[[#This Row],[Iin]]/2)*(Fsw)*(Tr_boost+Tf_boost), (Vout*Iout/2)*(Fsw/1)*(Tr_boost+Tf_boost))</f>
        <v>0</v>
      </c>
      <c r="AS144">
        <f>IF(Table1[[#This Row],[Vin]]&gt;Vout, 0, IF(Table1[[#This Row],[Iin]]&gt;Table1[[#This Row],[Ripple Current pk-pk]]/2,0,ABS(Table1[[#This Row],[Iin]]-Table1[[#This Row],[Ripple Current pk-pk]]/2)*Vsd_Q4*Deadtime*Fsw))</f>
        <v>0</v>
      </c>
      <c r="AT144" s="354">
        <f>(Table1[[#This Row],[Dead Time Loss BoCtlr]]+Table1[[#This Row],[Transition Loss BoCtlr]]+Table1[[#This Row],[RDS(on) Loss BoCtlr]]*(1+RdsonTopTc*Ta-RdsonTopTc*25))/(1-Table1[[#This Row],[RDS(on) Loss BoCtlr]]*RdsonTopTc*ThetaJA_Q4)</f>
        <v>0</v>
      </c>
      <c r="AU14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12.076155845328778</v>
      </c>
      <c r="AV144" s="354">
        <f>Rdson3*Table1[[#This Row],[Irms BoSync]]^2</f>
        <v>0.61250086800280734</v>
      </c>
      <c r="AW14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4" s="354">
        <f>(Table1[[#This Row],[Deadtime Loss BoSync]]+Table1[[#This Row],[RDS(on) Loss BoSync]]*(1+RdsonBotTc*Ta-RdsonBotTc*25))/(1-Table1[[#This Row],[RDS(on) Loss BoSync]]*RdsonBotTc*ThetaJA_Q3)</f>
        <v>0.71805512026791762</v>
      </c>
      <c r="AY144" s="354">
        <f>CHOOSE(Table1[[#This Row],[Mode Digit]], Rdson3*Table1[[#This Row],[Irms Lf]]^2, Rdson1*Table1[[#This Row],[Irms Lf]]^2, 0)</f>
        <v>0.61250086800280734</v>
      </c>
      <c r="AZ144" s="354">
        <f>CHOOSE(Table1[[#This Row],[Mode Digit]], 2*Deadtime*Fsw*IF(VfdSky_Q2&gt;0,VfdSky_Q2,0)*Table1[[#This Row],[Iout]], 2*Deadtime*Fsw*IF(VfdSky_Q3&gt;0,VfdSky_Q3,0)*Table1[[#This Row],[Iin]], 2*Deadtime*Fsw*IF(VfdSky_Q2&gt;0,VfdSky_Q2,0)*Table1[[#This Row],[Iout]]+2*Deadtime*Fsw*IF(VfdSky_Q3&gt;0,VfdSky_Q3,0)*Table1[[#This Row],[Iin]])</f>
        <v>0</v>
      </c>
      <c r="BA144" s="354">
        <f>CHOOSE(Table1[[#This Row],[Mode Digit]], IF(QrrSky_Q2&gt;0,QrrSky_Q2,Qrr_Q2)*Fsw*(Table1[[#This Row],[Vin]]-Table1[[#This Row],[Iout]]*Rdson1),0,  IF(QrrSky_Q2&gt;0,QrrSky_Q2,Qrr_Q2)*Fsw*(Table1[[#This Row],[Vin]]-Table1[[#This Row],[Iout]]*Rdson1)+IF(QrrSky_Q3&gt;0,QrrSky_Q3,Qrr_Q3)*Fsw*Vout)</f>
        <v>0.35279520000000003</v>
      </c>
      <c r="BB144" s="354">
        <f>CHOOSE(Table1[[#This Row],[Mode Digit]],0, IF(QrrSky_Q3&gt;0,QrrSky_Q3,Qrr_Q3)*Fsw*Vout,  IF(QrrSky_Q2&gt;0,QrrSky_Q2,Qrr_Q2)*Fsw*(Table1[[#This Row],[Vin]]-Table1[[#This Row],[Iout]]*Rdson1)+IF(QrrSky_Q3&gt;0,QrrSky_Q3,Qrr_Q3)*Fsw*Vout)</f>
        <v>0</v>
      </c>
      <c r="BC144" s="354">
        <f>CHOOSE(Table1[[#This Row],[Mode Digit]], Rs*Table1[[#This Row],[Irms BuSync]]^2, Rs*Table1[[#This Row],[Irms BoCtlr]]^2, Rs*(Table1[[#This Row],[Irms BuSync]]^2+Table1[[#This Row],[Irms BoCtlr]]^2))</f>
        <v>0.18216825340992585</v>
      </c>
      <c r="BD144" s="354">
        <f t="shared" si="8"/>
        <v>1.44</v>
      </c>
      <c r="BE144" s="354">
        <f>IF(Vout&gt;8, Iq*Vout, Iq*Table1[[#This Row],[Vin]])</f>
        <v>4.3799999999999999E-2</v>
      </c>
      <c r="BF144" s="354">
        <f>CHOOSE(Table1[[#This Row],[Mode Digit]], (Qg_Q1+Qg_Q2)*Fsw, (Qg_Q3+Qg_Q4)*Fsw, (Qg_Q1+Qg_Q2+Qg_Q3+Qg_Q4)*Fsw)*IF(Vout&gt;8, Vout, Table1[[#This Row],[Vin]])</f>
        <v>0.47303999999999996</v>
      </c>
      <c r="BG144" s="354">
        <f t="shared" si="9"/>
        <v>0.57269042016806726</v>
      </c>
      <c r="BH144" s="354">
        <f>Table1[[#This Row],[IQ Loss]]+Table1[[#This Row],[Switching Current Loss]]</f>
        <v>0.51683999999999997</v>
      </c>
      <c r="BI14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10.397504622167094</v>
      </c>
      <c r="BJ144">
        <f>Vout*Table1[[#This Row],[Iout]]</f>
        <v>175.2</v>
      </c>
      <c r="BK144" s="550">
        <f>Table1[[#This Row],[Pout]]/(Table1[[#This Row],[Pout]]+Table1[[#This Row],[Total Loss]])</f>
        <v>0.94397820895634355</v>
      </c>
      <c r="BL14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246.80676672116408</v>
      </c>
      <c r="BM144" s="559">
        <f>IF(Table1[[#This Row],[Vin]]&gt;Vout, Table1[[#This Row],[Total Sync Bu MOSFET Loss]]*ThetaJA_Q2, ThetaJA_Q3*Table1[[#This Row],[Total Sync Bo MOSFET Loss]])</f>
        <v>57.206690815103116</v>
      </c>
      <c r="BN144" s="9"/>
      <c r="BO144" s="4">
        <f>Table1[[#This Row],[EFF, h]]*100</f>
        <v>94.397820895634354</v>
      </c>
      <c r="BP144" s="354">
        <f>Table1[[#This Row],[Total Inductor Loss]]</f>
        <v>2.038670653108599</v>
      </c>
      <c r="BQ144" s="354">
        <f>Table1[[#This Row],[Total Control Bu MOSFET Loss]]+Table1[[#This Row],[Total Sync Bu MOSFET Loss]]+Table1[[#This Row],[Total Control Bo MOSFET Loss]]+Table1[[#This Row],[Total Sync Bo MOSFET Loss]]+Table1[[#This Row],[Reverse Recovery Loss MOSFET D BUCK]]+Table1[[#This Row],[Reverse Recovery Loss MOSFET D BOOST]]</f>
        <v>6.1377412792057049</v>
      </c>
      <c r="BR144" s="354">
        <f>Table1[[#This Row],[Total Control Bu MOSFET Loss]]+Table1[[#This Row],[Reverse Recovery Loss MOSFET D BUCK]]*0.66</f>
        <v>4.3462909440194011</v>
      </c>
      <c r="BS144" s="354">
        <f>Table1[[#This Row],[Total Sync Bu MOSFET Loss]]+Table1[[#This Row],[Reverse Recovery Loss MOSFET D BUCK]]*0.33</f>
        <v>1.0698672629183852</v>
      </c>
      <c r="BT144" s="354">
        <f xml:space="preserve"> Table1[[#This Row],[Total Control Bo MOSFET Loss]]+Table1[[#This Row],[Reverse Recovery Loss MOSFET D BOOST]]*0.66</f>
        <v>0</v>
      </c>
      <c r="BU144" s="354">
        <f xml:space="preserve"> Table1[[#This Row],[Total Sync Bo MOSFET Loss]]+Table1[[#This Row],[Reverse Recovery Loss MOSFET D BOOST]]*0.33</f>
        <v>0.71805512026791762</v>
      </c>
      <c r="BV144" s="354">
        <f>Table1[[#This Row],[Isense Shunt Loss]]</f>
        <v>0.18216825340992585</v>
      </c>
    </row>
    <row r="145" spans="7:74" x14ac:dyDescent="0.2">
      <c r="G145">
        <v>136</v>
      </c>
      <c r="H145" s="555">
        <f>VIN_min+(VIN_max-VIN_min)*(Table1[[#This Row],[Step]]/200)</f>
        <v>29.520000000000003</v>
      </c>
      <c r="I145" s="4" t="str">
        <f>IF(Mode = 2,IF(Table1[[#This Row],[Vin]]&gt;Vout, "BUCK","BOOST"),IF(Table1[[#This Row],[Vin]]&gt;VIN_BB_to_buck, "BUCK", IF(Table1[[#This Row],[Vin]]&lt;=VIN_boost_to_BB,"BOOST","BUCK-BST")))</f>
        <v>BUCK</v>
      </c>
      <c r="J145">
        <f>IF(Table1[[#This Row],[Mode]]="BOOST",2, IF(Table1[[#This Row],[Mode]]="BUCK", 1,3))</f>
        <v>1</v>
      </c>
      <c r="K145">
        <f t="shared" si="7"/>
        <v>12</v>
      </c>
      <c r="L145" s="4">
        <f>Vout*Table1[[#This Row],[Iout]]/(Table1[[#This Row],[Vin]]*Efficiency)</f>
        <v>6.2473256311510479</v>
      </c>
      <c r="M145" s="711">
        <f>MIN(1/Fsw,CHOOSE(Table1[[#This Row],[Mode Digit]],(Vout+(Rdson2+Rs+Rdcr)*Table1[[#This Row],[Iout]])/(Table1[[#This Row],[Vin]]+(Rs+Rdson2-Rdson1)*Table1[[#This Row],[Iout]])/Fsw,(Vout+(Rdson3+Rdcr)*Table1[[#This Row],[Iin]]-Table1[[#This Row],[Vin]])/(Vout+(Rdson3-Rdson4-Rs)*Table1[[#This Row],[Iin]])/Fsw,t1_Ph_II))</f>
        <v>8.3192329385222773E-7</v>
      </c>
      <c r="N145" s="602">
        <f>CHOOSE(Table1[[#This Row],[Mode Digit]],1/Fsw-Table1[[#This Row],[t1_Ph_II]],1/Fsw-Table1[[#This Row],[t1_Ph_II]],(Vout/Fsw-Table1[[#This Row],[Vin]]*t1_Ph_II)/(Table1[[#This Row],[Vin]]+Vout))</f>
        <v>8.3474337281443893E-7</v>
      </c>
      <c r="O145" s="602">
        <f>1/Fsw-(Table1[[#This Row],[t1_Ph_II]]+Table1[[#This Row],[t2_Ph_I]])</f>
        <v>0</v>
      </c>
      <c r="P14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9.6491864499478712</v>
      </c>
      <c r="Q145" s="4">
        <f>CHOOSE(Table1[[#This Row],[Mode Digit]],Table1[[#This Row],[I_0]]+1/Lf*(Table1[[#This Row],[Vin]]-Vout)*Table1[[#This Row],[t1_Ph_II]],Table1[[#This Row],[I_0]]+1/Lf*Table1[[#This Row],[Vin]]*Table1[[#This Row],[t1_Ph_II]],Table1[[#This Row],[I_0]]+(Table1[[#This Row],[Vin]]-Vout)/L*Table1[[#This Row],[t1_Ph_II]])</f>
        <v>14.350813550052131</v>
      </c>
      <c r="R145" s="4">
        <f>CHOOSE(Table1[[#This Row],[Mode Digit]],0,0,Table1[[#This Row],[I_1]]+Table1[[#This Row],[Vin]]/L*Table1[[#This Row],[t2_Ph_I]])</f>
        <v>0</v>
      </c>
      <c r="S145" s="4">
        <f>Fsw*(Table1[[#This Row],[I_0]]*Table1[[#This Row],[t1_Ph_II]]+Table1[[#This Row],[I_1]]*Table1[[#This Row],[t2_Ph_I]]+Table1[[#This Row],[I_2]]*Table1[[#This Row],[t3_Ph_III]])</f>
        <v>12.00397768790195</v>
      </c>
      <c r="T145" s="354">
        <f>MIN(1,CHOOSE(Table1[[#This Row],[Mode Digit]],(Vout+(Rdson2+Rs+Rdcr)*Table1[[#This Row],[Iout]])/(Table1[[#This Row],[Vin]]+(Rs+Rdson2-Rdson1)*Table1[[#This Row],[Iout]]),1,Fsw*Table1[[#This Row],[t2_Ph_I]]+Table1[[#This Row],[t1_Ph_II]]))</f>
        <v>0.49915397631133662</v>
      </c>
      <c r="U145" s="354">
        <f>MIN(1,CHOOSE(Table1[[#This Row],[Mode Digit]],0,(Vout+(Rdson3+Rdcr)*Table1[[#This Row],[Iin]]-Table1[[#This Row],[Vin]])/(Vout+(Rdson3-Rdson4-Rs)*Table1[[#This Row],[Iin]]),Fsw*Table1[[#This Row],[t1_Ph_II]]+Table1[[#This Row],[t3_Ph_III]]))</f>
        <v>0</v>
      </c>
      <c r="V145" s="4">
        <f>MAX(Table1[[#This Row],[I_0]:[I_2]])-MIN(Table1[[#This Row],[I_0]:[I_1]])</f>
        <v>4.7016271001042593</v>
      </c>
      <c r="W14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12.076510593532509</v>
      </c>
      <c r="X145" s="354">
        <f>(Table1[[#This Row],[Irms Lf]]^2*Rdcr*(1+Ltc*Ta-Ltc*25))/(1-Table1[[#This Row],[Irms Lf]]^2*Rdcr*Ltc*ThetaCa)</f>
        <v>0.9072805731816671</v>
      </c>
      <c r="Y145" s="354">
        <f>ABS(7.759*10^-3*Fsw^0.9458*(0.00787*Table1[[#This Row],[Ripple Current pk-pk]])^2.304)</f>
        <v>1.1375403139467981</v>
      </c>
      <c r="Z145" s="354">
        <f>Table1[[#This Row],[DCR    Loss]]+Table1[[#This Row],[Core Loss]]</f>
        <v>2.0448208871284654</v>
      </c>
      <c r="AA145" s="4">
        <f>IF(Table1[[#This Row],[Vin]]&gt;Vout, Table1[[#This Row],[Ripple Current pk-pk]]/SQRT(12), SQRT(Table1[[#This Row],[Duty Cycle BOOST Leg]]/(1-Table1[[#This Row],[Duty Cycle BOOST Leg]]))*SQRT(Table1[[#This Row],[Iout]]^2+(Table1[[#This Row],[Ripple Current pk-pk]]^2)/12))</f>
        <v>1.3572428359372168</v>
      </c>
      <c r="AB145" s="354">
        <f>RCoutEsr*Table1[[#This Row],[Irms Cout]]^2</f>
        <v>9.2105405785144947E-3</v>
      </c>
      <c r="AC145" s="354">
        <f>Table1[[#This Row],[Cout ESR Loss]]</f>
        <v>9.2105405785144947E-3</v>
      </c>
      <c r="AD145" s="354">
        <f>IF(Table1[[#This Row],[Vin]]&gt;Vout, SQRT(Table1[[#This Row],[Duty Cycle BUCK Leg]]*(1-Table1[[#This Row],[Duty Cycle BUCK Leg]]))*SQRT(Table1[[#This Row],[Iout]]^2+(Table1[[#This Row],[Ripple Current pk-pk]]^2)/12), Table1[[#This Row],[Ripple Current pk-pk]]/SQRT(12))</f>
        <v>6.0382466529241636</v>
      </c>
      <c r="AE145" s="354">
        <f>RCinEsr*Table1[[#This Row],[Irms Cin]]^2</f>
        <v>7.2920845283099722E-2</v>
      </c>
      <c r="AF145" s="549">
        <f>Table1[[#This Row],[Cin ESR Loss]]</f>
        <v>7.2920845283099722E-2</v>
      </c>
      <c r="AG14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8.5321549552021718</v>
      </c>
      <c r="AH145" s="354">
        <f>Rdson1*Table1[[#This Row],[Irms BuCtrl]]^2</f>
        <v>0.30575020635424016</v>
      </c>
      <c r="AI145" s="354">
        <f>CHOOSE(Table1[[#This Row],[Mode Digit]], (Table1[[#This Row],[Vin]]*Table1[[#This Row],[Iout]]/2)*(Fsw)*(Tr_buck+Tf_buck), 0, (Table1[[#This Row],[Vin]]*Table1[[#This Row],[Avg IL]]/2)*(Fsw/1)*(Tr_buck+Tf_buck))</f>
        <v>3.5127738258233991</v>
      </c>
      <c r="AJ145">
        <f>IF(Table1[[#This Row],[Vin]]&gt;Vout, IF(Table1[[#This Row],[Iout]]&gt;Table1[[#This Row],[Ripple Current pk-pk]]/2,0,ABS(Table1[[#This Row],[Iout]]-Table1[[#This Row],[Ripple Current pk-pk]]/2)*Vsd_Q1*Deadtime*Fsw),0)</f>
        <v>0</v>
      </c>
      <c r="AK145" s="354">
        <f>(Table1[[#This Row],[Dead Time Loss BuCtrl]]+Table1[[#This Row],[Transition Loss BuCtrl]]+Table1[[#This Row],[RDS(on) Loss BuCtrl]]*(1+RdsonTopTc*Ta-RdsonTopTc*25))/(1-Table1[[#This Row],[RDS(on) Loss BuCtrl]]*RdsonTopTc*ThetaJA_Q1)</f>
        <v>4.1209171356825163</v>
      </c>
      <c r="AL145" s="354">
        <f>CHOOSE(Table1[[#This Row],[Mode Digit]],SQRT((Fsw*(Table1[[#This Row],[t2_Ph_I]]+0))*((Table1[[#This Row],[I_0]]*Table1[[#This Row],[I_1]]+((Table1[[#This Row],[I_0]]-Table1[[#This Row],[I_1]])^2)/3))),0,SQRT((Fsw*(Table1[[#This Row],[t3_Ph_III]]+0))*((Table1[[#This Row],[I_0]]*Table1[[#This Row],[I_2]]+((Table1[[#This Row],[I_0]]-Table1[[#This Row],[I_2]])^2)/3))))</f>
        <v>8.5466040001934083</v>
      </c>
      <c r="AM145" s="354">
        <f>Rdson2*Table1[[#This Row],[Irms BuSync]]^2</f>
        <v>0.30678664773171227</v>
      </c>
      <c r="AN14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5" s="354">
        <f>(Table1[[#This Row],[Deadtime Loss BuSync]]+Table1[[#This Row],[RDS(on) Loss BuSync]]*(1+RdsonBotTc*Ta-RdsonBotTc*25))/(1-Table1[[#This Row],[RDS(on) Loss BuSync]]*RdsonBotTc*ThetaJA_Q2)</f>
        <v>0.95443173531931014</v>
      </c>
      <c r="AP145" s="354">
        <f>CHOOSE(Table1[[#This Row],[Mode Digit]],0,SQRT((Fsw*(Table1[[#This Row],[t1_Ph_II]]+0))*((Table1[[#This Row],[I_0]]*Table1[[#This Row],[I_1]]+((Table1[[#This Row],[I_0]]-Table1[[#This Row],[I_1]])^2)/3))),SQRT((Fsw*(Table1[[#This Row],[t2_Ph_I]]+0))*((Table1[[#This Row],[I_1]]*Table1[[#This Row],[I_2]]+((Table1[[#This Row],[I_1]]-Table1[[#This Row],[I_2]])^2)/3))))</f>
        <v>0</v>
      </c>
      <c r="AQ145" s="354">
        <f>Rdson4*Table1[[#This Row],[Irms BoCtlr]]^2</f>
        <v>0</v>
      </c>
      <c r="AR145" s="354">
        <f>CHOOSE(Table1[[#This Row],[Mode Digit]], 0, (Vout*Table1[[#This Row],[Iin]]/2)*(Fsw)*(Tr_boost+Tf_boost), (Vout*Iout/2)*(Fsw/1)*(Tr_boost+Tf_boost))</f>
        <v>0</v>
      </c>
      <c r="AS145">
        <f>IF(Table1[[#This Row],[Vin]]&gt;Vout, 0, IF(Table1[[#This Row],[Iin]]&gt;Table1[[#This Row],[Ripple Current pk-pk]]/2,0,ABS(Table1[[#This Row],[Iin]]-Table1[[#This Row],[Ripple Current pk-pk]]/2)*Vsd_Q4*Deadtime*Fsw))</f>
        <v>0</v>
      </c>
      <c r="AT145" s="354">
        <f>(Table1[[#This Row],[Dead Time Loss BoCtlr]]+Table1[[#This Row],[Transition Loss BoCtlr]]+Table1[[#This Row],[RDS(on) Loss BoCtlr]]*(1+RdsonTopTc*Ta-RdsonTopTc*25))/(1-Table1[[#This Row],[RDS(on) Loss BoCtlr]]*RdsonTopTc*ThetaJA_Q4)</f>
        <v>0</v>
      </c>
      <c r="AU14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12.076510593532509</v>
      </c>
      <c r="AV145" s="354">
        <f>Rdson3*Table1[[#This Row],[Irms BoSync]]^2</f>
        <v>0.61253685408595238</v>
      </c>
      <c r="AW14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5" s="354">
        <f>(Table1[[#This Row],[Deadtime Loss BoSync]]+Table1[[#This Row],[RDS(on) Loss BoSync]]*(1+RdsonBotTc*Ta-RdsonBotTc*25))/(1-Table1[[#This Row],[RDS(on) Loss BoSync]]*RdsonBotTc*ThetaJA_Q3)</f>
        <v>0.71810457878902823</v>
      </c>
      <c r="AY145" s="354">
        <f>CHOOSE(Table1[[#This Row],[Mode Digit]], Rdson3*Table1[[#This Row],[Irms Lf]]^2, Rdson1*Table1[[#This Row],[Irms Lf]]^2, 0)</f>
        <v>0.61253685408595238</v>
      </c>
      <c r="AZ145" s="354">
        <f>CHOOSE(Table1[[#This Row],[Mode Digit]], 2*Deadtime*Fsw*IF(VfdSky_Q2&gt;0,VfdSky_Q2,0)*Table1[[#This Row],[Iout]], 2*Deadtime*Fsw*IF(VfdSky_Q3&gt;0,VfdSky_Q3,0)*Table1[[#This Row],[Iin]], 2*Deadtime*Fsw*IF(VfdSky_Q2&gt;0,VfdSky_Q2,0)*Table1[[#This Row],[Iout]]+2*Deadtime*Fsw*IF(VfdSky_Q3&gt;0,VfdSky_Q3,0)*Table1[[#This Row],[Iin]])</f>
        <v>0</v>
      </c>
      <c r="BA145" s="354">
        <f>CHOOSE(Table1[[#This Row],[Mode Digit]], IF(QrrSky_Q2&gt;0,QrrSky_Q2,Qrr_Q2)*Fsw*(Table1[[#This Row],[Vin]]-Table1[[#This Row],[Iout]]*Rdson1),0,  IF(QrrSky_Q2&gt;0,QrrSky_Q2,Qrr_Q2)*Fsw*(Table1[[#This Row],[Vin]]-Table1[[#This Row],[Iout]]*Rdson1)+IF(QrrSky_Q3&gt;0,QrrSky_Q3,Qrr_Q3)*Fsw*Vout)</f>
        <v>0.35363520000000004</v>
      </c>
      <c r="BB145" s="354">
        <f>CHOOSE(Table1[[#This Row],[Mode Digit]],0, IF(QrrSky_Q3&gt;0,QrrSky_Q3,Qrr_Q3)*Fsw*Vout,  IF(QrrSky_Q2&gt;0,QrrSky_Q2,Qrr_Q2)*Fsw*(Table1[[#This Row],[Vin]]-Table1[[#This Row],[Iout]]*Rdson1)+IF(QrrSky_Q3&gt;0,QrrSky_Q3,Qrr_Q3)*Fsw*Vout)</f>
        <v>0</v>
      </c>
      <c r="BC145" s="354">
        <f>CHOOSE(Table1[[#This Row],[Mode Digit]], Rs*Table1[[#This Row],[Irms BuSync]]^2, Rs*Table1[[#This Row],[Irms BoCtlr]]^2, Rs*(Table1[[#This Row],[Irms BuSync]]^2+Table1[[#This Row],[Irms BoCtlr]]^2))</f>
        <v>0.18261109984030491</v>
      </c>
      <c r="BD145" s="354">
        <f t="shared" si="8"/>
        <v>1.44</v>
      </c>
      <c r="BE145" s="354">
        <f>IF(Vout&gt;8, Iq*Vout, Iq*Table1[[#This Row],[Vin]])</f>
        <v>4.3799999999999999E-2</v>
      </c>
      <c r="BF145" s="354">
        <f>CHOOSE(Table1[[#This Row],[Mode Digit]], (Qg_Q1+Qg_Q2)*Fsw, (Qg_Q3+Qg_Q4)*Fsw, (Qg_Q1+Qg_Q2+Qg_Q3+Qg_Q4)*Fsw)*IF(Vout&gt;8, Vout, Table1[[#This Row],[Vin]])</f>
        <v>0.47303999999999996</v>
      </c>
      <c r="BG145" s="354">
        <f t="shared" si="9"/>
        <v>0.57269042016806726</v>
      </c>
      <c r="BH145" s="354">
        <f>Table1[[#This Row],[IQ Loss]]+Table1[[#This Row],[Switching Current Loss]]</f>
        <v>0.51683999999999997</v>
      </c>
      <c r="BI14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10.413492022621238</v>
      </c>
      <c r="BJ145">
        <f>Vout*Table1[[#This Row],[Iout]]</f>
        <v>175.2</v>
      </c>
      <c r="BK145" s="550">
        <f>Table1[[#This Row],[Pout]]/(Table1[[#This Row],[Pout]]+Table1[[#This Row],[Total Loss]])</f>
        <v>0.94389690151752492</v>
      </c>
      <c r="BL14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247.25502814095097</v>
      </c>
      <c r="BM145" s="559">
        <f>IF(Table1[[#This Row],[Vin]]&gt;Vout, Table1[[#This Row],[Total Sync Bu MOSFET Loss]]*ThetaJA_Q2, ThetaJA_Q3*Table1[[#This Row],[Total Sync Bo MOSFET Loss]])</f>
        <v>57.265904119158606</v>
      </c>
      <c r="BN145" s="9"/>
      <c r="BO145" s="4">
        <f>Table1[[#This Row],[EFF, h]]*100</f>
        <v>94.38969015175249</v>
      </c>
      <c r="BP145" s="354">
        <f>Table1[[#This Row],[Total Inductor Loss]]</f>
        <v>2.0448208871284654</v>
      </c>
      <c r="BQ145" s="354">
        <f>Table1[[#This Row],[Total Control Bu MOSFET Loss]]+Table1[[#This Row],[Total Sync Bu MOSFET Loss]]+Table1[[#This Row],[Total Control Bo MOSFET Loss]]+Table1[[#This Row],[Total Sync Bo MOSFET Loss]]+Table1[[#This Row],[Reverse Recovery Loss MOSFET D BUCK]]+Table1[[#This Row],[Reverse Recovery Loss MOSFET D BOOST]]</f>
        <v>6.147088649790855</v>
      </c>
      <c r="BR145" s="354">
        <f>Table1[[#This Row],[Total Control Bu MOSFET Loss]]+Table1[[#This Row],[Reverse Recovery Loss MOSFET D BUCK]]*0.66</f>
        <v>4.3543163676825163</v>
      </c>
      <c r="BS145" s="354">
        <f>Table1[[#This Row],[Total Sync Bu MOSFET Loss]]+Table1[[#This Row],[Reverse Recovery Loss MOSFET D BUCK]]*0.33</f>
        <v>1.0711313513193101</v>
      </c>
      <c r="BT145" s="354">
        <f xml:space="preserve"> Table1[[#This Row],[Total Control Bo MOSFET Loss]]+Table1[[#This Row],[Reverse Recovery Loss MOSFET D BOOST]]*0.66</f>
        <v>0</v>
      </c>
      <c r="BU145" s="354">
        <f xml:space="preserve"> Table1[[#This Row],[Total Sync Bo MOSFET Loss]]+Table1[[#This Row],[Reverse Recovery Loss MOSFET D BOOST]]*0.33</f>
        <v>0.71810457878902823</v>
      </c>
      <c r="BV145" s="354">
        <f>Table1[[#This Row],[Isense Shunt Loss]]</f>
        <v>0.18261109984030491</v>
      </c>
    </row>
    <row r="146" spans="7:74" x14ac:dyDescent="0.2">
      <c r="G146">
        <v>137</v>
      </c>
      <c r="H146" s="555">
        <f>VIN_min+(VIN_max-VIN_min)*(Table1[[#This Row],[Step]]/200)</f>
        <v>29.59</v>
      </c>
      <c r="I146" s="4" t="str">
        <f>IF(Mode = 2,IF(Table1[[#This Row],[Vin]]&gt;Vout, "BUCK","BOOST"),IF(Table1[[#This Row],[Vin]]&gt;VIN_BB_to_buck, "BUCK", IF(Table1[[#This Row],[Vin]]&lt;=VIN_boost_to_BB,"BOOST","BUCK-BST")))</f>
        <v>BUCK</v>
      </c>
      <c r="J146">
        <f>IF(Table1[[#This Row],[Mode]]="BOOST",2, IF(Table1[[#This Row],[Mode]]="BUCK", 1,3))</f>
        <v>1</v>
      </c>
      <c r="K146">
        <f t="shared" si="7"/>
        <v>12</v>
      </c>
      <c r="L146" s="4">
        <f>Vout*Table1[[#This Row],[Iout]]/(Table1[[#This Row],[Vin]]*Efficiency)</f>
        <v>6.2325465573362271</v>
      </c>
      <c r="M146" s="711">
        <f>MIN(1/Fsw,CHOOSE(Table1[[#This Row],[Mode Digit]],(Vout+(Rdson2+Rs+Rdcr)*Table1[[#This Row],[Iout]])/(Table1[[#This Row],[Vin]]+(Rs+Rdson2-Rdson1)*Table1[[#This Row],[Iout]])/Fsw,(Vout+(Rdson3+Rdcr)*Table1[[#This Row],[Iin]]-Table1[[#This Row],[Vin]])/(Vout+(Rdson3-Rdson4-Rs)*Table1[[#This Row],[Iin]])/Fsw,t1_Ph_II))</f>
        <v>8.2995723610173308E-7</v>
      </c>
      <c r="N146" s="602">
        <f>CHOOSE(Table1[[#This Row],[Mode Digit]],1/Fsw-Table1[[#This Row],[t1_Ph_II]],1/Fsw-Table1[[#This Row],[t1_Ph_II]],(Vout/Fsw-Table1[[#This Row],[Vin]]*t1_Ph_II)/(Table1[[#This Row],[Vin]]+Vout))</f>
        <v>8.3670943056493358E-7</v>
      </c>
      <c r="O146" s="602">
        <f>1/Fsw-(Table1[[#This Row],[t1_Ph_II]]+Table1[[#This Row],[t2_Ph_I]])</f>
        <v>0</v>
      </c>
      <c r="P14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9.6437388315975419</v>
      </c>
      <c r="Q146" s="4">
        <f>CHOOSE(Table1[[#This Row],[Mode Digit]],Table1[[#This Row],[I_0]]+1/Lf*(Table1[[#This Row],[Vin]]-Vout)*Table1[[#This Row],[t1_Ph_II]],Table1[[#This Row],[I_0]]+1/Lf*Table1[[#This Row],[Vin]]*Table1[[#This Row],[t1_Ph_II]],Table1[[#This Row],[I_0]]+(Table1[[#This Row],[Vin]]-Vout)/L*Table1[[#This Row],[t1_Ph_II]])</f>
        <v>14.356261168402458</v>
      </c>
      <c r="R146" s="4">
        <f>CHOOSE(Table1[[#This Row],[Mode Digit]],0,0,Table1[[#This Row],[I_1]]+Table1[[#This Row],[Vin]]/L*Table1[[#This Row],[t2_Ph_I]])</f>
        <v>0</v>
      </c>
      <c r="S146" s="4">
        <f>Fsw*(Table1[[#This Row],[I_0]]*Table1[[#This Row],[t1_Ph_II]]+Table1[[#This Row],[I_1]]*Table1[[#This Row],[t2_Ph_I]]+Table1[[#This Row],[I_2]]*Table1[[#This Row],[t3_Ph_III]])</f>
        <v>12.009545960169085</v>
      </c>
      <c r="T146" s="354">
        <f>MIN(1,CHOOSE(Table1[[#This Row],[Mode Digit]],(Vout+(Rdson2+Rs+Rdcr)*Table1[[#This Row],[Iout]])/(Table1[[#This Row],[Vin]]+(Rs+Rdson2-Rdson1)*Table1[[#This Row],[Iout]]),1,Fsw*Table1[[#This Row],[t2_Ph_I]]+Table1[[#This Row],[t1_Ph_II]]))</f>
        <v>0.49797434166103982</v>
      </c>
      <c r="U146" s="354">
        <f>MIN(1,CHOOSE(Table1[[#This Row],[Mode Digit]],0,(Vout+(Rdson3+Rdcr)*Table1[[#This Row],[Iin]]-Table1[[#This Row],[Vin]])/(Vout+(Rdson3-Rdson4-Rs)*Table1[[#This Row],[Iin]]),Fsw*Table1[[#This Row],[t1_Ph_II]]+Table1[[#This Row],[t3_Ph_III]]))</f>
        <v>0</v>
      </c>
      <c r="V146" s="4">
        <f>MAX(Table1[[#This Row],[I_0]:[I_2]])-MIN(Table1[[#This Row],[I_0]:[I_1]])</f>
        <v>4.7125223368049163</v>
      </c>
      <c r="W14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12.076864475706174</v>
      </c>
      <c r="X146" s="354">
        <f>(Table1[[#This Row],[Irms Lf]]^2*Rdcr*(1+Ltc*Ta-Ltc*25))/(1-Table1[[#This Row],[Irms Lf]]^2*Rdcr*Ltc*ThetaCa)</f>
        <v>0.90733760637942484</v>
      </c>
      <c r="Y146" s="354">
        <f>ABS(7.759*10^-3*Fsw^0.9458*(0.00787*Table1[[#This Row],[Ripple Current pk-pk]])^2.304)</f>
        <v>1.1436229746959488</v>
      </c>
      <c r="Z146" s="354">
        <f>Table1[[#This Row],[DCR    Loss]]+Table1[[#This Row],[Core Loss]]</f>
        <v>2.0509605810753735</v>
      </c>
      <c r="AA146" s="4">
        <f>IF(Table1[[#This Row],[Vin]]&gt;Vout, Table1[[#This Row],[Ripple Current pk-pk]]/SQRT(12), SQRT(Table1[[#This Row],[Duty Cycle BOOST Leg]]/(1-Table1[[#This Row],[Duty Cycle BOOST Leg]]))*SQRT(Table1[[#This Row],[Iout]]^2+(Table1[[#This Row],[Ripple Current pk-pk]]^2)/12))</f>
        <v>1.3603880198582214</v>
      </c>
      <c r="AB146" s="354">
        <f>RCoutEsr*Table1[[#This Row],[Irms Cout]]^2</f>
        <v>9.253277822868864E-3</v>
      </c>
      <c r="AC146" s="354">
        <f>Table1[[#This Row],[Cout ESR Loss]]</f>
        <v>9.253277822868864E-3</v>
      </c>
      <c r="AD146" s="354">
        <f>IF(Table1[[#This Row],[Vin]]&gt;Vout, SQRT(Table1[[#This Row],[Duty Cycle BUCK Leg]]*(1-Table1[[#This Row],[Duty Cycle BUCK Leg]]))*SQRT(Table1[[#This Row],[Iout]]^2+(Table1[[#This Row],[Ripple Current pk-pk]]^2)/12), Table1[[#This Row],[Ripple Current pk-pk]]/SQRT(12))</f>
        <v>6.0383826827519069</v>
      </c>
      <c r="AE146" s="354">
        <f>RCinEsr*Table1[[#This Row],[Irms Cin]]^2</f>
        <v>7.2924130846716242E-2</v>
      </c>
      <c r="AF146" s="549">
        <f>Table1[[#This Row],[Cin ESR Loss]]</f>
        <v>7.2924130846716242E-2</v>
      </c>
      <c r="AG14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8.5223168320357416</v>
      </c>
      <c r="AH146" s="354">
        <f>Rdson1*Table1[[#This Row],[Irms BuCtrl]]^2</f>
        <v>0.30504551357951887</v>
      </c>
      <c r="AI146" s="354">
        <f>CHOOSE(Table1[[#This Row],[Mode Digit]], (Table1[[#This Row],[Vin]]*Table1[[#This Row],[Iout]]/2)*(Fsw)*(Tr_buck+Tf_buck), 0, (Table1[[#This Row],[Vin]]*Table1[[#This Row],[Avg IL]]/2)*(Fsw/1)*(Tr_buck+Tf_buck))</f>
        <v>3.5211035740553651</v>
      </c>
      <c r="AJ146">
        <f>IF(Table1[[#This Row],[Vin]]&gt;Vout, IF(Table1[[#This Row],[Iout]]&gt;Table1[[#This Row],[Ripple Current pk-pk]]/2,0,ABS(Table1[[#This Row],[Iout]]-Table1[[#This Row],[Ripple Current pk-pk]]/2)*Vsd_Q1*Deadtime*Fsw),0)</f>
        <v>0</v>
      </c>
      <c r="AK146" s="354">
        <f>(Table1[[#This Row],[Dead Time Loss BuCtrl]]+Table1[[#This Row],[Transition Loss BuCtrl]]+Table1[[#This Row],[RDS(on) Loss BuCtrl]]*(1+RdsonTopTc*Ta-RdsonTopTc*25))/(1-Table1[[#This Row],[RDS(on) Loss BuCtrl]]*RdsonTopTc*ThetaJA_Q1)</f>
        <v>4.1283925152524068</v>
      </c>
      <c r="AL146" s="354">
        <f>CHOOSE(Table1[[#This Row],[Mode Digit]],SQRT((Fsw*(Table1[[#This Row],[t2_Ph_I]]+0))*((Table1[[#This Row],[I_0]]*Table1[[#This Row],[I_1]]+((Table1[[#This Row],[I_0]]-Table1[[#This Row],[I_1]])^2)/3))),0,SQRT((Fsw*(Table1[[#This Row],[t3_Ph_III]]+0))*((Table1[[#This Row],[I_0]]*Table1[[#This Row],[I_2]]+((Table1[[#This Row],[I_0]]-Table1[[#This Row],[I_2]])^2)/3))))</f>
        <v>8.5569136596657369</v>
      </c>
      <c r="AM146" s="354">
        <f>Rdson2*Table1[[#This Row],[Irms BuSync]]^2</f>
        <v>0.30752723979169116</v>
      </c>
      <c r="AN14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6" s="354">
        <f>(Table1[[#This Row],[Deadtime Loss BuSync]]+Table1[[#This Row],[RDS(on) Loss BuSync]]*(1+RdsonBotTc*Ta-RdsonBotTc*25))/(1-Table1[[#This Row],[RDS(on) Loss BuSync]]*RdsonBotTc*ThetaJA_Q2)</f>
        <v>0.9554145048944308</v>
      </c>
      <c r="AP146" s="354">
        <f>CHOOSE(Table1[[#This Row],[Mode Digit]],0,SQRT((Fsw*(Table1[[#This Row],[t1_Ph_II]]+0))*((Table1[[#This Row],[I_0]]*Table1[[#This Row],[I_1]]+((Table1[[#This Row],[I_0]]-Table1[[#This Row],[I_1]])^2)/3))),SQRT((Fsw*(Table1[[#This Row],[t2_Ph_I]]+0))*((Table1[[#This Row],[I_1]]*Table1[[#This Row],[I_2]]+((Table1[[#This Row],[I_1]]-Table1[[#This Row],[I_2]])^2)/3))))</f>
        <v>0</v>
      </c>
      <c r="AQ146" s="354">
        <f>Rdson4*Table1[[#This Row],[Irms BoCtlr]]^2</f>
        <v>0</v>
      </c>
      <c r="AR146" s="354">
        <f>CHOOSE(Table1[[#This Row],[Mode Digit]], 0, (Vout*Table1[[#This Row],[Iin]]/2)*(Fsw)*(Tr_boost+Tf_boost), (Vout*Iout/2)*(Fsw/1)*(Tr_boost+Tf_boost))</f>
        <v>0</v>
      </c>
      <c r="AS146">
        <f>IF(Table1[[#This Row],[Vin]]&gt;Vout, 0, IF(Table1[[#This Row],[Iin]]&gt;Table1[[#This Row],[Ripple Current pk-pk]]/2,0,ABS(Table1[[#This Row],[Iin]]-Table1[[#This Row],[Ripple Current pk-pk]]/2)*Vsd_Q4*Deadtime*Fsw))</f>
        <v>0</v>
      </c>
      <c r="AT146" s="354">
        <f>(Table1[[#This Row],[Dead Time Loss BoCtlr]]+Table1[[#This Row],[Transition Loss BoCtlr]]+Table1[[#This Row],[RDS(on) Loss BoCtlr]]*(1+RdsonTopTc*Ta-RdsonTopTc*25))/(1-Table1[[#This Row],[RDS(on) Loss BoCtlr]]*RdsonTopTc*ThetaJA_Q4)</f>
        <v>0</v>
      </c>
      <c r="AU14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12.076864475706174</v>
      </c>
      <c r="AV146" s="354">
        <f>Rdson3*Table1[[#This Row],[Irms BoSync]]^2</f>
        <v>0.61257275337120976</v>
      </c>
      <c r="AW14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6" s="354">
        <f>(Table1[[#This Row],[Deadtime Loss BoSync]]+Table1[[#This Row],[RDS(on) Loss BoSync]]*(1+RdsonBotTc*Ta-RdsonBotTc*25))/(1-Table1[[#This Row],[RDS(on) Loss BoSync]]*RdsonBotTc*ThetaJA_Q3)</f>
        <v>0.71815391901487358</v>
      </c>
      <c r="AY146" s="354">
        <f>CHOOSE(Table1[[#This Row],[Mode Digit]], Rdson3*Table1[[#This Row],[Irms Lf]]^2, Rdson1*Table1[[#This Row],[Irms Lf]]^2, 0)</f>
        <v>0.61257275337120976</v>
      </c>
      <c r="AZ146" s="354">
        <f>CHOOSE(Table1[[#This Row],[Mode Digit]], 2*Deadtime*Fsw*IF(VfdSky_Q2&gt;0,VfdSky_Q2,0)*Table1[[#This Row],[Iout]], 2*Deadtime*Fsw*IF(VfdSky_Q3&gt;0,VfdSky_Q3,0)*Table1[[#This Row],[Iin]], 2*Deadtime*Fsw*IF(VfdSky_Q2&gt;0,VfdSky_Q2,0)*Table1[[#This Row],[Iout]]+2*Deadtime*Fsw*IF(VfdSky_Q3&gt;0,VfdSky_Q3,0)*Table1[[#This Row],[Iin]])</f>
        <v>0</v>
      </c>
      <c r="BA146" s="354">
        <f>CHOOSE(Table1[[#This Row],[Mode Digit]], IF(QrrSky_Q2&gt;0,QrrSky_Q2,Qrr_Q2)*Fsw*(Table1[[#This Row],[Vin]]-Table1[[#This Row],[Iout]]*Rdson1),0,  IF(QrrSky_Q2&gt;0,QrrSky_Q2,Qrr_Q2)*Fsw*(Table1[[#This Row],[Vin]]-Table1[[#This Row],[Iout]]*Rdson1)+IF(QrrSky_Q3&gt;0,QrrSky_Q3,Qrr_Q3)*Fsw*Vout)</f>
        <v>0.35447519999999999</v>
      </c>
      <c r="BB146" s="354">
        <f>CHOOSE(Table1[[#This Row],[Mode Digit]],0, IF(QrrSky_Q3&gt;0,QrrSky_Q3,Qrr_Q3)*Fsw*Vout,  IF(QrrSky_Q2&gt;0,QrrSky_Q2,Qrr_Q2)*Fsw*(Table1[[#This Row],[Vin]]-Table1[[#This Row],[Iout]]*Rdson1)+IF(QrrSky_Q3&gt;0,QrrSky_Q3,Qrr_Q3)*Fsw*Vout)</f>
        <v>0</v>
      </c>
      <c r="BC146" s="354">
        <f>CHOOSE(Table1[[#This Row],[Mode Digit]], Rs*Table1[[#This Row],[Irms BuSync]]^2, Rs*Table1[[#This Row],[Irms BoCtlr]]^2, Rs*(Table1[[#This Row],[Irms BuSync]]^2+Table1[[#This Row],[Irms BoCtlr]]^2))</f>
        <v>0.1830519284474352</v>
      </c>
      <c r="BD146" s="354">
        <f t="shared" si="8"/>
        <v>1.44</v>
      </c>
      <c r="BE146" s="354">
        <f>IF(Vout&gt;8, Iq*Vout, Iq*Table1[[#This Row],[Vin]])</f>
        <v>4.3799999999999999E-2</v>
      </c>
      <c r="BF146" s="354">
        <f>CHOOSE(Table1[[#This Row],[Mode Digit]], (Qg_Q1+Qg_Q2)*Fsw, (Qg_Q3+Qg_Q4)*Fsw, (Qg_Q1+Qg_Q2+Qg_Q3+Qg_Q4)*Fsw)*IF(Vout&gt;8, Vout, Table1[[#This Row],[Vin]])</f>
        <v>0.47303999999999996</v>
      </c>
      <c r="BG146" s="354">
        <f t="shared" si="9"/>
        <v>0.57269042016806726</v>
      </c>
      <c r="BH146" s="354">
        <f>Table1[[#This Row],[IQ Loss]]+Table1[[#This Row],[Switching Current Loss]]</f>
        <v>0.51683999999999997</v>
      </c>
      <c r="BI14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10.429466057354103</v>
      </c>
      <c r="BJ146">
        <f>Vout*Table1[[#This Row],[Iout]]</f>
        <v>175.2</v>
      </c>
      <c r="BK146" s="550">
        <f>Table1[[#This Row],[Pout]]/(Table1[[#This Row],[Pout]]+Table1[[#This Row],[Total Loss]])</f>
        <v>0.94381567604072247</v>
      </c>
      <c r="BL14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247.7035509151444</v>
      </c>
      <c r="BM146" s="559">
        <f>IF(Table1[[#This Row],[Vin]]&gt;Vout, Table1[[#This Row],[Total Sync Bu MOSFET Loss]]*ThetaJA_Q2, ThetaJA_Q3*Table1[[#This Row],[Total Sync Bo MOSFET Loss]])</f>
        <v>57.324870293665846</v>
      </c>
      <c r="BN146" s="9"/>
      <c r="BO146" s="4">
        <f>Table1[[#This Row],[EFF, h]]*100</f>
        <v>94.381567604072245</v>
      </c>
      <c r="BP146" s="354">
        <f>Table1[[#This Row],[Total Inductor Loss]]</f>
        <v>2.0509605810753735</v>
      </c>
      <c r="BQ146" s="354">
        <f>Table1[[#This Row],[Total Control Bu MOSFET Loss]]+Table1[[#This Row],[Total Sync Bu MOSFET Loss]]+Table1[[#This Row],[Total Control Bo MOSFET Loss]]+Table1[[#This Row],[Total Sync Bo MOSFET Loss]]+Table1[[#This Row],[Reverse Recovery Loss MOSFET D BUCK]]+Table1[[#This Row],[Reverse Recovery Loss MOSFET D BOOST]]</f>
        <v>6.1564361391617108</v>
      </c>
      <c r="BR146" s="354">
        <f>Table1[[#This Row],[Total Control Bu MOSFET Loss]]+Table1[[#This Row],[Reverse Recovery Loss MOSFET D BUCK]]*0.66</f>
        <v>4.3623461472524072</v>
      </c>
      <c r="BS146" s="354">
        <f>Table1[[#This Row],[Total Sync Bu MOSFET Loss]]+Table1[[#This Row],[Reverse Recovery Loss MOSFET D BUCK]]*0.33</f>
        <v>1.0723913208944309</v>
      </c>
      <c r="BT146" s="354">
        <f xml:space="preserve"> Table1[[#This Row],[Total Control Bo MOSFET Loss]]+Table1[[#This Row],[Reverse Recovery Loss MOSFET D BOOST]]*0.66</f>
        <v>0</v>
      </c>
      <c r="BU146" s="354">
        <f xml:space="preserve"> Table1[[#This Row],[Total Sync Bo MOSFET Loss]]+Table1[[#This Row],[Reverse Recovery Loss MOSFET D BOOST]]*0.33</f>
        <v>0.71815391901487358</v>
      </c>
      <c r="BV146" s="354">
        <f>Table1[[#This Row],[Isense Shunt Loss]]</f>
        <v>0.1830519284474352</v>
      </c>
    </row>
    <row r="147" spans="7:74" x14ac:dyDescent="0.2">
      <c r="G147">
        <v>138</v>
      </c>
      <c r="H147" s="555">
        <f>VIN_min+(VIN_max-VIN_min)*(Table1[[#This Row],[Step]]/200)</f>
        <v>29.66</v>
      </c>
      <c r="I147" s="4" t="str">
        <f>IF(Mode = 2,IF(Table1[[#This Row],[Vin]]&gt;Vout, "BUCK","BOOST"),IF(Table1[[#This Row],[Vin]]&gt;VIN_BB_to_buck, "BUCK", IF(Table1[[#This Row],[Vin]]&lt;=VIN_boost_to_BB,"BOOST","BUCK-BST")))</f>
        <v>BUCK</v>
      </c>
      <c r="J147">
        <f>IF(Table1[[#This Row],[Mode]]="BOOST",2, IF(Table1[[#This Row],[Mode]]="BUCK", 1,3))</f>
        <v>1</v>
      </c>
      <c r="K147">
        <f t="shared" si="7"/>
        <v>12</v>
      </c>
      <c r="L147" s="4">
        <f>Vout*Table1[[#This Row],[Iout]]/(Table1[[#This Row],[Vin]]*Efficiency)</f>
        <v>6.2178372431415694</v>
      </c>
      <c r="M147" s="711">
        <f>MIN(1/Fsw,CHOOSE(Table1[[#This Row],[Mode Digit]],(Vout+(Rdson2+Rs+Rdcr)*Table1[[#This Row],[Iout]])/(Table1[[#This Row],[Vin]]+(Rs+Rdson2-Rdson1)*Table1[[#This Row],[Iout]])/Fsw,(Vout+(Rdson3+Rdcr)*Table1[[#This Row],[Iin]]-Table1[[#This Row],[Vin]])/(Vout+(Rdson3-Rdson4-Rs)*Table1[[#This Row],[Iin]])/Fsw,t1_Ph_II))</f>
        <v>8.2800044908498937E-7</v>
      </c>
      <c r="N147" s="602">
        <f>CHOOSE(Table1[[#This Row],[Mode Digit]],1/Fsw-Table1[[#This Row],[t1_Ph_II]],1/Fsw-Table1[[#This Row],[t1_Ph_II]],(Vout/Fsw-Table1[[#This Row],[Vin]]*t1_Ph_II)/(Table1[[#This Row],[Vin]]+Vout))</f>
        <v>8.3866621758167729E-7</v>
      </c>
      <c r="O147" s="602">
        <f>1/Fsw-(Table1[[#This Row],[t1_Ph_II]]+Table1[[#This Row],[t2_Ph_I]])</f>
        <v>0</v>
      </c>
      <c r="P14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9.6383169009053145</v>
      </c>
      <c r="Q147" s="4">
        <f>CHOOSE(Table1[[#This Row],[Mode Digit]],Table1[[#This Row],[I_0]]+1/Lf*(Table1[[#This Row],[Vin]]-Vout)*Table1[[#This Row],[t1_Ph_II]],Table1[[#This Row],[I_0]]+1/Lf*Table1[[#This Row],[Vin]]*Table1[[#This Row],[t1_Ph_II]],Table1[[#This Row],[I_0]]+(Table1[[#This Row],[Vin]]-Vout)/L*Table1[[#This Row],[t1_Ph_II]])</f>
        <v>14.361683099094687</v>
      </c>
      <c r="R147" s="4">
        <f>CHOOSE(Table1[[#This Row],[Mode Digit]],0,0,Table1[[#This Row],[I_1]]+Table1[[#This Row],[Vin]]/L*Table1[[#This Row],[t2_Ph_I]])</f>
        <v>0</v>
      </c>
      <c r="S147" s="4">
        <f>Fsw*(Table1[[#This Row],[I_0]]*Table1[[#This Row],[t1_Ph_II]]+Table1[[#This Row],[I_1]]*Table1[[#This Row],[t2_Ph_I]]+Table1[[#This Row],[I_2]]*Table1[[#This Row],[t3_Ph_III]])</f>
        <v>12.015113499118492</v>
      </c>
      <c r="T147" s="354">
        <f>MIN(1,CHOOSE(Table1[[#This Row],[Mode Digit]],(Vout+(Rdson2+Rs+Rdcr)*Table1[[#This Row],[Iout]])/(Table1[[#This Row],[Vin]]+(Rs+Rdson2-Rdson1)*Table1[[#This Row],[Iout]]),1,Fsw*Table1[[#This Row],[t2_Ph_I]]+Table1[[#This Row],[t1_Ph_II]]))</f>
        <v>0.49680026945099359</v>
      </c>
      <c r="U147" s="354">
        <f>MIN(1,CHOOSE(Table1[[#This Row],[Mode Digit]],0,(Vout+(Rdson3+Rdcr)*Table1[[#This Row],[Iin]]-Table1[[#This Row],[Vin]])/(Vout+(Rdson3-Rdson4-Rs)*Table1[[#This Row],[Iin]]),Fsw*Table1[[#This Row],[t1_Ph_II]]+Table1[[#This Row],[t3_Ph_III]]))</f>
        <v>0</v>
      </c>
      <c r="V147" s="4">
        <f>MAX(Table1[[#This Row],[I_0]:[I_2]])-MIN(Table1[[#This Row],[I_0]:[I_1]])</f>
        <v>4.7233661981893729</v>
      </c>
      <c r="W14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12.077217492184056</v>
      </c>
      <c r="X147" s="354">
        <f>(Table1[[#This Row],[Irms Lf]]^2*Rdcr*(1+Ltc*Ta-Ltc*25))/(1-Table1[[#This Row],[Irms Lf]]^2*Rdcr*Ltc*ThetaCa)</f>
        <v>0.90739450220644968</v>
      </c>
      <c r="Y147" s="354">
        <f>ABS(7.759*10^-3*Fsw^0.9458*(0.00787*Table1[[#This Row],[Ripple Current pk-pk]])^2.304)</f>
        <v>1.1496951893747975</v>
      </c>
      <c r="Z147" s="354">
        <f>Table1[[#This Row],[DCR    Loss]]+Table1[[#This Row],[Core Loss]]</f>
        <v>2.0570896915812473</v>
      </c>
      <c r="AA147" s="4">
        <f>IF(Table1[[#This Row],[Vin]]&gt;Vout, Table1[[#This Row],[Ripple Current pk-pk]]/SQRT(12), SQRT(Table1[[#This Row],[Duty Cycle BOOST Leg]]/(1-Table1[[#This Row],[Duty Cycle BOOST Leg]]))*SQRT(Table1[[#This Row],[Iout]]^2+(Table1[[#This Row],[Ripple Current pk-pk]]^2)/12))</f>
        <v>1.363518373002907</v>
      </c>
      <c r="AB147" s="354">
        <f>RCoutEsr*Table1[[#This Row],[Irms Cout]]^2</f>
        <v>9.2959117675824737E-3</v>
      </c>
      <c r="AC147" s="354">
        <f>Table1[[#This Row],[Cout ESR Loss]]</f>
        <v>9.2959117675824737E-3</v>
      </c>
      <c r="AD147" s="354">
        <f>IF(Table1[[#This Row],[Vin]]&gt;Vout, SQRT(Table1[[#This Row],[Duty Cycle BUCK Leg]]*(1-Table1[[#This Row],[Duty Cycle BUCK Leg]]))*SQRT(Table1[[#This Row],[Iout]]^2+(Table1[[#This Row],[Ripple Current pk-pk]]^2)/12), Table1[[#This Row],[Ripple Current pk-pk]]/SQRT(12))</f>
        <v>6.0384850949450399</v>
      </c>
      <c r="AE147" s="354">
        <f>RCinEsr*Table1[[#This Row],[Irms Cin]]^2</f>
        <v>7.2926604483746812E-2</v>
      </c>
      <c r="AF147" s="549">
        <f>Table1[[#This Row],[Cin ESR Loss]]</f>
        <v>7.2926604483746812E-2</v>
      </c>
      <c r="AG14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8.5125132067520841</v>
      </c>
      <c r="AH147" s="354">
        <f>Rdson1*Table1[[#This Row],[Irms BuCtrl]]^2</f>
        <v>0.30434410059954037</v>
      </c>
      <c r="AI147" s="354">
        <f>CHOOSE(Table1[[#This Row],[Mode Digit]], (Table1[[#This Row],[Vin]]*Table1[[#This Row],[Iout]]/2)*(Fsw)*(Tr_buck+Tf_buck), 0, (Table1[[#This Row],[Vin]]*Table1[[#This Row],[Avg IL]]/2)*(Fsw/1)*(Tr_buck+Tf_buck))</f>
        <v>3.5294333222873315</v>
      </c>
      <c r="AJ147">
        <f>IF(Table1[[#This Row],[Vin]]&gt;Vout, IF(Table1[[#This Row],[Iout]]&gt;Table1[[#This Row],[Ripple Current pk-pk]]/2,0,ABS(Table1[[#This Row],[Iout]]-Table1[[#This Row],[Ripple Current pk-pk]]/2)*Vsd_Q1*Deadtime*Fsw),0)</f>
        <v>0</v>
      </c>
      <c r="AK147" s="354">
        <f>(Table1[[#This Row],[Dead Time Loss BuCtrl]]+Table1[[#This Row],[Transition Loss BuCtrl]]+Table1[[#This Row],[RDS(on) Loss BuCtrl]]*(1+RdsonTopTc*Ta-RdsonTopTc*25))/(1-Table1[[#This Row],[RDS(on) Loss BuCtrl]]*RdsonTopTc*ThetaJA_Q1)</f>
        <v>4.1358722173295401</v>
      </c>
      <c r="AL147" s="354">
        <f>CHOOSE(Table1[[#This Row],[Mode Digit]],SQRT((Fsw*(Table1[[#This Row],[t2_Ph_I]]+0))*((Table1[[#This Row],[I_0]]*Table1[[#This Row],[I_1]]+((Table1[[#This Row],[I_0]]-Table1[[#This Row],[I_1]])^2)/3))),0,SQRT((Fsw*(Table1[[#This Row],[t3_Ph_III]]+0))*((Table1[[#This Row],[I_0]]*Table1[[#This Row],[I_2]]+((Table1[[#This Row],[I_0]]-Table1[[#This Row],[I_2]])^2)/3))))</f>
        <v>8.5671641316358524</v>
      </c>
      <c r="AM147" s="354">
        <f>Rdson2*Table1[[#This Row],[Irms BuSync]]^2</f>
        <v>0.30826446528522922</v>
      </c>
      <c r="AN14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7" s="354">
        <f>(Table1[[#This Row],[Deadtime Loss BuSync]]+Table1[[#This Row],[RDS(on) Loss BuSync]]*(1+RdsonBotTc*Ta-RdsonBotTc*25))/(1-Table1[[#This Row],[RDS(on) Loss BuSync]]*RdsonBotTc*ThetaJA_Q2)</f>
        <v>0.95639318172037024</v>
      </c>
      <c r="AP147" s="354">
        <f>CHOOSE(Table1[[#This Row],[Mode Digit]],0,SQRT((Fsw*(Table1[[#This Row],[t1_Ph_II]]+0))*((Table1[[#This Row],[I_0]]*Table1[[#This Row],[I_1]]+((Table1[[#This Row],[I_0]]-Table1[[#This Row],[I_1]])^2)/3))),SQRT((Fsw*(Table1[[#This Row],[t2_Ph_I]]+0))*((Table1[[#This Row],[I_1]]*Table1[[#This Row],[I_2]]+((Table1[[#This Row],[I_1]]-Table1[[#This Row],[I_2]])^2)/3))))</f>
        <v>0</v>
      </c>
      <c r="AQ147" s="354">
        <f>Rdson4*Table1[[#This Row],[Irms BoCtlr]]^2</f>
        <v>0</v>
      </c>
      <c r="AR147" s="354">
        <f>CHOOSE(Table1[[#This Row],[Mode Digit]], 0, (Vout*Table1[[#This Row],[Iin]]/2)*(Fsw)*(Tr_boost+Tf_boost), (Vout*Iout/2)*(Fsw/1)*(Tr_boost+Tf_boost))</f>
        <v>0</v>
      </c>
      <c r="AS147">
        <f>IF(Table1[[#This Row],[Vin]]&gt;Vout, 0, IF(Table1[[#This Row],[Iin]]&gt;Table1[[#This Row],[Ripple Current pk-pk]]/2,0,ABS(Table1[[#This Row],[Iin]]-Table1[[#This Row],[Ripple Current pk-pk]]/2)*Vsd_Q4*Deadtime*Fsw))</f>
        <v>0</v>
      </c>
      <c r="AT147" s="354">
        <f>(Table1[[#This Row],[Dead Time Loss BoCtlr]]+Table1[[#This Row],[Transition Loss BoCtlr]]+Table1[[#This Row],[RDS(on) Loss BoCtlr]]*(1+RdsonTopTc*Ta-RdsonTopTc*25))/(1-Table1[[#This Row],[RDS(on) Loss BoCtlr]]*RdsonTopTc*ThetaJA_Q4)</f>
        <v>0</v>
      </c>
      <c r="AU14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12.077217492184056</v>
      </c>
      <c r="AV147" s="354">
        <f>Rdson3*Table1[[#This Row],[Irms BoSync]]^2</f>
        <v>0.61260856588476964</v>
      </c>
      <c r="AW14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7" s="354">
        <f>(Table1[[#This Row],[Deadtime Loss BoSync]]+Table1[[#This Row],[RDS(on) Loss BoSync]]*(1+RdsonBotTc*Ta-RdsonBotTc*25))/(1-Table1[[#This Row],[RDS(on) Loss BoSync]]*RdsonBotTc*ThetaJA_Q3)</f>
        <v>0.7182031409742512</v>
      </c>
      <c r="AY147" s="354">
        <f>CHOOSE(Table1[[#This Row],[Mode Digit]], Rdson3*Table1[[#This Row],[Irms Lf]]^2, Rdson1*Table1[[#This Row],[Irms Lf]]^2, 0)</f>
        <v>0.61260856588476964</v>
      </c>
      <c r="AZ147" s="354">
        <f>CHOOSE(Table1[[#This Row],[Mode Digit]], 2*Deadtime*Fsw*IF(VfdSky_Q2&gt;0,VfdSky_Q2,0)*Table1[[#This Row],[Iout]], 2*Deadtime*Fsw*IF(VfdSky_Q3&gt;0,VfdSky_Q3,0)*Table1[[#This Row],[Iin]], 2*Deadtime*Fsw*IF(VfdSky_Q2&gt;0,VfdSky_Q2,0)*Table1[[#This Row],[Iout]]+2*Deadtime*Fsw*IF(VfdSky_Q3&gt;0,VfdSky_Q3,0)*Table1[[#This Row],[Iin]])</f>
        <v>0</v>
      </c>
      <c r="BA147" s="354">
        <f>CHOOSE(Table1[[#This Row],[Mode Digit]], IF(QrrSky_Q2&gt;0,QrrSky_Q2,Qrr_Q2)*Fsw*(Table1[[#This Row],[Vin]]-Table1[[#This Row],[Iout]]*Rdson1),0,  IF(QrrSky_Q2&gt;0,QrrSky_Q2,Qrr_Q2)*Fsw*(Table1[[#This Row],[Vin]]-Table1[[#This Row],[Iout]]*Rdson1)+IF(QrrSky_Q3&gt;0,QrrSky_Q3,Qrr_Q3)*Fsw*Vout)</f>
        <v>0.3553152</v>
      </c>
      <c r="BB147" s="354">
        <f>CHOOSE(Table1[[#This Row],[Mode Digit]],0, IF(QrrSky_Q3&gt;0,QrrSky_Q3,Qrr_Q3)*Fsw*Vout,  IF(QrrSky_Q2&gt;0,QrrSky_Q2,Qrr_Q2)*Fsw*(Table1[[#This Row],[Vin]]-Table1[[#This Row],[Iout]]*Rdson1)+IF(QrrSky_Q3&gt;0,QrrSky_Q3,Qrr_Q3)*Fsw*Vout)</f>
        <v>0</v>
      </c>
      <c r="BC147" s="354">
        <f>CHOOSE(Table1[[#This Row],[Mode Digit]], Rs*Table1[[#This Row],[Irms BuSync]]^2, Rs*Table1[[#This Row],[Irms BoCtlr]]^2, Rs*(Table1[[#This Row],[Irms BuSync]]^2+Table1[[#This Row],[Irms BoCtlr]]^2))</f>
        <v>0.18349075314596974</v>
      </c>
      <c r="BD147" s="354">
        <f t="shared" si="8"/>
        <v>1.44</v>
      </c>
      <c r="BE147" s="354">
        <f>IF(Vout&gt;8, Iq*Vout, Iq*Table1[[#This Row],[Vin]])</f>
        <v>4.3799999999999999E-2</v>
      </c>
      <c r="BF147" s="354">
        <f>CHOOSE(Table1[[#This Row],[Mode Digit]], (Qg_Q1+Qg_Q2)*Fsw, (Qg_Q3+Qg_Q4)*Fsw, (Qg_Q1+Qg_Q2+Qg_Q3+Qg_Q4)*Fsw)*IF(Vout&gt;8, Vout, Table1[[#This Row],[Vin]])</f>
        <v>0.47303999999999996</v>
      </c>
      <c r="BG147" s="354">
        <f t="shared" si="9"/>
        <v>0.57269042016806726</v>
      </c>
      <c r="BH147" s="354">
        <f>Table1[[#This Row],[IQ Loss]]+Table1[[#This Row],[Switching Current Loss]]</f>
        <v>0.51683999999999997</v>
      </c>
      <c r="BI14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10.445426701002708</v>
      </c>
      <c r="BJ147">
        <f>Vout*Table1[[#This Row],[Iout]]</f>
        <v>175.2</v>
      </c>
      <c r="BK147" s="550">
        <f>Table1[[#This Row],[Pout]]/(Table1[[#This Row],[Pout]]+Table1[[#This Row],[Total Loss]])</f>
        <v>0.9437345326161688</v>
      </c>
      <c r="BL14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248.1523330397724</v>
      </c>
      <c r="BM147" s="559">
        <f>IF(Table1[[#This Row],[Vin]]&gt;Vout, Table1[[#This Row],[Total Sync Bu MOSFET Loss]]*ThetaJA_Q2, ThetaJA_Q3*Table1[[#This Row],[Total Sync Bo MOSFET Loss]])</f>
        <v>57.383590903222213</v>
      </c>
      <c r="BN147" s="9"/>
      <c r="BO147" s="4">
        <f>Table1[[#This Row],[EFF, h]]*100</f>
        <v>94.373453261616874</v>
      </c>
      <c r="BP147" s="354">
        <f>Table1[[#This Row],[Total Inductor Loss]]</f>
        <v>2.0570896915812473</v>
      </c>
      <c r="BQ147" s="354">
        <f>Table1[[#This Row],[Total Control Bu MOSFET Loss]]+Table1[[#This Row],[Total Sync Bu MOSFET Loss]]+Table1[[#This Row],[Total Control Bo MOSFET Loss]]+Table1[[#This Row],[Total Sync Bo MOSFET Loss]]+Table1[[#This Row],[Reverse Recovery Loss MOSFET D BUCK]]+Table1[[#This Row],[Reverse Recovery Loss MOSFET D BOOST]]</f>
        <v>6.1657837400241613</v>
      </c>
      <c r="BR147" s="354">
        <f>Table1[[#This Row],[Total Control Bu MOSFET Loss]]+Table1[[#This Row],[Reverse Recovery Loss MOSFET D BUCK]]*0.66</f>
        <v>4.3703802493295401</v>
      </c>
      <c r="BS147" s="354">
        <f>Table1[[#This Row],[Total Sync Bu MOSFET Loss]]+Table1[[#This Row],[Reverse Recovery Loss MOSFET D BUCK]]*0.33</f>
        <v>1.0736471977203703</v>
      </c>
      <c r="BT147" s="354">
        <f xml:space="preserve"> Table1[[#This Row],[Total Control Bo MOSFET Loss]]+Table1[[#This Row],[Reverse Recovery Loss MOSFET D BOOST]]*0.66</f>
        <v>0</v>
      </c>
      <c r="BU147" s="354">
        <f xml:space="preserve"> Table1[[#This Row],[Total Sync Bo MOSFET Loss]]+Table1[[#This Row],[Reverse Recovery Loss MOSFET D BOOST]]*0.33</f>
        <v>0.7182031409742512</v>
      </c>
      <c r="BV147" s="354">
        <f>Table1[[#This Row],[Isense Shunt Loss]]</f>
        <v>0.18349075314596974</v>
      </c>
    </row>
    <row r="148" spans="7:74" x14ac:dyDescent="0.2">
      <c r="G148">
        <v>139</v>
      </c>
      <c r="H148" s="555">
        <f>VIN_min+(VIN_max-VIN_min)*(Table1[[#This Row],[Step]]/200)</f>
        <v>29.729999999999997</v>
      </c>
      <c r="I148" s="4" t="str">
        <f>IF(Mode = 2,IF(Table1[[#This Row],[Vin]]&gt;Vout, "BUCK","BOOST"),IF(Table1[[#This Row],[Vin]]&gt;VIN_BB_to_buck, "BUCK", IF(Table1[[#This Row],[Vin]]&lt;=VIN_boost_to_BB,"BOOST","BUCK-BST")))</f>
        <v>BUCK</v>
      </c>
      <c r="J148">
        <f>IF(Table1[[#This Row],[Mode]]="BOOST",2, IF(Table1[[#This Row],[Mode]]="BUCK", 1,3))</f>
        <v>1</v>
      </c>
      <c r="K148">
        <f t="shared" si="7"/>
        <v>12</v>
      </c>
      <c r="L148" s="4">
        <f>Vout*Table1[[#This Row],[Iout]]/(Table1[[#This Row],[Vin]]*Efficiency)</f>
        <v>6.2031971958149663</v>
      </c>
      <c r="M148" s="711">
        <f>MIN(1/Fsw,CHOOSE(Table1[[#This Row],[Mode Digit]],(Vout+(Rdson2+Rs+Rdcr)*Table1[[#This Row],[Iout]])/(Table1[[#This Row],[Vin]]+(Rs+Rdson2-Rdson1)*Table1[[#This Row],[Iout]])/Fsw,(Vout+(Rdson3+Rdcr)*Table1[[#This Row],[Iin]]-Table1[[#This Row],[Vin]])/(Vout+(Rdson3-Rdson4-Rs)*Table1[[#This Row],[Iin]])/Fsw,t1_Ph_II))</f>
        <v>8.2605286738351263E-7</v>
      </c>
      <c r="N148" s="602">
        <f>CHOOSE(Table1[[#This Row],[Mode Digit]],1/Fsw-Table1[[#This Row],[t1_Ph_II]],1/Fsw-Table1[[#This Row],[t1_Ph_II]],(Vout/Fsw-Table1[[#This Row],[Vin]]*t1_Ph_II)/(Table1[[#This Row],[Vin]]+Vout))</f>
        <v>8.4061379928315403E-7</v>
      </c>
      <c r="O148" s="602">
        <f>1/Fsw-(Table1[[#This Row],[t1_Ph_II]]+Table1[[#This Row],[t2_Ph_I]])</f>
        <v>0</v>
      </c>
      <c r="P14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9.6329204766074739</v>
      </c>
      <c r="Q148" s="4">
        <f>CHOOSE(Table1[[#This Row],[Mode Digit]],Table1[[#This Row],[I_0]]+1/Lf*(Table1[[#This Row],[Vin]]-Vout)*Table1[[#This Row],[t1_Ph_II]],Table1[[#This Row],[I_0]]+1/Lf*Table1[[#This Row],[Vin]]*Table1[[#This Row],[t1_Ph_II]],Table1[[#This Row],[I_0]]+(Table1[[#This Row],[Vin]]-Vout)/L*Table1[[#This Row],[t1_Ph_II]])</f>
        <v>14.367079523392528</v>
      </c>
      <c r="R148" s="4">
        <f>CHOOSE(Table1[[#This Row],[Mode Digit]],0,0,Table1[[#This Row],[I_1]]+Table1[[#This Row],[Vin]]/L*Table1[[#This Row],[t2_Ph_I]])</f>
        <v>0</v>
      </c>
      <c r="S148" s="4">
        <f>Fsw*(Table1[[#This Row],[I_0]]*Table1[[#This Row],[t1_Ph_II]]+Table1[[#This Row],[I_1]]*Table1[[#This Row],[t2_Ph_I]]+Table1[[#This Row],[I_2]]*Table1[[#This Row],[t3_Ph_III]])</f>
        <v>12.020680130244694</v>
      </c>
      <c r="T148" s="354">
        <f>MIN(1,CHOOSE(Table1[[#This Row],[Mode Digit]],(Vout+(Rdson2+Rs+Rdcr)*Table1[[#This Row],[Iout]])/(Table1[[#This Row],[Vin]]+(Rs+Rdson2-Rdson1)*Table1[[#This Row],[Iout]]),1,Fsw*Table1[[#This Row],[t2_Ph_I]]+Table1[[#This Row],[t1_Ph_II]]))</f>
        <v>0.49563172043010756</v>
      </c>
      <c r="U148" s="354">
        <f>MIN(1,CHOOSE(Table1[[#This Row],[Mode Digit]],0,(Vout+(Rdson3+Rdcr)*Table1[[#This Row],[Iin]]-Table1[[#This Row],[Vin]])/(Vout+(Rdson3-Rdson4-Rs)*Table1[[#This Row],[Iin]]),Fsw*Table1[[#This Row],[t1_Ph_II]]+Table1[[#This Row],[t3_Ph_III]]))</f>
        <v>0</v>
      </c>
      <c r="V148" s="4">
        <f>MAX(Table1[[#This Row],[I_0]:[I_2]])-MIN(Table1[[#This Row],[I_0]:[I_1]])</f>
        <v>4.7341590467850541</v>
      </c>
      <c r="W14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12.077569643352152</v>
      </c>
      <c r="X148" s="354">
        <f>(Table1[[#This Row],[Irms Lf]]^2*Rdcr*(1+Ltc*Ta-Ltc*25))/(1-Table1[[#This Row],[Irms Lf]]^2*Rdcr*Ltc*ThetaCa)</f>
        <v>0.90745126070921656</v>
      </c>
      <c r="Y148" s="354">
        <f>ABS(7.759*10^-3*Fsw^0.9458*(0.00787*Table1[[#This Row],[Ripple Current pk-pk]])^2.304)</f>
        <v>1.1557569159432213</v>
      </c>
      <c r="Z148" s="354">
        <f>Table1[[#This Row],[DCR    Loss]]+Table1[[#This Row],[Core Loss]]</f>
        <v>2.0632081766524379</v>
      </c>
      <c r="AA148" s="4">
        <f>IF(Table1[[#This Row],[Vin]]&gt;Vout, Table1[[#This Row],[Ripple Current pk-pk]]/SQRT(12), SQRT(Table1[[#This Row],[Duty Cycle BOOST Leg]]/(1-Table1[[#This Row],[Duty Cycle BOOST Leg]]))*SQRT(Table1[[#This Row],[Iout]]^2+(Table1[[#This Row],[Ripple Current pk-pk]]^2)/12))</f>
        <v>1.3666340000239265</v>
      </c>
      <c r="AB148" s="354">
        <f>RCoutEsr*Table1[[#This Row],[Irms Cout]]^2</f>
        <v>9.3384424501069888E-3</v>
      </c>
      <c r="AC148" s="354">
        <f>Table1[[#This Row],[Cout ESR Loss]]</f>
        <v>9.3384424501069888E-3</v>
      </c>
      <c r="AD148" s="354">
        <f>IF(Table1[[#This Row],[Vin]]&gt;Vout, SQRT(Table1[[#This Row],[Duty Cycle BUCK Leg]]*(1-Table1[[#This Row],[Duty Cycle BUCK Leg]]))*SQRT(Table1[[#This Row],[Iout]]^2+(Table1[[#This Row],[Ripple Current pk-pk]]^2)/12), Table1[[#This Row],[Ripple Current pk-pk]]/SQRT(12))</f>
        <v>6.0385543547078724</v>
      </c>
      <c r="AE148" s="354">
        <f>RCinEsr*Table1[[#This Row],[Irms Cin]]^2</f>
        <v>7.2928277389522816E-2</v>
      </c>
      <c r="AF148" s="549">
        <f>Table1[[#This Row],[Cin ESR Loss]]</f>
        <v>7.2928277389522816E-2</v>
      </c>
      <c r="AG14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8.5027438748601814</v>
      </c>
      <c r="AH148" s="354">
        <f>Rdson1*Table1[[#This Row],[Irms BuCtrl]]^2</f>
        <v>0.3036459442861838</v>
      </c>
      <c r="AI148" s="354">
        <f>CHOOSE(Table1[[#This Row],[Mode Digit]], (Table1[[#This Row],[Vin]]*Table1[[#This Row],[Iout]]/2)*(Fsw)*(Tr_buck+Tf_buck), 0, (Table1[[#This Row],[Vin]]*Table1[[#This Row],[Avg IL]]/2)*(Fsw/1)*(Tr_buck+Tf_buck))</f>
        <v>3.5377630705192975</v>
      </c>
      <c r="AJ148">
        <f>IF(Table1[[#This Row],[Vin]]&gt;Vout, IF(Table1[[#This Row],[Iout]]&gt;Table1[[#This Row],[Ripple Current pk-pk]]/2,0,ABS(Table1[[#This Row],[Iout]]-Table1[[#This Row],[Ripple Current pk-pk]]/2)*Vsd_Q1*Deadtime*Fsw),0)</f>
        <v>0</v>
      </c>
      <c r="AK148" s="354">
        <f>(Table1[[#This Row],[Dead Time Loss BuCtrl]]+Table1[[#This Row],[Transition Loss BuCtrl]]+Table1[[#This Row],[RDS(on) Loss BuCtrl]]*(1+RdsonTopTc*Ta-RdsonTopTc*25))/(1-Table1[[#This Row],[RDS(on) Loss BuCtrl]]*RdsonTopTc*ThetaJA_Q1)</f>
        <v>4.1433562088581422</v>
      </c>
      <c r="AL148" s="354">
        <f>CHOOSE(Table1[[#This Row],[Mode Digit]],SQRT((Fsw*(Table1[[#This Row],[t2_Ph_I]]+0))*((Table1[[#This Row],[I_0]]*Table1[[#This Row],[I_1]]+((Table1[[#This Row],[I_0]]-Table1[[#This Row],[I_1]])^2)/3))),0,SQRT((Fsw*(Table1[[#This Row],[t3_Ph_III]]+0))*((Table1[[#This Row],[I_0]]*Table1[[#This Row],[I_2]]+((Table1[[#This Row],[I_0]]-Table1[[#This Row],[I_2]])^2)/3))))</f>
        <v>8.5773559497405198</v>
      </c>
      <c r="AM148" s="354">
        <f>Rdson2*Table1[[#This Row],[Irms BuSync]]^2</f>
        <v>0.30899834737190623</v>
      </c>
      <c r="AN14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8" s="354">
        <f>(Table1[[#This Row],[Deadtime Loss BuSync]]+Table1[[#This Row],[RDS(on) Loss BuSync]]*(1+RdsonBotTc*Ta-RdsonBotTc*25))/(1-Table1[[#This Row],[RDS(on) Loss BuSync]]*RdsonBotTc*ThetaJA_Q2)</f>
        <v>0.95736779165064889</v>
      </c>
      <c r="AP148" s="354">
        <f>CHOOSE(Table1[[#This Row],[Mode Digit]],0,SQRT((Fsw*(Table1[[#This Row],[t1_Ph_II]]+0))*((Table1[[#This Row],[I_0]]*Table1[[#This Row],[I_1]]+((Table1[[#This Row],[I_0]]-Table1[[#This Row],[I_1]])^2)/3))),SQRT((Fsw*(Table1[[#This Row],[t2_Ph_I]]+0))*((Table1[[#This Row],[I_1]]*Table1[[#This Row],[I_2]]+((Table1[[#This Row],[I_1]]-Table1[[#This Row],[I_2]])^2)/3))))</f>
        <v>0</v>
      </c>
      <c r="AQ148" s="354">
        <f>Rdson4*Table1[[#This Row],[Irms BoCtlr]]^2</f>
        <v>0</v>
      </c>
      <c r="AR148" s="354">
        <f>CHOOSE(Table1[[#This Row],[Mode Digit]], 0, (Vout*Table1[[#This Row],[Iin]]/2)*(Fsw)*(Tr_boost+Tf_boost), (Vout*Iout/2)*(Fsw/1)*(Tr_boost+Tf_boost))</f>
        <v>0</v>
      </c>
      <c r="AS148">
        <f>IF(Table1[[#This Row],[Vin]]&gt;Vout, 0, IF(Table1[[#This Row],[Iin]]&gt;Table1[[#This Row],[Ripple Current pk-pk]]/2,0,ABS(Table1[[#This Row],[Iin]]-Table1[[#This Row],[Ripple Current pk-pk]]/2)*Vsd_Q4*Deadtime*Fsw))</f>
        <v>0</v>
      </c>
      <c r="AT148" s="354">
        <f>(Table1[[#This Row],[Dead Time Loss BoCtlr]]+Table1[[#This Row],[Transition Loss BoCtlr]]+Table1[[#This Row],[RDS(on) Loss BoCtlr]]*(1+RdsonTopTc*Ta-RdsonTopTc*25))/(1-Table1[[#This Row],[RDS(on) Loss BoCtlr]]*RdsonTopTc*ThetaJA_Q4)</f>
        <v>0</v>
      </c>
      <c r="AU14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12.077569643352152</v>
      </c>
      <c r="AV148" s="354">
        <f>Rdson3*Table1[[#This Row],[Irms BoSync]]^2</f>
        <v>0.61264429165809009</v>
      </c>
      <c r="AW14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8" s="354">
        <f>(Table1[[#This Row],[Deadtime Loss BoSync]]+Table1[[#This Row],[RDS(on) Loss BoSync]]*(1+RdsonBotTc*Ta-RdsonBotTc*25))/(1-Table1[[#This Row],[RDS(on) Loss BoSync]]*RdsonBotTc*ThetaJA_Q3)</f>
        <v>0.71825224470321891</v>
      </c>
      <c r="AY148" s="354">
        <f>CHOOSE(Table1[[#This Row],[Mode Digit]], Rdson3*Table1[[#This Row],[Irms Lf]]^2, Rdson1*Table1[[#This Row],[Irms Lf]]^2, 0)</f>
        <v>0.61264429165809009</v>
      </c>
      <c r="AZ148" s="354">
        <f>CHOOSE(Table1[[#This Row],[Mode Digit]], 2*Deadtime*Fsw*IF(VfdSky_Q2&gt;0,VfdSky_Q2,0)*Table1[[#This Row],[Iout]], 2*Deadtime*Fsw*IF(VfdSky_Q3&gt;0,VfdSky_Q3,0)*Table1[[#This Row],[Iin]], 2*Deadtime*Fsw*IF(VfdSky_Q2&gt;0,VfdSky_Q2,0)*Table1[[#This Row],[Iout]]+2*Deadtime*Fsw*IF(VfdSky_Q3&gt;0,VfdSky_Q3,0)*Table1[[#This Row],[Iin]])</f>
        <v>0</v>
      </c>
      <c r="BA148" s="354">
        <f>CHOOSE(Table1[[#This Row],[Mode Digit]], IF(QrrSky_Q2&gt;0,QrrSky_Q2,Qrr_Q2)*Fsw*(Table1[[#This Row],[Vin]]-Table1[[#This Row],[Iout]]*Rdson1),0,  IF(QrrSky_Q2&gt;0,QrrSky_Q2,Qrr_Q2)*Fsw*(Table1[[#This Row],[Vin]]-Table1[[#This Row],[Iout]]*Rdson1)+IF(QrrSky_Q3&gt;0,QrrSky_Q3,Qrr_Q3)*Fsw*Vout)</f>
        <v>0.35615519999999995</v>
      </c>
      <c r="BB148" s="354">
        <f>CHOOSE(Table1[[#This Row],[Mode Digit]],0, IF(QrrSky_Q3&gt;0,QrrSky_Q3,Qrr_Q3)*Fsw*Vout,  IF(QrrSky_Q2&gt;0,QrrSky_Q2,Qrr_Q2)*Fsw*(Table1[[#This Row],[Vin]]-Table1[[#This Row],[Iout]]*Rdson1)+IF(QrrSky_Q3&gt;0,QrrSky_Q3,Qrr_Q3)*Fsw*Vout)</f>
        <v>0</v>
      </c>
      <c r="BC148" s="354">
        <f>CHOOSE(Table1[[#This Row],[Mode Digit]], Rs*Table1[[#This Row],[Irms BuSync]]^2, Rs*Table1[[#This Row],[Irms BoCtlr]]^2, Rs*(Table1[[#This Row],[Irms BuSync]]^2+Table1[[#This Row],[Irms BoCtlr]]^2))</f>
        <v>0.18392758772137274</v>
      </c>
      <c r="BD148" s="354">
        <f t="shared" si="8"/>
        <v>1.44</v>
      </c>
      <c r="BE148" s="354">
        <f>IF(Vout&gt;8, Iq*Vout, Iq*Table1[[#This Row],[Vin]])</f>
        <v>4.3799999999999999E-2</v>
      </c>
      <c r="BF148" s="354">
        <f>CHOOSE(Table1[[#This Row],[Mode Digit]], (Qg_Q1+Qg_Q2)*Fsw, (Qg_Q3+Qg_Q4)*Fsw, (Qg_Q1+Qg_Q2+Qg_Q3+Qg_Q4)*Fsw)*IF(Vout&gt;8, Vout, Table1[[#This Row],[Vin]])</f>
        <v>0.47303999999999996</v>
      </c>
      <c r="BG148" s="354">
        <f t="shared" si="9"/>
        <v>0.57269042016806726</v>
      </c>
      <c r="BH148" s="354">
        <f>Table1[[#This Row],[IQ Loss]]+Table1[[#This Row],[Switching Current Loss]]</f>
        <v>0.51683999999999997</v>
      </c>
      <c r="BI14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10.46137392942545</v>
      </c>
      <c r="BJ148">
        <f>Vout*Table1[[#This Row],[Iout]]</f>
        <v>175.2</v>
      </c>
      <c r="BK148" s="550">
        <f>Table1[[#This Row],[Pout]]/(Table1[[#This Row],[Pout]]+Table1[[#This Row],[Total Loss]])</f>
        <v>0.94365347132784827</v>
      </c>
      <c r="BL14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248.60137253148852</v>
      </c>
      <c r="BM148" s="559">
        <f>IF(Table1[[#This Row],[Vin]]&gt;Vout, Table1[[#This Row],[Total Sync Bu MOSFET Loss]]*ThetaJA_Q2, ThetaJA_Q3*Table1[[#This Row],[Total Sync Bo MOSFET Loss]])</f>
        <v>57.442067499038934</v>
      </c>
      <c r="BN148" s="9"/>
      <c r="BO148" s="4">
        <f>Table1[[#This Row],[EFF, h]]*100</f>
        <v>94.365347132784834</v>
      </c>
      <c r="BP148" s="354">
        <f>Table1[[#This Row],[Total Inductor Loss]]</f>
        <v>2.0632081766524379</v>
      </c>
      <c r="BQ148" s="354">
        <f>Table1[[#This Row],[Total Control Bu MOSFET Loss]]+Table1[[#This Row],[Total Sync Bu MOSFET Loss]]+Table1[[#This Row],[Total Control Bo MOSFET Loss]]+Table1[[#This Row],[Total Sync Bo MOSFET Loss]]+Table1[[#This Row],[Reverse Recovery Loss MOSFET D BUCK]]+Table1[[#This Row],[Reverse Recovery Loss MOSFET D BOOST]]</f>
        <v>6.1751314452120099</v>
      </c>
      <c r="BR148" s="354">
        <f>Table1[[#This Row],[Total Control Bu MOSFET Loss]]+Table1[[#This Row],[Reverse Recovery Loss MOSFET D BUCK]]*0.66</f>
        <v>4.3784186408581425</v>
      </c>
      <c r="BS148" s="354">
        <f>Table1[[#This Row],[Total Sync Bu MOSFET Loss]]+Table1[[#This Row],[Reverse Recovery Loss MOSFET D BUCK]]*0.33</f>
        <v>1.0748990076506488</v>
      </c>
      <c r="BT148" s="354">
        <f xml:space="preserve"> Table1[[#This Row],[Total Control Bo MOSFET Loss]]+Table1[[#This Row],[Reverse Recovery Loss MOSFET D BOOST]]*0.66</f>
        <v>0</v>
      </c>
      <c r="BU148" s="354">
        <f xml:space="preserve"> Table1[[#This Row],[Total Sync Bo MOSFET Loss]]+Table1[[#This Row],[Reverse Recovery Loss MOSFET D BOOST]]*0.33</f>
        <v>0.71825224470321891</v>
      </c>
      <c r="BV148" s="354">
        <f>Table1[[#This Row],[Isense Shunt Loss]]</f>
        <v>0.18392758772137274</v>
      </c>
    </row>
    <row r="149" spans="7:74" x14ac:dyDescent="0.2">
      <c r="G149">
        <v>140</v>
      </c>
      <c r="H149" s="555">
        <f>VIN_min+(VIN_max-VIN_min)*(Table1[[#This Row],[Step]]/200)</f>
        <v>29.799999999999997</v>
      </c>
      <c r="I149" s="4" t="str">
        <f>IF(Mode = 2,IF(Table1[[#This Row],[Vin]]&gt;Vout, "BUCK","BOOST"),IF(Table1[[#This Row],[Vin]]&gt;VIN_BB_to_buck, "BUCK", IF(Table1[[#This Row],[Vin]]&lt;=VIN_boost_to_BB,"BOOST","BUCK-BST")))</f>
        <v>BUCK</v>
      </c>
      <c r="J149">
        <f>IF(Table1[[#This Row],[Mode]]="BOOST",2, IF(Table1[[#This Row],[Mode]]="BUCK", 1,3))</f>
        <v>1</v>
      </c>
      <c r="K149">
        <f t="shared" si="7"/>
        <v>12</v>
      </c>
      <c r="L149" s="4">
        <f>Vout*Table1[[#This Row],[Iout]]/(Table1[[#This Row],[Vin]]*Efficiency)</f>
        <v>6.1886259272341935</v>
      </c>
      <c r="M149" s="711">
        <f>MIN(1/Fsw,CHOOSE(Table1[[#This Row],[Mode Digit]],(Vout+(Rdson2+Rs+Rdcr)*Table1[[#This Row],[Iout]])/(Table1[[#This Row],[Vin]]+(Rs+Rdson2-Rdson1)*Table1[[#This Row],[Iout]])/Fsw,(Vout+(Rdson3+Rdcr)*Table1[[#This Row],[Iin]]-Table1[[#This Row],[Vin]])/(Vout+(Rdson3-Rdson4-Rs)*Table1[[#This Row],[Iin]])/Fsw,t1_Ph_II))</f>
        <v>8.2411442619287078E-7</v>
      </c>
      <c r="N149" s="602">
        <f>CHOOSE(Table1[[#This Row],[Mode Digit]],1/Fsw-Table1[[#This Row],[t1_Ph_II]],1/Fsw-Table1[[#This Row],[t1_Ph_II]],(Vout/Fsw-Table1[[#This Row],[Vin]]*t1_Ph_II)/(Table1[[#This Row],[Vin]]+Vout))</f>
        <v>8.4255224047379588E-7</v>
      </c>
      <c r="O149" s="602">
        <f>1/Fsw-(Table1[[#This Row],[t1_Ph_II]]+Table1[[#This Row],[t2_Ph_I]])</f>
        <v>0</v>
      </c>
      <c r="P14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9.6275493791417368</v>
      </c>
      <c r="Q149" s="4">
        <f>CHOOSE(Table1[[#This Row],[Mode Digit]],Table1[[#This Row],[I_0]]+1/Lf*(Table1[[#This Row],[Vin]]-Vout)*Table1[[#This Row],[t1_Ph_II]],Table1[[#This Row],[I_0]]+1/Lf*Table1[[#This Row],[Vin]]*Table1[[#This Row],[t1_Ph_II]],Table1[[#This Row],[I_0]]+(Table1[[#This Row],[Vin]]-Vout)/L*Table1[[#This Row],[t1_Ph_II]])</f>
        <v>14.372450620858265</v>
      </c>
      <c r="R149" s="4">
        <f>CHOOSE(Table1[[#This Row],[Mode Digit]],0,0,Table1[[#This Row],[I_1]]+Table1[[#This Row],[Vin]]/L*Table1[[#This Row],[t2_Ph_I]])</f>
        <v>0</v>
      </c>
      <c r="S149" s="4">
        <f>Fsw*(Table1[[#This Row],[I_0]]*Table1[[#This Row],[t1_Ph_II]]+Table1[[#This Row],[I_1]]*Table1[[#This Row],[t2_Ph_I]]+Table1[[#This Row],[I_2]]*Table1[[#This Row],[t3_Ph_III]])</f>
        <v>12.026245682362832</v>
      </c>
      <c r="T149" s="354">
        <f>MIN(1,CHOOSE(Table1[[#This Row],[Mode Digit]],(Vout+(Rdson2+Rs+Rdcr)*Table1[[#This Row],[Iout]])/(Table1[[#This Row],[Vin]]+(Rs+Rdson2-Rdson1)*Table1[[#This Row],[Iout]]),1,Fsw*Table1[[#This Row],[t2_Ph_I]]+Table1[[#This Row],[t1_Ph_II]]))</f>
        <v>0.49446865571572246</v>
      </c>
      <c r="U149" s="354">
        <f>MIN(1,CHOOSE(Table1[[#This Row],[Mode Digit]],0,(Vout+(Rdson3+Rdcr)*Table1[[#This Row],[Iin]]-Table1[[#This Row],[Vin]])/(Vout+(Rdson3-Rdson4-Rs)*Table1[[#This Row],[Iin]]),Fsw*Table1[[#This Row],[t1_Ph_II]]+Table1[[#This Row],[t3_Ph_III]]))</f>
        <v>0</v>
      </c>
      <c r="V149" s="4">
        <f>MAX(Table1[[#This Row],[I_0]:[I_2]])-MIN(Table1[[#This Row],[I_0]:[I_1]])</f>
        <v>4.7449012417165282</v>
      </c>
      <c r="W14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12.07792092964694</v>
      </c>
      <c r="X149" s="354">
        <f>(Table1[[#This Row],[Irms Lf]]^2*Rdcr*(1+Ltc*Ta-Ltc*25))/(1-Table1[[#This Row],[Irms Lf]]^2*Rdcr*Ltc*ThetaCa)</f>
        <v>0.90750788194238563</v>
      </c>
      <c r="Y149" s="354">
        <f>ABS(7.759*10^-3*Fsw^0.9458*(0.00787*Table1[[#This Row],[Ripple Current pk-pk]])^2.304)</f>
        <v>1.1618081137018799</v>
      </c>
      <c r="Z149" s="354">
        <f>Table1[[#This Row],[DCR    Loss]]+Table1[[#This Row],[Core Loss]]</f>
        <v>2.0693159956442653</v>
      </c>
      <c r="AA149" s="4">
        <f>IF(Table1[[#This Row],[Vin]]&gt;Vout, Table1[[#This Row],[Ripple Current pk-pk]]/SQRT(12), SQRT(Table1[[#This Row],[Duty Cycle BOOST Leg]]/(1-Table1[[#This Row],[Duty Cycle BOOST Leg]]))*SQRT(Table1[[#This Row],[Iout]]^2+(Table1[[#This Row],[Ripple Current pk-pk]]^2)/12))</f>
        <v>1.3697350045916137</v>
      </c>
      <c r="AB149" s="354">
        <f>RCoutEsr*Table1[[#This Row],[Irms Cout]]^2</f>
        <v>9.3808699140179395E-3</v>
      </c>
      <c r="AC149" s="354">
        <f>Table1[[#This Row],[Cout ESR Loss]]</f>
        <v>9.3808699140179395E-3</v>
      </c>
      <c r="AD149" s="354">
        <f>IF(Table1[[#This Row],[Vin]]&gt;Vout, SQRT(Table1[[#This Row],[Duty Cycle BUCK Leg]]*(1-Table1[[#This Row],[Duty Cycle BUCK Leg]]))*SQRT(Table1[[#This Row],[Iout]]^2+(Table1[[#This Row],[Ripple Current pk-pk]]^2)/12), Table1[[#This Row],[Ripple Current pk-pk]]/SQRT(12))</f>
        <v>6.0385909202307175</v>
      </c>
      <c r="AE149" s="354">
        <f>RCinEsr*Table1[[#This Row],[Irms Cin]]^2</f>
        <v>7.2929160603785737E-2</v>
      </c>
      <c r="AF149" s="549">
        <f>Table1[[#This Row],[Cin ESR Loss]]</f>
        <v>7.2929160603785737E-2</v>
      </c>
      <c r="AG14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8.4930086335897332</v>
      </c>
      <c r="AH149" s="354">
        <f>Rdson1*Table1[[#This Row],[Irms BuCtrl]]^2</f>
        <v>0.30295102173096494</v>
      </c>
      <c r="AI149" s="354">
        <f>CHOOSE(Table1[[#This Row],[Mode Digit]], (Table1[[#This Row],[Vin]]*Table1[[#This Row],[Iout]]/2)*(Fsw)*(Tr_buck+Tf_buck), 0, (Table1[[#This Row],[Vin]]*Table1[[#This Row],[Avg IL]]/2)*(Fsw/1)*(Tr_buck+Tf_buck))</f>
        <v>3.546092818751263</v>
      </c>
      <c r="AJ149">
        <f>IF(Table1[[#This Row],[Vin]]&gt;Vout, IF(Table1[[#This Row],[Iout]]&gt;Table1[[#This Row],[Ripple Current pk-pk]]/2,0,ABS(Table1[[#This Row],[Iout]]-Table1[[#This Row],[Ripple Current pk-pk]]/2)*Vsd_Q1*Deadtime*Fsw),0)</f>
        <v>0</v>
      </c>
      <c r="AK149" s="354">
        <f>(Table1[[#This Row],[Dead Time Loss BuCtrl]]+Table1[[#This Row],[Transition Loss BuCtrl]]+Table1[[#This Row],[RDS(on) Loss BuCtrl]]*(1+RdsonTopTc*Ta-RdsonTopTc*25))/(1-Table1[[#This Row],[RDS(on) Loss BuCtrl]]*RdsonTopTc*ThetaJA_Q1)</f>
        <v>4.1508444571217513</v>
      </c>
      <c r="AL149" s="354">
        <f>CHOOSE(Table1[[#This Row],[Mode Digit]],SQRT((Fsw*(Table1[[#This Row],[t2_Ph_I]]+0))*((Table1[[#This Row],[I_0]]*Table1[[#This Row],[I_1]]+((Table1[[#This Row],[I_0]]-Table1[[#This Row],[I_1]])^2)/3))),0,SQRT((Fsw*(Table1[[#This Row],[t3_Ph_III]]+0))*((Table1[[#This Row],[I_0]]*Table1[[#This Row],[I_2]]+((Table1[[#This Row],[I_0]]-Table1[[#This Row],[I_2]])^2)/3))))</f>
        <v>8.587489640900527</v>
      </c>
      <c r="AM149" s="354">
        <f>Rdson2*Table1[[#This Row],[Irms BuSync]]^2</f>
        <v>0.30972890899681027</v>
      </c>
      <c r="AN14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49" s="354">
        <f>(Table1[[#This Row],[Deadtime Loss BuSync]]+Table1[[#This Row],[RDS(on) Loss BuSync]]*(1+RdsonBotTc*Ta-RdsonBotTc*25))/(1-Table1[[#This Row],[RDS(on) Loss BuSync]]*RdsonBotTc*ThetaJA_Q2)</f>
        <v>0.95833836031810749</v>
      </c>
      <c r="AP149" s="354">
        <f>CHOOSE(Table1[[#This Row],[Mode Digit]],0,SQRT((Fsw*(Table1[[#This Row],[t1_Ph_II]]+0))*((Table1[[#This Row],[I_0]]*Table1[[#This Row],[I_1]]+((Table1[[#This Row],[I_0]]-Table1[[#This Row],[I_1]])^2)/3))),SQRT((Fsw*(Table1[[#This Row],[t2_Ph_I]]+0))*((Table1[[#This Row],[I_1]]*Table1[[#This Row],[I_2]]+((Table1[[#This Row],[I_1]]-Table1[[#This Row],[I_2]])^2)/3))))</f>
        <v>0</v>
      </c>
      <c r="AQ149" s="354">
        <f>Rdson4*Table1[[#This Row],[Irms BoCtlr]]^2</f>
        <v>0</v>
      </c>
      <c r="AR149" s="354">
        <f>CHOOSE(Table1[[#This Row],[Mode Digit]], 0, (Vout*Table1[[#This Row],[Iin]]/2)*(Fsw)*(Tr_boost+Tf_boost), (Vout*Iout/2)*(Fsw/1)*(Tr_boost+Tf_boost))</f>
        <v>0</v>
      </c>
      <c r="AS149">
        <f>IF(Table1[[#This Row],[Vin]]&gt;Vout, 0, IF(Table1[[#This Row],[Iin]]&gt;Table1[[#This Row],[Ripple Current pk-pk]]/2,0,ABS(Table1[[#This Row],[Iin]]-Table1[[#This Row],[Ripple Current pk-pk]]/2)*Vsd_Q4*Deadtime*Fsw))</f>
        <v>0</v>
      </c>
      <c r="AT149" s="354">
        <f>(Table1[[#This Row],[Dead Time Loss BoCtlr]]+Table1[[#This Row],[Transition Loss BoCtlr]]+Table1[[#This Row],[RDS(on) Loss BoCtlr]]*(1+RdsonTopTc*Ta-RdsonTopTc*25))/(1-Table1[[#This Row],[RDS(on) Loss BoCtlr]]*RdsonTopTc*ThetaJA_Q4)</f>
        <v>0</v>
      </c>
      <c r="AU14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12.07792092964694</v>
      </c>
      <c r="AV149" s="354">
        <f>Rdson3*Table1[[#This Row],[Irms BoSync]]^2</f>
        <v>0.61267993072777527</v>
      </c>
      <c r="AW14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49" s="354">
        <f>(Table1[[#This Row],[Deadtime Loss BoSync]]+Table1[[#This Row],[RDS(on) Loss BoSync]]*(1+RdsonBotTc*Ta-RdsonBotTc*25))/(1-Table1[[#This Row],[RDS(on) Loss BoSync]]*RdsonBotTc*ThetaJA_Q3)</f>
        <v>0.71830123024492853</v>
      </c>
      <c r="AY149" s="354">
        <f>CHOOSE(Table1[[#This Row],[Mode Digit]], Rdson3*Table1[[#This Row],[Irms Lf]]^2, Rdson1*Table1[[#This Row],[Irms Lf]]^2, 0)</f>
        <v>0.61267993072777527</v>
      </c>
      <c r="AZ149" s="354">
        <f>CHOOSE(Table1[[#This Row],[Mode Digit]], 2*Deadtime*Fsw*IF(VfdSky_Q2&gt;0,VfdSky_Q2,0)*Table1[[#This Row],[Iout]], 2*Deadtime*Fsw*IF(VfdSky_Q3&gt;0,VfdSky_Q3,0)*Table1[[#This Row],[Iin]], 2*Deadtime*Fsw*IF(VfdSky_Q2&gt;0,VfdSky_Q2,0)*Table1[[#This Row],[Iout]]+2*Deadtime*Fsw*IF(VfdSky_Q3&gt;0,VfdSky_Q3,0)*Table1[[#This Row],[Iin]])</f>
        <v>0</v>
      </c>
      <c r="BA149" s="354">
        <f>CHOOSE(Table1[[#This Row],[Mode Digit]], IF(QrrSky_Q2&gt;0,QrrSky_Q2,Qrr_Q2)*Fsw*(Table1[[#This Row],[Vin]]-Table1[[#This Row],[Iout]]*Rdson1),0,  IF(QrrSky_Q2&gt;0,QrrSky_Q2,Qrr_Q2)*Fsw*(Table1[[#This Row],[Vin]]-Table1[[#This Row],[Iout]]*Rdson1)+IF(QrrSky_Q3&gt;0,QrrSky_Q3,Qrr_Q3)*Fsw*Vout)</f>
        <v>0.35699519999999996</v>
      </c>
      <c r="BB149" s="354">
        <f>CHOOSE(Table1[[#This Row],[Mode Digit]],0, IF(QrrSky_Q3&gt;0,QrrSky_Q3,Qrr_Q3)*Fsw*Vout,  IF(QrrSky_Q2&gt;0,QrrSky_Q2,Qrr_Q2)*Fsw*(Table1[[#This Row],[Vin]]-Table1[[#This Row],[Iout]]*Rdson1)+IF(QrrSky_Q3&gt;0,QrrSky_Q3,Qrr_Q3)*Fsw*Vout)</f>
        <v>0</v>
      </c>
      <c r="BC149" s="354">
        <f>CHOOSE(Table1[[#This Row],[Mode Digit]], Rs*Table1[[#This Row],[Irms BuSync]]^2, Rs*Table1[[#This Row],[Irms BoCtlr]]^2, Rs*(Table1[[#This Row],[Irms BuSync]]^2+Table1[[#This Row],[Irms BoCtlr]]^2))</f>
        <v>0.18436244583143466</v>
      </c>
      <c r="BD149" s="354">
        <f t="shared" si="8"/>
        <v>1.44</v>
      </c>
      <c r="BE149" s="354">
        <f>IF(Vout&gt;8, Iq*Vout, Iq*Table1[[#This Row],[Vin]])</f>
        <v>4.3799999999999999E-2</v>
      </c>
      <c r="BF149" s="354">
        <f>CHOOSE(Table1[[#This Row],[Mode Digit]], (Qg_Q1+Qg_Q2)*Fsw, (Qg_Q3+Qg_Q4)*Fsw, (Qg_Q1+Qg_Q2+Qg_Q3+Qg_Q4)*Fsw)*IF(Vout&gt;8, Vout, Table1[[#This Row],[Vin]])</f>
        <v>0.47303999999999996</v>
      </c>
      <c r="BG149" s="354">
        <f t="shared" si="9"/>
        <v>0.57269042016806726</v>
      </c>
      <c r="BH149" s="354">
        <f>Table1[[#This Row],[IQ Loss]]+Table1[[#This Row],[Switching Current Loss]]</f>
        <v>0.51683999999999997</v>
      </c>
      <c r="BI14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10.477307719678288</v>
      </c>
      <c r="BJ149">
        <f>Vout*Table1[[#This Row],[Iout]]</f>
        <v>175.2</v>
      </c>
      <c r="BK149" s="550">
        <f>Table1[[#This Row],[Pout]]/(Table1[[#This Row],[Pout]]+Table1[[#This Row],[Total Loss]])</f>
        <v>0.9435724922536245</v>
      </c>
      <c r="BL14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249.05066742730509</v>
      </c>
      <c r="BM149" s="559">
        <f>IF(Table1[[#This Row],[Vin]]&gt;Vout, Table1[[#This Row],[Total Sync Bu MOSFET Loss]]*ThetaJA_Q2, ThetaJA_Q3*Table1[[#This Row],[Total Sync Bo MOSFET Loss]])</f>
        <v>57.50030161908645</v>
      </c>
      <c r="BN149" s="9"/>
      <c r="BO149" s="4">
        <f>Table1[[#This Row],[EFF, h]]*100</f>
        <v>94.357249225362452</v>
      </c>
      <c r="BP149" s="354">
        <f>Table1[[#This Row],[Total Inductor Loss]]</f>
        <v>2.0693159956442653</v>
      </c>
      <c r="BQ149" s="354">
        <f>Table1[[#This Row],[Total Control Bu MOSFET Loss]]+Table1[[#This Row],[Total Sync Bu MOSFET Loss]]+Table1[[#This Row],[Total Control Bo MOSFET Loss]]+Table1[[#This Row],[Total Sync Bo MOSFET Loss]]+Table1[[#This Row],[Reverse Recovery Loss MOSFET D BUCK]]+Table1[[#This Row],[Reverse Recovery Loss MOSFET D BOOST]]</f>
        <v>6.184479247684787</v>
      </c>
      <c r="BR149" s="354">
        <f>Table1[[#This Row],[Total Control Bu MOSFET Loss]]+Table1[[#This Row],[Reverse Recovery Loss MOSFET D BUCK]]*0.66</f>
        <v>4.3864612891217512</v>
      </c>
      <c r="BS149" s="354">
        <f>Table1[[#This Row],[Total Sync Bu MOSFET Loss]]+Table1[[#This Row],[Reverse Recovery Loss MOSFET D BUCK]]*0.33</f>
        <v>1.0761467763181074</v>
      </c>
      <c r="BT149" s="354">
        <f xml:space="preserve"> Table1[[#This Row],[Total Control Bo MOSFET Loss]]+Table1[[#This Row],[Reverse Recovery Loss MOSFET D BOOST]]*0.66</f>
        <v>0</v>
      </c>
      <c r="BU149" s="354">
        <f xml:space="preserve"> Table1[[#This Row],[Total Sync Bo MOSFET Loss]]+Table1[[#This Row],[Reverse Recovery Loss MOSFET D BOOST]]*0.33</f>
        <v>0.71830123024492853</v>
      </c>
      <c r="BV149" s="354">
        <f>Table1[[#This Row],[Isense Shunt Loss]]</f>
        <v>0.18436244583143466</v>
      </c>
    </row>
    <row r="150" spans="7:74" x14ac:dyDescent="0.2">
      <c r="G150">
        <v>141</v>
      </c>
      <c r="H150" s="555">
        <f>VIN_min+(VIN_max-VIN_min)*(Table1[[#This Row],[Step]]/200)</f>
        <v>29.869999999999997</v>
      </c>
      <c r="I150" s="4" t="str">
        <f>IF(Mode = 2,IF(Table1[[#This Row],[Vin]]&gt;Vout, "BUCK","BOOST"),IF(Table1[[#This Row],[Vin]]&gt;VIN_BB_to_buck, "BUCK", IF(Table1[[#This Row],[Vin]]&lt;=VIN_boost_to_BB,"BOOST","BUCK-BST")))</f>
        <v>BUCK</v>
      </c>
      <c r="J150">
        <f>IF(Table1[[#This Row],[Mode]]="BOOST",2, IF(Table1[[#This Row],[Mode]]="BUCK", 1,3))</f>
        <v>1</v>
      </c>
      <c r="K150">
        <f t="shared" si="7"/>
        <v>12</v>
      </c>
      <c r="L150" s="4">
        <f>Vout*Table1[[#This Row],[Iout]]/(Table1[[#This Row],[Vin]]*Efficiency)</f>
        <v>6.1741229538526605</v>
      </c>
      <c r="M150" s="711">
        <f>MIN(1/Fsw,CHOOSE(Table1[[#This Row],[Mode Digit]],(Vout+(Rdson2+Rs+Rdcr)*Table1[[#This Row],[Iout]])/(Table1[[#This Row],[Vin]]+(Rs+Rdson2-Rdson1)*Table1[[#This Row],[Iout]])/Fsw,(Vout+(Rdson3+Rdcr)*Table1[[#This Row],[Iin]]-Table1[[#This Row],[Vin]])/(Vout+(Rdson3-Rdson4-Rs)*Table1[[#This Row],[Iin]])/Fsw,t1_Ph_II))</f>
        <v>8.2218506131549612E-7</v>
      </c>
      <c r="N150" s="602">
        <f>CHOOSE(Table1[[#This Row],[Mode Digit]],1/Fsw-Table1[[#This Row],[t1_Ph_II]],1/Fsw-Table1[[#This Row],[t1_Ph_II]],(Vout/Fsw-Table1[[#This Row],[Vin]]*t1_Ph_II)/(Table1[[#This Row],[Vin]]+Vout))</f>
        <v>8.4448160535117054E-7</v>
      </c>
      <c r="O150" s="602">
        <f>1/Fsw-(Table1[[#This Row],[t1_Ph_II]]+Table1[[#This Row],[t2_Ph_I]])</f>
        <v>0</v>
      </c>
      <c r="P15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9.6222034306273443</v>
      </c>
      <c r="Q150" s="4">
        <f>CHOOSE(Table1[[#This Row],[Mode Digit]],Table1[[#This Row],[I_0]]+1/Lf*(Table1[[#This Row],[Vin]]-Vout)*Table1[[#This Row],[t1_Ph_II]],Table1[[#This Row],[I_0]]+1/Lf*Table1[[#This Row],[Vin]]*Table1[[#This Row],[t1_Ph_II]],Table1[[#This Row],[I_0]]+(Table1[[#This Row],[Vin]]-Vout)/L*Table1[[#This Row],[t1_Ph_II]])</f>
        <v>14.377796569372656</v>
      </c>
      <c r="R150" s="4">
        <f>CHOOSE(Table1[[#This Row],[Mode Digit]],0,0,Table1[[#This Row],[I_1]]+Table1[[#This Row],[Vin]]/L*Table1[[#This Row],[t2_Ph_I]])</f>
        <v>0</v>
      </c>
      <c r="S150" s="4">
        <f>Fsw*(Table1[[#This Row],[I_0]]*Table1[[#This Row],[t1_Ph_II]]+Table1[[#This Row],[I_1]]*Table1[[#This Row],[t2_Ph_I]]+Table1[[#This Row],[I_2]]*Table1[[#This Row],[t3_Ph_III]])</f>
        <v>12.031809987550135</v>
      </c>
      <c r="T150" s="354">
        <f>MIN(1,CHOOSE(Table1[[#This Row],[Mode Digit]],(Vout+(Rdson2+Rs+Rdcr)*Table1[[#This Row],[Iout]])/(Table1[[#This Row],[Vin]]+(Rs+Rdson2-Rdson1)*Table1[[#This Row],[Iout]]),1,Fsw*Table1[[#This Row],[t2_Ph_I]]+Table1[[#This Row],[t1_Ph_II]]))</f>
        <v>0.49331103678929766</v>
      </c>
      <c r="U150" s="354">
        <f>MIN(1,CHOOSE(Table1[[#This Row],[Mode Digit]],0,(Vout+(Rdson3+Rdcr)*Table1[[#This Row],[Iin]]-Table1[[#This Row],[Vin]])/(Vout+(Rdson3-Rdson4-Rs)*Table1[[#This Row],[Iin]]),Fsw*Table1[[#This Row],[t1_Ph_II]]+Table1[[#This Row],[t3_Ph_III]]))</f>
        <v>0</v>
      </c>
      <c r="V150" s="4">
        <f>MAX(Table1[[#This Row],[I_0]:[I_2]])-MIN(Table1[[#This Row],[I_0]:[I_1]])</f>
        <v>4.7555931387453114</v>
      </c>
      <c r="W15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12.07827135155414</v>
      </c>
      <c r="X150" s="354">
        <f>(Table1[[#This Row],[Irms Lf]]^2*Rdcr*(1+Ltc*Ta-Ltc*25))/(1-Table1[[#This Row],[Irms Lf]]^2*Rdcr*Ltc*ThetaCa)</f>
        <v>0.90756436596860268</v>
      </c>
      <c r="Y150" s="354">
        <f>ABS(7.759*10^-3*Fsw^0.9458*(0.00787*Table1[[#This Row],[Ripple Current pk-pk]])^2.304)</f>
        <v>1.1678487432673661</v>
      </c>
      <c r="Z150" s="354">
        <f>Table1[[#This Row],[DCR    Loss]]+Table1[[#This Row],[Core Loss]]</f>
        <v>2.0754131092359689</v>
      </c>
      <c r="AA150" s="4">
        <f>IF(Table1[[#This Row],[Vin]]&gt;Vout, Table1[[#This Row],[Ripple Current pk-pk]]/SQRT(12), SQRT(Table1[[#This Row],[Duty Cycle BOOST Leg]]/(1-Table1[[#This Row],[Duty Cycle BOOST Leg]]))*SQRT(Table1[[#This Row],[Iout]]^2+(Table1[[#This Row],[Ripple Current pk-pk]]^2)/12))</f>
        <v>1.3728214894054716</v>
      </c>
      <c r="AB150" s="354">
        <f>RCoutEsr*Table1[[#This Row],[Irms Cout]]^2</f>
        <v>9.4231942088672856E-3</v>
      </c>
      <c r="AC150" s="354">
        <f>Table1[[#This Row],[Cout ESR Loss]]</f>
        <v>9.4231942088672856E-3</v>
      </c>
      <c r="AD150" s="354">
        <f>IF(Table1[[#This Row],[Vin]]&gt;Vout, SQRT(Table1[[#This Row],[Duty Cycle BUCK Leg]]*(1-Table1[[#This Row],[Duty Cycle BUCK Leg]]))*SQRT(Table1[[#This Row],[Iout]]^2+(Table1[[#This Row],[Ripple Current pk-pk]]^2)/12), Table1[[#This Row],[Ripple Current pk-pk]]/SQRT(12))</f>
        <v>6.03859524281508</v>
      </c>
      <c r="AE150" s="354">
        <f>RCinEsr*Table1[[#This Row],[Irms Cin]]^2</f>
        <v>7.2929265013097835E-2</v>
      </c>
      <c r="AF150" s="549">
        <f>Table1[[#This Row],[Cin ESR Loss]]</f>
        <v>7.2929265013097835E-2</v>
      </c>
      <c r="AG15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8.4833072818722961</v>
      </c>
      <c r="AH150" s="354">
        <f>Rdson1*Table1[[#This Row],[Irms BuCtrl]]^2</f>
        <v>0.3022593102424036</v>
      </c>
      <c r="AI150" s="354">
        <f>CHOOSE(Table1[[#This Row],[Mode Digit]], (Table1[[#This Row],[Vin]]*Table1[[#This Row],[Iout]]/2)*(Fsw)*(Tr_buck+Tf_buck), 0, (Table1[[#This Row],[Vin]]*Table1[[#This Row],[Avg IL]]/2)*(Fsw/1)*(Tr_buck+Tf_buck))</f>
        <v>3.554422566983229</v>
      </c>
      <c r="AJ150">
        <f>IF(Table1[[#This Row],[Vin]]&gt;Vout, IF(Table1[[#This Row],[Iout]]&gt;Table1[[#This Row],[Ripple Current pk-pk]]/2,0,ABS(Table1[[#This Row],[Iout]]-Table1[[#This Row],[Ripple Current pk-pk]]/2)*Vsd_Q1*Deadtime*Fsw),0)</f>
        <v>0</v>
      </c>
      <c r="AK150" s="354">
        <f>(Table1[[#This Row],[Dead Time Loss BuCtrl]]+Table1[[#This Row],[Transition Loss BuCtrl]]+Table1[[#This Row],[RDS(on) Loss BuCtrl]]*(1+RdsonTopTc*Ta-RdsonTopTc*25))/(1-Table1[[#This Row],[RDS(on) Loss BuCtrl]]*RdsonTopTc*ThetaJA_Q1)</f>
        <v>4.1583369297388435</v>
      </c>
      <c r="AL150" s="354">
        <f>CHOOSE(Table1[[#This Row],[Mode Digit]],SQRT((Fsw*(Table1[[#This Row],[t2_Ph_I]]+0))*((Table1[[#This Row],[I_0]]*Table1[[#This Row],[I_1]]+((Table1[[#This Row],[I_0]]-Table1[[#This Row],[I_1]])^2)/3))),0,SQRT((Fsw*(Table1[[#This Row],[t3_Ph_III]]+0))*((Table1[[#This Row],[I_0]]*Table1[[#This Row],[I_2]]+((Table1[[#This Row],[I_0]]-Table1[[#This Row],[I_2]])^2)/3))))</f>
        <v>8.5975657254310036</v>
      </c>
      <c r="AM150" s="354">
        <f>Rdson2*Table1[[#This Row],[Irms BuSync]]^2</f>
        <v>0.31045617289304495</v>
      </c>
      <c r="AN15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0" s="354">
        <f>(Table1[[#This Row],[Deadtime Loss BuSync]]+Table1[[#This Row],[RDS(on) Loss BuSync]]*(1+RdsonBotTc*Ta-RdsonBotTc*25))/(1-Table1[[#This Row],[RDS(on) Loss BuSync]]*RdsonBotTc*ThetaJA_Q2)</f>
        <v>0.9593049131372976</v>
      </c>
      <c r="AP150" s="354">
        <f>CHOOSE(Table1[[#This Row],[Mode Digit]],0,SQRT((Fsw*(Table1[[#This Row],[t1_Ph_II]]+0))*((Table1[[#This Row],[I_0]]*Table1[[#This Row],[I_1]]+((Table1[[#This Row],[I_0]]-Table1[[#This Row],[I_1]])^2)/3))),SQRT((Fsw*(Table1[[#This Row],[t2_Ph_I]]+0))*((Table1[[#This Row],[I_1]]*Table1[[#This Row],[I_2]]+((Table1[[#This Row],[I_1]]-Table1[[#This Row],[I_2]])^2)/3))))</f>
        <v>0</v>
      </c>
      <c r="AQ150" s="354">
        <f>Rdson4*Table1[[#This Row],[Irms BoCtlr]]^2</f>
        <v>0</v>
      </c>
      <c r="AR150" s="354">
        <f>CHOOSE(Table1[[#This Row],[Mode Digit]], 0, (Vout*Table1[[#This Row],[Iin]]/2)*(Fsw)*(Tr_boost+Tf_boost), (Vout*Iout/2)*(Fsw/1)*(Tr_boost+Tf_boost))</f>
        <v>0</v>
      </c>
      <c r="AS150">
        <f>IF(Table1[[#This Row],[Vin]]&gt;Vout, 0, IF(Table1[[#This Row],[Iin]]&gt;Table1[[#This Row],[Ripple Current pk-pk]]/2,0,ABS(Table1[[#This Row],[Iin]]-Table1[[#This Row],[Ripple Current pk-pk]]/2)*Vsd_Q4*Deadtime*Fsw))</f>
        <v>0</v>
      </c>
      <c r="AT150" s="354">
        <f>(Table1[[#This Row],[Dead Time Loss BoCtlr]]+Table1[[#This Row],[Transition Loss BoCtlr]]+Table1[[#This Row],[RDS(on) Loss BoCtlr]]*(1+RdsonTopTc*Ta-RdsonTopTc*25))/(1-Table1[[#This Row],[RDS(on) Loss BoCtlr]]*RdsonTopTc*ThetaJA_Q4)</f>
        <v>0</v>
      </c>
      <c r="AU15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12.07827135155414</v>
      </c>
      <c r="AV150" s="354">
        <f>Rdson3*Table1[[#This Row],[Irms BoSync]]^2</f>
        <v>0.61271548313544866</v>
      </c>
      <c r="AW15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0" s="354">
        <f>(Table1[[#This Row],[Deadtime Loss BoSync]]+Table1[[#This Row],[RDS(on) Loss BoSync]]*(1+RdsonBotTc*Ta-RdsonBotTc*25))/(1-Table1[[#This Row],[RDS(on) Loss BoSync]]*RdsonBotTc*ThetaJA_Q3)</f>
        <v>0.71835009764945201</v>
      </c>
      <c r="AY150" s="354">
        <f>CHOOSE(Table1[[#This Row],[Mode Digit]], Rdson3*Table1[[#This Row],[Irms Lf]]^2, Rdson1*Table1[[#This Row],[Irms Lf]]^2, 0)</f>
        <v>0.61271548313544866</v>
      </c>
      <c r="AZ150" s="354">
        <f>CHOOSE(Table1[[#This Row],[Mode Digit]], 2*Deadtime*Fsw*IF(VfdSky_Q2&gt;0,VfdSky_Q2,0)*Table1[[#This Row],[Iout]], 2*Deadtime*Fsw*IF(VfdSky_Q3&gt;0,VfdSky_Q3,0)*Table1[[#This Row],[Iin]], 2*Deadtime*Fsw*IF(VfdSky_Q2&gt;0,VfdSky_Q2,0)*Table1[[#This Row],[Iout]]+2*Deadtime*Fsw*IF(VfdSky_Q3&gt;0,VfdSky_Q3,0)*Table1[[#This Row],[Iin]])</f>
        <v>0</v>
      </c>
      <c r="BA150" s="354">
        <f>CHOOSE(Table1[[#This Row],[Mode Digit]], IF(QrrSky_Q2&gt;0,QrrSky_Q2,Qrr_Q2)*Fsw*(Table1[[#This Row],[Vin]]-Table1[[#This Row],[Iout]]*Rdson1),0,  IF(QrrSky_Q2&gt;0,QrrSky_Q2,Qrr_Q2)*Fsw*(Table1[[#This Row],[Vin]]-Table1[[#This Row],[Iout]]*Rdson1)+IF(QrrSky_Q3&gt;0,QrrSky_Q3,Qrr_Q3)*Fsw*Vout)</f>
        <v>0.35783519999999996</v>
      </c>
      <c r="BB150" s="354">
        <f>CHOOSE(Table1[[#This Row],[Mode Digit]],0, IF(QrrSky_Q3&gt;0,QrrSky_Q3,Qrr_Q3)*Fsw*Vout,  IF(QrrSky_Q2&gt;0,QrrSky_Q2,Qrr_Q2)*Fsw*(Table1[[#This Row],[Vin]]-Table1[[#This Row],[Iout]]*Rdson1)+IF(QrrSky_Q3&gt;0,QrrSky_Q3,Qrr_Q3)*Fsw*Vout)</f>
        <v>0</v>
      </c>
      <c r="BC150" s="354">
        <f>CHOOSE(Table1[[#This Row],[Mode Digit]], Rs*Table1[[#This Row],[Irms BuSync]]^2, Rs*Table1[[#This Row],[Irms BoCtlr]]^2, Rs*(Table1[[#This Row],[Irms BuSync]]^2+Table1[[#This Row],[Irms BoCtlr]]^2))</f>
        <v>0.18479534100776485</v>
      </c>
      <c r="BD150" s="354">
        <f t="shared" si="8"/>
        <v>1.44</v>
      </c>
      <c r="BE150" s="354">
        <f>IF(Vout&gt;8, Iq*Vout, Iq*Table1[[#This Row],[Vin]])</f>
        <v>4.3799999999999999E-2</v>
      </c>
      <c r="BF150" s="354">
        <f>CHOOSE(Table1[[#This Row],[Mode Digit]], (Qg_Q1+Qg_Q2)*Fsw, (Qg_Q3+Qg_Q4)*Fsw, (Qg_Q1+Qg_Q2+Qg_Q3+Qg_Q4)*Fsw)*IF(Vout&gt;8, Vout, Table1[[#This Row],[Vin]])</f>
        <v>0.47303999999999996</v>
      </c>
      <c r="BG150" s="354">
        <f t="shared" si="9"/>
        <v>0.57269042016806726</v>
      </c>
      <c r="BH150" s="354">
        <f>Table1[[#This Row],[IQ Loss]]+Table1[[#This Row],[Switching Current Loss]]</f>
        <v>0.51683999999999997</v>
      </c>
      <c r="BI15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10.493228049991291</v>
      </c>
      <c r="BJ150">
        <f>Vout*Table1[[#This Row],[Iout]]</f>
        <v>175.2</v>
      </c>
      <c r="BK150" s="550">
        <f>Table1[[#This Row],[Pout]]/(Table1[[#This Row],[Pout]]+Table1[[#This Row],[Total Loss]])</f>
        <v>0.9434915954653641</v>
      </c>
      <c r="BL15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249.50021578433061</v>
      </c>
      <c r="BM150" s="559">
        <f>IF(Table1[[#This Row],[Vin]]&gt;Vout, Table1[[#This Row],[Total Sync Bu MOSFET Loss]]*ThetaJA_Q2, ThetaJA_Q3*Table1[[#This Row],[Total Sync Bo MOSFET Loss]])</f>
        <v>57.558294788237859</v>
      </c>
      <c r="BN150" s="9"/>
      <c r="BO150" s="4">
        <f>Table1[[#This Row],[EFF, h]]*100</f>
        <v>94.349159546536413</v>
      </c>
      <c r="BP150" s="354">
        <f>Table1[[#This Row],[Total Inductor Loss]]</f>
        <v>2.0754131092359689</v>
      </c>
      <c r="BQ150" s="354">
        <f>Table1[[#This Row],[Total Control Bu MOSFET Loss]]+Table1[[#This Row],[Total Sync Bu MOSFET Loss]]+Table1[[#This Row],[Total Control Bo MOSFET Loss]]+Table1[[#This Row],[Total Sync Bo MOSFET Loss]]+Table1[[#This Row],[Reverse Recovery Loss MOSFET D BUCK]]+Table1[[#This Row],[Reverse Recovery Loss MOSFET D BOOST]]</f>
        <v>6.1938271405255936</v>
      </c>
      <c r="BR150" s="354">
        <f>Table1[[#This Row],[Total Control Bu MOSFET Loss]]+Table1[[#This Row],[Reverse Recovery Loss MOSFET D BUCK]]*0.66</f>
        <v>4.3945081617388437</v>
      </c>
      <c r="BS150" s="354">
        <f>Table1[[#This Row],[Total Sync Bu MOSFET Loss]]+Table1[[#This Row],[Reverse Recovery Loss MOSFET D BUCK]]*0.33</f>
        <v>1.0773905291372976</v>
      </c>
      <c r="BT150" s="354">
        <f xml:space="preserve"> Table1[[#This Row],[Total Control Bo MOSFET Loss]]+Table1[[#This Row],[Reverse Recovery Loss MOSFET D BOOST]]*0.66</f>
        <v>0</v>
      </c>
      <c r="BU150" s="354">
        <f xml:space="preserve"> Table1[[#This Row],[Total Sync Bo MOSFET Loss]]+Table1[[#This Row],[Reverse Recovery Loss MOSFET D BOOST]]*0.33</f>
        <v>0.71835009764945201</v>
      </c>
      <c r="BV150" s="354">
        <f>Table1[[#This Row],[Isense Shunt Loss]]</f>
        <v>0.18479534100776485</v>
      </c>
    </row>
    <row r="151" spans="7:74" x14ac:dyDescent="0.2">
      <c r="G151">
        <v>142</v>
      </c>
      <c r="H151" s="555">
        <f>VIN_min+(VIN_max-VIN_min)*(Table1[[#This Row],[Step]]/200)</f>
        <v>29.939999999999998</v>
      </c>
      <c r="I151" s="4" t="str">
        <f>IF(Mode = 2,IF(Table1[[#This Row],[Vin]]&gt;Vout, "BUCK","BOOST"),IF(Table1[[#This Row],[Vin]]&gt;VIN_BB_to_buck, "BUCK", IF(Table1[[#This Row],[Vin]]&lt;=VIN_boost_to_BB,"BOOST","BUCK-BST")))</f>
        <v>BUCK</v>
      </c>
      <c r="J151">
        <f>IF(Table1[[#This Row],[Mode]]="BOOST",2, IF(Table1[[#This Row],[Mode]]="BUCK", 1,3))</f>
        <v>1</v>
      </c>
      <c r="K151">
        <f t="shared" si="7"/>
        <v>12</v>
      </c>
      <c r="L151" s="4">
        <f>Vout*Table1[[#This Row],[Iout]]/(Table1[[#This Row],[Vin]]*Efficiency)</f>
        <v>6.1596877966459234</v>
      </c>
      <c r="M151" s="711">
        <f>MIN(1/Fsw,CHOOSE(Table1[[#This Row],[Mode Digit]],(Vout+(Rdson2+Rs+Rdcr)*Table1[[#This Row],[Iout]])/(Table1[[#This Row],[Vin]]+(Rs+Rdson2-Rdson1)*Table1[[#This Row],[Iout]])/Fsw,(Vout+(Rdson3+Rdcr)*Table1[[#This Row],[Iin]]-Table1[[#This Row],[Vin]])/(Vout+(Rdson3-Rdson4-Rs)*Table1[[#This Row],[Iin]])/Fsw,t1_Ph_II))</f>
        <v>8.2026470915359809E-7</v>
      </c>
      <c r="N151" s="602">
        <f>CHOOSE(Table1[[#This Row],[Mode Digit]],1/Fsw-Table1[[#This Row],[t1_Ph_II]],1/Fsw-Table1[[#This Row],[t1_Ph_II]],(Vout/Fsw-Table1[[#This Row],[Vin]]*t1_Ph_II)/(Table1[[#This Row],[Vin]]+Vout))</f>
        <v>8.4640195751306857E-7</v>
      </c>
      <c r="O151" s="602">
        <f>1/Fsw-(Table1[[#This Row],[t1_Ph_II]]+Table1[[#This Row],[t2_Ph_I]])</f>
        <v>0</v>
      </c>
      <c r="P15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9.6168824548454186</v>
      </c>
      <c r="Q151" s="4">
        <f>CHOOSE(Table1[[#This Row],[Mode Digit]],Table1[[#This Row],[I_0]]+1/Lf*(Table1[[#This Row],[Vin]]-Vout)*Table1[[#This Row],[t1_Ph_II]],Table1[[#This Row],[I_0]]+1/Lf*Table1[[#This Row],[Vin]]*Table1[[#This Row],[t1_Ph_II]],Table1[[#This Row],[I_0]]+(Table1[[#This Row],[Vin]]-Vout)/L*Table1[[#This Row],[t1_Ph_II]])</f>
        <v>14.383117545154583</v>
      </c>
      <c r="R151" s="4">
        <f>CHOOSE(Table1[[#This Row],[Mode Digit]],0,0,Table1[[#This Row],[I_1]]+Table1[[#This Row],[Vin]]/L*Table1[[#This Row],[t2_Ph_I]])</f>
        <v>0</v>
      </c>
      <c r="S151" s="4">
        <f>Fsw*(Table1[[#This Row],[I_0]]*Table1[[#This Row],[t1_Ph_II]]+Table1[[#This Row],[I_1]]*Table1[[#This Row],[t2_Ph_I]]+Table1[[#This Row],[I_2]]*Table1[[#This Row],[t3_Ph_III]])</f>
        <v>12.037372881088512</v>
      </c>
      <c r="T151" s="354">
        <f>MIN(1,CHOOSE(Table1[[#This Row],[Mode Digit]],(Vout+(Rdson2+Rs+Rdcr)*Table1[[#This Row],[Iout]])/(Table1[[#This Row],[Vin]]+(Rs+Rdson2-Rdson1)*Table1[[#This Row],[Iout]]),1,Fsw*Table1[[#This Row],[t2_Ph_I]]+Table1[[#This Row],[t1_Ph_II]]))</f>
        <v>0.49215882549215884</v>
      </c>
      <c r="U151" s="354">
        <f>MIN(1,CHOOSE(Table1[[#This Row],[Mode Digit]],0,(Vout+(Rdson3+Rdcr)*Table1[[#This Row],[Iin]]-Table1[[#This Row],[Vin]])/(Vout+(Rdson3-Rdson4-Rs)*Table1[[#This Row],[Iin]]),Fsw*Table1[[#This Row],[t1_Ph_II]]+Table1[[#This Row],[t3_Ph_III]]))</f>
        <v>0</v>
      </c>
      <c r="V151" s="4">
        <f>MAX(Table1[[#This Row],[I_0]:[I_2]])-MIN(Table1[[#This Row],[I_0]:[I_1]])</f>
        <v>4.7662350903091646</v>
      </c>
      <c r="W15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12.078620909607515</v>
      </c>
      <c r="X151" s="354">
        <f>(Table1[[#This Row],[Irms Lf]]^2*Rdcr*(1+Ltc*Ta-Ltc*25))/(1-Table1[[#This Row],[Irms Lf]]^2*Rdcr*Ltc*ThetaCa)</f>
        <v>0.90762071285830781</v>
      </c>
      <c r="Y151" s="354">
        <f>ABS(7.759*10^-3*Fsw^0.9458*(0.00787*Table1[[#This Row],[Ripple Current pk-pk]])^2.304)</f>
        <v>1.1738787665478341</v>
      </c>
      <c r="Z151" s="354">
        <f>Table1[[#This Row],[DCR    Loss]]+Table1[[#This Row],[Core Loss]]</f>
        <v>2.0814994794061419</v>
      </c>
      <c r="AA151" s="4">
        <f>IF(Table1[[#This Row],[Vin]]&gt;Vout, Table1[[#This Row],[Ripple Current pk-pk]]/SQRT(12), SQRT(Table1[[#This Row],[Duty Cycle BOOST Leg]]/(1-Table1[[#This Row],[Duty Cycle BOOST Leg]]))*SQRT(Table1[[#This Row],[Iout]]^2+(Table1[[#This Row],[Ripple Current pk-pk]]^2)/12))</f>
        <v>1.3758935562055183</v>
      </c>
      <c r="AB151" s="354">
        <f>RCoutEsr*Table1[[#This Row],[Irms Cout]]^2</f>
        <v>9.465415390039339E-3</v>
      </c>
      <c r="AC151" s="354">
        <f>Table1[[#This Row],[Cout ESR Loss]]</f>
        <v>9.465415390039339E-3</v>
      </c>
      <c r="AD151" s="354">
        <f>IF(Table1[[#This Row],[Vin]]&gt;Vout, SQRT(Table1[[#This Row],[Duty Cycle BUCK Leg]]*(1-Table1[[#This Row],[Duty Cycle BUCK Leg]]))*SQRT(Table1[[#This Row],[Iout]]^2+(Table1[[#This Row],[Ripple Current pk-pk]]^2)/12), Table1[[#This Row],[Ripple Current pk-pk]]/SQRT(12))</f>
        <v>6.0385677669961746</v>
      </c>
      <c r="AE151" s="354">
        <f>RCinEsr*Table1[[#This Row],[Irms Cin]]^2</f>
        <v>7.2928601353210346E-2</v>
      </c>
      <c r="AF151" s="549">
        <f>Table1[[#This Row],[Cin ESR Loss]]</f>
        <v>7.2928601353210346E-2</v>
      </c>
      <c r="AG15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8.4736396203226807</v>
      </c>
      <c r="AH151" s="354">
        <f>Rdson1*Table1[[#This Row],[Irms BuCtrl]]^2</f>
        <v>0.30157078734342968</v>
      </c>
      <c r="AI151" s="354">
        <f>CHOOSE(Table1[[#This Row],[Mode Digit]], (Table1[[#This Row],[Vin]]*Table1[[#This Row],[Iout]]/2)*(Fsw)*(Tr_buck+Tf_buck), 0, (Table1[[#This Row],[Vin]]*Table1[[#This Row],[Avg IL]]/2)*(Fsw/1)*(Tr_buck+Tf_buck))</f>
        <v>3.562752315215195</v>
      </c>
      <c r="AJ151">
        <f>IF(Table1[[#This Row],[Vin]]&gt;Vout, IF(Table1[[#This Row],[Iout]]&gt;Table1[[#This Row],[Ripple Current pk-pk]]/2,0,ABS(Table1[[#This Row],[Iout]]-Table1[[#This Row],[Ripple Current pk-pk]]/2)*Vsd_Q1*Deadtime*Fsw),0)</f>
        <v>0</v>
      </c>
      <c r="AK151" s="354">
        <f>(Table1[[#This Row],[Dead Time Loss BuCtrl]]+Table1[[#This Row],[Transition Loss BuCtrl]]+Table1[[#This Row],[RDS(on) Loss BuCtrl]]*(1+RdsonTopTc*Ta-RdsonTopTc*25))/(1-Table1[[#This Row],[RDS(on) Loss BuCtrl]]*RdsonTopTc*ThetaJA_Q1)</f>
        <v>4.1658335946585154</v>
      </c>
      <c r="AL151" s="354">
        <f>CHOOSE(Table1[[#This Row],[Mode Digit]],SQRT((Fsw*(Table1[[#This Row],[t2_Ph_I]]+0))*((Table1[[#This Row],[I_0]]*Table1[[#This Row],[I_1]]+((Table1[[#This Row],[I_0]]-Table1[[#This Row],[I_1]])^2)/3))),0,SQRT((Fsw*(Table1[[#This Row],[t3_Ph_III]]+0))*((Table1[[#This Row],[I_0]]*Table1[[#This Row],[I_2]]+((Table1[[#This Row],[I_0]]-Table1[[#This Row],[I_2]])^2)/3))))</f>
        <v>8.6075847171494964</v>
      </c>
      <c r="AM151" s="354">
        <f>Rdson2*Table1[[#This Row],[Irms BuSync]]^2</f>
        <v>0.31118016158420347</v>
      </c>
      <c r="AN15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1" s="354">
        <f>(Table1[[#This Row],[Deadtime Loss BuSync]]+Table1[[#This Row],[RDS(on) Loss BuSync]]*(1+RdsonBotTc*Ta-RdsonBotTc*25))/(1-Table1[[#This Row],[RDS(on) Loss BuSync]]*RdsonBotTc*ThetaJA_Q2)</f>
        <v>0.96026747530684109</v>
      </c>
      <c r="AP151" s="354">
        <f>CHOOSE(Table1[[#This Row],[Mode Digit]],0,SQRT((Fsw*(Table1[[#This Row],[t1_Ph_II]]+0))*((Table1[[#This Row],[I_0]]*Table1[[#This Row],[I_1]]+((Table1[[#This Row],[I_0]]-Table1[[#This Row],[I_1]])^2)/3))),SQRT((Fsw*(Table1[[#This Row],[t2_Ph_I]]+0))*((Table1[[#This Row],[I_1]]*Table1[[#This Row],[I_2]]+((Table1[[#This Row],[I_1]]-Table1[[#This Row],[I_2]])^2)/3))))</f>
        <v>0</v>
      </c>
      <c r="AQ151" s="354">
        <f>Rdson4*Table1[[#This Row],[Irms BoCtlr]]^2</f>
        <v>0</v>
      </c>
      <c r="AR151" s="354">
        <f>CHOOSE(Table1[[#This Row],[Mode Digit]], 0, (Vout*Table1[[#This Row],[Iin]]/2)*(Fsw)*(Tr_boost+Tf_boost), (Vout*Iout/2)*(Fsw/1)*(Tr_boost+Tf_boost))</f>
        <v>0</v>
      </c>
      <c r="AS151">
        <f>IF(Table1[[#This Row],[Vin]]&gt;Vout, 0, IF(Table1[[#This Row],[Iin]]&gt;Table1[[#This Row],[Ripple Current pk-pk]]/2,0,ABS(Table1[[#This Row],[Iin]]-Table1[[#This Row],[Ripple Current pk-pk]]/2)*Vsd_Q4*Deadtime*Fsw))</f>
        <v>0</v>
      </c>
      <c r="AT151" s="354">
        <f>(Table1[[#This Row],[Dead Time Loss BoCtlr]]+Table1[[#This Row],[Transition Loss BoCtlr]]+Table1[[#This Row],[RDS(on) Loss BoCtlr]]*(1+RdsonTopTc*Ta-RdsonTopTc*25))/(1-Table1[[#This Row],[RDS(on) Loss BoCtlr]]*RdsonTopTc*ThetaJA_Q4)</f>
        <v>0</v>
      </c>
      <c r="AU15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12.078620909607515</v>
      </c>
      <c r="AV151" s="354">
        <f>Rdson3*Table1[[#This Row],[Irms BoSync]]^2</f>
        <v>0.61275094892763327</v>
      </c>
      <c r="AW15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1" s="354">
        <f>(Table1[[#This Row],[Deadtime Loss BoSync]]+Table1[[#This Row],[RDS(on) Loss BoSync]]*(1+RdsonBotTc*Ta-RdsonBotTc*25))/(1-Table1[[#This Row],[RDS(on) Loss BoSync]]*RdsonBotTc*ThetaJA_Q3)</f>
        <v>0.71839884697361778</v>
      </c>
      <c r="AY151" s="354">
        <f>CHOOSE(Table1[[#This Row],[Mode Digit]], Rdson3*Table1[[#This Row],[Irms Lf]]^2, Rdson1*Table1[[#This Row],[Irms Lf]]^2, 0)</f>
        <v>0.61275094892763327</v>
      </c>
      <c r="AZ151" s="354">
        <f>CHOOSE(Table1[[#This Row],[Mode Digit]], 2*Deadtime*Fsw*IF(VfdSky_Q2&gt;0,VfdSky_Q2,0)*Table1[[#This Row],[Iout]], 2*Deadtime*Fsw*IF(VfdSky_Q3&gt;0,VfdSky_Q3,0)*Table1[[#This Row],[Iin]], 2*Deadtime*Fsw*IF(VfdSky_Q2&gt;0,VfdSky_Q2,0)*Table1[[#This Row],[Iout]]+2*Deadtime*Fsw*IF(VfdSky_Q3&gt;0,VfdSky_Q3,0)*Table1[[#This Row],[Iin]])</f>
        <v>0</v>
      </c>
      <c r="BA151" s="354">
        <f>CHOOSE(Table1[[#This Row],[Mode Digit]], IF(QrrSky_Q2&gt;0,QrrSky_Q2,Qrr_Q2)*Fsw*(Table1[[#This Row],[Vin]]-Table1[[#This Row],[Iout]]*Rdson1),0,  IF(QrrSky_Q2&gt;0,QrrSky_Q2,Qrr_Q2)*Fsw*(Table1[[#This Row],[Vin]]-Table1[[#This Row],[Iout]]*Rdson1)+IF(QrrSky_Q3&gt;0,QrrSky_Q3,Qrr_Q3)*Fsw*Vout)</f>
        <v>0.35867519999999997</v>
      </c>
      <c r="BB151" s="354">
        <f>CHOOSE(Table1[[#This Row],[Mode Digit]],0, IF(QrrSky_Q3&gt;0,QrrSky_Q3,Qrr_Q3)*Fsw*Vout,  IF(QrrSky_Q2&gt;0,QrrSky_Q2,Qrr_Q2)*Fsw*(Table1[[#This Row],[Vin]]-Table1[[#This Row],[Iout]]*Rdson1)+IF(QrrSky_Q3&gt;0,QrrSky_Q3,Qrr_Q3)*Fsw*Vout)</f>
        <v>0</v>
      </c>
      <c r="BC151" s="354">
        <f>CHOOSE(Table1[[#This Row],[Mode Digit]], Rs*Table1[[#This Row],[Irms BuSync]]^2, Rs*Table1[[#This Row],[Irms BoCtlr]]^2, Rs*(Table1[[#This Row],[Irms BuSync]]^2+Table1[[#This Row],[Irms BoCtlr]]^2))</f>
        <v>0.18522628665726396</v>
      </c>
      <c r="BD151" s="354">
        <f t="shared" si="8"/>
        <v>1.44</v>
      </c>
      <c r="BE151" s="354">
        <f>IF(Vout&gt;8, Iq*Vout, Iq*Table1[[#This Row],[Vin]])</f>
        <v>4.3799999999999999E-2</v>
      </c>
      <c r="BF151" s="354">
        <f>CHOOSE(Table1[[#This Row],[Mode Digit]], (Qg_Q1+Qg_Q2)*Fsw, (Qg_Q3+Qg_Q4)*Fsw, (Qg_Q1+Qg_Q2+Qg_Q3+Qg_Q4)*Fsw)*IF(Vout&gt;8, Vout, Table1[[#This Row],[Vin]])</f>
        <v>0.47303999999999996</v>
      </c>
      <c r="BG151" s="354">
        <f t="shared" si="9"/>
        <v>0.57269042016806726</v>
      </c>
      <c r="BH151" s="354">
        <f>Table1[[#This Row],[IQ Loss]]+Table1[[#This Row],[Switching Current Loss]]</f>
        <v>0.51683999999999997</v>
      </c>
      <c r="BI15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10.509134899745629</v>
      </c>
      <c r="BJ151">
        <f>Vout*Table1[[#This Row],[Iout]]</f>
        <v>175.2</v>
      </c>
      <c r="BK151" s="550">
        <f>Table1[[#This Row],[Pout]]/(Table1[[#This Row],[Pout]]+Table1[[#This Row],[Total Loss]])</f>
        <v>0.94341078102905962</v>
      </c>
      <c r="BL15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249.95001567951093</v>
      </c>
      <c r="BM151" s="559">
        <f>IF(Table1[[#This Row],[Vin]]&gt;Vout, Table1[[#This Row],[Total Sync Bu MOSFET Loss]]*ThetaJA_Q2, ThetaJA_Q3*Table1[[#This Row],[Total Sync Bo MOSFET Loss]])</f>
        <v>57.616048518410466</v>
      </c>
      <c r="BN151" s="9"/>
      <c r="BO151" s="4">
        <f>Table1[[#This Row],[EFF, h]]*100</f>
        <v>94.341078102905968</v>
      </c>
      <c r="BP151" s="354">
        <f>Table1[[#This Row],[Total Inductor Loss]]</f>
        <v>2.0814994794061419</v>
      </c>
      <c r="BQ151" s="354">
        <f>Table1[[#This Row],[Total Control Bu MOSFET Loss]]+Table1[[#This Row],[Total Sync Bu MOSFET Loss]]+Table1[[#This Row],[Total Control Bo MOSFET Loss]]+Table1[[#This Row],[Total Sync Bo MOSFET Loss]]+Table1[[#This Row],[Reverse Recovery Loss MOSFET D BUCK]]+Table1[[#This Row],[Reverse Recovery Loss MOSFET D BOOST]]</f>
        <v>6.2031751169389739</v>
      </c>
      <c r="BR151" s="354">
        <f>Table1[[#This Row],[Total Control Bu MOSFET Loss]]+Table1[[#This Row],[Reverse Recovery Loss MOSFET D BUCK]]*0.66</f>
        <v>4.4025592266585152</v>
      </c>
      <c r="BS151" s="354">
        <f>Table1[[#This Row],[Total Sync Bu MOSFET Loss]]+Table1[[#This Row],[Reverse Recovery Loss MOSFET D BUCK]]*0.33</f>
        <v>1.0786302913068411</v>
      </c>
      <c r="BT151" s="354">
        <f xml:space="preserve"> Table1[[#This Row],[Total Control Bo MOSFET Loss]]+Table1[[#This Row],[Reverse Recovery Loss MOSFET D BOOST]]*0.66</f>
        <v>0</v>
      </c>
      <c r="BU151" s="354">
        <f xml:space="preserve"> Table1[[#This Row],[Total Sync Bo MOSFET Loss]]+Table1[[#This Row],[Reverse Recovery Loss MOSFET D BOOST]]*0.33</f>
        <v>0.71839884697361778</v>
      </c>
      <c r="BV151" s="354">
        <f>Table1[[#This Row],[Isense Shunt Loss]]</f>
        <v>0.18522628665726396</v>
      </c>
    </row>
    <row r="152" spans="7:74" x14ac:dyDescent="0.2">
      <c r="G152">
        <v>143</v>
      </c>
      <c r="H152" s="555">
        <f>VIN_min+(VIN_max-VIN_min)*(Table1[[#This Row],[Step]]/200)</f>
        <v>30.009999999999998</v>
      </c>
      <c r="I152" s="4" t="str">
        <f>IF(Mode = 2,IF(Table1[[#This Row],[Vin]]&gt;Vout, "BUCK","BOOST"),IF(Table1[[#This Row],[Vin]]&gt;VIN_BB_to_buck, "BUCK", IF(Table1[[#This Row],[Vin]]&lt;=VIN_boost_to_BB,"BOOST","BUCK-BST")))</f>
        <v>BUCK</v>
      </c>
      <c r="J152">
        <f>IF(Table1[[#This Row],[Mode]]="BOOST",2, IF(Table1[[#This Row],[Mode]]="BUCK", 1,3))</f>
        <v>1</v>
      </c>
      <c r="K152">
        <f t="shared" si="7"/>
        <v>12</v>
      </c>
      <c r="L152" s="4">
        <f>Vout*Table1[[#This Row],[Iout]]/(Table1[[#This Row],[Vin]]*Efficiency)</f>
        <v>6.1453199810589458</v>
      </c>
      <c r="M152" s="711">
        <f>MIN(1/Fsw,CHOOSE(Table1[[#This Row],[Mode Digit]],(Vout+(Rdson2+Rs+Rdcr)*Table1[[#This Row],[Iout]])/(Table1[[#This Row],[Vin]]+(Rs+Rdson2-Rdson1)*Table1[[#This Row],[Iout]])/Fsw,(Vout+(Rdson3+Rdcr)*Table1[[#This Row],[Iin]]-Table1[[#This Row],[Vin]])/(Vout+(Rdson3-Rdson4-Rs)*Table1[[#This Row],[Iin]])/Fsw,t1_Ph_II))</f>
        <v>8.1835330670217485E-7</v>
      </c>
      <c r="N152" s="602">
        <f>CHOOSE(Table1[[#This Row],[Mode Digit]],1/Fsw-Table1[[#This Row],[t1_Ph_II]],1/Fsw-Table1[[#This Row],[t1_Ph_II]],(Vout/Fsw-Table1[[#This Row],[Vin]]*t1_Ph_II)/(Table1[[#This Row],[Vin]]+Vout))</f>
        <v>8.4831335996449181E-7</v>
      </c>
      <c r="O152" s="602">
        <f>1/Fsw-(Table1[[#This Row],[t1_Ph_II]]+Table1[[#This Row],[t2_Ph_I]])</f>
        <v>0</v>
      </c>
      <c r="P15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9.611586277219601</v>
      </c>
      <c r="Q152" s="4">
        <f>CHOOSE(Table1[[#This Row],[Mode Digit]],Table1[[#This Row],[I_0]]+1/Lf*(Table1[[#This Row],[Vin]]-Vout)*Table1[[#This Row],[t1_Ph_II]],Table1[[#This Row],[I_0]]+1/Lf*Table1[[#This Row],[Vin]]*Table1[[#This Row],[t1_Ph_II]],Table1[[#This Row],[I_0]]+(Table1[[#This Row],[Vin]]-Vout)/L*Table1[[#This Row],[t1_Ph_II]])</f>
        <v>14.388413722780401</v>
      </c>
      <c r="R152" s="4">
        <f>CHOOSE(Table1[[#This Row],[Mode Digit]],0,0,Table1[[#This Row],[I_1]]+Table1[[#This Row],[Vin]]/L*Table1[[#This Row],[t2_Ph_I]])</f>
        <v>0</v>
      </c>
      <c r="S152" s="4">
        <f>Fsw*(Table1[[#This Row],[I_0]]*Table1[[#This Row],[t1_Ph_II]]+Table1[[#This Row],[I_1]]*Table1[[#This Row],[t2_Ph_I]]+Table1[[#This Row],[I_2]]*Table1[[#This Row],[t3_Ph_III]])</f>
        <v>12.042934201408173</v>
      </c>
      <c r="T152" s="354">
        <f>MIN(1,CHOOSE(Table1[[#This Row],[Mode Digit]],(Vout+(Rdson2+Rs+Rdcr)*Table1[[#This Row],[Iout]])/(Table1[[#This Row],[Vin]]+(Rs+Rdson2-Rdson1)*Table1[[#This Row],[Iout]]),1,Fsw*Table1[[#This Row],[t2_Ph_I]]+Table1[[#This Row],[t1_Ph_II]]))</f>
        <v>0.49101198402130491</v>
      </c>
      <c r="U152" s="354">
        <f>MIN(1,CHOOSE(Table1[[#This Row],[Mode Digit]],0,(Vout+(Rdson3+Rdcr)*Table1[[#This Row],[Iin]]-Table1[[#This Row],[Vin]])/(Vout+(Rdson3-Rdson4-Rs)*Table1[[#This Row],[Iin]]),Fsw*Table1[[#This Row],[t1_Ph_II]]+Table1[[#This Row],[t3_Ph_III]]))</f>
        <v>0</v>
      </c>
      <c r="V152" s="4">
        <f>MAX(Table1[[#This Row],[I_0]:[I_2]])-MIN(Table1[[#This Row],[I_0]:[I_1]])</f>
        <v>4.7768274455607997</v>
      </c>
      <c r="W15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12.078969604387698</v>
      </c>
      <c r="X152" s="354">
        <f>(Table1[[#This Row],[Irms Lf]]^2*Rdcr*(1+Ltc*Ta-Ltc*25))/(1-Table1[[#This Row],[Irms Lf]]^2*Rdcr*Ltc*ThetaCa)</f>
        <v>0.90767692268954658</v>
      </c>
      <c r="Y152" s="354">
        <f>ABS(7.759*10^-3*Fsw^0.9458*(0.00787*Table1[[#This Row],[Ripple Current pk-pk]])^2.304)</f>
        <v>1.1798981467190262</v>
      </c>
      <c r="Z152" s="354">
        <f>Table1[[#This Row],[DCR    Loss]]+Table1[[#This Row],[Core Loss]]</f>
        <v>2.0875750694085728</v>
      </c>
      <c r="AA152" s="4">
        <f>IF(Table1[[#This Row],[Vin]]&gt;Vout, Table1[[#This Row],[Ripple Current pk-pk]]/SQRT(12), SQRT(Table1[[#This Row],[Duty Cycle BOOST Leg]]/(1-Table1[[#This Row],[Duty Cycle BOOST Leg]]))*SQRT(Table1[[#This Row],[Iout]]^2+(Table1[[#This Row],[Ripple Current pk-pk]]^2)/12))</f>
        <v>1.3789513057834601</v>
      </c>
      <c r="AB152" s="354">
        <f>RCoutEsr*Table1[[#This Row],[Irms Cout]]^2</f>
        <v>9.5075335186095497E-3</v>
      </c>
      <c r="AC152" s="354">
        <f>Table1[[#This Row],[Cout ESR Loss]]</f>
        <v>9.5075335186095497E-3</v>
      </c>
      <c r="AD152" s="354">
        <f>IF(Table1[[#This Row],[Vin]]&gt;Vout, SQRT(Table1[[#This Row],[Duty Cycle BUCK Leg]]*(1-Table1[[#This Row],[Duty Cycle BUCK Leg]]))*SQRT(Table1[[#This Row],[Iout]]^2+(Table1[[#This Row],[Ripple Current pk-pk]]^2)/12), Table1[[#This Row],[Ripple Current pk-pk]]/SQRT(12))</f>
        <v>6.0385089306628785</v>
      </c>
      <c r="AE152" s="354">
        <f>RCinEsr*Table1[[#This Row],[Irms Cin]]^2</f>
        <v>7.2927180211390677E-2</v>
      </c>
      <c r="AF152" s="549">
        <f>Table1[[#This Row],[Cin ESR Loss]]</f>
        <v>7.2927180211390677E-2</v>
      </c>
      <c r="AG15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8.4640054512206113</v>
      </c>
      <c r="AH152" s="354">
        <f>Rdson1*Table1[[#This Row],[Irms BuCtrl]]^2</f>
        <v>0.3008854307688274</v>
      </c>
      <c r="AI152" s="354">
        <f>CHOOSE(Table1[[#This Row],[Mode Digit]], (Table1[[#This Row],[Vin]]*Table1[[#This Row],[Iout]]/2)*(Fsw)*(Tr_buck+Tf_buck), 0, (Table1[[#This Row],[Vin]]*Table1[[#This Row],[Avg IL]]/2)*(Fsw/1)*(Tr_buck+Tf_buck))</f>
        <v>3.5710820634471618</v>
      </c>
      <c r="AJ152">
        <f>IF(Table1[[#This Row],[Vin]]&gt;Vout, IF(Table1[[#This Row],[Iout]]&gt;Table1[[#This Row],[Ripple Current pk-pk]]/2,0,ABS(Table1[[#This Row],[Iout]]-Table1[[#This Row],[Ripple Current pk-pk]]/2)*Vsd_Q1*Deadtime*Fsw),0)</f>
        <v>0</v>
      </c>
      <c r="AK152" s="354">
        <f>(Table1[[#This Row],[Dead Time Loss BuCtrl]]+Table1[[#This Row],[Transition Loss BuCtrl]]+Table1[[#This Row],[RDS(on) Loss BuCtrl]]*(1+RdsonTopTc*Ta-RdsonTopTc*25))/(1-Table1[[#This Row],[RDS(on) Loss BuCtrl]]*RdsonTopTc*ThetaJA_Q1)</f>
        <v>4.1733344201562499</v>
      </c>
      <c r="AL152" s="354">
        <f>CHOOSE(Table1[[#This Row],[Mode Digit]],SQRT((Fsw*(Table1[[#This Row],[t2_Ph_I]]+0))*((Table1[[#This Row],[I_0]]*Table1[[#This Row],[I_1]]+((Table1[[#This Row],[I_0]]-Table1[[#This Row],[I_1]])^2)/3))),0,SQRT((Fsw*(Table1[[#This Row],[t3_Ph_III]]+0))*((Table1[[#This Row],[I_0]]*Table1[[#This Row],[I_2]]+((Table1[[#This Row],[I_0]]-Table1[[#This Row],[I_2]])^2)/3))))</f>
        <v>8.6175471234818151</v>
      </c>
      <c r="AM152" s="354">
        <f>Rdson2*Table1[[#This Row],[Irms BuSync]]^2</f>
        <v>0.31190089738680482</v>
      </c>
      <c r="AN15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2" s="354">
        <f>(Table1[[#This Row],[Deadtime Loss BuSync]]+Table1[[#This Row],[RDS(on) Loss BuSync]]*(1+RdsonBotTc*Ta-RdsonBotTc*25))/(1-Table1[[#This Row],[RDS(on) Loss BuSync]]*RdsonBotTc*ThetaJA_Q2)</f>
        <v>0.96122607181175657</v>
      </c>
      <c r="AP152" s="354">
        <f>CHOOSE(Table1[[#This Row],[Mode Digit]],0,SQRT((Fsw*(Table1[[#This Row],[t1_Ph_II]]+0))*((Table1[[#This Row],[I_0]]*Table1[[#This Row],[I_1]]+((Table1[[#This Row],[I_0]]-Table1[[#This Row],[I_1]])^2)/3))),SQRT((Fsw*(Table1[[#This Row],[t2_Ph_I]]+0))*((Table1[[#This Row],[I_1]]*Table1[[#This Row],[I_2]]+((Table1[[#This Row],[I_1]]-Table1[[#This Row],[I_2]])^2)/3))))</f>
        <v>0</v>
      </c>
      <c r="AQ152" s="354">
        <f>Rdson4*Table1[[#This Row],[Irms BoCtlr]]^2</f>
        <v>0</v>
      </c>
      <c r="AR152" s="354">
        <f>CHOOSE(Table1[[#This Row],[Mode Digit]], 0, (Vout*Table1[[#This Row],[Iin]]/2)*(Fsw)*(Tr_boost+Tf_boost), (Vout*Iout/2)*(Fsw/1)*(Tr_boost+Tf_boost))</f>
        <v>0</v>
      </c>
      <c r="AS152">
        <f>IF(Table1[[#This Row],[Vin]]&gt;Vout, 0, IF(Table1[[#This Row],[Iin]]&gt;Table1[[#This Row],[Ripple Current pk-pk]]/2,0,ABS(Table1[[#This Row],[Iin]]-Table1[[#This Row],[Ripple Current pk-pk]]/2)*Vsd_Q4*Deadtime*Fsw))</f>
        <v>0</v>
      </c>
      <c r="AT152" s="354">
        <f>(Table1[[#This Row],[Dead Time Loss BoCtlr]]+Table1[[#This Row],[Transition Loss BoCtlr]]+Table1[[#This Row],[RDS(on) Loss BoCtlr]]*(1+RdsonTopTc*Ta-RdsonTopTc*25))/(1-Table1[[#This Row],[RDS(on) Loss BoCtlr]]*RdsonTopTc*ThetaJA_Q4)</f>
        <v>0</v>
      </c>
      <c r="AU15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12.078969604387698</v>
      </c>
      <c r="AV152" s="354">
        <f>Rdson3*Table1[[#This Row],[Irms BoSync]]^2</f>
        <v>0.61278632815563205</v>
      </c>
      <c r="AW15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2" s="354">
        <f>(Table1[[#This Row],[Deadtime Loss BoSync]]+Table1[[#This Row],[RDS(on) Loss BoSync]]*(1+RdsonBotTc*Ta-RdsonBotTc*25))/(1-Table1[[#This Row],[RDS(on) Loss BoSync]]*RdsonBotTc*ThetaJA_Q3)</f>
        <v>0.71844747828084643</v>
      </c>
      <c r="AY152" s="354">
        <f>CHOOSE(Table1[[#This Row],[Mode Digit]], Rdson3*Table1[[#This Row],[Irms Lf]]^2, Rdson1*Table1[[#This Row],[Irms Lf]]^2, 0)</f>
        <v>0.61278632815563205</v>
      </c>
      <c r="AZ152" s="354">
        <f>CHOOSE(Table1[[#This Row],[Mode Digit]], 2*Deadtime*Fsw*IF(VfdSky_Q2&gt;0,VfdSky_Q2,0)*Table1[[#This Row],[Iout]], 2*Deadtime*Fsw*IF(VfdSky_Q3&gt;0,VfdSky_Q3,0)*Table1[[#This Row],[Iin]], 2*Deadtime*Fsw*IF(VfdSky_Q2&gt;0,VfdSky_Q2,0)*Table1[[#This Row],[Iout]]+2*Deadtime*Fsw*IF(VfdSky_Q3&gt;0,VfdSky_Q3,0)*Table1[[#This Row],[Iin]])</f>
        <v>0</v>
      </c>
      <c r="BA152" s="354">
        <f>CHOOSE(Table1[[#This Row],[Mode Digit]], IF(QrrSky_Q2&gt;0,QrrSky_Q2,Qrr_Q2)*Fsw*(Table1[[#This Row],[Vin]]-Table1[[#This Row],[Iout]]*Rdson1),0,  IF(QrrSky_Q2&gt;0,QrrSky_Q2,Qrr_Q2)*Fsw*(Table1[[#This Row],[Vin]]-Table1[[#This Row],[Iout]]*Rdson1)+IF(QrrSky_Q3&gt;0,QrrSky_Q3,Qrr_Q3)*Fsw*Vout)</f>
        <v>0.35951519999999998</v>
      </c>
      <c r="BB152" s="354">
        <f>CHOOSE(Table1[[#This Row],[Mode Digit]],0, IF(QrrSky_Q3&gt;0,QrrSky_Q3,Qrr_Q3)*Fsw*Vout,  IF(QrrSky_Q2&gt;0,QrrSky_Q2,Qrr_Q2)*Fsw*(Table1[[#This Row],[Vin]]-Table1[[#This Row],[Iout]]*Rdson1)+IF(QrrSky_Q3&gt;0,QrrSky_Q3,Qrr_Q3)*Fsw*Vout)</f>
        <v>0</v>
      </c>
      <c r="BC152" s="354">
        <f>CHOOSE(Table1[[#This Row],[Mode Digit]], Rs*Table1[[#This Row],[Irms BuSync]]^2, Rs*Table1[[#This Row],[Irms BoCtlr]]^2, Rs*(Table1[[#This Row],[Irms BuSync]]^2+Table1[[#This Row],[Irms BoCtlr]]^2))</f>
        <v>0.18565529606357425</v>
      </c>
      <c r="BD152" s="354">
        <f t="shared" si="8"/>
        <v>1.44</v>
      </c>
      <c r="BE152" s="354">
        <f>IF(Vout&gt;8, Iq*Vout, Iq*Table1[[#This Row],[Vin]])</f>
        <v>4.3799999999999999E-2</v>
      </c>
      <c r="BF152" s="354">
        <f>CHOOSE(Table1[[#This Row],[Mode Digit]], (Qg_Q1+Qg_Q2)*Fsw, (Qg_Q3+Qg_Q4)*Fsw, (Qg_Q1+Qg_Q2+Qg_Q3+Qg_Q4)*Fsw)*IF(Vout&gt;8, Vout, Table1[[#This Row],[Vin]])</f>
        <v>0.47303999999999996</v>
      </c>
      <c r="BG152" s="354">
        <f t="shared" si="9"/>
        <v>0.57269042016806726</v>
      </c>
      <c r="BH152" s="354">
        <f>Table1[[#This Row],[IQ Loss]]+Table1[[#This Row],[Switching Current Loss]]</f>
        <v>0.51683999999999997</v>
      </c>
      <c r="BI15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10.525028249451001</v>
      </c>
      <c r="BJ152">
        <f>Vout*Table1[[#This Row],[Iout]]</f>
        <v>175.2</v>
      </c>
      <c r="BK152" s="550">
        <f>Table1[[#This Row],[Pout]]/(Table1[[#This Row],[Pout]]+Table1[[#This Row],[Total Loss]])</f>
        <v>0.94333004900494821</v>
      </c>
      <c r="BL15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250.40006520937499</v>
      </c>
      <c r="BM152" s="559">
        <f>IF(Table1[[#This Row],[Vin]]&gt;Vout, Table1[[#This Row],[Total Sync Bu MOSFET Loss]]*ThetaJA_Q2, ThetaJA_Q3*Table1[[#This Row],[Total Sync Bo MOSFET Loss]])</f>
        <v>57.673564308705394</v>
      </c>
      <c r="BN152" s="9"/>
      <c r="BO152" s="4">
        <f>Table1[[#This Row],[EFF, h]]*100</f>
        <v>94.333004900494828</v>
      </c>
      <c r="BP152" s="354">
        <f>Table1[[#This Row],[Total Inductor Loss]]</f>
        <v>2.0875750694085728</v>
      </c>
      <c r="BQ152" s="354">
        <f>Table1[[#This Row],[Total Control Bu MOSFET Loss]]+Table1[[#This Row],[Total Sync Bu MOSFET Loss]]+Table1[[#This Row],[Total Control Bo MOSFET Loss]]+Table1[[#This Row],[Total Sync Bo MOSFET Loss]]+Table1[[#This Row],[Reverse Recovery Loss MOSFET D BUCK]]+Table1[[#This Row],[Reverse Recovery Loss MOSFET D BOOST]]</f>
        <v>6.2125231702488524</v>
      </c>
      <c r="BR152" s="354">
        <f>Table1[[#This Row],[Total Control Bu MOSFET Loss]]+Table1[[#This Row],[Reverse Recovery Loss MOSFET D BUCK]]*0.66</f>
        <v>4.41061445215625</v>
      </c>
      <c r="BS152" s="354">
        <f>Table1[[#This Row],[Total Sync Bu MOSFET Loss]]+Table1[[#This Row],[Reverse Recovery Loss MOSFET D BUCK]]*0.33</f>
        <v>1.0798660878117565</v>
      </c>
      <c r="BT152" s="354">
        <f xml:space="preserve"> Table1[[#This Row],[Total Control Bo MOSFET Loss]]+Table1[[#This Row],[Reverse Recovery Loss MOSFET D BOOST]]*0.66</f>
        <v>0</v>
      </c>
      <c r="BU152" s="354">
        <f xml:space="preserve"> Table1[[#This Row],[Total Sync Bo MOSFET Loss]]+Table1[[#This Row],[Reverse Recovery Loss MOSFET D BOOST]]*0.33</f>
        <v>0.71844747828084643</v>
      </c>
      <c r="BV152" s="354">
        <f>Table1[[#This Row],[Isense Shunt Loss]]</f>
        <v>0.18565529606357425</v>
      </c>
    </row>
    <row r="153" spans="7:74" x14ac:dyDescent="0.2">
      <c r="G153">
        <v>144</v>
      </c>
      <c r="H153" s="555">
        <f>VIN_min+(VIN_max-VIN_min)*(Table1[[#This Row],[Step]]/200)</f>
        <v>30.08</v>
      </c>
      <c r="I153" s="4" t="str">
        <f>IF(Mode = 2,IF(Table1[[#This Row],[Vin]]&gt;Vout, "BUCK","BOOST"),IF(Table1[[#This Row],[Vin]]&gt;VIN_BB_to_buck, "BUCK", IF(Table1[[#This Row],[Vin]]&lt;=VIN_boost_to_BB,"BOOST","BUCK-BST")))</f>
        <v>BUCK</v>
      </c>
      <c r="J153">
        <f>IF(Table1[[#This Row],[Mode]]="BOOST",2, IF(Table1[[#This Row],[Mode]]="BUCK", 1,3))</f>
        <v>1</v>
      </c>
      <c r="K153">
        <f t="shared" si="7"/>
        <v>12</v>
      </c>
      <c r="L153" s="4">
        <f>Vout*Table1[[#This Row],[Iout]]/(Table1[[#This Row],[Vin]]*Efficiency)</f>
        <v>6.131019036954088</v>
      </c>
      <c r="M153" s="711">
        <f>MIN(1/Fsw,CHOOSE(Table1[[#This Row],[Mode Digit]],(Vout+(Rdson2+Rs+Rdcr)*Table1[[#This Row],[Iout]])/(Table1[[#This Row],[Vin]]+(Rs+Rdson2-Rdson1)*Table1[[#This Row],[Iout]])/Fsw,(Vout+(Rdson3+Rdcr)*Table1[[#This Row],[Iin]]-Table1[[#This Row],[Vin]])/(Vout+(Rdson3-Rdson4-Rs)*Table1[[#This Row],[Iin]])/Fsw,t1_Ph_II))</f>
        <v>8.1645079154212337E-7</v>
      </c>
      <c r="N153" s="602">
        <f>CHOOSE(Table1[[#This Row],[Mode Digit]],1/Fsw-Table1[[#This Row],[t1_Ph_II]],1/Fsw-Table1[[#This Row],[t1_Ph_II]],(Vout/Fsw-Table1[[#This Row],[Vin]]*t1_Ph_II)/(Table1[[#This Row],[Vin]]+Vout))</f>
        <v>8.502158751245433E-7</v>
      </c>
      <c r="O153" s="602">
        <f>1/Fsw-(Table1[[#This Row],[t1_Ph_II]]+Table1[[#This Row],[t2_Ph_I]])</f>
        <v>0</v>
      </c>
      <c r="P15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9.606314724796956</v>
      </c>
      <c r="Q153" s="4">
        <f>CHOOSE(Table1[[#This Row],[Mode Digit]],Table1[[#This Row],[I_0]]+1/Lf*(Table1[[#This Row],[Vin]]-Vout)*Table1[[#This Row],[t1_Ph_II]],Table1[[#This Row],[I_0]]+1/Lf*Table1[[#This Row],[Vin]]*Table1[[#This Row],[t1_Ph_II]],Table1[[#This Row],[I_0]]+(Table1[[#This Row],[Vin]]-Vout)/L*Table1[[#This Row],[t1_Ph_II]])</f>
        <v>14.393685275203044</v>
      </c>
      <c r="R153" s="4">
        <f>CHOOSE(Table1[[#This Row],[Mode Digit]],0,0,Table1[[#This Row],[I_1]]+Table1[[#This Row],[Vin]]/L*Table1[[#This Row],[t2_Ph_I]])</f>
        <v>0</v>
      </c>
      <c r="S153" s="4">
        <f>Fsw*(Table1[[#This Row],[I_0]]*Table1[[#This Row],[t1_Ph_II]]+Table1[[#This Row],[I_1]]*Table1[[#This Row],[t2_Ph_I]]+Table1[[#This Row],[I_2]]*Table1[[#This Row],[t3_Ph_III]])</f>
        <v>12.048493790032344</v>
      </c>
      <c r="T153" s="354">
        <f>MIN(1,CHOOSE(Table1[[#This Row],[Mode Digit]],(Vout+(Rdson2+Rs+Rdcr)*Table1[[#This Row],[Iout]])/(Table1[[#This Row],[Vin]]+(Rs+Rdson2-Rdson1)*Table1[[#This Row],[Iout]]),1,Fsw*Table1[[#This Row],[t2_Ph_I]]+Table1[[#This Row],[t1_Ph_II]]))</f>
        <v>0.48987047492527402</v>
      </c>
      <c r="U153" s="354">
        <f>MIN(1,CHOOSE(Table1[[#This Row],[Mode Digit]],0,(Vout+(Rdson3+Rdcr)*Table1[[#This Row],[Iin]]-Table1[[#This Row],[Vin]])/(Vout+(Rdson3-Rdson4-Rs)*Table1[[#This Row],[Iin]]),Fsw*Table1[[#This Row],[t1_Ph_II]]+Table1[[#This Row],[t3_Ph_III]]))</f>
        <v>0</v>
      </c>
      <c r="V153" s="4">
        <f>MAX(Table1[[#This Row],[I_0]:[I_2]])-MIN(Table1[[#This Row],[I_0]:[I_1]])</f>
        <v>4.7873705504060879</v>
      </c>
      <c r="W15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12.079317436521043</v>
      </c>
      <c r="X153" s="354">
        <f>(Table1[[#This Row],[Irms Lf]]^2*Rdcr*(1+Ltc*Ta-Ltc*25))/(1-Table1[[#This Row],[Irms Lf]]^2*Rdcr*Ltc*ThetaCa)</f>
        <v>0.90773299554778808</v>
      </c>
      <c r="Y153" s="354">
        <f>ABS(7.759*10^-3*Fsw^0.9458*(0.00787*Table1[[#This Row],[Ripple Current pk-pk]])^2.304)</f>
        <v>1.1859068482007642</v>
      </c>
      <c r="Z153" s="354">
        <f>Table1[[#This Row],[DCR    Loss]]+Table1[[#This Row],[Core Loss]]</f>
        <v>2.0936398437485524</v>
      </c>
      <c r="AA153" s="4">
        <f>IF(Table1[[#This Row],[Vin]]&gt;Vout, Table1[[#This Row],[Ripple Current pk-pk]]/SQRT(12), SQRT(Table1[[#This Row],[Duty Cycle BOOST Leg]]/(1-Table1[[#This Row],[Duty Cycle BOOST Leg]]))*SQRT(Table1[[#This Row],[Iout]]^2+(Table1[[#This Row],[Ripple Current pk-pk]]^2)/12))</f>
        <v>1.381994837993721</v>
      </c>
      <c r="AB153" s="354">
        <f>RCoutEsr*Table1[[#This Row],[Irms Cout]]^2</f>
        <v>9.5495486612064556E-3</v>
      </c>
      <c r="AC153" s="354">
        <f>Table1[[#This Row],[Cout ESR Loss]]</f>
        <v>9.5495486612064556E-3</v>
      </c>
      <c r="AD153" s="354">
        <f>IF(Table1[[#This Row],[Vin]]&gt;Vout, SQRT(Table1[[#This Row],[Duty Cycle BUCK Leg]]*(1-Table1[[#This Row],[Duty Cycle BUCK Leg]]))*SQRT(Table1[[#This Row],[Iout]]^2+(Table1[[#This Row],[Ripple Current pk-pk]]^2)/12), Table1[[#This Row],[Ripple Current pk-pk]]/SQRT(12))</f>
        <v>6.0384191651751475</v>
      </c>
      <c r="AE153" s="354">
        <f>RCinEsr*Table1[[#This Row],[Irms Cin]]^2</f>
        <v>7.2925012028709046E-2</v>
      </c>
      <c r="AF153" s="549">
        <f>Table1[[#This Row],[Cin ESR Loss]]</f>
        <v>7.2925012028709046E-2</v>
      </c>
      <c r="AG15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8.4544045784926158</v>
      </c>
      <c r="AH153" s="354">
        <f>Rdson1*Table1[[#This Row],[Irms BuCtrl]]^2</f>
        <v>0.30020321846271503</v>
      </c>
      <c r="AI153" s="354">
        <f>CHOOSE(Table1[[#This Row],[Mode Digit]], (Table1[[#This Row],[Vin]]*Table1[[#This Row],[Iout]]/2)*(Fsw)*(Tr_buck+Tf_buck), 0, (Table1[[#This Row],[Vin]]*Table1[[#This Row],[Avg IL]]/2)*(Fsw/1)*(Tr_buck+Tf_buck))</f>
        <v>3.5794118116791278</v>
      </c>
      <c r="AJ153">
        <f>IF(Table1[[#This Row],[Vin]]&gt;Vout, IF(Table1[[#This Row],[Iout]]&gt;Table1[[#This Row],[Ripple Current pk-pk]]/2,0,ABS(Table1[[#This Row],[Iout]]-Table1[[#This Row],[Ripple Current pk-pk]]/2)*Vsd_Q1*Deadtime*Fsw),0)</f>
        <v>0</v>
      </c>
      <c r="AK153" s="354">
        <f>(Table1[[#This Row],[Dead Time Loss BuCtrl]]+Table1[[#This Row],[Transition Loss BuCtrl]]+Table1[[#This Row],[RDS(on) Loss BuCtrl]]*(1+RdsonTopTc*Ta-RdsonTopTc*25))/(1-Table1[[#This Row],[RDS(on) Loss BuCtrl]]*RdsonTopTc*ThetaJA_Q1)</f>
        <v>4.1808393748297306</v>
      </c>
      <c r="AL153" s="354">
        <f>CHOOSE(Table1[[#This Row],[Mode Digit]],SQRT((Fsw*(Table1[[#This Row],[t2_Ph_I]]+0))*((Table1[[#This Row],[I_0]]*Table1[[#This Row],[I_1]]+((Table1[[#This Row],[I_0]]-Table1[[#This Row],[I_1]])^2)/3))),0,SQRT((Fsw*(Table1[[#This Row],[t3_Ph_III]]+0))*((Table1[[#This Row],[I_0]]*Table1[[#This Row],[I_2]]+((Table1[[#This Row],[I_0]]-Table1[[#This Row],[I_2]])^2)/3))))</f>
        <v>8.6274534455657541</v>
      </c>
      <c r="AM153" s="354">
        <f>Rdson2*Table1[[#This Row],[Irms BuSync]]^2</f>
        <v>0.31261840241269856</v>
      </c>
      <c r="AN15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3" s="354">
        <f>(Table1[[#This Row],[Deadtime Loss BuSync]]+Table1[[#This Row],[RDS(on) Loss BuSync]]*(1+RdsonBotTc*Ta-RdsonBotTc*25))/(1-Table1[[#This Row],[RDS(on) Loss BuSync]]*RdsonBotTc*ThetaJA_Q2)</f>
        <v>0.962180727425758</v>
      </c>
      <c r="AP153" s="354">
        <f>CHOOSE(Table1[[#This Row],[Mode Digit]],0,SQRT((Fsw*(Table1[[#This Row],[t1_Ph_II]]+0))*((Table1[[#This Row],[I_0]]*Table1[[#This Row],[I_1]]+((Table1[[#This Row],[I_0]]-Table1[[#This Row],[I_1]])^2)/3))),SQRT((Fsw*(Table1[[#This Row],[t2_Ph_I]]+0))*((Table1[[#This Row],[I_1]]*Table1[[#This Row],[I_2]]+((Table1[[#This Row],[I_1]]-Table1[[#This Row],[I_2]])^2)/3))))</f>
        <v>0</v>
      </c>
      <c r="AQ153" s="354">
        <f>Rdson4*Table1[[#This Row],[Irms BoCtlr]]^2</f>
        <v>0</v>
      </c>
      <c r="AR153" s="354">
        <f>CHOOSE(Table1[[#This Row],[Mode Digit]], 0, (Vout*Table1[[#This Row],[Iin]]/2)*(Fsw)*(Tr_boost+Tf_boost), (Vout*Iout/2)*(Fsw/1)*(Tr_boost+Tf_boost))</f>
        <v>0</v>
      </c>
      <c r="AS153">
        <f>IF(Table1[[#This Row],[Vin]]&gt;Vout, 0, IF(Table1[[#This Row],[Iin]]&gt;Table1[[#This Row],[Ripple Current pk-pk]]/2,0,ABS(Table1[[#This Row],[Iin]]-Table1[[#This Row],[Ripple Current pk-pk]]/2)*Vsd_Q4*Deadtime*Fsw))</f>
        <v>0</v>
      </c>
      <c r="AT153" s="354">
        <f>(Table1[[#This Row],[Dead Time Loss BoCtlr]]+Table1[[#This Row],[Transition Loss BoCtlr]]+Table1[[#This Row],[RDS(on) Loss BoCtlr]]*(1+RdsonTopTc*Ta-RdsonTopTc*25))/(1-Table1[[#This Row],[RDS(on) Loss BoCtlr]]*RdsonTopTc*ThetaJA_Q4)</f>
        <v>0</v>
      </c>
      <c r="AU15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12.079317436521043</v>
      </c>
      <c r="AV153" s="354">
        <f>Rdson3*Table1[[#This Row],[Irms BoSync]]^2</f>
        <v>0.61282162087541348</v>
      </c>
      <c r="AW15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3" s="354">
        <f>(Table1[[#This Row],[Deadtime Loss BoSync]]+Table1[[#This Row],[RDS(on) Loss BoSync]]*(1+RdsonBotTc*Ta-RdsonBotTc*25))/(1-Table1[[#This Row],[RDS(on) Loss BoSync]]*RdsonBotTc*ThetaJA_Q3)</f>
        <v>0.71849599164099476</v>
      </c>
      <c r="AY153" s="354">
        <f>CHOOSE(Table1[[#This Row],[Mode Digit]], Rdson3*Table1[[#This Row],[Irms Lf]]^2, Rdson1*Table1[[#This Row],[Irms Lf]]^2, 0)</f>
        <v>0.61282162087541348</v>
      </c>
      <c r="AZ153" s="354">
        <f>CHOOSE(Table1[[#This Row],[Mode Digit]], 2*Deadtime*Fsw*IF(VfdSky_Q2&gt;0,VfdSky_Q2,0)*Table1[[#This Row],[Iout]], 2*Deadtime*Fsw*IF(VfdSky_Q3&gt;0,VfdSky_Q3,0)*Table1[[#This Row],[Iin]], 2*Deadtime*Fsw*IF(VfdSky_Q2&gt;0,VfdSky_Q2,0)*Table1[[#This Row],[Iout]]+2*Deadtime*Fsw*IF(VfdSky_Q3&gt;0,VfdSky_Q3,0)*Table1[[#This Row],[Iin]])</f>
        <v>0</v>
      </c>
      <c r="BA153" s="354">
        <f>CHOOSE(Table1[[#This Row],[Mode Digit]], IF(QrrSky_Q2&gt;0,QrrSky_Q2,Qrr_Q2)*Fsw*(Table1[[#This Row],[Vin]]-Table1[[#This Row],[Iout]]*Rdson1),0,  IF(QrrSky_Q2&gt;0,QrrSky_Q2,Qrr_Q2)*Fsw*(Table1[[#This Row],[Vin]]-Table1[[#This Row],[Iout]]*Rdson1)+IF(QrrSky_Q3&gt;0,QrrSky_Q3,Qrr_Q3)*Fsw*Vout)</f>
        <v>0.36035519999999999</v>
      </c>
      <c r="BB153" s="354">
        <f>CHOOSE(Table1[[#This Row],[Mode Digit]],0, IF(QrrSky_Q3&gt;0,QrrSky_Q3,Qrr_Q3)*Fsw*Vout,  IF(QrrSky_Q2&gt;0,QrrSky_Q2,Qrr_Q2)*Fsw*(Table1[[#This Row],[Vin]]-Table1[[#This Row],[Iout]]*Rdson1)+IF(QrrSky_Q3&gt;0,QrrSky_Q3,Qrr_Q3)*Fsw*Vout)</f>
        <v>0</v>
      </c>
      <c r="BC153" s="354">
        <f>CHOOSE(Table1[[#This Row],[Mode Digit]], Rs*Table1[[#This Row],[Irms BuSync]]^2, Rs*Table1[[#This Row],[Irms BoCtlr]]^2, Rs*(Table1[[#This Row],[Irms BuSync]]^2+Table1[[#This Row],[Irms BoCtlr]]^2))</f>
        <v>0.18608238238851102</v>
      </c>
      <c r="BD153" s="354">
        <f t="shared" si="8"/>
        <v>1.44</v>
      </c>
      <c r="BE153" s="354">
        <f>IF(Vout&gt;8, Iq*Vout, Iq*Table1[[#This Row],[Vin]])</f>
        <v>4.3799999999999999E-2</v>
      </c>
      <c r="BF153" s="354">
        <f>CHOOSE(Table1[[#This Row],[Mode Digit]], (Qg_Q1+Qg_Q2)*Fsw, (Qg_Q3+Qg_Q4)*Fsw, (Qg_Q1+Qg_Q2+Qg_Q3+Qg_Q4)*Fsw)*IF(Vout&gt;8, Vout, Table1[[#This Row],[Vin]])</f>
        <v>0.47303999999999996</v>
      </c>
      <c r="BG153" s="354">
        <f t="shared" si="9"/>
        <v>0.57269042016806726</v>
      </c>
      <c r="BH153" s="354">
        <f>Table1[[#This Row],[IQ Loss]]+Table1[[#This Row],[Switching Current Loss]]</f>
        <v>0.51683999999999997</v>
      </c>
      <c r="BI15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10.540908080723462</v>
      </c>
      <c r="BJ153">
        <f>Vout*Table1[[#This Row],[Iout]]</f>
        <v>175.2</v>
      </c>
      <c r="BK153" s="550">
        <f>Table1[[#This Row],[Pout]]/(Table1[[#This Row],[Pout]]+Table1[[#This Row],[Total Loss]])</f>
        <v>0.94324939944763087</v>
      </c>
      <c r="BL15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250.85036248978383</v>
      </c>
      <c r="BM153" s="559">
        <f>IF(Table1[[#This Row],[Vin]]&gt;Vout, Table1[[#This Row],[Total Sync Bu MOSFET Loss]]*ThetaJA_Q2, ThetaJA_Q3*Table1[[#This Row],[Total Sync Bo MOSFET Loss]])</f>
        <v>57.730843645545477</v>
      </c>
      <c r="BN153" s="9"/>
      <c r="BO153" s="4">
        <f>Table1[[#This Row],[EFF, h]]*100</f>
        <v>94.324939944763088</v>
      </c>
      <c r="BP153" s="354">
        <f>Table1[[#This Row],[Total Inductor Loss]]</f>
        <v>2.0936398437485524</v>
      </c>
      <c r="BQ153" s="354">
        <f>Table1[[#This Row],[Total Control Bu MOSFET Loss]]+Table1[[#This Row],[Total Sync Bu MOSFET Loss]]+Table1[[#This Row],[Total Control Bo MOSFET Loss]]+Table1[[#This Row],[Total Sync Bo MOSFET Loss]]+Table1[[#This Row],[Reverse Recovery Loss MOSFET D BUCK]]+Table1[[#This Row],[Reverse Recovery Loss MOSFET D BOOST]]</f>
        <v>6.2218712938964833</v>
      </c>
      <c r="BR153" s="354">
        <f>Table1[[#This Row],[Total Control Bu MOSFET Loss]]+Table1[[#This Row],[Reverse Recovery Loss MOSFET D BUCK]]*0.66</f>
        <v>4.4186738068297302</v>
      </c>
      <c r="BS153" s="354">
        <f>Table1[[#This Row],[Total Sync Bu MOSFET Loss]]+Table1[[#This Row],[Reverse Recovery Loss MOSFET D BUCK]]*0.33</f>
        <v>1.0810979434257579</v>
      </c>
      <c r="BT153" s="354">
        <f xml:space="preserve"> Table1[[#This Row],[Total Control Bo MOSFET Loss]]+Table1[[#This Row],[Reverse Recovery Loss MOSFET D BOOST]]*0.66</f>
        <v>0</v>
      </c>
      <c r="BU153" s="354">
        <f xml:space="preserve"> Table1[[#This Row],[Total Sync Bo MOSFET Loss]]+Table1[[#This Row],[Reverse Recovery Loss MOSFET D BOOST]]*0.33</f>
        <v>0.71849599164099476</v>
      </c>
      <c r="BV153" s="354">
        <f>Table1[[#This Row],[Isense Shunt Loss]]</f>
        <v>0.18608238238851102</v>
      </c>
    </row>
    <row r="154" spans="7:74" x14ac:dyDescent="0.2">
      <c r="G154">
        <v>145</v>
      </c>
      <c r="H154" s="555">
        <f>VIN_min+(VIN_max-VIN_min)*(Table1[[#This Row],[Step]]/200)</f>
        <v>30.15</v>
      </c>
      <c r="I154" s="4" t="str">
        <f>IF(Mode = 2,IF(Table1[[#This Row],[Vin]]&gt;Vout, "BUCK","BOOST"),IF(Table1[[#This Row],[Vin]]&gt;VIN_BB_to_buck, "BUCK", IF(Table1[[#This Row],[Vin]]&lt;=VIN_boost_to_BB,"BOOST","BUCK-BST")))</f>
        <v>BUCK</v>
      </c>
      <c r="J154">
        <f>IF(Table1[[#This Row],[Mode]]="BOOST",2, IF(Table1[[#This Row],[Mode]]="BUCK", 1,3))</f>
        <v>1</v>
      </c>
      <c r="K154">
        <f t="shared" si="7"/>
        <v>12</v>
      </c>
      <c r="L154" s="4">
        <f>Vout*Table1[[#This Row],[Iout]]/(Table1[[#This Row],[Vin]]*Efficiency)</f>
        <v>6.1167844985598325</v>
      </c>
      <c r="M154" s="711">
        <f>MIN(1/Fsw,CHOOSE(Table1[[#This Row],[Mode Digit]],(Vout+(Rdson2+Rs+Rdcr)*Table1[[#This Row],[Iout]])/(Table1[[#This Row],[Vin]]+(Rs+Rdson2-Rdson1)*Table1[[#This Row],[Iout]])/Fsw,(Vout+(Rdson3+Rdcr)*Table1[[#This Row],[Iin]]-Table1[[#This Row],[Vin]])/(Vout+(Rdson3-Rdson4-Rs)*Table1[[#This Row],[Iin]])/Fsw,t1_Ph_II))</f>
        <v>8.1455710183344381E-7</v>
      </c>
      <c r="N154" s="602">
        <f>CHOOSE(Table1[[#This Row],[Mode Digit]],1/Fsw-Table1[[#This Row],[t1_Ph_II]],1/Fsw-Table1[[#This Row],[t1_Ph_II]],(Vout/Fsw-Table1[[#This Row],[Vin]]*t1_Ph_II)/(Table1[[#This Row],[Vin]]+Vout))</f>
        <v>8.5210956483322285E-7</v>
      </c>
      <c r="O154" s="602">
        <f>1/Fsw-(Table1[[#This Row],[t1_Ph_II]]+Table1[[#This Row],[t2_Ph_I]])</f>
        <v>0</v>
      </c>
      <c r="P15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9.6010676262291561</v>
      </c>
      <c r="Q154" s="4">
        <f>CHOOSE(Table1[[#This Row],[Mode Digit]],Table1[[#This Row],[I_0]]+1/Lf*(Table1[[#This Row],[Vin]]-Vout)*Table1[[#This Row],[t1_Ph_II]],Table1[[#This Row],[I_0]]+1/Lf*Table1[[#This Row],[Vin]]*Table1[[#This Row],[t1_Ph_II]],Table1[[#This Row],[I_0]]+(Table1[[#This Row],[Vin]]-Vout)/L*Table1[[#This Row],[t1_Ph_II]])</f>
        <v>14.398932373770842</v>
      </c>
      <c r="R154" s="4">
        <f>CHOOSE(Table1[[#This Row],[Mode Digit]],0,0,Table1[[#This Row],[I_1]]+Table1[[#This Row],[Vin]]/L*Table1[[#This Row],[t2_Ph_I]])</f>
        <v>0</v>
      </c>
      <c r="S154" s="4">
        <f>Fsw*(Table1[[#This Row],[I_0]]*Table1[[#This Row],[t1_Ph_II]]+Table1[[#This Row],[I_1]]*Table1[[#This Row],[t2_Ph_I]]+Table1[[#This Row],[I_2]]*Table1[[#This Row],[t3_Ph_III]])</f>
        <v>12.054051491522999</v>
      </c>
      <c r="T154" s="354">
        <f>MIN(1,CHOOSE(Table1[[#This Row],[Mode Digit]],(Vout+(Rdson2+Rs+Rdcr)*Table1[[#This Row],[Iout]])/(Table1[[#This Row],[Vin]]+(Rs+Rdson2-Rdson1)*Table1[[#This Row],[Iout]]),1,Fsw*Table1[[#This Row],[t2_Ph_I]]+Table1[[#This Row],[t1_Ph_II]]))</f>
        <v>0.48873426110006629</v>
      </c>
      <c r="U154" s="354">
        <f>MIN(1,CHOOSE(Table1[[#This Row],[Mode Digit]],0,(Vout+(Rdson3+Rdcr)*Table1[[#This Row],[Iin]]-Table1[[#This Row],[Vin]])/(Vout+(Rdson3-Rdson4-Rs)*Table1[[#This Row],[Iin]]),Fsw*Table1[[#This Row],[t1_Ph_II]]+Table1[[#This Row],[t3_Ph_III]]))</f>
        <v>0</v>
      </c>
      <c r="V154" s="4">
        <f>MAX(Table1[[#This Row],[I_0]:[I_2]])-MIN(Table1[[#This Row],[I_0]:[I_1]])</f>
        <v>4.797864747541686</v>
      </c>
      <c r="W15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12.079664406678493</v>
      </c>
      <c r="X154" s="354">
        <f>(Table1[[#This Row],[Irms Lf]]^2*Rdcr*(1+Ltc*Ta-Ltc*25))/(1-Table1[[#This Row],[Irms Lf]]^2*Rdcr*Ltc*ThetaCa)</f>
        <v>0.90778893152574214</v>
      </c>
      <c r="Y154" s="354">
        <f>ABS(7.759*10^-3*Fsw^0.9458*(0.00787*Table1[[#This Row],[Ripple Current pk-pk]])^2.304)</f>
        <v>1.1919048366338192</v>
      </c>
      <c r="Z154" s="354">
        <f>Table1[[#This Row],[DCR    Loss]]+Table1[[#This Row],[Core Loss]]</f>
        <v>2.0996937681595611</v>
      </c>
      <c r="AA154" s="4">
        <f>IF(Table1[[#This Row],[Vin]]&gt;Vout, Table1[[#This Row],[Ripple Current pk-pk]]/SQRT(12), SQRT(Table1[[#This Row],[Duty Cycle BOOST Leg]]/(1-Table1[[#This Row],[Duty Cycle BOOST Leg]]))*SQRT(Table1[[#This Row],[Iout]]^2+(Table1[[#This Row],[Ripple Current pk-pk]]^2)/12))</f>
        <v>1.3850242517643043</v>
      </c>
      <c r="AB154" s="354">
        <f>RCoutEsr*Table1[[#This Row],[Irms Cout]]^2</f>
        <v>9.5914608898763562E-3</v>
      </c>
      <c r="AC154" s="354">
        <f>Table1[[#This Row],[Cout ESR Loss]]</f>
        <v>9.5914608898763562E-3</v>
      </c>
      <c r="AD154" s="354">
        <f>IF(Table1[[#This Row],[Vin]]&gt;Vout, SQRT(Table1[[#This Row],[Duty Cycle BUCK Leg]]*(1-Table1[[#This Row],[Duty Cycle BUCK Leg]]))*SQRT(Table1[[#This Row],[Iout]]^2+(Table1[[#This Row],[Ripple Current pk-pk]]^2)/12), Table1[[#This Row],[Ripple Current pk-pk]]/SQRT(12))</f>
        <v>6.0382988954789827</v>
      </c>
      <c r="AE154" s="354">
        <f>RCinEsr*Table1[[#This Row],[Irms Cin]]^2</f>
        <v>7.2922107102285416E-2</v>
      </c>
      <c r="AF154" s="549">
        <f>Table1[[#This Row],[Cin ESR Loss]]</f>
        <v>7.2922107102285416E-2</v>
      </c>
      <c r="AG15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8.4448368076941733</v>
      </c>
      <c r="AH154" s="354">
        <f>Rdson1*Table1[[#This Row],[Irms BuCtrl]]^2</f>
        <v>0.29952412857606259</v>
      </c>
      <c r="AI154" s="354">
        <f>CHOOSE(Table1[[#This Row],[Mode Digit]], (Table1[[#This Row],[Vin]]*Table1[[#This Row],[Iout]]/2)*(Fsw)*(Tr_buck+Tf_buck), 0, (Table1[[#This Row],[Vin]]*Table1[[#This Row],[Avg IL]]/2)*(Fsw/1)*(Tr_buck+Tf_buck))</f>
        <v>3.5877415599110933</v>
      </c>
      <c r="AJ154">
        <f>IF(Table1[[#This Row],[Vin]]&gt;Vout, IF(Table1[[#This Row],[Iout]]&gt;Table1[[#This Row],[Ripple Current pk-pk]]/2,0,ABS(Table1[[#This Row],[Iout]]-Table1[[#This Row],[Ripple Current pk-pk]]/2)*Vsd_Q1*Deadtime*Fsw),0)</f>
        <v>0</v>
      </c>
      <c r="AK154" s="354">
        <f>(Table1[[#This Row],[Dead Time Loss BuCtrl]]+Table1[[#This Row],[Transition Loss BuCtrl]]+Table1[[#This Row],[RDS(on) Loss BuCtrl]]*(1+RdsonTopTc*Ta-RdsonTopTc*25))/(1-Table1[[#This Row],[RDS(on) Loss BuCtrl]]*RdsonTopTc*ThetaJA_Q1)</f>
        <v>4.1883484275947316</v>
      </c>
      <c r="AL154" s="354">
        <f>CHOOSE(Table1[[#This Row],[Mode Digit]],SQRT((Fsw*(Table1[[#This Row],[t2_Ph_I]]+0))*((Table1[[#This Row],[I_0]]*Table1[[#This Row],[I_1]]+((Table1[[#This Row],[I_0]]-Table1[[#This Row],[I_1]])^2)/3))),0,SQRT((Fsw*(Table1[[#This Row],[t3_Ph_III]]+0))*((Table1[[#This Row],[I_0]]*Table1[[#This Row],[I_2]]+((Table1[[#This Row],[I_0]]-Table1[[#This Row],[I_2]])^2)/3))))</f>
        <v>8.6373041783526965</v>
      </c>
      <c r="AM154" s="354">
        <f>Rdson2*Table1[[#This Row],[Irms BuSync]]^2</f>
        <v>0.31333269857143359</v>
      </c>
      <c r="AN15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4" s="354">
        <f>(Table1[[#This Row],[Deadtime Loss BuSync]]+Table1[[#This Row],[RDS(on) Loss BuSync]]*(1+RdsonBotTc*Ta-RdsonBotTc*25))/(1-Table1[[#This Row],[RDS(on) Loss BuSync]]*RdsonBotTc*ThetaJA_Q2)</f>
        <v>0.96313146671352068</v>
      </c>
      <c r="AP154" s="354">
        <f>CHOOSE(Table1[[#This Row],[Mode Digit]],0,SQRT((Fsw*(Table1[[#This Row],[t1_Ph_II]]+0))*((Table1[[#This Row],[I_0]]*Table1[[#This Row],[I_1]]+((Table1[[#This Row],[I_0]]-Table1[[#This Row],[I_1]])^2)/3))),SQRT((Fsw*(Table1[[#This Row],[t2_Ph_I]]+0))*((Table1[[#This Row],[I_1]]*Table1[[#This Row],[I_2]]+((Table1[[#This Row],[I_1]]-Table1[[#This Row],[I_2]])^2)/3))))</f>
        <v>0</v>
      </c>
      <c r="AQ154" s="354">
        <f>Rdson4*Table1[[#This Row],[Irms BoCtlr]]^2</f>
        <v>0</v>
      </c>
      <c r="AR154" s="354">
        <f>CHOOSE(Table1[[#This Row],[Mode Digit]], 0, (Vout*Table1[[#This Row],[Iin]]/2)*(Fsw)*(Tr_boost+Tf_boost), (Vout*Iout/2)*(Fsw/1)*(Tr_boost+Tf_boost))</f>
        <v>0</v>
      </c>
      <c r="AS154">
        <f>IF(Table1[[#This Row],[Vin]]&gt;Vout, 0, IF(Table1[[#This Row],[Iin]]&gt;Table1[[#This Row],[Ripple Current pk-pk]]/2,0,ABS(Table1[[#This Row],[Iin]]-Table1[[#This Row],[Ripple Current pk-pk]]/2)*Vsd_Q4*Deadtime*Fsw))</f>
        <v>0</v>
      </c>
      <c r="AT154" s="354">
        <f>(Table1[[#This Row],[Dead Time Loss BoCtlr]]+Table1[[#This Row],[Transition Loss BoCtlr]]+Table1[[#This Row],[RDS(on) Loss BoCtlr]]*(1+RdsonTopTc*Ta-RdsonTopTc*25))/(1-Table1[[#This Row],[RDS(on) Loss BoCtlr]]*RdsonTopTc*ThetaJA_Q4)</f>
        <v>0</v>
      </c>
      <c r="AU15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12.079664406678493</v>
      </c>
      <c r="AV154" s="354">
        <f>Rdson3*Table1[[#This Row],[Irms BoSync]]^2</f>
        <v>0.61285682714749623</v>
      </c>
      <c r="AW15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4" s="354">
        <f>(Table1[[#This Row],[Deadtime Loss BoSync]]+Table1[[#This Row],[RDS(on) Loss BoSync]]*(1+RdsonBotTc*Ta-RdsonBotTc*25))/(1-Table1[[#This Row],[RDS(on) Loss BoSync]]*RdsonBotTc*ThetaJA_Q3)</f>
        <v>0.71854438713019742</v>
      </c>
      <c r="AY154" s="354">
        <f>CHOOSE(Table1[[#This Row],[Mode Digit]], Rdson3*Table1[[#This Row],[Irms Lf]]^2, Rdson1*Table1[[#This Row],[Irms Lf]]^2, 0)</f>
        <v>0.61285682714749623</v>
      </c>
      <c r="AZ154" s="354">
        <f>CHOOSE(Table1[[#This Row],[Mode Digit]], 2*Deadtime*Fsw*IF(VfdSky_Q2&gt;0,VfdSky_Q2,0)*Table1[[#This Row],[Iout]], 2*Deadtime*Fsw*IF(VfdSky_Q3&gt;0,VfdSky_Q3,0)*Table1[[#This Row],[Iin]], 2*Deadtime*Fsw*IF(VfdSky_Q2&gt;0,VfdSky_Q2,0)*Table1[[#This Row],[Iout]]+2*Deadtime*Fsw*IF(VfdSky_Q3&gt;0,VfdSky_Q3,0)*Table1[[#This Row],[Iin]])</f>
        <v>0</v>
      </c>
      <c r="BA154" s="354">
        <f>CHOOSE(Table1[[#This Row],[Mode Digit]], IF(QrrSky_Q2&gt;0,QrrSky_Q2,Qrr_Q2)*Fsw*(Table1[[#This Row],[Vin]]-Table1[[#This Row],[Iout]]*Rdson1),0,  IF(QrrSky_Q2&gt;0,QrrSky_Q2,Qrr_Q2)*Fsw*(Table1[[#This Row],[Vin]]-Table1[[#This Row],[Iout]]*Rdson1)+IF(QrrSky_Q3&gt;0,QrrSky_Q3,Qrr_Q3)*Fsw*Vout)</f>
        <v>0.36119519999999999</v>
      </c>
      <c r="BB154" s="354">
        <f>CHOOSE(Table1[[#This Row],[Mode Digit]],0, IF(QrrSky_Q3&gt;0,QrrSky_Q3,Qrr_Q3)*Fsw*Vout,  IF(QrrSky_Q2&gt;0,QrrSky_Q2,Qrr_Q2)*Fsw*(Table1[[#This Row],[Vin]]-Table1[[#This Row],[Iout]]*Rdson1)+IF(QrrSky_Q3&gt;0,QrrSky_Q3,Qrr_Q3)*Fsw*Vout)</f>
        <v>0</v>
      </c>
      <c r="BC154" s="354">
        <f>CHOOSE(Table1[[#This Row],[Mode Digit]], Rs*Table1[[#This Row],[Irms BuSync]]^2, Rs*Table1[[#This Row],[Irms BoCtlr]]^2, Rs*(Table1[[#This Row],[Irms BuSync]]^2+Table1[[#This Row],[Irms BoCtlr]]^2))</f>
        <v>0.18650755867347235</v>
      </c>
      <c r="BD154" s="354">
        <f t="shared" si="8"/>
        <v>1.44</v>
      </c>
      <c r="BE154" s="354">
        <f>IF(Vout&gt;8, Iq*Vout, Iq*Table1[[#This Row],[Vin]])</f>
        <v>4.3799999999999999E-2</v>
      </c>
      <c r="BF154" s="354">
        <f>CHOOSE(Table1[[#This Row],[Mode Digit]], (Qg_Q1+Qg_Q2)*Fsw, (Qg_Q3+Qg_Q4)*Fsw, (Qg_Q1+Qg_Q2+Qg_Q3+Qg_Q4)*Fsw)*IF(Vout&gt;8, Vout, Table1[[#This Row],[Vin]])</f>
        <v>0.47303999999999996</v>
      </c>
      <c r="BG154" s="354">
        <f t="shared" si="9"/>
        <v>0.57269042016806726</v>
      </c>
      <c r="BH154" s="354">
        <f>Table1[[#This Row],[IQ Loss]]+Table1[[#This Row],[Switching Current Loss]]</f>
        <v>0.51683999999999997</v>
      </c>
      <c r="BI15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10.556774376263643</v>
      </c>
      <c r="BJ154">
        <f>Vout*Table1[[#This Row],[Iout]]</f>
        <v>175.2</v>
      </c>
      <c r="BK154" s="550">
        <f>Table1[[#This Row],[Pout]]/(Table1[[#This Row],[Pout]]+Table1[[#This Row],[Total Loss]])</f>
        <v>0.94316883240618654</v>
      </c>
      <c r="BL15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251.30090565568389</v>
      </c>
      <c r="BM154" s="559">
        <f>IF(Table1[[#This Row],[Vin]]&gt;Vout, Table1[[#This Row],[Total Sync Bu MOSFET Loss]]*ThetaJA_Q2, ThetaJA_Q3*Table1[[#This Row],[Total Sync Bo MOSFET Loss]])</f>
        <v>57.787888002811243</v>
      </c>
      <c r="BN154" s="9"/>
      <c r="BO154" s="4">
        <f>Table1[[#This Row],[EFF, h]]*100</f>
        <v>94.316883240618651</v>
      </c>
      <c r="BP154" s="354">
        <f>Table1[[#This Row],[Total Inductor Loss]]</f>
        <v>2.0996937681595611</v>
      </c>
      <c r="BQ154" s="354">
        <f>Table1[[#This Row],[Total Control Bu MOSFET Loss]]+Table1[[#This Row],[Total Sync Bu MOSFET Loss]]+Table1[[#This Row],[Total Control Bo MOSFET Loss]]+Table1[[#This Row],[Total Sync Bo MOSFET Loss]]+Table1[[#This Row],[Reverse Recovery Loss MOSFET D BUCK]]+Table1[[#This Row],[Reverse Recovery Loss MOSFET D BOOST]]</f>
        <v>6.2312194814384503</v>
      </c>
      <c r="BR154" s="354">
        <f>Table1[[#This Row],[Total Control Bu MOSFET Loss]]+Table1[[#This Row],[Reverse Recovery Loss MOSFET D BUCK]]*0.66</f>
        <v>4.4267372595947316</v>
      </c>
      <c r="BS154" s="354">
        <f>Table1[[#This Row],[Total Sync Bu MOSFET Loss]]+Table1[[#This Row],[Reverse Recovery Loss MOSFET D BUCK]]*0.33</f>
        <v>1.0823258827135207</v>
      </c>
      <c r="BT154" s="354">
        <f xml:space="preserve"> Table1[[#This Row],[Total Control Bo MOSFET Loss]]+Table1[[#This Row],[Reverse Recovery Loss MOSFET D BOOST]]*0.66</f>
        <v>0</v>
      </c>
      <c r="BU154" s="354">
        <f xml:space="preserve"> Table1[[#This Row],[Total Sync Bo MOSFET Loss]]+Table1[[#This Row],[Reverse Recovery Loss MOSFET D BOOST]]*0.33</f>
        <v>0.71854438713019742</v>
      </c>
      <c r="BV154" s="354">
        <f>Table1[[#This Row],[Isense Shunt Loss]]</f>
        <v>0.18650755867347235</v>
      </c>
    </row>
    <row r="155" spans="7:74" x14ac:dyDescent="0.2">
      <c r="G155">
        <v>146</v>
      </c>
      <c r="H155" s="555">
        <f>VIN_min+(VIN_max-VIN_min)*(Table1[[#This Row],[Step]]/200)</f>
        <v>30.22</v>
      </c>
      <c r="I155" s="4" t="str">
        <f>IF(Mode = 2,IF(Table1[[#This Row],[Vin]]&gt;Vout, "BUCK","BOOST"),IF(Table1[[#This Row],[Vin]]&gt;VIN_BB_to_buck, "BUCK", IF(Table1[[#This Row],[Vin]]&lt;=VIN_boost_to_BB,"BOOST","BUCK-BST")))</f>
        <v>BUCK</v>
      </c>
      <c r="J155">
        <f>IF(Table1[[#This Row],[Mode]]="BOOST",2, IF(Table1[[#This Row],[Mode]]="BUCK", 1,3))</f>
        <v>1</v>
      </c>
      <c r="K155">
        <f t="shared" si="7"/>
        <v>12</v>
      </c>
      <c r="L155" s="4">
        <f>Vout*Table1[[#This Row],[Iout]]/(Table1[[#This Row],[Vin]]*Efficiency)</f>
        <v>6.1026159044202171</v>
      </c>
      <c r="M155" s="711">
        <f>MIN(1/Fsw,CHOOSE(Table1[[#This Row],[Mode Digit]],(Vout+(Rdson2+Rs+Rdcr)*Table1[[#This Row],[Iout]])/(Table1[[#This Row],[Vin]]+(Rs+Rdson2-Rdson1)*Table1[[#This Row],[Iout]])/Fsw,(Vout+(Rdson3+Rdcr)*Table1[[#This Row],[Iin]]-Table1[[#This Row],[Vin]])/(Vout+(Rdson3-Rdson4-Rs)*Table1[[#This Row],[Iin]])/Fsw,t1_Ph_II))</f>
        <v>8.1267217630853995E-7</v>
      </c>
      <c r="N155" s="602">
        <f>CHOOSE(Table1[[#This Row],[Mode Digit]],1/Fsw-Table1[[#This Row],[t1_Ph_II]],1/Fsw-Table1[[#This Row],[t1_Ph_II]],(Vout/Fsw-Table1[[#This Row],[Vin]]*t1_Ph_II)/(Table1[[#This Row],[Vin]]+Vout))</f>
        <v>8.5399449035812672E-7</v>
      </c>
      <c r="O155" s="602">
        <f>1/Fsw-(Table1[[#This Row],[t1_Ph_II]]+Table1[[#This Row],[t2_Ph_I]])</f>
        <v>0</v>
      </c>
      <c r="P15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9.5958448117539028</v>
      </c>
      <c r="Q155" s="4">
        <f>CHOOSE(Table1[[#This Row],[Mode Digit]],Table1[[#This Row],[I_0]]+1/Lf*(Table1[[#This Row],[Vin]]-Vout)*Table1[[#This Row],[t1_Ph_II]],Table1[[#This Row],[I_0]]+1/Lf*Table1[[#This Row],[Vin]]*Table1[[#This Row],[t1_Ph_II]],Table1[[#This Row],[I_0]]+(Table1[[#This Row],[Vin]]-Vout)/L*Table1[[#This Row],[t1_Ph_II]])</f>
        <v>14.404155188246097</v>
      </c>
      <c r="R155" s="4">
        <f>CHOOSE(Table1[[#This Row],[Mode Digit]],0,0,Table1[[#This Row],[I_1]]+Table1[[#This Row],[Vin]]/L*Table1[[#This Row],[t2_Ph_I]])</f>
        <v>0</v>
      </c>
      <c r="S155" s="4">
        <f>Fsw*(Table1[[#This Row],[I_0]]*Table1[[#This Row],[t1_Ph_II]]+Table1[[#This Row],[I_1]]*Table1[[#This Row],[t2_Ph_I]]+Table1[[#This Row],[I_2]]*Table1[[#This Row],[t3_Ph_III]])</f>
        <v>12.059607153427589</v>
      </c>
      <c r="T155" s="354">
        <f>MIN(1,CHOOSE(Table1[[#This Row],[Mode Digit]],(Vout+(Rdson2+Rs+Rdcr)*Table1[[#This Row],[Iout]])/(Table1[[#This Row],[Vin]]+(Rs+Rdson2-Rdson1)*Table1[[#This Row],[Iout]]),1,Fsw*Table1[[#This Row],[t2_Ph_I]]+Table1[[#This Row],[t1_Ph_II]]))</f>
        <v>0.48760330578512395</v>
      </c>
      <c r="U155" s="354">
        <f>MIN(1,CHOOSE(Table1[[#This Row],[Mode Digit]],0,(Vout+(Rdson3+Rdcr)*Table1[[#This Row],[Iin]]-Table1[[#This Row],[Vin]])/(Vout+(Rdson3-Rdson4-Rs)*Table1[[#This Row],[Iin]]),Fsw*Table1[[#This Row],[t1_Ph_II]]+Table1[[#This Row],[t3_Ph_III]]))</f>
        <v>0</v>
      </c>
      <c r="V155" s="4">
        <f>MAX(Table1[[#This Row],[I_0]:[I_2]])-MIN(Table1[[#This Row],[I_0]:[I_1]])</f>
        <v>4.8083103764921944</v>
      </c>
      <c r="W15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12.080010515574488</v>
      </c>
      <c r="X155" s="354">
        <f>(Table1[[#This Row],[Irms Lf]]^2*Rdcr*(1+Ltc*Ta-Ltc*25))/(1-Table1[[#This Row],[Irms Lf]]^2*Rdcr*Ltc*ThetaCa)</f>
        <v>0.90784473072318472</v>
      </c>
      <c r="Y155" s="354">
        <f>ABS(7.759*10^-3*Fsw^0.9458*(0.00787*Table1[[#This Row],[Ripple Current pk-pk]])^2.304)</f>
        <v>1.1978920788572409</v>
      </c>
      <c r="Z155" s="354">
        <f>Table1[[#This Row],[DCR    Loss]]+Table1[[#This Row],[Core Loss]]</f>
        <v>2.1057368095804256</v>
      </c>
      <c r="AA155" s="4">
        <f>IF(Table1[[#This Row],[Vin]]&gt;Vout, Table1[[#This Row],[Ripple Current pk-pk]]/SQRT(12), SQRT(Table1[[#This Row],[Duty Cycle BOOST Leg]]/(1-Table1[[#This Row],[Duty Cycle BOOST Leg]]))*SQRT(Table1[[#This Row],[Iout]]^2+(Table1[[#This Row],[Ripple Current pk-pk]]^2)/12))</f>
        <v>1.3880396451075196</v>
      </c>
      <c r="AB155" s="354">
        <f>RCoutEsr*Table1[[#This Row],[Irms Cout]]^2</f>
        <v>9.6332702819510452E-3</v>
      </c>
      <c r="AC155" s="354">
        <f>Table1[[#This Row],[Cout ESR Loss]]</f>
        <v>9.6332702819510452E-3</v>
      </c>
      <c r="AD155" s="354">
        <f>IF(Table1[[#This Row],[Vin]]&gt;Vout, SQRT(Table1[[#This Row],[Duty Cycle BUCK Leg]]*(1-Table1[[#This Row],[Duty Cycle BUCK Leg]]))*SQRT(Table1[[#This Row],[Iout]]^2+(Table1[[#This Row],[Ripple Current pk-pk]]^2)/12), Table1[[#This Row],[Ripple Current pk-pk]]/SQRT(12))</f>
        <v>6.0381485402189918</v>
      </c>
      <c r="AE155" s="354">
        <f>RCinEsr*Table1[[#This Row],[Irms Cin]]^2</f>
        <v>7.2918475587497478E-2</v>
      </c>
      <c r="AF155" s="549">
        <f>Table1[[#This Row],[Cin ESR Loss]]</f>
        <v>7.2918475587497478E-2</v>
      </c>
      <c r="AG15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8.4353019459920962</v>
      </c>
      <c r="AH155" s="354">
        <f>Rdson1*Table1[[#This Row],[Irms BuCtrl]]^2</f>
        <v>0.29884813946424382</v>
      </c>
      <c r="AI155" s="354">
        <f>CHOOSE(Table1[[#This Row],[Mode Digit]], (Table1[[#This Row],[Vin]]*Table1[[#This Row],[Iout]]/2)*(Fsw)*(Tr_buck+Tf_buck), 0, (Table1[[#This Row],[Vin]]*Table1[[#This Row],[Avg IL]]/2)*(Fsw/1)*(Tr_buck+Tf_buck))</f>
        <v>3.5960713081430598</v>
      </c>
      <c r="AJ155">
        <f>IF(Table1[[#This Row],[Vin]]&gt;Vout, IF(Table1[[#This Row],[Iout]]&gt;Table1[[#This Row],[Ripple Current pk-pk]]/2,0,ABS(Table1[[#This Row],[Iout]]-Table1[[#This Row],[Ripple Current pk-pk]]/2)*Vsd_Q1*Deadtime*Fsw),0)</f>
        <v>0</v>
      </c>
      <c r="AK155" s="354">
        <f>(Table1[[#This Row],[Dead Time Loss BuCtrl]]+Table1[[#This Row],[Transition Loss BuCtrl]]+Table1[[#This Row],[RDS(on) Loss BuCtrl]]*(1+RdsonTopTc*Ta-RdsonTopTc*25))/(1-Table1[[#This Row],[RDS(on) Loss BuCtrl]]*RdsonTopTc*ThetaJA_Q1)</f>
        <v>4.1958615476810754</v>
      </c>
      <c r="AL155" s="354">
        <f>CHOOSE(Table1[[#This Row],[Mode Digit]],SQRT((Fsw*(Table1[[#This Row],[t2_Ph_I]]+0))*((Table1[[#This Row],[I_0]]*Table1[[#This Row],[I_1]]+((Table1[[#This Row],[I_0]]-Table1[[#This Row],[I_1]])^2)/3))),0,SQRT((Fsw*(Table1[[#This Row],[t3_Ph_III]]+0))*((Table1[[#This Row],[I_0]]*Table1[[#This Row],[I_2]]+((Table1[[#This Row],[I_0]]-Table1[[#This Row],[I_2]])^2)/3))))</f>
        <v>8.6470998107071804</v>
      </c>
      <c r="AM155" s="354">
        <f>Rdson2*Table1[[#This Row],[Irms BuSync]]^2</f>
        <v>0.31404380757259509</v>
      </c>
      <c r="AN15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5" s="354">
        <f>(Table1[[#This Row],[Deadtime Loss BuSync]]+Table1[[#This Row],[RDS(on) Loss BuSync]]*(1+RdsonBotTc*Ta-RdsonBotTc*25))/(1-Table1[[#This Row],[RDS(on) Loss BuSync]]*RdsonBotTc*ThetaJA_Q2)</f>
        <v>0.96407831403291944</v>
      </c>
      <c r="AP155" s="354">
        <f>CHOOSE(Table1[[#This Row],[Mode Digit]],0,SQRT((Fsw*(Table1[[#This Row],[t1_Ph_II]]+0))*((Table1[[#This Row],[I_0]]*Table1[[#This Row],[I_1]]+((Table1[[#This Row],[I_0]]-Table1[[#This Row],[I_1]])^2)/3))),SQRT((Fsw*(Table1[[#This Row],[t2_Ph_I]]+0))*((Table1[[#This Row],[I_1]]*Table1[[#This Row],[I_2]]+((Table1[[#This Row],[I_1]]-Table1[[#This Row],[I_2]])^2)/3))))</f>
        <v>0</v>
      </c>
      <c r="AQ155" s="354">
        <f>Rdson4*Table1[[#This Row],[Irms BoCtlr]]^2</f>
        <v>0</v>
      </c>
      <c r="AR155" s="354">
        <f>CHOOSE(Table1[[#This Row],[Mode Digit]], 0, (Vout*Table1[[#This Row],[Iin]]/2)*(Fsw)*(Tr_boost+Tf_boost), (Vout*Iout/2)*(Fsw/1)*(Tr_boost+Tf_boost))</f>
        <v>0</v>
      </c>
      <c r="AS155">
        <f>IF(Table1[[#This Row],[Vin]]&gt;Vout, 0, IF(Table1[[#This Row],[Iin]]&gt;Table1[[#This Row],[Ripple Current pk-pk]]/2,0,ABS(Table1[[#This Row],[Iin]]-Table1[[#This Row],[Ripple Current pk-pk]]/2)*Vsd_Q4*Deadtime*Fsw))</f>
        <v>0</v>
      </c>
      <c r="AT155" s="354">
        <f>(Table1[[#This Row],[Dead Time Loss BoCtlr]]+Table1[[#This Row],[Transition Loss BoCtlr]]+Table1[[#This Row],[RDS(on) Loss BoCtlr]]*(1+RdsonTopTc*Ta-RdsonTopTc*25))/(1-Table1[[#This Row],[RDS(on) Loss BoCtlr]]*RdsonTopTc*ThetaJA_Q4)</f>
        <v>0</v>
      </c>
      <c r="AU15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12.080010515574488</v>
      </c>
      <c r="AV155" s="354">
        <f>Rdson3*Table1[[#This Row],[Irms BoSync]]^2</f>
        <v>0.61289194703683891</v>
      </c>
      <c r="AW15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5" s="354">
        <f>(Table1[[#This Row],[Deadtime Loss BoSync]]+Table1[[#This Row],[RDS(on) Loss BoSync]]*(1+RdsonBotTc*Ta-RdsonBotTc*25))/(1-Table1[[#This Row],[RDS(on) Loss BoSync]]*RdsonBotTc*ThetaJA_Q3)</f>
        <v>0.71859266483071604</v>
      </c>
      <c r="AY155" s="354">
        <f>CHOOSE(Table1[[#This Row],[Mode Digit]], Rdson3*Table1[[#This Row],[Irms Lf]]^2, Rdson1*Table1[[#This Row],[Irms Lf]]^2, 0)</f>
        <v>0.61289194703683891</v>
      </c>
      <c r="AZ155" s="354">
        <f>CHOOSE(Table1[[#This Row],[Mode Digit]], 2*Deadtime*Fsw*IF(VfdSky_Q2&gt;0,VfdSky_Q2,0)*Table1[[#This Row],[Iout]], 2*Deadtime*Fsw*IF(VfdSky_Q3&gt;0,VfdSky_Q3,0)*Table1[[#This Row],[Iin]], 2*Deadtime*Fsw*IF(VfdSky_Q2&gt;0,VfdSky_Q2,0)*Table1[[#This Row],[Iout]]+2*Deadtime*Fsw*IF(VfdSky_Q3&gt;0,VfdSky_Q3,0)*Table1[[#This Row],[Iin]])</f>
        <v>0</v>
      </c>
      <c r="BA155" s="354">
        <f>CHOOSE(Table1[[#This Row],[Mode Digit]], IF(QrrSky_Q2&gt;0,QrrSky_Q2,Qrr_Q2)*Fsw*(Table1[[#This Row],[Vin]]-Table1[[#This Row],[Iout]]*Rdson1),0,  IF(QrrSky_Q2&gt;0,QrrSky_Q2,Qrr_Q2)*Fsw*(Table1[[#This Row],[Vin]]-Table1[[#This Row],[Iout]]*Rdson1)+IF(QrrSky_Q3&gt;0,QrrSky_Q3,Qrr_Q3)*Fsw*Vout)</f>
        <v>0.3620352</v>
      </c>
      <c r="BB155" s="354">
        <f>CHOOSE(Table1[[#This Row],[Mode Digit]],0, IF(QrrSky_Q3&gt;0,QrrSky_Q3,Qrr_Q3)*Fsw*Vout,  IF(QrrSky_Q2&gt;0,QrrSky_Q2,Qrr_Q2)*Fsw*(Table1[[#This Row],[Vin]]-Table1[[#This Row],[Iout]]*Rdson1)+IF(QrrSky_Q3&gt;0,QrrSky_Q3,Qrr_Q3)*Fsw*Vout)</f>
        <v>0</v>
      </c>
      <c r="BC155" s="354">
        <f>CHOOSE(Table1[[#This Row],[Mode Digit]], Rs*Table1[[#This Row],[Irms BuSync]]^2, Rs*Table1[[#This Row],[Irms BoCtlr]]^2, Rs*(Table1[[#This Row],[Irms BuSync]]^2+Table1[[#This Row],[Irms BoCtlr]]^2))</f>
        <v>0.18693083784083039</v>
      </c>
      <c r="BD155" s="354">
        <f t="shared" si="8"/>
        <v>1.44</v>
      </c>
      <c r="BE155" s="354">
        <f>IF(Vout&gt;8, Iq*Vout, Iq*Table1[[#This Row],[Vin]])</f>
        <v>4.3799999999999999E-2</v>
      </c>
      <c r="BF155" s="354">
        <f>CHOOSE(Table1[[#This Row],[Mode Digit]], (Qg_Q1+Qg_Q2)*Fsw, (Qg_Q3+Qg_Q4)*Fsw, (Qg_Q1+Qg_Q2+Qg_Q3+Qg_Q4)*Fsw)*IF(Vout&gt;8, Vout, Table1[[#This Row],[Vin]])</f>
        <v>0.47303999999999996</v>
      </c>
      <c r="BG155" s="354">
        <f t="shared" si="9"/>
        <v>0.57269042016806726</v>
      </c>
      <c r="BH155" s="354">
        <f>Table1[[#This Row],[IQ Loss]]+Table1[[#This Row],[Switching Current Loss]]</f>
        <v>0.51683999999999997</v>
      </c>
      <c r="BI15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10.572627119835413</v>
      </c>
      <c r="BJ155">
        <f>Vout*Table1[[#This Row],[Iout]]</f>
        <v>175.2</v>
      </c>
      <c r="BK155" s="550">
        <f>Table1[[#This Row],[Pout]]/(Table1[[#This Row],[Pout]]+Table1[[#This Row],[Total Loss]])</f>
        <v>0.94308834792428609</v>
      </c>
      <c r="BL15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251.75169286086452</v>
      </c>
      <c r="BM155" s="559">
        <f>IF(Table1[[#This Row],[Vin]]&gt;Vout, Table1[[#This Row],[Total Sync Bu MOSFET Loss]]*ThetaJA_Q2, ThetaJA_Q3*Table1[[#This Row],[Total Sync Bo MOSFET Loss]])</f>
        <v>57.844698841975166</v>
      </c>
      <c r="BN155" s="9"/>
      <c r="BO155" s="4">
        <f>Table1[[#This Row],[EFF, h]]*100</f>
        <v>94.308834792428613</v>
      </c>
      <c r="BP155" s="354">
        <f>Table1[[#This Row],[Total Inductor Loss]]</f>
        <v>2.1057368095804256</v>
      </c>
      <c r="BQ155" s="354">
        <f>Table1[[#This Row],[Total Control Bu MOSFET Loss]]+Table1[[#This Row],[Total Sync Bu MOSFET Loss]]+Table1[[#This Row],[Total Control Bo MOSFET Loss]]+Table1[[#This Row],[Total Sync Bo MOSFET Loss]]+Table1[[#This Row],[Reverse Recovery Loss MOSFET D BUCK]]+Table1[[#This Row],[Reverse Recovery Loss MOSFET D BOOST]]</f>
        <v>6.240567726544711</v>
      </c>
      <c r="BR155" s="354">
        <f>Table1[[#This Row],[Total Control Bu MOSFET Loss]]+Table1[[#This Row],[Reverse Recovery Loss MOSFET D BUCK]]*0.66</f>
        <v>4.434804779681075</v>
      </c>
      <c r="BS155" s="354">
        <f>Table1[[#This Row],[Total Sync Bu MOSFET Loss]]+Table1[[#This Row],[Reverse Recovery Loss MOSFET D BUCK]]*0.33</f>
        <v>1.0835499300329194</v>
      </c>
      <c r="BT155" s="354">
        <f xml:space="preserve"> Table1[[#This Row],[Total Control Bo MOSFET Loss]]+Table1[[#This Row],[Reverse Recovery Loss MOSFET D BOOST]]*0.66</f>
        <v>0</v>
      </c>
      <c r="BU155" s="354">
        <f xml:space="preserve"> Table1[[#This Row],[Total Sync Bo MOSFET Loss]]+Table1[[#This Row],[Reverse Recovery Loss MOSFET D BOOST]]*0.33</f>
        <v>0.71859266483071604</v>
      </c>
      <c r="BV155" s="354">
        <f>Table1[[#This Row],[Isense Shunt Loss]]</f>
        <v>0.18693083784083039</v>
      </c>
    </row>
    <row r="156" spans="7:74" x14ac:dyDescent="0.2">
      <c r="G156">
        <v>147</v>
      </c>
      <c r="H156" s="555">
        <f>VIN_min+(VIN_max-VIN_min)*(Table1[[#This Row],[Step]]/200)</f>
        <v>30.29</v>
      </c>
      <c r="I156" s="4" t="str">
        <f>IF(Mode = 2,IF(Table1[[#This Row],[Vin]]&gt;Vout, "BUCK","BOOST"),IF(Table1[[#This Row],[Vin]]&gt;VIN_BB_to_buck, "BUCK", IF(Table1[[#This Row],[Vin]]&lt;=VIN_boost_to_BB,"BOOST","BUCK-BST")))</f>
        <v>BUCK</v>
      </c>
      <c r="J156">
        <f>IF(Table1[[#This Row],[Mode]]="BOOST",2, IF(Table1[[#This Row],[Mode]]="BUCK", 1,3))</f>
        <v>1</v>
      </c>
      <c r="K156">
        <f t="shared" si="7"/>
        <v>12</v>
      </c>
      <c r="L156" s="4">
        <f>Vout*Table1[[#This Row],[Iout]]/(Table1[[#This Row],[Vin]]*Efficiency)</f>
        <v>6.088512797344964</v>
      </c>
      <c r="M156" s="711">
        <f>MIN(1/Fsw,CHOOSE(Table1[[#This Row],[Mode Digit]],(Vout+(Rdson2+Rs+Rdcr)*Table1[[#This Row],[Iout]])/(Table1[[#This Row],[Vin]]+(Rs+Rdson2-Rdson1)*Table1[[#This Row],[Iout]])/Fsw,(Vout+(Rdson3+Rdcr)*Table1[[#This Row],[Iin]]-Table1[[#This Row],[Vin]])/(Vout+(Rdson3-Rdson4-Rs)*Table1[[#This Row],[Iin]])/Fsw,t1_Ph_II))</f>
        <v>8.1079595426561129E-7</v>
      </c>
      <c r="N156" s="602">
        <f>CHOOSE(Table1[[#This Row],[Mode Digit]],1/Fsw-Table1[[#This Row],[t1_Ph_II]],1/Fsw-Table1[[#This Row],[t1_Ph_II]],(Vout/Fsw-Table1[[#This Row],[Vin]]*t1_Ph_II)/(Table1[[#This Row],[Vin]]+Vout))</f>
        <v>8.5587071240105537E-7</v>
      </c>
      <c r="O156" s="602">
        <f>1/Fsw-(Table1[[#This Row],[t1_Ph_II]]+Table1[[#This Row],[t2_Ph_I]])</f>
        <v>0</v>
      </c>
      <c r="P15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9.5906461131766214</v>
      </c>
      <c r="Q156" s="4">
        <f>CHOOSE(Table1[[#This Row],[Mode Digit]],Table1[[#This Row],[I_0]]+1/Lf*(Table1[[#This Row],[Vin]]-Vout)*Table1[[#This Row],[t1_Ph_II]],Table1[[#This Row],[I_0]]+1/Lf*Table1[[#This Row],[Vin]]*Table1[[#This Row],[t1_Ph_II]],Table1[[#This Row],[I_0]]+(Table1[[#This Row],[Vin]]-Vout)/L*Table1[[#This Row],[t1_Ph_II]])</f>
        <v>14.409353886823379</v>
      </c>
      <c r="R156" s="4">
        <f>CHOOSE(Table1[[#This Row],[Mode Digit]],0,0,Table1[[#This Row],[I_1]]+Table1[[#This Row],[Vin]]/L*Table1[[#This Row],[t2_Ph_I]])</f>
        <v>0</v>
      </c>
      <c r="S156" s="4">
        <f>Fsw*(Table1[[#This Row],[I_0]]*Table1[[#This Row],[t1_Ph_II]]+Table1[[#This Row],[I_1]]*Table1[[#This Row],[t2_Ph_I]]+Table1[[#This Row],[I_2]]*Table1[[#This Row],[t3_Ph_III]])</f>
        <v>12.065160626226753</v>
      </c>
      <c r="T156" s="354">
        <f>MIN(1,CHOOSE(Table1[[#This Row],[Mode Digit]],(Vout+(Rdson2+Rs+Rdcr)*Table1[[#This Row],[Iout]])/(Table1[[#This Row],[Vin]]+(Rs+Rdson2-Rdson1)*Table1[[#This Row],[Iout]]),1,Fsw*Table1[[#This Row],[t2_Ph_I]]+Table1[[#This Row],[t1_Ph_II]]))</f>
        <v>0.48647757255936674</v>
      </c>
      <c r="U156" s="354">
        <f>MIN(1,CHOOSE(Table1[[#This Row],[Mode Digit]],0,(Vout+(Rdson3+Rdcr)*Table1[[#This Row],[Iin]]-Table1[[#This Row],[Vin]])/(Vout+(Rdson3-Rdson4-Rs)*Table1[[#This Row],[Iin]]),Fsw*Table1[[#This Row],[t1_Ph_II]]+Table1[[#This Row],[t3_Ph_III]]))</f>
        <v>0</v>
      </c>
      <c r="V156" s="4">
        <f>MAX(Table1[[#This Row],[I_0]:[I_2]])-MIN(Table1[[#This Row],[I_0]:[I_1]])</f>
        <v>4.8187077736467572</v>
      </c>
      <c r="W15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12.08035576396588</v>
      </c>
      <c r="X156" s="354">
        <f>(Table1[[#This Row],[Irms Lf]]^2*Rdcr*(1+Ltc*Ta-Ltc*25))/(1-Table1[[#This Row],[Irms Lf]]^2*Rdcr*Ltc*ThetaCa)</f>
        <v>0.90790039324678529</v>
      </c>
      <c r="Y156" s="354">
        <f>ABS(7.759*10^-3*Fsw^0.9458*(0.00787*Table1[[#This Row],[Ripple Current pk-pk]])^2.304)</f>
        <v>1.2038685428860476</v>
      </c>
      <c r="Z156" s="354">
        <f>Table1[[#This Row],[DCR    Loss]]+Table1[[#This Row],[Core Loss]]</f>
        <v>2.1117689361328331</v>
      </c>
      <c r="AA156" s="4">
        <f>IF(Table1[[#This Row],[Vin]]&gt;Vout, Table1[[#This Row],[Ripple Current pk-pk]]/SQRT(12), SQRT(Table1[[#This Row],[Duty Cycle BOOST Leg]]/(1-Table1[[#This Row],[Duty Cycle BOOST Leg]]))*SQRT(Table1[[#This Row],[Iout]]^2+(Table1[[#This Row],[Ripple Current pk-pk]]^2)/12))</f>
        <v>1.3910411151305488</v>
      </c>
      <c r="AB156" s="354">
        <f>RCoutEsr*Table1[[#This Row],[Irms Cout]]^2</f>
        <v>9.6749769199182042E-3</v>
      </c>
      <c r="AC156" s="354">
        <f>Table1[[#This Row],[Cout ESR Loss]]</f>
        <v>9.6749769199182042E-3</v>
      </c>
      <c r="AD156" s="354">
        <f>IF(Table1[[#This Row],[Vin]]&gt;Vout, SQRT(Table1[[#This Row],[Duty Cycle BUCK Leg]]*(1-Table1[[#This Row],[Duty Cycle BUCK Leg]]))*SQRT(Table1[[#This Row],[Iout]]^2+(Table1[[#This Row],[Ripple Current pk-pk]]^2)/12), Table1[[#This Row],[Ripple Current pk-pk]]/SQRT(12))</f>
        <v>6.0379685118486091</v>
      </c>
      <c r="AE156" s="354">
        <f>RCinEsr*Table1[[#This Row],[Irms Cin]]^2</f>
        <v>7.2914127500150611E-2</v>
      </c>
      <c r="AF156" s="549">
        <f>Table1[[#This Row],[Cin ESR Loss]]</f>
        <v>7.2914127500150611E-2</v>
      </c>
      <c r="AG15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8.4257998021471394</v>
      </c>
      <c r="AH156" s="354">
        <f>Rdson1*Table1[[#This Row],[Irms BuCtrl]]^2</f>
        <v>0.29817522968462368</v>
      </c>
      <c r="AI156" s="354">
        <f>CHOOSE(Table1[[#This Row],[Mode Digit]], (Table1[[#This Row],[Vin]]*Table1[[#This Row],[Iout]]/2)*(Fsw)*(Tr_buck+Tf_buck), 0, (Table1[[#This Row],[Vin]]*Table1[[#This Row],[Avg IL]]/2)*(Fsw/1)*(Tr_buck+Tf_buck))</f>
        <v>3.6044010563750257</v>
      </c>
      <c r="AJ156">
        <f>IF(Table1[[#This Row],[Vin]]&gt;Vout, IF(Table1[[#This Row],[Iout]]&gt;Table1[[#This Row],[Ripple Current pk-pk]]/2,0,ABS(Table1[[#This Row],[Iout]]-Table1[[#This Row],[Ripple Current pk-pk]]/2)*Vsd_Q1*Deadtime*Fsw),0)</f>
        <v>0</v>
      </c>
      <c r="AK156" s="354">
        <f>(Table1[[#This Row],[Dead Time Loss BuCtrl]]+Table1[[#This Row],[Transition Loss BuCtrl]]+Table1[[#This Row],[RDS(on) Loss BuCtrl]]*(1+RdsonTopTc*Ta-RdsonTopTc*25))/(1-Table1[[#This Row],[RDS(on) Loss BuCtrl]]*RdsonTopTc*ThetaJA_Q1)</f>
        <v>4.2033787046286335</v>
      </c>
      <c r="AL156" s="354">
        <f>CHOOSE(Table1[[#This Row],[Mode Digit]],SQRT((Fsw*(Table1[[#This Row],[t2_Ph_I]]+0))*((Table1[[#This Row],[I_0]]*Table1[[#This Row],[I_1]]+((Table1[[#This Row],[I_0]]-Table1[[#This Row],[I_1]])^2)/3))),0,SQRT((Fsw*(Table1[[#This Row],[t3_Ph_III]]+0))*((Table1[[#This Row],[I_0]]*Table1[[#This Row],[I_2]]+((Table1[[#This Row],[I_0]]-Table1[[#This Row],[I_2]])^2)/3))))</f>
        <v>8.6568408255044691</v>
      </c>
      <c r="AM156" s="354">
        <f>Rdson2*Table1[[#This Row],[Irms BuSync]]^2</f>
        <v>0.31475175092810781</v>
      </c>
      <c r="AN15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6" s="354">
        <f>(Table1[[#This Row],[Deadtime Loss BuSync]]+Table1[[#This Row],[RDS(on) Loss BuSync]]*(1+RdsonBotTc*Ta-RdsonBotTc*25))/(1-Table1[[#This Row],[RDS(on) Loss BuSync]]*RdsonBotTc*ThetaJA_Q2)</f>
        <v>0.96502129353723698</v>
      </c>
      <c r="AP156" s="354">
        <f>CHOOSE(Table1[[#This Row],[Mode Digit]],0,SQRT((Fsw*(Table1[[#This Row],[t1_Ph_II]]+0))*((Table1[[#This Row],[I_0]]*Table1[[#This Row],[I_1]]+((Table1[[#This Row],[I_0]]-Table1[[#This Row],[I_1]])^2)/3))),SQRT((Fsw*(Table1[[#This Row],[t2_Ph_I]]+0))*((Table1[[#This Row],[I_1]]*Table1[[#This Row],[I_2]]+((Table1[[#This Row],[I_1]]-Table1[[#This Row],[I_2]])^2)/3))))</f>
        <v>0</v>
      </c>
      <c r="AQ156" s="354">
        <f>Rdson4*Table1[[#This Row],[Irms BoCtlr]]^2</f>
        <v>0</v>
      </c>
      <c r="AR156" s="354">
        <f>CHOOSE(Table1[[#This Row],[Mode Digit]], 0, (Vout*Table1[[#This Row],[Iin]]/2)*(Fsw)*(Tr_boost+Tf_boost), (Vout*Iout/2)*(Fsw/1)*(Tr_boost+Tf_boost))</f>
        <v>0</v>
      </c>
      <c r="AS156">
        <f>IF(Table1[[#This Row],[Vin]]&gt;Vout, 0, IF(Table1[[#This Row],[Iin]]&gt;Table1[[#This Row],[Ripple Current pk-pk]]/2,0,ABS(Table1[[#This Row],[Iin]]-Table1[[#This Row],[Ripple Current pk-pk]]/2)*Vsd_Q4*Deadtime*Fsw))</f>
        <v>0</v>
      </c>
      <c r="AT156" s="354">
        <f>(Table1[[#This Row],[Dead Time Loss BoCtlr]]+Table1[[#This Row],[Transition Loss BoCtlr]]+Table1[[#This Row],[RDS(on) Loss BoCtlr]]*(1+RdsonTopTc*Ta-RdsonTopTc*25))/(1-Table1[[#This Row],[RDS(on) Loss BoCtlr]]*RdsonTopTc*ThetaJA_Q4)</f>
        <v>0</v>
      </c>
      <c r="AU15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12.08035576396588</v>
      </c>
      <c r="AV156" s="354">
        <f>Rdson3*Table1[[#This Row],[Irms BoSync]]^2</f>
        <v>0.61292698061273143</v>
      </c>
      <c r="AW15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6" s="354">
        <f>(Table1[[#This Row],[Deadtime Loss BoSync]]+Table1[[#This Row],[RDS(on) Loss BoSync]]*(1+RdsonBotTc*Ta-RdsonBotTc*25))/(1-Table1[[#This Row],[RDS(on) Loss BoSync]]*RdsonBotTc*ThetaJA_Q3)</f>
        <v>0.7186408248307905</v>
      </c>
      <c r="AY156" s="354">
        <f>CHOOSE(Table1[[#This Row],[Mode Digit]], Rdson3*Table1[[#This Row],[Irms Lf]]^2, Rdson1*Table1[[#This Row],[Irms Lf]]^2, 0)</f>
        <v>0.61292698061273143</v>
      </c>
      <c r="AZ156" s="354">
        <f>CHOOSE(Table1[[#This Row],[Mode Digit]], 2*Deadtime*Fsw*IF(VfdSky_Q2&gt;0,VfdSky_Q2,0)*Table1[[#This Row],[Iout]], 2*Deadtime*Fsw*IF(VfdSky_Q3&gt;0,VfdSky_Q3,0)*Table1[[#This Row],[Iin]], 2*Deadtime*Fsw*IF(VfdSky_Q2&gt;0,VfdSky_Q2,0)*Table1[[#This Row],[Iout]]+2*Deadtime*Fsw*IF(VfdSky_Q3&gt;0,VfdSky_Q3,0)*Table1[[#This Row],[Iin]])</f>
        <v>0</v>
      </c>
      <c r="BA156" s="354">
        <f>CHOOSE(Table1[[#This Row],[Mode Digit]], IF(QrrSky_Q2&gt;0,QrrSky_Q2,Qrr_Q2)*Fsw*(Table1[[#This Row],[Vin]]-Table1[[#This Row],[Iout]]*Rdson1),0,  IF(QrrSky_Q2&gt;0,QrrSky_Q2,Qrr_Q2)*Fsw*(Table1[[#This Row],[Vin]]-Table1[[#This Row],[Iout]]*Rdson1)+IF(QrrSky_Q3&gt;0,QrrSky_Q3,Qrr_Q3)*Fsw*Vout)</f>
        <v>0.36287520000000001</v>
      </c>
      <c r="BB156" s="354">
        <f>CHOOSE(Table1[[#This Row],[Mode Digit]],0, IF(QrrSky_Q3&gt;0,QrrSky_Q3,Qrr_Q3)*Fsw*Vout,  IF(QrrSky_Q2&gt;0,QrrSky_Q2,Qrr_Q2)*Fsw*(Table1[[#This Row],[Vin]]-Table1[[#This Row],[Iout]]*Rdson1)+IF(QrrSky_Q3&gt;0,QrrSky_Q3,Qrr_Q3)*Fsw*Vout)</f>
        <v>0</v>
      </c>
      <c r="BC156" s="354">
        <f>CHOOSE(Table1[[#This Row],[Mode Digit]], Rs*Table1[[#This Row],[Irms BuSync]]^2, Rs*Table1[[#This Row],[Irms BoCtlr]]^2, Rs*(Table1[[#This Row],[Irms BuSync]]^2+Table1[[#This Row],[Irms BoCtlr]]^2))</f>
        <v>0.18735223269530224</v>
      </c>
      <c r="BD156" s="354">
        <f t="shared" si="8"/>
        <v>1.44</v>
      </c>
      <c r="BE156" s="354">
        <f>IF(Vout&gt;8, Iq*Vout, Iq*Table1[[#This Row],[Vin]])</f>
        <v>4.3799999999999999E-2</v>
      </c>
      <c r="BF156" s="354">
        <f>CHOOSE(Table1[[#This Row],[Mode Digit]], (Qg_Q1+Qg_Q2)*Fsw, (Qg_Q3+Qg_Q4)*Fsw, (Qg_Q1+Qg_Q2+Qg_Q3+Qg_Q4)*Fsw)*IF(Vout&gt;8, Vout, Table1[[#This Row],[Vin]])</f>
        <v>0.47303999999999996</v>
      </c>
      <c r="BG156" s="354">
        <f t="shared" si="9"/>
        <v>0.57269042016806726</v>
      </c>
      <c r="BH156" s="354">
        <f>Table1[[#This Row],[IQ Loss]]+Table1[[#This Row],[Switching Current Loss]]</f>
        <v>0.51683999999999997</v>
      </c>
      <c r="BI15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10.588466296244865</v>
      </c>
      <c r="BJ156">
        <f>Vout*Table1[[#This Row],[Iout]]</f>
        <v>175.2</v>
      </c>
      <c r="BK156" s="550">
        <f>Table1[[#This Row],[Pout]]/(Table1[[#This Row],[Pout]]+Table1[[#This Row],[Total Loss]])</f>
        <v>0.94300794604030336</v>
      </c>
      <c r="BL15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252.20272227771801</v>
      </c>
      <c r="BM156" s="559">
        <f>IF(Table1[[#This Row],[Vin]]&gt;Vout, Table1[[#This Row],[Total Sync Bu MOSFET Loss]]*ThetaJA_Q2, ThetaJA_Q3*Table1[[#This Row],[Total Sync Bo MOSFET Loss]])</f>
        <v>57.901277612234217</v>
      </c>
      <c r="BN156" s="9"/>
      <c r="BO156" s="4">
        <f>Table1[[#This Row],[EFF, h]]*100</f>
        <v>94.30079460403033</v>
      </c>
      <c r="BP156" s="354">
        <f>Table1[[#This Row],[Total Inductor Loss]]</f>
        <v>2.1117689361328331</v>
      </c>
      <c r="BQ156" s="354">
        <f>Table1[[#This Row],[Total Control Bu MOSFET Loss]]+Table1[[#This Row],[Total Sync Bu MOSFET Loss]]+Table1[[#This Row],[Total Control Bo MOSFET Loss]]+Table1[[#This Row],[Total Sync Bo MOSFET Loss]]+Table1[[#This Row],[Reverse Recovery Loss MOSFET D BUCK]]+Table1[[#This Row],[Reverse Recovery Loss MOSFET D BOOST]]</f>
        <v>6.2499160229966622</v>
      </c>
      <c r="BR156" s="354">
        <f>Table1[[#This Row],[Total Control Bu MOSFET Loss]]+Table1[[#This Row],[Reverse Recovery Loss MOSFET D BUCK]]*0.66</f>
        <v>4.4428763366286335</v>
      </c>
      <c r="BS156" s="354">
        <f>Table1[[#This Row],[Total Sync Bu MOSFET Loss]]+Table1[[#This Row],[Reverse Recovery Loss MOSFET D BUCK]]*0.33</f>
        <v>1.0847701095372371</v>
      </c>
      <c r="BT156" s="354">
        <f xml:space="preserve"> Table1[[#This Row],[Total Control Bo MOSFET Loss]]+Table1[[#This Row],[Reverse Recovery Loss MOSFET D BOOST]]*0.66</f>
        <v>0</v>
      </c>
      <c r="BU156" s="354">
        <f xml:space="preserve"> Table1[[#This Row],[Total Sync Bo MOSFET Loss]]+Table1[[#This Row],[Reverse Recovery Loss MOSFET D BOOST]]*0.33</f>
        <v>0.7186408248307905</v>
      </c>
      <c r="BV156" s="354">
        <f>Table1[[#This Row],[Isense Shunt Loss]]</f>
        <v>0.18735223269530224</v>
      </c>
    </row>
    <row r="157" spans="7:74" x14ac:dyDescent="0.2">
      <c r="G157">
        <v>148</v>
      </c>
      <c r="H157" s="555">
        <f>VIN_min+(VIN_max-VIN_min)*(Table1[[#This Row],[Step]]/200)</f>
        <v>30.36</v>
      </c>
      <c r="I157" s="4" t="str">
        <f>IF(Mode = 2,IF(Table1[[#This Row],[Vin]]&gt;Vout, "BUCK","BOOST"),IF(Table1[[#This Row],[Vin]]&gt;VIN_BB_to_buck, "BUCK", IF(Table1[[#This Row],[Vin]]&lt;=VIN_boost_to_BB,"BOOST","BUCK-BST")))</f>
        <v>BUCK</v>
      </c>
      <c r="J157">
        <f>IF(Table1[[#This Row],[Mode]]="BOOST",2, IF(Table1[[#This Row],[Mode]]="BUCK", 1,3))</f>
        <v>1</v>
      </c>
      <c r="K157">
        <f t="shared" si="7"/>
        <v>12</v>
      </c>
      <c r="L157" s="4">
        <f>Vout*Table1[[#This Row],[Iout]]/(Table1[[#This Row],[Vin]]*Efficiency)</f>
        <v>6.0744747243603081</v>
      </c>
      <c r="M157" s="711">
        <f>MIN(1/Fsw,CHOOSE(Table1[[#This Row],[Mode Digit]],(Vout+(Rdson2+Rs+Rdcr)*Table1[[#This Row],[Iout]])/(Table1[[#This Row],[Vin]]+(Rs+Rdson2-Rdson1)*Table1[[#This Row],[Iout]])/Fsw,(Vout+(Rdson3+Rdcr)*Table1[[#This Row],[Iin]]-Table1[[#This Row],[Vin]])/(Vout+(Rdson3-Rdson4-Rs)*Table1[[#This Row],[Iin]])/Fsw,t1_Ph_II))</f>
        <v>8.089283755621366E-7</v>
      </c>
      <c r="N157" s="602">
        <f>CHOOSE(Table1[[#This Row],[Mode Digit]],1/Fsw-Table1[[#This Row],[t1_Ph_II]],1/Fsw-Table1[[#This Row],[t1_Ph_II]],(Vout/Fsw-Table1[[#This Row],[Vin]]*t1_Ph_II)/(Table1[[#This Row],[Vin]]+Vout))</f>
        <v>8.5773829110453006E-7</v>
      </c>
      <c r="O157" s="602">
        <f>1/Fsw-(Table1[[#This Row],[t1_Ph_II]]+Table1[[#This Row],[t2_Ph_I]])</f>
        <v>0</v>
      </c>
      <c r="P15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9.5854713638524096</v>
      </c>
      <c r="Q157" s="4">
        <f>CHOOSE(Table1[[#This Row],[Mode Digit]],Table1[[#This Row],[I_0]]+1/Lf*(Table1[[#This Row],[Vin]]-Vout)*Table1[[#This Row],[t1_Ph_II]],Table1[[#This Row],[I_0]]+1/Lf*Table1[[#This Row],[Vin]]*Table1[[#This Row],[t1_Ph_II]],Table1[[#This Row],[I_0]]+(Table1[[#This Row],[Vin]]-Vout)/L*Table1[[#This Row],[t1_Ph_II]])</f>
        <v>14.414528636147589</v>
      </c>
      <c r="R157" s="4">
        <f>CHOOSE(Table1[[#This Row],[Mode Digit]],0,0,Table1[[#This Row],[I_1]]+Table1[[#This Row],[Vin]]/L*Table1[[#This Row],[t2_Ph_I]])</f>
        <v>0</v>
      </c>
      <c r="S157" s="4">
        <f>Fsw*(Table1[[#This Row],[I_0]]*Table1[[#This Row],[t1_Ph_II]]+Table1[[#This Row],[I_1]]*Table1[[#This Row],[t2_Ph_I]]+Table1[[#This Row],[I_2]]*Table1[[#This Row],[t3_Ph_III]])</f>
        <v>12.070711763283031</v>
      </c>
      <c r="T157" s="354">
        <f>MIN(1,CHOOSE(Table1[[#This Row],[Mode Digit]],(Vout+(Rdson2+Rs+Rdcr)*Table1[[#This Row],[Iout]])/(Table1[[#This Row],[Vin]]+(Rs+Rdson2-Rdson1)*Table1[[#This Row],[Iout]]),1,Fsw*Table1[[#This Row],[t2_Ph_I]]+Table1[[#This Row],[t1_Ph_II]]))</f>
        <v>0.48535702533728198</v>
      </c>
      <c r="U157" s="354">
        <f>MIN(1,CHOOSE(Table1[[#This Row],[Mode Digit]],0,(Vout+(Rdson3+Rdcr)*Table1[[#This Row],[Iin]]-Table1[[#This Row],[Vin]])/(Vout+(Rdson3-Rdson4-Rs)*Table1[[#This Row],[Iin]]),Fsw*Table1[[#This Row],[t1_Ph_II]]+Table1[[#This Row],[t3_Ph_III]]))</f>
        <v>0</v>
      </c>
      <c r="V157" s="4">
        <f>MAX(Table1[[#This Row],[I_0]:[I_2]])-MIN(Table1[[#This Row],[I_0]:[I_1]])</f>
        <v>4.829057272295179</v>
      </c>
      <c r="W15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12.080700152650875</v>
      </c>
      <c r="X157" s="354">
        <f>(Table1[[#This Row],[Irms Lf]]^2*Rdcr*(1+Ltc*Ta-Ltc*25))/(1-Table1[[#This Row],[Irms Lf]]^2*Rdcr*Ltc*ThetaCa)</f>
        <v>0.90795591920993557</v>
      </c>
      <c r="Y157" s="354">
        <f>ABS(7.759*10^-3*Fsw^0.9458*(0.00787*Table1[[#This Row],[Ripple Current pk-pk]])^2.304)</f>
        <v>1.2098341978893403</v>
      </c>
      <c r="Z157" s="354">
        <f>Table1[[#This Row],[DCR    Loss]]+Table1[[#This Row],[Core Loss]]</f>
        <v>2.1177901170992759</v>
      </c>
      <c r="AA157" s="4">
        <f>IF(Table1[[#This Row],[Vin]]&gt;Vout, Table1[[#This Row],[Ripple Current pk-pk]]/SQRT(12), SQRT(Table1[[#This Row],[Duty Cycle BOOST Leg]]/(1-Table1[[#This Row],[Duty Cycle BOOST Leg]]))*SQRT(Table1[[#This Row],[Iout]]^2+(Table1[[#This Row],[Ripple Current pk-pk]]^2)/12))</f>
        <v>1.3940287580458708</v>
      </c>
      <c r="AB157" s="354">
        <f>RCoutEsr*Table1[[#This Row],[Irms Cout]]^2</f>
        <v>9.7165808912945649E-3</v>
      </c>
      <c r="AC157" s="354">
        <f>Table1[[#This Row],[Cout ESR Loss]]</f>
        <v>9.7165808912945649E-3</v>
      </c>
      <c r="AD157" s="354">
        <f>IF(Table1[[#This Row],[Vin]]&gt;Vout, SQRT(Table1[[#This Row],[Duty Cycle BUCK Leg]]*(1-Table1[[#This Row],[Duty Cycle BUCK Leg]]))*SQRT(Table1[[#This Row],[Iout]]^2+(Table1[[#This Row],[Ripple Current pk-pk]]^2)/12), Table1[[#This Row],[Ripple Current pk-pk]]/SQRT(12))</f>
        <v>6.0377592167380332</v>
      </c>
      <c r="AE157" s="354">
        <f>RCinEsr*Table1[[#This Row],[Irms Cin]]^2</f>
        <v>7.2909072718610135E-2</v>
      </c>
      <c r="AF157" s="549">
        <f>Table1[[#This Row],[Cin ESR Loss]]</f>
        <v>7.2909072718610135E-2</v>
      </c>
      <c r="AG15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8.4163301864968538</v>
      </c>
      <c r="AH157" s="354">
        <f>Rdson1*Table1[[#This Row],[Irms BuCtrl]]^2</f>
        <v>0.29750537799418036</v>
      </c>
      <c r="AI157" s="354">
        <f>CHOOSE(Table1[[#This Row],[Mode Digit]], (Table1[[#This Row],[Vin]]*Table1[[#This Row],[Iout]]/2)*(Fsw)*(Tr_buck+Tf_buck), 0, (Table1[[#This Row],[Vin]]*Table1[[#This Row],[Avg IL]]/2)*(Fsw/1)*(Tr_buck+Tf_buck))</f>
        <v>3.6127308046069921</v>
      </c>
      <c r="AJ157">
        <f>IF(Table1[[#This Row],[Vin]]&gt;Vout, IF(Table1[[#This Row],[Iout]]&gt;Table1[[#This Row],[Ripple Current pk-pk]]/2,0,ABS(Table1[[#This Row],[Iout]]-Table1[[#This Row],[Ripple Current pk-pk]]/2)*Vsd_Q1*Deadtime*Fsw),0)</f>
        <v>0</v>
      </c>
      <c r="AK157" s="354">
        <f>(Table1[[#This Row],[Dead Time Loss BuCtrl]]+Table1[[#This Row],[Transition Loss BuCtrl]]+Table1[[#This Row],[RDS(on) Loss BuCtrl]]*(1+RdsonTopTc*Ta-RdsonTopTc*25))/(1-Table1[[#This Row],[RDS(on) Loss BuCtrl]]*RdsonTopTc*ThetaJA_Q1)</f>
        <v>4.2108998682834038</v>
      </c>
      <c r="AL157" s="354">
        <f>CHOOSE(Table1[[#This Row],[Mode Digit]],SQRT((Fsw*(Table1[[#This Row],[t2_Ph_I]]+0))*((Table1[[#This Row],[I_0]]*Table1[[#This Row],[I_1]]+((Table1[[#This Row],[I_0]]-Table1[[#This Row],[I_1]])^2)/3))),0,SQRT((Fsw*(Table1[[#This Row],[t3_Ph_III]]+0))*((Table1[[#This Row],[I_0]]*Table1[[#This Row],[I_2]]+((Table1[[#This Row],[I_0]]-Table1[[#This Row],[I_2]])^2)/3))))</f>
        <v>8.6665276997261564</v>
      </c>
      <c r="AM157" s="354">
        <f>Rdson2*Table1[[#This Row],[Irms BuSync]]^2</f>
        <v>0.31545654995450717</v>
      </c>
      <c r="AN15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7" s="354">
        <f>(Table1[[#This Row],[Deadtime Loss BuSync]]+Table1[[#This Row],[RDS(on) Loss BuSync]]*(1+RdsonBotTc*Ta-RdsonBotTc*25))/(1-Table1[[#This Row],[RDS(on) Loss BuSync]]*RdsonBotTc*ThetaJA_Q2)</f>
        <v>0.96596042917734182</v>
      </c>
      <c r="AP157" s="354">
        <f>CHOOSE(Table1[[#This Row],[Mode Digit]],0,SQRT((Fsw*(Table1[[#This Row],[t1_Ph_II]]+0))*((Table1[[#This Row],[I_0]]*Table1[[#This Row],[I_1]]+((Table1[[#This Row],[I_0]]-Table1[[#This Row],[I_1]])^2)/3))),SQRT((Fsw*(Table1[[#This Row],[t2_Ph_I]]+0))*((Table1[[#This Row],[I_1]]*Table1[[#This Row],[I_2]]+((Table1[[#This Row],[I_1]]-Table1[[#This Row],[I_2]])^2)/3))))</f>
        <v>0</v>
      </c>
      <c r="AQ157" s="354">
        <f>Rdson4*Table1[[#This Row],[Irms BoCtlr]]^2</f>
        <v>0</v>
      </c>
      <c r="AR157" s="354">
        <f>CHOOSE(Table1[[#This Row],[Mode Digit]], 0, (Vout*Table1[[#This Row],[Iin]]/2)*(Fsw)*(Tr_boost+Tf_boost), (Vout*Iout/2)*(Fsw/1)*(Tr_boost+Tf_boost))</f>
        <v>0</v>
      </c>
      <c r="AS157">
        <f>IF(Table1[[#This Row],[Vin]]&gt;Vout, 0, IF(Table1[[#This Row],[Iin]]&gt;Table1[[#This Row],[Ripple Current pk-pk]]/2,0,ABS(Table1[[#This Row],[Iin]]-Table1[[#This Row],[Ripple Current pk-pk]]/2)*Vsd_Q4*Deadtime*Fsw))</f>
        <v>0</v>
      </c>
      <c r="AT157" s="354">
        <f>(Table1[[#This Row],[Dead Time Loss BoCtlr]]+Table1[[#This Row],[Transition Loss BoCtlr]]+Table1[[#This Row],[RDS(on) Loss BoCtlr]]*(1+RdsonTopTc*Ta-RdsonTopTc*25))/(1-Table1[[#This Row],[RDS(on) Loss BoCtlr]]*RdsonTopTc*ThetaJA_Q4)</f>
        <v>0</v>
      </c>
      <c r="AU15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12.080700152650875</v>
      </c>
      <c r="AV157" s="354">
        <f>Rdson3*Table1[[#This Row],[Irms BoSync]]^2</f>
        <v>0.61296192794868731</v>
      </c>
      <c r="AW15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7" s="354">
        <f>(Table1[[#This Row],[Deadtime Loss BoSync]]+Table1[[#This Row],[RDS(on) Loss BoSync]]*(1+RdsonBotTc*Ta-RdsonBotTc*25))/(1-Table1[[#This Row],[RDS(on) Loss BoSync]]*RdsonBotTc*ThetaJA_Q3)</f>
        <v>0.71868886722449099</v>
      </c>
      <c r="AY157" s="354">
        <f>CHOOSE(Table1[[#This Row],[Mode Digit]], Rdson3*Table1[[#This Row],[Irms Lf]]^2, Rdson1*Table1[[#This Row],[Irms Lf]]^2, 0)</f>
        <v>0.61296192794868731</v>
      </c>
      <c r="AZ157" s="354">
        <f>CHOOSE(Table1[[#This Row],[Mode Digit]], 2*Deadtime*Fsw*IF(VfdSky_Q2&gt;0,VfdSky_Q2,0)*Table1[[#This Row],[Iout]], 2*Deadtime*Fsw*IF(VfdSky_Q3&gt;0,VfdSky_Q3,0)*Table1[[#This Row],[Iin]], 2*Deadtime*Fsw*IF(VfdSky_Q2&gt;0,VfdSky_Q2,0)*Table1[[#This Row],[Iout]]+2*Deadtime*Fsw*IF(VfdSky_Q3&gt;0,VfdSky_Q3,0)*Table1[[#This Row],[Iin]])</f>
        <v>0</v>
      </c>
      <c r="BA157" s="354">
        <f>CHOOSE(Table1[[#This Row],[Mode Digit]], IF(QrrSky_Q2&gt;0,QrrSky_Q2,Qrr_Q2)*Fsw*(Table1[[#This Row],[Vin]]-Table1[[#This Row],[Iout]]*Rdson1),0,  IF(QrrSky_Q2&gt;0,QrrSky_Q2,Qrr_Q2)*Fsw*(Table1[[#This Row],[Vin]]-Table1[[#This Row],[Iout]]*Rdson1)+IF(QrrSky_Q3&gt;0,QrrSky_Q3,Qrr_Q3)*Fsw*Vout)</f>
        <v>0.36371520000000002</v>
      </c>
      <c r="BB157" s="354">
        <f>CHOOSE(Table1[[#This Row],[Mode Digit]],0, IF(QrrSky_Q3&gt;0,QrrSky_Q3,Qrr_Q3)*Fsw*Vout,  IF(QrrSky_Q2&gt;0,QrrSky_Q2,Qrr_Q2)*Fsw*(Table1[[#This Row],[Vin]]-Table1[[#This Row],[Iout]]*Rdson1)+IF(QrrSky_Q3&gt;0,QrrSky_Q3,Qrr_Q3)*Fsw*Vout)</f>
        <v>0</v>
      </c>
      <c r="BC157" s="354">
        <f>CHOOSE(Table1[[#This Row],[Mode Digit]], Rs*Table1[[#This Row],[Irms BuSync]]^2, Rs*Table1[[#This Row],[Irms BoCtlr]]^2, Rs*(Table1[[#This Row],[Irms BuSync]]^2+Table1[[#This Row],[Irms BoCtlr]]^2))</f>
        <v>0.18777175592530185</v>
      </c>
      <c r="BD157" s="354">
        <f t="shared" si="8"/>
        <v>1.44</v>
      </c>
      <c r="BE157" s="354">
        <f>IF(Vout&gt;8, Iq*Vout, Iq*Table1[[#This Row],[Vin]])</f>
        <v>4.3799999999999999E-2</v>
      </c>
      <c r="BF157" s="354">
        <f>CHOOSE(Table1[[#This Row],[Mode Digit]], (Qg_Q1+Qg_Q2)*Fsw, (Qg_Q3+Qg_Q4)*Fsw, (Qg_Q1+Qg_Q2+Qg_Q3+Qg_Q4)*Fsw)*IF(Vout&gt;8, Vout, Table1[[#This Row],[Vin]])</f>
        <v>0.47303999999999996</v>
      </c>
      <c r="BG157" s="354">
        <f t="shared" si="9"/>
        <v>0.57269042016806726</v>
      </c>
      <c r="BH157" s="354">
        <f>Table1[[#This Row],[IQ Loss]]+Table1[[#This Row],[Switching Current Loss]]</f>
        <v>0.51683999999999997</v>
      </c>
      <c r="BI15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10.604291891319718</v>
      </c>
      <c r="BJ157">
        <f>Vout*Table1[[#This Row],[Iout]]</f>
        <v>175.2</v>
      </c>
      <c r="BK157" s="550">
        <f>Table1[[#This Row],[Pout]]/(Table1[[#This Row],[Pout]]+Table1[[#This Row],[Total Loss]])</f>
        <v>0.94292762678742448</v>
      </c>
      <c r="BL15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252.65399209700422</v>
      </c>
      <c r="BM157" s="559">
        <f>IF(Table1[[#This Row],[Vin]]&gt;Vout, Table1[[#This Row],[Total Sync Bu MOSFET Loss]]*ThetaJA_Q2, ThetaJA_Q3*Table1[[#This Row],[Total Sync Bo MOSFET Loss]])</f>
        <v>57.95762575064051</v>
      </c>
      <c r="BN157" s="9"/>
      <c r="BO157" s="4">
        <f>Table1[[#This Row],[EFF, h]]*100</f>
        <v>94.292762678742449</v>
      </c>
      <c r="BP157" s="354">
        <f>Table1[[#This Row],[Total Inductor Loss]]</f>
        <v>2.1177901170992759</v>
      </c>
      <c r="BQ157" s="354">
        <f>Table1[[#This Row],[Total Control Bu MOSFET Loss]]+Table1[[#This Row],[Total Sync Bu MOSFET Loss]]+Table1[[#This Row],[Total Control Bo MOSFET Loss]]+Table1[[#This Row],[Total Sync Bo MOSFET Loss]]+Table1[[#This Row],[Reverse Recovery Loss MOSFET D BUCK]]+Table1[[#This Row],[Reverse Recovery Loss MOSFET D BOOST]]</f>
        <v>6.2592643646852357</v>
      </c>
      <c r="BR157" s="354">
        <f>Table1[[#This Row],[Total Control Bu MOSFET Loss]]+Table1[[#This Row],[Reverse Recovery Loss MOSFET D BUCK]]*0.66</f>
        <v>4.4509519002834042</v>
      </c>
      <c r="BS157" s="354">
        <f>Table1[[#This Row],[Total Sync Bu MOSFET Loss]]+Table1[[#This Row],[Reverse Recovery Loss MOSFET D BUCK]]*0.33</f>
        <v>1.0859864451773418</v>
      </c>
      <c r="BT157" s="354">
        <f xml:space="preserve"> Table1[[#This Row],[Total Control Bo MOSFET Loss]]+Table1[[#This Row],[Reverse Recovery Loss MOSFET D BOOST]]*0.66</f>
        <v>0</v>
      </c>
      <c r="BU157" s="354">
        <f xml:space="preserve"> Table1[[#This Row],[Total Sync Bo MOSFET Loss]]+Table1[[#This Row],[Reverse Recovery Loss MOSFET D BOOST]]*0.33</f>
        <v>0.71868886722449099</v>
      </c>
      <c r="BV157" s="354">
        <f>Table1[[#This Row],[Isense Shunt Loss]]</f>
        <v>0.18777175592530185</v>
      </c>
    </row>
    <row r="158" spans="7:74" x14ac:dyDescent="0.2">
      <c r="G158">
        <v>149</v>
      </c>
      <c r="H158" s="555">
        <f>VIN_min+(VIN_max-VIN_min)*(Table1[[#This Row],[Step]]/200)</f>
        <v>30.43</v>
      </c>
      <c r="I158" s="4" t="str">
        <f>IF(Mode = 2,IF(Table1[[#This Row],[Vin]]&gt;Vout, "BUCK","BOOST"),IF(Table1[[#This Row],[Vin]]&gt;VIN_BB_to_buck, "BUCK", IF(Table1[[#This Row],[Vin]]&lt;=VIN_boost_to_BB,"BOOST","BUCK-BST")))</f>
        <v>BUCK</v>
      </c>
      <c r="J158">
        <f>IF(Table1[[#This Row],[Mode]]="BOOST",2, IF(Table1[[#This Row],[Mode]]="BUCK", 1,3))</f>
        <v>1</v>
      </c>
      <c r="K158">
        <f t="shared" si="7"/>
        <v>12</v>
      </c>
      <c r="L158" s="4">
        <f>Vout*Table1[[#This Row],[Iout]]/(Table1[[#This Row],[Vin]]*Efficiency)</f>
        <v>6.0605012366604978</v>
      </c>
      <c r="M158" s="711">
        <f>MIN(1/Fsw,CHOOSE(Table1[[#This Row],[Mode Digit]],(Vout+(Rdson2+Rs+Rdcr)*Table1[[#This Row],[Iout]])/(Table1[[#This Row],[Vin]]+(Rs+Rdson2-Rdson1)*Table1[[#This Row],[Iout]])/Fsw,(Vout+(Rdson3+Rdcr)*Table1[[#This Row],[Iin]]-Table1[[#This Row],[Vin]])/(Vout+(Rdson3-Rdson4-Rs)*Table1[[#This Row],[Iin]])/Fsw,t1_Ph_II))</f>
        <v>8.0706938060844829E-7</v>
      </c>
      <c r="N158" s="602">
        <f>CHOOSE(Table1[[#This Row],[Mode Digit]],1/Fsw-Table1[[#This Row],[t1_Ph_II]],1/Fsw-Table1[[#This Row],[t1_Ph_II]],(Vout/Fsw-Table1[[#This Row],[Vin]]*t1_Ph_II)/(Table1[[#This Row],[Vin]]+Vout))</f>
        <v>8.5959728605821837E-7</v>
      </c>
      <c r="O158" s="602">
        <f>1/Fsw-(Table1[[#This Row],[t1_Ph_II]]+Table1[[#This Row],[t2_Ph_I]])</f>
        <v>0</v>
      </c>
      <c r="P15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9.5803203986682313</v>
      </c>
      <c r="Q158" s="4">
        <f>CHOOSE(Table1[[#This Row],[Mode Digit]],Table1[[#This Row],[I_0]]+1/Lf*(Table1[[#This Row],[Vin]]-Vout)*Table1[[#This Row],[t1_Ph_II]],Table1[[#This Row],[I_0]]+1/Lf*Table1[[#This Row],[Vin]]*Table1[[#This Row],[t1_Ph_II]],Table1[[#This Row],[I_0]]+(Table1[[#This Row],[Vin]]-Vout)/L*Table1[[#This Row],[t1_Ph_II]])</f>
        <v>14.419679601331769</v>
      </c>
      <c r="R158" s="4">
        <f>CHOOSE(Table1[[#This Row],[Mode Digit]],0,0,Table1[[#This Row],[I_1]]+Table1[[#This Row],[Vin]]/L*Table1[[#This Row],[t2_Ph_I]])</f>
        <v>0</v>
      </c>
      <c r="S158" s="4">
        <f>Fsw*(Table1[[#This Row],[I_0]]*Table1[[#This Row],[t1_Ph_II]]+Table1[[#This Row],[I_1]]*Table1[[#This Row],[t2_Ph_I]]+Table1[[#This Row],[I_2]]*Table1[[#This Row],[t3_Ph_III]])</f>
        <v>12.076260420790495</v>
      </c>
      <c r="T158" s="354">
        <f>MIN(1,CHOOSE(Table1[[#This Row],[Mode Digit]],(Vout+(Rdson2+Rs+Rdcr)*Table1[[#This Row],[Iout]])/(Table1[[#This Row],[Vin]]+(Rs+Rdson2-Rdson1)*Table1[[#This Row],[Iout]]),1,Fsw*Table1[[#This Row],[t2_Ph_I]]+Table1[[#This Row],[t1_Ph_II]]))</f>
        <v>0.48424162836506895</v>
      </c>
      <c r="U158" s="354">
        <f>MIN(1,CHOOSE(Table1[[#This Row],[Mode Digit]],0,(Vout+(Rdson3+Rdcr)*Table1[[#This Row],[Iin]]-Table1[[#This Row],[Vin]])/(Vout+(Rdson3-Rdson4-Rs)*Table1[[#This Row],[Iin]]),Fsw*Table1[[#This Row],[t1_Ph_II]]+Table1[[#This Row],[t3_Ph_III]]))</f>
        <v>0</v>
      </c>
      <c r="V158" s="4">
        <f>MAX(Table1[[#This Row],[I_0]:[I_2]])-MIN(Table1[[#This Row],[I_0]:[I_1]])</f>
        <v>4.8393592026635375</v>
      </c>
      <c r="W15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12.081043682468016</v>
      </c>
      <c r="X158" s="354">
        <f>(Table1[[#This Row],[Irms Lf]]^2*Rdcr*(1+Ltc*Ta-Ltc*25))/(1-Table1[[#This Row],[Irms Lf]]^2*Rdcr*Ltc*ThetaCa)</f>
        <v>0.9080113087325884</v>
      </c>
      <c r="Y158" s="354">
        <f>ABS(7.759*10^-3*Fsw^0.9458*(0.00787*Table1[[#This Row],[Ripple Current pk-pk]])^2.304)</f>
        <v>1.215789014168791</v>
      </c>
      <c r="Z158" s="354">
        <f>Table1[[#This Row],[DCR    Loss]]+Table1[[#This Row],[Core Loss]]</f>
        <v>2.1238003229013795</v>
      </c>
      <c r="AA158" s="4">
        <f>IF(Table1[[#This Row],[Vin]]&gt;Vout, Table1[[#This Row],[Ripple Current pk-pk]]/SQRT(12), SQRT(Table1[[#This Row],[Duty Cycle BOOST Leg]]/(1-Table1[[#This Row],[Duty Cycle BOOST Leg]]))*SQRT(Table1[[#This Row],[Iout]]^2+(Table1[[#This Row],[Ripple Current pk-pk]]^2)/12))</f>
        <v>1.3970026691815431</v>
      </c>
      <c r="AB158" s="354">
        <f>RCoutEsr*Table1[[#This Row],[Irms Cout]]^2</f>
        <v>9.758082288501781E-3</v>
      </c>
      <c r="AC158" s="354">
        <f>Table1[[#This Row],[Cout ESR Loss]]</f>
        <v>9.758082288501781E-3</v>
      </c>
      <c r="AD158" s="354">
        <f>IF(Table1[[#This Row],[Vin]]&gt;Vout, SQRT(Table1[[#This Row],[Duty Cycle BUCK Leg]]*(1-Table1[[#This Row],[Duty Cycle BUCK Leg]]))*SQRT(Table1[[#This Row],[Iout]]^2+(Table1[[#This Row],[Ripple Current pk-pk]]^2)/12), Table1[[#This Row],[Ripple Current pk-pk]]/SQRT(12))</f>
        <v>6.0375210552799432</v>
      </c>
      <c r="AE158" s="354">
        <f>RCinEsr*Table1[[#This Row],[Irms Cin]]^2</f>
        <v>7.2903320985897288E-2</v>
      </c>
      <c r="AF158" s="549">
        <f>Table1[[#This Row],[Cin ESR Loss]]</f>
        <v>7.2903320985897288E-2</v>
      </c>
      <c r="AG15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8.4068929109386676</v>
      </c>
      <c r="AH158" s="354">
        <f>Rdson1*Table1[[#This Row],[Irms BuCtrl]]^2</f>
        <v>0.29683856334716152</v>
      </c>
      <c r="AI158" s="354">
        <f>CHOOSE(Table1[[#This Row],[Mode Digit]], (Table1[[#This Row],[Vin]]*Table1[[#This Row],[Iout]]/2)*(Fsw)*(Tr_buck+Tf_buck), 0, (Table1[[#This Row],[Vin]]*Table1[[#This Row],[Avg IL]]/2)*(Fsw/1)*(Tr_buck+Tf_buck))</f>
        <v>3.6210605528389577</v>
      </c>
      <c r="AJ158">
        <f>IF(Table1[[#This Row],[Vin]]&gt;Vout, IF(Table1[[#This Row],[Iout]]&gt;Table1[[#This Row],[Ripple Current pk-pk]]/2,0,ABS(Table1[[#This Row],[Iout]]-Table1[[#This Row],[Ripple Current pk-pk]]/2)*Vsd_Q1*Deadtime*Fsw),0)</f>
        <v>0</v>
      </c>
      <c r="AK158" s="354">
        <f>(Table1[[#This Row],[Dead Time Loss BuCtrl]]+Table1[[#This Row],[Transition Loss BuCtrl]]+Table1[[#This Row],[RDS(on) Loss BuCtrl]]*(1+RdsonTopTc*Ta-RdsonTopTc*25))/(1-Table1[[#This Row],[RDS(on) Loss BuCtrl]]*RdsonTopTc*ThetaJA_Q1)</f>
        <v>4.2184250087936501</v>
      </c>
      <c r="AL158" s="354">
        <f>CHOOSE(Table1[[#This Row],[Mode Digit]],SQRT((Fsw*(Table1[[#This Row],[t2_Ph_I]]+0))*((Table1[[#This Row],[I_0]]*Table1[[#This Row],[I_1]]+((Table1[[#This Row],[I_0]]-Table1[[#This Row],[I_1]])^2)/3))),0,SQRT((Fsw*(Table1[[#This Row],[t3_Ph_III]]+0))*((Table1[[#This Row],[I_0]]*Table1[[#This Row],[I_2]]+((Table1[[#This Row],[I_0]]-Table1[[#This Row],[I_2]])^2)/3))))</f>
        <v>8.6761609045538979</v>
      </c>
      <c r="AM158" s="354">
        <f>Rdson2*Table1[[#This Row],[Irms BuSync]]^2</f>
        <v>0.31615822577517999</v>
      </c>
      <c r="AN15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8" s="354">
        <f>(Table1[[#This Row],[Deadtime Loss BuSync]]+Table1[[#This Row],[RDS(on) Loss BuSync]]*(1+RdsonBotTc*Ta-RdsonBotTc*25))/(1-Table1[[#This Row],[RDS(on) Loss BuSync]]*RdsonBotTc*ThetaJA_Q2)</f>
        <v>0.96689574470384154</v>
      </c>
      <c r="AP158" s="354">
        <f>CHOOSE(Table1[[#This Row],[Mode Digit]],0,SQRT((Fsw*(Table1[[#This Row],[t1_Ph_II]]+0))*((Table1[[#This Row],[I_0]]*Table1[[#This Row],[I_1]]+((Table1[[#This Row],[I_0]]-Table1[[#This Row],[I_1]])^2)/3))),SQRT((Fsw*(Table1[[#This Row],[t2_Ph_I]]+0))*((Table1[[#This Row],[I_1]]*Table1[[#This Row],[I_2]]+((Table1[[#This Row],[I_1]]-Table1[[#This Row],[I_2]])^2)/3))))</f>
        <v>0</v>
      </c>
      <c r="AQ158" s="354">
        <f>Rdson4*Table1[[#This Row],[Irms BoCtlr]]^2</f>
        <v>0</v>
      </c>
      <c r="AR158" s="354">
        <f>CHOOSE(Table1[[#This Row],[Mode Digit]], 0, (Vout*Table1[[#This Row],[Iin]]/2)*(Fsw)*(Tr_boost+Tf_boost), (Vout*Iout/2)*(Fsw/1)*(Tr_boost+Tf_boost))</f>
        <v>0</v>
      </c>
      <c r="AS158">
        <f>IF(Table1[[#This Row],[Vin]]&gt;Vout, 0, IF(Table1[[#This Row],[Iin]]&gt;Table1[[#This Row],[Ripple Current pk-pk]]/2,0,ABS(Table1[[#This Row],[Iin]]-Table1[[#This Row],[Ripple Current pk-pk]]/2)*Vsd_Q4*Deadtime*Fsw))</f>
        <v>0</v>
      </c>
      <c r="AT158" s="354">
        <f>(Table1[[#This Row],[Dead Time Loss BoCtlr]]+Table1[[#This Row],[Transition Loss BoCtlr]]+Table1[[#This Row],[RDS(on) Loss BoCtlr]]*(1+RdsonTopTc*Ta-RdsonTopTc*25))/(1-Table1[[#This Row],[RDS(on) Loss BoCtlr]]*RdsonTopTc*ThetaJA_Q4)</f>
        <v>0</v>
      </c>
      <c r="AU15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12.081043682468016</v>
      </c>
      <c r="AV158" s="354">
        <f>Rdson3*Table1[[#This Row],[Irms BoSync]]^2</f>
        <v>0.61299678912234157</v>
      </c>
      <c r="AW15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8" s="354">
        <f>(Table1[[#This Row],[Deadtime Loss BoSync]]+Table1[[#This Row],[RDS(on) Loss BoSync]]*(1+RdsonBotTc*Ta-RdsonBotTc*25))/(1-Table1[[#This Row],[RDS(on) Loss BoSync]]*RdsonBotTc*ThetaJA_Q3)</f>
        <v>0.71873679211157915</v>
      </c>
      <c r="AY158" s="354">
        <f>CHOOSE(Table1[[#This Row],[Mode Digit]], Rdson3*Table1[[#This Row],[Irms Lf]]^2, Rdson1*Table1[[#This Row],[Irms Lf]]^2, 0)</f>
        <v>0.61299678912234157</v>
      </c>
      <c r="AZ158" s="354">
        <f>CHOOSE(Table1[[#This Row],[Mode Digit]], 2*Deadtime*Fsw*IF(VfdSky_Q2&gt;0,VfdSky_Q2,0)*Table1[[#This Row],[Iout]], 2*Deadtime*Fsw*IF(VfdSky_Q3&gt;0,VfdSky_Q3,0)*Table1[[#This Row],[Iin]], 2*Deadtime*Fsw*IF(VfdSky_Q2&gt;0,VfdSky_Q2,0)*Table1[[#This Row],[Iout]]+2*Deadtime*Fsw*IF(VfdSky_Q3&gt;0,VfdSky_Q3,0)*Table1[[#This Row],[Iin]])</f>
        <v>0</v>
      </c>
      <c r="BA158" s="354">
        <f>CHOOSE(Table1[[#This Row],[Mode Digit]], IF(QrrSky_Q2&gt;0,QrrSky_Q2,Qrr_Q2)*Fsw*(Table1[[#This Row],[Vin]]-Table1[[#This Row],[Iout]]*Rdson1),0,  IF(QrrSky_Q2&gt;0,QrrSky_Q2,Qrr_Q2)*Fsw*(Table1[[#This Row],[Vin]]-Table1[[#This Row],[Iout]]*Rdson1)+IF(QrrSky_Q3&gt;0,QrrSky_Q3,Qrr_Q3)*Fsw*Vout)</f>
        <v>0.36455520000000002</v>
      </c>
      <c r="BB158" s="354">
        <f>CHOOSE(Table1[[#This Row],[Mode Digit]],0, IF(QrrSky_Q3&gt;0,QrrSky_Q3,Qrr_Q3)*Fsw*Vout,  IF(QrrSky_Q2&gt;0,QrrSky_Q2,Qrr_Q2)*Fsw*(Table1[[#This Row],[Vin]]-Table1[[#This Row],[Iout]]*Rdson1)+IF(QrrSky_Q3&gt;0,QrrSky_Q3,Qrr_Q3)*Fsw*Vout)</f>
        <v>0</v>
      </c>
      <c r="BC158" s="354">
        <f>CHOOSE(Table1[[#This Row],[Mode Digit]], Rs*Table1[[#This Row],[Irms BuSync]]^2, Rs*Table1[[#This Row],[Irms BoCtlr]]^2, Rs*(Table1[[#This Row],[Irms BuSync]]^2+Table1[[#This Row],[Irms BoCtlr]]^2))</f>
        <v>0.18818942010427378</v>
      </c>
      <c r="BD158" s="354">
        <f t="shared" si="8"/>
        <v>1.44</v>
      </c>
      <c r="BE158" s="354">
        <f>IF(Vout&gt;8, Iq*Vout, Iq*Table1[[#This Row],[Vin]])</f>
        <v>4.3799999999999999E-2</v>
      </c>
      <c r="BF158" s="354">
        <f>CHOOSE(Table1[[#This Row],[Mode Digit]], (Qg_Q1+Qg_Q2)*Fsw, (Qg_Q3+Qg_Q4)*Fsw, (Qg_Q1+Qg_Q2+Qg_Q3+Qg_Q4)*Fsw)*IF(Vout&gt;8, Vout, Table1[[#This Row],[Vin]])</f>
        <v>0.47303999999999996</v>
      </c>
      <c r="BG158" s="354">
        <f t="shared" si="9"/>
        <v>0.57269042016806726</v>
      </c>
      <c r="BH158" s="354">
        <f>Table1[[#This Row],[IQ Loss]]+Table1[[#This Row],[Switching Current Loss]]</f>
        <v>0.51683999999999997</v>
      </c>
      <c r="BI15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10.620103891889123</v>
      </c>
      <c r="BJ158">
        <f>Vout*Table1[[#This Row],[Iout]]</f>
        <v>175.2</v>
      </c>
      <c r="BK158" s="550">
        <f>Table1[[#This Row],[Pout]]/(Table1[[#This Row],[Pout]]+Table1[[#This Row],[Total Loss]])</f>
        <v>0.94284739019375452</v>
      </c>
      <c r="BL15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253.105500527619</v>
      </c>
      <c r="BM158" s="559">
        <f>IF(Table1[[#This Row],[Vin]]&gt;Vout, Table1[[#This Row],[Total Sync Bu MOSFET Loss]]*ThetaJA_Q2, ThetaJA_Q3*Table1[[#This Row],[Total Sync Bo MOSFET Loss]])</f>
        <v>58.013744682230495</v>
      </c>
      <c r="BN158" s="9"/>
      <c r="BO158" s="4">
        <f>Table1[[#This Row],[EFF, h]]*100</f>
        <v>94.284739019375451</v>
      </c>
      <c r="BP158" s="354">
        <f>Table1[[#This Row],[Total Inductor Loss]]</f>
        <v>2.1238003229013795</v>
      </c>
      <c r="BQ158" s="354">
        <f>Table1[[#This Row],[Total Control Bu MOSFET Loss]]+Table1[[#This Row],[Total Sync Bu MOSFET Loss]]+Table1[[#This Row],[Total Control Bo MOSFET Loss]]+Table1[[#This Row],[Total Sync Bo MOSFET Loss]]+Table1[[#This Row],[Reverse Recovery Loss MOSFET D BUCK]]+Table1[[#This Row],[Reverse Recovery Loss MOSFET D BOOST]]</f>
        <v>6.2686127456090706</v>
      </c>
      <c r="BR158" s="354">
        <f>Table1[[#This Row],[Total Control Bu MOSFET Loss]]+Table1[[#This Row],[Reverse Recovery Loss MOSFET D BUCK]]*0.66</f>
        <v>4.45903144079365</v>
      </c>
      <c r="BS158" s="354">
        <f>Table1[[#This Row],[Total Sync Bu MOSFET Loss]]+Table1[[#This Row],[Reverse Recovery Loss MOSFET D BUCK]]*0.33</f>
        <v>1.0871989607038415</v>
      </c>
      <c r="BT158" s="354">
        <f xml:space="preserve"> Table1[[#This Row],[Total Control Bo MOSFET Loss]]+Table1[[#This Row],[Reverse Recovery Loss MOSFET D BOOST]]*0.66</f>
        <v>0</v>
      </c>
      <c r="BU158" s="354">
        <f xml:space="preserve"> Table1[[#This Row],[Total Sync Bo MOSFET Loss]]+Table1[[#This Row],[Reverse Recovery Loss MOSFET D BOOST]]*0.33</f>
        <v>0.71873679211157915</v>
      </c>
      <c r="BV158" s="354">
        <f>Table1[[#This Row],[Isense Shunt Loss]]</f>
        <v>0.18818942010427378</v>
      </c>
    </row>
    <row r="159" spans="7:74" x14ac:dyDescent="0.2">
      <c r="G159">
        <v>150</v>
      </c>
      <c r="H159" s="555">
        <f>VIN_min+(VIN_max-VIN_min)*(Table1[[#This Row],[Step]]/200)</f>
        <v>30.5</v>
      </c>
      <c r="I159" s="4" t="str">
        <f>IF(Mode = 2,IF(Table1[[#This Row],[Vin]]&gt;Vout, "BUCK","BOOST"),IF(Table1[[#This Row],[Vin]]&gt;VIN_BB_to_buck, "BUCK", IF(Table1[[#This Row],[Vin]]&lt;=VIN_boost_to_BB,"BOOST","BUCK-BST")))</f>
        <v>BUCK</v>
      </c>
      <c r="J159">
        <f>IF(Table1[[#This Row],[Mode]]="BOOST",2, IF(Table1[[#This Row],[Mode]]="BUCK", 1,3))</f>
        <v>1</v>
      </c>
      <c r="K159">
        <f t="shared" si="7"/>
        <v>12</v>
      </c>
      <c r="L159" s="4">
        <f>Vout*Table1[[#This Row],[Iout]]/(Table1[[#This Row],[Vin]]*Efficiency)</f>
        <v>6.0465918895599655</v>
      </c>
      <c r="M159" s="711">
        <f>MIN(1/Fsw,CHOOSE(Table1[[#This Row],[Mode Digit]],(Vout+(Rdson2+Rs+Rdcr)*Table1[[#This Row],[Iout]])/(Table1[[#This Row],[Vin]]+(Rs+Rdson2-Rdson1)*Table1[[#This Row],[Iout]])/Fsw,(Vout+(Rdson3+Rdcr)*Table1[[#This Row],[Iin]]-Table1[[#This Row],[Vin]])/(Vout+(Rdson3-Rdson4-Rs)*Table1[[#This Row],[Iin]])/Fsw,t1_Ph_II))</f>
        <v>8.0521891036139319E-7</v>
      </c>
      <c r="N159" s="602">
        <f>CHOOSE(Table1[[#This Row],[Mode Digit]],1/Fsw-Table1[[#This Row],[t1_Ph_II]],1/Fsw-Table1[[#This Row],[t1_Ph_II]],(Vout/Fsw-Table1[[#This Row],[Vin]]*t1_Ph_II)/(Table1[[#This Row],[Vin]]+Vout))</f>
        <v>8.6144775630527347E-7</v>
      </c>
      <c r="O159" s="602">
        <f>1/Fsw-(Table1[[#This Row],[t1_Ph_II]]+Table1[[#This Row],[t2_Ph_I]])</f>
        <v>0</v>
      </c>
      <c r="P15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9.57519305402535</v>
      </c>
      <c r="Q159" s="4">
        <f>CHOOSE(Table1[[#This Row],[Mode Digit]],Table1[[#This Row],[I_0]]+1/Lf*(Table1[[#This Row],[Vin]]-Vout)*Table1[[#This Row],[t1_Ph_II]],Table1[[#This Row],[I_0]]+1/Lf*Table1[[#This Row],[Vin]]*Table1[[#This Row],[t1_Ph_II]],Table1[[#This Row],[I_0]]+(Table1[[#This Row],[Vin]]-Vout)/L*Table1[[#This Row],[t1_Ph_II]])</f>
        <v>14.42480694597465</v>
      </c>
      <c r="R159" s="4">
        <f>CHOOSE(Table1[[#This Row],[Mode Digit]],0,0,Table1[[#This Row],[I_1]]+Table1[[#This Row],[Vin]]/L*Table1[[#This Row],[t2_Ph_I]])</f>
        <v>0</v>
      </c>
      <c r="S159" s="4">
        <f>Fsw*(Table1[[#This Row],[I_0]]*Table1[[#This Row],[t1_Ph_II]]+Table1[[#This Row],[I_1]]*Table1[[#This Row],[t2_Ph_I]]+Table1[[#This Row],[I_2]]*Table1[[#This Row],[t3_Ph_III]])</f>
        <v>12.081806457725317</v>
      </c>
      <c r="T159" s="354">
        <f>MIN(1,CHOOSE(Table1[[#This Row],[Mode Digit]],(Vout+(Rdson2+Rs+Rdcr)*Table1[[#This Row],[Iout]])/(Table1[[#This Row],[Vin]]+(Rs+Rdson2-Rdson1)*Table1[[#This Row],[Iout]]),1,Fsw*Table1[[#This Row],[t2_Ph_I]]+Table1[[#This Row],[t1_Ph_II]]))</f>
        <v>0.4831313462168359</v>
      </c>
      <c r="U159" s="354">
        <f>MIN(1,CHOOSE(Table1[[#This Row],[Mode Digit]],0,(Vout+(Rdson3+Rdcr)*Table1[[#This Row],[Iin]]-Table1[[#This Row],[Vin]])/(Vout+(Rdson3-Rdson4-Rs)*Table1[[#This Row],[Iin]]),Fsw*Table1[[#This Row],[t1_Ph_II]]+Table1[[#This Row],[t3_Ph_III]]))</f>
        <v>0</v>
      </c>
      <c r="V159" s="4">
        <f>MAX(Table1[[#This Row],[I_0]:[I_2]])-MIN(Table1[[#This Row],[I_0]:[I_1]])</f>
        <v>4.8496138919492999</v>
      </c>
      <c r="W15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12.081386354295146</v>
      </c>
      <c r="X159" s="354">
        <f>(Table1[[#This Row],[Irms Lf]]^2*Rdcr*(1+Ltc*Ta-Ltc*25))/(1-Table1[[#This Row],[Irms Lf]]^2*Rdcr*Ltc*ThetaCa)</f>
        <v>0.9080665619410907</v>
      </c>
      <c r="Y159" s="354">
        <f>ABS(7.759*10^-3*Fsw^0.9458*(0.00787*Table1[[#This Row],[Ripple Current pk-pk]])^2.304)</f>
        <v>1.2217329631375229</v>
      </c>
      <c r="Z159" s="354">
        <f>Table1[[#This Row],[DCR    Loss]]+Table1[[#This Row],[Core Loss]]</f>
        <v>2.1297995250786137</v>
      </c>
      <c r="AA159" s="4">
        <f>IF(Table1[[#This Row],[Vin]]&gt;Vout, Table1[[#This Row],[Ripple Current pk-pk]]/SQRT(12), SQRT(Table1[[#This Row],[Duty Cycle BOOST Leg]]/(1-Table1[[#This Row],[Duty Cycle BOOST Leg]]))*SQRT(Table1[[#This Row],[Iout]]^2+(Table1[[#This Row],[Ripple Current pk-pk]]^2)/12))</f>
        <v>1.3999629429913385</v>
      </c>
      <c r="AB159" s="354">
        <f>RCoutEsr*Table1[[#This Row],[Irms Cout]]^2</f>
        <v>9.7994812087448483E-3</v>
      </c>
      <c r="AC159" s="354">
        <f>Table1[[#This Row],[Cout ESR Loss]]</f>
        <v>9.7994812087448483E-3</v>
      </c>
      <c r="AD159" s="354">
        <f>IF(Table1[[#This Row],[Vin]]&gt;Vout, SQRT(Table1[[#This Row],[Duty Cycle BUCK Leg]]*(1-Table1[[#This Row],[Duty Cycle BUCK Leg]]))*SQRT(Table1[[#This Row],[Iout]]^2+(Table1[[#This Row],[Ripple Current pk-pk]]^2)/12), Table1[[#This Row],[Ripple Current pk-pk]]/SQRT(12))</f>
        <v>6.0372544219930315</v>
      </c>
      <c r="AE159" s="354">
        <f>RCinEsr*Table1[[#This Row],[Irms Cin]]^2</f>
        <v>7.2896881911748826E-2</v>
      </c>
      <c r="AF159" s="549">
        <f>Table1[[#This Row],[Cin ESR Loss]]</f>
        <v>7.2896881911748826E-2</v>
      </c>
      <c r="AG15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8.3974877889131747</v>
      </c>
      <c r="AH159" s="354">
        <f>Rdson1*Table1[[#This Row],[Irms BuCtrl]]^2</f>
        <v>0.29617476489277272</v>
      </c>
      <c r="AI159" s="354">
        <f>CHOOSE(Table1[[#This Row],[Mode Digit]], (Table1[[#This Row],[Vin]]*Table1[[#This Row],[Iout]]/2)*(Fsw)*(Tr_buck+Tf_buck), 0, (Table1[[#This Row],[Vin]]*Table1[[#This Row],[Avg IL]]/2)*(Fsw/1)*(Tr_buck+Tf_buck))</f>
        <v>3.6293903010709241</v>
      </c>
      <c r="AJ159">
        <f>IF(Table1[[#This Row],[Vin]]&gt;Vout, IF(Table1[[#This Row],[Iout]]&gt;Table1[[#This Row],[Ripple Current pk-pk]]/2,0,ABS(Table1[[#This Row],[Iout]]-Table1[[#This Row],[Ripple Current pk-pk]]/2)*Vsd_Q1*Deadtime*Fsw),0)</f>
        <v>0</v>
      </c>
      <c r="AK159" s="354">
        <f>(Table1[[#This Row],[Dead Time Loss BuCtrl]]+Table1[[#This Row],[Transition Loss BuCtrl]]+Table1[[#This Row],[RDS(on) Loss BuCtrl]]*(1+RdsonTopTc*Ta-RdsonTopTc*25))/(1-Table1[[#This Row],[RDS(on) Loss BuCtrl]]*RdsonTopTc*ThetaJA_Q1)</f>
        <v>4.2259540966060865</v>
      </c>
      <c r="AL159" s="354">
        <f>CHOOSE(Table1[[#This Row],[Mode Digit]],SQRT((Fsw*(Table1[[#This Row],[t2_Ph_I]]+0))*((Table1[[#This Row],[I_0]]*Table1[[#This Row],[I_1]]+((Table1[[#This Row],[I_0]]-Table1[[#This Row],[I_1]])^2)/3))),0,SQRT((Fsw*(Table1[[#This Row],[t3_Ph_III]]+0))*((Table1[[#This Row],[I_0]]*Table1[[#This Row],[I_2]]+((Table1[[#This Row],[I_0]]-Table1[[#This Row],[I_2]])^2)/3))))</f>
        <v>8.685740905461266</v>
      </c>
      <c r="AM159" s="354">
        <f>Rdson2*Table1[[#This Row],[Irms BuSync]]^2</f>
        <v>0.31685679932257305</v>
      </c>
      <c r="AN15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59" s="354">
        <f>(Table1[[#This Row],[Deadtime Loss BuSync]]+Table1[[#This Row],[RDS(on) Loss BuSync]]*(1+RdsonBotTc*Ta-RdsonBotTc*25))/(1-Table1[[#This Row],[RDS(on) Loss BuSync]]*RdsonBotTc*ThetaJA_Q2)</f>
        <v>0.96782726366920513</v>
      </c>
      <c r="AP159" s="354">
        <f>CHOOSE(Table1[[#This Row],[Mode Digit]],0,SQRT((Fsw*(Table1[[#This Row],[t1_Ph_II]]+0))*((Table1[[#This Row],[I_0]]*Table1[[#This Row],[I_1]]+((Table1[[#This Row],[I_0]]-Table1[[#This Row],[I_1]])^2)/3))),SQRT((Fsw*(Table1[[#This Row],[t2_Ph_I]]+0))*((Table1[[#This Row],[I_1]]*Table1[[#This Row],[I_2]]+((Table1[[#This Row],[I_1]]-Table1[[#This Row],[I_2]])^2)/3))))</f>
        <v>0</v>
      </c>
      <c r="AQ159" s="354">
        <f>Rdson4*Table1[[#This Row],[Irms BoCtlr]]^2</f>
        <v>0</v>
      </c>
      <c r="AR159" s="354">
        <f>CHOOSE(Table1[[#This Row],[Mode Digit]], 0, (Vout*Table1[[#This Row],[Iin]]/2)*(Fsw)*(Tr_boost+Tf_boost), (Vout*Iout/2)*(Fsw/1)*(Tr_boost+Tf_boost))</f>
        <v>0</v>
      </c>
      <c r="AS159">
        <f>IF(Table1[[#This Row],[Vin]]&gt;Vout, 0, IF(Table1[[#This Row],[Iin]]&gt;Table1[[#This Row],[Ripple Current pk-pk]]/2,0,ABS(Table1[[#This Row],[Iin]]-Table1[[#This Row],[Ripple Current pk-pk]]/2)*Vsd_Q4*Deadtime*Fsw))</f>
        <v>0</v>
      </c>
      <c r="AT159" s="354">
        <f>(Table1[[#This Row],[Dead Time Loss BoCtlr]]+Table1[[#This Row],[Transition Loss BoCtlr]]+Table1[[#This Row],[RDS(on) Loss BoCtlr]]*(1+RdsonTopTc*Ta-RdsonTopTc*25))/(1-Table1[[#This Row],[RDS(on) Loss BoCtlr]]*RdsonTopTc*ThetaJA_Q4)</f>
        <v>0</v>
      </c>
      <c r="AU15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12.081386354295146</v>
      </c>
      <c r="AV159" s="354">
        <f>Rdson3*Table1[[#This Row],[Irms BoSync]]^2</f>
        <v>0.61303156421534577</v>
      </c>
      <c r="AW15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59" s="354">
        <f>(Table1[[#This Row],[Deadtime Loss BoSync]]+Table1[[#This Row],[RDS(on) Loss BoSync]]*(1+RdsonBotTc*Ta-RdsonBotTc*25))/(1-Table1[[#This Row],[RDS(on) Loss BoSync]]*RdsonBotTc*ThetaJA_Q3)</f>
        <v>0.71878459959736318</v>
      </c>
      <c r="AY159" s="354">
        <f>CHOOSE(Table1[[#This Row],[Mode Digit]], Rdson3*Table1[[#This Row],[Irms Lf]]^2, Rdson1*Table1[[#This Row],[Irms Lf]]^2, 0)</f>
        <v>0.61303156421534577</v>
      </c>
      <c r="AZ159" s="354">
        <f>CHOOSE(Table1[[#This Row],[Mode Digit]], 2*Deadtime*Fsw*IF(VfdSky_Q2&gt;0,VfdSky_Q2,0)*Table1[[#This Row],[Iout]], 2*Deadtime*Fsw*IF(VfdSky_Q3&gt;0,VfdSky_Q3,0)*Table1[[#This Row],[Iin]], 2*Deadtime*Fsw*IF(VfdSky_Q2&gt;0,VfdSky_Q2,0)*Table1[[#This Row],[Iout]]+2*Deadtime*Fsw*IF(VfdSky_Q3&gt;0,VfdSky_Q3,0)*Table1[[#This Row],[Iin]])</f>
        <v>0</v>
      </c>
      <c r="BA159" s="354">
        <f>CHOOSE(Table1[[#This Row],[Mode Digit]], IF(QrrSky_Q2&gt;0,QrrSky_Q2,Qrr_Q2)*Fsw*(Table1[[#This Row],[Vin]]-Table1[[#This Row],[Iout]]*Rdson1),0,  IF(QrrSky_Q2&gt;0,QrrSky_Q2,Qrr_Q2)*Fsw*(Table1[[#This Row],[Vin]]-Table1[[#This Row],[Iout]]*Rdson1)+IF(QrrSky_Q3&gt;0,QrrSky_Q3,Qrr_Q3)*Fsw*Vout)</f>
        <v>0.36539520000000003</v>
      </c>
      <c r="BB159" s="354">
        <f>CHOOSE(Table1[[#This Row],[Mode Digit]],0, IF(QrrSky_Q3&gt;0,QrrSky_Q3,Qrr_Q3)*Fsw*Vout,  IF(QrrSky_Q2&gt;0,QrrSky_Q2,Qrr_Q2)*Fsw*(Table1[[#This Row],[Vin]]-Table1[[#This Row],[Iout]]*Rdson1)+IF(QrrSky_Q3&gt;0,QrrSky_Q3,Qrr_Q3)*Fsw*Vout)</f>
        <v>0</v>
      </c>
      <c r="BC159" s="354">
        <f>CHOOSE(Table1[[#This Row],[Mode Digit]], Rs*Table1[[#This Row],[Irms BuSync]]^2, Rs*Table1[[#This Row],[Irms BoCtlr]]^2, Rs*(Table1[[#This Row],[Irms BuSync]]^2+Table1[[#This Row],[Irms BoCtlr]]^2))</f>
        <v>0.18860523769200777</v>
      </c>
      <c r="BD159" s="354">
        <f t="shared" si="8"/>
        <v>1.44</v>
      </c>
      <c r="BE159" s="354">
        <f>IF(Vout&gt;8, Iq*Vout, Iq*Table1[[#This Row],[Vin]])</f>
        <v>4.3799999999999999E-2</v>
      </c>
      <c r="BF159" s="354">
        <f>CHOOSE(Table1[[#This Row],[Mode Digit]], (Qg_Q1+Qg_Q2)*Fsw, (Qg_Q3+Qg_Q4)*Fsw, (Qg_Q1+Qg_Q2+Qg_Q3+Qg_Q4)*Fsw)*IF(Vout&gt;8, Vout, Table1[[#This Row],[Vin]])</f>
        <v>0.47303999999999996</v>
      </c>
      <c r="BG159" s="354">
        <f t="shared" si="9"/>
        <v>0.57269042016806726</v>
      </c>
      <c r="BH159" s="354">
        <f>Table1[[#This Row],[IQ Loss]]+Table1[[#This Row],[Switching Current Loss]]</f>
        <v>0.51683999999999997</v>
      </c>
      <c r="BI15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10.63590228576377</v>
      </c>
      <c r="BJ159">
        <f>Vout*Table1[[#This Row],[Iout]]</f>
        <v>175.2</v>
      </c>
      <c r="BK159" s="550">
        <f>Table1[[#This Row],[Pout]]/(Table1[[#This Row],[Pout]]+Table1[[#This Row],[Total Loss]])</f>
        <v>0.94276723628242343</v>
      </c>
      <c r="BL15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253.55724579636518</v>
      </c>
      <c r="BM159" s="559">
        <f>IF(Table1[[#This Row],[Vin]]&gt;Vout, Table1[[#This Row],[Total Sync Bu MOSFET Loss]]*ThetaJA_Q2, ThetaJA_Q3*Table1[[#This Row],[Total Sync Bo MOSFET Loss]])</f>
        <v>58.069635820152307</v>
      </c>
      <c r="BN159" s="9"/>
      <c r="BO159" s="4">
        <f>Table1[[#This Row],[EFF, h]]*100</f>
        <v>94.276723628242337</v>
      </c>
      <c r="BP159" s="354">
        <f>Table1[[#This Row],[Total Inductor Loss]]</f>
        <v>2.1297995250786137</v>
      </c>
      <c r="BQ159" s="354">
        <f>Table1[[#This Row],[Total Control Bu MOSFET Loss]]+Table1[[#This Row],[Total Sync Bu MOSFET Loss]]+Table1[[#This Row],[Total Control Bo MOSFET Loss]]+Table1[[#This Row],[Total Sync Bo MOSFET Loss]]+Table1[[#This Row],[Reverse Recovery Loss MOSFET D BUCK]]+Table1[[#This Row],[Reverse Recovery Loss MOSFET D BOOST]]</f>
        <v>6.277961159872655</v>
      </c>
      <c r="BR159" s="354">
        <f>Table1[[#This Row],[Total Control Bu MOSFET Loss]]+Table1[[#This Row],[Reverse Recovery Loss MOSFET D BUCK]]*0.66</f>
        <v>4.4671149286060867</v>
      </c>
      <c r="BS159" s="354">
        <f>Table1[[#This Row],[Total Sync Bu MOSFET Loss]]+Table1[[#This Row],[Reverse Recovery Loss MOSFET D BUCK]]*0.33</f>
        <v>1.088407679669205</v>
      </c>
      <c r="BT159" s="354">
        <f xml:space="preserve"> Table1[[#This Row],[Total Control Bo MOSFET Loss]]+Table1[[#This Row],[Reverse Recovery Loss MOSFET D BOOST]]*0.66</f>
        <v>0</v>
      </c>
      <c r="BU159" s="354">
        <f xml:space="preserve"> Table1[[#This Row],[Total Sync Bo MOSFET Loss]]+Table1[[#This Row],[Reverse Recovery Loss MOSFET D BOOST]]*0.33</f>
        <v>0.71878459959736318</v>
      </c>
      <c r="BV159" s="354">
        <f>Table1[[#This Row],[Isense Shunt Loss]]</f>
        <v>0.18860523769200777</v>
      </c>
    </row>
    <row r="160" spans="7:74" x14ac:dyDescent="0.2">
      <c r="G160">
        <v>151</v>
      </c>
      <c r="H160" s="555">
        <f>VIN_min+(VIN_max-VIN_min)*(Table1[[#This Row],[Step]]/200)</f>
        <v>30.57</v>
      </c>
      <c r="I160" s="4" t="str">
        <f>IF(Mode = 2,IF(Table1[[#This Row],[Vin]]&gt;Vout, "BUCK","BOOST"),IF(Table1[[#This Row],[Vin]]&gt;VIN_BB_to_buck, "BUCK", IF(Table1[[#This Row],[Vin]]&lt;=VIN_boost_to_BB,"BOOST","BUCK-BST")))</f>
        <v>BUCK</v>
      </c>
      <c r="J160">
        <f>IF(Table1[[#This Row],[Mode]]="BOOST",2, IF(Table1[[#This Row],[Mode]]="BUCK", 1,3))</f>
        <v>1</v>
      </c>
      <c r="K160">
        <f t="shared" si="7"/>
        <v>12</v>
      </c>
      <c r="L160" s="4">
        <f>Vout*Table1[[#This Row],[Iout]]/(Table1[[#This Row],[Vin]]*Efficiency)</f>
        <v>6.0327462424461542</v>
      </c>
      <c r="M160" s="711">
        <f>MIN(1/Fsw,CHOOSE(Table1[[#This Row],[Mode Digit]],(Vout+(Rdson2+Rs+Rdcr)*Table1[[#This Row],[Iout]])/(Table1[[#This Row],[Vin]]+(Rs+Rdson2-Rdson1)*Table1[[#This Row],[Iout]])/Fsw,(Vout+(Rdson3+Rdcr)*Table1[[#This Row],[Iin]]-Table1[[#This Row],[Vin]])/(Vout+(Rdson3-Rdson4-Rs)*Table1[[#This Row],[Iin]])/Fsw,t1_Ph_II))</f>
        <v>8.0337690631808267E-7</v>
      </c>
      <c r="N160" s="602">
        <f>CHOOSE(Table1[[#This Row],[Mode Digit]],1/Fsw-Table1[[#This Row],[t1_Ph_II]],1/Fsw-Table1[[#This Row],[t1_Ph_II]],(Vout/Fsw-Table1[[#This Row],[Vin]]*t1_Ph_II)/(Table1[[#This Row],[Vin]]+Vout))</f>
        <v>8.6328976034858399E-7</v>
      </c>
      <c r="O160" s="602">
        <f>1/Fsw-(Table1[[#This Row],[t1_Ph_II]]+Table1[[#This Row],[t2_Ph_I]])</f>
        <v>0</v>
      </c>
      <c r="P16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9.5700891678220117</v>
      </c>
      <c r="Q160" s="4">
        <f>CHOOSE(Table1[[#This Row],[Mode Digit]],Table1[[#This Row],[I_0]]+1/Lf*(Table1[[#This Row],[Vin]]-Vout)*Table1[[#This Row],[t1_Ph_II]],Table1[[#This Row],[I_0]]+1/Lf*Table1[[#This Row],[Vin]]*Table1[[#This Row],[t1_Ph_II]],Table1[[#This Row],[I_0]]+(Table1[[#This Row],[Vin]]-Vout)/L*Table1[[#This Row],[t1_Ph_II]])</f>
        <v>14.429910832177988</v>
      </c>
      <c r="R160" s="4">
        <f>CHOOSE(Table1[[#This Row],[Mode Digit]],0,0,Table1[[#This Row],[I_1]]+Table1[[#This Row],[Vin]]/L*Table1[[#This Row],[t2_Ph_I]])</f>
        <v>0</v>
      </c>
      <c r="S160" s="4">
        <f>Fsw*(Table1[[#This Row],[I_0]]*Table1[[#This Row],[t1_Ph_II]]+Table1[[#This Row],[I_1]]*Table1[[#This Row],[t2_Ph_I]]+Table1[[#This Row],[I_2]]*Table1[[#This Row],[t3_Ph_III]])</f>
        <v>12.087349735797247</v>
      </c>
      <c r="T160" s="354">
        <f>MIN(1,CHOOSE(Table1[[#This Row],[Mode Digit]],(Vout+(Rdson2+Rs+Rdcr)*Table1[[#This Row],[Iout]])/(Table1[[#This Row],[Vin]]+(Rs+Rdson2-Rdson1)*Table1[[#This Row],[Iout]]),1,Fsw*Table1[[#This Row],[t2_Ph_I]]+Table1[[#This Row],[t1_Ph_II]]))</f>
        <v>0.48202614379084963</v>
      </c>
      <c r="U160" s="354">
        <f>MIN(1,CHOOSE(Table1[[#This Row],[Mode Digit]],0,(Vout+(Rdson3+Rdcr)*Table1[[#This Row],[Iin]]-Table1[[#This Row],[Vin]])/(Vout+(Rdson3-Rdson4-Rs)*Table1[[#This Row],[Iin]]),Fsw*Table1[[#This Row],[t1_Ph_II]]+Table1[[#This Row],[t3_Ph_III]]))</f>
        <v>0</v>
      </c>
      <c r="V160" s="4">
        <f>MAX(Table1[[#This Row],[I_0]:[I_2]])-MIN(Table1[[#This Row],[I_0]:[I_1]])</f>
        <v>4.8598216643559766</v>
      </c>
      <c r="W16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12.081728169048443</v>
      </c>
      <c r="X160" s="354">
        <f>(Table1[[#This Row],[Irms Lf]]^2*Rdcr*(1+Ltc*Ta-Ltc*25))/(1-Table1[[#This Row],[Irms Lf]]^2*Rdcr*Ltc*ThetaCa)</f>
        <v>0.90812167896802876</v>
      </c>
      <c r="Y160" s="354">
        <f>ABS(7.759*10^-3*Fsw^0.9458*(0.00787*Table1[[#This Row],[Ripple Current pk-pk]])^2.304)</f>
        <v>1.2276660172993659</v>
      </c>
      <c r="Z160" s="354">
        <f>Table1[[#This Row],[DCR    Loss]]+Table1[[#This Row],[Core Loss]]</f>
        <v>2.1357876962673945</v>
      </c>
      <c r="AA160" s="4">
        <f>IF(Table1[[#This Row],[Vin]]&gt;Vout, Table1[[#This Row],[Ripple Current pk-pk]]/SQRT(12), SQRT(Table1[[#This Row],[Duty Cycle BOOST Leg]]/(1-Table1[[#This Row],[Duty Cycle BOOST Leg]]))*SQRT(Table1[[#This Row],[Iout]]^2+(Table1[[#This Row],[Ripple Current pk-pk]]^2)/12))</f>
        <v>1.4029096730647492</v>
      </c>
      <c r="AB160" s="354">
        <f>RCoutEsr*Table1[[#This Row],[Irms Cout]]^2</f>
        <v>9.8407777538932067E-3</v>
      </c>
      <c r="AC160" s="354">
        <f>Table1[[#This Row],[Cout ESR Loss]]</f>
        <v>9.8407777538932067E-3</v>
      </c>
      <c r="AD160" s="354">
        <f>IF(Table1[[#This Row],[Vin]]&gt;Vout, SQRT(Table1[[#This Row],[Duty Cycle BUCK Leg]]*(1-Table1[[#This Row],[Duty Cycle BUCK Leg]]))*SQRT(Table1[[#This Row],[Iout]]^2+(Table1[[#This Row],[Ripple Current pk-pk]]^2)/12), Table1[[#This Row],[Ripple Current pk-pk]]/SQRT(12))</f>
        <v>6.0369597056234152</v>
      </c>
      <c r="AE160" s="354">
        <f>RCinEsr*Table1[[#This Row],[Irms Cin]]^2</f>
        <v>7.2889764974641516E-2</v>
      </c>
      <c r="AF160" s="549">
        <f>Table1[[#This Row],[Cin ESR Loss]]</f>
        <v>7.2889764974641516E-2</v>
      </c>
      <c r="AG16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8.3881146353876641</v>
      </c>
      <c r="AH160" s="354">
        <f>Rdson1*Table1[[#This Row],[Irms BuCtrl]]^2</f>
        <v>0.29551396197289986</v>
      </c>
      <c r="AI160" s="354">
        <f>CHOOSE(Table1[[#This Row],[Mode Digit]], (Table1[[#This Row],[Vin]]*Table1[[#This Row],[Iout]]/2)*(Fsw)*(Tr_buck+Tf_buck), 0, (Table1[[#This Row],[Vin]]*Table1[[#This Row],[Avg IL]]/2)*(Fsw/1)*(Tr_buck+Tf_buck))</f>
        <v>3.6377200493028905</v>
      </c>
      <c r="AJ160">
        <f>IF(Table1[[#This Row],[Vin]]&gt;Vout, IF(Table1[[#This Row],[Iout]]&gt;Table1[[#This Row],[Ripple Current pk-pk]]/2,0,ABS(Table1[[#This Row],[Iout]]-Table1[[#This Row],[Ripple Current pk-pk]]/2)*Vsd_Q1*Deadtime*Fsw),0)</f>
        <v>0</v>
      </c>
      <c r="AK160" s="354">
        <f>(Table1[[#This Row],[Dead Time Loss BuCtrl]]+Table1[[#This Row],[Transition Loss BuCtrl]]+Table1[[#This Row],[RDS(on) Loss BuCtrl]]*(1+RdsonTopTc*Ta-RdsonTopTc*25))/(1-Table1[[#This Row],[RDS(on) Loss BuCtrl]]*RdsonTopTc*ThetaJA_Q1)</f>
        <v>4.2334871024621314</v>
      </c>
      <c r="AL160" s="354">
        <f>CHOOSE(Table1[[#This Row],[Mode Digit]],SQRT((Fsw*(Table1[[#This Row],[t2_Ph_I]]+0))*((Table1[[#This Row],[I_0]]*Table1[[#This Row],[I_1]]+((Table1[[#This Row],[I_0]]-Table1[[#This Row],[I_1]])^2)/3))),0,SQRT((Fsw*(Table1[[#This Row],[t3_Ph_III]]+0))*((Table1[[#This Row],[I_0]]*Table1[[#This Row],[I_2]]+((Table1[[#This Row],[I_0]]-Table1[[#This Row],[I_2]])^2)/3))))</f>
        <v>8.6952681623037886</v>
      </c>
      <c r="AM160" s="354">
        <f>Rdson2*Table1[[#This Row],[Irms BuSync]]^2</f>
        <v>0.3175522913403705</v>
      </c>
      <c r="AN16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0" s="354">
        <f>(Table1[[#This Row],[Deadtime Loss BuSync]]+Table1[[#This Row],[RDS(on) Loss BuSync]]*(1+RdsonBotTc*Ta-RdsonBotTc*25))/(1-Table1[[#This Row],[RDS(on) Loss BuSync]]*RdsonBotTc*ThetaJA_Q2)</f>
        <v>0.96875500942985826</v>
      </c>
      <c r="AP160" s="354">
        <f>CHOOSE(Table1[[#This Row],[Mode Digit]],0,SQRT((Fsw*(Table1[[#This Row],[t1_Ph_II]]+0))*((Table1[[#This Row],[I_0]]*Table1[[#This Row],[I_1]]+((Table1[[#This Row],[I_0]]-Table1[[#This Row],[I_1]])^2)/3))),SQRT((Fsw*(Table1[[#This Row],[t2_Ph_I]]+0))*((Table1[[#This Row],[I_1]]*Table1[[#This Row],[I_2]]+((Table1[[#This Row],[I_1]]-Table1[[#This Row],[I_2]])^2)/3))))</f>
        <v>0</v>
      </c>
      <c r="AQ160" s="354">
        <f>Rdson4*Table1[[#This Row],[Irms BoCtlr]]^2</f>
        <v>0</v>
      </c>
      <c r="AR160" s="354">
        <f>CHOOSE(Table1[[#This Row],[Mode Digit]], 0, (Vout*Table1[[#This Row],[Iin]]/2)*(Fsw)*(Tr_boost+Tf_boost), (Vout*Iout/2)*(Fsw/1)*(Tr_boost+Tf_boost))</f>
        <v>0</v>
      </c>
      <c r="AS160">
        <f>IF(Table1[[#This Row],[Vin]]&gt;Vout, 0, IF(Table1[[#This Row],[Iin]]&gt;Table1[[#This Row],[Ripple Current pk-pk]]/2,0,ABS(Table1[[#This Row],[Iin]]-Table1[[#This Row],[Ripple Current pk-pk]]/2)*Vsd_Q4*Deadtime*Fsw))</f>
        <v>0</v>
      </c>
      <c r="AT160" s="354">
        <f>(Table1[[#This Row],[Dead Time Loss BoCtlr]]+Table1[[#This Row],[Transition Loss BoCtlr]]+Table1[[#This Row],[RDS(on) Loss BoCtlr]]*(1+RdsonTopTc*Ta-RdsonTopTc*25))/(1-Table1[[#This Row],[RDS(on) Loss BoCtlr]]*RdsonTopTc*ThetaJA_Q4)</f>
        <v>0</v>
      </c>
      <c r="AU16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12.081728169048443</v>
      </c>
      <c r="AV160" s="354">
        <f>Rdson3*Table1[[#This Row],[Irms BoSync]]^2</f>
        <v>0.61306625331327036</v>
      </c>
      <c r="AW16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0" s="354">
        <f>(Table1[[#This Row],[Deadtime Loss BoSync]]+Table1[[#This Row],[RDS(on) Loss BoSync]]*(1+RdsonBotTc*Ta-RdsonBotTc*25))/(1-Table1[[#This Row],[RDS(on) Loss BoSync]]*RdsonBotTc*ThetaJA_Q3)</f>
        <v>0.71883228979256475</v>
      </c>
      <c r="AY160" s="354">
        <f>CHOOSE(Table1[[#This Row],[Mode Digit]], Rdson3*Table1[[#This Row],[Irms Lf]]^2, Rdson1*Table1[[#This Row],[Irms Lf]]^2, 0)</f>
        <v>0.61306625331327036</v>
      </c>
      <c r="AZ160" s="354">
        <f>CHOOSE(Table1[[#This Row],[Mode Digit]], 2*Deadtime*Fsw*IF(VfdSky_Q2&gt;0,VfdSky_Q2,0)*Table1[[#This Row],[Iout]], 2*Deadtime*Fsw*IF(VfdSky_Q3&gt;0,VfdSky_Q3,0)*Table1[[#This Row],[Iin]], 2*Deadtime*Fsw*IF(VfdSky_Q2&gt;0,VfdSky_Q2,0)*Table1[[#This Row],[Iout]]+2*Deadtime*Fsw*IF(VfdSky_Q3&gt;0,VfdSky_Q3,0)*Table1[[#This Row],[Iin]])</f>
        <v>0</v>
      </c>
      <c r="BA160" s="354">
        <f>CHOOSE(Table1[[#This Row],[Mode Digit]], IF(QrrSky_Q2&gt;0,QrrSky_Q2,Qrr_Q2)*Fsw*(Table1[[#This Row],[Vin]]-Table1[[#This Row],[Iout]]*Rdson1),0,  IF(QrrSky_Q2&gt;0,QrrSky_Q2,Qrr_Q2)*Fsw*(Table1[[#This Row],[Vin]]-Table1[[#This Row],[Iout]]*Rdson1)+IF(QrrSky_Q3&gt;0,QrrSky_Q3,Qrr_Q3)*Fsw*Vout)</f>
        <v>0.36623520000000004</v>
      </c>
      <c r="BB160" s="354">
        <f>CHOOSE(Table1[[#This Row],[Mode Digit]],0, IF(QrrSky_Q3&gt;0,QrrSky_Q3,Qrr_Q3)*Fsw*Vout,  IF(QrrSky_Q2&gt;0,QrrSky_Q2,Qrr_Q2)*Fsw*(Table1[[#This Row],[Vin]]-Table1[[#This Row],[Iout]]*Rdson1)+IF(QrrSky_Q3&gt;0,QrrSky_Q3,Qrr_Q3)*Fsw*Vout)</f>
        <v>0</v>
      </c>
      <c r="BC160" s="354">
        <f>CHOOSE(Table1[[#This Row],[Mode Digit]], Rs*Table1[[#This Row],[Irms BuSync]]^2, Rs*Table1[[#This Row],[Irms BoCtlr]]^2, Rs*(Table1[[#This Row],[Irms BuSync]]^2+Table1[[#This Row],[Irms BoCtlr]]^2))</f>
        <v>0.18901922103593477</v>
      </c>
      <c r="BD160" s="354">
        <f t="shared" si="8"/>
        <v>1.44</v>
      </c>
      <c r="BE160" s="354">
        <f>IF(Vout&gt;8, Iq*Vout, Iq*Table1[[#This Row],[Vin]])</f>
        <v>4.3799999999999999E-2</v>
      </c>
      <c r="BF160" s="354">
        <f>CHOOSE(Table1[[#This Row],[Mode Digit]], (Qg_Q1+Qg_Q2)*Fsw, (Qg_Q3+Qg_Q4)*Fsw, (Qg_Q1+Qg_Q2+Qg_Q3+Qg_Q4)*Fsw)*IF(Vout&gt;8, Vout, Table1[[#This Row],[Vin]])</f>
        <v>0.47303999999999996</v>
      </c>
      <c r="BG160" s="354">
        <f t="shared" si="9"/>
        <v>0.57269042016806726</v>
      </c>
      <c r="BH160" s="354">
        <f>Table1[[#This Row],[IQ Loss]]+Table1[[#This Row],[Switching Current Loss]]</f>
        <v>0.51683999999999997</v>
      </c>
      <c r="BI16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10.651687061716418</v>
      </c>
      <c r="BJ160">
        <f>Vout*Table1[[#This Row],[Iout]]</f>
        <v>175.2</v>
      </c>
      <c r="BK160" s="550">
        <f>Table1[[#This Row],[Pout]]/(Table1[[#This Row],[Pout]]+Table1[[#This Row],[Total Loss]])</f>
        <v>0.94268716507168815</v>
      </c>
      <c r="BL16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254.00922614772787</v>
      </c>
      <c r="BM160" s="559">
        <f>IF(Table1[[#This Row],[Vin]]&gt;Vout, Table1[[#This Row],[Total Sync Bu MOSFET Loss]]*ThetaJA_Q2, ThetaJA_Q3*Table1[[#This Row],[Total Sync Bo MOSFET Loss]])</f>
        <v>58.125300565791498</v>
      </c>
      <c r="BN160" s="9"/>
      <c r="BO160" s="4">
        <f>Table1[[#This Row],[EFF, h]]*100</f>
        <v>94.268716507168818</v>
      </c>
      <c r="BP160" s="354">
        <f>Table1[[#This Row],[Total Inductor Loss]]</f>
        <v>2.1357876962673945</v>
      </c>
      <c r="BQ160" s="354">
        <f>Table1[[#This Row],[Total Control Bu MOSFET Loss]]+Table1[[#This Row],[Total Sync Bu MOSFET Loss]]+Table1[[#This Row],[Total Control Bo MOSFET Loss]]+Table1[[#This Row],[Total Sync Bo MOSFET Loss]]+Table1[[#This Row],[Reverse Recovery Loss MOSFET D BUCK]]+Table1[[#This Row],[Reverse Recovery Loss MOSFET D BOOST]]</f>
        <v>6.2873096016845551</v>
      </c>
      <c r="BR160" s="354">
        <f>Table1[[#This Row],[Total Control Bu MOSFET Loss]]+Table1[[#This Row],[Reverse Recovery Loss MOSFET D BUCK]]*0.66</f>
        <v>4.4752023344621312</v>
      </c>
      <c r="BS160" s="354">
        <f>Table1[[#This Row],[Total Sync Bu MOSFET Loss]]+Table1[[#This Row],[Reverse Recovery Loss MOSFET D BUCK]]*0.33</f>
        <v>1.0896126254298584</v>
      </c>
      <c r="BT160" s="354">
        <f xml:space="preserve"> Table1[[#This Row],[Total Control Bo MOSFET Loss]]+Table1[[#This Row],[Reverse Recovery Loss MOSFET D BOOST]]*0.66</f>
        <v>0</v>
      </c>
      <c r="BU160" s="354">
        <f xml:space="preserve"> Table1[[#This Row],[Total Sync Bo MOSFET Loss]]+Table1[[#This Row],[Reverse Recovery Loss MOSFET D BOOST]]*0.33</f>
        <v>0.71883228979256475</v>
      </c>
      <c r="BV160" s="354">
        <f>Table1[[#This Row],[Isense Shunt Loss]]</f>
        <v>0.18901922103593477</v>
      </c>
    </row>
    <row r="161" spans="7:74" x14ac:dyDescent="0.2">
      <c r="G161">
        <v>152</v>
      </c>
      <c r="H161" s="555">
        <f>VIN_min+(VIN_max-VIN_min)*(Table1[[#This Row],[Step]]/200)</f>
        <v>30.64</v>
      </c>
      <c r="I161" s="4" t="str">
        <f>IF(Mode = 2,IF(Table1[[#This Row],[Vin]]&gt;Vout, "BUCK","BOOST"),IF(Table1[[#This Row],[Vin]]&gt;VIN_BB_to_buck, "BUCK", IF(Table1[[#This Row],[Vin]]&lt;=VIN_boost_to_BB,"BOOST","BUCK-BST")))</f>
        <v>BUCK</v>
      </c>
      <c r="J161">
        <f>IF(Table1[[#This Row],[Mode]]="BOOST",2, IF(Table1[[#This Row],[Mode]]="BUCK", 1,3))</f>
        <v>1</v>
      </c>
      <c r="K161">
        <f t="shared" si="7"/>
        <v>12</v>
      </c>
      <c r="L161" s="4">
        <f>Vout*Table1[[#This Row],[Iout]]/(Table1[[#This Row],[Vin]]*Efficiency)</f>
        <v>6.0189638587329934</v>
      </c>
      <c r="M161" s="711">
        <f>MIN(1/Fsw,CHOOSE(Table1[[#This Row],[Mode Digit]],(Vout+(Rdson2+Rs+Rdcr)*Table1[[#This Row],[Iout]])/(Table1[[#This Row],[Vin]]+(Rs+Rdson2-Rdson1)*Table1[[#This Row],[Iout]])/Fsw,(Vout+(Rdson3+Rdcr)*Table1[[#This Row],[Iin]]-Table1[[#This Row],[Vin]])/(Vout+(Rdson3-Rdson4-Rs)*Table1[[#This Row],[Iin]])/Fsw,t1_Ph_II))</f>
        <v>8.0154331050972712E-7</v>
      </c>
      <c r="N161" s="602">
        <f>CHOOSE(Table1[[#This Row],[Mode Digit]],1/Fsw-Table1[[#This Row],[t1_Ph_II]],1/Fsw-Table1[[#This Row],[t1_Ph_II]],(Vout/Fsw-Table1[[#This Row],[Vin]]*t1_Ph_II)/(Table1[[#This Row],[Vin]]+Vout))</f>
        <v>8.6512335615693954E-7</v>
      </c>
      <c r="O161" s="602">
        <f>1/Fsw-(Table1[[#This Row],[t1_Ph_II]]+Table1[[#This Row],[t2_Ph_I]])</f>
        <v>0</v>
      </c>
      <c r="P16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9.5650085794363591</v>
      </c>
      <c r="Q161" s="4">
        <f>CHOOSE(Table1[[#This Row],[Mode Digit]],Table1[[#This Row],[I_0]]+1/Lf*(Table1[[#This Row],[Vin]]-Vout)*Table1[[#This Row],[t1_Ph_II]],Table1[[#This Row],[I_0]]+1/Lf*Table1[[#This Row],[Vin]]*Table1[[#This Row],[t1_Ph_II]],Table1[[#This Row],[I_0]]+(Table1[[#This Row],[Vin]]-Vout)/L*Table1[[#This Row],[t1_Ph_II]])</f>
        <v>14.434991420563641</v>
      </c>
      <c r="R161" s="4">
        <f>CHOOSE(Table1[[#This Row],[Mode Digit]],0,0,Table1[[#This Row],[I_1]]+Table1[[#This Row],[Vin]]/L*Table1[[#This Row],[t2_Ph_I]])</f>
        <v>0</v>
      </c>
      <c r="S161" s="4">
        <f>Fsw*(Table1[[#This Row],[I_0]]*Table1[[#This Row],[t1_Ph_II]]+Table1[[#This Row],[I_1]]*Table1[[#This Row],[t2_Ph_I]]+Table1[[#This Row],[I_2]]*Table1[[#This Row],[t3_Ph_III]])</f>
        <v>12.092890119402004</v>
      </c>
      <c r="T161" s="354">
        <f>MIN(1,CHOOSE(Table1[[#This Row],[Mode Digit]],(Vout+(Rdson2+Rs+Rdcr)*Table1[[#This Row],[Iout]])/(Table1[[#This Row],[Vin]]+(Rs+Rdson2-Rdson1)*Table1[[#This Row],[Iout]]),1,Fsw*Table1[[#This Row],[t2_Ph_I]]+Table1[[#This Row],[t1_Ph_II]]))</f>
        <v>0.48092598630583627</v>
      </c>
      <c r="U161" s="354">
        <f>MIN(1,CHOOSE(Table1[[#This Row],[Mode Digit]],0,(Vout+(Rdson3+Rdcr)*Table1[[#This Row],[Iin]]-Table1[[#This Row],[Vin]])/(Vout+(Rdson3-Rdson4-Rs)*Table1[[#This Row],[Iin]]),Fsw*Table1[[#This Row],[t1_Ph_II]]+Table1[[#This Row],[t3_Ph_III]]))</f>
        <v>0</v>
      </c>
      <c r="V161" s="4">
        <f>MAX(Table1[[#This Row],[I_0]:[I_2]])-MIN(Table1[[#This Row],[I_0]:[I_1]])</f>
        <v>4.8699828411272819</v>
      </c>
      <c r="W16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12.082069127681436</v>
      </c>
      <c r="X161" s="354">
        <f>(Table1[[#This Row],[Irms Lf]]^2*Rdcr*(1+Ltc*Ta-Ltc*25))/(1-Table1[[#This Row],[Irms Lf]]^2*Rdcr*Ltc*ThetaCa)</f>
        <v>0.90817665995207131</v>
      </c>
      <c r="Y161" s="354">
        <f>ABS(7.759*10^-3*Fsw^0.9458*(0.00787*Table1[[#This Row],[Ripple Current pk-pk]])^2.304)</f>
        <v>1.2335881502284738</v>
      </c>
      <c r="Z161" s="354">
        <f>Table1[[#This Row],[DCR    Loss]]+Table1[[#This Row],[Core Loss]]</f>
        <v>2.1417648101805451</v>
      </c>
      <c r="AA161" s="4">
        <f>IF(Table1[[#This Row],[Vin]]&gt;Vout, Table1[[#This Row],[Ripple Current pk-pk]]/SQRT(12), SQRT(Table1[[#This Row],[Duty Cycle BOOST Leg]]/(1-Table1[[#This Row],[Duty Cycle BOOST Leg]]))*SQRT(Table1[[#This Row],[Iout]]^2+(Table1[[#This Row],[Ripple Current pk-pk]]^2)/12))</f>
        <v>1.4058429521368474</v>
      </c>
      <c r="AB161" s="354">
        <f>RCoutEsr*Table1[[#This Row],[Irms Cout]]^2</f>
        <v>9.8819720303642312E-3</v>
      </c>
      <c r="AC161" s="354">
        <f>Table1[[#This Row],[Cout ESR Loss]]</f>
        <v>9.8819720303642312E-3</v>
      </c>
      <c r="AD161" s="354">
        <f>IF(Table1[[#This Row],[Vin]]&gt;Vout, SQRT(Table1[[#This Row],[Duty Cycle BUCK Leg]]*(1-Table1[[#This Row],[Duty Cycle BUCK Leg]]))*SQRT(Table1[[#This Row],[Iout]]^2+(Table1[[#This Row],[Ripple Current pk-pk]]^2)/12), Table1[[#This Row],[Ripple Current pk-pk]]/SQRT(12))</f>
        <v>6.0366372892439877</v>
      </c>
      <c r="AE161" s="354">
        <f>RCinEsr*Table1[[#This Row],[Irms Cin]]^2</f>
        <v>7.288197952378199E-2</v>
      </c>
      <c r="AF161" s="549">
        <f>Table1[[#This Row],[Cin ESR Loss]]</f>
        <v>7.288197952378199E-2</v>
      </c>
      <c r="AG16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8.3787732668398629</v>
      </c>
      <c r="AH161" s="354">
        <f>Rdson1*Table1[[#This Row],[Irms BuCtrl]]^2</f>
        <v>0.2948561341198635</v>
      </c>
      <c r="AI161" s="354">
        <f>CHOOSE(Table1[[#This Row],[Mode Digit]], (Table1[[#This Row],[Vin]]*Table1[[#This Row],[Iout]]/2)*(Fsw)*(Tr_buck+Tf_buck), 0, (Table1[[#This Row],[Vin]]*Table1[[#This Row],[Avg IL]]/2)*(Fsw/1)*(Tr_buck+Tf_buck))</f>
        <v>3.646049797534856</v>
      </c>
      <c r="AJ161">
        <f>IF(Table1[[#This Row],[Vin]]&gt;Vout, IF(Table1[[#This Row],[Iout]]&gt;Table1[[#This Row],[Ripple Current pk-pk]]/2,0,ABS(Table1[[#This Row],[Iout]]-Table1[[#This Row],[Ripple Current pk-pk]]/2)*Vsd_Q1*Deadtime*Fsw),0)</f>
        <v>0</v>
      </c>
      <c r="AK161" s="354">
        <f>(Table1[[#This Row],[Dead Time Loss BuCtrl]]+Table1[[#This Row],[Transition Loss BuCtrl]]+Table1[[#This Row],[RDS(on) Loss BuCtrl]]*(1+RdsonTopTc*Ta-RdsonTopTc*25))/(1-Table1[[#This Row],[RDS(on) Loss BuCtrl]]*RdsonTopTc*ThetaJA_Q1)</f>
        <v>4.2410239973942145</v>
      </c>
      <c r="AL161" s="354">
        <f>CHOOSE(Table1[[#This Row],[Mode Digit]],SQRT((Fsw*(Table1[[#This Row],[t2_Ph_I]]+0))*((Table1[[#This Row],[I_0]]*Table1[[#This Row],[I_1]]+((Table1[[#This Row],[I_0]]-Table1[[#This Row],[I_1]])^2)/3))),0,SQRT((Fsw*(Table1[[#This Row],[t3_Ph_III]]+0))*((Table1[[#This Row],[I_0]]*Table1[[#This Row],[I_2]]+((Table1[[#This Row],[I_0]]-Table1[[#This Row],[I_2]])^2)/3))))</f>
        <v>8.7047431294072375</v>
      </c>
      <c r="AM161" s="354">
        <f>Rdson2*Table1[[#This Row],[Irms BuSync]]^2</f>
        <v>0.31824472238564261</v>
      </c>
      <c r="AN16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1" s="354">
        <f>(Table1[[#This Row],[Deadtime Loss BuSync]]+Table1[[#This Row],[RDS(on) Loss BuSync]]*(1+RdsonBotTc*Ta-RdsonBotTc*25))/(1-Table1[[#This Row],[RDS(on) Loss BuSync]]*RdsonBotTc*ThetaJA_Q2)</f>
        <v>0.96967900514825323</v>
      </c>
      <c r="AP161" s="354">
        <f>CHOOSE(Table1[[#This Row],[Mode Digit]],0,SQRT((Fsw*(Table1[[#This Row],[t1_Ph_II]]+0))*((Table1[[#This Row],[I_0]]*Table1[[#This Row],[I_1]]+((Table1[[#This Row],[I_0]]-Table1[[#This Row],[I_1]])^2)/3))),SQRT((Fsw*(Table1[[#This Row],[t2_Ph_I]]+0))*((Table1[[#This Row],[I_1]]*Table1[[#This Row],[I_2]]+((Table1[[#This Row],[I_1]]-Table1[[#This Row],[I_2]])^2)/3))))</f>
        <v>0</v>
      </c>
      <c r="AQ161" s="354">
        <f>Rdson4*Table1[[#This Row],[Irms BoCtlr]]^2</f>
        <v>0</v>
      </c>
      <c r="AR161" s="354">
        <f>CHOOSE(Table1[[#This Row],[Mode Digit]], 0, (Vout*Table1[[#This Row],[Iin]]/2)*(Fsw)*(Tr_boost+Tf_boost), (Vout*Iout/2)*(Fsw/1)*(Tr_boost+Tf_boost))</f>
        <v>0</v>
      </c>
      <c r="AS161">
        <f>IF(Table1[[#This Row],[Vin]]&gt;Vout, 0, IF(Table1[[#This Row],[Iin]]&gt;Table1[[#This Row],[Ripple Current pk-pk]]/2,0,ABS(Table1[[#This Row],[Iin]]-Table1[[#This Row],[Ripple Current pk-pk]]/2)*Vsd_Q4*Deadtime*Fsw))</f>
        <v>0</v>
      </c>
      <c r="AT161" s="354">
        <f>(Table1[[#This Row],[Dead Time Loss BoCtlr]]+Table1[[#This Row],[Transition Loss BoCtlr]]+Table1[[#This Row],[RDS(on) Loss BoCtlr]]*(1+RdsonTopTc*Ta-RdsonTopTc*25))/(1-Table1[[#This Row],[RDS(on) Loss BoCtlr]]*RdsonTopTc*ThetaJA_Q4)</f>
        <v>0</v>
      </c>
      <c r="AU16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12.082069127681436</v>
      </c>
      <c r="AV161" s="354">
        <f>Rdson3*Table1[[#This Row],[Irms BoSync]]^2</f>
        <v>0.61310085650550605</v>
      </c>
      <c r="AW16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1" s="354">
        <f>(Table1[[#This Row],[Deadtime Loss BoSync]]+Table1[[#This Row],[RDS(on) Loss BoSync]]*(1+RdsonBotTc*Ta-RdsonBotTc*25))/(1-Table1[[#This Row],[RDS(on) Loss BoSync]]*RdsonBotTc*ThetaJA_Q3)</f>
        <v>0.71887986281318372</v>
      </c>
      <c r="AY161" s="354">
        <f>CHOOSE(Table1[[#This Row],[Mode Digit]], Rdson3*Table1[[#This Row],[Irms Lf]]^2, Rdson1*Table1[[#This Row],[Irms Lf]]^2, 0)</f>
        <v>0.61310085650550605</v>
      </c>
      <c r="AZ161" s="354">
        <f>CHOOSE(Table1[[#This Row],[Mode Digit]], 2*Deadtime*Fsw*IF(VfdSky_Q2&gt;0,VfdSky_Q2,0)*Table1[[#This Row],[Iout]], 2*Deadtime*Fsw*IF(VfdSky_Q3&gt;0,VfdSky_Q3,0)*Table1[[#This Row],[Iin]], 2*Deadtime*Fsw*IF(VfdSky_Q2&gt;0,VfdSky_Q2,0)*Table1[[#This Row],[Iout]]+2*Deadtime*Fsw*IF(VfdSky_Q3&gt;0,VfdSky_Q3,0)*Table1[[#This Row],[Iin]])</f>
        <v>0</v>
      </c>
      <c r="BA161" s="354">
        <f>CHOOSE(Table1[[#This Row],[Mode Digit]], IF(QrrSky_Q2&gt;0,QrrSky_Q2,Qrr_Q2)*Fsw*(Table1[[#This Row],[Vin]]-Table1[[#This Row],[Iout]]*Rdson1),0,  IF(QrrSky_Q2&gt;0,QrrSky_Q2,Qrr_Q2)*Fsw*(Table1[[#This Row],[Vin]]-Table1[[#This Row],[Iout]]*Rdson1)+IF(QrrSky_Q3&gt;0,QrrSky_Q3,Qrr_Q3)*Fsw*Vout)</f>
        <v>0.36707519999999999</v>
      </c>
      <c r="BB161" s="354">
        <f>CHOOSE(Table1[[#This Row],[Mode Digit]],0, IF(QrrSky_Q3&gt;0,QrrSky_Q3,Qrr_Q3)*Fsw*Vout,  IF(QrrSky_Q2&gt;0,QrrSky_Q2,Qrr_Q2)*Fsw*(Table1[[#This Row],[Vin]]-Table1[[#This Row],[Iout]]*Rdson1)+IF(QrrSky_Q3&gt;0,QrrSky_Q3,Qrr_Q3)*Fsw*Vout)</f>
        <v>0</v>
      </c>
      <c r="BC161" s="354">
        <f>CHOOSE(Table1[[#This Row],[Mode Digit]], Rs*Table1[[#This Row],[Irms BuSync]]^2, Rs*Table1[[#This Row],[Irms BoCtlr]]^2, Rs*(Table1[[#This Row],[Irms BuSync]]^2+Table1[[#This Row],[Irms BoCtlr]]^2))</f>
        <v>0.18943138237240628</v>
      </c>
      <c r="BD161" s="354">
        <f t="shared" si="8"/>
        <v>1.44</v>
      </c>
      <c r="BE161" s="354">
        <f>IF(Vout&gt;8, Iq*Vout, Iq*Table1[[#This Row],[Vin]])</f>
        <v>4.3799999999999999E-2</v>
      </c>
      <c r="BF161" s="354">
        <f>CHOOSE(Table1[[#This Row],[Mode Digit]], (Qg_Q1+Qg_Q2)*Fsw, (Qg_Q3+Qg_Q4)*Fsw, (Qg_Q1+Qg_Q2+Qg_Q3+Qg_Q4)*Fsw)*IF(Vout&gt;8, Vout, Table1[[#This Row],[Vin]])</f>
        <v>0.47303999999999996</v>
      </c>
      <c r="BG161" s="354">
        <f t="shared" si="9"/>
        <v>0.57269042016806726</v>
      </c>
      <c r="BH161" s="354">
        <f>Table1[[#This Row],[IQ Loss]]+Table1[[#This Row],[Switching Current Loss]]</f>
        <v>0.51683999999999997</v>
      </c>
      <c r="BI16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10.667458209462749</v>
      </c>
      <c r="BJ161">
        <f>Vout*Table1[[#This Row],[Iout]]</f>
        <v>175.2</v>
      </c>
      <c r="BK161" s="550">
        <f>Table1[[#This Row],[Pout]]/(Table1[[#This Row],[Pout]]+Table1[[#This Row],[Total Loss]])</f>
        <v>0.94260717657503501</v>
      </c>
      <c r="BL16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254.46143984365287</v>
      </c>
      <c r="BM161" s="559">
        <f>IF(Table1[[#This Row],[Vin]]&gt;Vout, Table1[[#This Row],[Total Sync Bu MOSFET Loss]]*ThetaJA_Q2, ThetaJA_Q3*Table1[[#This Row],[Total Sync Bo MOSFET Loss]])</f>
        <v>58.180740308895196</v>
      </c>
      <c r="BN161" s="9"/>
      <c r="BO161" s="4">
        <f>Table1[[#This Row],[EFF, h]]*100</f>
        <v>94.260717657503506</v>
      </c>
      <c r="BP161" s="354">
        <f>Table1[[#This Row],[Total Inductor Loss]]</f>
        <v>2.1417648101805451</v>
      </c>
      <c r="BQ161" s="354">
        <f>Table1[[#This Row],[Total Control Bu MOSFET Loss]]+Table1[[#This Row],[Total Sync Bu MOSFET Loss]]+Table1[[#This Row],[Total Control Bo MOSFET Loss]]+Table1[[#This Row],[Total Sync Bo MOSFET Loss]]+Table1[[#This Row],[Reverse Recovery Loss MOSFET D BUCK]]+Table1[[#This Row],[Reverse Recovery Loss MOSFET D BOOST]]</f>
        <v>6.2966580653556523</v>
      </c>
      <c r="BR161" s="354">
        <f>Table1[[#This Row],[Total Control Bu MOSFET Loss]]+Table1[[#This Row],[Reverse Recovery Loss MOSFET D BUCK]]*0.66</f>
        <v>4.4832936293942147</v>
      </c>
      <c r="BS161" s="354">
        <f>Table1[[#This Row],[Total Sync Bu MOSFET Loss]]+Table1[[#This Row],[Reverse Recovery Loss MOSFET D BUCK]]*0.33</f>
        <v>1.0908138211482532</v>
      </c>
      <c r="BT161" s="354">
        <f xml:space="preserve"> Table1[[#This Row],[Total Control Bo MOSFET Loss]]+Table1[[#This Row],[Reverse Recovery Loss MOSFET D BOOST]]*0.66</f>
        <v>0</v>
      </c>
      <c r="BU161" s="354">
        <f xml:space="preserve"> Table1[[#This Row],[Total Sync Bo MOSFET Loss]]+Table1[[#This Row],[Reverse Recovery Loss MOSFET D BOOST]]*0.33</f>
        <v>0.71887986281318372</v>
      </c>
      <c r="BV161" s="354">
        <f>Table1[[#This Row],[Isense Shunt Loss]]</f>
        <v>0.18943138237240628</v>
      </c>
    </row>
    <row r="162" spans="7:74" x14ac:dyDescent="0.2">
      <c r="G162">
        <v>153</v>
      </c>
      <c r="H162" s="555">
        <f>VIN_min+(VIN_max-VIN_min)*(Table1[[#This Row],[Step]]/200)</f>
        <v>30.71</v>
      </c>
      <c r="I162" s="4" t="str">
        <f>IF(Mode = 2,IF(Table1[[#This Row],[Vin]]&gt;Vout, "BUCK","BOOST"),IF(Table1[[#This Row],[Vin]]&gt;VIN_BB_to_buck, "BUCK", IF(Table1[[#This Row],[Vin]]&lt;=VIN_boost_to_BB,"BOOST","BUCK-BST")))</f>
        <v>BUCK</v>
      </c>
      <c r="J162">
        <f>IF(Table1[[#This Row],[Mode]]="BOOST",2, IF(Table1[[#This Row],[Mode]]="BUCK", 1,3))</f>
        <v>1</v>
      </c>
      <c r="K162">
        <f t="shared" si="7"/>
        <v>12</v>
      </c>
      <c r="L162" s="4">
        <f>Vout*Table1[[#This Row],[Iout]]/(Table1[[#This Row],[Vin]]*Efficiency)</f>
        <v>6.00524430581501</v>
      </c>
      <c r="M162" s="711">
        <f>MIN(1/Fsw,CHOOSE(Table1[[#This Row],[Mode Digit]],(Vout+(Rdson2+Rs+Rdcr)*Table1[[#This Row],[Iout]])/(Table1[[#This Row],[Vin]]+(Rs+Rdson2-Rdson1)*Table1[[#This Row],[Iout]])/Fsw,(Vout+(Rdson3+Rdcr)*Table1[[#This Row],[Iin]]-Table1[[#This Row],[Vin]])/(Vout+(Rdson3-Rdson4-Rs)*Table1[[#This Row],[Iin]])/Fsw,t1_Ph_II))</f>
        <v>7.9971806549555412E-7</v>
      </c>
      <c r="N162" s="602">
        <f>CHOOSE(Table1[[#This Row],[Mode Digit]],1/Fsw-Table1[[#This Row],[t1_Ph_II]],1/Fsw-Table1[[#This Row],[t1_Ph_II]],(Vout/Fsw-Table1[[#This Row],[Vin]]*t1_Ph_II)/(Table1[[#This Row],[Vin]]+Vout))</f>
        <v>8.6694860117111254E-7</v>
      </c>
      <c r="O162" s="602">
        <f>1/Fsw-(Table1[[#This Row],[t1_Ph_II]]+Table1[[#This Row],[t2_Ph_I]])</f>
        <v>0</v>
      </c>
      <c r="P16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9.5599511297095887</v>
      </c>
      <c r="Q162" s="4">
        <f>CHOOSE(Table1[[#This Row],[Mode Digit]],Table1[[#This Row],[I_0]]+1/Lf*(Table1[[#This Row],[Vin]]-Vout)*Table1[[#This Row],[t1_Ph_II]],Table1[[#This Row],[I_0]]+1/Lf*Table1[[#This Row],[Vin]]*Table1[[#This Row],[t1_Ph_II]],Table1[[#This Row],[I_0]]+(Table1[[#This Row],[Vin]]-Vout)/L*Table1[[#This Row],[t1_Ph_II]])</f>
        <v>14.440048870290413</v>
      </c>
      <c r="R162" s="4">
        <f>CHOOSE(Table1[[#This Row],[Mode Digit]],0,0,Table1[[#This Row],[I_1]]+Table1[[#This Row],[Vin]]/L*Table1[[#This Row],[t2_Ph_I]])</f>
        <v>0</v>
      </c>
      <c r="S162" s="4">
        <f>Fsw*(Table1[[#This Row],[I_0]]*Table1[[#This Row],[t1_Ph_II]]+Table1[[#This Row],[I_1]]*Table1[[#This Row],[t2_Ph_I]]+Table1[[#This Row],[I_2]]*Table1[[#This Row],[t3_Ph_III]])</f>
        <v>12.0984274755745</v>
      </c>
      <c r="T162" s="354">
        <f>MIN(1,CHOOSE(Table1[[#This Row],[Mode Digit]],(Vout+(Rdson2+Rs+Rdcr)*Table1[[#This Row],[Iout]])/(Table1[[#This Row],[Vin]]+(Rs+Rdson2-Rdson1)*Table1[[#This Row],[Iout]]),1,Fsw*Table1[[#This Row],[t2_Ph_I]]+Table1[[#This Row],[t1_Ph_II]]))</f>
        <v>0.47983083929733245</v>
      </c>
      <c r="U162" s="354">
        <f>MIN(1,CHOOSE(Table1[[#This Row],[Mode Digit]],0,(Vout+(Rdson3+Rdcr)*Table1[[#This Row],[Iin]]-Table1[[#This Row],[Vin]])/(Vout+(Rdson3-Rdson4-Rs)*Table1[[#This Row],[Iin]]),Fsw*Table1[[#This Row],[t1_Ph_II]]+Table1[[#This Row],[t3_Ph_III]]))</f>
        <v>0</v>
      </c>
      <c r="V162" s="4">
        <f>MAX(Table1[[#This Row],[I_0]:[I_2]])-MIN(Table1[[#This Row],[I_0]:[I_1]])</f>
        <v>4.8800977405808244</v>
      </c>
      <c r="W16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12.082409231184064</v>
      </c>
      <c r="X162" s="354">
        <f>(Table1[[#This Row],[Irms Lf]]^2*Rdcr*(1+Ltc*Ta-Ltc*25))/(1-Table1[[#This Row],[Irms Lf]]^2*Rdcr*Ltc*ThetaCa)</f>
        <v>0.90823150503781802</v>
      </c>
      <c r="Y162" s="354">
        <f>ABS(7.759*10^-3*Fsw^0.9458*(0.00787*Table1[[#This Row],[Ripple Current pk-pk]])^2.304)</f>
        <v>1.2394993365493072</v>
      </c>
      <c r="Z162" s="354">
        <f>Table1[[#This Row],[DCR    Loss]]+Table1[[#This Row],[Core Loss]]</f>
        <v>2.1477308415871255</v>
      </c>
      <c r="AA162" s="4">
        <f>IF(Table1[[#This Row],[Vin]]&gt;Vout, Table1[[#This Row],[Ripple Current pk-pk]]/SQRT(12), SQRT(Table1[[#This Row],[Duty Cycle BOOST Leg]]/(1-Table1[[#This Row],[Duty Cycle BOOST Leg]]))*SQRT(Table1[[#This Row],[Iout]]^2+(Table1[[#This Row],[Ripple Current pk-pk]]^2)/12))</f>
        <v>1.4087628720980119</v>
      </c>
      <c r="AB162" s="354">
        <f>RCoutEsr*Table1[[#This Row],[Irms Cout]]^2</f>
        <v>9.9230641490091961E-3</v>
      </c>
      <c r="AC162" s="354">
        <f>Table1[[#This Row],[Cout ESR Loss]]</f>
        <v>9.9230641490091961E-3</v>
      </c>
      <c r="AD162" s="354">
        <f>IF(Table1[[#This Row],[Vin]]&gt;Vout, SQRT(Table1[[#This Row],[Duty Cycle BUCK Leg]]*(1-Table1[[#This Row],[Duty Cycle BUCK Leg]]))*SQRT(Table1[[#This Row],[Iout]]^2+(Table1[[#This Row],[Ripple Current pk-pk]]^2)/12), Table1[[#This Row],[Ripple Current pk-pk]]/SQRT(12))</f>
        <v>6.0362875503517319</v>
      </c>
      <c r="AE162" s="354">
        <f>RCinEsr*Table1[[#This Row],[Irms Cin]]^2</f>
        <v>7.2873534781062635E-2</v>
      </c>
      <c r="AF162" s="549">
        <f>Table1[[#This Row],[Cin ESR Loss]]</f>
        <v>7.2873534781062635E-2</v>
      </c>
      <c r="AG16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8.3694635012418797</v>
      </c>
      <c r="AH162" s="354">
        <f>Rdson1*Table1[[#This Row],[Irms BuCtrl]]^2</f>
        <v>0.29420126105420397</v>
      </c>
      <c r="AI162" s="354">
        <f>CHOOSE(Table1[[#This Row],[Mode Digit]], (Table1[[#This Row],[Vin]]*Table1[[#This Row],[Iout]]/2)*(Fsw)*(Tr_buck+Tf_buck), 0, (Table1[[#This Row],[Vin]]*Table1[[#This Row],[Avg IL]]/2)*(Fsw/1)*(Tr_buck+Tf_buck))</f>
        <v>3.654379545766822</v>
      </c>
      <c r="AJ162">
        <f>IF(Table1[[#This Row],[Vin]]&gt;Vout, IF(Table1[[#This Row],[Iout]]&gt;Table1[[#This Row],[Ripple Current pk-pk]]/2,0,ABS(Table1[[#This Row],[Iout]]-Table1[[#This Row],[Ripple Current pk-pk]]/2)*Vsd_Q1*Deadtime*Fsw),0)</f>
        <v>0</v>
      </c>
      <c r="AK162" s="354">
        <f>(Table1[[#This Row],[Dead Time Loss BuCtrl]]+Table1[[#This Row],[Transition Loss BuCtrl]]+Table1[[#This Row],[RDS(on) Loss BuCtrl]]*(1+RdsonTopTc*Ta-RdsonTopTc*25))/(1-Table1[[#This Row],[RDS(on) Loss BuCtrl]]*RdsonTopTc*ThetaJA_Q1)</f>
        <v>4.2485647527221371</v>
      </c>
      <c r="AL162" s="354">
        <f>CHOOSE(Table1[[#This Row],[Mode Digit]],SQRT((Fsw*(Table1[[#This Row],[t2_Ph_I]]+0))*((Table1[[#This Row],[I_0]]*Table1[[#This Row],[I_1]]+((Table1[[#This Row],[I_0]]-Table1[[#This Row],[I_1]])^2)/3))),0,SQRT((Fsw*(Table1[[#This Row],[t3_Ph_III]]+0))*((Table1[[#This Row],[I_0]]*Table1[[#This Row],[I_2]]+((Table1[[#This Row],[I_0]]-Table1[[#This Row],[I_2]])^2)/3))))</f>
        <v>8.7141662556541757</v>
      </c>
      <c r="AM162" s="354">
        <f>Rdson2*Table1[[#This Row],[Irms BuSync]]^2</f>
        <v>0.31893411283096407</v>
      </c>
      <c r="AN16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2" s="354">
        <f>(Table1[[#This Row],[Deadtime Loss BuSync]]+Table1[[#This Row],[RDS(on) Loss BuSync]]*(1+RdsonBotTc*Ta-RdsonBotTc*25))/(1-Table1[[#This Row],[RDS(on) Loss BuSync]]*RdsonBotTc*ThetaJA_Q2)</f>
        <v>0.9705992737949104</v>
      </c>
      <c r="AP162" s="354">
        <f>CHOOSE(Table1[[#This Row],[Mode Digit]],0,SQRT((Fsw*(Table1[[#This Row],[t1_Ph_II]]+0))*((Table1[[#This Row],[I_0]]*Table1[[#This Row],[I_1]]+((Table1[[#This Row],[I_0]]-Table1[[#This Row],[I_1]])^2)/3))),SQRT((Fsw*(Table1[[#This Row],[t2_Ph_I]]+0))*((Table1[[#This Row],[I_1]]*Table1[[#This Row],[I_2]]+((Table1[[#This Row],[I_1]]-Table1[[#This Row],[I_2]])^2)/3))))</f>
        <v>0</v>
      </c>
      <c r="AQ162" s="354">
        <f>Rdson4*Table1[[#This Row],[Irms BoCtlr]]^2</f>
        <v>0</v>
      </c>
      <c r="AR162" s="354">
        <f>CHOOSE(Table1[[#This Row],[Mode Digit]], 0, (Vout*Table1[[#This Row],[Iin]]/2)*(Fsw)*(Tr_boost+Tf_boost), (Vout*Iout/2)*(Fsw/1)*(Tr_boost+Tf_boost))</f>
        <v>0</v>
      </c>
      <c r="AS162">
        <f>IF(Table1[[#This Row],[Vin]]&gt;Vout, 0, IF(Table1[[#This Row],[Iin]]&gt;Table1[[#This Row],[Ripple Current pk-pk]]/2,0,ABS(Table1[[#This Row],[Iin]]-Table1[[#This Row],[Ripple Current pk-pk]]/2)*Vsd_Q4*Deadtime*Fsw))</f>
        <v>0</v>
      </c>
      <c r="AT162" s="354">
        <f>(Table1[[#This Row],[Dead Time Loss BoCtlr]]+Table1[[#This Row],[Transition Loss BoCtlr]]+Table1[[#This Row],[RDS(on) Loss BoCtlr]]*(1+RdsonTopTc*Ta-RdsonTopTc*25))/(1-Table1[[#This Row],[RDS(on) Loss BoCtlr]]*RdsonTopTc*ThetaJA_Q4)</f>
        <v>0</v>
      </c>
      <c r="AU16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12.082409231184064</v>
      </c>
      <c r="AV162" s="354">
        <f>Rdson3*Table1[[#This Row],[Irms BoSync]]^2</f>
        <v>0.61313537388516792</v>
      </c>
      <c r="AW16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2" s="354">
        <f>(Table1[[#This Row],[Deadtime Loss BoSync]]+Table1[[#This Row],[RDS(on) Loss BoSync]]*(1+RdsonBotTc*Ta-RdsonBotTc*25))/(1-Table1[[#This Row],[RDS(on) Loss BoSync]]*RdsonBotTc*ThetaJA_Q3)</f>
        <v>0.71892731878036664</v>
      </c>
      <c r="AY162" s="354">
        <f>CHOOSE(Table1[[#This Row],[Mode Digit]], Rdson3*Table1[[#This Row],[Irms Lf]]^2, Rdson1*Table1[[#This Row],[Irms Lf]]^2, 0)</f>
        <v>0.61313537388516792</v>
      </c>
      <c r="AZ162" s="354">
        <f>CHOOSE(Table1[[#This Row],[Mode Digit]], 2*Deadtime*Fsw*IF(VfdSky_Q2&gt;0,VfdSky_Q2,0)*Table1[[#This Row],[Iout]], 2*Deadtime*Fsw*IF(VfdSky_Q3&gt;0,VfdSky_Q3,0)*Table1[[#This Row],[Iin]], 2*Deadtime*Fsw*IF(VfdSky_Q2&gt;0,VfdSky_Q2,0)*Table1[[#This Row],[Iout]]+2*Deadtime*Fsw*IF(VfdSky_Q3&gt;0,VfdSky_Q3,0)*Table1[[#This Row],[Iin]])</f>
        <v>0</v>
      </c>
      <c r="BA162" s="354">
        <f>CHOOSE(Table1[[#This Row],[Mode Digit]], IF(QrrSky_Q2&gt;0,QrrSky_Q2,Qrr_Q2)*Fsw*(Table1[[#This Row],[Vin]]-Table1[[#This Row],[Iout]]*Rdson1),0,  IF(QrrSky_Q2&gt;0,QrrSky_Q2,Qrr_Q2)*Fsw*(Table1[[#This Row],[Vin]]-Table1[[#This Row],[Iout]]*Rdson1)+IF(QrrSky_Q3&gt;0,QrrSky_Q3,Qrr_Q3)*Fsw*Vout)</f>
        <v>0.3679152</v>
      </c>
      <c r="BB162" s="354">
        <f>CHOOSE(Table1[[#This Row],[Mode Digit]],0, IF(QrrSky_Q3&gt;0,QrrSky_Q3,Qrr_Q3)*Fsw*Vout,  IF(QrrSky_Q2&gt;0,QrrSky_Q2,Qrr_Q2)*Fsw*(Table1[[#This Row],[Vin]]-Table1[[#This Row],[Iout]]*Rdson1)+IF(QrrSky_Q3&gt;0,QrrSky_Q3,Qrr_Q3)*Fsw*Vout)</f>
        <v>0</v>
      </c>
      <c r="BC162" s="354">
        <f>CHOOSE(Table1[[#This Row],[Mode Digit]], Rs*Table1[[#This Row],[Irms BuSync]]^2, Rs*Table1[[#This Row],[Irms BoCtlr]]^2, Rs*(Table1[[#This Row],[Irms BuSync]]^2+Table1[[#This Row],[Irms BoCtlr]]^2))</f>
        <v>0.1898417338279548</v>
      </c>
      <c r="BD162" s="354">
        <f t="shared" si="8"/>
        <v>1.44</v>
      </c>
      <c r="BE162" s="354">
        <f>IF(Vout&gt;8, Iq*Vout, Iq*Table1[[#This Row],[Vin]])</f>
        <v>4.3799999999999999E-2</v>
      </c>
      <c r="BF162" s="354">
        <f>CHOOSE(Table1[[#This Row],[Mode Digit]], (Qg_Q1+Qg_Q2)*Fsw, (Qg_Q3+Qg_Q4)*Fsw, (Qg_Q1+Qg_Q2+Qg_Q3+Qg_Q4)*Fsw)*IF(Vout&gt;8, Vout, Table1[[#This Row],[Vin]])</f>
        <v>0.47303999999999996</v>
      </c>
      <c r="BG162" s="354">
        <f t="shared" si="9"/>
        <v>0.57269042016806726</v>
      </c>
      <c r="BH162" s="354">
        <f>Table1[[#This Row],[IQ Loss]]+Table1[[#This Row],[Switching Current Loss]]</f>
        <v>0.51683999999999997</v>
      </c>
      <c r="BI16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10.683215719642567</v>
      </c>
      <c r="BJ162">
        <f>Vout*Table1[[#This Row],[Iout]]</f>
        <v>175.2</v>
      </c>
      <c r="BK162" s="550">
        <f>Table1[[#This Row],[Pout]]/(Table1[[#This Row],[Pout]]+Table1[[#This Row],[Total Loss]])</f>
        <v>0.94252727080127841</v>
      </c>
      <c r="BL16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254.91388516332822</v>
      </c>
      <c r="BM162" s="559">
        <f>IF(Table1[[#This Row],[Vin]]&gt;Vout, Table1[[#This Row],[Total Sync Bu MOSFET Loss]]*ThetaJA_Q2, ThetaJA_Q3*Table1[[#This Row],[Total Sync Bo MOSFET Loss]])</f>
        <v>58.235956427694624</v>
      </c>
      <c r="BN162" s="9"/>
      <c r="BO162" s="4">
        <f>Table1[[#This Row],[EFF, h]]*100</f>
        <v>94.252727080127841</v>
      </c>
      <c r="BP162" s="354">
        <f>Table1[[#This Row],[Total Inductor Loss]]</f>
        <v>2.1477308415871255</v>
      </c>
      <c r="BQ162" s="354">
        <f>Table1[[#This Row],[Total Control Bu MOSFET Loss]]+Table1[[#This Row],[Total Sync Bu MOSFET Loss]]+Table1[[#This Row],[Total Control Bo MOSFET Loss]]+Table1[[#This Row],[Total Sync Bo MOSFET Loss]]+Table1[[#This Row],[Reverse Recovery Loss MOSFET D BUCK]]+Table1[[#This Row],[Reverse Recovery Loss MOSFET D BOOST]]</f>
        <v>6.3060065452974134</v>
      </c>
      <c r="BR162" s="354">
        <f>Table1[[#This Row],[Total Control Bu MOSFET Loss]]+Table1[[#This Row],[Reverse Recovery Loss MOSFET D BUCK]]*0.66</f>
        <v>4.4913887847221368</v>
      </c>
      <c r="BS162" s="354">
        <f>Table1[[#This Row],[Total Sync Bu MOSFET Loss]]+Table1[[#This Row],[Reverse Recovery Loss MOSFET D BUCK]]*0.33</f>
        <v>1.0920112897949104</v>
      </c>
      <c r="BT162" s="354">
        <f xml:space="preserve"> Table1[[#This Row],[Total Control Bo MOSFET Loss]]+Table1[[#This Row],[Reverse Recovery Loss MOSFET D BOOST]]*0.66</f>
        <v>0</v>
      </c>
      <c r="BU162" s="354">
        <f xml:space="preserve"> Table1[[#This Row],[Total Sync Bo MOSFET Loss]]+Table1[[#This Row],[Reverse Recovery Loss MOSFET D BOOST]]*0.33</f>
        <v>0.71892731878036664</v>
      </c>
      <c r="BV162" s="354">
        <f>Table1[[#This Row],[Isense Shunt Loss]]</f>
        <v>0.1898417338279548</v>
      </c>
    </row>
    <row r="163" spans="7:74" x14ac:dyDescent="0.2">
      <c r="G163">
        <v>154</v>
      </c>
      <c r="H163" s="555">
        <f>VIN_min+(VIN_max-VIN_min)*(Table1[[#This Row],[Step]]/200)</f>
        <v>30.78</v>
      </c>
      <c r="I163" s="4" t="str">
        <f>IF(Mode = 2,IF(Table1[[#This Row],[Vin]]&gt;Vout, "BUCK","BOOST"),IF(Table1[[#This Row],[Vin]]&gt;VIN_BB_to_buck, "BUCK", IF(Table1[[#This Row],[Vin]]&lt;=VIN_boost_to_BB,"BOOST","BUCK-BST")))</f>
        <v>BUCK</v>
      </c>
      <c r="J163">
        <f>IF(Table1[[#This Row],[Mode]]="BOOST",2, IF(Table1[[#This Row],[Mode]]="BUCK", 1,3))</f>
        <v>1</v>
      </c>
      <c r="K163">
        <f t="shared" si="7"/>
        <v>12</v>
      </c>
      <c r="L163" s="4">
        <f>Vout*Table1[[#This Row],[Iout]]/(Table1[[#This Row],[Vin]]*Efficiency)</f>
        <v>5.9915871550220574</v>
      </c>
      <c r="M163" s="711">
        <f>MIN(1/Fsw,CHOOSE(Table1[[#This Row],[Mode Digit]],(Vout+(Rdson2+Rs+Rdcr)*Table1[[#This Row],[Iout]])/(Table1[[#This Row],[Vin]]+(Rs+Rdson2-Rdson1)*Table1[[#This Row],[Iout]])/Fsw,(Vout+(Rdson3+Rdcr)*Table1[[#This Row],[Iin]]-Table1[[#This Row],[Vin]])/(Vout+(Rdson3-Rdson4-Rs)*Table1[[#This Row],[Iin]])/Fsw,t1_Ph_II))</f>
        <v>7.9790111435681055E-7</v>
      </c>
      <c r="N163" s="602">
        <f>CHOOSE(Table1[[#This Row],[Mode Digit]],1/Fsw-Table1[[#This Row],[t1_Ph_II]],1/Fsw-Table1[[#This Row],[t1_Ph_II]],(Vout/Fsw-Table1[[#This Row],[Vin]]*t1_Ph_II)/(Table1[[#This Row],[Vin]]+Vout))</f>
        <v>8.6876555230985611E-7</v>
      </c>
      <c r="O163" s="602">
        <f>1/Fsw-(Table1[[#This Row],[t1_Ph_II]]+Table1[[#This Row],[t2_Ph_I]])</f>
        <v>0</v>
      </c>
      <c r="P16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9.5549166609293188</v>
      </c>
      <c r="Q163" s="4">
        <f>CHOOSE(Table1[[#This Row],[Mode Digit]],Table1[[#This Row],[I_0]]+1/Lf*(Table1[[#This Row],[Vin]]-Vout)*Table1[[#This Row],[t1_Ph_II]],Table1[[#This Row],[I_0]]+1/Lf*Table1[[#This Row],[Vin]]*Table1[[#This Row],[t1_Ph_II]],Table1[[#This Row],[I_0]]+(Table1[[#This Row],[Vin]]-Vout)/L*Table1[[#This Row],[t1_Ph_II]])</f>
        <v>14.445083339070681</v>
      </c>
      <c r="R163" s="4">
        <f>CHOOSE(Table1[[#This Row],[Mode Digit]],0,0,Table1[[#This Row],[I_1]]+Table1[[#This Row],[Vin]]/L*Table1[[#This Row],[t2_Ph_I]])</f>
        <v>0</v>
      </c>
      <c r="S163" s="4">
        <f>Fsw*(Table1[[#This Row],[I_0]]*Table1[[#This Row],[t1_Ph_II]]+Table1[[#This Row],[I_1]]*Table1[[#This Row],[t2_Ph_I]]+Table1[[#This Row],[I_2]]*Table1[[#This Row],[t3_Ph_III]])</f>
        <v>12.10396167394296</v>
      </c>
      <c r="T163" s="354">
        <f>MIN(1,CHOOSE(Table1[[#This Row],[Mode Digit]],(Vout+(Rdson2+Rs+Rdcr)*Table1[[#This Row],[Iout]])/(Table1[[#This Row],[Vin]]+(Rs+Rdson2-Rdson1)*Table1[[#This Row],[Iout]]),1,Fsw*Table1[[#This Row],[t2_Ph_I]]+Table1[[#This Row],[t1_Ph_II]]))</f>
        <v>0.47874066861408632</v>
      </c>
      <c r="U163" s="354">
        <f>MIN(1,CHOOSE(Table1[[#This Row],[Mode Digit]],0,(Vout+(Rdson3+Rdcr)*Table1[[#This Row],[Iin]]-Table1[[#This Row],[Vin]])/(Vout+(Rdson3-Rdson4-Rs)*Table1[[#This Row],[Iin]]),Fsw*Table1[[#This Row],[t1_Ph_II]]+Table1[[#This Row],[t3_Ph_III]]))</f>
        <v>0</v>
      </c>
      <c r="V163" s="4">
        <f>MAX(Table1[[#This Row],[I_0]:[I_2]])-MIN(Table1[[#This Row],[I_0]:[I_1]])</f>
        <v>4.8901666781413624</v>
      </c>
      <c r="W16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12.08274848058174</v>
      </c>
      <c r="X163" s="354">
        <f>(Table1[[#This Row],[Irms Lf]]^2*Rdcr*(1+Ltc*Ta-Ltc*25))/(1-Table1[[#This Row],[Irms Lf]]^2*Rdcr*Ltc*ThetaCa)</f>
        <v>0.90828621437565005</v>
      </c>
      <c r="Y163" s="354">
        <f>ABS(7.759*10^-3*Fsw^0.9458*(0.00787*Table1[[#This Row],[Ripple Current pk-pk]])^2.304)</f>
        <v>1.2453995519169752</v>
      </c>
      <c r="Z163" s="354">
        <f>Table1[[#This Row],[DCR    Loss]]+Table1[[#This Row],[Core Loss]]</f>
        <v>2.1536857662926252</v>
      </c>
      <c r="AA163" s="4">
        <f>IF(Table1[[#This Row],[Vin]]&gt;Vout, Table1[[#This Row],[Ripple Current pk-pk]]/SQRT(12), SQRT(Table1[[#This Row],[Duty Cycle BOOST Leg]]/(1-Table1[[#This Row],[Duty Cycle BOOST Leg]]))*SQRT(Table1[[#This Row],[Iout]]^2+(Table1[[#This Row],[Ripple Current pk-pk]]^2)/12))</f>
        <v>1.4116695240035269</v>
      </c>
      <c r="AB163" s="354">
        <f>RCoutEsr*Table1[[#This Row],[Irms Cout]]^2</f>
        <v>9.9640542250017203E-3</v>
      </c>
      <c r="AC163" s="354">
        <f>Table1[[#This Row],[Cout ESR Loss]]</f>
        <v>9.9640542250017203E-3</v>
      </c>
      <c r="AD163" s="354">
        <f>IF(Table1[[#This Row],[Vin]]&gt;Vout, SQRT(Table1[[#This Row],[Duty Cycle BUCK Leg]]*(1-Table1[[#This Row],[Duty Cycle BUCK Leg]]))*SQRT(Table1[[#This Row],[Iout]]^2+(Table1[[#This Row],[Ripple Current pk-pk]]^2)/12), Table1[[#This Row],[Ripple Current pk-pk]]/SQRT(12))</f>
        <v>6.0359108609630843</v>
      </c>
      <c r="AE163" s="354">
        <f>RCinEsr*Table1[[#This Row],[Irms Cin]]^2</f>
        <v>7.2864439842984241E-2</v>
      </c>
      <c r="AF163" s="549">
        <f>Table1[[#This Row],[Cin ESR Loss]]</f>
        <v>7.2864439842984241E-2</v>
      </c>
      <c r="AG16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8.3601851580443665</v>
      </c>
      <c r="AH163" s="354">
        <f>Rdson1*Table1[[#This Row],[Irms BuCtrl]]^2</f>
        <v>0.29354932268249834</v>
      </c>
      <c r="AI163" s="354">
        <f>CHOOSE(Table1[[#This Row],[Mode Digit]], (Table1[[#This Row],[Vin]]*Table1[[#This Row],[Iout]]/2)*(Fsw)*(Tr_buck+Tf_buck), 0, (Table1[[#This Row],[Vin]]*Table1[[#This Row],[Avg IL]]/2)*(Fsw/1)*(Tr_buck+Tf_buck))</f>
        <v>3.6627092939987884</v>
      </c>
      <c r="AJ163">
        <f>IF(Table1[[#This Row],[Vin]]&gt;Vout, IF(Table1[[#This Row],[Iout]]&gt;Table1[[#This Row],[Ripple Current pk-pk]]/2,0,ABS(Table1[[#This Row],[Iout]]-Table1[[#This Row],[Ripple Current pk-pk]]/2)*Vsd_Q1*Deadtime*Fsw),0)</f>
        <v>0</v>
      </c>
      <c r="AK163" s="354">
        <f>(Table1[[#This Row],[Dead Time Loss BuCtrl]]+Table1[[#This Row],[Transition Loss BuCtrl]]+Table1[[#This Row],[RDS(on) Loss BuCtrl]]*(1+RdsonTopTc*Ta-RdsonTopTc*25))/(1-Table1[[#This Row],[RDS(on) Loss BuCtrl]]*RdsonTopTc*ThetaJA_Q1)</f>
        <v>4.2561093400494903</v>
      </c>
      <c r="AL163" s="354">
        <f>CHOOSE(Table1[[#This Row],[Mode Digit]],SQRT((Fsw*(Table1[[#This Row],[t2_Ph_I]]+0))*((Table1[[#This Row],[I_0]]*Table1[[#This Row],[I_1]]+((Table1[[#This Row],[I_0]]-Table1[[#This Row],[I_1]])^2)/3))),0,SQRT((Fsw*(Table1[[#This Row],[t3_Ph_III]]+0))*((Table1[[#This Row],[I_0]]*Table1[[#This Row],[I_2]]+((Table1[[#This Row],[I_0]]-Table1[[#This Row],[I_2]])^2)/3))))</f>
        <v>8.7235379845688197</v>
      </c>
      <c r="AM163" s="354">
        <f>Rdson2*Table1[[#This Row],[Irms BuSync]]^2</f>
        <v>0.31962048286650313</v>
      </c>
      <c r="AN16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3" s="354">
        <f>(Table1[[#This Row],[Deadtime Loss BuSync]]+Table1[[#This Row],[RDS(on) Loss BuSync]]*(1+RdsonBotTc*Ta-RdsonBotTc*25))/(1-Table1[[#This Row],[RDS(on) Loss BuSync]]*RdsonBotTc*ThetaJA_Q2)</f>
        <v>0.97151583815043518</v>
      </c>
      <c r="AP163" s="354">
        <f>CHOOSE(Table1[[#This Row],[Mode Digit]],0,SQRT((Fsw*(Table1[[#This Row],[t1_Ph_II]]+0))*((Table1[[#This Row],[I_0]]*Table1[[#This Row],[I_1]]+((Table1[[#This Row],[I_0]]-Table1[[#This Row],[I_1]])^2)/3))),SQRT((Fsw*(Table1[[#This Row],[t2_Ph_I]]+0))*((Table1[[#This Row],[I_1]]*Table1[[#This Row],[I_2]]+((Table1[[#This Row],[I_1]]-Table1[[#This Row],[I_2]])^2)/3))))</f>
        <v>0</v>
      </c>
      <c r="AQ163" s="354">
        <f>Rdson4*Table1[[#This Row],[Irms BoCtlr]]^2</f>
        <v>0</v>
      </c>
      <c r="AR163" s="354">
        <f>CHOOSE(Table1[[#This Row],[Mode Digit]], 0, (Vout*Table1[[#This Row],[Iin]]/2)*(Fsw)*(Tr_boost+Tf_boost), (Vout*Iout/2)*(Fsw/1)*(Tr_boost+Tf_boost))</f>
        <v>0</v>
      </c>
      <c r="AS163">
        <f>IF(Table1[[#This Row],[Vin]]&gt;Vout, 0, IF(Table1[[#This Row],[Iin]]&gt;Table1[[#This Row],[Ripple Current pk-pk]]/2,0,ABS(Table1[[#This Row],[Iin]]-Table1[[#This Row],[Ripple Current pk-pk]]/2)*Vsd_Q4*Deadtime*Fsw))</f>
        <v>0</v>
      </c>
      <c r="AT163" s="354">
        <f>(Table1[[#This Row],[Dead Time Loss BoCtlr]]+Table1[[#This Row],[Transition Loss BoCtlr]]+Table1[[#This Row],[RDS(on) Loss BoCtlr]]*(1+RdsonTopTc*Ta-RdsonTopTc*25))/(1-Table1[[#This Row],[RDS(on) Loss BoCtlr]]*RdsonTopTc*ThetaJA_Q4)</f>
        <v>0</v>
      </c>
      <c r="AU16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12.08274848058174</v>
      </c>
      <c r="AV163" s="354">
        <f>Rdson3*Table1[[#This Row],[Irms BoSync]]^2</f>
        <v>0.61316980554900158</v>
      </c>
      <c r="AW16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3" s="354">
        <f>(Table1[[#This Row],[Deadtime Loss BoSync]]+Table1[[#This Row],[RDS(on) Loss BoSync]]*(1+RdsonBotTc*Ta-RdsonBotTc*25))/(1-Table1[[#This Row],[RDS(on) Loss BoSync]]*RdsonBotTc*ThetaJA_Q3)</f>
        <v>0.71897465782027836</v>
      </c>
      <c r="AY163" s="354">
        <f>CHOOSE(Table1[[#This Row],[Mode Digit]], Rdson3*Table1[[#This Row],[Irms Lf]]^2, Rdson1*Table1[[#This Row],[Irms Lf]]^2, 0)</f>
        <v>0.61316980554900158</v>
      </c>
      <c r="AZ163" s="354">
        <f>CHOOSE(Table1[[#This Row],[Mode Digit]], 2*Deadtime*Fsw*IF(VfdSky_Q2&gt;0,VfdSky_Q2,0)*Table1[[#This Row],[Iout]], 2*Deadtime*Fsw*IF(VfdSky_Q3&gt;0,VfdSky_Q3,0)*Table1[[#This Row],[Iin]], 2*Deadtime*Fsw*IF(VfdSky_Q2&gt;0,VfdSky_Q2,0)*Table1[[#This Row],[Iout]]+2*Deadtime*Fsw*IF(VfdSky_Q3&gt;0,VfdSky_Q3,0)*Table1[[#This Row],[Iin]])</f>
        <v>0</v>
      </c>
      <c r="BA163" s="354">
        <f>CHOOSE(Table1[[#This Row],[Mode Digit]], IF(QrrSky_Q2&gt;0,QrrSky_Q2,Qrr_Q2)*Fsw*(Table1[[#This Row],[Vin]]-Table1[[#This Row],[Iout]]*Rdson1),0,  IF(QrrSky_Q2&gt;0,QrrSky_Q2,Qrr_Q2)*Fsw*(Table1[[#This Row],[Vin]]-Table1[[#This Row],[Iout]]*Rdson1)+IF(QrrSky_Q3&gt;0,QrrSky_Q3,Qrr_Q3)*Fsw*Vout)</f>
        <v>0.36875520000000001</v>
      </c>
      <c r="BB163" s="354">
        <f>CHOOSE(Table1[[#This Row],[Mode Digit]],0, IF(QrrSky_Q3&gt;0,QrrSky_Q3,Qrr_Q3)*Fsw*Vout,  IF(QrrSky_Q2&gt;0,QrrSky_Q2,Qrr_Q2)*Fsw*(Table1[[#This Row],[Vin]]-Table1[[#This Row],[Iout]]*Rdson1)+IF(QrrSky_Q3&gt;0,QrrSky_Q3,Qrr_Q3)*Fsw*Vout)</f>
        <v>0</v>
      </c>
      <c r="BC163" s="354">
        <f>CHOOSE(Table1[[#This Row],[Mode Digit]], Rs*Table1[[#This Row],[Irms BuSync]]^2, Rs*Table1[[#This Row],[Irms BoCtlr]]^2, Rs*(Table1[[#This Row],[Irms BuSync]]^2+Table1[[#This Row],[Irms BoCtlr]]^2))</f>
        <v>0.19025028742053757</v>
      </c>
      <c r="BD163" s="354">
        <f t="shared" si="8"/>
        <v>1.44</v>
      </c>
      <c r="BE163" s="354">
        <f>IF(Vout&gt;8, Iq*Vout, Iq*Table1[[#This Row],[Vin]])</f>
        <v>4.3799999999999999E-2</v>
      </c>
      <c r="BF163" s="354">
        <f>CHOOSE(Table1[[#This Row],[Mode Digit]], (Qg_Q1+Qg_Q2)*Fsw, (Qg_Q3+Qg_Q4)*Fsw, (Qg_Q1+Qg_Q2+Qg_Q3+Qg_Q4)*Fsw)*IF(Vout&gt;8, Vout, Table1[[#This Row],[Vin]])</f>
        <v>0.47303999999999996</v>
      </c>
      <c r="BG163" s="354">
        <f t="shared" si="9"/>
        <v>0.57269042016806726</v>
      </c>
      <c r="BH163" s="354">
        <f>Table1[[#This Row],[IQ Loss]]+Table1[[#This Row],[Switching Current Loss]]</f>
        <v>0.51683999999999997</v>
      </c>
      <c r="BI16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10.698959583801354</v>
      </c>
      <c r="BJ163">
        <f>Vout*Table1[[#This Row],[Iout]]</f>
        <v>175.2</v>
      </c>
      <c r="BK163" s="550">
        <f>Table1[[#This Row],[Pout]]/(Table1[[#This Row],[Pout]]+Table1[[#This Row],[Total Loss]])</f>
        <v>0.9424474477546585</v>
      </c>
      <c r="BL16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255.36656040296941</v>
      </c>
      <c r="BM163" s="559">
        <f>IF(Table1[[#This Row],[Vin]]&gt;Vout, Table1[[#This Row],[Total Sync Bu MOSFET Loss]]*ThetaJA_Q2, ThetaJA_Q3*Table1[[#This Row],[Total Sync Bo MOSFET Loss]])</f>
        <v>58.290950289026114</v>
      </c>
      <c r="BN163" s="9"/>
      <c r="BO163" s="4">
        <f>Table1[[#This Row],[EFF, h]]*100</f>
        <v>94.244744775465847</v>
      </c>
      <c r="BP163" s="354">
        <f>Table1[[#This Row],[Total Inductor Loss]]</f>
        <v>2.1536857662926252</v>
      </c>
      <c r="BQ163" s="354">
        <f>Table1[[#This Row],[Total Control Bu MOSFET Loss]]+Table1[[#This Row],[Total Sync Bu MOSFET Loss]]+Table1[[#This Row],[Total Control Bo MOSFET Loss]]+Table1[[#This Row],[Total Sync Bo MOSFET Loss]]+Table1[[#This Row],[Reverse Recovery Loss MOSFET D BUCK]]+Table1[[#This Row],[Reverse Recovery Loss MOSFET D BOOST]]</f>
        <v>6.315355036020204</v>
      </c>
      <c r="BR163" s="354">
        <f>Table1[[#This Row],[Total Control Bu MOSFET Loss]]+Table1[[#This Row],[Reverse Recovery Loss MOSFET D BUCK]]*0.66</f>
        <v>4.4994877720494904</v>
      </c>
      <c r="BS163" s="354">
        <f>Table1[[#This Row],[Total Sync Bu MOSFET Loss]]+Table1[[#This Row],[Reverse Recovery Loss MOSFET D BUCK]]*0.33</f>
        <v>1.0932050541504352</v>
      </c>
      <c r="BT163" s="354">
        <f xml:space="preserve"> Table1[[#This Row],[Total Control Bo MOSFET Loss]]+Table1[[#This Row],[Reverse Recovery Loss MOSFET D BOOST]]*0.66</f>
        <v>0</v>
      </c>
      <c r="BU163" s="354">
        <f xml:space="preserve"> Table1[[#This Row],[Total Sync Bo MOSFET Loss]]+Table1[[#This Row],[Reverse Recovery Loss MOSFET D BOOST]]*0.33</f>
        <v>0.71897465782027836</v>
      </c>
      <c r="BV163" s="354">
        <f>Table1[[#This Row],[Isense Shunt Loss]]</f>
        <v>0.19025028742053757</v>
      </c>
    </row>
    <row r="164" spans="7:74" x14ac:dyDescent="0.2">
      <c r="G164">
        <v>155</v>
      </c>
      <c r="H164" s="555">
        <f>VIN_min+(VIN_max-VIN_min)*(Table1[[#This Row],[Step]]/200)</f>
        <v>30.85</v>
      </c>
      <c r="I164" s="4" t="str">
        <f>IF(Mode = 2,IF(Table1[[#This Row],[Vin]]&gt;Vout, "BUCK","BOOST"),IF(Table1[[#This Row],[Vin]]&gt;VIN_BB_to_buck, "BUCK", IF(Table1[[#This Row],[Vin]]&lt;=VIN_boost_to_BB,"BOOST","BUCK-BST")))</f>
        <v>BUCK</v>
      </c>
      <c r="J164">
        <f>IF(Table1[[#This Row],[Mode]]="BOOST",2, IF(Table1[[#This Row],[Mode]]="BUCK", 1,3))</f>
        <v>1</v>
      </c>
      <c r="K164">
        <f t="shared" si="7"/>
        <v>12</v>
      </c>
      <c r="L164" s="4">
        <f>Vout*Table1[[#This Row],[Iout]]/(Table1[[#This Row],[Vin]]*Efficiency)</f>
        <v>5.9779919815746814</v>
      </c>
      <c r="M164" s="711">
        <f>MIN(1/Fsw,CHOOSE(Table1[[#This Row],[Mode Digit]],(Vout+(Rdson2+Rs+Rdcr)*Table1[[#This Row],[Iout]])/(Table1[[#This Row],[Vin]]+(Rs+Rdson2-Rdson1)*Table1[[#This Row],[Iout]])/Fsw,(Vout+(Rdson3+Rdcr)*Table1[[#This Row],[Iin]]-Table1[[#This Row],[Vin]])/(Vout+(Rdson3-Rdson4-Rs)*Table1[[#This Row],[Iin]])/Fsw,t1_Ph_II))</f>
        <v>7.9609240069084627E-7</v>
      </c>
      <c r="N164" s="602">
        <f>CHOOSE(Table1[[#This Row],[Mode Digit]],1/Fsw-Table1[[#This Row],[t1_Ph_II]],1/Fsw-Table1[[#This Row],[t1_Ph_II]],(Vout/Fsw-Table1[[#This Row],[Vin]]*t1_Ph_II)/(Table1[[#This Row],[Vin]]+Vout))</f>
        <v>8.705742659758204E-7</v>
      </c>
      <c r="O164" s="602">
        <f>1/Fsw-(Table1[[#This Row],[t1_Ph_II]]+Table1[[#This Row],[t2_Ph_I]])</f>
        <v>0</v>
      </c>
      <c r="P16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9.5499050168132094</v>
      </c>
      <c r="Q164" s="4">
        <f>CHOOSE(Table1[[#This Row],[Mode Digit]],Table1[[#This Row],[I_0]]+1/Lf*(Table1[[#This Row],[Vin]]-Vout)*Table1[[#This Row],[t1_Ph_II]],Table1[[#This Row],[I_0]]+1/Lf*Table1[[#This Row],[Vin]]*Table1[[#This Row],[t1_Ph_II]],Table1[[#This Row],[I_0]]+(Table1[[#This Row],[Vin]]-Vout)/L*Table1[[#This Row],[t1_Ph_II]])</f>
        <v>14.450094983186791</v>
      </c>
      <c r="R164" s="4">
        <f>CHOOSE(Table1[[#This Row],[Mode Digit]],0,0,Table1[[#This Row],[I_1]]+Table1[[#This Row],[Vin]]/L*Table1[[#This Row],[t2_Ph_I]])</f>
        <v>0</v>
      </c>
      <c r="S164" s="4">
        <f>Fsw*(Table1[[#This Row],[I_0]]*Table1[[#This Row],[t1_Ph_II]]+Table1[[#This Row],[I_1]]*Table1[[#This Row],[t2_Ph_I]]+Table1[[#This Row],[I_2]]*Table1[[#This Row],[t3_Ph_III]])</f>
        <v>12.109492586683865</v>
      </c>
      <c r="T164" s="354">
        <f>MIN(1,CHOOSE(Table1[[#This Row],[Mode Digit]],(Vout+(Rdson2+Rs+Rdcr)*Table1[[#This Row],[Iout]])/(Table1[[#This Row],[Vin]]+(Rs+Rdson2-Rdson1)*Table1[[#This Row],[Iout]]),1,Fsw*Table1[[#This Row],[t2_Ph_I]]+Table1[[#This Row],[t1_Ph_II]]))</f>
        <v>0.47765544041450775</v>
      </c>
      <c r="U164" s="354">
        <f>MIN(1,CHOOSE(Table1[[#This Row],[Mode Digit]],0,(Vout+(Rdson3+Rdcr)*Table1[[#This Row],[Iin]]-Table1[[#This Row],[Vin]])/(Vout+(Rdson3-Rdson4-Rs)*Table1[[#This Row],[Iin]]),Fsw*Table1[[#This Row],[t1_Ph_II]]+Table1[[#This Row],[t3_Ph_III]]))</f>
        <v>0</v>
      </c>
      <c r="V164" s="4">
        <f>MAX(Table1[[#This Row],[I_0]:[I_2]])-MIN(Table1[[#This Row],[I_0]:[I_1]])</f>
        <v>4.9001899663735813</v>
      </c>
      <c r="W16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12.083086876934457</v>
      </c>
      <c r="X164" s="354">
        <f>(Table1[[#This Row],[Irms Lf]]^2*Rdcr*(1+Ltc*Ta-Ltc*25))/(1-Table1[[#This Row],[Irms Lf]]^2*Rdcr*Ltc*ThetaCa)</f>
        <v>0.90834078812158614</v>
      </c>
      <c r="Y164" s="354">
        <f>ABS(7.759*10^-3*Fsw^0.9458*(0.00787*Table1[[#This Row],[Ripple Current pk-pk]])^2.304)</f>
        <v>1.2512887729979163</v>
      </c>
      <c r="Z164" s="354">
        <f>Table1[[#This Row],[DCR    Loss]]+Table1[[#This Row],[Core Loss]]</f>
        <v>2.1596295611195027</v>
      </c>
      <c r="AA164" s="4">
        <f>IF(Table1[[#This Row],[Vin]]&gt;Vout, Table1[[#This Row],[Ripple Current pk-pk]]/SQRT(12), SQRT(Table1[[#This Row],[Duty Cycle BOOST Leg]]/(1-Table1[[#This Row],[Duty Cycle BOOST Leg]]))*SQRT(Table1[[#This Row],[Iout]]^2+(Table1[[#This Row],[Ripple Current pk-pk]]^2)/12))</f>
        <v>1.4145629980830452</v>
      </c>
      <c r="AB164" s="354">
        <f>RCoutEsr*Table1[[#This Row],[Irms Cout]]^2</f>
        <v>1.0004942377728468E-2</v>
      </c>
      <c r="AC164" s="354">
        <f>Table1[[#This Row],[Cout ESR Loss]]</f>
        <v>1.0004942377728468E-2</v>
      </c>
      <c r="AD164" s="354">
        <f>IF(Table1[[#This Row],[Vin]]&gt;Vout, SQRT(Table1[[#This Row],[Duty Cycle BUCK Leg]]*(1-Table1[[#This Row],[Duty Cycle BUCK Leg]]))*SQRT(Table1[[#This Row],[Iout]]^2+(Table1[[#This Row],[Ripple Current pk-pk]]^2)/12), Table1[[#This Row],[Ripple Current pk-pk]]/SQRT(12))</f>
        <v>6.0355075877073379</v>
      </c>
      <c r="AE164" s="354">
        <f>RCinEsr*Table1[[#This Row],[Irms Cin]]^2</f>
        <v>7.2854703682545707E-2</v>
      </c>
      <c r="AF164" s="549">
        <f>Table1[[#This Row],[Cin ESR Loss]]</f>
        <v>7.2854703682545707E-2</v>
      </c>
      <c r="AG16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8.3509380581609065</v>
      </c>
      <c r="AH164" s="354">
        <f>Rdson1*Table1[[#This Row],[Irms BuCtrl]]^2</f>
        <v>0.29290029909520909</v>
      </c>
      <c r="AI164" s="354">
        <f>CHOOSE(Table1[[#This Row],[Mode Digit]], (Table1[[#This Row],[Vin]]*Table1[[#This Row],[Iout]]/2)*(Fsw)*(Tr_buck+Tf_buck), 0, (Table1[[#This Row],[Vin]]*Table1[[#This Row],[Avg IL]]/2)*(Fsw/1)*(Tr_buck+Tf_buck))</f>
        <v>3.6710390422307548</v>
      </c>
      <c r="AJ164">
        <f>IF(Table1[[#This Row],[Vin]]&gt;Vout, IF(Table1[[#This Row],[Iout]]&gt;Table1[[#This Row],[Ripple Current pk-pk]]/2,0,ABS(Table1[[#This Row],[Iout]]-Table1[[#This Row],[Ripple Current pk-pk]]/2)*Vsd_Q1*Deadtime*Fsw),0)</f>
        <v>0</v>
      </c>
      <c r="AK164" s="354">
        <f>(Table1[[#This Row],[Dead Time Loss BuCtrl]]+Table1[[#This Row],[Transition Loss BuCtrl]]+Table1[[#This Row],[RDS(on) Loss BuCtrl]]*(1+RdsonTopTc*Ta-RdsonTopTc*25))/(1-Table1[[#This Row],[RDS(on) Loss BuCtrl]]*RdsonTopTc*ThetaJA_Q1)</f>
        <v>4.26365773126013</v>
      </c>
      <c r="AL164" s="354">
        <f>CHOOSE(Table1[[#This Row],[Mode Digit]],SQRT((Fsw*(Table1[[#This Row],[t2_Ph_I]]+0))*((Table1[[#This Row],[I_0]]*Table1[[#This Row],[I_1]]+((Table1[[#This Row],[I_0]]-Table1[[#This Row],[I_1]])^2)/3))),0,SQRT((Fsw*(Table1[[#This Row],[t3_Ph_III]]+0))*((Table1[[#This Row],[I_0]]*Table1[[#This Row],[I_2]]+((Table1[[#This Row],[I_0]]-Table1[[#This Row],[I_2]])^2)/3))))</f>
        <v>8.7328587544002705</v>
      </c>
      <c r="AM164" s="354">
        <f>Rdson2*Table1[[#This Row],[Irms BuSync]]^2</f>
        <v>0.32030385250208293</v>
      </c>
      <c r="AN16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4" s="354">
        <f>(Table1[[#This Row],[Deadtime Loss BuSync]]+Table1[[#This Row],[RDS(on) Loss BuSync]]*(1+RdsonBotTc*Ta-RdsonBotTc*25))/(1-Table1[[#This Row],[RDS(on) Loss BuSync]]*RdsonBotTc*ThetaJA_Q2)</f>
        <v>0.97242872080750753</v>
      </c>
      <c r="AP164" s="354">
        <f>CHOOSE(Table1[[#This Row],[Mode Digit]],0,SQRT((Fsw*(Table1[[#This Row],[t1_Ph_II]]+0))*((Table1[[#This Row],[I_0]]*Table1[[#This Row],[I_1]]+((Table1[[#This Row],[I_0]]-Table1[[#This Row],[I_1]])^2)/3))),SQRT((Fsw*(Table1[[#This Row],[t2_Ph_I]]+0))*((Table1[[#This Row],[I_1]]*Table1[[#This Row],[I_2]]+((Table1[[#This Row],[I_1]]-Table1[[#This Row],[I_2]])^2)/3))))</f>
        <v>0</v>
      </c>
      <c r="AQ164" s="354">
        <f>Rdson4*Table1[[#This Row],[Irms BoCtlr]]^2</f>
        <v>0</v>
      </c>
      <c r="AR164" s="354">
        <f>CHOOSE(Table1[[#This Row],[Mode Digit]], 0, (Vout*Table1[[#This Row],[Iin]]/2)*(Fsw)*(Tr_boost+Tf_boost), (Vout*Iout/2)*(Fsw/1)*(Tr_boost+Tf_boost))</f>
        <v>0</v>
      </c>
      <c r="AS164">
        <f>IF(Table1[[#This Row],[Vin]]&gt;Vout, 0, IF(Table1[[#This Row],[Iin]]&gt;Table1[[#This Row],[Ripple Current pk-pk]]/2,0,ABS(Table1[[#This Row],[Iin]]-Table1[[#This Row],[Ripple Current pk-pk]]/2)*Vsd_Q4*Deadtime*Fsw))</f>
        <v>0</v>
      </c>
      <c r="AT164" s="354">
        <f>(Table1[[#This Row],[Dead Time Loss BoCtlr]]+Table1[[#This Row],[Transition Loss BoCtlr]]+Table1[[#This Row],[RDS(on) Loss BoCtlr]]*(1+RdsonTopTc*Ta-RdsonTopTc*25))/(1-Table1[[#This Row],[RDS(on) Loss BoCtlr]]*RdsonTopTc*ThetaJA_Q4)</f>
        <v>0</v>
      </c>
      <c r="AU16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12.083086876934457</v>
      </c>
      <c r="AV164" s="354">
        <f>Rdson3*Table1[[#This Row],[Irms BoSync]]^2</f>
        <v>0.61320415159729191</v>
      </c>
      <c r="AW16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4" s="354">
        <f>(Table1[[#This Row],[Deadtime Loss BoSync]]+Table1[[#This Row],[RDS(on) Loss BoSync]]*(1+RdsonBotTc*Ta-RdsonBotTc*25))/(1-Table1[[#This Row],[RDS(on) Loss BoSync]]*RdsonBotTc*ThetaJA_Q3)</f>
        <v>0.71902188006397683</v>
      </c>
      <c r="AY164" s="354">
        <f>CHOOSE(Table1[[#This Row],[Mode Digit]], Rdson3*Table1[[#This Row],[Irms Lf]]^2, Rdson1*Table1[[#This Row],[Irms Lf]]^2, 0)</f>
        <v>0.61320415159729191</v>
      </c>
      <c r="AZ164" s="354">
        <f>CHOOSE(Table1[[#This Row],[Mode Digit]], 2*Deadtime*Fsw*IF(VfdSky_Q2&gt;0,VfdSky_Q2,0)*Table1[[#This Row],[Iout]], 2*Deadtime*Fsw*IF(VfdSky_Q3&gt;0,VfdSky_Q3,0)*Table1[[#This Row],[Iin]], 2*Deadtime*Fsw*IF(VfdSky_Q2&gt;0,VfdSky_Q2,0)*Table1[[#This Row],[Iout]]+2*Deadtime*Fsw*IF(VfdSky_Q3&gt;0,VfdSky_Q3,0)*Table1[[#This Row],[Iin]])</f>
        <v>0</v>
      </c>
      <c r="BA164" s="354">
        <f>CHOOSE(Table1[[#This Row],[Mode Digit]], IF(QrrSky_Q2&gt;0,QrrSky_Q2,Qrr_Q2)*Fsw*(Table1[[#This Row],[Vin]]-Table1[[#This Row],[Iout]]*Rdson1),0,  IF(QrrSky_Q2&gt;0,QrrSky_Q2,Qrr_Q2)*Fsw*(Table1[[#This Row],[Vin]]-Table1[[#This Row],[Iout]]*Rdson1)+IF(QrrSky_Q3&gt;0,QrrSky_Q3,Qrr_Q3)*Fsw*Vout)</f>
        <v>0.36959520000000001</v>
      </c>
      <c r="BB164" s="354">
        <f>CHOOSE(Table1[[#This Row],[Mode Digit]],0, IF(QrrSky_Q3&gt;0,QrrSky_Q3,Qrr_Q3)*Fsw*Vout,  IF(QrrSky_Q2&gt;0,QrrSky_Q2,Qrr_Q2)*Fsw*(Table1[[#This Row],[Vin]]-Table1[[#This Row],[Iout]]*Rdson1)+IF(QrrSky_Q3&gt;0,QrrSky_Q3,Qrr_Q3)*Fsw*Vout)</f>
        <v>0</v>
      </c>
      <c r="BC164" s="354">
        <f>CHOOSE(Table1[[#This Row],[Mode Digit]], Rs*Table1[[#This Row],[Irms BuSync]]^2, Rs*Table1[[#This Row],[Irms BoCtlr]]^2, Rs*(Table1[[#This Row],[Irms BuSync]]^2+Table1[[#This Row],[Irms BoCtlr]]^2))</f>
        <v>0.19065705506076364</v>
      </c>
      <c r="BD164" s="354">
        <f t="shared" si="8"/>
        <v>1.44</v>
      </c>
      <c r="BE164" s="354">
        <f>IF(Vout&gt;8, Iq*Vout, Iq*Table1[[#This Row],[Vin]])</f>
        <v>4.3799999999999999E-2</v>
      </c>
      <c r="BF164" s="354">
        <f>CHOOSE(Table1[[#This Row],[Mode Digit]], (Qg_Q1+Qg_Q2)*Fsw, (Qg_Q3+Qg_Q4)*Fsw, (Qg_Q1+Qg_Q2+Qg_Q3+Qg_Q4)*Fsw)*IF(Vout&gt;8, Vout, Table1[[#This Row],[Vin]])</f>
        <v>0.47303999999999996</v>
      </c>
      <c r="BG164" s="354">
        <f t="shared" si="9"/>
        <v>0.57269042016806726</v>
      </c>
      <c r="BH164" s="354">
        <f>Table1[[#This Row],[IQ Loss]]+Table1[[#This Row],[Switching Current Loss]]</f>
        <v>0.51683999999999997</v>
      </c>
      <c r="BI16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10.714689794372154</v>
      </c>
      <c r="BJ164">
        <f>Vout*Table1[[#This Row],[Iout]]</f>
        <v>175.2</v>
      </c>
      <c r="BK164" s="550">
        <f>Table1[[#This Row],[Pout]]/(Table1[[#This Row],[Pout]]+Table1[[#This Row],[Total Loss]])</f>
        <v>0.94236770743493714</v>
      </c>
      <c r="BL16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255.81946387560779</v>
      </c>
      <c r="BM164" s="559">
        <f>IF(Table1[[#This Row],[Vin]]&gt;Vout, Table1[[#This Row],[Total Sync Bu MOSFET Loss]]*ThetaJA_Q2, ThetaJA_Q3*Table1[[#This Row],[Total Sync Bo MOSFET Loss]])</f>
        <v>58.345723248450454</v>
      </c>
      <c r="BN164" s="9"/>
      <c r="BO164" s="4">
        <f>Table1[[#This Row],[EFF, h]]*100</f>
        <v>94.236770743493707</v>
      </c>
      <c r="BP164" s="354">
        <f>Table1[[#This Row],[Total Inductor Loss]]</f>
        <v>2.1596295611195027</v>
      </c>
      <c r="BQ164" s="354">
        <f>Table1[[#This Row],[Total Control Bu MOSFET Loss]]+Table1[[#This Row],[Total Sync Bu MOSFET Loss]]+Table1[[#This Row],[Total Control Bo MOSFET Loss]]+Table1[[#This Row],[Total Sync Bo MOSFET Loss]]+Table1[[#This Row],[Reverse Recovery Loss MOSFET D BUCK]]+Table1[[#This Row],[Reverse Recovery Loss MOSFET D BOOST]]</f>
        <v>6.3247035321316147</v>
      </c>
      <c r="BR164" s="354">
        <f>Table1[[#This Row],[Total Control Bu MOSFET Loss]]+Table1[[#This Row],[Reverse Recovery Loss MOSFET D BUCK]]*0.66</f>
        <v>4.5075905632601296</v>
      </c>
      <c r="BS164" s="354">
        <f>Table1[[#This Row],[Total Sync Bu MOSFET Loss]]+Table1[[#This Row],[Reverse Recovery Loss MOSFET D BUCK]]*0.33</f>
        <v>1.0943951368075076</v>
      </c>
      <c r="BT164" s="354">
        <f xml:space="preserve"> Table1[[#This Row],[Total Control Bo MOSFET Loss]]+Table1[[#This Row],[Reverse Recovery Loss MOSFET D BOOST]]*0.66</f>
        <v>0</v>
      </c>
      <c r="BU164" s="354">
        <f xml:space="preserve"> Table1[[#This Row],[Total Sync Bo MOSFET Loss]]+Table1[[#This Row],[Reverse Recovery Loss MOSFET D BOOST]]*0.33</f>
        <v>0.71902188006397683</v>
      </c>
      <c r="BV164" s="354">
        <f>Table1[[#This Row],[Isense Shunt Loss]]</f>
        <v>0.19065705506076364</v>
      </c>
    </row>
    <row r="165" spans="7:74" x14ac:dyDescent="0.2">
      <c r="G165">
        <v>156</v>
      </c>
      <c r="H165" s="555">
        <f>VIN_min+(VIN_max-VIN_min)*(Table1[[#This Row],[Step]]/200)</f>
        <v>30.92</v>
      </c>
      <c r="I165" s="4" t="str">
        <f>IF(Mode = 2,IF(Table1[[#This Row],[Vin]]&gt;Vout, "BUCK","BOOST"),IF(Table1[[#This Row],[Vin]]&gt;VIN_BB_to_buck, "BUCK", IF(Table1[[#This Row],[Vin]]&lt;=VIN_boost_to_BB,"BOOST","BUCK-BST")))</f>
        <v>BUCK</v>
      </c>
      <c r="J165">
        <f>IF(Table1[[#This Row],[Mode]]="BOOST",2, IF(Table1[[#This Row],[Mode]]="BUCK", 1,3))</f>
        <v>1</v>
      </c>
      <c r="K165">
        <f t="shared" si="7"/>
        <v>12</v>
      </c>
      <c r="L165" s="4">
        <f>Vout*Table1[[#This Row],[Iout]]/(Table1[[#This Row],[Vin]]*Efficiency)</f>
        <v>5.9644583645400697</v>
      </c>
      <c r="M165" s="711">
        <f>MIN(1/Fsw,CHOOSE(Table1[[#This Row],[Mode Digit]],(Vout+(Rdson2+Rs+Rdcr)*Table1[[#This Row],[Iout]])/(Table1[[#This Row],[Vin]]+(Rs+Rdson2-Rdson1)*Table1[[#This Row],[Iout]])/Fsw,(Vout+(Rdson3+Rdcr)*Table1[[#This Row],[Iin]]-Table1[[#This Row],[Vin]])/(Vout+(Rdson3-Rdson4-Rs)*Table1[[#This Row],[Iin]])/Fsw,t1_Ph_II))</f>
        <v>7.9429186860527725E-7</v>
      </c>
      <c r="N165" s="602">
        <f>CHOOSE(Table1[[#This Row],[Mode Digit]],1/Fsw-Table1[[#This Row],[t1_Ph_II]],1/Fsw-Table1[[#This Row],[t1_Ph_II]],(Vout/Fsw-Table1[[#This Row],[Vin]]*t1_Ph_II)/(Table1[[#This Row],[Vin]]+Vout))</f>
        <v>8.7237479806138941E-7</v>
      </c>
      <c r="O165" s="602">
        <f>1/Fsw-(Table1[[#This Row],[t1_Ph_II]]+Table1[[#This Row],[t2_Ph_I]])</f>
        <v>0</v>
      </c>
      <c r="P16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9.5449160424927797</v>
      </c>
      <c r="Q165" s="4">
        <f>CHOOSE(Table1[[#This Row],[Mode Digit]],Table1[[#This Row],[I_0]]+1/Lf*(Table1[[#This Row],[Vin]]-Vout)*Table1[[#This Row],[t1_Ph_II]],Table1[[#This Row],[I_0]]+1/Lf*Table1[[#This Row],[Vin]]*Table1[[#This Row],[t1_Ph_II]],Table1[[#This Row],[I_0]]+(Table1[[#This Row],[Vin]]-Vout)/L*Table1[[#This Row],[t1_Ph_II]])</f>
        <v>14.45508395750722</v>
      </c>
      <c r="R165" s="4">
        <f>CHOOSE(Table1[[#This Row],[Mode Digit]],0,0,Table1[[#This Row],[I_1]]+Table1[[#This Row],[Vin]]/L*Table1[[#This Row],[t2_Ph_I]])</f>
        <v>0</v>
      </c>
      <c r="S165" s="4">
        <f>Fsw*(Table1[[#This Row],[I_0]]*Table1[[#This Row],[t1_Ph_II]]+Table1[[#This Row],[I_1]]*Table1[[#This Row],[t2_Ph_I]]+Table1[[#This Row],[I_2]]*Table1[[#This Row],[t3_Ph_III]])</f>
        <v>12.115020088477721</v>
      </c>
      <c r="T165" s="354">
        <f>MIN(1,CHOOSE(Table1[[#This Row],[Mode Digit]],(Vout+(Rdson2+Rs+Rdcr)*Table1[[#This Row],[Iout]])/(Table1[[#This Row],[Vin]]+(Rs+Rdson2-Rdson1)*Table1[[#This Row],[Iout]]),1,Fsw*Table1[[#This Row],[t2_Ph_I]]+Table1[[#This Row],[t1_Ph_II]]))</f>
        <v>0.47657512116316636</v>
      </c>
      <c r="U165" s="354">
        <f>MIN(1,CHOOSE(Table1[[#This Row],[Mode Digit]],0,(Vout+(Rdson3+Rdcr)*Table1[[#This Row],[Iin]]-Table1[[#This Row],[Vin]])/(Vout+(Rdson3-Rdson4-Rs)*Table1[[#This Row],[Iin]]),Fsw*Table1[[#This Row],[t1_Ph_II]]+Table1[[#This Row],[t3_Ph_III]]))</f>
        <v>0</v>
      </c>
      <c r="V165" s="4">
        <f>MAX(Table1[[#This Row],[I_0]:[I_2]])-MIN(Table1[[#This Row],[I_0]:[I_1]])</f>
        <v>4.9101679150144406</v>
      </c>
      <c r="W16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12.083424421335884</v>
      </c>
      <c r="X165" s="354">
        <f>(Table1[[#This Row],[Irms Lf]]^2*Rdcr*(1+Ltc*Ta-Ltc*25))/(1-Table1[[#This Row],[Irms Lf]]^2*Rdcr*Ltc*ThetaCa)</f>
        <v>0.90839522643713844</v>
      </c>
      <c r="Y165" s="354">
        <f>ABS(7.759*10^-3*Fsw^0.9458*(0.00787*Table1[[#This Row],[Ripple Current pk-pk]])^2.304)</f>
        <v>1.2571669774509338</v>
      </c>
      <c r="Z165" s="354">
        <f>Table1[[#This Row],[DCR    Loss]]+Table1[[#This Row],[Core Loss]]</f>
        <v>2.1655622038880722</v>
      </c>
      <c r="AA165" s="4">
        <f>IF(Table1[[#This Row],[Vin]]&gt;Vout, Table1[[#This Row],[Ripple Current pk-pk]]/SQRT(12), SQRT(Table1[[#This Row],[Duty Cycle BOOST Leg]]/(1-Table1[[#This Row],[Duty Cycle BOOST Leg]]))*SQRT(Table1[[#This Row],[Iout]]^2+(Table1[[#This Row],[Ripple Current pk-pk]]^2)/12))</f>
        <v>1.4174433837499254</v>
      </c>
      <c r="AB165" s="354">
        <f>RCoutEsr*Table1[[#This Row],[Irms Cout]]^2</f>
        <v>1.004572873068219E-2</v>
      </c>
      <c r="AC165" s="354">
        <f>Table1[[#This Row],[Cout ESR Loss]]</f>
        <v>1.004572873068219E-2</v>
      </c>
      <c r="AD165" s="354">
        <f>IF(Table1[[#This Row],[Vin]]&gt;Vout, SQRT(Table1[[#This Row],[Duty Cycle BUCK Leg]]*(1-Table1[[#This Row],[Duty Cycle BUCK Leg]]))*SQRT(Table1[[#This Row],[Iout]]^2+(Table1[[#This Row],[Ripple Current pk-pk]]^2)/12), Table1[[#This Row],[Ripple Current pk-pk]]/SQRT(12))</f>
        <v>6.0350780919182023</v>
      </c>
      <c r="AE165" s="354">
        <f>RCinEsr*Table1[[#This Row],[Irms Cin]]^2</f>
        <v>7.2844335151102099E-2</v>
      </c>
      <c r="AF165" s="549">
        <f>Table1[[#This Row],[Cin ESR Loss]]</f>
        <v>7.2844335151102099E-2</v>
      </c>
      <c r="AG16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8.3417220239525722</v>
      </c>
      <c r="AH165" s="354">
        <f>Rdson1*Table1[[#This Row],[Irms BuCtrl]]^2</f>
        <v>0.29225417056456071</v>
      </c>
      <c r="AI165" s="354">
        <f>CHOOSE(Table1[[#This Row],[Mode Digit]], (Table1[[#This Row],[Vin]]*Table1[[#This Row],[Iout]]/2)*(Fsw)*(Tr_buck+Tf_buck), 0, (Table1[[#This Row],[Vin]]*Table1[[#This Row],[Avg IL]]/2)*(Fsw/1)*(Tr_buck+Tf_buck))</f>
        <v>3.6793687904627204</v>
      </c>
      <c r="AJ165">
        <f>IF(Table1[[#This Row],[Vin]]&gt;Vout, IF(Table1[[#This Row],[Iout]]&gt;Table1[[#This Row],[Ripple Current pk-pk]]/2,0,ABS(Table1[[#This Row],[Iout]]-Table1[[#This Row],[Ripple Current pk-pk]]/2)*Vsd_Q1*Deadtime*Fsw),0)</f>
        <v>0</v>
      </c>
      <c r="AK165" s="354">
        <f>(Table1[[#This Row],[Dead Time Loss BuCtrl]]+Table1[[#This Row],[Transition Loss BuCtrl]]+Table1[[#This Row],[RDS(on) Loss BuCtrl]]*(1+RdsonTopTc*Ta-RdsonTopTc*25))/(1-Table1[[#This Row],[RDS(on) Loss BuCtrl]]*RdsonTopTc*ThetaJA_Q1)</f>
        <v>4.2712098985146936</v>
      </c>
      <c r="AL165" s="354">
        <f>CHOOSE(Table1[[#This Row],[Mode Digit]],SQRT((Fsw*(Table1[[#This Row],[t2_Ph_I]]+0))*((Table1[[#This Row],[I_0]]*Table1[[#This Row],[I_1]]+((Table1[[#This Row],[I_0]]-Table1[[#This Row],[I_1]])^2)/3))),0,SQRT((Fsw*(Table1[[#This Row],[t3_Ph_III]]+0))*((Table1[[#This Row],[I_0]]*Table1[[#This Row],[I_2]]+((Table1[[#This Row],[I_0]]-Table1[[#This Row],[I_2]])^2)/3))))</f>
        <v>8.7421289982041017</v>
      </c>
      <c r="AM165" s="354">
        <f>Rdson2*Table1[[#This Row],[Irms BuSync]]^2</f>
        <v>0.32098424156921246</v>
      </c>
      <c r="AN16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5" s="354">
        <f>(Table1[[#This Row],[Deadtime Loss BuSync]]+Table1[[#This Row],[RDS(on) Loss BuSync]]*(1+RdsonBotTc*Ta-RdsonBotTc*25))/(1-Table1[[#This Row],[RDS(on) Loss BuSync]]*RdsonBotTc*ThetaJA_Q2)</f>
        <v>0.9733379441728468</v>
      </c>
      <c r="AP165" s="354">
        <f>CHOOSE(Table1[[#This Row],[Mode Digit]],0,SQRT((Fsw*(Table1[[#This Row],[t1_Ph_II]]+0))*((Table1[[#This Row],[I_0]]*Table1[[#This Row],[I_1]]+((Table1[[#This Row],[I_0]]-Table1[[#This Row],[I_1]])^2)/3))),SQRT((Fsw*(Table1[[#This Row],[t2_Ph_I]]+0))*((Table1[[#This Row],[I_1]]*Table1[[#This Row],[I_2]]+((Table1[[#This Row],[I_1]]-Table1[[#This Row],[I_2]])^2)/3))))</f>
        <v>0</v>
      </c>
      <c r="AQ165" s="354">
        <f>Rdson4*Table1[[#This Row],[Irms BoCtlr]]^2</f>
        <v>0</v>
      </c>
      <c r="AR165" s="354">
        <f>CHOOSE(Table1[[#This Row],[Mode Digit]], 0, (Vout*Table1[[#This Row],[Iin]]/2)*(Fsw)*(Tr_boost+Tf_boost), (Vout*Iout/2)*(Fsw/1)*(Tr_boost+Tf_boost))</f>
        <v>0</v>
      </c>
      <c r="AS165">
        <f>IF(Table1[[#This Row],[Vin]]&gt;Vout, 0, IF(Table1[[#This Row],[Iin]]&gt;Table1[[#This Row],[Ripple Current pk-pk]]/2,0,ABS(Table1[[#This Row],[Iin]]-Table1[[#This Row],[Ripple Current pk-pk]]/2)*Vsd_Q4*Deadtime*Fsw))</f>
        <v>0</v>
      </c>
      <c r="AT165" s="354">
        <f>(Table1[[#This Row],[Dead Time Loss BoCtlr]]+Table1[[#This Row],[Transition Loss BoCtlr]]+Table1[[#This Row],[RDS(on) Loss BoCtlr]]*(1+RdsonTopTc*Ta-RdsonTopTc*25))/(1-Table1[[#This Row],[RDS(on) Loss BoCtlr]]*RdsonTopTc*ThetaJA_Q4)</f>
        <v>0</v>
      </c>
      <c r="AU16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12.083424421335884</v>
      </c>
      <c r="AV165" s="354">
        <f>Rdson3*Table1[[#This Row],[Irms BoSync]]^2</f>
        <v>0.61323841213377317</v>
      </c>
      <c r="AW16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5" s="354">
        <f>(Table1[[#This Row],[Deadtime Loss BoSync]]+Table1[[#This Row],[RDS(on) Loss BoSync]]*(1+RdsonBotTc*Ta-RdsonBotTc*25))/(1-Table1[[#This Row],[RDS(on) Loss BoSync]]*RdsonBotTc*ThetaJA_Q3)</f>
        <v>0.71906898564729005</v>
      </c>
      <c r="AY165" s="354">
        <f>CHOOSE(Table1[[#This Row],[Mode Digit]], Rdson3*Table1[[#This Row],[Irms Lf]]^2, Rdson1*Table1[[#This Row],[Irms Lf]]^2, 0)</f>
        <v>0.61323841213377317</v>
      </c>
      <c r="AZ165" s="354">
        <f>CHOOSE(Table1[[#This Row],[Mode Digit]], 2*Deadtime*Fsw*IF(VfdSky_Q2&gt;0,VfdSky_Q2,0)*Table1[[#This Row],[Iout]], 2*Deadtime*Fsw*IF(VfdSky_Q3&gt;0,VfdSky_Q3,0)*Table1[[#This Row],[Iin]], 2*Deadtime*Fsw*IF(VfdSky_Q2&gt;0,VfdSky_Q2,0)*Table1[[#This Row],[Iout]]+2*Deadtime*Fsw*IF(VfdSky_Q3&gt;0,VfdSky_Q3,0)*Table1[[#This Row],[Iin]])</f>
        <v>0</v>
      </c>
      <c r="BA165" s="354">
        <f>CHOOSE(Table1[[#This Row],[Mode Digit]], IF(QrrSky_Q2&gt;0,QrrSky_Q2,Qrr_Q2)*Fsw*(Table1[[#This Row],[Vin]]-Table1[[#This Row],[Iout]]*Rdson1),0,  IF(QrrSky_Q2&gt;0,QrrSky_Q2,Qrr_Q2)*Fsw*(Table1[[#This Row],[Vin]]-Table1[[#This Row],[Iout]]*Rdson1)+IF(QrrSky_Q3&gt;0,QrrSky_Q3,Qrr_Q3)*Fsw*Vout)</f>
        <v>0.37043520000000002</v>
      </c>
      <c r="BB165" s="354">
        <f>CHOOSE(Table1[[#This Row],[Mode Digit]],0, IF(QrrSky_Q3&gt;0,QrrSky_Q3,Qrr_Q3)*Fsw*Vout,  IF(QrrSky_Q2&gt;0,QrrSky_Q2,Qrr_Q2)*Fsw*(Table1[[#This Row],[Vin]]-Table1[[#This Row],[Iout]]*Rdson1)+IF(QrrSky_Q3&gt;0,QrrSky_Q3,Qrr_Q3)*Fsw*Vout)</f>
        <v>0</v>
      </c>
      <c r="BC165" s="354">
        <f>CHOOSE(Table1[[#This Row],[Mode Digit]], Rs*Table1[[#This Row],[Irms BuSync]]^2, Rs*Table1[[#This Row],[Irms BoCtlr]]^2, Rs*(Table1[[#This Row],[Irms BuSync]]^2+Table1[[#This Row],[Irms BoCtlr]]^2))</f>
        <v>0.19106204855310263</v>
      </c>
      <c r="BD165" s="354">
        <f t="shared" si="8"/>
        <v>1.44</v>
      </c>
      <c r="BE165" s="354">
        <f>IF(Vout&gt;8, Iq*Vout, Iq*Table1[[#This Row],[Vin]])</f>
        <v>4.3799999999999999E-2</v>
      </c>
      <c r="BF165" s="354">
        <f>CHOOSE(Table1[[#This Row],[Mode Digit]], (Qg_Q1+Qg_Q2)*Fsw, (Qg_Q3+Qg_Q4)*Fsw, (Qg_Q1+Qg_Q2+Qg_Q3+Qg_Q4)*Fsw)*IF(Vout&gt;8, Vout, Table1[[#This Row],[Vin]])</f>
        <v>0.47303999999999996</v>
      </c>
      <c r="BG165" s="354">
        <f t="shared" si="9"/>
        <v>0.57269042016806726</v>
      </c>
      <c r="BH165" s="354">
        <f>Table1[[#This Row],[IQ Loss]]+Table1[[#This Row],[Switching Current Loss]]</f>
        <v>0.51683999999999997</v>
      </c>
      <c r="BI16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10.730406344657789</v>
      </c>
      <c r="BJ165">
        <f>Vout*Table1[[#This Row],[Iout]]</f>
        <v>175.2</v>
      </c>
      <c r="BK165" s="550">
        <f>Table1[[#This Row],[Pout]]/(Table1[[#This Row],[Pout]]+Table1[[#This Row],[Total Loss]])</f>
        <v>0.94228804983749181</v>
      </c>
      <c r="BL16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256.2725939108816</v>
      </c>
      <c r="BM165" s="559">
        <f>IF(Table1[[#This Row],[Vin]]&gt;Vout, Table1[[#This Row],[Total Sync Bu MOSFET Loss]]*ThetaJA_Q2, ThetaJA_Q3*Table1[[#This Row],[Total Sync Bo MOSFET Loss]])</f>
        <v>58.400276650370806</v>
      </c>
      <c r="BN165" s="9"/>
      <c r="BO165" s="4">
        <f>Table1[[#This Row],[EFF, h]]*100</f>
        <v>94.228804983749185</v>
      </c>
      <c r="BP165" s="354">
        <f>Table1[[#This Row],[Total Inductor Loss]]</f>
        <v>2.1655622038880722</v>
      </c>
      <c r="BQ165" s="354">
        <f>Table1[[#This Row],[Total Control Bu MOSFET Loss]]+Table1[[#This Row],[Total Sync Bu MOSFET Loss]]+Table1[[#This Row],[Total Control Bo MOSFET Loss]]+Table1[[#This Row],[Total Sync Bo MOSFET Loss]]+Table1[[#This Row],[Reverse Recovery Loss MOSFET D BUCK]]+Table1[[#This Row],[Reverse Recovery Loss MOSFET D BOOST]]</f>
        <v>6.3340520283348303</v>
      </c>
      <c r="BR165" s="354">
        <f>Table1[[#This Row],[Total Control Bu MOSFET Loss]]+Table1[[#This Row],[Reverse Recovery Loss MOSFET D BUCK]]*0.66</f>
        <v>4.5156971305146936</v>
      </c>
      <c r="BS165" s="354">
        <f>Table1[[#This Row],[Total Sync Bu MOSFET Loss]]+Table1[[#This Row],[Reverse Recovery Loss MOSFET D BUCK]]*0.33</f>
        <v>1.0955815601728469</v>
      </c>
      <c r="BT165" s="354">
        <f xml:space="preserve"> Table1[[#This Row],[Total Control Bo MOSFET Loss]]+Table1[[#This Row],[Reverse Recovery Loss MOSFET D BOOST]]*0.66</f>
        <v>0</v>
      </c>
      <c r="BU165" s="354">
        <f xml:space="preserve"> Table1[[#This Row],[Total Sync Bo MOSFET Loss]]+Table1[[#This Row],[Reverse Recovery Loss MOSFET D BOOST]]*0.33</f>
        <v>0.71906898564729005</v>
      </c>
      <c r="BV165" s="354">
        <f>Table1[[#This Row],[Isense Shunt Loss]]</f>
        <v>0.19106204855310263</v>
      </c>
    </row>
    <row r="166" spans="7:74" x14ac:dyDescent="0.2">
      <c r="G166">
        <v>157</v>
      </c>
      <c r="H166" s="555">
        <f>VIN_min+(VIN_max-VIN_min)*(Table1[[#This Row],[Step]]/200)</f>
        <v>30.990000000000002</v>
      </c>
      <c r="I166" s="4" t="str">
        <f>IF(Mode = 2,IF(Table1[[#This Row],[Vin]]&gt;Vout, "BUCK","BOOST"),IF(Table1[[#This Row],[Vin]]&gt;VIN_BB_to_buck, "BUCK", IF(Table1[[#This Row],[Vin]]&lt;=VIN_boost_to_BB,"BOOST","BUCK-BST")))</f>
        <v>BUCK</v>
      </c>
      <c r="J166">
        <f>IF(Table1[[#This Row],[Mode]]="BOOST",2, IF(Table1[[#This Row],[Mode]]="BUCK", 1,3))</f>
        <v>1</v>
      </c>
      <c r="K166">
        <f t="shared" si="7"/>
        <v>12</v>
      </c>
      <c r="L166" s="4">
        <f>Vout*Table1[[#This Row],[Iout]]/(Table1[[#This Row],[Vin]]*Efficiency)</f>
        <v>5.9509858867886072</v>
      </c>
      <c r="M166" s="711">
        <f>MIN(1/Fsw,CHOOSE(Table1[[#This Row],[Mode Digit]],(Vout+(Rdson2+Rs+Rdcr)*Table1[[#This Row],[Iout]])/(Table1[[#This Row],[Vin]]+(Rs+Rdson2-Rdson1)*Table1[[#This Row],[Iout]])/Fsw,(Vout+(Rdson3+Rdcr)*Table1[[#This Row],[Iin]]-Table1[[#This Row],[Vin]])/(Vout+(Rdson3-Rdson4-Rs)*Table1[[#This Row],[Iin]])/Fsw,t1_Ph_II))</f>
        <v>7.924994627122286E-7</v>
      </c>
      <c r="N166" s="602">
        <f>CHOOSE(Table1[[#This Row],[Mode Digit]],1/Fsw-Table1[[#This Row],[t1_Ph_II]],1/Fsw-Table1[[#This Row],[t1_Ph_II]],(Vout/Fsw-Table1[[#This Row],[Vin]]*t1_Ph_II)/(Table1[[#This Row],[Vin]]+Vout))</f>
        <v>8.7416720395443807E-7</v>
      </c>
      <c r="O166" s="602">
        <f>1/Fsw-(Table1[[#This Row],[t1_Ph_II]]+Table1[[#This Row],[t2_Ph_I]])</f>
        <v>0</v>
      </c>
      <c r="P16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9.5399495844974567</v>
      </c>
      <c r="Q166" s="4">
        <f>CHOOSE(Table1[[#This Row],[Mode Digit]],Table1[[#This Row],[I_0]]+1/Lf*(Table1[[#This Row],[Vin]]-Vout)*Table1[[#This Row],[t1_Ph_II]],Table1[[#This Row],[I_0]]+1/Lf*Table1[[#This Row],[Vin]]*Table1[[#This Row],[t1_Ph_II]],Table1[[#This Row],[I_0]]+(Table1[[#This Row],[Vin]]-Vout)/L*Table1[[#This Row],[t1_Ph_II]])</f>
        <v>14.460050415502543</v>
      </c>
      <c r="R166" s="4">
        <f>CHOOSE(Table1[[#This Row],[Mode Digit]],0,0,Table1[[#This Row],[I_1]]+Table1[[#This Row],[Vin]]/L*Table1[[#This Row],[t2_Ph_I]])</f>
        <v>0</v>
      </c>
      <c r="S166" s="4">
        <f>Fsw*(Table1[[#This Row],[I_0]]*Table1[[#This Row],[t1_Ph_II]]+Table1[[#This Row],[I_1]]*Table1[[#This Row],[t2_Ph_I]]+Table1[[#This Row],[I_2]]*Table1[[#This Row],[t3_Ph_III]])</f>
        <v>12.120544056465633</v>
      </c>
      <c r="T166" s="354">
        <f>MIN(1,CHOOSE(Table1[[#This Row],[Mode Digit]],(Vout+(Rdson2+Rs+Rdcr)*Table1[[#This Row],[Iout]])/(Table1[[#This Row],[Vin]]+(Rs+Rdson2-Rdson1)*Table1[[#This Row],[Iout]]),1,Fsw*Table1[[#This Row],[t2_Ph_I]]+Table1[[#This Row],[t1_Ph_II]]))</f>
        <v>0.47549967762733714</v>
      </c>
      <c r="U166" s="354">
        <f>MIN(1,CHOOSE(Table1[[#This Row],[Mode Digit]],0,(Vout+(Rdson3+Rdcr)*Table1[[#This Row],[Iin]]-Table1[[#This Row],[Vin]])/(Vout+(Rdson3-Rdson4-Rs)*Table1[[#This Row],[Iin]]),Fsw*Table1[[#This Row],[t1_Ph_II]]+Table1[[#This Row],[t3_Ph_III]]))</f>
        <v>0</v>
      </c>
      <c r="V166" s="4">
        <f>MAX(Table1[[#This Row],[I_0]:[I_2]])-MIN(Table1[[#This Row],[I_0]:[I_1]])</f>
        <v>4.9201008310050867</v>
      </c>
      <c r="W16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12.083761114912502</v>
      </c>
      <c r="X166" s="354">
        <f>(Table1[[#This Row],[Irms Lf]]^2*Rdcr*(1+Ltc*Ta-Ltc*25))/(1-Table1[[#This Row],[Irms Lf]]^2*Rdcr*Ltc*ThetaCa)</f>
        <v>0.90844952948917279</v>
      </c>
      <c r="Y166" s="354">
        <f>ABS(7.759*10^-3*Fsw^0.9458*(0.00787*Table1[[#This Row],[Ripple Current pk-pk]])^2.304)</f>
        <v>1.2630341439085637</v>
      </c>
      <c r="Z166" s="354">
        <f>Table1[[#This Row],[DCR    Loss]]+Table1[[#This Row],[Core Loss]]</f>
        <v>2.1714836733977365</v>
      </c>
      <c r="AA166" s="4">
        <f>IF(Table1[[#This Row],[Vin]]&gt;Vout, Table1[[#This Row],[Ripple Current pk-pk]]/SQRT(12), SQRT(Table1[[#This Row],[Duty Cycle BOOST Leg]]/(1-Table1[[#This Row],[Duty Cycle BOOST Leg]]))*SQRT(Table1[[#This Row],[Iout]]^2+(Table1[[#This Row],[Ripple Current pk-pk]]^2)/12))</f>
        <v>1.4203107696104442</v>
      </c>
      <c r="AB166" s="354">
        <f>RCoutEsr*Table1[[#This Row],[Irms Cout]]^2</f>
        <v>1.0086413411357062E-2</v>
      </c>
      <c r="AC166" s="354">
        <f>Table1[[#This Row],[Cout ESR Loss]]</f>
        <v>1.0086413411357062E-2</v>
      </c>
      <c r="AD166" s="354">
        <f>IF(Table1[[#This Row],[Vin]]&gt;Vout, SQRT(Table1[[#This Row],[Duty Cycle BUCK Leg]]*(1-Table1[[#This Row],[Duty Cycle BUCK Leg]]))*SQRT(Table1[[#This Row],[Iout]]^2+(Table1[[#This Row],[Ripple Current pk-pk]]^2)/12), Table1[[#This Row],[Ripple Current pk-pk]]/SQRT(12))</f>
        <v>6.034622729723508</v>
      </c>
      <c r="AE166" s="354">
        <f>RCinEsr*Table1[[#This Row],[Irms Cin]]^2</f>
        <v>7.2833342980191201E-2</v>
      </c>
      <c r="AF166" s="549">
        <f>Table1[[#This Row],[Cin ESR Loss]]</f>
        <v>7.2833342980191201E-2</v>
      </c>
      <c r="AG16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8.3325368792127055</v>
      </c>
      <c r="AH166" s="354">
        <f>Rdson1*Table1[[#This Row],[Irms BuCtrl]]^2</f>
        <v>0.29161091754244728</v>
      </c>
      <c r="AI166" s="354">
        <f>CHOOSE(Table1[[#This Row],[Mode Digit]], (Table1[[#This Row],[Vin]]*Table1[[#This Row],[Iout]]/2)*(Fsw)*(Tr_buck+Tf_buck), 0, (Table1[[#This Row],[Vin]]*Table1[[#This Row],[Avg IL]]/2)*(Fsw/1)*(Tr_buck+Tf_buck))</f>
        <v>3.6876985386946863</v>
      </c>
      <c r="AJ166">
        <f>IF(Table1[[#This Row],[Vin]]&gt;Vout, IF(Table1[[#This Row],[Iout]]&gt;Table1[[#This Row],[Ripple Current pk-pk]]/2,0,ABS(Table1[[#This Row],[Iout]]-Table1[[#This Row],[Ripple Current pk-pk]]/2)*Vsd_Q1*Deadtime*Fsw),0)</f>
        <v>0</v>
      </c>
      <c r="AK166" s="354">
        <f>(Table1[[#This Row],[Dead Time Loss BuCtrl]]+Table1[[#This Row],[Transition Loss BuCtrl]]+Table1[[#This Row],[RDS(on) Loss BuCtrl]]*(1+RdsonTopTc*Ta-RdsonTopTc*25))/(1-Table1[[#This Row],[RDS(on) Loss BuCtrl]]*RdsonTopTc*ThetaJA_Q1)</f>
        <v>4.2787658142471843</v>
      </c>
      <c r="AL166" s="354">
        <f>CHOOSE(Table1[[#This Row],[Mode Digit]],SQRT((Fsw*(Table1[[#This Row],[t2_Ph_I]]+0))*((Table1[[#This Row],[I_0]]*Table1[[#This Row],[I_1]]+((Table1[[#This Row],[I_0]]-Table1[[#This Row],[I_1]])^2)/3))),0,SQRT((Fsw*(Table1[[#This Row],[t3_Ph_III]]+0))*((Table1[[#This Row],[I_0]]*Table1[[#This Row],[I_2]]+((Table1[[#This Row],[I_0]]-Table1[[#This Row],[I_2]])^2)/3))))</f>
        <v>8.7513491439224165</v>
      </c>
      <c r="AM166" s="354">
        <f>Rdson2*Table1[[#This Row],[Irms BuSync]]^2</f>
        <v>0.32166166972309285</v>
      </c>
      <c r="AN16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6" s="354">
        <f>(Table1[[#This Row],[Deadtime Loss BuSync]]+Table1[[#This Row],[RDS(on) Loss BuSync]]*(1+RdsonBotTc*Ta-RdsonBotTc*25))/(1-Table1[[#This Row],[RDS(on) Loss BuSync]]*RdsonBotTc*ThetaJA_Q2)</f>
        <v>0.97424353046915213</v>
      </c>
      <c r="AP166" s="354">
        <f>CHOOSE(Table1[[#This Row],[Mode Digit]],0,SQRT((Fsw*(Table1[[#This Row],[t1_Ph_II]]+0))*((Table1[[#This Row],[I_0]]*Table1[[#This Row],[I_1]]+((Table1[[#This Row],[I_0]]-Table1[[#This Row],[I_1]])^2)/3))),SQRT((Fsw*(Table1[[#This Row],[t2_Ph_I]]+0))*((Table1[[#This Row],[I_1]]*Table1[[#This Row],[I_2]]+((Table1[[#This Row],[I_1]]-Table1[[#This Row],[I_2]])^2)/3))))</f>
        <v>0</v>
      </c>
      <c r="AQ166" s="354">
        <f>Rdson4*Table1[[#This Row],[Irms BoCtlr]]^2</f>
        <v>0</v>
      </c>
      <c r="AR166" s="354">
        <f>CHOOSE(Table1[[#This Row],[Mode Digit]], 0, (Vout*Table1[[#This Row],[Iin]]/2)*(Fsw)*(Tr_boost+Tf_boost), (Vout*Iout/2)*(Fsw/1)*(Tr_boost+Tf_boost))</f>
        <v>0</v>
      </c>
      <c r="AS166">
        <f>IF(Table1[[#This Row],[Vin]]&gt;Vout, 0, IF(Table1[[#This Row],[Iin]]&gt;Table1[[#This Row],[Ripple Current pk-pk]]/2,0,ABS(Table1[[#This Row],[Iin]]-Table1[[#This Row],[Ripple Current pk-pk]]/2)*Vsd_Q4*Deadtime*Fsw))</f>
        <v>0</v>
      </c>
      <c r="AT166" s="354">
        <f>(Table1[[#This Row],[Dead Time Loss BoCtlr]]+Table1[[#This Row],[Transition Loss BoCtlr]]+Table1[[#This Row],[RDS(on) Loss BoCtlr]]*(1+RdsonTopTc*Ta-RdsonTopTc*25))/(1-Table1[[#This Row],[RDS(on) Loss BoCtlr]]*RdsonTopTc*ThetaJA_Q4)</f>
        <v>0</v>
      </c>
      <c r="AU16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12.083761114912502</v>
      </c>
      <c r="AV166" s="354">
        <f>Rdson3*Table1[[#This Row],[Irms BoSync]]^2</f>
        <v>0.61327258726554013</v>
      </c>
      <c r="AW16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6" s="354">
        <f>(Table1[[#This Row],[Deadtime Loss BoSync]]+Table1[[#This Row],[RDS(on) Loss BoSync]]*(1+RdsonBotTc*Ta-RdsonBotTc*25))/(1-Table1[[#This Row],[RDS(on) Loss BoSync]]*RdsonBotTc*ThetaJA_Q3)</f>
        <v>0.71911597471069411</v>
      </c>
      <c r="AY166" s="354">
        <f>CHOOSE(Table1[[#This Row],[Mode Digit]], Rdson3*Table1[[#This Row],[Irms Lf]]^2, Rdson1*Table1[[#This Row],[Irms Lf]]^2, 0)</f>
        <v>0.61327258726554013</v>
      </c>
      <c r="AZ166" s="354">
        <f>CHOOSE(Table1[[#This Row],[Mode Digit]], 2*Deadtime*Fsw*IF(VfdSky_Q2&gt;0,VfdSky_Q2,0)*Table1[[#This Row],[Iout]], 2*Deadtime*Fsw*IF(VfdSky_Q3&gt;0,VfdSky_Q3,0)*Table1[[#This Row],[Iin]], 2*Deadtime*Fsw*IF(VfdSky_Q2&gt;0,VfdSky_Q2,0)*Table1[[#This Row],[Iout]]+2*Deadtime*Fsw*IF(VfdSky_Q3&gt;0,VfdSky_Q3,0)*Table1[[#This Row],[Iin]])</f>
        <v>0</v>
      </c>
      <c r="BA166" s="354">
        <f>CHOOSE(Table1[[#This Row],[Mode Digit]], IF(QrrSky_Q2&gt;0,QrrSky_Q2,Qrr_Q2)*Fsw*(Table1[[#This Row],[Vin]]-Table1[[#This Row],[Iout]]*Rdson1),0,  IF(QrrSky_Q2&gt;0,QrrSky_Q2,Qrr_Q2)*Fsw*(Table1[[#This Row],[Vin]]-Table1[[#This Row],[Iout]]*Rdson1)+IF(QrrSky_Q3&gt;0,QrrSky_Q3,Qrr_Q3)*Fsw*Vout)</f>
        <v>0.37127520000000003</v>
      </c>
      <c r="BB166" s="354">
        <f>CHOOSE(Table1[[#This Row],[Mode Digit]],0, IF(QrrSky_Q3&gt;0,QrrSky_Q3,Qrr_Q3)*Fsw*Vout,  IF(QrrSky_Q2&gt;0,QrrSky_Q2,Qrr_Q2)*Fsw*(Table1[[#This Row],[Vin]]-Table1[[#This Row],[Iout]]*Rdson1)+IF(QrrSky_Q3&gt;0,QrrSky_Q3,Qrr_Q3)*Fsw*Vout)</f>
        <v>0</v>
      </c>
      <c r="BC166" s="354">
        <f>CHOOSE(Table1[[#This Row],[Mode Digit]], Rs*Table1[[#This Row],[Irms BuSync]]^2, Rs*Table1[[#This Row],[Irms BoCtlr]]^2, Rs*(Table1[[#This Row],[Irms BuSync]]^2+Table1[[#This Row],[Irms BoCtlr]]^2))</f>
        <v>0.19146527959707904</v>
      </c>
      <c r="BD166" s="354">
        <f t="shared" si="8"/>
        <v>1.44</v>
      </c>
      <c r="BE166" s="354">
        <f>IF(Vout&gt;8, Iq*Vout, Iq*Table1[[#This Row],[Vin]])</f>
        <v>4.3799999999999999E-2</v>
      </c>
      <c r="BF166" s="354">
        <f>CHOOSE(Table1[[#This Row],[Mode Digit]], (Qg_Q1+Qg_Q2)*Fsw, (Qg_Q3+Qg_Q4)*Fsw, (Qg_Q1+Qg_Q2+Qg_Q3+Qg_Q4)*Fsw)*IF(Vout&gt;8, Vout, Table1[[#This Row],[Vin]])</f>
        <v>0.47303999999999996</v>
      </c>
      <c r="BG166" s="354">
        <f t="shared" si="9"/>
        <v>0.57269042016806726</v>
      </c>
      <c r="BH166" s="354">
        <f>Table1[[#This Row],[IQ Loss]]+Table1[[#This Row],[Switching Current Loss]]</f>
        <v>0.51683999999999997</v>
      </c>
      <c r="BI16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10.746109228813394</v>
      </c>
      <c r="BJ166">
        <f>Vout*Table1[[#This Row],[Iout]]</f>
        <v>175.2</v>
      </c>
      <c r="BK166" s="550">
        <f>Table1[[#This Row],[Pout]]/(Table1[[#This Row],[Pout]]+Table1[[#This Row],[Total Loss]])</f>
        <v>0.94220847495340754</v>
      </c>
      <c r="BL16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256.72594885483107</v>
      </c>
      <c r="BM166" s="559">
        <f>IF(Table1[[#This Row],[Vin]]&gt;Vout, Table1[[#This Row],[Total Sync Bu MOSFET Loss]]*ThetaJA_Q2, ThetaJA_Q3*Table1[[#This Row],[Total Sync Bo MOSFET Loss]])</f>
        <v>58.454611828149126</v>
      </c>
      <c r="BN166" s="9"/>
      <c r="BO166" s="4">
        <f>Table1[[#This Row],[EFF, h]]*100</f>
        <v>94.220847495340749</v>
      </c>
      <c r="BP166" s="354">
        <f>Table1[[#This Row],[Total Inductor Loss]]</f>
        <v>2.1714836733977365</v>
      </c>
      <c r="BQ166" s="354">
        <f>Table1[[#This Row],[Total Control Bu MOSFET Loss]]+Table1[[#This Row],[Total Sync Bu MOSFET Loss]]+Table1[[#This Row],[Total Control Bo MOSFET Loss]]+Table1[[#This Row],[Total Sync Bo MOSFET Loss]]+Table1[[#This Row],[Reverse Recovery Loss MOSFET D BUCK]]+Table1[[#This Row],[Reverse Recovery Loss MOSFET D BOOST]]</f>
        <v>6.3434005194270302</v>
      </c>
      <c r="BR166" s="354">
        <f>Table1[[#This Row],[Total Control Bu MOSFET Loss]]+Table1[[#This Row],[Reverse Recovery Loss MOSFET D BUCK]]*0.66</f>
        <v>4.5238074462471847</v>
      </c>
      <c r="BS166" s="354">
        <f>Table1[[#This Row],[Total Sync Bu MOSFET Loss]]+Table1[[#This Row],[Reverse Recovery Loss MOSFET D BUCK]]*0.33</f>
        <v>1.0967643464691521</v>
      </c>
      <c r="BT166" s="354">
        <f xml:space="preserve"> Table1[[#This Row],[Total Control Bo MOSFET Loss]]+Table1[[#This Row],[Reverse Recovery Loss MOSFET D BOOST]]*0.66</f>
        <v>0</v>
      </c>
      <c r="BU166" s="354">
        <f xml:space="preserve"> Table1[[#This Row],[Total Sync Bo MOSFET Loss]]+Table1[[#This Row],[Reverse Recovery Loss MOSFET D BOOST]]*0.33</f>
        <v>0.71911597471069411</v>
      </c>
      <c r="BV166" s="354">
        <f>Table1[[#This Row],[Isense Shunt Loss]]</f>
        <v>0.19146527959707904</v>
      </c>
    </row>
    <row r="167" spans="7:74" x14ac:dyDescent="0.2">
      <c r="G167">
        <v>158</v>
      </c>
      <c r="H167" s="555">
        <f>VIN_min+(VIN_max-VIN_min)*(Table1[[#This Row],[Step]]/200)</f>
        <v>31.060000000000002</v>
      </c>
      <c r="I167" s="4" t="str">
        <f>IF(Mode = 2,IF(Table1[[#This Row],[Vin]]&gt;Vout, "BUCK","BOOST"),IF(Table1[[#This Row],[Vin]]&gt;VIN_BB_to_buck, "BUCK", IF(Table1[[#This Row],[Vin]]&lt;=VIN_boost_to_BB,"BOOST","BUCK-BST")))</f>
        <v>BUCK</v>
      </c>
      <c r="J167">
        <f>IF(Table1[[#This Row],[Mode]]="BOOST",2, IF(Table1[[#This Row],[Mode]]="BUCK", 1,3))</f>
        <v>1</v>
      </c>
      <c r="K167">
        <f t="shared" si="7"/>
        <v>12</v>
      </c>
      <c r="L167" s="4">
        <f>Vout*Table1[[#This Row],[Iout]]/(Table1[[#This Row],[Vin]]*Efficiency)</f>
        <v>5.9375741349510278</v>
      </c>
      <c r="M167" s="711">
        <f>MIN(1/Fsw,CHOOSE(Table1[[#This Row],[Mode Digit]],(Vout+(Rdson2+Rs+Rdcr)*Table1[[#This Row],[Iout]])/(Table1[[#This Row],[Vin]]+(Rs+Rdson2-Rdson1)*Table1[[#This Row],[Iout]])/Fsw,(Vout+(Rdson3+Rdcr)*Table1[[#This Row],[Iin]]-Table1[[#This Row],[Vin]])/(Vout+(Rdson3-Rdson4-Rs)*Table1[[#This Row],[Iin]])/Fsw,t1_Ph_II))</f>
        <v>7.9071512812265464E-7</v>
      </c>
      <c r="N167" s="602">
        <f>CHOOSE(Table1[[#This Row],[Mode Digit]],1/Fsw-Table1[[#This Row],[t1_Ph_II]],1/Fsw-Table1[[#This Row],[t1_Ph_II]],(Vout/Fsw-Table1[[#This Row],[Vin]]*t1_Ph_II)/(Table1[[#This Row],[Vin]]+Vout))</f>
        <v>8.7595153854401202E-7</v>
      </c>
      <c r="O167" s="602">
        <f>1/Fsw-(Table1[[#This Row],[t1_Ph_II]]+Table1[[#This Row],[t2_Ph_I]])</f>
        <v>0</v>
      </c>
      <c r="P16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9.5350054907388451</v>
      </c>
      <c r="Q167" s="4">
        <f>CHOOSE(Table1[[#This Row],[Mode Digit]],Table1[[#This Row],[I_0]]+1/Lf*(Table1[[#This Row],[Vin]]-Vout)*Table1[[#This Row],[t1_Ph_II]],Table1[[#This Row],[I_0]]+1/Lf*Table1[[#This Row],[Vin]]*Table1[[#This Row],[t1_Ph_II]],Table1[[#This Row],[I_0]]+(Table1[[#This Row],[Vin]]-Vout)/L*Table1[[#This Row],[t1_Ph_II]])</f>
        <v>14.464994509261153</v>
      </c>
      <c r="R167" s="4">
        <f>CHOOSE(Table1[[#This Row],[Mode Digit]],0,0,Table1[[#This Row],[I_1]]+Table1[[#This Row],[Vin]]/L*Table1[[#This Row],[t2_Ph_I]])</f>
        <v>0</v>
      </c>
      <c r="S167" s="4">
        <f>Fsw*(Table1[[#This Row],[I_0]]*Table1[[#This Row],[t1_Ph_II]]+Table1[[#This Row],[I_1]]*Table1[[#This Row],[t2_Ph_I]]+Table1[[#This Row],[I_2]]*Table1[[#This Row],[t3_Ph_III]])</f>
        <v>12.126064370206665</v>
      </c>
      <c r="T167" s="354">
        <f>MIN(1,CHOOSE(Table1[[#This Row],[Mode Digit]],(Vout+(Rdson2+Rs+Rdcr)*Table1[[#This Row],[Iout]])/(Table1[[#This Row],[Vin]]+(Rs+Rdson2-Rdson1)*Table1[[#This Row],[Iout]]),1,Fsw*Table1[[#This Row],[t2_Ph_I]]+Table1[[#This Row],[t1_Ph_II]]))</f>
        <v>0.47442907687359276</v>
      </c>
      <c r="U167" s="354">
        <f>MIN(1,CHOOSE(Table1[[#This Row],[Mode Digit]],0,(Vout+(Rdson3+Rdcr)*Table1[[#This Row],[Iin]]-Table1[[#This Row],[Vin]])/(Vout+(Rdson3-Rdson4-Rs)*Table1[[#This Row],[Iin]]),Fsw*Table1[[#This Row],[t1_Ph_II]]+Table1[[#This Row],[t3_Ph_III]]))</f>
        <v>0</v>
      </c>
      <c r="V167" s="4">
        <f>MAX(Table1[[#This Row],[I_0]:[I_2]])-MIN(Table1[[#This Row],[I_0]:[I_1]])</f>
        <v>4.9299890185223081</v>
      </c>
      <c r="W16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12.084096958822748</v>
      </c>
      <c r="X167" s="354">
        <f>(Table1[[#This Row],[Irms Lf]]^2*Rdcr*(1+Ltc*Ta-Ltc*25))/(1-Table1[[#This Row],[Irms Lf]]^2*Rdcr*Ltc*ThetaCa)</f>
        <v>0.90850369744977333</v>
      </c>
      <c r="Y167" s="354">
        <f>ABS(7.759*10^-3*Fsw^0.9458*(0.00787*Table1[[#This Row],[Ripple Current pk-pk]])^2.304)</f>
        <v>1.2688902519587593</v>
      </c>
      <c r="Z167" s="354">
        <f>Table1[[#This Row],[DCR    Loss]]+Table1[[#This Row],[Core Loss]]</f>
        <v>2.1773939494085326</v>
      </c>
      <c r="AA167" s="4">
        <f>IF(Table1[[#This Row],[Vin]]&gt;Vout, Table1[[#This Row],[Ripple Current pk-pk]]/SQRT(12), SQRT(Table1[[#This Row],[Duty Cycle BOOST Leg]]/(1-Table1[[#This Row],[Duty Cycle BOOST Leg]]))*SQRT(Table1[[#This Row],[Iout]]^2+(Table1[[#This Row],[Ripple Current pk-pk]]^2)/12))</f>
        <v>1.4231652434728768</v>
      </c>
      <c r="AB167" s="354">
        <f>RCoutEsr*Table1[[#This Row],[Irms Cout]]^2</f>
        <v>1.0126996551146064E-2</v>
      </c>
      <c r="AC167" s="354">
        <f>Table1[[#This Row],[Cout ESR Loss]]</f>
        <v>1.0126996551146064E-2</v>
      </c>
      <c r="AD167" s="354">
        <f>IF(Table1[[#This Row],[Vin]]&gt;Vout, SQRT(Table1[[#This Row],[Duty Cycle BUCK Leg]]*(1-Table1[[#This Row],[Duty Cycle BUCK Leg]]))*SQRT(Table1[[#This Row],[Iout]]^2+(Table1[[#This Row],[Ripple Current pk-pk]]^2)/12), Table1[[#This Row],[Ripple Current pk-pk]]/SQRT(12))</f>
        <v>6.0341418521331089</v>
      </c>
      <c r="AE167" s="354">
        <f>RCinEsr*Table1[[#This Row],[Irms Cin]]^2</f>
        <v>7.2821735783328775E-2</v>
      </c>
      <c r="AF167" s="549">
        <f>Table1[[#This Row],[Cin ESR Loss]]</f>
        <v>7.2821735783328775E-2</v>
      </c>
      <c r="AG16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8.3233824491518948</v>
      </c>
      <c r="AH167" s="354">
        <f>Rdson1*Table1[[#This Row],[Irms BuCtrl]]^2</f>
        <v>0.29097052065836915</v>
      </c>
      <c r="AI167" s="354">
        <f>CHOOSE(Table1[[#This Row],[Mode Digit]], (Table1[[#This Row],[Vin]]*Table1[[#This Row],[Iout]]/2)*(Fsw)*(Tr_buck+Tf_buck), 0, (Table1[[#This Row],[Vin]]*Table1[[#This Row],[Avg IL]]/2)*(Fsw/1)*(Tr_buck+Tf_buck))</f>
        <v>3.6960282869266532</v>
      </c>
      <c r="AJ167">
        <f>IF(Table1[[#This Row],[Vin]]&gt;Vout, IF(Table1[[#This Row],[Iout]]&gt;Table1[[#This Row],[Ripple Current pk-pk]]/2,0,ABS(Table1[[#This Row],[Iout]]-Table1[[#This Row],[Ripple Current pk-pk]]/2)*Vsd_Q1*Deadtime*Fsw),0)</f>
        <v>0</v>
      </c>
      <c r="AK167" s="354">
        <f>(Table1[[#This Row],[Dead Time Loss BuCtrl]]+Table1[[#This Row],[Transition Loss BuCtrl]]+Table1[[#This Row],[RDS(on) Loss BuCtrl]]*(1+RdsonTopTc*Ta-RdsonTopTc*25))/(1-Table1[[#This Row],[RDS(on) Loss BuCtrl]]*RdsonTopTc*ThetaJA_Q1)</f>
        <v>4.2863254511615922</v>
      </c>
      <c r="AL167" s="354">
        <f>CHOOSE(Table1[[#This Row],[Mode Digit]],SQRT((Fsw*(Table1[[#This Row],[t2_Ph_I]]+0))*((Table1[[#This Row],[I_0]]*Table1[[#This Row],[I_1]]+((Table1[[#This Row],[I_0]]-Table1[[#This Row],[I_1]])^2)/3))),0,SQRT((Fsw*(Table1[[#This Row],[t3_Ph_III]]+0))*((Table1[[#This Row],[I_0]]*Table1[[#This Row],[I_2]]+((Table1[[#This Row],[I_0]]-Table1[[#This Row],[I_2]])^2)/3))))</f>
        <v>8.7605196144623392</v>
      </c>
      <c r="AM167" s="354">
        <f>Rdson2*Table1[[#This Row],[Irms BuSync]]^2</f>
        <v>0.3223361564445934</v>
      </c>
      <c r="AN16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7" s="354">
        <f>(Table1[[#This Row],[Deadtime Loss BuSync]]+Table1[[#This Row],[RDS(on) Loss BuSync]]*(1+RdsonBotTc*Ta-RdsonBotTc*25))/(1-Table1[[#This Row],[RDS(on) Loss BuSync]]*RdsonBotTc*ThetaJA_Q2)</f>
        <v>0.97514550173701653</v>
      </c>
      <c r="AP167" s="354">
        <f>CHOOSE(Table1[[#This Row],[Mode Digit]],0,SQRT((Fsw*(Table1[[#This Row],[t1_Ph_II]]+0))*((Table1[[#This Row],[I_0]]*Table1[[#This Row],[I_1]]+((Table1[[#This Row],[I_0]]-Table1[[#This Row],[I_1]])^2)/3))),SQRT((Fsw*(Table1[[#This Row],[t2_Ph_I]]+0))*((Table1[[#This Row],[I_1]]*Table1[[#This Row],[I_2]]+((Table1[[#This Row],[I_1]]-Table1[[#This Row],[I_2]])^2)/3))))</f>
        <v>0</v>
      </c>
      <c r="AQ167" s="354">
        <f>Rdson4*Table1[[#This Row],[Irms BoCtlr]]^2</f>
        <v>0</v>
      </c>
      <c r="AR167" s="354">
        <f>CHOOSE(Table1[[#This Row],[Mode Digit]], 0, (Vout*Table1[[#This Row],[Iin]]/2)*(Fsw)*(Tr_boost+Tf_boost), (Vout*Iout/2)*(Fsw/1)*(Tr_boost+Tf_boost))</f>
        <v>0</v>
      </c>
      <c r="AS167">
        <f>IF(Table1[[#This Row],[Vin]]&gt;Vout, 0, IF(Table1[[#This Row],[Iin]]&gt;Table1[[#This Row],[Ripple Current pk-pk]]/2,0,ABS(Table1[[#This Row],[Iin]]-Table1[[#This Row],[Ripple Current pk-pk]]/2)*Vsd_Q4*Deadtime*Fsw))</f>
        <v>0</v>
      </c>
      <c r="AT167" s="354">
        <f>(Table1[[#This Row],[Dead Time Loss BoCtlr]]+Table1[[#This Row],[Transition Loss BoCtlr]]+Table1[[#This Row],[RDS(on) Loss BoCtlr]]*(1+RdsonTopTc*Ta-RdsonTopTc*25))/(1-Table1[[#This Row],[RDS(on) Loss BoCtlr]]*RdsonTopTc*ThetaJA_Q4)</f>
        <v>0</v>
      </c>
      <c r="AU16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12.084096958822748</v>
      </c>
      <c r="AV167" s="354">
        <f>Rdson3*Table1[[#This Row],[Irms BoSync]]^2</f>
        <v>0.61330667710296261</v>
      </c>
      <c r="AW16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7" s="354">
        <f>(Table1[[#This Row],[Deadtime Loss BoSync]]+Table1[[#This Row],[RDS(on) Loss BoSync]]*(1+RdsonBotTc*Ta-RdsonBotTc*25))/(1-Table1[[#This Row],[RDS(on) Loss BoSync]]*RdsonBotTc*ThetaJA_Q3)</f>
        <v>0.719162847399196</v>
      </c>
      <c r="AY167" s="354">
        <f>CHOOSE(Table1[[#This Row],[Mode Digit]], Rdson3*Table1[[#This Row],[Irms Lf]]^2, Rdson1*Table1[[#This Row],[Irms Lf]]^2, 0)</f>
        <v>0.61330667710296261</v>
      </c>
      <c r="AZ167" s="354">
        <f>CHOOSE(Table1[[#This Row],[Mode Digit]], 2*Deadtime*Fsw*IF(VfdSky_Q2&gt;0,VfdSky_Q2,0)*Table1[[#This Row],[Iout]], 2*Deadtime*Fsw*IF(VfdSky_Q3&gt;0,VfdSky_Q3,0)*Table1[[#This Row],[Iin]], 2*Deadtime*Fsw*IF(VfdSky_Q2&gt;0,VfdSky_Q2,0)*Table1[[#This Row],[Iout]]+2*Deadtime*Fsw*IF(VfdSky_Q3&gt;0,VfdSky_Q3,0)*Table1[[#This Row],[Iin]])</f>
        <v>0</v>
      </c>
      <c r="BA167" s="354">
        <f>CHOOSE(Table1[[#This Row],[Mode Digit]], IF(QrrSky_Q2&gt;0,QrrSky_Q2,Qrr_Q2)*Fsw*(Table1[[#This Row],[Vin]]-Table1[[#This Row],[Iout]]*Rdson1),0,  IF(QrrSky_Q2&gt;0,QrrSky_Q2,Qrr_Q2)*Fsw*(Table1[[#This Row],[Vin]]-Table1[[#This Row],[Iout]]*Rdson1)+IF(QrrSky_Q3&gt;0,QrrSky_Q3,Qrr_Q3)*Fsw*Vout)</f>
        <v>0.37211520000000003</v>
      </c>
      <c r="BB167" s="354">
        <f>CHOOSE(Table1[[#This Row],[Mode Digit]],0, IF(QrrSky_Q3&gt;0,QrrSky_Q3,Qrr_Q3)*Fsw*Vout,  IF(QrrSky_Q2&gt;0,QrrSky_Q2,Qrr_Q2)*Fsw*(Table1[[#This Row],[Vin]]-Table1[[#This Row],[Iout]]*Rdson1)+IF(QrrSky_Q3&gt;0,QrrSky_Q3,Qrr_Q3)*Fsw*Vout)</f>
        <v>0</v>
      </c>
      <c r="BC167" s="354">
        <f>CHOOSE(Table1[[#This Row],[Mode Digit]], Rs*Table1[[#This Row],[Irms BuSync]]^2, Rs*Table1[[#This Row],[Irms BoCtlr]]^2, Rs*(Table1[[#This Row],[Irms BuSync]]^2+Table1[[#This Row],[Irms BoCtlr]]^2))</f>
        <v>0.19186675978844844</v>
      </c>
      <c r="BD167" s="354">
        <f t="shared" si="8"/>
        <v>1.44</v>
      </c>
      <c r="BE167" s="354">
        <f>IF(Vout&gt;8, Iq*Vout, Iq*Table1[[#This Row],[Vin]])</f>
        <v>4.3799999999999999E-2</v>
      </c>
      <c r="BF167" s="354">
        <f>CHOOSE(Table1[[#This Row],[Mode Digit]], (Qg_Q1+Qg_Q2)*Fsw, (Qg_Q3+Qg_Q4)*Fsw, (Qg_Q1+Qg_Q2+Qg_Q3+Qg_Q4)*Fsw)*IF(Vout&gt;8, Vout, Table1[[#This Row],[Vin]])</f>
        <v>0.47303999999999996</v>
      </c>
      <c r="BG167" s="354">
        <f t="shared" si="9"/>
        <v>0.57269042016806726</v>
      </c>
      <c r="BH167" s="354">
        <f>Table1[[#This Row],[IQ Loss]]+Table1[[#This Row],[Switching Current Loss]]</f>
        <v>0.51683999999999997</v>
      </c>
      <c r="BI16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10.76179844182926</v>
      </c>
      <c r="BJ167">
        <f>Vout*Table1[[#This Row],[Iout]]</f>
        <v>175.2</v>
      </c>
      <c r="BK167" s="550">
        <f>Table1[[#This Row],[Pout]]/(Table1[[#This Row],[Pout]]+Table1[[#This Row],[Total Loss]])</f>
        <v>0.9421289827695678</v>
      </c>
      <c r="BL16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257.17952706969555</v>
      </c>
      <c r="BM167" s="559">
        <f>IF(Table1[[#This Row],[Vin]]&gt;Vout, Table1[[#This Row],[Total Sync Bu MOSFET Loss]]*ThetaJA_Q2, ThetaJA_Q3*Table1[[#This Row],[Total Sync Bo MOSFET Loss]])</f>
        <v>58.508730104220994</v>
      </c>
      <c r="BN167" s="9"/>
      <c r="BO167" s="4">
        <f>Table1[[#This Row],[EFF, h]]*100</f>
        <v>94.212898276956778</v>
      </c>
      <c r="BP167" s="354">
        <f>Table1[[#This Row],[Total Inductor Loss]]</f>
        <v>2.1773939494085326</v>
      </c>
      <c r="BQ167" s="354">
        <f>Table1[[#This Row],[Total Control Bu MOSFET Loss]]+Table1[[#This Row],[Total Sync Bu MOSFET Loss]]+Table1[[#This Row],[Total Control Bo MOSFET Loss]]+Table1[[#This Row],[Total Sync Bo MOSFET Loss]]+Table1[[#This Row],[Reverse Recovery Loss MOSFET D BUCK]]+Table1[[#This Row],[Reverse Recovery Loss MOSFET D BOOST]]</f>
        <v>6.3527490002978046</v>
      </c>
      <c r="BR167" s="354">
        <f>Table1[[#This Row],[Total Control Bu MOSFET Loss]]+Table1[[#This Row],[Reverse Recovery Loss MOSFET D BUCK]]*0.66</f>
        <v>4.5319214831615922</v>
      </c>
      <c r="BS167" s="354">
        <f>Table1[[#This Row],[Total Sync Bu MOSFET Loss]]+Table1[[#This Row],[Reverse Recovery Loss MOSFET D BUCK]]*0.33</f>
        <v>1.0979435177370165</v>
      </c>
      <c r="BT167" s="354">
        <f xml:space="preserve"> Table1[[#This Row],[Total Control Bo MOSFET Loss]]+Table1[[#This Row],[Reverse Recovery Loss MOSFET D BOOST]]*0.66</f>
        <v>0</v>
      </c>
      <c r="BU167" s="354">
        <f xml:space="preserve"> Table1[[#This Row],[Total Sync Bo MOSFET Loss]]+Table1[[#This Row],[Reverse Recovery Loss MOSFET D BOOST]]*0.33</f>
        <v>0.719162847399196</v>
      </c>
      <c r="BV167" s="354">
        <f>Table1[[#This Row],[Isense Shunt Loss]]</f>
        <v>0.19186675978844844</v>
      </c>
    </row>
    <row r="168" spans="7:74" x14ac:dyDescent="0.2">
      <c r="G168">
        <v>159</v>
      </c>
      <c r="H168" s="555">
        <f>VIN_min+(VIN_max-VIN_min)*(Table1[[#This Row],[Step]]/200)</f>
        <v>31.130000000000003</v>
      </c>
      <c r="I168" s="4" t="str">
        <f>IF(Mode = 2,IF(Table1[[#This Row],[Vin]]&gt;Vout, "BUCK","BOOST"),IF(Table1[[#This Row],[Vin]]&gt;VIN_BB_to_buck, "BUCK", IF(Table1[[#This Row],[Vin]]&lt;=VIN_boost_to_BB,"BOOST","BUCK-BST")))</f>
        <v>BUCK</v>
      </c>
      <c r="J168">
        <f>IF(Table1[[#This Row],[Mode]]="BOOST",2, IF(Table1[[#This Row],[Mode]]="BUCK", 1,3))</f>
        <v>1</v>
      </c>
      <c r="K168">
        <f t="shared" si="7"/>
        <v>12</v>
      </c>
      <c r="L168" s="4">
        <f>Vout*Table1[[#This Row],[Iout]]/(Table1[[#This Row],[Vin]]*Efficiency)</f>
        <v>5.9242226993761298</v>
      </c>
      <c r="M168" s="711">
        <f>MIN(1/Fsw,CHOOSE(Table1[[#This Row],[Mode Digit]],(Vout+(Rdson2+Rs+Rdcr)*Table1[[#This Row],[Iout]])/(Table1[[#This Row],[Vin]]+(Rs+Rdson2-Rdson1)*Table1[[#This Row],[Iout]])/Fsw,(Vout+(Rdson3+Rdcr)*Table1[[#This Row],[Iin]]-Table1[[#This Row],[Vin]])/(Vout+(Rdson3-Rdson4-Rs)*Table1[[#This Row],[Iin]])/Fsw,t1_Ph_II))</f>
        <v>7.8893881044073585E-7</v>
      </c>
      <c r="N168" s="602">
        <f>CHOOSE(Table1[[#This Row],[Mode Digit]],1/Fsw-Table1[[#This Row],[t1_Ph_II]],1/Fsw-Table1[[#This Row],[t1_Ph_II]],(Vout/Fsw-Table1[[#This Row],[Vin]]*t1_Ph_II)/(Table1[[#This Row],[Vin]]+Vout))</f>
        <v>8.7772785622593081E-7</v>
      </c>
      <c r="O168" s="602">
        <f>1/Fsw-(Table1[[#This Row],[t1_Ph_II]]+Table1[[#This Row],[t2_Ph_I]])</f>
        <v>0</v>
      </c>
      <c r="P16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9.5300836104951969</v>
      </c>
      <c r="Q168" s="4">
        <f>CHOOSE(Table1[[#This Row],[Mode Digit]],Table1[[#This Row],[I_0]]+1/Lf*(Table1[[#This Row],[Vin]]-Vout)*Table1[[#This Row],[t1_Ph_II]],Table1[[#This Row],[I_0]]+1/Lf*Table1[[#This Row],[Vin]]*Table1[[#This Row],[t1_Ph_II]],Table1[[#This Row],[I_0]]+(Table1[[#This Row],[Vin]]-Vout)/L*Table1[[#This Row],[t1_Ph_II]])</f>
        <v>14.469916389504805</v>
      </c>
      <c r="R168" s="4">
        <f>CHOOSE(Table1[[#This Row],[Mode Digit]],0,0,Table1[[#This Row],[I_1]]+Table1[[#This Row],[Vin]]/L*Table1[[#This Row],[t2_Ph_I]])</f>
        <v>0</v>
      </c>
      <c r="S168" s="4">
        <f>Fsw*(Table1[[#This Row],[I_0]]*Table1[[#This Row],[t1_Ph_II]]+Table1[[#This Row],[I_1]]*Table1[[#This Row],[t2_Ph_I]]+Table1[[#This Row],[I_2]]*Table1[[#This Row],[t3_Ph_III]])</f>
        <v>12.131580911636007</v>
      </c>
      <c r="T168" s="354">
        <f>MIN(1,CHOOSE(Table1[[#This Row],[Mode Digit]],(Vout+(Rdson2+Rs+Rdcr)*Table1[[#This Row],[Iout]])/(Table1[[#This Row],[Vin]]+(Rs+Rdson2-Rdson1)*Table1[[#This Row],[Iout]]),1,Fsw*Table1[[#This Row],[t2_Ph_I]]+Table1[[#This Row],[t1_Ph_II]]))</f>
        <v>0.47336328626444152</v>
      </c>
      <c r="U168" s="354">
        <f>MIN(1,CHOOSE(Table1[[#This Row],[Mode Digit]],0,(Vout+(Rdson3+Rdcr)*Table1[[#This Row],[Iin]]-Table1[[#This Row],[Vin]])/(Vout+(Rdson3-Rdson4-Rs)*Table1[[#This Row],[Iin]]),Fsw*Table1[[#This Row],[t1_Ph_II]]+Table1[[#This Row],[t3_Ph_III]]))</f>
        <v>0</v>
      </c>
      <c r="V168" s="4">
        <f>MAX(Table1[[#This Row],[I_0]:[I_2]])-MIN(Table1[[#This Row],[I_0]:[I_1]])</f>
        <v>4.9398327790096079</v>
      </c>
      <c r="W16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12.084431954256194</v>
      </c>
      <c r="X168" s="354">
        <f>(Table1[[#This Row],[Irms Lf]]^2*Rdcr*(1+Ltc*Ta-Ltc*25))/(1-Table1[[#This Row],[Irms Lf]]^2*Rdcr*Ltc*ThetaCa)</f>
        <v>0.908557730496109</v>
      </c>
      <c r="Y168" s="354">
        <f>ABS(7.759*10^-3*Fsw^0.9458*(0.00787*Table1[[#This Row],[Ripple Current pk-pk]])^2.304)</f>
        <v>1.2747352821269258</v>
      </c>
      <c r="Z168" s="354">
        <f>Table1[[#This Row],[DCR    Loss]]+Table1[[#This Row],[Core Loss]]</f>
        <v>2.183293012623035</v>
      </c>
      <c r="AA168" s="4">
        <f>IF(Table1[[#This Row],[Vin]]&gt;Vout, Table1[[#This Row],[Ripple Current pk-pk]]/SQRT(12), SQRT(Table1[[#This Row],[Duty Cycle BOOST Leg]]/(1-Table1[[#This Row],[Duty Cycle BOOST Leg]]))*SQRT(Table1[[#This Row],[Iout]]^2+(Table1[[#This Row],[Ripple Current pk-pk]]^2)/12))</f>
        <v>1.4260068923564673</v>
      </c>
      <c r="AB168" s="354">
        <f>RCoutEsr*Table1[[#This Row],[Irms Cout]]^2</f>
        <v>1.0167478285240745E-2</v>
      </c>
      <c r="AC168" s="354">
        <f>Table1[[#This Row],[Cout ESR Loss]]</f>
        <v>1.0167478285240745E-2</v>
      </c>
      <c r="AD168" s="354">
        <f>IF(Table1[[#This Row],[Vin]]&gt;Vout, SQRT(Table1[[#This Row],[Duty Cycle BUCK Leg]]*(1-Table1[[#This Row],[Duty Cycle BUCK Leg]]))*SQRT(Table1[[#This Row],[Iout]]^2+(Table1[[#This Row],[Ripple Current pk-pk]]^2)/12), Table1[[#This Row],[Ripple Current pk-pk]]/SQRT(12))</f>
        <v>6.033635805125054</v>
      </c>
      <c r="AE168" s="354">
        <f>RCinEsr*Table1[[#This Row],[Irms Cin]]^2</f>
        <v>7.280952205777412E-2</v>
      </c>
      <c r="AF168" s="549">
        <f>Table1[[#This Row],[Cin ESR Loss]]</f>
        <v>7.280952205777412E-2</v>
      </c>
      <c r="AG16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8.3142585603831431</v>
      </c>
      <c r="AH168" s="354">
        <f>Rdson1*Table1[[#This Row],[Irms BuCtrl]]^2</f>
        <v>0.29033296071739839</v>
      </c>
      <c r="AI168" s="354">
        <f>CHOOSE(Table1[[#This Row],[Mode Digit]], (Table1[[#This Row],[Vin]]*Table1[[#This Row],[Iout]]/2)*(Fsw)*(Tr_buck+Tf_buck), 0, (Table1[[#This Row],[Vin]]*Table1[[#This Row],[Avg IL]]/2)*(Fsw/1)*(Tr_buck+Tf_buck))</f>
        <v>3.7043580351586192</v>
      </c>
      <c r="AJ168">
        <f>IF(Table1[[#This Row],[Vin]]&gt;Vout, IF(Table1[[#This Row],[Iout]]&gt;Table1[[#This Row],[Ripple Current pk-pk]]/2,0,ABS(Table1[[#This Row],[Iout]]-Table1[[#This Row],[Ripple Current pk-pk]]/2)*Vsd_Q1*Deadtime*Fsw),0)</f>
        <v>0</v>
      </c>
      <c r="AK168" s="354">
        <f>(Table1[[#This Row],[Dead Time Loss BuCtrl]]+Table1[[#This Row],[Transition Loss BuCtrl]]+Table1[[#This Row],[RDS(on) Loss BuCtrl]]*(1+RdsonTopTc*Ta-RdsonTopTc*25))/(1-Table1[[#This Row],[RDS(on) Loss BuCtrl]]*RdsonTopTc*ThetaJA_Q1)</f>
        <v>4.2938887822285725</v>
      </c>
      <c r="AL168" s="354">
        <f>CHOOSE(Table1[[#This Row],[Mode Digit]],SQRT((Fsw*(Table1[[#This Row],[t2_Ph_I]]+0))*((Table1[[#This Row],[I_0]]*Table1[[#This Row],[I_1]]+((Table1[[#This Row],[I_0]]-Table1[[#This Row],[I_1]])^2)/3))),0,SQRT((Fsw*(Table1[[#This Row],[t3_Ph_III]]+0))*((Table1[[#This Row],[I_0]]*Table1[[#This Row],[I_2]]+((Table1[[#This Row],[I_0]]-Table1[[#This Row],[I_2]])^2)/3))))</f>
        <v>8.7696408277730402</v>
      </c>
      <c r="AM168" s="354">
        <f>Rdson2*Table1[[#This Row],[Irms BuSync]]^2</f>
        <v>0.3230077210422041</v>
      </c>
      <c r="AN16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8" s="354">
        <f>(Table1[[#This Row],[Deadtime Loss BuSync]]+Table1[[#This Row],[RDS(on) Loss BuSync]]*(1+RdsonBotTc*Ta-RdsonBotTc*25))/(1-Table1[[#This Row],[RDS(on) Loss BuSync]]*RdsonBotTc*ThetaJA_Q2)</f>
        <v>0.97604387983682028</v>
      </c>
      <c r="AP168" s="354">
        <f>CHOOSE(Table1[[#This Row],[Mode Digit]],0,SQRT((Fsw*(Table1[[#This Row],[t1_Ph_II]]+0))*((Table1[[#This Row],[I_0]]*Table1[[#This Row],[I_1]]+((Table1[[#This Row],[I_0]]-Table1[[#This Row],[I_1]])^2)/3))),SQRT((Fsw*(Table1[[#This Row],[t2_Ph_I]]+0))*((Table1[[#This Row],[I_1]]*Table1[[#This Row],[I_2]]+((Table1[[#This Row],[I_1]]-Table1[[#This Row],[I_2]])^2)/3))))</f>
        <v>0</v>
      </c>
      <c r="AQ168" s="354">
        <f>Rdson4*Table1[[#This Row],[Irms BoCtlr]]^2</f>
        <v>0</v>
      </c>
      <c r="AR168" s="354">
        <f>CHOOSE(Table1[[#This Row],[Mode Digit]], 0, (Vout*Table1[[#This Row],[Iin]]/2)*(Fsw)*(Tr_boost+Tf_boost), (Vout*Iout/2)*(Fsw/1)*(Tr_boost+Tf_boost))</f>
        <v>0</v>
      </c>
      <c r="AS168">
        <f>IF(Table1[[#This Row],[Vin]]&gt;Vout, 0, IF(Table1[[#This Row],[Iin]]&gt;Table1[[#This Row],[Ripple Current pk-pk]]/2,0,ABS(Table1[[#This Row],[Iin]]-Table1[[#This Row],[Ripple Current pk-pk]]/2)*Vsd_Q4*Deadtime*Fsw))</f>
        <v>0</v>
      </c>
      <c r="AT168" s="354">
        <f>(Table1[[#This Row],[Dead Time Loss BoCtlr]]+Table1[[#This Row],[Transition Loss BoCtlr]]+Table1[[#This Row],[RDS(on) Loss BoCtlr]]*(1+RdsonTopTc*Ta-RdsonTopTc*25))/(1-Table1[[#This Row],[RDS(on) Loss BoCtlr]]*RdsonTopTc*ThetaJA_Q4)</f>
        <v>0</v>
      </c>
      <c r="AU16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12.084431954256194</v>
      </c>
      <c r="AV168" s="354">
        <f>Rdson3*Table1[[#This Row],[Irms BoSync]]^2</f>
        <v>0.61334068175960244</v>
      </c>
      <c r="AW16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8" s="354">
        <f>(Table1[[#This Row],[Deadtime Loss BoSync]]+Table1[[#This Row],[RDS(on) Loss BoSync]]*(1+RdsonBotTc*Ta-RdsonBotTc*25))/(1-Table1[[#This Row],[RDS(on) Loss BoSync]]*RdsonBotTc*ThetaJA_Q3)</f>
        <v>0.71920960386222033</v>
      </c>
      <c r="AY168" s="354">
        <f>CHOOSE(Table1[[#This Row],[Mode Digit]], Rdson3*Table1[[#This Row],[Irms Lf]]^2, Rdson1*Table1[[#This Row],[Irms Lf]]^2, 0)</f>
        <v>0.61334068175960244</v>
      </c>
      <c r="AZ168" s="354">
        <f>CHOOSE(Table1[[#This Row],[Mode Digit]], 2*Deadtime*Fsw*IF(VfdSky_Q2&gt;0,VfdSky_Q2,0)*Table1[[#This Row],[Iout]], 2*Deadtime*Fsw*IF(VfdSky_Q3&gt;0,VfdSky_Q3,0)*Table1[[#This Row],[Iin]], 2*Deadtime*Fsw*IF(VfdSky_Q2&gt;0,VfdSky_Q2,0)*Table1[[#This Row],[Iout]]+2*Deadtime*Fsw*IF(VfdSky_Q3&gt;0,VfdSky_Q3,0)*Table1[[#This Row],[Iin]])</f>
        <v>0</v>
      </c>
      <c r="BA168" s="354">
        <f>CHOOSE(Table1[[#This Row],[Mode Digit]], IF(QrrSky_Q2&gt;0,QrrSky_Q2,Qrr_Q2)*Fsw*(Table1[[#This Row],[Vin]]-Table1[[#This Row],[Iout]]*Rdson1),0,  IF(QrrSky_Q2&gt;0,QrrSky_Q2,Qrr_Q2)*Fsw*(Table1[[#This Row],[Vin]]-Table1[[#This Row],[Iout]]*Rdson1)+IF(QrrSky_Q3&gt;0,QrrSky_Q3,Qrr_Q3)*Fsw*Vout)</f>
        <v>0.37295520000000004</v>
      </c>
      <c r="BB168" s="354">
        <f>CHOOSE(Table1[[#This Row],[Mode Digit]],0, IF(QrrSky_Q3&gt;0,QrrSky_Q3,Qrr_Q3)*Fsw*Vout,  IF(QrrSky_Q2&gt;0,QrrSky_Q2,Qrr_Q2)*Fsw*(Table1[[#This Row],[Vin]]-Table1[[#This Row],[Iout]]*Rdson1)+IF(QrrSky_Q3&gt;0,QrrSky_Q3,Qrr_Q3)*Fsw*Vout)</f>
        <v>0</v>
      </c>
      <c r="BC168" s="354">
        <f>CHOOSE(Table1[[#This Row],[Mode Digit]], Rs*Table1[[#This Row],[Irms BuSync]]^2, Rs*Table1[[#This Row],[Irms BoCtlr]]^2, Rs*(Table1[[#This Row],[Irms BuSync]]^2+Table1[[#This Row],[Irms BoCtlr]]^2))</f>
        <v>0.19226650062035955</v>
      </c>
      <c r="BD168" s="354">
        <f t="shared" si="8"/>
        <v>1.44</v>
      </c>
      <c r="BE168" s="354">
        <f>IF(Vout&gt;8, Iq*Vout, Iq*Table1[[#This Row],[Vin]])</f>
        <v>4.3799999999999999E-2</v>
      </c>
      <c r="BF168" s="354">
        <f>CHOOSE(Table1[[#This Row],[Mode Digit]], (Qg_Q1+Qg_Q2)*Fsw, (Qg_Q3+Qg_Q4)*Fsw, (Qg_Q1+Qg_Q2+Qg_Q3+Qg_Q4)*Fsw)*IF(Vout&gt;8, Vout, Table1[[#This Row],[Vin]])</f>
        <v>0.47303999999999996</v>
      </c>
      <c r="BG168" s="354">
        <f t="shared" si="9"/>
        <v>0.57269042016806726</v>
      </c>
      <c r="BH168" s="354">
        <f>Table1[[#This Row],[IQ Loss]]+Table1[[#This Row],[Switching Current Loss]]</f>
        <v>0.51683999999999997</v>
      </c>
      <c r="BI16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10.777473979514022</v>
      </c>
      <c r="BJ168">
        <f>Vout*Table1[[#This Row],[Iout]]</f>
        <v>175.2</v>
      </c>
      <c r="BK168" s="550">
        <f>Table1[[#This Row],[Pout]]/(Table1[[#This Row],[Pout]]+Table1[[#This Row],[Total Loss]])</f>
        <v>0.94204957326874339</v>
      </c>
      <c r="BL16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257.63332693371433</v>
      </c>
      <c r="BM168" s="559">
        <f>IF(Table1[[#This Row],[Vin]]&gt;Vout, Table1[[#This Row],[Total Sync Bu MOSFET Loss]]*ThetaJA_Q2, ThetaJA_Q3*Table1[[#This Row],[Total Sync Bo MOSFET Loss]])</f>
        <v>58.562632790209214</v>
      </c>
      <c r="BN168" s="9"/>
      <c r="BO168" s="4">
        <f>Table1[[#This Row],[EFF, h]]*100</f>
        <v>94.204957326874336</v>
      </c>
      <c r="BP168" s="354">
        <f>Table1[[#This Row],[Total Inductor Loss]]</f>
        <v>2.183293012623035</v>
      </c>
      <c r="BQ168" s="354">
        <f>Table1[[#This Row],[Total Control Bu MOSFET Loss]]+Table1[[#This Row],[Total Sync Bu MOSFET Loss]]+Table1[[#This Row],[Total Control Bo MOSFET Loss]]+Table1[[#This Row],[Total Sync Bo MOSFET Loss]]+Table1[[#This Row],[Reverse Recovery Loss MOSFET D BUCK]]+Table1[[#This Row],[Reverse Recovery Loss MOSFET D BOOST]]</f>
        <v>6.3620974659276124</v>
      </c>
      <c r="BR168" s="354">
        <f>Table1[[#This Row],[Total Control Bu MOSFET Loss]]+Table1[[#This Row],[Reverse Recovery Loss MOSFET D BUCK]]*0.66</f>
        <v>4.5400392142285728</v>
      </c>
      <c r="BS168" s="354">
        <f>Table1[[#This Row],[Total Sync Bu MOSFET Loss]]+Table1[[#This Row],[Reverse Recovery Loss MOSFET D BUCK]]*0.33</f>
        <v>1.0991190958368202</v>
      </c>
      <c r="BT168" s="354">
        <f xml:space="preserve"> Table1[[#This Row],[Total Control Bo MOSFET Loss]]+Table1[[#This Row],[Reverse Recovery Loss MOSFET D BOOST]]*0.66</f>
        <v>0</v>
      </c>
      <c r="BU168" s="354">
        <f xml:space="preserve"> Table1[[#This Row],[Total Sync Bo MOSFET Loss]]+Table1[[#This Row],[Reverse Recovery Loss MOSFET D BOOST]]*0.33</f>
        <v>0.71920960386222033</v>
      </c>
      <c r="BV168" s="354">
        <f>Table1[[#This Row],[Isense Shunt Loss]]</f>
        <v>0.19226650062035955</v>
      </c>
    </row>
    <row r="169" spans="7:74" x14ac:dyDescent="0.2">
      <c r="G169">
        <v>160</v>
      </c>
      <c r="H169" s="555">
        <f>VIN_min+(VIN_max-VIN_min)*(Table1[[#This Row],[Step]]/200)</f>
        <v>31.200000000000003</v>
      </c>
      <c r="I169" s="4" t="str">
        <f>IF(Mode = 2,IF(Table1[[#This Row],[Vin]]&gt;Vout, "BUCK","BOOST"),IF(Table1[[#This Row],[Vin]]&gt;VIN_BB_to_buck, "BUCK", IF(Table1[[#This Row],[Vin]]&lt;=VIN_boost_to_BB,"BOOST","BUCK-BST")))</f>
        <v>BUCK</v>
      </c>
      <c r="J169">
        <f>IF(Table1[[#This Row],[Mode]]="BOOST",2, IF(Table1[[#This Row],[Mode]]="BUCK", 1,3))</f>
        <v>1</v>
      </c>
      <c r="K169">
        <f t="shared" si="7"/>
        <v>12</v>
      </c>
      <c r="L169" s="4">
        <f>Vout*Table1[[#This Row],[Iout]]/(Table1[[#This Row],[Vin]]*Efficiency)</f>
        <v>5.9109311740890682</v>
      </c>
      <c r="M169" s="711">
        <f>MIN(1/Fsw,CHOOSE(Table1[[#This Row],[Mode Digit]],(Vout+(Rdson2+Rs+Rdcr)*Table1[[#This Row],[Iout]])/(Table1[[#This Row],[Vin]]+(Rs+Rdson2-Rdson1)*Table1[[#This Row],[Iout]])/Fsw,(Vout+(Rdson3+Rdcr)*Table1[[#This Row],[Iin]]-Table1[[#This Row],[Vin]])/(Vout+(Rdson3-Rdson4-Rs)*Table1[[#This Row],[Iin]])/Fsw,t1_Ph_II))</f>
        <v>7.8717045575835192E-7</v>
      </c>
      <c r="N169" s="602">
        <f>CHOOSE(Table1[[#This Row],[Mode Digit]],1/Fsw-Table1[[#This Row],[t1_Ph_II]],1/Fsw-Table1[[#This Row],[t1_Ph_II]],(Vout/Fsw-Table1[[#This Row],[Vin]]*t1_Ph_II)/(Table1[[#This Row],[Vin]]+Vout))</f>
        <v>8.7949621090831475E-7</v>
      </c>
      <c r="O169" s="602">
        <f>1/Fsw-(Table1[[#This Row],[t1_Ph_II]]+Table1[[#This Row],[t2_Ph_I]])</f>
        <v>0</v>
      </c>
      <c r="P16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9.5251837943960904</v>
      </c>
      <c r="Q169" s="4">
        <f>CHOOSE(Table1[[#This Row],[Mode Digit]],Table1[[#This Row],[I_0]]+1/Lf*(Table1[[#This Row],[Vin]]-Vout)*Table1[[#This Row],[t1_Ph_II]],Table1[[#This Row],[I_0]]+1/Lf*Table1[[#This Row],[Vin]]*Table1[[#This Row],[t1_Ph_II]],Table1[[#This Row],[I_0]]+(Table1[[#This Row],[Vin]]-Vout)/L*Table1[[#This Row],[t1_Ph_II]])</f>
        <v>14.47481620560391</v>
      </c>
      <c r="R169" s="4">
        <f>CHOOSE(Table1[[#This Row],[Mode Digit]],0,0,Table1[[#This Row],[I_1]]+Table1[[#This Row],[Vin]]/L*Table1[[#This Row],[t2_Ph_I]])</f>
        <v>0</v>
      </c>
      <c r="S169" s="4">
        <f>Fsw*(Table1[[#This Row],[I_0]]*Table1[[#This Row],[t1_Ph_II]]+Table1[[#This Row],[I_1]]*Table1[[#This Row],[t2_Ph_I]]+Table1[[#This Row],[I_2]]*Table1[[#This Row],[t3_Ph_III]])</f>
        <v>12.137093565023848</v>
      </c>
      <c r="T169" s="354">
        <f>MIN(1,CHOOSE(Table1[[#This Row],[Mode Digit]],(Vout+(Rdson2+Rs+Rdcr)*Table1[[#This Row],[Iout]])/(Table1[[#This Row],[Vin]]+(Rs+Rdson2-Rdson1)*Table1[[#This Row],[Iout]]),1,Fsw*Table1[[#This Row],[t2_Ph_I]]+Table1[[#This Row],[t1_Ph_II]]))</f>
        <v>0.47230227345501113</v>
      </c>
      <c r="U169" s="354">
        <f>MIN(1,CHOOSE(Table1[[#This Row],[Mode Digit]],0,(Vout+(Rdson3+Rdcr)*Table1[[#This Row],[Iin]]-Table1[[#This Row],[Vin]])/(Vout+(Rdson3-Rdson4-Rs)*Table1[[#This Row],[Iin]]),Fsw*Table1[[#This Row],[t1_Ph_II]]+Table1[[#This Row],[t3_Ph_III]]))</f>
        <v>0</v>
      </c>
      <c r="V169" s="4">
        <f>MAX(Table1[[#This Row],[I_0]:[I_2]])-MIN(Table1[[#This Row],[I_0]:[I_1]])</f>
        <v>4.9496324112078192</v>
      </c>
      <c r="W16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12.084766102432706</v>
      </c>
      <c r="X169" s="354">
        <f>(Table1[[#This Row],[Irms Lf]]^2*Rdcr*(1+Ltc*Ta-Ltc*25))/(1-Table1[[#This Row],[Irms Lf]]^2*Rdcr*Ltc*ThetaCa)</f>
        <v>0.90861162881029922</v>
      </c>
      <c r="Y169" s="354">
        <f>ABS(7.759*10^-3*Fsw^0.9458*(0.00787*Table1[[#This Row],[Ripple Current pk-pk]])^2.304)</f>
        <v>1.2805692158582445</v>
      </c>
      <c r="Z169" s="354">
        <f>Table1[[#This Row],[DCR    Loss]]+Table1[[#This Row],[Core Loss]]</f>
        <v>2.1891808446685435</v>
      </c>
      <c r="AA169" s="4">
        <f>IF(Table1[[#This Row],[Vin]]&gt;Vout, Table1[[#This Row],[Ripple Current pk-pk]]/SQRT(12), SQRT(Table1[[#This Row],[Duty Cycle BOOST Leg]]/(1-Table1[[#This Row],[Duty Cycle BOOST Leg]]))*SQRT(Table1[[#This Row],[Iout]]^2+(Table1[[#This Row],[Ripple Current pk-pk]]^2)/12))</f>
        <v>1.4288358025002654</v>
      </c>
      <c r="AB169" s="354">
        <f>RCoutEsr*Table1[[#This Row],[Irms Cout]]^2</f>
        <v>1.0207858752532889E-2</v>
      </c>
      <c r="AC169" s="354">
        <f>Table1[[#This Row],[Cout ESR Loss]]</f>
        <v>1.0207858752532889E-2</v>
      </c>
      <c r="AD169" s="354">
        <f>IF(Table1[[#This Row],[Vin]]&gt;Vout, SQRT(Table1[[#This Row],[Duty Cycle BUCK Leg]]*(1-Table1[[#This Row],[Duty Cycle BUCK Leg]]))*SQRT(Table1[[#This Row],[Iout]]^2+(Table1[[#This Row],[Ripple Current pk-pk]]^2)/12), Table1[[#This Row],[Ripple Current pk-pk]]/SQRT(12))</f>
        <v>6.0331049297300323</v>
      </c>
      <c r="AE169" s="354">
        <f>RCinEsr*Table1[[#This Row],[Irms Cin]]^2</f>
        <v>7.2796710186265642E-2</v>
      </c>
      <c r="AF169" s="549">
        <f>Table1[[#This Row],[Cin ESR Loss]]</f>
        <v>7.2796710186265642E-2</v>
      </c>
      <c r="AG16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8.3051650409072177</v>
      </c>
      <c r="AH169" s="354">
        <f>Rdson1*Table1[[#This Row],[Irms BuCtrl]]^2</f>
        <v>0.28969821869817103</v>
      </c>
      <c r="AI169" s="354">
        <f>CHOOSE(Table1[[#This Row],[Mode Digit]], (Table1[[#This Row],[Vin]]*Table1[[#This Row],[Iout]]/2)*(Fsw)*(Tr_buck+Tf_buck), 0, (Table1[[#This Row],[Vin]]*Table1[[#This Row],[Avg IL]]/2)*(Fsw/1)*(Tr_buck+Tf_buck))</f>
        <v>3.7126877833905851</v>
      </c>
      <c r="AJ169">
        <f>IF(Table1[[#This Row],[Vin]]&gt;Vout, IF(Table1[[#This Row],[Iout]]&gt;Table1[[#This Row],[Ripple Current pk-pk]]/2,0,ABS(Table1[[#This Row],[Iout]]-Table1[[#This Row],[Ripple Current pk-pk]]/2)*Vsd_Q1*Deadtime*Fsw),0)</f>
        <v>0</v>
      </c>
      <c r="AK169" s="354">
        <f>(Table1[[#This Row],[Dead Time Loss BuCtrl]]+Table1[[#This Row],[Transition Loss BuCtrl]]+Table1[[#This Row],[RDS(on) Loss BuCtrl]]*(1+RdsonTopTc*Ta-RdsonTopTc*25))/(1-Table1[[#This Row],[RDS(on) Loss BuCtrl]]*RdsonTopTc*ThetaJA_Q1)</f>
        <v>4.3014557806821747</v>
      </c>
      <c r="AL169" s="354">
        <f>CHOOSE(Table1[[#This Row],[Mode Digit]],SQRT((Fsw*(Table1[[#This Row],[t2_Ph_I]]+0))*((Table1[[#This Row],[I_0]]*Table1[[#This Row],[I_1]]+((Table1[[#This Row],[I_0]]-Table1[[#This Row],[I_1]])^2)/3))),0,SQRT((Fsw*(Table1[[#This Row],[t3_Ph_III]]+0))*((Table1[[#This Row],[I_0]]*Table1[[#This Row],[I_2]]+((Table1[[#This Row],[I_0]]-Table1[[#This Row],[I_2]])^2)/3))))</f>
        <v>8.7787131969212417</v>
      </c>
      <c r="AM169" s="354">
        <f>Rdson2*Table1[[#This Row],[Irms BuSync]]^2</f>
        <v>0.32367638265395654</v>
      </c>
      <c r="AN16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69" s="354">
        <f>(Table1[[#This Row],[Deadtime Loss BuSync]]+Table1[[#This Row],[RDS(on) Loss BuSync]]*(1+RdsonBotTc*Ta-RdsonBotTc*25))/(1-Table1[[#This Row],[RDS(on) Loss BuSync]]*RdsonBotTc*ThetaJA_Q2)</f>
        <v>0.97693868645059367</v>
      </c>
      <c r="AP169" s="354">
        <f>CHOOSE(Table1[[#This Row],[Mode Digit]],0,SQRT((Fsw*(Table1[[#This Row],[t1_Ph_II]]+0))*((Table1[[#This Row],[I_0]]*Table1[[#This Row],[I_1]]+((Table1[[#This Row],[I_0]]-Table1[[#This Row],[I_1]])^2)/3))),SQRT((Fsw*(Table1[[#This Row],[t2_Ph_I]]+0))*((Table1[[#This Row],[I_1]]*Table1[[#This Row],[I_2]]+((Table1[[#This Row],[I_1]]-Table1[[#This Row],[I_2]])^2)/3))))</f>
        <v>0</v>
      </c>
      <c r="AQ169" s="354">
        <f>Rdson4*Table1[[#This Row],[Irms BoCtlr]]^2</f>
        <v>0</v>
      </c>
      <c r="AR169" s="354">
        <f>CHOOSE(Table1[[#This Row],[Mode Digit]], 0, (Vout*Table1[[#This Row],[Iin]]/2)*(Fsw)*(Tr_boost+Tf_boost), (Vout*Iout/2)*(Fsw/1)*(Tr_boost+Tf_boost))</f>
        <v>0</v>
      </c>
      <c r="AS169">
        <f>IF(Table1[[#This Row],[Vin]]&gt;Vout, 0, IF(Table1[[#This Row],[Iin]]&gt;Table1[[#This Row],[Ripple Current pk-pk]]/2,0,ABS(Table1[[#This Row],[Iin]]-Table1[[#This Row],[Ripple Current pk-pk]]/2)*Vsd_Q4*Deadtime*Fsw))</f>
        <v>0</v>
      </c>
      <c r="AT169" s="354">
        <f>(Table1[[#This Row],[Dead Time Loss BoCtlr]]+Table1[[#This Row],[Transition Loss BoCtlr]]+Table1[[#This Row],[RDS(on) Loss BoCtlr]]*(1+RdsonTopTc*Ta-RdsonTopTc*25))/(1-Table1[[#This Row],[RDS(on) Loss BoCtlr]]*RdsonTopTc*ThetaJA_Q4)</f>
        <v>0</v>
      </c>
      <c r="AU16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12.084766102432706</v>
      </c>
      <c r="AV169" s="354">
        <f>Rdson3*Table1[[#This Row],[Irms BoSync]]^2</f>
        <v>0.61337460135212762</v>
      </c>
      <c r="AW16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69" s="354">
        <f>(Table1[[#This Row],[Deadtime Loss BoSync]]+Table1[[#This Row],[RDS(on) Loss BoSync]]*(1+RdsonBotTc*Ta-RdsonBotTc*25))/(1-Table1[[#This Row],[RDS(on) Loss BoSync]]*RdsonBotTc*ThetaJA_Q3)</f>
        <v>0.71925624425349088</v>
      </c>
      <c r="AY169" s="354">
        <f>CHOOSE(Table1[[#This Row],[Mode Digit]], Rdson3*Table1[[#This Row],[Irms Lf]]^2, Rdson1*Table1[[#This Row],[Irms Lf]]^2, 0)</f>
        <v>0.61337460135212762</v>
      </c>
      <c r="AZ169" s="354">
        <f>CHOOSE(Table1[[#This Row],[Mode Digit]], 2*Deadtime*Fsw*IF(VfdSky_Q2&gt;0,VfdSky_Q2,0)*Table1[[#This Row],[Iout]], 2*Deadtime*Fsw*IF(VfdSky_Q3&gt;0,VfdSky_Q3,0)*Table1[[#This Row],[Iin]], 2*Deadtime*Fsw*IF(VfdSky_Q2&gt;0,VfdSky_Q2,0)*Table1[[#This Row],[Iout]]+2*Deadtime*Fsw*IF(VfdSky_Q3&gt;0,VfdSky_Q3,0)*Table1[[#This Row],[Iin]])</f>
        <v>0</v>
      </c>
      <c r="BA169" s="354">
        <f>CHOOSE(Table1[[#This Row],[Mode Digit]], IF(QrrSky_Q2&gt;0,QrrSky_Q2,Qrr_Q2)*Fsw*(Table1[[#This Row],[Vin]]-Table1[[#This Row],[Iout]]*Rdson1),0,  IF(QrrSky_Q2&gt;0,QrrSky_Q2,Qrr_Q2)*Fsw*(Table1[[#This Row],[Vin]]-Table1[[#This Row],[Iout]]*Rdson1)+IF(QrrSky_Q3&gt;0,QrrSky_Q3,Qrr_Q3)*Fsw*Vout)</f>
        <v>0.37379520000000005</v>
      </c>
      <c r="BB169" s="354">
        <f>CHOOSE(Table1[[#This Row],[Mode Digit]],0, IF(QrrSky_Q3&gt;0,QrrSky_Q3,Qrr_Q3)*Fsw*Vout,  IF(QrrSky_Q2&gt;0,QrrSky_Q2,Qrr_Q2)*Fsw*(Table1[[#This Row],[Vin]]-Table1[[#This Row],[Iout]]*Rdson1)+IF(QrrSky_Q3&gt;0,QrrSky_Q3,Qrr_Q3)*Fsw*Vout)</f>
        <v>0</v>
      </c>
      <c r="BC169" s="354">
        <f>CHOOSE(Table1[[#This Row],[Mode Digit]], Rs*Table1[[#This Row],[Irms BuSync]]^2, Rs*Table1[[#This Row],[Irms BoCtlr]]^2, Rs*(Table1[[#This Row],[Irms BuSync]]^2+Table1[[#This Row],[Irms BoCtlr]]^2))</f>
        <v>0.19266451348449792</v>
      </c>
      <c r="BD169" s="354">
        <f t="shared" si="8"/>
        <v>1.44</v>
      </c>
      <c r="BE169" s="354">
        <f>IF(Vout&gt;8, Iq*Vout, Iq*Table1[[#This Row],[Vin]])</f>
        <v>4.3799999999999999E-2</v>
      </c>
      <c r="BF169" s="354">
        <f>CHOOSE(Table1[[#This Row],[Mode Digit]], (Qg_Q1+Qg_Q2)*Fsw, (Qg_Q3+Qg_Q4)*Fsw, (Qg_Q1+Qg_Q2+Qg_Q3+Qg_Q4)*Fsw)*IF(Vout&gt;8, Vout, Table1[[#This Row],[Vin]])</f>
        <v>0.47303999999999996</v>
      </c>
      <c r="BG169" s="354">
        <f t="shared" si="9"/>
        <v>0.57269042016806726</v>
      </c>
      <c r="BH169" s="354">
        <f>Table1[[#This Row],[IQ Loss]]+Table1[[#This Row],[Switching Current Loss]]</f>
        <v>0.51683999999999997</v>
      </c>
      <c r="BI16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10.793135838478099</v>
      </c>
      <c r="BJ169">
        <f>Vout*Table1[[#This Row],[Iout]]</f>
        <v>175.2</v>
      </c>
      <c r="BK169" s="550">
        <f>Table1[[#This Row],[Pout]]/(Table1[[#This Row],[Pout]]+Table1[[#This Row],[Total Loss]])</f>
        <v>0.94197024642967919</v>
      </c>
      <c r="BL16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258.08734684093048</v>
      </c>
      <c r="BM169" s="559">
        <f>IF(Table1[[#This Row],[Vin]]&gt;Vout, Table1[[#This Row],[Total Sync Bu MOSFET Loss]]*ThetaJA_Q2, ThetaJA_Q3*Table1[[#This Row],[Total Sync Bo MOSFET Loss]])</f>
        <v>58.616321187035624</v>
      </c>
      <c r="BN169" s="9"/>
      <c r="BO169" s="4">
        <f>Table1[[#This Row],[EFF, h]]*100</f>
        <v>94.197024642967918</v>
      </c>
      <c r="BP169" s="354">
        <f>Table1[[#This Row],[Total Inductor Loss]]</f>
        <v>2.1891808446685435</v>
      </c>
      <c r="BQ169" s="354">
        <f>Table1[[#This Row],[Total Control Bu MOSFET Loss]]+Table1[[#This Row],[Total Sync Bu MOSFET Loss]]+Table1[[#This Row],[Total Control Bo MOSFET Loss]]+Table1[[#This Row],[Total Sync Bo MOSFET Loss]]+Table1[[#This Row],[Reverse Recovery Loss MOSFET D BUCK]]+Table1[[#This Row],[Reverse Recovery Loss MOSFET D BOOST]]</f>
        <v>6.3714459113862594</v>
      </c>
      <c r="BR169" s="354">
        <f>Table1[[#This Row],[Total Control Bu MOSFET Loss]]+Table1[[#This Row],[Reverse Recovery Loss MOSFET D BUCK]]*0.66</f>
        <v>4.5481606126821745</v>
      </c>
      <c r="BS169" s="354">
        <f>Table1[[#This Row],[Total Sync Bu MOSFET Loss]]+Table1[[#This Row],[Reverse Recovery Loss MOSFET D BUCK]]*0.33</f>
        <v>1.1002911024505937</v>
      </c>
      <c r="BT169" s="354">
        <f xml:space="preserve"> Table1[[#This Row],[Total Control Bo MOSFET Loss]]+Table1[[#This Row],[Reverse Recovery Loss MOSFET D BOOST]]*0.66</f>
        <v>0</v>
      </c>
      <c r="BU169" s="354">
        <f xml:space="preserve"> Table1[[#This Row],[Total Sync Bo MOSFET Loss]]+Table1[[#This Row],[Reverse Recovery Loss MOSFET D BOOST]]*0.33</f>
        <v>0.71925624425349088</v>
      </c>
      <c r="BV169" s="354">
        <f>Table1[[#This Row],[Isense Shunt Loss]]</f>
        <v>0.19266451348449792</v>
      </c>
    </row>
    <row r="170" spans="7:74" x14ac:dyDescent="0.2">
      <c r="G170">
        <v>161</v>
      </c>
      <c r="H170" s="555">
        <f>VIN_min+(VIN_max-VIN_min)*(Table1[[#This Row],[Step]]/200)</f>
        <v>31.270000000000003</v>
      </c>
      <c r="I170" s="4" t="str">
        <f>IF(Mode = 2,IF(Table1[[#This Row],[Vin]]&gt;Vout, "BUCK","BOOST"),IF(Table1[[#This Row],[Vin]]&gt;VIN_BB_to_buck, "BUCK", IF(Table1[[#This Row],[Vin]]&lt;=VIN_boost_to_BB,"BOOST","BUCK-BST")))</f>
        <v>BUCK</v>
      </c>
      <c r="J170">
        <f>IF(Table1[[#This Row],[Mode]]="BOOST",2, IF(Table1[[#This Row],[Mode]]="BUCK", 1,3))</f>
        <v>1</v>
      </c>
      <c r="K170">
        <f t="shared" si="7"/>
        <v>12</v>
      </c>
      <c r="L170" s="4">
        <f>Vout*Table1[[#This Row],[Iout]]/(Table1[[#This Row],[Vin]]*Efficiency)</f>
        <v>5.8976991567502051</v>
      </c>
      <c r="M170" s="711">
        <f>MIN(1/Fsw,CHOOSE(Table1[[#This Row],[Mode Digit]],(Vout+(Rdson2+Rs+Rdcr)*Table1[[#This Row],[Iout]])/(Table1[[#This Row],[Vin]]+(Rs+Rdson2-Rdson1)*Table1[[#This Row],[Iout]])/Fsw,(Vout+(Rdson3+Rdcr)*Table1[[#This Row],[Iin]]-Table1[[#This Row],[Vin]])/(Vout+(Rdson3-Rdson4-Rs)*Table1[[#This Row],[Iin]])/Fsw,t1_Ph_II))</f>
        <v>7.8541001064962718E-7</v>
      </c>
      <c r="N170" s="602">
        <f>CHOOSE(Table1[[#This Row],[Mode Digit]],1/Fsw-Table1[[#This Row],[t1_Ph_II]],1/Fsw-Table1[[#This Row],[t1_Ph_II]],(Vout/Fsw-Table1[[#This Row],[Vin]]*t1_Ph_II)/(Table1[[#This Row],[Vin]]+Vout))</f>
        <v>8.8125665601703948E-7</v>
      </c>
      <c r="O170" s="602">
        <f>1/Fsw-(Table1[[#This Row],[t1_Ph_II]]+Table1[[#This Row],[t2_Ph_I]])</f>
        <v>0</v>
      </c>
      <c r="P17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9.5203058944073327</v>
      </c>
      <c r="Q170" s="4">
        <f>CHOOSE(Table1[[#This Row],[Mode Digit]],Table1[[#This Row],[I_0]]+1/Lf*(Table1[[#This Row],[Vin]]-Vout)*Table1[[#This Row],[t1_Ph_II]],Table1[[#This Row],[I_0]]+1/Lf*Table1[[#This Row],[Vin]]*Table1[[#This Row],[t1_Ph_II]],Table1[[#This Row],[I_0]]+(Table1[[#This Row],[Vin]]-Vout)/L*Table1[[#This Row],[t1_Ph_II]])</f>
        <v>14.479694105592669</v>
      </c>
      <c r="R170" s="4">
        <f>CHOOSE(Table1[[#This Row],[Mode Digit]],0,0,Table1[[#This Row],[I_1]]+Table1[[#This Row],[Vin]]/L*Table1[[#This Row],[t2_Ph_I]])</f>
        <v>0</v>
      </c>
      <c r="S170" s="4">
        <f>Fsw*(Table1[[#This Row],[I_0]]*Table1[[#This Row],[t1_Ph_II]]+Table1[[#This Row],[I_1]]*Table1[[#This Row],[t2_Ph_I]]+Table1[[#This Row],[I_2]]*Table1[[#This Row],[t3_Ph_III]])</f>
        <v>12.142602216935042</v>
      </c>
      <c r="T170" s="354">
        <f>MIN(1,CHOOSE(Table1[[#This Row],[Mode Digit]],(Vout+(Rdson2+Rs+Rdcr)*Table1[[#This Row],[Iout]])/(Table1[[#This Row],[Vin]]+(Rs+Rdson2-Rdson1)*Table1[[#This Row],[Iout]]),1,Fsw*Table1[[#This Row],[t2_Ph_I]]+Table1[[#This Row],[t1_Ph_II]]))</f>
        <v>0.47124600638977632</v>
      </c>
      <c r="U170" s="354">
        <f>MIN(1,CHOOSE(Table1[[#This Row],[Mode Digit]],0,(Vout+(Rdson3+Rdcr)*Table1[[#This Row],[Iin]]-Table1[[#This Row],[Vin]])/(Vout+(Rdson3-Rdson4-Rs)*Table1[[#This Row],[Iin]]),Fsw*Table1[[#This Row],[t1_Ph_II]]+Table1[[#This Row],[t3_Ph_III]]))</f>
        <v>0</v>
      </c>
      <c r="V170" s="4">
        <f>MAX(Table1[[#This Row],[I_0]:[I_2]])-MIN(Table1[[#This Row],[I_0]:[I_1]])</f>
        <v>4.9593882111853365</v>
      </c>
      <c r="W17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12.085099404601673</v>
      </c>
      <c r="X170" s="354">
        <f>(Table1[[#This Row],[Irms Lf]]^2*Rdcr*(1+Ltc*Ta-Ltc*25))/(1-Table1[[#This Row],[Irms Lf]]^2*Rdcr*Ltc*ThetaCa)</f>
        <v>0.90866539257929102</v>
      </c>
      <c r="Y170" s="354">
        <f>ABS(7.759*10^-3*Fsw^0.9458*(0.00787*Table1[[#This Row],[Ripple Current pk-pk]])^2.304)</f>
        <v>1.2863920355003358</v>
      </c>
      <c r="Z170" s="354">
        <f>Table1[[#This Row],[DCR    Loss]]+Table1[[#This Row],[Core Loss]]</f>
        <v>2.1950574280796267</v>
      </c>
      <c r="AA170" s="4">
        <f>IF(Table1[[#This Row],[Vin]]&gt;Vout, Table1[[#This Row],[Ripple Current pk-pk]]/SQRT(12), SQRT(Table1[[#This Row],[Duty Cycle BOOST Leg]]/(1-Table1[[#This Row],[Duty Cycle BOOST Leg]]))*SQRT(Table1[[#This Row],[Iout]]^2+(Table1[[#This Row],[Ripple Current pk-pk]]^2)/12))</f>
        <v>1.4316520593718554</v>
      </c>
      <c r="AB170" s="354">
        <f>RCoutEsr*Table1[[#This Row],[Irms Cout]]^2</f>
        <v>1.0248138095518373E-2</v>
      </c>
      <c r="AC170" s="354">
        <f>Table1[[#This Row],[Cout ESR Loss]]</f>
        <v>1.0248138095518373E-2</v>
      </c>
      <c r="AD170" s="354">
        <f>IF(Table1[[#This Row],[Vin]]&gt;Vout, SQRT(Table1[[#This Row],[Duty Cycle BUCK Leg]]*(1-Table1[[#This Row],[Duty Cycle BUCK Leg]]))*SQRT(Table1[[#This Row],[Iout]]^2+(Table1[[#This Row],[Ripple Current pk-pk]]^2)/12), Table1[[#This Row],[Ripple Current pk-pk]]/SQRT(12))</f>
        <v>6.0325495621141583</v>
      </c>
      <c r="AE170" s="354">
        <f>RCinEsr*Table1[[#This Row],[Irms Cin]]^2</f>
        <v>7.2783308438727448E-2</v>
      </c>
      <c r="AF170" s="549">
        <f>Table1[[#This Row],[Cin ESR Loss]]</f>
        <v>7.2783308438727448E-2</v>
      </c>
      <c r="AG17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8.2961017200982159</v>
      </c>
      <c r="AH170" s="354">
        <f>Rdson1*Table1[[#This Row],[Irms BuCtrl]]^2</f>
        <v>0.28906627575090965</v>
      </c>
      <c r="AI170" s="354">
        <f>CHOOSE(Table1[[#This Row],[Mode Digit]], (Table1[[#This Row],[Vin]]*Table1[[#This Row],[Iout]]/2)*(Fsw)*(Tr_buck+Tf_buck), 0, (Table1[[#This Row],[Vin]]*Table1[[#This Row],[Avg IL]]/2)*(Fsw/1)*(Tr_buck+Tf_buck))</f>
        <v>3.7210175316225507</v>
      </c>
      <c r="AJ170">
        <f>IF(Table1[[#This Row],[Vin]]&gt;Vout, IF(Table1[[#This Row],[Iout]]&gt;Table1[[#This Row],[Ripple Current pk-pk]]/2,0,ABS(Table1[[#This Row],[Iout]]-Table1[[#This Row],[Ripple Current pk-pk]]/2)*Vsd_Q1*Deadtime*Fsw),0)</f>
        <v>0</v>
      </c>
      <c r="AK170" s="354">
        <f>(Table1[[#This Row],[Dead Time Loss BuCtrl]]+Table1[[#This Row],[Transition Loss BuCtrl]]+Table1[[#This Row],[RDS(on) Loss BuCtrl]]*(1+RdsonTopTc*Ta-RdsonTopTc*25))/(1-Table1[[#This Row],[RDS(on) Loss BuCtrl]]*RdsonTopTc*ThetaJA_Q1)</f>
        <v>4.3090264200166155</v>
      </c>
      <c r="AL170" s="354">
        <f>CHOOSE(Table1[[#This Row],[Mode Digit]],SQRT((Fsw*(Table1[[#This Row],[t2_Ph_I]]+0))*((Table1[[#This Row],[I_0]]*Table1[[#This Row],[I_1]]+((Table1[[#This Row],[I_0]]-Table1[[#This Row],[I_1]])^2)/3))),0,SQRT((Fsw*(Table1[[#This Row],[t3_Ph_III]]+0))*((Table1[[#This Row],[I_0]]*Table1[[#This Row],[I_2]]+((Table1[[#This Row],[I_0]]-Table1[[#This Row],[I_2]])^2)/3))))</f>
        <v>8.7877371301653699</v>
      </c>
      <c r="AM170" s="354">
        <f>Rdson2*Table1[[#This Row],[Irms BuSync]]^2</f>
        <v>0.32434216024932588</v>
      </c>
      <c r="AN17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0" s="354">
        <f>(Table1[[#This Row],[Deadtime Loss BuSync]]+Table1[[#This Row],[RDS(on) Loss BuSync]]*(1+RdsonBotTc*Ta-RdsonBotTc*25))/(1-Table1[[#This Row],[RDS(on) Loss BuSync]]*RdsonBotTc*ThetaJA_Q2)</f>
        <v>0.9778299430838655</v>
      </c>
      <c r="AP170" s="354">
        <f>CHOOSE(Table1[[#This Row],[Mode Digit]],0,SQRT((Fsw*(Table1[[#This Row],[t1_Ph_II]]+0))*((Table1[[#This Row],[I_0]]*Table1[[#This Row],[I_1]]+((Table1[[#This Row],[I_0]]-Table1[[#This Row],[I_1]])^2)/3))),SQRT((Fsw*(Table1[[#This Row],[t2_Ph_I]]+0))*((Table1[[#This Row],[I_1]]*Table1[[#This Row],[I_2]]+((Table1[[#This Row],[I_1]]-Table1[[#This Row],[I_2]])^2)/3))))</f>
        <v>0</v>
      </c>
      <c r="AQ170" s="354">
        <f>Rdson4*Table1[[#This Row],[Irms BoCtlr]]^2</f>
        <v>0</v>
      </c>
      <c r="AR170" s="354">
        <f>CHOOSE(Table1[[#This Row],[Mode Digit]], 0, (Vout*Table1[[#This Row],[Iin]]/2)*(Fsw)*(Tr_boost+Tf_boost), (Vout*Iout/2)*(Fsw/1)*(Tr_boost+Tf_boost))</f>
        <v>0</v>
      </c>
      <c r="AS170">
        <f>IF(Table1[[#This Row],[Vin]]&gt;Vout, 0, IF(Table1[[#This Row],[Iin]]&gt;Table1[[#This Row],[Ripple Current pk-pk]]/2,0,ABS(Table1[[#This Row],[Iin]]-Table1[[#This Row],[Ripple Current pk-pk]]/2)*Vsd_Q4*Deadtime*Fsw))</f>
        <v>0</v>
      </c>
      <c r="AT170" s="354">
        <f>(Table1[[#This Row],[Dead Time Loss BoCtlr]]+Table1[[#This Row],[Transition Loss BoCtlr]]+Table1[[#This Row],[RDS(on) Loss BoCtlr]]*(1+RdsonTopTc*Ta-RdsonTopTc*25))/(1-Table1[[#This Row],[RDS(on) Loss BoCtlr]]*RdsonTopTc*ThetaJA_Q4)</f>
        <v>0</v>
      </c>
      <c r="AU17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12.085099404601673</v>
      </c>
      <c r="AV170" s="354">
        <f>Rdson3*Table1[[#This Row],[Irms BoSync]]^2</f>
        <v>0.61340843600023565</v>
      </c>
      <c r="AW17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0" s="354">
        <f>(Table1[[#This Row],[Deadtime Loss BoSync]]+Table1[[#This Row],[RDS(on) Loss BoSync]]*(1+RdsonBotTc*Ta-RdsonBotTc*25))/(1-Table1[[#This Row],[RDS(on) Loss BoSync]]*RdsonBotTc*ThetaJA_Q3)</f>
        <v>0.71930276873092602</v>
      </c>
      <c r="AY170" s="354">
        <f>CHOOSE(Table1[[#This Row],[Mode Digit]], Rdson3*Table1[[#This Row],[Irms Lf]]^2, Rdson1*Table1[[#This Row],[Irms Lf]]^2, 0)</f>
        <v>0.61340843600023565</v>
      </c>
      <c r="AZ170" s="354">
        <f>CHOOSE(Table1[[#This Row],[Mode Digit]], 2*Deadtime*Fsw*IF(VfdSky_Q2&gt;0,VfdSky_Q2,0)*Table1[[#This Row],[Iout]], 2*Deadtime*Fsw*IF(VfdSky_Q3&gt;0,VfdSky_Q3,0)*Table1[[#This Row],[Iin]], 2*Deadtime*Fsw*IF(VfdSky_Q2&gt;0,VfdSky_Q2,0)*Table1[[#This Row],[Iout]]+2*Deadtime*Fsw*IF(VfdSky_Q3&gt;0,VfdSky_Q3,0)*Table1[[#This Row],[Iin]])</f>
        <v>0</v>
      </c>
      <c r="BA170" s="354">
        <f>CHOOSE(Table1[[#This Row],[Mode Digit]], IF(QrrSky_Q2&gt;0,QrrSky_Q2,Qrr_Q2)*Fsw*(Table1[[#This Row],[Vin]]-Table1[[#This Row],[Iout]]*Rdson1),0,  IF(QrrSky_Q2&gt;0,QrrSky_Q2,Qrr_Q2)*Fsw*(Table1[[#This Row],[Vin]]-Table1[[#This Row],[Iout]]*Rdson1)+IF(QrrSky_Q3&gt;0,QrrSky_Q3,Qrr_Q3)*Fsw*Vout)</f>
        <v>0.37463520000000006</v>
      </c>
      <c r="BB170" s="354">
        <f>CHOOSE(Table1[[#This Row],[Mode Digit]],0, IF(QrrSky_Q3&gt;0,QrrSky_Q3,Qrr_Q3)*Fsw*Vout,  IF(QrrSky_Q2&gt;0,QrrSky_Q2,Qrr_Q2)*Fsw*(Table1[[#This Row],[Vin]]-Table1[[#This Row],[Iout]]*Rdson1)+IF(QrrSky_Q3&gt;0,QrrSky_Q3,Qrr_Q3)*Fsw*Vout)</f>
        <v>0</v>
      </c>
      <c r="BC170" s="354">
        <f>CHOOSE(Table1[[#This Row],[Mode Digit]], Rs*Table1[[#This Row],[Irms BuSync]]^2, Rs*Table1[[#This Row],[Irms BoCtlr]]^2, Rs*(Table1[[#This Row],[Irms BuSync]]^2+Table1[[#This Row],[Irms BoCtlr]]^2))</f>
        <v>0.19306080967221775</v>
      </c>
      <c r="BD170" s="354">
        <f t="shared" si="8"/>
        <v>1.44</v>
      </c>
      <c r="BE170" s="354">
        <f>IF(Vout&gt;8, Iq*Vout, Iq*Table1[[#This Row],[Vin]])</f>
        <v>4.3799999999999999E-2</v>
      </c>
      <c r="BF170" s="354">
        <f>CHOOSE(Table1[[#This Row],[Mode Digit]], (Qg_Q1+Qg_Q2)*Fsw, (Qg_Q3+Qg_Q4)*Fsw, (Qg_Q1+Qg_Q2+Qg_Q3+Qg_Q4)*Fsw)*IF(Vout&gt;8, Vout, Table1[[#This Row],[Vin]])</f>
        <v>0.47303999999999996</v>
      </c>
      <c r="BG170" s="354">
        <f t="shared" si="9"/>
        <v>0.57269042016806726</v>
      </c>
      <c r="BH170" s="354">
        <f>Table1[[#This Row],[IQ Loss]]+Table1[[#This Row],[Switching Current Loss]]</f>
        <v>0.51683999999999997</v>
      </c>
      <c r="BI17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10.808784016117498</v>
      </c>
      <c r="BJ170">
        <f>Vout*Table1[[#This Row],[Iout]]</f>
        <v>175.2</v>
      </c>
      <c r="BK170" s="550">
        <f>Table1[[#This Row],[Pout]]/(Table1[[#This Row],[Pout]]+Table1[[#This Row],[Total Loss]])</f>
        <v>0.94189100222718014</v>
      </c>
      <c r="BL17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258.54158520099691</v>
      </c>
      <c r="BM170" s="559">
        <f>IF(Table1[[#This Row],[Vin]]&gt;Vout, Table1[[#This Row],[Total Sync Bu MOSFET Loss]]*ThetaJA_Q2, ThetaJA_Q3*Table1[[#This Row],[Total Sync Bo MOSFET Loss]])</f>
        <v>58.669796585031932</v>
      </c>
      <c r="BN170" s="9"/>
      <c r="BO170" s="4">
        <f>Table1[[#This Row],[EFF, h]]*100</f>
        <v>94.189100222718011</v>
      </c>
      <c r="BP170" s="354">
        <f>Table1[[#This Row],[Total Inductor Loss]]</f>
        <v>2.1950574280796267</v>
      </c>
      <c r="BQ170" s="354">
        <f>Table1[[#This Row],[Total Control Bu MOSFET Loss]]+Table1[[#This Row],[Total Sync Bu MOSFET Loss]]+Table1[[#This Row],[Total Control Bo MOSFET Loss]]+Table1[[#This Row],[Total Sync Bo MOSFET Loss]]+Table1[[#This Row],[Reverse Recovery Loss MOSFET D BUCK]]+Table1[[#This Row],[Reverse Recovery Loss MOSFET D BOOST]]</f>
        <v>6.3807943318314075</v>
      </c>
      <c r="BR170" s="354">
        <f>Table1[[#This Row],[Total Control Bu MOSFET Loss]]+Table1[[#This Row],[Reverse Recovery Loss MOSFET D BUCK]]*0.66</f>
        <v>4.5562856520166157</v>
      </c>
      <c r="BS170" s="354">
        <f>Table1[[#This Row],[Total Sync Bu MOSFET Loss]]+Table1[[#This Row],[Reverse Recovery Loss MOSFET D BUCK]]*0.33</f>
        <v>1.1014595590838656</v>
      </c>
      <c r="BT170" s="354">
        <f xml:space="preserve"> Table1[[#This Row],[Total Control Bo MOSFET Loss]]+Table1[[#This Row],[Reverse Recovery Loss MOSFET D BOOST]]*0.66</f>
        <v>0</v>
      </c>
      <c r="BU170" s="354">
        <f xml:space="preserve"> Table1[[#This Row],[Total Sync Bo MOSFET Loss]]+Table1[[#This Row],[Reverse Recovery Loss MOSFET D BOOST]]*0.33</f>
        <v>0.71930276873092602</v>
      </c>
      <c r="BV170" s="354">
        <f>Table1[[#This Row],[Isense Shunt Loss]]</f>
        <v>0.19306080967221775</v>
      </c>
    </row>
    <row r="171" spans="7:74" x14ac:dyDescent="0.2">
      <c r="G171">
        <v>162</v>
      </c>
      <c r="H171" s="555">
        <f>VIN_min+(VIN_max-VIN_min)*(Table1[[#This Row],[Step]]/200)</f>
        <v>31.34</v>
      </c>
      <c r="I171" s="4" t="str">
        <f>IF(Mode = 2,IF(Table1[[#This Row],[Vin]]&gt;Vout, "BUCK","BOOST"),IF(Table1[[#This Row],[Vin]]&gt;VIN_BB_to_buck, "BUCK", IF(Table1[[#This Row],[Vin]]&lt;=VIN_boost_to_BB,"BOOST","BUCK-BST")))</f>
        <v>BUCK</v>
      </c>
      <c r="J171">
        <f>IF(Table1[[#This Row],[Mode]]="BOOST",2, IF(Table1[[#This Row],[Mode]]="BUCK", 1,3))</f>
        <v>1</v>
      </c>
      <c r="K171">
        <f t="shared" si="7"/>
        <v>12</v>
      </c>
      <c r="L171" s="4">
        <f>Vout*Table1[[#This Row],[Iout]]/(Table1[[#This Row],[Vin]]*Efficiency)</f>
        <v>5.8845262486145158</v>
      </c>
      <c r="M171" s="711">
        <f>MIN(1/Fsw,CHOOSE(Table1[[#This Row],[Mode Digit]],(Vout+(Rdson2+Rs+Rdcr)*Table1[[#This Row],[Iout]])/(Table1[[#This Row],[Vin]]+(Rs+Rdson2-Rdson1)*Table1[[#This Row],[Iout]])/Fsw,(Vout+(Rdson3+Rdcr)*Table1[[#This Row],[Iin]]-Table1[[#This Row],[Vin]])/(Vout+(Rdson3-Rdson4-Rs)*Table1[[#This Row],[Iin]])/Fsw,t1_Ph_II))</f>
        <v>7.8365742216555093E-7</v>
      </c>
      <c r="N171" s="602">
        <f>CHOOSE(Table1[[#This Row],[Mode Digit]],1/Fsw-Table1[[#This Row],[t1_Ph_II]],1/Fsw-Table1[[#This Row],[t1_Ph_II]],(Vout/Fsw-Table1[[#This Row],[Vin]]*t1_Ph_II)/(Table1[[#This Row],[Vin]]+Vout))</f>
        <v>8.8300924450111573E-7</v>
      </c>
      <c r="O171" s="602">
        <f>1/Fsw-(Table1[[#This Row],[t1_Ph_II]]+Table1[[#This Row],[t2_Ph_I]])</f>
        <v>0</v>
      </c>
      <c r="P17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9.5154497638160365</v>
      </c>
      <c r="Q171" s="4">
        <f>CHOOSE(Table1[[#This Row],[Mode Digit]],Table1[[#This Row],[I_0]]+1/Lf*(Table1[[#This Row],[Vin]]-Vout)*Table1[[#This Row],[t1_Ph_II]],Table1[[#This Row],[I_0]]+1/Lf*Table1[[#This Row],[Vin]]*Table1[[#This Row],[t1_Ph_II]],Table1[[#This Row],[I_0]]+(Table1[[#This Row],[Vin]]-Vout)/L*Table1[[#This Row],[t1_Ph_II]])</f>
        <v>14.484550236183964</v>
      </c>
      <c r="R171" s="4">
        <f>CHOOSE(Table1[[#This Row],[Mode Digit]],0,0,Table1[[#This Row],[I_1]]+Table1[[#This Row],[Vin]]/L*Table1[[#This Row],[t2_Ph_I]])</f>
        <v>0</v>
      </c>
      <c r="S171" s="4">
        <f>Fsw*(Table1[[#This Row],[I_0]]*Table1[[#This Row],[t1_Ph_II]]+Table1[[#This Row],[I_1]]*Table1[[#This Row],[t2_Ph_I]]+Table1[[#This Row],[I_2]]*Table1[[#This Row],[t3_Ph_III]])</f>
        <v>12.148106756189481</v>
      </c>
      <c r="T171" s="354">
        <f>MIN(1,CHOOSE(Table1[[#This Row],[Mode Digit]],(Vout+(Rdson2+Rs+Rdcr)*Table1[[#This Row],[Iout]])/(Table1[[#This Row],[Vin]]+(Rs+Rdson2-Rdson1)*Table1[[#This Row],[Iout]]),1,Fsw*Table1[[#This Row],[t2_Ph_I]]+Table1[[#This Row],[t1_Ph_II]]))</f>
        <v>0.47019445329933057</v>
      </c>
      <c r="U171" s="354">
        <f>MIN(1,CHOOSE(Table1[[#This Row],[Mode Digit]],0,(Vout+(Rdson3+Rdcr)*Table1[[#This Row],[Iin]]-Table1[[#This Row],[Vin]])/(Vout+(Rdson3-Rdson4-Rs)*Table1[[#This Row],[Iin]]),Fsw*Table1[[#This Row],[t1_Ph_II]]+Table1[[#This Row],[t3_Ph_III]]))</f>
        <v>0</v>
      </c>
      <c r="V171" s="4">
        <f>MAX(Table1[[#This Row],[I_0]:[I_2]])-MIN(Table1[[#This Row],[I_0]:[I_1]])</f>
        <v>4.9691004723679271</v>
      </c>
      <c r="W17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12.085431862041199</v>
      </c>
      <c r="X171" s="354">
        <f>(Table1[[#This Row],[Irms Lf]]^2*Rdcr*(1+Ltc*Ta-Ltc*25))/(1-Table1[[#This Row],[Irms Lf]]^2*Rdcr*Ltc*ThetaCa)</f>
        <v>0.90871902199472798</v>
      </c>
      <c r="Y171" s="354">
        <f>ABS(7.759*10^-3*Fsw^0.9458*(0.00787*Table1[[#This Row],[Ripple Current pk-pk]])^2.304)</f>
        <v>1.2922037242862072</v>
      </c>
      <c r="Z171" s="354">
        <f>Table1[[#This Row],[DCR    Loss]]+Table1[[#This Row],[Core Loss]]</f>
        <v>2.2009227462809351</v>
      </c>
      <c r="AA171" s="4">
        <f>IF(Table1[[#This Row],[Vin]]&gt;Vout, Table1[[#This Row],[Ripple Current pk-pk]]/SQRT(12), SQRT(Table1[[#This Row],[Duty Cycle BOOST Leg]]/(1-Table1[[#This Row],[Duty Cycle BOOST Leg]]))*SQRT(Table1[[#This Row],[Iout]]^2+(Table1[[#This Row],[Ripple Current pk-pk]]^2)/12))</f>
        <v>1.4344557476759596</v>
      </c>
      <c r="AB171" s="354">
        <f>RCoutEsr*Table1[[#This Row],[Irms Cout]]^2</f>
        <v>1.0288316460202982E-2</v>
      </c>
      <c r="AC171" s="354">
        <f>Table1[[#This Row],[Cout ESR Loss]]</f>
        <v>1.0288316460202982E-2</v>
      </c>
      <c r="AD171" s="354">
        <f>IF(Table1[[#This Row],[Vin]]&gt;Vout, SQRT(Table1[[#This Row],[Duty Cycle BUCK Leg]]*(1-Table1[[#This Row],[Duty Cycle BUCK Leg]]))*SQRT(Table1[[#This Row],[Iout]]^2+(Table1[[#This Row],[Ripple Current pk-pk]]^2)/12), Table1[[#This Row],[Ripple Current pk-pk]]/SQRT(12))</f>
        <v>6.0319700336601167</v>
      </c>
      <c r="AE171" s="354">
        <f>RCinEsr*Table1[[#This Row],[Irms Cin]]^2</f>
        <v>7.2769324973947266E-2</v>
      </c>
      <c r="AF171" s="549">
        <f>Table1[[#This Row],[Cin ESR Loss]]</f>
        <v>7.2769324973947266E-2</v>
      </c>
      <c r="AG17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8.2870684286892882</v>
      </c>
      <c r="AH171" s="354">
        <f>Rdson1*Table1[[#This Row],[Irms BuCtrl]]^2</f>
        <v>0.28843711319547077</v>
      </c>
      <c r="AI171" s="354">
        <f>CHOOSE(Table1[[#This Row],[Mode Digit]], (Table1[[#This Row],[Vin]]*Table1[[#This Row],[Iout]]/2)*(Fsw)*(Tr_buck+Tf_buck), 0, (Table1[[#This Row],[Vin]]*Table1[[#This Row],[Avg IL]]/2)*(Fsw/1)*(Tr_buck+Tf_buck))</f>
        <v>3.7293472798545166</v>
      </c>
      <c r="AJ171">
        <f>IF(Table1[[#This Row],[Vin]]&gt;Vout, IF(Table1[[#This Row],[Iout]]&gt;Table1[[#This Row],[Ripple Current pk-pk]]/2,0,ABS(Table1[[#This Row],[Iout]]-Table1[[#This Row],[Ripple Current pk-pk]]/2)*Vsd_Q1*Deadtime*Fsw),0)</f>
        <v>0</v>
      </c>
      <c r="AK171" s="354">
        <f>(Table1[[#This Row],[Dead Time Loss BuCtrl]]+Table1[[#This Row],[Transition Loss BuCtrl]]+Table1[[#This Row],[RDS(on) Loss BuCtrl]]*(1+RdsonTopTc*Ta-RdsonTopTc*25))/(1-Table1[[#This Row],[RDS(on) Loss BuCtrl]]*RdsonTopTc*ThetaJA_Q1)</f>
        <v>4.3166006739831015</v>
      </c>
      <c r="AL171" s="354">
        <f>CHOOSE(Table1[[#This Row],[Mode Digit]],SQRT((Fsw*(Table1[[#This Row],[t2_Ph_I]]+0))*((Table1[[#This Row],[I_0]]*Table1[[#This Row],[I_1]]+((Table1[[#This Row],[I_0]]-Table1[[#This Row],[I_1]])^2)/3))),0,SQRT((Fsw*(Table1[[#This Row],[t3_Ph_III]]+0))*((Table1[[#This Row],[I_0]]*Table1[[#This Row],[I_2]]+((Table1[[#This Row],[I_0]]-Table1[[#This Row],[I_2]])^2)/3))))</f>
        <v>8.7967130310282293</v>
      </c>
      <c r="AM171" s="354">
        <f>Rdson2*Table1[[#This Row],[Irms BuSync]]^2</f>
        <v>0.32500507263109985</v>
      </c>
      <c r="AN17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1" s="354">
        <f>(Table1[[#This Row],[Deadtime Loss BuSync]]+Table1[[#This Row],[RDS(on) Loss BuSync]]*(1+RdsonBotTc*Ta-RdsonBotTc*25))/(1-Table1[[#This Row],[RDS(on) Loss BuSync]]*RdsonBotTc*ThetaJA_Q2)</f>
        <v>0.97871767106747887</v>
      </c>
      <c r="AP171" s="354">
        <f>CHOOSE(Table1[[#This Row],[Mode Digit]],0,SQRT((Fsw*(Table1[[#This Row],[t1_Ph_II]]+0))*((Table1[[#This Row],[I_0]]*Table1[[#This Row],[I_1]]+((Table1[[#This Row],[I_0]]-Table1[[#This Row],[I_1]])^2)/3))),SQRT((Fsw*(Table1[[#This Row],[t2_Ph_I]]+0))*((Table1[[#This Row],[I_1]]*Table1[[#This Row],[I_2]]+((Table1[[#This Row],[I_1]]-Table1[[#This Row],[I_2]])^2)/3))))</f>
        <v>0</v>
      </c>
      <c r="AQ171" s="354">
        <f>Rdson4*Table1[[#This Row],[Irms BoCtlr]]^2</f>
        <v>0</v>
      </c>
      <c r="AR171" s="354">
        <f>CHOOSE(Table1[[#This Row],[Mode Digit]], 0, (Vout*Table1[[#This Row],[Iin]]/2)*(Fsw)*(Tr_boost+Tf_boost), (Vout*Iout/2)*(Fsw/1)*(Tr_boost+Tf_boost))</f>
        <v>0</v>
      </c>
      <c r="AS171">
        <f>IF(Table1[[#This Row],[Vin]]&gt;Vout, 0, IF(Table1[[#This Row],[Iin]]&gt;Table1[[#This Row],[Ripple Current pk-pk]]/2,0,ABS(Table1[[#This Row],[Iin]]-Table1[[#This Row],[Ripple Current pk-pk]]/2)*Vsd_Q4*Deadtime*Fsw))</f>
        <v>0</v>
      </c>
      <c r="AT171" s="354">
        <f>(Table1[[#This Row],[Dead Time Loss BoCtlr]]+Table1[[#This Row],[Transition Loss BoCtlr]]+Table1[[#This Row],[RDS(on) Loss BoCtlr]]*(1+RdsonTopTc*Ta-RdsonTopTc*25))/(1-Table1[[#This Row],[RDS(on) Loss BoCtlr]]*RdsonTopTc*ThetaJA_Q4)</f>
        <v>0</v>
      </c>
      <c r="AU17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12.085431862041199</v>
      </c>
      <c r="AV171" s="354">
        <f>Rdson3*Table1[[#This Row],[Irms BoSync]]^2</f>
        <v>0.61344218582657062</v>
      </c>
      <c r="AW17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1" s="354">
        <f>(Table1[[#This Row],[Deadtime Loss BoSync]]+Table1[[#This Row],[RDS(on) Loss BoSync]]*(1+RdsonBotTc*Ta-RdsonBotTc*25))/(1-Table1[[#This Row],[RDS(on) Loss BoSync]]*RdsonBotTc*ThetaJA_Q3)</f>
        <v>0.71934917745652505</v>
      </c>
      <c r="AY171" s="354">
        <f>CHOOSE(Table1[[#This Row],[Mode Digit]], Rdson3*Table1[[#This Row],[Irms Lf]]^2, Rdson1*Table1[[#This Row],[Irms Lf]]^2, 0)</f>
        <v>0.61344218582657062</v>
      </c>
      <c r="AZ171" s="354">
        <f>CHOOSE(Table1[[#This Row],[Mode Digit]], 2*Deadtime*Fsw*IF(VfdSky_Q2&gt;0,VfdSky_Q2,0)*Table1[[#This Row],[Iout]], 2*Deadtime*Fsw*IF(VfdSky_Q3&gt;0,VfdSky_Q3,0)*Table1[[#This Row],[Iin]], 2*Deadtime*Fsw*IF(VfdSky_Q2&gt;0,VfdSky_Q2,0)*Table1[[#This Row],[Iout]]+2*Deadtime*Fsw*IF(VfdSky_Q3&gt;0,VfdSky_Q3,0)*Table1[[#This Row],[Iin]])</f>
        <v>0</v>
      </c>
      <c r="BA171" s="354">
        <f>CHOOSE(Table1[[#This Row],[Mode Digit]], IF(QrrSky_Q2&gt;0,QrrSky_Q2,Qrr_Q2)*Fsw*(Table1[[#This Row],[Vin]]-Table1[[#This Row],[Iout]]*Rdson1),0,  IF(QrrSky_Q2&gt;0,QrrSky_Q2,Qrr_Q2)*Fsw*(Table1[[#This Row],[Vin]]-Table1[[#This Row],[Iout]]*Rdson1)+IF(QrrSky_Q3&gt;0,QrrSky_Q3,Qrr_Q3)*Fsw*Vout)</f>
        <v>0.37547520000000001</v>
      </c>
      <c r="BB171" s="354">
        <f>CHOOSE(Table1[[#This Row],[Mode Digit]],0, IF(QrrSky_Q3&gt;0,QrrSky_Q3,Qrr_Q3)*Fsw*Vout,  IF(QrrSky_Q2&gt;0,QrrSky_Q2,Qrr_Q2)*Fsw*(Table1[[#This Row],[Vin]]-Table1[[#This Row],[Iout]]*Rdson1)+IF(QrrSky_Q3&gt;0,QrrSky_Q3,Qrr_Q3)*Fsw*Vout)</f>
        <v>0</v>
      </c>
      <c r="BC171" s="354">
        <f>CHOOSE(Table1[[#This Row],[Mode Digit]], Rs*Table1[[#This Row],[Irms BuSync]]^2, Rs*Table1[[#This Row],[Irms BoCtlr]]^2, Rs*(Table1[[#This Row],[Irms BuSync]]^2+Table1[[#This Row],[Irms BoCtlr]]^2))</f>
        <v>0.19345540037565465</v>
      </c>
      <c r="BD171" s="354">
        <f t="shared" si="8"/>
        <v>1.44</v>
      </c>
      <c r="BE171" s="354">
        <f>IF(Vout&gt;8, Iq*Vout, Iq*Table1[[#This Row],[Vin]])</f>
        <v>4.3799999999999999E-2</v>
      </c>
      <c r="BF171" s="354">
        <f>CHOOSE(Table1[[#This Row],[Mode Digit]], (Qg_Q1+Qg_Q2)*Fsw, (Qg_Q3+Qg_Q4)*Fsw, (Qg_Q1+Qg_Q2+Qg_Q3+Qg_Q4)*Fsw)*IF(Vout&gt;8, Vout, Table1[[#This Row],[Vin]])</f>
        <v>0.47303999999999996</v>
      </c>
      <c r="BG171" s="354">
        <f t="shared" si="9"/>
        <v>0.57269042016806726</v>
      </c>
      <c r="BH171" s="354">
        <f>Table1[[#This Row],[IQ Loss]]+Table1[[#This Row],[Switching Current Loss]]</f>
        <v>0.51683999999999997</v>
      </c>
      <c r="BI17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10.824418510597845</v>
      </c>
      <c r="BJ171">
        <f>Vout*Table1[[#This Row],[Iout]]</f>
        <v>175.2</v>
      </c>
      <c r="BK171" s="550">
        <f>Table1[[#This Row],[Pout]]/(Table1[[#This Row],[Pout]]+Table1[[#This Row],[Total Loss]])</f>
        <v>0.94181184063219547</v>
      </c>
      <c r="BL17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258.99604043898609</v>
      </c>
      <c r="BM171" s="559">
        <f>IF(Table1[[#This Row],[Vin]]&gt;Vout, Table1[[#This Row],[Total Sync Bu MOSFET Loss]]*ThetaJA_Q2, ThetaJA_Q3*Table1[[#This Row],[Total Sync Bo MOSFET Loss]])</f>
        <v>58.723060264048733</v>
      </c>
      <c r="BN171" s="9"/>
      <c r="BO171" s="4">
        <f>Table1[[#This Row],[EFF, h]]*100</f>
        <v>94.181184063219547</v>
      </c>
      <c r="BP171" s="354">
        <f>Table1[[#This Row],[Total Inductor Loss]]</f>
        <v>2.2009227462809351</v>
      </c>
      <c r="BQ171" s="354">
        <f>Table1[[#This Row],[Total Control Bu MOSFET Loss]]+Table1[[#This Row],[Total Sync Bu MOSFET Loss]]+Table1[[#This Row],[Total Control Bo MOSFET Loss]]+Table1[[#This Row],[Total Sync Bo MOSFET Loss]]+Table1[[#This Row],[Reverse Recovery Loss MOSFET D BUCK]]+Table1[[#This Row],[Reverse Recovery Loss MOSFET D BOOST]]</f>
        <v>6.3901427225071057</v>
      </c>
      <c r="BR171" s="354">
        <f>Table1[[#This Row],[Total Control Bu MOSFET Loss]]+Table1[[#This Row],[Reverse Recovery Loss MOSFET D BUCK]]*0.66</f>
        <v>4.5644143059831013</v>
      </c>
      <c r="BS171" s="354">
        <f>Table1[[#This Row],[Total Sync Bu MOSFET Loss]]+Table1[[#This Row],[Reverse Recovery Loss MOSFET D BUCK]]*0.33</f>
        <v>1.1026244870674788</v>
      </c>
      <c r="BT171" s="354">
        <f xml:space="preserve"> Table1[[#This Row],[Total Control Bo MOSFET Loss]]+Table1[[#This Row],[Reverse Recovery Loss MOSFET D BOOST]]*0.66</f>
        <v>0</v>
      </c>
      <c r="BU171" s="354">
        <f xml:space="preserve"> Table1[[#This Row],[Total Sync Bo MOSFET Loss]]+Table1[[#This Row],[Reverse Recovery Loss MOSFET D BOOST]]*0.33</f>
        <v>0.71934917745652505</v>
      </c>
      <c r="BV171" s="354">
        <f>Table1[[#This Row],[Isense Shunt Loss]]</f>
        <v>0.19345540037565465</v>
      </c>
    </row>
    <row r="172" spans="7:74" x14ac:dyDescent="0.2">
      <c r="G172">
        <v>163</v>
      </c>
      <c r="H172" s="555">
        <f>VIN_min+(VIN_max-VIN_min)*(Table1[[#This Row],[Step]]/200)</f>
        <v>31.41</v>
      </c>
      <c r="I172" s="4" t="str">
        <f>IF(Mode = 2,IF(Table1[[#This Row],[Vin]]&gt;Vout, "BUCK","BOOST"),IF(Table1[[#This Row],[Vin]]&gt;VIN_BB_to_buck, "BUCK", IF(Table1[[#This Row],[Vin]]&lt;=VIN_boost_to_BB,"BOOST","BUCK-BST")))</f>
        <v>BUCK</v>
      </c>
      <c r="J172">
        <f>IF(Table1[[#This Row],[Mode]]="BOOST",2, IF(Table1[[#This Row],[Mode]]="BUCK", 1,3))</f>
        <v>1</v>
      </c>
      <c r="K172">
        <f t="shared" si="7"/>
        <v>12</v>
      </c>
      <c r="L172" s="4">
        <f>Vout*Table1[[#This Row],[Iout]]/(Table1[[#This Row],[Vin]]*Efficiency)</f>
        <v>5.8714120544915298</v>
      </c>
      <c r="M172" s="711">
        <f>MIN(1/Fsw,CHOOSE(Table1[[#This Row],[Mode Digit]],(Vout+(Rdson2+Rs+Rdcr)*Table1[[#This Row],[Iout]])/(Table1[[#This Row],[Vin]]+(Rs+Rdson2-Rdson1)*Table1[[#This Row],[Iout]])/Fsw,(Vout+(Rdson3+Rdcr)*Table1[[#This Row],[Iin]]-Table1[[#This Row],[Vin]])/(Vout+(Rdson3-Rdson4-Rs)*Table1[[#This Row],[Iin]])/Fsw,t1_Ph_II))</f>
        <v>7.819126378286683E-7</v>
      </c>
      <c r="N172" s="602">
        <f>CHOOSE(Table1[[#This Row],[Mode Digit]],1/Fsw-Table1[[#This Row],[t1_Ph_II]],1/Fsw-Table1[[#This Row],[t1_Ph_II]],(Vout/Fsw-Table1[[#This Row],[Vin]]*t1_Ph_II)/(Table1[[#This Row],[Vin]]+Vout))</f>
        <v>8.8475402883799837E-7</v>
      </c>
      <c r="O172" s="602">
        <f>1/Fsw-(Table1[[#This Row],[t1_Ph_II]]+Table1[[#This Row],[t2_Ph_I]])</f>
        <v>0</v>
      </c>
      <c r="P17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9.5106152572159246</v>
      </c>
      <c r="Q172" s="4">
        <f>CHOOSE(Table1[[#This Row],[Mode Digit]],Table1[[#This Row],[I_0]]+1/Lf*(Table1[[#This Row],[Vin]]-Vout)*Table1[[#This Row],[t1_Ph_II]],Table1[[#This Row],[I_0]]+1/Lf*Table1[[#This Row],[Vin]]*Table1[[#This Row],[t1_Ph_II]],Table1[[#This Row],[I_0]]+(Table1[[#This Row],[Vin]]-Vout)/L*Table1[[#This Row],[t1_Ph_II]])</f>
        <v>14.489384742784075</v>
      </c>
      <c r="R172" s="4">
        <f>CHOOSE(Table1[[#This Row],[Mode Digit]],0,0,Table1[[#This Row],[I_1]]+Table1[[#This Row],[Vin]]/L*Table1[[#This Row],[t2_Ph_I]])</f>
        <v>0</v>
      </c>
      <c r="S172" s="4">
        <f>Fsw*(Table1[[#This Row],[I_0]]*Table1[[#This Row],[t1_Ph_II]]+Table1[[#This Row],[I_1]]*Table1[[#This Row],[t2_Ph_I]]+Table1[[#This Row],[I_2]]*Table1[[#This Row],[t3_Ph_III]])</f>
        <v>12.15360707382319</v>
      </c>
      <c r="T172" s="354">
        <f>MIN(1,CHOOSE(Table1[[#This Row],[Mode Digit]],(Vout+(Rdson2+Rs+Rdcr)*Table1[[#This Row],[Iout]])/(Table1[[#This Row],[Vin]]+(Rs+Rdson2-Rdson1)*Table1[[#This Row],[Iout]]),1,Fsw*Table1[[#This Row],[t2_Ph_I]]+Table1[[#This Row],[t1_Ph_II]]))</f>
        <v>0.46914758269720097</v>
      </c>
      <c r="U172" s="354">
        <f>MIN(1,CHOOSE(Table1[[#This Row],[Mode Digit]],0,(Vout+(Rdson3+Rdcr)*Table1[[#This Row],[Iin]]-Table1[[#This Row],[Vin]])/(Vout+(Rdson3-Rdson4-Rs)*Table1[[#This Row],[Iin]]),Fsw*Table1[[#This Row],[t1_Ph_II]]+Table1[[#This Row],[t3_Ph_III]]))</f>
        <v>0</v>
      </c>
      <c r="V172" s="4">
        <f>MAX(Table1[[#This Row],[I_0]:[I_2]])-MIN(Table1[[#This Row],[I_0]:[I_1]])</f>
        <v>4.9787694855681508</v>
      </c>
      <c r="W17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12.085763476057359</v>
      </c>
      <c r="X172" s="354">
        <f>(Table1[[#This Row],[Irms Lf]]^2*Rdcr*(1+Ltc*Ta-Ltc*25))/(1-Table1[[#This Row],[Irms Lf]]^2*Rdcr*Ltc*ThetaCa)</f>
        <v>0.9087725172528317</v>
      </c>
      <c r="Y172" s="354">
        <f>ABS(7.759*10^-3*Fsw^0.9458*(0.00787*Table1[[#This Row],[Ripple Current pk-pk]])^2.304)</f>
        <v>1.298004266317514</v>
      </c>
      <c r="Z172" s="354">
        <f>Table1[[#This Row],[DCR    Loss]]+Table1[[#This Row],[Core Loss]]</f>
        <v>2.2067767835703456</v>
      </c>
      <c r="AA172" s="4">
        <f>IF(Table1[[#This Row],[Vin]]&gt;Vout, Table1[[#This Row],[Ripple Current pk-pk]]/SQRT(12), SQRT(Table1[[#This Row],[Duty Cycle BOOST Leg]]/(1-Table1[[#This Row],[Duty Cycle BOOST Leg]]))*SQRT(Table1[[#This Row],[Iout]]^2+(Table1[[#This Row],[Ripple Current pk-pk]]^2)/12))</f>
        <v>1.4372469513629333</v>
      </c>
      <c r="AB172" s="354">
        <f>RCoutEsr*Table1[[#This Row],[Irms Cout]]^2</f>
        <v>1.0328393996010231E-2</v>
      </c>
      <c r="AC172" s="354">
        <f>Table1[[#This Row],[Cout ESR Loss]]</f>
        <v>1.0328393996010231E-2</v>
      </c>
      <c r="AD172" s="354">
        <f>IF(Table1[[#This Row],[Vin]]&gt;Vout, SQRT(Table1[[#This Row],[Duty Cycle BUCK Leg]]*(1-Table1[[#This Row],[Duty Cycle BUCK Leg]]))*SQRT(Table1[[#This Row],[Iout]]^2+(Table1[[#This Row],[Ripple Current pk-pk]]^2)/12), Table1[[#This Row],[Ripple Current pk-pk]]/SQRT(12))</f>
        <v>6.0313666710467126</v>
      </c>
      <c r="AE172" s="354">
        <f>RCinEsr*Table1[[#This Row],[Irms Cin]]^2</f>
        <v>7.2754767841226212E-2</v>
      </c>
      <c r="AF172" s="549">
        <f>Table1[[#This Row],[Cin ESR Loss]]</f>
        <v>7.2754767841226212E-2</v>
      </c>
      <c r="AG17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8.278064998758552</v>
      </c>
      <c r="AH172" s="354">
        <f>Rdson1*Table1[[#This Row],[Irms BuCtrl]]^2</f>
        <v>0.28781071251942003</v>
      </c>
      <c r="AI172" s="354">
        <f>CHOOSE(Table1[[#This Row],[Mode Digit]], (Table1[[#This Row],[Vin]]*Table1[[#This Row],[Iout]]/2)*(Fsw)*(Tr_buck+Tf_buck), 0, (Table1[[#This Row],[Vin]]*Table1[[#This Row],[Avg IL]]/2)*(Fsw/1)*(Tr_buck+Tf_buck))</f>
        <v>3.7376770280864826</v>
      </c>
      <c r="AJ172">
        <f>IF(Table1[[#This Row],[Vin]]&gt;Vout, IF(Table1[[#This Row],[Iout]]&gt;Table1[[#This Row],[Ripple Current pk-pk]]/2,0,ABS(Table1[[#This Row],[Iout]]-Table1[[#This Row],[Ripple Current pk-pk]]/2)*Vsd_Q1*Deadtime*Fsw),0)</f>
        <v>0</v>
      </c>
      <c r="AK172" s="354">
        <f>(Table1[[#This Row],[Dead Time Loss BuCtrl]]+Table1[[#This Row],[Transition Loss BuCtrl]]+Table1[[#This Row],[RDS(on) Loss BuCtrl]]*(1+RdsonTopTc*Ta-RdsonTopTc*25))/(1-Table1[[#This Row],[RDS(on) Loss BuCtrl]]*RdsonTopTc*ThetaJA_Q1)</f>
        <v>4.3241785165866995</v>
      </c>
      <c r="AL172" s="354">
        <f>CHOOSE(Table1[[#This Row],[Mode Digit]],SQRT((Fsw*(Table1[[#This Row],[t2_Ph_I]]+0))*((Table1[[#This Row],[I_0]]*Table1[[#This Row],[I_1]]+((Table1[[#This Row],[I_0]]-Table1[[#This Row],[I_1]])^2)/3))),0,SQRT((Fsw*(Table1[[#This Row],[t3_Ph_III]]+0))*((Table1[[#This Row],[I_0]]*Table1[[#This Row],[I_2]]+((Table1[[#This Row],[I_0]]-Table1[[#This Row],[I_2]])^2)/3))))</f>
        <v>8.8056412983683714</v>
      </c>
      <c r="AM172" s="354">
        <f>Rdson2*Table1[[#This Row],[Irms BuSync]]^2</f>
        <v>0.32566513843722866</v>
      </c>
      <c r="AN17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2" s="354">
        <f>(Table1[[#This Row],[Deadtime Loss BuSync]]+Table1[[#This Row],[RDS(on) Loss BuSync]]*(1+RdsonBotTc*Ta-RdsonBotTc*25))/(1-Table1[[#This Row],[RDS(on) Loss BuSync]]*RdsonBotTc*ThetaJA_Q2)</f>
        <v>0.9796018915593917</v>
      </c>
      <c r="AP172" s="354">
        <f>CHOOSE(Table1[[#This Row],[Mode Digit]],0,SQRT((Fsw*(Table1[[#This Row],[t1_Ph_II]]+0))*((Table1[[#This Row],[I_0]]*Table1[[#This Row],[I_1]]+((Table1[[#This Row],[I_0]]-Table1[[#This Row],[I_1]])^2)/3))),SQRT((Fsw*(Table1[[#This Row],[t2_Ph_I]]+0))*((Table1[[#This Row],[I_1]]*Table1[[#This Row],[I_2]]+((Table1[[#This Row],[I_1]]-Table1[[#This Row],[I_2]])^2)/3))))</f>
        <v>0</v>
      </c>
      <c r="AQ172" s="354">
        <f>Rdson4*Table1[[#This Row],[Irms BoCtlr]]^2</f>
        <v>0</v>
      </c>
      <c r="AR172" s="354">
        <f>CHOOSE(Table1[[#This Row],[Mode Digit]], 0, (Vout*Table1[[#This Row],[Iin]]/2)*(Fsw)*(Tr_boost+Tf_boost), (Vout*Iout/2)*(Fsw/1)*(Tr_boost+Tf_boost))</f>
        <v>0</v>
      </c>
      <c r="AS172">
        <f>IF(Table1[[#This Row],[Vin]]&gt;Vout, 0, IF(Table1[[#This Row],[Iin]]&gt;Table1[[#This Row],[Ripple Current pk-pk]]/2,0,ABS(Table1[[#This Row],[Iin]]-Table1[[#This Row],[Ripple Current pk-pk]]/2)*Vsd_Q4*Deadtime*Fsw))</f>
        <v>0</v>
      </c>
      <c r="AT172" s="354">
        <f>(Table1[[#This Row],[Dead Time Loss BoCtlr]]+Table1[[#This Row],[Transition Loss BoCtlr]]+Table1[[#This Row],[RDS(on) Loss BoCtlr]]*(1+RdsonTopTc*Ta-RdsonTopTc*25))/(1-Table1[[#This Row],[RDS(on) Loss BoCtlr]]*RdsonTopTc*ThetaJA_Q4)</f>
        <v>0</v>
      </c>
      <c r="AU17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12.085763476057359</v>
      </c>
      <c r="AV172" s="354">
        <f>Rdson3*Table1[[#This Row],[Irms BoSync]]^2</f>
        <v>0.61347585095664869</v>
      </c>
      <c r="AW17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2" s="354">
        <f>(Table1[[#This Row],[Deadtime Loss BoSync]]+Table1[[#This Row],[RDS(on) Loss BoSync]]*(1+RdsonBotTc*Ta-RdsonBotTc*25))/(1-Table1[[#This Row],[RDS(on) Loss BoSync]]*RdsonBotTc*ThetaJA_Q3)</f>
        <v>0.7193954705962653</v>
      </c>
      <c r="AY172" s="354">
        <f>CHOOSE(Table1[[#This Row],[Mode Digit]], Rdson3*Table1[[#This Row],[Irms Lf]]^2, Rdson1*Table1[[#This Row],[Irms Lf]]^2, 0)</f>
        <v>0.61347585095664869</v>
      </c>
      <c r="AZ172" s="354">
        <f>CHOOSE(Table1[[#This Row],[Mode Digit]], 2*Deadtime*Fsw*IF(VfdSky_Q2&gt;0,VfdSky_Q2,0)*Table1[[#This Row],[Iout]], 2*Deadtime*Fsw*IF(VfdSky_Q3&gt;0,VfdSky_Q3,0)*Table1[[#This Row],[Iin]], 2*Deadtime*Fsw*IF(VfdSky_Q2&gt;0,VfdSky_Q2,0)*Table1[[#This Row],[Iout]]+2*Deadtime*Fsw*IF(VfdSky_Q3&gt;0,VfdSky_Q3,0)*Table1[[#This Row],[Iin]])</f>
        <v>0</v>
      </c>
      <c r="BA172" s="354">
        <f>CHOOSE(Table1[[#This Row],[Mode Digit]], IF(QrrSky_Q2&gt;0,QrrSky_Q2,Qrr_Q2)*Fsw*(Table1[[#This Row],[Vin]]-Table1[[#This Row],[Iout]]*Rdson1),0,  IF(QrrSky_Q2&gt;0,QrrSky_Q2,Qrr_Q2)*Fsw*(Table1[[#This Row],[Vin]]-Table1[[#This Row],[Iout]]*Rdson1)+IF(QrrSky_Q3&gt;0,QrrSky_Q3,Qrr_Q3)*Fsw*Vout)</f>
        <v>0.37631520000000002</v>
      </c>
      <c r="BB172" s="354">
        <f>CHOOSE(Table1[[#This Row],[Mode Digit]],0, IF(QrrSky_Q3&gt;0,QrrSky_Q3,Qrr_Q3)*Fsw*Vout,  IF(QrrSky_Q2&gt;0,QrrSky_Q2,Qrr_Q2)*Fsw*(Table1[[#This Row],[Vin]]-Table1[[#This Row],[Iout]]*Rdson1)+IF(QrrSky_Q3&gt;0,QrrSky_Q3,Qrr_Q3)*Fsw*Vout)</f>
        <v>0</v>
      </c>
      <c r="BC172" s="354">
        <f>CHOOSE(Table1[[#This Row],[Mode Digit]], Rs*Table1[[#This Row],[Irms BuSync]]^2, Rs*Table1[[#This Row],[Irms BoCtlr]]^2, Rs*(Table1[[#This Row],[Irms BuSync]]^2+Table1[[#This Row],[Irms BoCtlr]]^2))</f>
        <v>0.19384829668882655</v>
      </c>
      <c r="BD172" s="354">
        <f t="shared" si="8"/>
        <v>1.44</v>
      </c>
      <c r="BE172" s="354">
        <f>IF(Vout&gt;8, Iq*Vout, Iq*Table1[[#This Row],[Vin]])</f>
        <v>4.3799999999999999E-2</v>
      </c>
      <c r="BF172" s="354">
        <f>CHOOSE(Table1[[#This Row],[Mode Digit]], (Qg_Q1+Qg_Q2)*Fsw, (Qg_Q3+Qg_Q4)*Fsw, (Qg_Q1+Qg_Q2+Qg_Q3+Qg_Q4)*Fsw)*IF(Vout&gt;8, Vout, Table1[[#This Row],[Vin]])</f>
        <v>0.47303999999999996</v>
      </c>
      <c r="BG172" s="354">
        <f t="shared" si="9"/>
        <v>0.57269042016806726</v>
      </c>
      <c r="BH172" s="354">
        <f>Table1[[#This Row],[IQ Loss]]+Table1[[#This Row],[Switching Current Loss]]</f>
        <v>0.51683999999999997</v>
      </c>
      <c r="BI17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10.840039320838766</v>
      </c>
      <c r="BJ172">
        <f>Vout*Table1[[#This Row],[Iout]]</f>
        <v>175.2</v>
      </c>
      <c r="BK172" s="550">
        <f>Table1[[#This Row],[Pout]]/(Table1[[#This Row],[Pout]]+Table1[[#This Row],[Total Loss]])</f>
        <v>0.94173276161190023</v>
      </c>
      <c r="BL17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259.45071099520197</v>
      </c>
      <c r="BM172" s="559">
        <f>IF(Table1[[#This Row],[Vin]]&gt;Vout, Table1[[#This Row],[Total Sync Bu MOSFET Loss]]*ThetaJA_Q2, ThetaJA_Q3*Table1[[#This Row],[Total Sync Bo MOSFET Loss]])</f>
        <v>58.7761134935635</v>
      </c>
      <c r="BN172" s="9"/>
      <c r="BO172" s="4">
        <f>Table1[[#This Row],[EFF, h]]*100</f>
        <v>94.173276161190017</v>
      </c>
      <c r="BP172" s="354">
        <f>Table1[[#This Row],[Total Inductor Loss]]</f>
        <v>2.2067767835703456</v>
      </c>
      <c r="BQ172" s="354">
        <f>Table1[[#This Row],[Total Control Bu MOSFET Loss]]+Table1[[#This Row],[Total Sync Bu MOSFET Loss]]+Table1[[#This Row],[Total Control Bo MOSFET Loss]]+Table1[[#This Row],[Total Sync Bo MOSFET Loss]]+Table1[[#This Row],[Reverse Recovery Loss MOSFET D BUCK]]+Table1[[#This Row],[Reverse Recovery Loss MOSFET D BOOST]]</f>
        <v>6.399491078742356</v>
      </c>
      <c r="BR172" s="354">
        <f>Table1[[#This Row],[Total Control Bu MOSFET Loss]]+Table1[[#This Row],[Reverse Recovery Loss MOSFET D BUCK]]*0.66</f>
        <v>4.5725465485866996</v>
      </c>
      <c r="BS172" s="354">
        <f>Table1[[#This Row],[Total Sync Bu MOSFET Loss]]+Table1[[#This Row],[Reverse Recovery Loss MOSFET D BUCK]]*0.33</f>
        <v>1.1037859075593917</v>
      </c>
      <c r="BT172" s="354">
        <f xml:space="preserve"> Table1[[#This Row],[Total Control Bo MOSFET Loss]]+Table1[[#This Row],[Reverse Recovery Loss MOSFET D BOOST]]*0.66</f>
        <v>0</v>
      </c>
      <c r="BU172" s="354">
        <f xml:space="preserve"> Table1[[#This Row],[Total Sync Bo MOSFET Loss]]+Table1[[#This Row],[Reverse Recovery Loss MOSFET D BOOST]]*0.33</f>
        <v>0.7193954705962653</v>
      </c>
      <c r="BV172" s="354">
        <f>Table1[[#This Row],[Isense Shunt Loss]]</f>
        <v>0.19384829668882655</v>
      </c>
    </row>
    <row r="173" spans="7:74" x14ac:dyDescent="0.2">
      <c r="G173">
        <v>164</v>
      </c>
      <c r="H173" s="555">
        <f>VIN_min+(VIN_max-VIN_min)*(Table1[[#This Row],[Step]]/200)</f>
        <v>31.479999999999997</v>
      </c>
      <c r="I173" s="4" t="str">
        <f>IF(Mode = 2,IF(Table1[[#This Row],[Vin]]&gt;Vout, "BUCK","BOOST"),IF(Table1[[#This Row],[Vin]]&gt;VIN_BB_to_buck, "BUCK", IF(Table1[[#This Row],[Vin]]&lt;=VIN_boost_to_BB,"BOOST","BUCK-BST")))</f>
        <v>BUCK</v>
      </c>
      <c r="J173">
        <f>IF(Table1[[#This Row],[Mode]]="BOOST",2, IF(Table1[[#This Row],[Mode]]="BUCK", 1,3))</f>
        <v>1</v>
      </c>
      <c r="K173">
        <f t="shared" si="7"/>
        <v>12</v>
      </c>
      <c r="L173" s="4">
        <f>Vout*Table1[[#This Row],[Iout]]/(Table1[[#This Row],[Vin]]*Efficiency)</f>
        <v>5.8583561827058119</v>
      </c>
      <c r="M173" s="711">
        <f>MIN(1/Fsw,CHOOSE(Table1[[#This Row],[Mode Digit]],(Vout+(Rdson2+Rs+Rdcr)*Table1[[#This Row],[Iout]])/(Table1[[#This Row],[Vin]]+(Rs+Rdson2-Rdson1)*Table1[[#This Row],[Iout]])/Fsw,(Vout+(Rdson3+Rdcr)*Table1[[#This Row],[Iin]]-Table1[[#This Row],[Vin]])/(Vout+(Rdson3-Rdson4-Rs)*Table1[[#This Row],[Iin]])/Fsw,t1_Ph_II))</f>
        <v>7.8017560562784304E-7</v>
      </c>
      <c r="N173" s="602">
        <f>CHOOSE(Table1[[#This Row],[Mode Digit]],1/Fsw-Table1[[#This Row],[t1_Ph_II]],1/Fsw-Table1[[#This Row],[t1_Ph_II]],(Vout/Fsw-Table1[[#This Row],[Vin]]*t1_Ph_II)/(Table1[[#This Row],[Vin]]+Vout))</f>
        <v>8.8649106103882363E-7</v>
      </c>
      <c r="O173" s="602">
        <f>1/Fsw-(Table1[[#This Row],[t1_Ph_II]]+Table1[[#This Row],[t2_Ph_I]])</f>
        <v>0</v>
      </c>
      <c r="P17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9.5058022304928063</v>
      </c>
      <c r="Q173" s="4">
        <f>CHOOSE(Table1[[#This Row],[Mode Digit]],Table1[[#This Row],[I_0]]+1/Lf*(Table1[[#This Row],[Vin]]-Vout)*Table1[[#This Row],[t1_Ph_II]],Table1[[#This Row],[I_0]]+1/Lf*Table1[[#This Row],[Vin]]*Table1[[#This Row],[t1_Ph_II]],Table1[[#This Row],[I_0]]+(Table1[[#This Row],[Vin]]-Vout)/L*Table1[[#This Row],[t1_Ph_II]])</f>
        <v>14.494197769507196</v>
      </c>
      <c r="R173" s="4">
        <f>CHOOSE(Table1[[#This Row],[Mode Digit]],0,0,Table1[[#This Row],[I_1]]+Table1[[#This Row],[Vin]]/L*Table1[[#This Row],[t2_Ph_I]])</f>
        <v>0</v>
      </c>
      <c r="S173" s="4">
        <f>Fsw*(Table1[[#This Row],[I_0]]*Table1[[#This Row],[t1_Ph_II]]+Table1[[#This Row],[I_1]]*Table1[[#This Row],[t2_Ph_I]]+Table1[[#This Row],[I_2]]*Table1[[#This Row],[t3_Ph_III]])</f>
        <v>12.159103063050127</v>
      </c>
      <c r="T173" s="354">
        <f>MIN(1,CHOOSE(Table1[[#This Row],[Mode Digit]],(Vout+(Rdson2+Rs+Rdcr)*Table1[[#This Row],[Iout]])/(Table1[[#This Row],[Vin]]+(Rs+Rdson2-Rdson1)*Table1[[#This Row],[Iout]]),1,Fsw*Table1[[#This Row],[t2_Ph_I]]+Table1[[#This Row],[t1_Ph_II]]))</f>
        <v>0.46810536337670583</v>
      </c>
      <c r="U173" s="354">
        <f>MIN(1,CHOOSE(Table1[[#This Row],[Mode Digit]],0,(Vout+(Rdson3+Rdcr)*Table1[[#This Row],[Iin]]-Table1[[#This Row],[Vin]])/(Vout+(Rdson3-Rdson4-Rs)*Table1[[#This Row],[Iin]]),Fsw*Table1[[#This Row],[t1_Ph_II]]+Table1[[#This Row],[t3_Ph_III]]))</f>
        <v>0</v>
      </c>
      <c r="V173" s="4">
        <f>MAX(Table1[[#This Row],[I_0]:[I_2]])-MIN(Table1[[#This Row],[I_0]:[I_1]])</f>
        <v>4.9883955390143893</v>
      </c>
      <c r="W17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12.086094247983434</v>
      </c>
      <c r="X173" s="354">
        <f>(Table1[[#This Row],[Irms Lf]]^2*Rdcr*(1+Ltc*Ta-Ltc*25))/(1-Table1[[#This Row],[Irms Lf]]^2*Rdcr*Ltc*ThetaCa)</f>
        <v>0.90882587855427921</v>
      </c>
      <c r="Y173" s="354">
        <f>ABS(7.759*10^-3*Fsw^0.9458*(0.00787*Table1[[#This Row],[Ripple Current pk-pk]])^2.304)</f>
        <v>1.3037936465481208</v>
      </c>
      <c r="Z173" s="354">
        <f>Table1[[#This Row],[DCR    Loss]]+Table1[[#This Row],[Core Loss]]</f>
        <v>2.2126195251023999</v>
      </c>
      <c r="AA173" s="4">
        <f>IF(Table1[[#This Row],[Vin]]&gt;Vout, Table1[[#This Row],[Ripple Current pk-pk]]/SQRT(12), SQRT(Table1[[#This Row],[Duty Cycle BOOST Leg]]/(1-Table1[[#This Row],[Duty Cycle BOOST Leg]]))*SQRT(Table1[[#This Row],[Iout]]^2+(Table1[[#This Row],[Ripple Current pk-pk]]^2)/12))</f>
        <v>1.440025753637143</v>
      </c>
      <c r="AB173" s="354">
        <f>RCoutEsr*Table1[[#This Row],[Irms Cout]]^2</f>
        <v>1.036837085569111E-2</v>
      </c>
      <c r="AC173" s="354">
        <f>Table1[[#This Row],[Cout ESR Loss]]</f>
        <v>1.036837085569111E-2</v>
      </c>
      <c r="AD173" s="354">
        <f>IF(Table1[[#This Row],[Vin]]&gt;Vout, SQRT(Table1[[#This Row],[Duty Cycle BUCK Leg]]*(1-Table1[[#This Row],[Duty Cycle BUCK Leg]]))*SQRT(Table1[[#This Row],[Iout]]^2+(Table1[[#This Row],[Ripple Current pk-pk]]^2)/12), Table1[[#This Row],[Ripple Current pk-pk]]/SQRT(12))</f>
        <v>6.0307397963268778</v>
      </c>
      <c r="AE173" s="354">
        <f>RCinEsr*Table1[[#This Row],[Irms Cin]]^2</f>
        <v>7.2739644982001514E-2</v>
      </c>
      <c r="AF173" s="549">
        <f>Table1[[#This Row],[Cin ESR Loss]]</f>
        <v>7.2739644982001514E-2</v>
      </c>
      <c r="AG17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8.2690912637152092</v>
      </c>
      <c r="AH173" s="354">
        <f>Rdson1*Table1[[#This Row],[Irms BuCtrl]]^2</f>
        <v>0.28718705537613504</v>
      </c>
      <c r="AI173" s="354">
        <f>CHOOSE(Table1[[#This Row],[Mode Digit]], (Table1[[#This Row],[Vin]]*Table1[[#This Row],[Iout]]/2)*(Fsw)*(Tr_buck+Tf_buck), 0, (Table1[[#This Row],[Vin]]*Table1[[#This Row],[Avg IL]]/2)*(Fsw/1)*(Tr_buck+Tf_buck))</f>
        <v>3.746006776318449</v>
      </c>
      <c r="AJ173">
        <f>IF(Table1[[#This Row],[Vin]]&gt;Vout, IF(Table1[[#This Row],[Iout]]&gt;Table1[[#This Row],[Ripple Current pk-pk]]/2,0,ABS(Table1[[#This Row],[Iout]]-Table1[[#This Row],[Ripple Current pk-pk]]/2)*Vsd_Q1*Deadtime*Fsw),0)</f>
        <v>0</v>
      </c>
      <c r="AK173" s="354">
        <f>(Table1[[#This Row],[Dead Time Loss BuCtrl]]+Table1[[#This Row],[Transition Loss BuCtrl]]+Table1[[#This Row],[RDS(on) Loss BuCtrl]]*(1+RdsonTopTc*Ta-RdsonTopTc*25))/(1-Table1[[#This Row],[RDS(on) Loss BuCtrl]]*RdsonTopTc*ThetaJA_Q1)</f>
        <v>4.3317599220832506</v>
      </c>
      <c r="AL173" s="354">
        <f>CHOOSE(Table1[[#This Row],[Mode Digit]],SQRT((Fsw*(Table1[[#This Row],[t2_Ph_I]]+0))*((Table1[[#This Row],[I_0]]*Table1[[#This Row],[I_1]]+((Table1[[#This Row],[I_0]]-Table1[[#This Row],[I_1]])^2)/3))),0,SQRT((Fsw*(Table1[[#This Row],[t3_Ph_III]]+0))*((Table1[[#This Row],[I_0]]*Table1[[#This Row],[I_2]]+((Table1[[#This Row],[I_0]]-Table1[[#This Row],[I_2]])^2)/3))))</f>
        <v>8.8145223264500867</v>
      </c>
      <c r="AM173" s="354">
        <f>Rdson2*Table1[[#This Row],[Irms BuSync]]^2</f>
        <v>0.3263223761426457</v>
      </c>
      <c r="AN17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3" s="354">
        <f>(Table1[[#This Row],[Deadtime Loss BuSync]]+Table1[[#This Row],[RDS(on) Loss BuSync]]*(1+RdsonBotTc*Ta-RdsonBotTc*25))/(1-Table1[[#This Row],[RDS(on) Loss BuSync]]*RdsonBotTc*ThetaJA_Q2)</f>
        <v>0.9804826255464496</v>
      </c>
      <c r="AP173" s="354">
        <f>CHOOSE(Table1[[#This Row],[Mode Digit]],0,SQRT((Fsw*(Table1[[#This Row],[t1_Ph_II]]+0))*((Table1[[#This Row],[I_0]]*Table1[[#This Row],[I_1]]+((Table1[[#This Row],[I_0]]-Table1[[#This Row],[I_1]])^2)/3))),SQRT((Fsw*(Table1[[#This Row],[t2_Ph_I]]+0))*((Table1[[#This Row],[I_1]]*Table1[[#This Row],[I_2]]+((Table1[[#This Row],[I_1]]-Table1[[#This Row],[I_2]])^2)/3))))</f>
        <v>0</v>
      </c>
      <c r="AQ173" s="354">
        <f>Rdson4*Table1[[#This Row],[Irms BoCtlr]]^2</f>
        <v>0</v>
      </c>
      <c r="AR173" s="354">
        <f>CHOOSE(Table1[[#This Row],[Mode Digit]], 0, (Vout*Table1[[#This Row],[Iin]]/2)*(Fsw)*(Tr_boost+Tf_boost), (Vout*Iout/2)*(Fsw/1)*(Tr_boost+Tf_boost))</f>
        <v>0</v>
      </c>
      <c r="AS173">
        <f>IF(Table1[[#This Row],[Vin]]&gt;Vout, 0, IF(Table1[[#This Row],[Iin]]&gt;Table1[[#This Row],[Ripple Current pk-pk]]/2,0,ABS(Table1[[#This Row],[Iin]]-Table1[[#This Row],[Ripple Current pk-pk]]/2)*Vsd_Q4*Deadtime*Fsw))</f>
        <v>0</v>
      </c>
      <c r="AT173" s="354">
        <f>(Table1[[#This Row],[Dead Time Loss BoCtlr]]+Table1[[#This Row],[Transition Loss BoCtlr]]+Table1[[#This Row],[RDS(on) Loss BoCtlr]]*(1+RdsonTopTc*Ta-RdsonTopTc*25))/(1-Table1[[#This Row],[RDS(on) Loss BoCtlr]]*RdsonTopTc*ThetaJA_Q4)</f>
        <v>0</v>
      </c>
      <c r="AU17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12.086094247983434</v>
      </c>
      <c r="AV173" s="354">
        <f>Rdson3*Table1[[#This Row],[Irms BoSync]]^2</f>
        <v>0.61350943151878068</v>
      </c>
      <c r="AW17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3" s="354">
        <f>(Table1[[#This Row],[Deadtime Loss BoSync]]+Table1[[#This Row],[RDS(on) Loss BoSync]]*(1+RdsonBotTc*Ta-RdsonBotTc*25))/(1-Table1[[#This Row],[RDS(on) Loss BoSync]]*RdsonBotTc*ThetaJA_Q3)</f>
        <v>0.71944164831999735</v>
      </c>
      <c r="AY173" s="354">
        <f>CHOOSE(Table1[[#This Row],[Mode Digit]], Rdson3*Table1[[#This Row],[Irms Lf]]^2, Rdson1*Table1[[#This Row],[Irms Lf]]^2, 0)</f>
        <v>0.61350943151878068</v>
      </c>
      <c r="AZ173" s="354">
        <f>CHOOSE(Table1[[#This Row],[Mode Digit]], 2*Deadtime*Fsw*IF(VfdSky_Q2&gt;0,VfdSky_Q2,0)*Table1[[#This Row],[Iout]], 2*Deadtime*Fsw*IF(VfdSky_Q3&gt;0,VfdSky_Q3,0)*Table1[[#This Row],[Iin]], 2*Deadtime*Fsw*IF(VfdSky_Q2&gt;0,VfdSky_Q2,0)*Table1[[#This Row],[Iout]]+2*Deadtime*Fsw*IF(VfdSky_Q3&gt;0,VfdSky_Q3,0)*Table1[[#This Row],[Iin]])</f>
        <v>0</v>
      </c>
      <c r="BA173" s="354">
        <f>CHOOSE(Table1[[#This Row],[Mode Digit]], IF(QrrSky_Q2&gt;0,QrrSky_Q2,Qrr_Q2)*Fsw*(Table1[[#This Row],[Vin]]-Table1[[#This Row],[Iout]]*Rdson1),0,  IF(QrrSky_Q2&gt;0,QrrSky_Q2,Qrr_Q2)*Fsw*(Table1[[#This Row],[Vin]]-Table1[[#This Row],[Iout]]*Rdson1)+IF(QrrSky_Q3&gt;0,QrrSky_Q3,Qrr_Q3)*Fsw*Vout)</f>
        <v>0.37715519999999997</v>
      </c>
      <c r="BB173" s="354">
        <f>CHOOSE(Table1[[#This Row],[Mode Digit]],0, IF(QrrSky_Q3&gt;0,QrrSky_Q3,Qrr_Q3)*Fsw*Vout,  IF(QrrSky_Q2&gt;0,QrrSky_Q2,Qrr_Q2)*Fsw*(Table1[[#This Row],[Vin]]-Table1[[#This Row],[Iout]]*Rdson1)+IF(QrrSky_Q3&gt;0,QrrSky_Q3,Qrr_Q3)*Fsw*Vout)</f>
        <v>0</v>
      </c>
      <c r="BC173" s="354">
        <f>CHOOSE(Table1[[#This Row],[Mode Digit]], Rs*Table1[[#This Row],[Irms BuSync]]^2, Rs*Table1[[#This Row],[Irms BoCtlr]]^2, Rs*(Table1[[#This Row],[Irms BuSync]]^2+Table1[[#This Row],[Irms BoCtlr]]^2))</f>
        <v>0.19423950960871764</v>
      </c>
      <c r="BD173" s="354">
        <f t="shared" si="8"/>
        <v>1.44</v>
      </c>
      <c r="BE173" s="354">
        <f>IF(Vout&gt;8, Iq*Vout, Iq*Table1[[#This Row],[Vin]])</f>
        <v>4.3799999999999999E-2</v>
      </c>
      <c r="BF173" s="354">
        <f>CHOOSE(Table1[[#This Row],[Mode Digit]], (Qg_Q1+Qg_Q2)*Fsw, (Qg_Q3+Qg_Q4)*Fsw, (Qg_Q1+Qg_Q2+Qg_Q3+Qg_Q4)*Fsw)*IF(Vout&gt;8, Vout, Table1[[#This Row],[Vin]])</f>
        <v>0.47303999999999996</v>
      </c>
      <c r="BG173" s="354">
        <f t="shared" si="9"/>
        <v>0.57269042016806726</v>
      </c>
      <c r="BH173" s="354">
        <f>Table1[[#This Row],[IQ Loss]]+Table1[[#This Row],[Switching Current Loss]]</f>
        <v>0.51683999999999997</v>
      </c>
      <c r="BI17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10.855646446498508</v>
      </c>
      <c r="BJ173">
        <f>Vout*Table1[[#This Row],[Iout]]</f>
        <v>175.2</v>
      </c>
      <c r="BK173" s="550">
        <f>Table1[[#This Row],[Pout]]/(Table1[[#This Row],[Pout]]+Table1[[#This Row],[Total Loss]])</f>
        <v>0.94165376512977739</v>
      </c>
      <c r="BL17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259.90559532499503</v>
      </c>
      <c r="BM173" s="559">
        <f>IF(Table1[[#This Row],[Vin]]&gt;Vout, Table1[[#This Row],[Total Sync Bu MOSFET Loss]]*ThetaJA_Q2, ThetaJA_Q3*Table1[[#This Row],[Total Sync Bo MOSFET Loss]])</f>
        <v>58.828957532786973</v>
      </c>
      <c r="BN173" s="9"/>
      <c r="BO173" s="4">
        <f>Table1[[#This Row],[EFF, h]]*100</f>
        <v>94.165376512977744</v>
      </c>
      <c r="BP173" s="354">
        <f>Table1[[#This Row],[Total Inductor Loss]]</f>
        <v>2.2126195251023999</v>
      </c>
      <c r="BQ173" s="354">
        <f>Table1[[#This Row],[Total Control Bu MOSFET Loss]]+Table1[[#This Row],[Total Sync Bu MOSFET Loss]]+Table1[[#This Row],[Total Control Bo MOSFET Loss]]+Table1[[#This Row],[Total Sync Bo MOSFET Loss]]+Table1[[#This Row],[Reverse Recovery Loss MOSFET D BUCK]]+Table1[[#This Row],[Reverse Recovery Loss MOSFET D BOOST]]</f>
        <v>6.4088393959496974</v>
      </c>
      <c r="BR173" s="354">
        <f>Table1[[#This Row],[Total Control Bu MOSFET Loss]]+Table1[[#This Row],[Reverse Recovery Loss MOSFET D BUCK]]*0.66</f>
        <v>4.5806823540832502</v>
      </c>
      <c r="BS173" s="354">
        <f>Table1[[#This Row],[Total Sync Bu MOSFET Loss]]+Table1[[#This Row],[Reverse Recovery Loss MOSFET D BUCK]]*0.33</f>
        <v>1.1049438415464496</v>
      </c>
      <c r="BT173" s="354">
        <f xml:space="preserve"> Table1[[#This Row],[Total Control Bo MOSFET Loss]]+Table1[[#This Row],[Reverse Recovery Loss MOSFET D BOOST]]*0.66</f>
        <v>0</v>
      </c>
      <c r="BU173" s="354">
        <f xml:space="preserve"> Table1[[#This Row],[Total Sync Bo MOSFET Loss]]+Table1[[#This Row],[Reverse Recovery Loss MOSFET D BOOST]]*0.33</f>
        <v>0.71944164831999735</v>
      </c>
      <c r="BV173" s="354">
        <f>Table1[[#This Row],[Isense Shunt Loss]]</f>
        <v>0.19423950960871764</v>
      </c>
    </row>
    <row r="174" spans="7:74" x14ac:dyDescent="0.2">
      <c r="G174">
        <v>165</v>
      </c>
      <c r="H174" s="555">
        <f>VIN_min+(VIN_max-VIN_min)*(Table1[[#This Row],[Step]]/200)</f>
        <v>31.549999999999997</v>
      </c>
      <c r="I174" s="4" t="str">
        <f>IF(Mode = 2,IF(Table1[[#This Row],[Vin]]&gt;Vout, "BUCK","BOOST"),IF(Table1[[#This Row],[Vin]]&gt;VIN_BB_to_buck, "BUCK", IF(Table1[[#This Row],[Vin]]&lt;=VIN_boost_to_BB,"BOOST","BUCK-BST")))</f>
        <v>BUCK</v>
      </c>
      <c r="J174">
        <f>IF(Table1[[#This Row],[Mode]]="BOOST",2, IF(Table1[[#This Row],[Mode]]="BUCK", 1,3))</f>
        <v>1</v>
      </c>
      <c r="K174">
        <f t="shared" si="7"/>
        <v>12</v>
      </c>
      <c r="L174" s="4">
        <f>Vout*Table1[[#This Row],[Iout]]/(Table1[[#This Row],[Vin]]*Efficiency)</f>
        <v>5.8453582450579704</v>
      </c>
      <c r="M174" s="711">
        <f>MIN(1/Fsw,CHOOSE(Table1[[#This Row],[Mode Digit]],(Vout+(Rdson2+Rs+Rdcr)*Table1[[#This Row],[Iout]])/(Table1[[#This Row],[Vin]]+(Rs+Rdson2-Rdson1)*Table1[[#This Row],[Iout]])/Fsw,(Vout+(Rdson3+Rdcr)*Table1[[#This Row],[Iin]]-Table1[[#This Row],[Vin]])/(Vout+(Rdson3-Rdson4-Rs)*Table1[[#This Row],[Iin]])/Fsw,t1_Ph_II))</f>
        <v>7.7844627401308843E-7</v>
      </c>
      <c r="N174" s="602">
        <f>CHOOSE(Table1[[#This Row],[Mode Digit]],1/Fsw-Table1[[#This Row],[t1_Ph_II]],1/Fsw-Table1[[#This Row],[t1_Ph_II]],(Vout/Fsw-Table1[[#This Row],[Vin]]*t1_Ph_II)/(Table1[[#This Row],[Vin]]+Vout))</f>
        <v>8.8822039265357823E-7</v>
      </c>
      <c r="O174" s="602">
        <f>1/Fsw-(Table1[[#This Row],[t1_Ph_II]]+Table1[[#This Row],[t2_Ph_I]])</f>
        <v>0</v>
      </c>
      <c r="P17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9.5010105408102561</v>
      </c>
      <c r="Q174" s="4">
        <f>CHOOSE(Table1[[#This Row],[Mode Digit]],Table1[[#This Row],[I_0]]+1/Lf*(Table1[[#This Row],[Vin]]-Vout)*Table1[[#This Row],[t1_Ph_II]],Table1[[#This Row],[I_0]]+1/Lf*Table1[[#This Row],[Vin]]*Table1[[#This Row],[t1_Ph_II]],Table1[[#This Row],[I_0]]+(Table1[[#This Row],[Vin]]-Vout)/L*Table1[[#This Row],[t1_Ph_II]])</f>
        <v>14.498989459189744</v>
      </c>
      <c r="R174" s="4">
        <f>CHOOSE(Table1[[#This Row],[Mode Digit]],0,0,Table1[[#This Row],[I_1]]+Table1[[#This Row],[Vin]]/L*Table1[[#This Row],[t2_Ph_I]])</f>
        <v>0</v>
      </c>
      <c r="S174" s="4">
        <f>Fsw*(Table1[[#This Row],[I_0]]*Table1[[#This Row],[t1_Ph_II]]+Table1[[#This Row],[I_1]]*Table1[[#This Row],[t2_Ph_I]]+Table1[[#This Row],[I_2]]*Table1[[#This Row],[t3_Ph_III]])</f>
        <v>12.164594619224657</v>
      </c>
      <c r="T174" s="354">
        <f>MIN(1,CHOOSE(Table1[[#This Row],[Mode Digit]],(Vout+(Rdson2+Rs+Rdcr)*Table1[[#This Row],[Iout]])/(Table1[[#This Row],[Vin]]+(Rs+Rdson2-Rdson1)*Table1[[#This Row],[Iout]]),1,Fsw*Table1[[#This Row],[t2_Ph_I]]+Table1[[#This Row],[t1_Ph_II]]))</f>
        <v>0.46706776440785308</v>
      </c>
      <c r="U174" s="354">
        <f>MIN(1,CHOOSE(Table1[[#This Row],[Mode Digit]],0,(Vout+(Rdson3+Rdcr)*Table1[[#This Row],[Iin]]-Table1[[#This Row],[Vin]])/(Vout+(Rdson3-Rdson4-Rs)*Table1[[#This Row],[Iin]]),Fsw*Table1[[#This Row],[t1_Ph_II]]+Table1[[#This Row],[t3_Ph_III]]))</f>
        <v>0</v>
      </c>
      <c r="V174" s="4">
        <f>MAX(Table1[[#This Row],[I_0]:[I_2]])-MIN(Table1[[#This Row],[I_0]:[I_1]])</f>
        <v>4.9979789183794878</v>
      </c>
      <c r="W17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12.086424179179181</v>
      </c>
      <c r="X174" s="354">
        <f>(Table1[[#This Row],[Irms Lf]]^2*Rdcr*(1+Ltc*Ta-Ltc*25))/(1-Table1[[#This Row],[Irms Lf]]^2*Rdcr*Ltc*ThetaCa)</f>
        <v>0.90887910610408573</v>
      </c>
      <c r="Y174" s="354">
        <f>ABS(7.759*10^-3*Fsw^0.9458*(0.00787*Table1[[#This Row],[Ripple Current pk-pk]])^2.304)</f>
        <v>1.3095718507679364</v>
      </c>
      <c r="Z174" s="354">
        <f>Table1[[#This Row],[DCR    Loss]]+Table1[[#This Row],[Core Loss]]</f>
        <v>2.2184509568720223</v>
      </c>
      <c r="AA174" s="4">
        <f>IF(Table1[[#This Row],[Vin]]&gt;Vout, Table1[[#This Row],[Ripple Current pk-pk]]/SQRT(12), SQRT(Table1[[#This Row],[Duty Cycle BOOST Leg]]/(1-Table1[[#This Row],[Duty Cycle BOOST Leg]]))*SQRT(Table1[[#This Row],[Iout]]^2+(Table1[[#This Row],[Ripple Current pk-pk]]^2)/12))</f>
        <v>1.442792236965236</v>
      </c>
      <c r="AB174" s="354">
        <f>RCoutEsr*Table1[[#This Row],[Irms Cout]]^2</f>
        <v>1.0408247195235747E-2</v>
      </c>
      <c r="AC174" s="354">
        <f>Table1[[#This Row],[Cout ESR Loss]]</f>
        <v>1.0408247195235747E-2</v>
      </c>
      <c r="AD174" s="354">
        <f>IF(Table1[[#This Row],[Vin]]&gt;Vout, SQRT(Table1[[#This Row],[Duty Cycle BUCK Leg]]*(1-Table1[[#This Row],[Duty Cycle BUCK Leg]]))*SQRT(Table1[[#This Row],[Iout]]^2+(Table1[[#This Row],[Ripple Current pk-pk]]^2)/12), Table1[[#This Row],[Ripple Current pk-pk]]/SQRT(12))</f>
        <v>6.0300897270041274</v>
      </c>
      <c r="AE174" s="354">
        <f>RCinEsr*Table1[[#This Row],[Irms Cin]]^2</f>
        <v>7.2723964231441424E-2</v>
      </c>
      <c r="AF174" s="549">
        <f>Table1[[#This Row],[Cin ESR Loss]]</f>
        <v>7.2723964231441424E-2</v>
      </c>
      <c r="AG17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8.2601470582857939</v>
      </c>
      <c r="AH174" s="354">
        <f>Rdson1*Table1[[#This Row],[Irms BuCtrl]]^2</f>
        <v>0.28656612358293132</v>
      </c>
      <c r="AI174" s="354">
        <f>CHOOSE(Table1[[#This Row],[Mode Digit]], (Table1[[#This Row],[Vin]]*Table1[[#This Row],[Iout]]/2)*(Fsw)*(Tr_buck+Tf_buck), 0, (Table1[[#This Row],[Vin]]*Table1[[#This Row],[Avg IL]]/2)*(Fsw/1)*(Tr_buck+Tf_buck))</f>
        <v>3.7543365245504146</v>
      </c>
      <c r="AJ174">
        <f>IF(Table1[[#This Row],[Vin]]&gt;Vout, IF(Table1[[#This Row],[Iout]]&gt;Table1[[#This Row],[Ripple Current pk-pk]]/2,0,ABS(Table1[[#This Row],[Iout]]-Table1[[#This Row],[Ripple Current pk-pk]]/2)*Vsd_Q1*Deadtime*Fsw),0)</f>
        <v>0</v>
      </c>
      <c r="AK174" s="354">
        <f>(Table1[[#This Row],[Dead Time Loss BuCtrl]]+Table1[[#This Row],[Transition Loss BuCtrl]]+Table1[[#This Row],[RDS(on) Loss BuCtrl]]*(1+RdsonTopTc*Ta-RdsonTopTc*25))/(1-Table1[[#This Row],[RDS(on) Loss BuCtrl]]*RdsonTopTc*ThetaJA_Q1)</f>
        <v>4.3393448649763293</v>
      </c>
      <c r="AL174" s="354">
        <f>CHOOSE(Table1[[#This Row],[Mode Digit]],SQRT((Fsw*(Table1[[#This Row],[t2_Ph_I]]+0))*((Table1[[#This Row],[I_0]]*Table1[[#This Row],[I_1]]+((Table1[[#This Row],[I_0]]-Table1[[#This Row],[I_1]])^2)/3))),0,SQRT((Fsw*(Table1[[#This Row],[t3_Ph_III]]+0))*((Table1[[#This Row],[I_0]]*Table1[[#This Row],[I_2]]+((Table1[[#This Row],[I_0]]-Table1[[#This Row],[I_2]])^2)/3))))</f>
        <v>8.8233565050121197</v>
      </c>
      <c r="AM174" s="354">
        <f>Rdson2*Table1[[#This Row],[Irms BuSync]]^2</f>
        <v>0.32697680406106677</v>
      </c>
      <c r="AN17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4" s="354">
        <f>(Table1[[#This Row],[Deadtime Loss BuSync]]+Table1[[#This Row],[RDS(on) Loss BuSync]]*(1+RdsonBotTc*Ta-RdsonBotTc*25))/(1-Table1[[#This Row],[RDS(on) Loss BuSync]]*RdsonBotTc*ThetaJA_Q2)</f>
        <v>0.98135989384613975</v>
      </c>
      <c r="AP174" s="354">
        <f>CHOOSE(Table1[[#This Row],[Mode Digit]],0,SQRT((Fsw*(Table1[[#This Row],[t1_Ph_II]]+0))*((Table1[[#This Row],[I_0]]*Table1[[#This Row],[I_1]]+((Table1[[#This Row],[I_0]]-Table1[[#This Row],[I_1]])^2)/3))),SQRT((Fsw*(Table1[[#This Row],[t2_Ph_I]]+0))*((Table1[[#This Row],[I_1]]*Table1[[#This Row],[I_2]]+((Table1[[#This Row],[I_1]]-Table1[[#This Row],[I_2]])^2)/3))))</f>
        <v>0</v>
      </c>
      <c r="AQ174" s="354">
        <f>Rdson4*Table1[[#This Row],[Irms BoCtlr]]^2</f>
        <v>0</v>
      </c>
      <c r="AR174" s="354">
        <f>CHOOSE(Table1[[#This Row],[Mode Digit]], 0, (Vout*Table1[[#This Row],[Iin]]/2)*(Fsw)*(Tr_boost+Tf_boost), (Vout*Iout/2)*(Fsw/1)*(Tr_boost+Tf_boost))</f>
        <v>0</v>
      </c>
      <c r="AS174">
        <f>IF(Table1[[#This Row],[Vin]]&gt;Vout, 0, IF(Table1[[#This Row],[Iin]]&gt;Table1[[#This Row],[Ripple Current pk-pk]]/2,0,ABS(Table1[[#This Row],[Iin]]-Table1[[#This Row],[Ripple Current pk-pk]]/2)*Vsd_Q4*Deadtime*Fsw))</f>
        <v>0</v>
      </c>
      <c r="AT174" s="354">
        <f>(Table1[[#This Row],[Dead Time Loss BoCtlr]]+Table1[[#This Row],[Transition Loss BoCtlr]]+Table1[[#This Row],[RDS(on) Loss BoCtlr]]*(1+RdsonTopTc*Ta-RdsonTopTc*25))/(1-Table1[[#This Row],[RDS(on) Loss BoCtlr]]*RdsonTopTc*ThetaJA_Q4)</f>
        <v>0</v>
      </c>
      <c r="AU17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12.086424179179181</v>
      </c>
      <c r="AV174" s="354">
        <f>Rdson3*Table1[[#This Row],[Irms BoSync]]^2</f>
        <v>0.61354292764399809</v>
      </c>
      <c r="AW17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4" s="354">
        <f>(Table1[[#This Row],[Deadtime Loss BoSync]]+Table1[[#This Row],[RDS(on) Loss BoSync]]*(1+RdsonBotTc*Ta-RdsonBotTc*25))/(1-Table1[[#This Row],[RDS(on) Loss BoSync]]*RdsonBotTc*ThetaJA_Q3)</f>
        <v>0.71948771080134211</v>
      </c>
      <c r="AY174" s="354">
        <f>CHOOSE(Table1[[#This Row],[Mode Digit]], Rdson3*Table1[[#This Row],[Irms Lf]]^2, Rdson1*Table1[[#This Row],[Irms Lf]]^2, 0)</f>
        <v>0.61354292764399809</v>
      </c>
      <c r="AZ174" s="354">
        <f>CHOOSE(Table1[[#This Row],[Mode Digit]], 2*Deadtime*Fsw*IF(VfdSky_Q2&gt;0,VfdSky_Q2,0)*Table1[[#This Row],[Iout]], 2*Deadtime*Fsw*IF(VfdSky_Q3&gt;0,VfdSky_Q3,0)*Table1[[#This Row],[Iin]], 2*Deadtime*Fsw*IF(VfdSky_Q2&gt;0,VfdSky_Q2,0)*Table1[[#This Row],[Iout]]+2*Deadtime*Fsw*IF(VfdSky_Q3&gt;0,VfdSky_Q3,0)*Table1[[#This Row],[Iin]])</f>
        <v>0</v>
      </c>
      <c r="BA174" s="354">
        <f>CHOOSE(Table1[[#This Row],[Mode Digit]], IF(QrrSky_Q2&gt;0,QrrSky_Q2,Qrr_Q2)*Fsw*(Table1[[#This Row],[Vin]]-Table1[[#This Row],[Iout]]*Rdson1),0,  IF(QrrSky_Q2&gt;0,QrrSky_Q2,Qrr_Q2)*Fsw*(Table1[[#This Row],[Vin]]-Table1[[#This Row],[Iout]]*Rdson1)+IF(QrrSky_Q3&gt;0,QrrSky_Q3,Qrr_Q3)*Fsw*Vout)</f>
        <v>0.37799519999999998</v>
      </c>
      <c r="BB174" s="354">
        <f>CHOOSE(Table1[[#This Row],[Mode Digit]],0, IF(QrrSky_Q3&gt;0,QrrSky_Q3,Qrr_Q3)*Fsw*Vout,  IF(QrrSky_Q2&gt;0,QrrSky_Q2,Qrr_Q2)*Fsw*(Table1[[#This Row],[Vin]]-Table1[[#This Row],[Iout]]*Rdson1)+IF(QrrSky_Q3&gt;0,QrrSky_Q3,Qrr_Q3)*Fsw*Vout)</f>
        <v>0</v>
      </c>
      <c r="BC174" s="354">
        <f>CHOOSE(Table1[[#This Row],[Mode Digit]], Rs*Table1[[#This Row],[Irms BuSync]]^2, Rs*Table1[[#This Row],[Irms BoCtlr]]^2, Rs*(Table1[[#This Row],[Irms BuSync]]^2+Table1[[#This Row],[Irms BoCtlr]]^2))</f>
        <v>0.19462905003634923</v>
      </c>
      <c r="BD174" s="354">
        <f t="shared" si="8"/>
        <v>1.44</v>
      </c>
      <c r="BE174" s="354">
        <f>IF(Vout&gt;8, Iq*Vout, Iq*Table1[[#This Row],[Vin]])</f>
        <v>4.3799999999999999E-2</v>
      </c>
      <c r="BF174" s="354">
        <f>CHOOSE(Table1[[#This Row],[Mode Digit]], (Qg_Q1+Qg_Q2)*Fsw, (Qg_Q3+Qg_Q4)*Fsw, (Qg_Q1+Qg_Q2+Qg_Q3+Qg_Q4)*Fsw)*IF(Vout&gt;8, Vout, Table1[[#This Row],[Vin]])</f>
        <v>0.47303999999999996</v>
      </c>
      <c r="BG174" s="354">
        <f t="shared" si="9"/>
        <v>0.57269042016806726</v>
      </c>
      <c r="BH174" s="354">
        <f>Table1[[#This Row],[IQ Loss]]+Table1[[#This Row],[Switching Current Loss]]</f>
        <v>0.51683999999999997</v>
      </c>
      <c r="BI17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10.871239887958859</v>
      </c>
      <c r="BJ174">
        <f>Vout*Table1[[#This Row],[Iout]]</f>
        <v>175.2</v>
      </c>
      <c r="BK174" s="550">
        <f>Table1[[#This Row],[Pout]]/(Table1[[#This Row],[Pout]]+Table1[[#This Row],[Total Loss]])</f>
        <v>0.94157485114569617</v>
      </c>
      <c r="BL17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260.36069189857977</v>
      </c>
      <c r="BM174" s="559">
        <f>IF(Table1[[#This Row],[Vin]]&gt;Vout, Table1[[#This Row],[Total Sync Bu MOSFET Loss]]*ThetaJA_Q2, ThetaJA_Q3*Table1[[#This Row],[Total Sync Bo MOSFET Loss]])</f>
        <v>58.881593630768386</v>
      </c>
      <c r="BN174" s="9"/>
      <c r="BO174" s="4">
        <f>Table1[[#This Row],[EFF, h]]*100</f>
        <v>94.15748511456961</v>
      </c>
      <c r="BP174" s="354">
        <f>Table1[[#This Row],[Total Inductor Loss]]</f>
        <v>2.2184509568720223</v>
      </c>
      <c r="BQ174" s="354">
        <f>Table1[[#This Row],[Total Control Bu MOSFET Loss]]+Table1[[#This Row],[Total Sync Bu MOSFET Loss]]+Table1[[#This Row],[Total Control Bo MOSFET Loss]]+Table1[[#This Row],[Total Sync Bo MOSFET Loss]]+Table1[[#This Row],[Reverse Recovery Loss MOSFET D BUCK]]+Table1[[#This Row],[Reverse Recovery Loss MOSFET D BOOST]]</f>
        <v>6.4181876696238112</v>
      </c>
      <c r="BR174" s="354">
        <f>Table1[[#This Row],[Total Control Bu MOSFET Loss]]+Table1[[#This Row],[Reverse Recovery Loss MOSFET D BUCK]]*0.66</f>
        <v>4.5888216969763294</v>
      </c>
      <c r="BS174" s="354">
        <f>Table1[[#This Row],[Total Sync Bu MOSFET Loss]]+Table1[[#This Row],[Reverse Recovery Loss MOSFET D BUCK]]*0.33</f>
        <v>1.1060983098461397</v>
      </c>
      <c r="BT174" s="354">
        <f xml:space="preserve"> Table1[[#This Row],[Total Control Bo MOSFET Loss]]+Table1[[#This Row],[Reverse Recovery Loss MOSFET D BOOST]]*0.66</f>
        <v>0</v>
      </c>
      <c r="BU174" s="354">
        <f xml:space="preserve"> Table1[[#This Row],[Total Sync Bo MOSFET Loss]]+Table1[[#This Row],[Reverse Recovery Loss MOSFET D BOOST]]*0.33</f>
        <v>0.71948771080134211</v>
      </c>
      <c r="BV174" s="354">
        <f>Table1[[#This Row],[Isense Shunt Loss]]</f>
        <v>0.19462905003634923</v>
      </c>
    </row>
    <row r="175" spans="7:74" x14ac:dyDescent="0.2">
      <c r="G175">
        <v>166</v>
      </c>
      <c r="H175" s="555">
        <f>VIN_min+(VIN_max-VIN_min)*(Table1[[#This Row],[Step]]/200)</f>
        <v>31.619999999999997</v>
      </c>
      <c r="I175" s="4" t="str">
        <f>IF(Mode = 2,IF(Table1[[#This Row],[Vin]]&gt;Vout, "BUCK","BOOST"),IF(Table1[[#This Row],[Vin]]&gt;VIN_BB_to_buck, "BUCK", IF(Table1[[#This Row],[Vin]]&lt;=VIN_boost_to_BB,"BOOST","BUCK-BST")))</f>
        <v>BUCK</v>
      </c>
      <c r="J175">
        <f>IF(Table1[[#This Row],[Mode]]="BOOST",2, IF(Table1[[#This Row],[Mode]]="BUCK", 1,3))</f>
        <v>1</v>
      </c>
      <c r="K175">
        <f t="shared" si="7"/>
        <v>12</v>
      </c>
      <c r="L175" s="4">
        <f>Vout*Table1[[#This Row],[Iout]]/(Table1[[#This Row],[Vin]]*Efficiency)</f>
        <v>5.8324178567861784</v>
      </c>
      <c r="M175" s="711">
        <f>MIN(1/Fsw,CHOOSE(Table1[[#This Row],[Mode Digit]],(Vout+(Rdson2+Rs+Rdcr)*Table1[[#This Row],[Iout]])/(Table1[[#This Row],[Vin]]+(Rs+Rdson2-Rdson1)*Table1[[#This Row],[Iout]])/Fsw,(Vout+(Rdson3+Rdcr)*Table1[[#This Row],[Iin]]-Table1[[#This Row],[Vin]])/(Vout+(Rdson3-Rdson4-Rs)*Table1[[#This Row],[Iin]])/Fsw,t1_Ph_II))</f>
        <v>7.7672459189046865E-7</v>
      </c>
      <c r="N175" s="602">
        <f>CHOOSE(Table1[[#This Row],[Mode Digit]],1/Fsw-Table1[[#This Row],[t1_Ph_II]],1/Fsw-Table1[[#This Row],[t1_Ph_II]],(Vout/Fsw-Table1[[#This Row],[Vin]]*t1_Ph_II)/(Table1[[#This Row],[Vin]]+Vout))</f>
        <v>8.8994207477619801E-7</v>
      </c>
      <c r="O175" s="602">
        <f>1/Fsw-(Table1[[#This Row],[t1_Ph_II]]+Table1[[#This Row],[t2_Ph_I]])</f>
        <v>0</v>
      </c>
      <c r="P17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9.4962400465954975</v>
      </c>
      <c r="Q175" s="4">
        <f>CHOOSE(Table1[[#This Row],[Mode Digit]],Table1[[#This Row],[I_0]]+1/Lf*(Table1[[#This Row],[Vin]]-Vout)*Table1[[#This Row],[t1_Ph_II]],Table1[[#This Row],[I_0]]+1/Lf*Table1[[#This Row],[Vin]]*Table1[[#This Row],[t1_Ph_II]],Table1[[#This Row],[I_0]]+(Table1[[#This Row],[Vin]]-Vout)/L*Table1[[#This Row],[t1_Ph_II]])</f>
        <v>14.503759953404503</v>
      </c>
      <c r="R175" s="4">
        <f>CHOOSE(Table1[[#This Row],[Mode Digit]],0,0,Table1[[#This Row],[I_1]]+Table1[[#This Row],[Vin]]/L*Table1[[#This Row],[t2_Ph_I]])</f>
        <v>0</v>
      </c>
      <c r="S175" s="4">
        <f>Fsw*(Table1[[#This Row],[I_0]]*Table1[[#This Row],[t1_Ph_II]]+Table1[[#This Row],[I_1]]*Table1[[#This Row],[t2_Ph_I]]+Table1[[#This Row],[I_2]]*Table1[[#This Row],[t3_Ph_III]])</f>
        <v>12.170081639804728</v>
      </c>
      <c r="T175" s="354">
        <f>MIN(1,CHOOSE(Table1[[#This Row],[Mode Digit]],(Vout+(Rdson2+Rs+Rdcr)*Table1[[#This Row],[Iout]])/(Table1[[#This Row],[Vin]]+(Rs+Rdson2-Rdson1)*Table1[[#This Row],[Iout]]),1,Fsw*Table1[[#This Row],[t2_Ph_I]]+Table1[[#This Row],[t1_Ph_II]]))</f>
        <v>0.46603475513428122</v>
      </c>
      <c r="U175" s="354">
        <f>MIN(1,CHOOSE(Table1[[#This Row],[Mode Digit]],0,(Vout+(Rdson3+Rdcr)*Table1[[#This Row],[Iin]]-Table1[[#This Row],[Vin]])/(Vout+(Rdson3-Rdson4-Rs)*Table1[[#This Row],[Iin]]),Fsw*Table1[[#This Row],[t1_Ph_II]]+Table1[[#This Row],[t3_Ph_III]]))</f>
        <v>0</v>
      </c>
      <c r="V175" s="4">
        <f>MAX(Table1[[#This Row],[I_0]:[I_2]])-MIN(Table1[[#This Row],[I_0]:[I_1]])</f>
        <v>5.0075199068090051</v>
      </c>
      <c r="W17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12.086753271030123</v>
      </c>
      <c r="X175" s="354">
        <f>(Table1[[#This Row],[Irms Lf]]^2*Rdcr*(1+Ltc*Ta-Ltc*25))/(1-Table1[[#This Row],[Irms Lf]]^2*Rdcr*Ltc*ThetaCa)</f>
        <v>0.90893220011148934</v>
      </c>
      <c r="Y175" s="354">
        <f>ABS(7.759*10^-3*Fsw^0.9458*(0.00787*Table1[[#This Row],[Ripple Current pk-pk]])^2.304)</f>
        <v>1.3153388655870493</v>
      </c>
      <c r="Z175" s="354">
        <f>Table1[[#This Row],[DCR    Loss]]+Table1[[#This Row],[Core Loss]]</f>
        <v>2.2242710656985385</v>
      </c>
      <c r="AA175" s="4">
        <f>IF(Table1[[#This Row],[Vin]]&gt;Vout, Table1[[#This Row],[Ripple Current pk-pk]]/SQRT(12), SQRT(Table1[[#This Row],[Duty Cycle BOOST Leg]]/(1-Table1[[#This Row],[Duty Cycle BOOST Leg]]))*SQRT(Table1[[#This Row],[Iout]]^2+(Table1[[#This Row],[Ripple Current pk-pk]]^2)/12))</f>
        <v>1.4455464830842946</v>
      </c>
      <c r="AB175" s="354">
        <f>RCoutEsr*Table1[[#This Row],[Irms Cout]]^2</f>
        <v>1.0448023173786864E-2</v>
      </c>
      <c r="AC175" s="354">
        <f>Table1[[#This Row],[Cout ESR Loss]]</f>
        <v>1.0448023173786864E-2</v>
      </c>
      <c r="AD175" s="354">
        <f>IF(Table1[[#This Row],[Vin]]&gt;Vout, SQRT(Table1[[#This Row],[Duty Cycle BUCK Leg]]*(1-Table1[[#This Row],[Duty Cycle BUCK Leg]]))*SQRT(Table1[[#This Row],[Iout]]^2+(Table1[[#This Row],[Ripple Current pk-pk]]^2)/12), Table1[[#This Row],[Ripple Current pk-pk]]/SQRT(12))</f>
        <v>6.0294167761075599</v>
      </c>
      <c r="AE175" s="354">
        <f>RCinEsr*Table1[[#This Row],[Irms Cin]]^2</f>
        <v>7.2707733320014567E-2</v>
      </c>
      <c r="AF175" s="549">
        <f>Table1[[#This Row],[Cin ESR Loss]]</f>
        <v>7.2707733320014567E-2</v>
      </c>
      <c r="AG17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8.251232218500645</v>
      </c>
      <c r="AH175" s="354">
        <f>Rdson1*Table1[[#This Row],[Irms BuCtrl]]^2</f>
        <v>0.28594789911921698</v>
      </c>
      <c r="AI175" s="354">
        <f>CHOOSE(Table1[[#This Row],[Mode Digit]], (Table1[[#This Row],[Vin]]*Table1[[#This Row],[Iout]]/2)*(Fsw)*(Tr_buck+Tf_buck), 0, (Table1[[#This Row],[Vin]]*Table1[[#This Row],[Avg IL]]/2)*(Fsw/1)*(Tr_buck+Tf_buck))</f>
        <v>3.7626662727823805</v>
      </c>
      <c r="AJ175">
        <f>IF(Table1[[#This Row],[Vin]]&gt;Vout, IF(Table1[[#This Row],[Iout]]&gt;Table1[[#This Row],[Ripple Current pk-pk]]/2,0,ABS(Table1[[#This Row],[Iout]]-Table1[[#This Row],[Ripple Current pk-pk]]/2)*Vsd_Q1*Deadtime*Fsw),0)</f>
        <v>0</v>
      </c>
      <c r="AK175" s="354">
        <f>(Table1[[#This Row],[Dead Time Loss BuCtrl]]+Table1[[#This Row],[Transition Loss BuCtrl]]+Table1[[#This Row],[RDS(on) Loss BuCtrl]]*(1+RdsonTopTc*Ta-RdsonTopTc*25))/(1-Table1[[#This Row],[RDS(on) Loss BuCtrl]]*RdsonTopTc*ThetaJA_Q1)</f>
        <v>4.3469333200142533</v>
      </c>
      <c r="AL175" s="354">
        <f>CHOOSE(Table1[[#This Row],[Mode Digit]],SQRT((Fsw*(Table1[[#This Row],[t2_Ph_I]]+0))*((Table1[[#This Row],[I_0]]*Table1[[#This Row],[I_1]]+((Table1[[#This Row],[I_0]]-Table1[[#This Row],[I_1]])^2)/3))),0,SQRT((Fsw*(Table1[[#This Row],[t3_Ph_III]]+0))*((Table1[[#This Row],[I_0]]*Table1[[#This Row],[I_2]]+((Table1[[#This Row],[I_0]]-Table1[[#This Row],[I_2]])^2)/3))))</f>
        <v>8.8321442193350919</v>
      </c>
      <c r="AM175" s="354">
        <f>Rdson2*Table1[[#This Row],[Irms BuSync]]^2</f>
        <v>0.32762844034676403</v>
      </c>
      <c r="AN17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5" s="354">
        <f>(Table1[[#This Row],[Deadtime Loss BuSync]]+Table1[[#This Row],[RDS(on) Loss BuSync]]*(1+RdsonBotTc*Ta-RdsonBotTc*25))/(1-Table1[[#This Row],[RDS(on) Loss BuSync]]*RdsonBotTc*ThetaJA_Q2)</f>
        <v>0.98223371710832152</v>
      </c>
      <c r="AP175" s="354">
        <f>CHOOSE(Table1[[#This Row],[Mode Digit]],0,SQRT((Fsw*(Table1[[#This Row],[t1_Ph_II]]+0))*((Table1[[#This Row],[I_0]]*Table1[[#This Row],[I_1]]+((Table1[[#This Row],[I_0]]-Table1[[#This Row],[I_1]])^2)/3))),SQRT((Fsw*(Table1[[#This Row],[t2_Ph_I]]+0))*((Table1[[#This Row],[I_1]]*Table1[[#This Row],[I_2]]+((Table1[[#This Row],[I_1]]-Table1[[#This Row],[I_2]])^2)/3))))</f>
        <v>0</v>
      </c>
      <c r="AQ175" s="354">
        <f>Rdson4*Table1[[#This Row],[Irms BoCtlr]]^2</f>
        <v>0</v>
      </c>
      <c r="AR175" s="354">
        <f>CHOOSE(Table1[[#This Row],[Mode Digit]], 0, (Vout*Table1[[#This Row],[Iin]]/2)*(Fsw)*(Tr_boost+Tf_boost), (Vout*Iout/2)*(Fsw/1)*(Tr_boost+Tf_boost))</f>
        <v>0</v>
      </c>
      <c r="AS175">
        <f>IF(Table1[[#This Row],[Vin]]&gt;Vout, 0, IF(Table1[[#This Row],[Iin]]&gt;Table1[[#This Row],[Ripple Current pk-pk]]/2,0,ABS(Table1[[#This Row],[Iin]]-Table1[[#This Row],[Ripple Current pk-pk]]/2)*Vsd_Q4*Deadtime*Fsw))</f>
        <v>0</v>
      </c>
      <c r="AT175" s="354">
        <f>(Table1[[#This Row],[Dead Time Loss BoCtlr]]+Table1[[#This Row],[Transition Loss BoCtlr]]+Table1[[#This Row],[RDS(on) Loss BoCtlr]]*(1+RdsonTopTc*Ta-RdsonTopTc*25))/(1-Table1[[#This Row],[RDS(on) Loss BoCtlr]]*RdsonTopTc*ThetaJA_Q4)</f>
        <v>0</v>
      </c>
      <c r="AU17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12.086753271030123</v>
      </c>
      <c r="AV175" s="354">
        <f>Rdson3*Table1[[#This Row],[Irms BoSync]]^2</f>
        <v>0.613576339465981</v>
      </c>
      <c r="AW17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5" s="354">
        <f>(Table1[[#This Row],[Deadtime Loss BoSync]]+Table1[[#This Row],[RDS(on) Loss BoSync]]*(1+RdsonBotTc*Ta-RdsonBotTc*25))/(1-Table1[[#This Row],[RDS(on) Loss BoSync]]*RdsonBotTc*ThetaJA_Q3)</f>
        <v>0.71953365821759319</v>
      </c>
      <c r="AY175" s="354">
        <f>CHOOSE(Table1[[#This Row],[Mode Digit]], Rdson3*Table1[[#This Row],[Irms Lf]]^2, Rdson1*Table1[[#This Row],[Irms Lf]]^2, 0)</f>
        <v>0.613576339465981</v>
      </c>
      <c r="AZ175" s="354">
        <f>CHOOSE(Table1[[#This Row],[Mode Digit]], 2*Deadtime*Fsw*IF(VfdSky_Q2&gt;0,VfdSky_Q2,0)*Table1[[#This Row],[Iout]], 2*Deadtime*Fsw*IF(VfdSky_Q3&gt;0,VfdSky_Q3,0)*Table1[[#This Row],[Iin]], 2*Deadtime*Fsw*IF(VfdSky_Q2&gt;0,VfdSky_Q2,0)*Table1[[#This Row],[Iout]]+2*Deadtime*Fsw*IF(VfdSky_Q3&gt;0,VfdSky_Q3,0)*Table1[[#This Row],[Iin]])</f>
        <v>0</v>
      </c>
      <c r="BA175" s="354">
        <f>CHOOSE(Table1[[#This Row],[Mode Digit]], IF(QrrSky_Q2&gt;0,QrrSky_Q2,Qrr_Q2)*Fsw*(Table1[[#This Row],[Vin]]-Table1[[#This Row],[Iout]]*Rdson1),0,  IF(QrrSky_Q2&gt;0,QrrSky_Q2,Qrr_Q2)*Fsw*(Table1[[#This Row],[Vin]]-Table1[[#This Row],[Iout]]*Rdson1)+IF(QrrSky_Q3&gt;0,QrrSky_Q3,Qrr_Q3)*Fsw*Vout)</f>
        <v>0.37883519999999998</v>
      </c>
      <c r="BB175" s="354">
        <f>CHOOSE(Table1[[#This Row],[Mode Digit]],0, IF(QrrSky_Q3&gt;0,QrrSky_Q3,Qrr_Q3)*Fsw*Vout,  IF(QrrSky_Q2&gt;0,QrrSky_Q2,Qrr_Q2)*Fsw*(Table1[[#This Row],[Vin]]-Table1[[#This Row],[Iout]]*Rdson1)+IF(QrrSky_Q3&gt;0,QrrSky_Q3,Qrr_Q3)*Fsw*Vout)</f>
        <v>0</v>
      </c>
      <c r="BC175" s="354">
        <f>CHOOSE(Table1[[#This Row],[Mode Digit]], Rs*Table1[[#This Row],[Irms BuSync]]^2, Rs*Table1[[#This Row],[Irms BoCtlr]]^2, Rs*(Table1[[#This Row],[Irms BuSync]]^2+Table1[[#This Row],[Irms BoCtlr]]^2))</f>
        <v>0.19501692877783569</v>
      </c>
      <c r="BD175" s="354">
        <f t="shared" si="8"/>
        <v>1.44</v>
      </c>
      <c r="BE175" s="354">
        <f>IF(Vout&gt;8, Iq*Vout, Iq*Table1[[#This Row],[Vin]])</f>
        <v>4.3799999999999999E-2</v>
      </c>
      <c r="BF175" s="354">
        <f>CHOOSE(Table1[[#This Row],[Mode Digit]], (Qg_Q1+Qg_Q2)*Fsw, (Qg_Q3+Qg_Q4)*Fsw, (Qg_Q1+Qg_Q2+Qg_Q3+Qg_Q4)*Fsw)*IF(Vout&gt;8, Vout, Table1[[#This Row],[Vin]])</f>
        <v>0.47303999999999996</v>
      </c>
      <c r="BG175" s="354">
        <f t="shared" si="9"/>
        <v>0.57269042016806726</v>
      </c>
      <c r="BH175" s="354">
        <f>Table1[[#This Row],[IQ Loss]]+Table1[[#This Row],[Switching Current Loss]]</f>
        <v>0.51683999999999997</v>
      </c>
      <c r="BI17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10.886819646310341</v>
      </c>
      <c r="BJ175">
        <f>Vout*Table1[[#This Row],[Iout]]</f>
        <v>175.2</v>
      </c>
      <c r="BK175" s="550">
        <f>Table1[[#This Row],[Pout]]/(Table1[[#This Row],[Pout]]+Table1[[#This Row],[Total Loss]])</f>
        <v>0.94149601961599116</v>
      </c>
      <c r="BL17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260.81599920085517</v>
      </c>
      <c r="BM175" s="559">
        <f>IF(Table1[[#This Row],[Vin]]&gt;Vout, Table1[[#This Row],[Total Sync Bu MOSFET Loss]]*ThetaJA_Q2, ThetaJA_Q3*Table1[[#This Row],[Total Sync Bo MOSFET Loss]])</f>
        <v>58.93402302649929</v>
      </c>
      <c r="BN175" s="9"/>
      <c r="BO175" s="4">
        <f>Table1[[#This Row],[EFF, h]]*100</f>
        <v>94.149601961599117</v>
      </c>
      <c r="BP175" s="354">
        <f>Table1[[#This Row],[Total Inductor Loss]]</f>
        <v>2.2242710656985385</v>
      </c>
      <c r="BQ175" s="354">
        <f>Table1[[#This Row],[Total Control Bu MOSFET Loss]]+Table1[[#This Row],[Total Sync Bu MOSFET Loss]]+Table1[[#This Row],[Total Control Bo MOSFET Loss]]+Table1[[#This Row],[Total Sync Bo MOSFET Loss]]+Table1[[#This Row],[Reverse Recovery Loss MOSFET D BUCK]]+Table1[[#This Row],[Reverse Recovery Loss MOSFET D BOOST]]</f>
        <v>6.4275358953401689</v>
      </c>
      <c r="BR175" s="354">
        <f>Table1[[#This Row],[Total Control Bu MOSFET Loss]]+Table1[[#This Row],[Reverse Recovery Loss MOSFET D BUCK]]*0.66</f>
        <v>4.5969645520142528</v>
      </c>
      <c r="BS175" s="354">
        <f>Table1[[#This Row],[Total Sync Bu MOSFET Loss]]+Table1[[#This Row],[Reverse Recovery Loss MOSFET D BUCK]]*0.33</f>
        <v>1.1072493331083215</v>
      </c>
      <c r="BT175" s="354">
        <f xml:space="preserve"> Table1[[#This Row],[Total Control Bo MOSFET Loss]]+Table1[[#This Row],[Reverse Recovery Loss MOSFET D BOOST]]*0.66</f>
        <v>0</v>
      </c>
      <c r="BU175" s="354">
        <f xml:space="preserve"> Table1[[#This Row],[Total Sync Bo MOSFET Loss]]+Table1[[#This Row],[Reverse Recovery Loss MOSFET D BOOST]]*0.33</f>
        <v>0.71953365821759319</v>
      </c>
      <c r="BV175" s="354">
        <f>Table1[[#This Row],[Isense Shunt Loss]]</f>
        <v>0.19501692877783569</v>
      </c>
    </row>
    <row r="176" spans="7:74" x14ac:dyDescent="0.2">
      <c r="G176">
        <v>167</v>
      </c>
      <c r="H176" s="555">
        <f>VIN_min+(VIN_max-VIN_min)*(Table1[[#This Row],[Step]]/200)</f>
        <v>31.689999999999998</v>
      </c>
      <c r="I176" s="4" t="str">
        <f>IF(Mode = 2,IF(Table1[[#This Row],[Vin]]&gt;Vout, "BUCK","BOOST"),IF(Table1[[#This Row],[Vin]]&gt;VIN_BB_to_buck, "BUCK", IF(Table1[[#This Row],[Vin]]&lt;=VIN_boost_to_BB,"BOOST","BUCK-BST")))</f>
        <v>BUCK</v>
      </c>
      <c r="J176">
        <f>IF(Table1[[#This Row],[Mode]]="BOOST",2, IF(Table1[[#This Row],[Mode]]="BUCK", 1,3))</f>
        <v>1</v>
      </c>
      <c r="K176">
        <f t="shared" si="7"/>
        <v>12</v>
      </c>
      <c r="L176" s="4">
        <f>Vout*Table1[[#This Row],[Iout]]/(Table1[[#This Row],[Vin]]*Efficiency)</f>
        <v>5.8195346365282097</v>
      </c>
      <c r="M176" s="711">
        <f>MIN(1/Fsw,CHOOSE(Table1[[#This Row],[Mode Digit]],(Vout+(Rdson2+Rs+Rdcr)*Table1[[#This Row],[Iout]])/(Table1[[#This Row],[Vin]]+(Rs+Rdson2-Rdson1)*Table1[[#This Row],[Iout]])/Fsw,(Vout+(Rdson3+Rdcr)*Table1[[#This Row],[Iin]]-Table1[[#This Row],[Vin]])/(Vout+(Rdson3-Rdson4-Rs)*Table1[[#This Row],[Iin]])/Fsw,t1_Ph_II))</f>
        <v>7.7501050861706604E-7</v>
      </c>
      <c r="N176" s="602">
        <f>CHOOSE(Table1[[#This Row],[Mode Digit]],1/Fsw-Table1[[#This Row],[t1_Ph_II]],1/Fsw-Table1[[#This Row],[t1_Ph_II]],(Vout/Fsw-Table1[[#This Row],[Vin]]*t1_Ph_II)/(Table1[[#This Row],[Vin]]+Vout))</f>
        <v>8.9165615804960063E-7</v>
      </c>
      <c r="O176" s="602">
        <f>1/Fsw-(Table1[[#This Row],[t1_Ph_II]]+Table1[[#This Row],[t2_Ph_I]])</f>
        <v>0</v>
      </c>
      <c r="P17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9.4914906075254439</v>
      </c>
      <c r="Q176" s="4">
        <f>CHOOSE(Table1[[#This Row],[Mode Digit]],Table1[[#This Row],[I_0]]+1/Lf*(Table1[[#This Row],[Vin]]-Vout)*Table1[[#This Row],[t1_Ph_II]],Table1[[#This Row],[I_0]]+1/Lf*Table1[[#This Row],[Vin]]*Table1[[#This Row],[t1_Ph_II]],Table1[[#This Row],[I_0]]+(Table1[[#This Row],[Vin]]-Vout)/L*Table1[[#This Row],[t1_Ph_II]])</f>
        <v>14.508509392474556</v>
      </c>
      <c r="R176" s="4">
        <f>CHOOSE(Table1[[#This Row],[Mode Digit]],0,0,Table1[[#This Row],[I_1]]+Table1[[#This Row],[Vin]]/L*Table1[[#This Row],[t2_Ph_I]])</f>
        <v>0</v>
      </c>
      <c r="S176" s="4">
        <f>Fsw*(Table1[[#This Row],[I_0]]*Table1[[#This Row],[t1_Ph_II]]+Table1[[#This Row],[I_1]]*Table1[[#This Row],[t2_Ph_I]]+Table1[[#This Row],[I_2]]*Table1[[#This Row],[t3_Ph_III]])</f>
        <v>12.175564024315685</v>
      </c>
      <c r="T176" s="354">
        <f>MIN(1,CHOOSE(Table1[[#This Row],[Mode Digit]],(Vout+(Rdson2+Rs+Rdcr)*Table1[[#This Row],[Iout]])/(Table1[[#This Row],[Vin]]+(Rs+Rdson2-Rdson1)*Table1[[#This Row],[Iout]]),1,Fsw*Table1[[#This Row],[t2_Ph_I]]+Table1[[#This Row],[t1_Ph_II]]))</f>
        <v>0.46500630517023961</v>
      </c>
      <c r="U176" s="354">
        <f>MIN(1,CHOOSE(Table1[[#This Row],[Mode Digit]],0,(Vout+(Rdson3+Rdcr)*Table1[[#This Row],[Iin]]-Table1[[#This Row],[Vin]])/(Vout+(Rdson3-Rdson4-Rs)*Table1[[#This Row],[Iin]]),Fsw*Table1[[#This Row],[t1_Ph_II]]+Table1[[#This Row],[t3_Ph_III]]))</f>
        <v>0</v>
      </c>
      <c r="V176" s="4">
        <f>MAX(Table1[[#This Row],[I_0]:[I_2]])-MIN(Table1[[#This Row],[I_0]:[I_1]])</f>
        <v>5.0170187849491121</v>
      </c>
      <c r="W17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12.087081524946832</v>
      </c>
      <c r="X176" s="354">
        <f>(Table1[[#This Row],[Irms Lf]]^2*Rdcr*(1+Ltc*Ta-Ltc*25))/(1-Table1[[#This Row],[Irms Lf]]^2*Rdcr*Ltc*ThetaCa)</f>
        <v>0.90898516078983782</v>
      </c>
      <c r="Y176" s="354">
        <f>ABS(7.759*10^-3*Fsw^0.9458*(0.00787*Table1[[#This Row],[Ripple Current pk-pk]])^2.304)</f>
        <v>1.3210946784201361</v>
      </c>
      <c r="Z176" s="354">
        <f>Table1[[#This Row],[DCR    Loss]]+Table1[[#This Row],[Core Loss]]</f>
        <v>2.2300798392099739</v>
      </c>
      <c r="AA176" s="4">
        <f>IF(Table1[[#This Row],[Vin]]&gt;Vout, Table1[[#This Row],[Ripple Current pk-pk]]/SQRT(12), SQRT(Table1[[#This Row],[Duty Cycle BOOST Leg]]/(1-Table1[[#This Row],[Duty Cycle BOOST Leg]]))*SQRT(Table1[[#This Row],[Iout]]^2+(Table1[[#This Row],[Ripple Current pk-pk]]^2)/12))</f>
        <v>1.4482885730098896</v>
      </c>
      <c r="AB176" s="354">
        <f>RCoutEsr*Table1[[#This Row],[Irms Cout]]^2</f>
        <v>1.0487698953555112E-2</v>
      </c>
      <c r="AC176" s="354">
        <f>Table1[[#This Row],[Cout ESR Loss]]</f>
        <v>1.0487698953555112E-2</v>
      </c>
      <c r="AD176" s="354">
        <f>IF(Table1[[#This Row],[Vin]]&gt;Vout, SQRT(Table1[[#This Row],[Duty Cycle BUCK Leg]]*(1-Table1[[#This Row],[Duty Cycle BUCK Leg]]))*SQRT(Table1[[#This Row],[Iout]]^2+(Table1[[#This Row],[Ripple Current pk-pk]]^2)/12), Table1[[#This Row],[Ripple Current pk-pk]]/SQRT(12))</f>
        <v>6.0287212522653748</v>
      </c>
      <c r="AE176" s="354">
        <f>RCinEsr*Table1[[#This Row],[Irms Cin]]^2</f>
        <v>7.2690959875032379E-2</v>
      </c>
      <c r="AF176" s="549">
        <f>Table1[[#This Row],[Cin ESR Loss]]</f>
        <v>7.2690959875032379E-2</v>
      </c>
      <c r="AG17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8.2423465816805219</v>
      </c>
      <c r="AH176" s="354">
        <f>Rdson1*Table1[[#This Row],[Irms BuCtrl]]^2</f>
        <v>0.2853323641246705</v>
      </c>
      <c r="AI176" s="354">
        <f>CHOOSE(Table1[[#This Row],[Mode Digit]], (Table1[[#This Row],[Vin]]*Table1[[#This Row],[Iout]]/2)*(Fsw)*(Tr_buck+Tf_buck), 0, (Table1[[#This Row],[Vin]]*Table1[[#This Row],[Avg IL]]/2)*(Fsw/1)*(Tr_buck+Tf_buck))</f>
        <v>3.7709960210143465</v>
      </c>
      <c r="AJ176">
        <f>IF(Table1[[#This Row],[Vin]]&gt;Vout, IF(Table1[[#This Row],[Iout]]&gt;Table1[[#This Row],[Ripple Current pk-pk]]/2,0,ABS(Table1[[#This Row],[Iout]]-Table1[[#This Row],[Ripple Current pk-pk]]/2)*Vsd_Q1*Deadtime*Fsw),0)</f>
        <v>0</v>
      </c>
      <c r="AK176" s="354">
        <f>(Table1[[#This Row],[Dead Time Loss BuCtrl]]+Table1[[#This Row],[Transition Loss BuCtrl]]+Table1[[#This Row],[RDS(on) Loss BuCtrl]]*(1+RdsonTopTc*Ta-RdsonTopTc*25))/(1-Table1[[#This Row],[RDS(on) Loss BuCtrl]]*RdsonTopTc*ThetaJA_Q1)</f>
        <v>4.354525262187126</v>
      </c>
      <c r="AL176" s="354">
        <f>CHOOSE(Table1[[#This Row],[Mode Digit]],SQRT((Fsw*(Table1[[#This Row],[t2_Ph_I]]+0))*((Table1[[#This Row],[I_0]]*Table1[[#This Row],[I_1]]+((Table1[[#This Row],[I_0]]-Table1[[#This Row],[I_1]])^2)/3))),0,SQRT((Fsw*(Table1[[#This Row],[t3_Ph_III]]+0))*((Table1[[#This Row],[I_0]]*Table1[[#This Row],[I_2]]+((Table1[[#This Row],[I_0]]-Table1[[#This Row],[I_2]])^2)/3))))</f>
        <v>8.8408858503076733</v>
      </c>
      <c r="AM176" s="354">
        <f>Rdson2*Table1[[#This Row],[Irms BuSync]]^2</f>
        <v>0.32827730299631586</v>
      </c>
      <c r="AN17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6" s="354">
        <f>(Table1[[#This Row],[Deadtime Loss BuSync]]+Table1[[#This Row],[RDS(on) Loss BuSync]]*(1+RdsonBotTc*Ta-RdsonBotTc*25))/(1-Table1[[#This Row],[RDS(on) Loss BuSync]]*RdsonBotTc*ThetaJA_Q2)</f>
        <v>0.98310411581693513</v>
      </c>
      <c r="AP176" s="354">
        <f>CHOOSE(Table1[[#This Row],[Mode Digit]],0,SQRT((Fsw*(Table1[[#This Row],[t1_Ph_II]]+0))*((Table1[[#This Row],[I_0]]*Table1[[#This Row],[I_1]]+((Table1[[#This Row],[I_0]]-Table1[[#This Row],[I_1]])^2)/3))),SQRT((Fsw*(Table1[[#This Row],[t2_Ph_I]]+0))*((Table1[[#This Row],[I_1]]*Table1[[#This Row],[I_2]]+((Table1[[#This Row],[I_1]]-Table1[[#This Row],[I_2]])^2)/3))))</f>
        <v>0</v>
      </c>
      <c r="AQ176" s="354">
        <f>Rdson4*Table1[[#This Row],[Irms BoCtlr]]^2</f>
        <v>0</v>
      </c>
      <c r="AR176" s="354">
        <f>CHOOSE(Table1[[#This Row],[Mode Digit]], 0, (Vout*Table1[[#This Row],[Iin]]/2)*(Fsw)*(Tr_boost+Tf_boost), (Vout*Iout/2)*(Fsw/1)*(Tr_boost+Tf_boost))</f>
        <v>0</v>
      </c>
      <c r="AS176">
        <f>IF(Table1[[#This Row],[Vin]]&gt;Vout, 0, IF(Table1[[#This Row],[Iin]]&gt;Table1[[#This Row],[Ripple Current pk-pk]]/2,0,ABS(Table1[[#This Row],[Iin]]-Table1[[#This Row],[Ripple Current pk-pk]]/2)*Vsd_Q4*Deadtime*Fsw))</f>
        <v>0</v>
      </c>
      <c r="AT176" s="354">
        <f>(Table1[[#This Row],[Dead Time Loss BoCtlr]]+Table1[[#This Row],[Transition Loss BoCtlr]]+Table1[[#This Row],[RDS(on) Loss BoCtlr]]*(1+RdsonTopTc*Ta-RdsonTopTc*25))/(1-Table1[[#This Row],[RDS(on) Loss BoCtlr]]*RdsonTopTc*ThetaJA_Q4)</f>
        <v>0</v>
      </c>
      <c r="AU17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12.087081524946832</v>
      </c>
      <c r="AV176" s="354">
        <f>Rdson3*Table1[[#This Row],[Irms BoSync]]^2</f>
        <v>0.61360966712098641</v>
      </c>
      <c r="AW17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6" s="354">
        <f>(Table1[[#This Row],[Deadtime Loss BoSync]]+Table1[[#This Row],[RDS(on) Loss BoSync]]*(1+RdsonBotTc*Ta-RdsonBotTc*25))/(1-Table1[[#This Row],[RDS(on) Loss BoSync]]*RdsonBotTc*ThetaJA_Q3)</f>
        <v>0.71957949074961713</v>
      </c>
      <c r="AY176" s="354">
        <f>CHOOSE(Table1[[#This Row],[Mode Digit]], Rdson3*Table1[[#This Row],[Irms Lf]]^2, Rdson1*Table1[[#This Row],[Irms Lf]]^2, 0)</f>
        <v>0.61360966712098641</v>
      </c>
      <c r="AZ176" s="354">
        <f>CHOOSE(Table1[[#This Row],[Mode Digit]], 2*Deadtime*Fsw*IF(VfdSky_Q2&gt;0,VfdSky_Q2,0)*Table1[[#This Row],[Iout]], 2*Deadtime*Fsw*IF(VfdSky_Q3&gt;0,VfdSky_Q3,0)*Table1[[#This Row],[Iin]], 2*Deadtime*Fsw*IF(VfdSky_Q2&gt;0,VfdSky_Q2,0)*Table1[[#This Row],[Iout]]+2*Deadtime*Fsw*IF(VfdSky_Q3&gt;0,VfdSky_Q3,0)*Table1[[#This Row],[Iin]])</f>
        <v>0</v>
      </c>
      <c r="BA176" s="354">
        <f>CHOOSE(Table1[[#This Row],[Mode Digit]], IF(QrrSky_Q2&gt;0,QrrSky_Q2,Qrr_Q2)*Fsw*(Table1[[#This Row],[Vin]]-Table1[[#This Row],[Iout]]*Rdson1),0,  IF(QrrSky_Q2&gt;0,QrrSky_Q2,Qrr_Q2)*Fsw*(Table1[[#This Row],[Vin]]-Table1[[#This Row],[Iout]]*Rdson1)+IF(QrrSky_Q3&gt;0,QrrSky_Q3,Qrr_Q3)*Fsw*Vout)</f>
        <v>0.37967519999999999</v>
      </c>
      <c r="BB176" s="354">
        <f>CHOOSE(Table1[[#This Row],[Mode Digit]],0, IF(QrrSky_Q3&gt;0,QrrSky_Q3,Qrr_Q3)*Fsw*Vout,  IF(QrrSky_Q2&gt;0,QrrSky_Q2,Qrr_Q2)*Fsw*(Table1[[#This Row],[Vin]]-Table1[[#This Row],[Iout]]*Rdson1)+IF(QrrSky_Q3&gt;0,QrrSky_Q3,Qrr_Q3)*Fsw*Vout)</f>
        <v>0</v>
      </c>
      <c r="BC176" s="354">
        <f>CHOOSE(Table1[[#This Row],[Mode Digit]], Rs*Table1[[#This Row],[Irms BuSync]]^2, Rs*Table1[[#This Row],[Irms BoCtlr]]^2, Rs*(Table1[[#This Row],[Irms BuSync]]^2+Table1[[#This Row],[Irms BoCtlr]]^2))</f>
        <v>0.19540315654542606</v>
      </c>
      <c r="BD176" s="354">
        <f t="shared" si="8"/>
        <v>1.44</v>
      </c>
      <c r="BE176" s="354">
        <f>IF(Vout&gt;8, Iq*Vout, Iq*Table1[[#This Row],[Vin]])</f>
        <v>4.3799999999999999E-2</v>
      </c>
      <c r="BF176" s="354">
        <f>CHOOSE(Table1[[#This Row],[Mode Digit]], (Qg_Q1+Qg_Q2)*Fsw, (Qg_Q3+Qg_Q4)*Fsw, (Qg_Q1+Qg_Q2+Qg_Q3+Qg_Q4)*Fsw)*IF(Vout&gt;8, Vout, Table1[[#This Row],[Vin]])</f>
        <v>0.47303999999999996</v>
      </c>
      <c r="BG176" s="354">
        <f t="shared" si="9"/>
        <v>0.57269042016806726</v>
      </c>
      <c r="BH176" s="354">
        <f>Table1[[#This Row],[IQ Loss]]+Table1[[#This Row],[Switching Current Loss]]</f>
        <v>0.51683999999999997</v>
      </c>
      <c r="BI17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10.902385723337664</v>
      </c>
      <c r="BJ176">
        <f>Vout*Table1[[#This Row],[Iout]]</f>
        <v>175.2</v>
      </c>
      <c r="BK176" s="550">
        <f>Table1[[#This Row],[Pout]]/(Table1[[#This Row],[Pout]]+Table1[[#This Row],[Total Loss]])</f>
        <v>0.94141727049353741</v>
      </c>
      <c r="BL17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261.27151573122757</v>
      </c>
      <c r="BM176" s="559">
        <f>IF(Table1[[#This Row],[Vin]]&gt;Vout, Table1[[#This Row],[Total Sync Bu MOSFET Loss]]*ThetaJA_Q2, ThetaJA_Q3*Table1[[#This Row],[Total Sync Bo MOSFET Loss]])</f>
        <v>58.986246949016106</v>
      </c>
      <c r="BN176" s="9"/>
      <c r="BO176" s="4">
        <f>Table1[[#This Row],[EFF, h]]*100</f>
        <v>94.141727049353747</v>
      </c>
      <c r="BP176" s="354">
        <f>Table1[[#This Row],[Total Inductor Loss]]</f>
        <v>2.2300798392099739</v>
      </c>
      <c r="BQ176" s="354">
        <f>Table1[[#This Row],[Total Control Bu MOSFET Loss]]+Table1[[#This Row],[Total Sync Bu MOSFET Loss]]+Table1[[#This Row],[Total Control Bo MOSFET Loss]]+Table1[[#This Row],[Total Sync Bo MOSFET Loss]]+Table1[[#This Row],[Reverse Recovery Loss MOSFET D BUCK]]+Table1[[#This Row],[Reverse Recovery Loss MOSFET D BOOST]]</f>
        <v>6.4368840687536792</v>
      </c>
      <c r="BR176" s="354">
        <f>Table1[[#This Row],[Total Control Bu MOSFET Loss]]+Table1[[#This Row],[Reverse Recovery Loss MOSFET D BUCK]]*0.66</f>
        <v>4.6051108941871259</v>
      </c>
      <c r="BS176" s="354">
        <f>Table1[[#This Row],[Total Sync Bu MOSFET Loss]]+Table1[[#This Row],[Reverse Recovery Loss MOSFET D BUCK]]*0.33</f>
        <v>1.1083969318169351</v>
      </c>
      <c r="BT176" s="354">
        <f xml:space="preserve"> Table1[[#This Row],[Total Control Bo MOSFET Loss]]+Table1[[#This Row],[Reverse Recovery Loss MOSFET D BOOST]]*0.66</f>
        <v>0</v>
      </c>
      <c r="BU176" s="354">
        <f xml:space="preserve"> Table1[[#This Row],[Total Sync Bo MOSFET Loss]]+Table1[[#This Row],[Reverse Recovery Loss MOSFET D BOOST]]*0.33</f>
        <v>0.71957949074961713</v>
      </c>
      <c r="BV176" s="354">
        <f>Table1[[#This Row],[Isense Shunt Loss]]</f>
        <v>0.19540315654542606</v>
      </c>
    </row>
    <row r="177" spans="7:74" x14ac:dyDescent="0.2">
      <c r="G177">
        <v>168</v>
      </c>
      <c r="H177" s="555">
        <f>VIN_min+(VIN_max-VIN_min)*(Table1[[#This Row],[Step]]/200)</f>
        <v>31.759999999999998</v>
      </c>
      <c r="I177" s="4" t="str">
        <f>IF(Mode = 2,IF(Table1[[#This Row],[Vin]]&gt;Vout, "BUCK","BOOST"),IF(Table1[[#This Row],[Vin]]&gt;VIN_BB_to_buck, "BUCK", IF(Table1[[#This Row],[Vin]]&lt;=VIN_boost_to_BB,"BOOST","BUCK-BST")))</f>
        <v>BUCK</v>
      </c>
      <c r="J177">
        <f>IF(Table1[[#This Row],[Mode]]="BOOST",2, IF(Table1[[#This Row],[Mode]]="BUCK", 1,3))</f>
        <v>1</v>
      </c>
      <c r="K177">
        <f t="shared" si="7"/>
        <v>12</v>
      </c>
      <c r="L177" s="4">
        <f>Vout*Table1[[#This Row],[Iout]]/(Table1[[#This Row],[Vin]]*Efficiency)</f>
        <v>5.8067082062839717</v>
      </c>
      <c r="M177" s="711">
        <f>MIN(1/Fsw,CHOOSE(Table1[[#This Row],[Mode Digit]],(Vout+(Rdson2+Rs+Rdcr)*Table1[[#This Row],[Iout]])/(Table1[[#This Row],[Vin]]+(Rs+Rdson2-Rdson1)*Table1[[#This Row],[Iout]])/Fsw,(Vout+(Rdson3+Rdcr)*Table1[[#This Row],[Iin]]-Table1[[#This Row],[Vin]])/(Vout+(Rdson3-Rdson4-Rs)*Table1[[#This Row],[Iin]])/Fsw,t1_Ph_II))</f>
        <v>7.7330397399601554E-7</v>
      </c>
      <c r="N177" s="602">
        <f>CHOOSE(Table1[[#This Row],[Mode Digit]],1/Fsw-Table1[[#This Row],[t1_Ph_II]],1/Fsw-Table1[[#This Row],[t1_Ph_II]],(Vout/Fsw-Table1[[#This Row],[Vin]]*t1_Ph_II)/(Table1[[#This Row],[Vin]]+Vout))</f>
        <v>8.9336269267065112E-7</v>
      </c>
      <c r="O177" s="602">
        <f>1/Fsw-(Table1[[#This Row],[t1_Ph_II]]+Table1[[#This Row],[t2_Ph_I]])</f>
        <v>0</v>
      </c>
      <c r="P17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9.4867620845129501</v>
      </c>
      <c r="Q177" s="4">
        <f>CHOOSE(Table1[[#This Row],[Mode Digit]],Table1[[#This Row],[I_0]]+1/Lf*(Table1[[#This Row],[Vin]]-Vout)*Table1[[#This Row],[t1_Ph_II]],Table1[[#This Row],[I_0]]+1/Lf*Table1[[#This Row],[Vin]]*Table1[[#This Row],[t1_Ph_II]],Table1[[#This Row],[I_0]]+(Table1[[#This Row],[Vin]]-Vout)/L*Table1[[#This Row],[t1_Ph_II]])</f>
        <v>14.51323791548705</v>
      </c>
      <c r="R177" s="4">
        <f>CHOOSE(Table1[[#This Row],[Mode Digit]],0,0,Table1[[#This Row],[I_1]]+Table1[[#This Row],[Vin]]/L*Table1[[#This Row],[t2_Ph_I]])</f>
        <v>0</v>
      </c>
      <c r="S177" s="4">
        <f>Fsw*(Table1[[#This Row],[I_0]]*Table1[[#This Row],[t1_Ph_II]]+Table1[[#This Row],[I_1]]*Table1[[#This Row],[t2_Ph_I]]+Table1[[#This Row],[I_2]]*Table1[[#This Row],[t3_Ph_III]])</f>
        <v>12.181041674314733</v>
      </c>
      <c r="T177" s="354">
        <f>MIN(1,CHOOSE(Table1[[#This Row],[Mode Digit]],(Vout+(Rdson2+Rs+Rdcr)*Table1[[#This Row],[Iout]])/(Table1[[#This Row],[Vin]]+(Rs+Rdson2-Rdson1)*Table1[[#This Row],[Iout]]),1,Fsw*Table1[[#This Row],[t2_Ph_I]]+Table1[[#This Row],[t1_Ph_II]]))</f>
        <v>0.4639823843976093</v>
      </c>
      <c r="U177" s="354">
        <f>MIN(1,CHOOSE(Table1[[#This Row],[Mode Digit]],0,(Vout+(Rdson3+Rdcr)*Table1[[#This Row],[Iin]]-Table1[[#This Row],[Vin]])/(Vout+(Rdson3-Rdson4-Rs)*Table1[[#This Row],[Iin]]),Fsw*Table1[[#This Row],[t1_Ph_II]]+Table1[[#This Row],[t3_Ph_III]]))</f>
        <v>0</v>
      </c>
      <c r="V177" s="4">
        <f>MAX(Table1[[#This Row],[I_0]:[I_2]])-MIN(Table1[[#This Row],[I_0]:[I_1]])</f>
        <v>5.0264758309740998</v>
      </c>
      <c r="W17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12.087408942364251</v>
      </c>
      <c r="X177" s="354">
        <f>(Table1[[#This Row],[Irms Lf]]^2*Rdcr*(1+Ltc*Ta-Ltc*25))/(1-Table1[[#This Row],[Irms Lf]]^2*Rdcr*Ltc*ThetaCa)</f>
        <v>0.90903798835647809</v>
      </c>
      <c r="Y177" s="354">
        <f>ABS(7.759*10^-3*Fsw^0.9458*(0.00787*Table1[[#This Row],[Ripple Current pk-pk]])^2.304)</f>
        <v>1.3268392774711459</v>
      </c>
      <c r="Z177" s="354">
        <f>Table1[[#This Row],[DCR    Loss]]+Table1[[#This Row],[Core Loss]]</f>
        <v>2.2358772658276242</v>
      </c>
      <c r="AA177" s="4">
        <f>IF(Table1[[#This Row],[Vin]]&gt;Vout, Table1[[#This Row],[Ripple Current pk-pk]]/SQRT(12), SQRT(Table1[[#This Row],[Duty Cycle BOOST Leg]]/(1-Table1[[#This Row],[Duty Cycle BOOST Leg]]))*SQRT(Table1[[#This Row],[Iout]]^2+(Table1[[#This Row],[Ripple Current pk-pk]]^2)/12))</f>
        <v>1.4510185870440222</v>
      </c>
      <c r="AB177" s="354">
        <f>RCoutEsr*Table1[[#This Row],[Irms Cout]]^2</f>
        <v>1.0527274699736154E-2</v>
      </c>
      <c r="AC177" s="354">
        <f>Table1[[#This Row],[Cout ESR Loss]]</f>
        <v>1.0527274699736154E-2</v>
      </c>
      <c r="AD177" s="354">
        <f>IF(Table1[[#This Row],[Vin]]&gt;Vout, SQRT(Table1[[#This Row],[Duty Cycle BUCK Leg]]*(1-Table1[[#This Row],[Duty Cycle BUCK Leg]]))*SQRT(Table1[[#This Row],[Iout]]^2+(Table1[[#This Row],[Ripple Current pk-pk]]^2)/12), Table1[[#This Row],[Ripple Current pk-pk]]/SQRT(12))</f>
        <v>6.0280034597769969</v>
      </c>
      <c r="AE177" s="354">
        <f>RCinEsr*Table1[[#This Row],[Irms Cin]]^2</f>
        <v>7.2673651422166891E-2</v>
      </c>
      <c r="AF177" s="549">
        <f>Table1[[#This Row],[Cin ESR Loss]]</f>
        <v>7.2673651422166891E-2</v>
      </c>
      <c r="AG17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8.2334899864233879</v>
      </c>
      <c r="AH177" s="354">
        <f>Rdson1*Table1[[#This Row],[Irms BuCtrl]]^2</f>
        <v>0.28471950089744369</v>
      </c>
      <c r="AI177" s="354">
        <f>CHOOSE(Table1[[#This Row],[Mode Digit]], (Table1[[#This Row],[Vin]]*Table1[[#This Row],[Iout]]/2)*(Fsw)*(Tr_buck+Tf_buck), 0, (Table1[[#This Row],[Vin]]*Table1[[#This Row],[Avg IL]]/2)*(Fsw/1)*(Tr_buck+Tf_buck))</f>
        <v>3.7793257692463129</v>
      </c>
      <c r="AJ177">
        <f>IF(Table1[[#This Row],[Vin]]&gt;Vout, IF(Table1[[#This Row],[Iout]]&gt;Table1[[#This Row],[Ripple Current pk-pk]]/2,0,ABS(Table1[[#This Row],[Iout]]-Table1[[#This Row],[Ripple Current pk-pk]]/2)*Vsd_Q1*Deadtime*Fsw),0)</f>
        <v>0</v>
      </c>
      <c r="AK177" s="354">
        <f>(Table1[[#This Row],[Dead Time Loss BuCtrl]]+Table1[[#This Row],[Transition Loss BuCtrl]]+Table1[[#This Row],[RDS(on) Loss BuCtrl]]*(1+RdsonTopTc*Ta-RdsonTopTc*25))/(1-Table1[[#This Row],[RDS(on) Loss BuCtrl]]*RdsonTopTc*ThetaJA_Q1)</f>
        <v>4.3621206667239312</v>
      </c>
      <c r="AL177" s="354">
        <f>CHOOSE(Table1[[#This Row],[Mode Digit]],SQRT((Fsw*(Table1[[#This Row],[t2_Ph_I]]+0))*((Table1[[#This Row],[I_0]]*Table1[[#This Row],[I_1]]+((Table1[[#This Row],[I_0]]-Table1[[#This Row],[I_1]])^2)/3))),0,SQRT((Fsw*(Table1[[#This Row],[t3_Ph_III]]+0))*((Table1[[#This Row],[I_0]]*Table1[[#This Row],[I_2]]+((Table1[[#This Row],[I_0]]-Table1[[#This Row],[I_2]])^2)/3))))</f>
        <v>8.8495817744915524</v>
      </c>
      <c r="AM177" s="354">
        <f>Rdson2*Table1[[#This Row],[Irms BuSync]]^2</f>
        <v>0.32892340985033486</v>
      </c>
      <c r="AN17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7" s="354">
        <f>(Table1[[#This Row],[Deadtime Loss BuSync]]+Table1[[#This Row],[RDS(on) Loss BuSync]]*(1+RdsonBotTc*Ta-RdsonBotTc*25))/(1-Table1[[#This Row],[RDS(on) Loss BuSync]]*RdsonBotTc*ThetaJA_Q2)</f>
        <v>0.98397111029169038</v>
      </c>
      <c r="AP177" s="354">
        <f>CHOOSE(Table1[[#This Row],[Mode Digit]],0,SQRT((Fsw*(Table1[[#This Row],[t1_Ph_II]]+0))*((Table1[[#This Row],[I_0]]*Table1[[#This Row],[I_1]]+((Table1[[#This Row],[I_0]]-Table1[[#This Row],[I_1]])^2)/3))),SQRT((Fsw*(Table1[[#This Row],[t2_Ph_I]]+0))*((Table1[[#This Row],[I_1]]*Table1[[#This Row],[I_2]]+((Table1[[#This Row],[I_1]]-Table1[[#This Row],[I_2]])^2)/3))))</f>
        <v>0</v>
      </c>
      <c r="AQ177" s="354">
        <f>Rdson4*Table1[[#This Row],[Irms BoCtlr]]^2</f>
        <v>0</v>
      </c>
      <c r="AR177" s="354">
        <f>CHOOSE(Table1[[#This Row],[Mode Digit]], 0, (Vout*Table1[[#This Row],[Iin]]/2)*(Fsw)*(Tr_boost+Tf_boost), (Vout*Iout/2)*(Fsw/1)*(Tr_boost+Tf_boost))</f>
        <v>0</v>
      </c>
      <c r="AS177">
        <f>IF(Table1[[#This Row],[Vin]]&gt;Vout, 0, IF(Table1[[#This Row],[Iin]]&gt;Table1[[#This Row],[Ripple Current pk-pk]]/2,0,ABS(Table1[[#This Row],[Iin]]-Table1[[#This Row],[Ripple Current pk-pk]]/2)*Vsd_Q4*Deadtime*Fsw))</f>
        <v>0</v>
      </c>
      <c r="AT177" s="354">
        <f>(Table1[[#This Row],[Dead Time Loss BoCtlr]]+Table1[[#This Row],[Transition Loss BoCtlr]]+Table1[[#This Row],[RDS(on) Loss BoCtlr]]*(1+RdsonTopTc*Ta-RdsonTopTc*25))/(1-Table1[[#This Row],[RDS(on) Loss BoCtlr]]*RdsonTopTc*ThetaJA_Q4)</f>
        <v>0</v>
      </c>
      <c r="AU17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12.087408942364251</v>
      </c>
      <c r="AV177" s="354">
        <f>Rdson3*Table1[[#This Row],[Irms BoSync]]^2</f>
        <v>0.61364291074777844</v>
      </c>
      <c r="AW17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7" s="354">
        <f>(Table1[[#This Row],[Deadtime Loss BoSync]]+Table1[[#This Row],[RDS(on) Loss BoSync]]*(1+RdsonBotTc*Ta-RdsonBotTc*25))/(1-Table1[[#This Row],[RDS(on) Loss BoSync]]*RdsonBotTc*ThetaJA_Q3)</f>
        <v>0.7196252085817596</v>
      </c>
      <c r="AY177" s="354">
        <f>CHOOSE(Table1[[#This Row],[Mode Digit]], Rdson3*Table1[[#This Row],[Irms Lf]]^2, Rdson1*Table1[[#This Row],[Irms Lf]]^2, 0)</f>
        <v>0.61364291074777844</v>
      </c>
      <c r="AZ177" s="354">
        <f>CHOOSE(Table1[[#This Row],[Mode Digit]], 2*Deadtime*Fsw*IF(VfdSky_Q2&gt;0,VfdSky_Q2,0)*Table1[[#This Row],[Iout]], 2*Deadtime*Fsw*IF(VfdSky_Q3&gt;0,VfdSky_Q3,0)*Table1[[#This Row],[Iin]], 2*Deadtime*Fsw*IF(VfdSky_Q2&gt;0,VfdSky_Q2,0)*Table1[[#This Row],[Iout]]+2*Deadtime*Fsw*IF(VfdSky_Q3&gt;0,VfdSky_Q3,0)*Table1[[#This Row],[Iin]])</f>
        <v>0</v>
      </c>
      <c r="BA177" s="354">
        <f>CHOOSE(Table1[[#This Row],[Mode Digit]], IF(QrrSky_Q2&gt;0,QrrSky_Q2,Qrr_Q2)*Fsw*(Table1[[#This Row],[Vin]]-Table1[[#This Row],[Iout]]*Rdson1),0,  IF(QrrSky_Q2&gt;0,QrrSky_Q2,Qrr_Q2)*Fsw*(Table1[[#This Row],[Vin]]-Table1[[#This Row],[Iout]]*Rdson1)+IF(QrrSky_Q3&gt;0,QrrSky_Q3,Qrr_Q3)*Fsw*Vout)</f>
        <v>0.3805152</v>
      </c>
      <c r="BB177" s="354">
        <f>CHOOSE(Table1[[#This Row],[Mode Digit]],0, IF(QrrSky_Q3&gt;0,QrrSky_Q3,Qrr_Q3)*Fsw*Vout,  IF(QrrSky_Q2&gt;0,QrrSky_Q2,Qrr_Q2)*Fsw*(Table1[[#This Row],[Vin]]-Table1[[#This Row],[Iout]]*Rdson1)+IF(QrrSky_Q3&gt;0,QrrSky_Q3,Qrr_Q3)*Fsw*Vout)</f>
        <v>0</v>
      </c>
      <c r="BC177" s="354">
        <f>CHOOSE(Table1[[#This Row],[Mode Digit]], Rs*Table1[[#This Row],[Irms BuSync]]^2, Rs*Table1[[#This Row],[Irms BoCtlr]]^2, Rs*(Table1[[#This Row],[Irms BuSync]]^2+Table1[[#This Row],[Irms BoCtlr]]^2))</f>
        <v>0.19578774395853263</v>
      </c>
      <c r="BD177" s="354">
        <f t="shared" si="8"/>
        <v>1.44</v>
      </c>
      <c r="BE177" s="354">
        <f>IF(Vout&gt;8, Iq*Vout, Iq*Table1[[#This Row],[Vin]])</f>
        <v>4.3799999999999999E-2</v>
      </c>
      <c r="BF177" s="354">
        <f>CHOOSE(Table1[[#This Row],[Mode Digit]], (Qg_Q1+Qg_Q2)*Fsw, (Qg_Q3+Qg_Q4)*Fsw, (Qg_Q1+Qg_Q2+Qg_Q3+Qg_Q4)*Fsw)*IF(Vout&gt;8, Vout, Table1[[#This Row],[Vin]])</f>
        <v>0.47303999999999996</v>
      </c>
      <c r="BG177" s="354">
        <f t="shared" si="9"/>
        <v>0.57269042016806726</v>
      </c>
      <c r="BH177" s="354">
        <f>Table1[[#This Row],[IQ Loss]]+Table1[[#This Row],[Switching Current Loss]]</f>
        <v>0.51683999999999997</v>
      </c>
      <c r="BI17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10.917938121505442</v>
      </c>
      <c r="BJ177">
        <f>Vout*Table1[[#This Row],[Iout]]</f>
        <v>175.2</v>
      </c>
      <c r="BK177" s="550">
        <f>Table1[[#This Row],[Pout]]/(Table1[[#This Row],[Pout]]+Table1[[#This Row],[Total Loss]])</f>
        <v>0.94133860372782674</v>
      </c>
      <c r="BL17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261.7272400034359</v>
      </c>
      <c r="BM177" s="559">
        <f>IF(Table1[[#This Row],[Vin]]&gt;Vout, Table1[[#This Row],[Total Sync Bu MOSFET Loss]]*ThetaJA_Q2, ThetaJA_Q3*Table1[[#This Row],[Total Sync Bo MOSFET Loss]])</f>
        <v>59.038266617501421</v>
      </c>
      <c r="BN177" s="9"/>
      <c r="BO177" s="4">
        <f>Table1[[#This Row],[EFF, h]]*100</f>
        <v>94.133860372782678</v>
      </c>
      <c r="BP177" s="354">
        <f>Table1[[#This Row],[Total Inductor Loss]]</f>
        <v>2.2358772658276242</v>
      </c>
      <c r="BQ177" s="354">
        <f>Table1[[#This Row],[Total Control Bu MOSFET Loss]]+Table1[[#This Row],[Total Sync Bu MOSFET Loss]]+Table1[[#This Row],[Total Control Bo MOSFET Loss]]+Table1[[#This Row],[Total Sync Bo MOSFET Loss]]+Table1[[#This Row],[Reverse Recovery Loss MOSFET D BUCK]]+Table1[[#This Row],[Reverse Recovery Loss MOSFET D BOOST]]</f>
        <v>6.4462321855973803</v>
      </c>
      <c r="BR177" s="354">
        <f>Table1[[#This Row],[Total Control Bu MOSFET Loss]]+Table1[[#This Row],[Reverse Recovery Loss MOSFET D BUCK]]*0.66</f>
        <v>4.6132606987239315</v>
      </c>
      <c r="BS177" s="354">
        <f>Table1[[#This Row],[Total Sync Bu MOSFET Loss]]+Table1[[#This Row],[Reverse Recovery Loss MOSFET D BUCK]]*0.33</f>
        <v>1.1095411262916903</v>
      </c>
      <c r="BT177" s="354">
        <f xml:space="preserve"> Table1[[#This Row],[Total Control Bo MOSFET Loss]]+Table1[[#This Row],[Reverse Recovery Loss MOSFET D BOOST]]*0.66</f>
        <v>0</v>
      </c>
      <c r="BU177" s="354">
        <f xml:space="preserve"> Table1[[#This Row],[Total Sync Bo MOSFET Loss]]+Table1[[#This Row],[Reverse Recovery Loss MOSFET D BOOST]]*0.33</f>
        <v>0.7196252085817596</v>
      </c>
      <c r="BV177" s="354">
        <f>Table1[[#This Row],[Isense Shunt Loss]]</f>
        <v>0.19578774395853263</v>
      </c>
    </row>
    <row r="178" spans="7:74" x14ac:dyDescent="0.2">
      <c r="G178">
        <v>169</v>
      </c>
      <c r="H178" s="555">
        <f>VIN_min+(VIN_max-VIN_min)*(Table1[[#This Row],[Step]]/200)</f>
        <v>31.83</v>
      </c>
      <c r="I178" s="4" t="str">
        <f>IF(Mode = 2,IF(Table1[[#This Row],[Vin]]&gt;Vout, "BUCK","BOOST"),IF(Table1[[#This Row],[Vin]]&gt;VIN_BB_to_buck, "BUCK", IF(Table1[[#This Row],[Vin]]&lt;=VIN_boost_to_BB,"BOOST","BUCK-BST")))</f>
        <v>BUCK</v>
      </c>
      <c r="J178">
        <f>IF(Table1[[#This Row],[Mode]]="BOOST",2, IF(Table1[[#This Row],[Mode]]="BUCK", 1,3))</f>
        <v>1</v>
      </c>
      <c r="K178">
        <f t="shared" si="7"/>
        <v>12</v>
      </c>
      <c r="L178" s="4">
        <f>Vout*Table1[[#This Row],[Iout]]/(Table1[[#This Row],[Vin]]*Efficiency)</f>
        <v>5.7939381913785404</v>
      </c>
      <c r="M178" s="711">
        <f>MIN(1/Fsw,CHOOSE(Table1[[#This Row],[Mode Digit]],(Vout+(Rdson2+Rs+Rdcr)*Table1[[#This Row],[Iout]])/(Table1[[#This Row],[Vin]]+(Rs+Rdson2-Rdson1)*Table1[[#This Row],[Iout]])/Fsw,(Vout+(Rdson3+Rdcr)*Table1[[#This Row],[Iin]]-Table1[[#This Row],[Vin]])/(Vout+(Rdson3-Rdson4-Rs)*Table1[[#This Row],[Iin]])/Fsw,t1_Ph_II))</f>
        <v>7.7160493827160489E-7</v>
      </c>
      <c r="N178" s="602">
        <f>CHOOSE(Table1[[#This Row],[Mode Digit]],1/Fsw-Table1[[#This Row],[t1_Ph_II]],1/Fsw-Table1[[#This Row],[t1_Ph_II]],(Vout/Fsw-Table1[[#This Row],[Vin]]*t1_Ph_II)/(Table1[[#This Row],[Vin]]+Vout))</f>
        <v>8.9506172839506177E-7</v>
      </c>
      <c r="O178" s="602">
        <f>1/Fsw-(Table1[[#This Row],[t1_Ph_II]]+Table1[[#This Row],[t2_Ph_I]])</f>
        <v>0</v>
      </c>
      <c r="P17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9.4820543396932297</v>
      </c>
      <c r="Q178" s="4">
        <f>CHOOSE(Table1[[#This Row],[Mode Digit]],Table1[[#This Row],[I_0]]+1/Lf*(Table1[[#This Row],[Vin]]-Vout)*Table1[[#This Row],[t1_Ph_II]],Table1[[#This Row],[I_0]]+1/Lf*Table1[[#This Row],[Vin]]*Table1[[#This Row],[t1_Ph_II]],Table1[[#This Row],[I_0]]+(Table1[[#This Row],[Vin]]-Vout)/L*Table1[[#This Row],[t1_Ph_II]])</f>
        <v>14.517945660306772</v>
      </c>
      <c r="R178" s="4">
        <f>CHOOSE(Table1[[#This Row],[Mode Digit]],0,0,Table1[[#This Row],[I_1]]+Table1[[#This Row],[Vin]]/L*Table1[[#This Row],[t2_Ph_I]])</f>
        <v>0</v>
      </c>
      <c r="S178" s="4">
        <f>Fsw*(Table1[[#This Row],[I_0]]*Table1[[#This Row],[t1_Ph_II]]+Table1[[#This Row],[I_1]]*Table1[[#This Row],[t2_Ph_I]]+Table1[[#This Row],[I_2]]*Table1[[#This Row],[t3_Ph_III]])</f>
        <v>12.186514493356057</v>
      </c>
      <c r="T178" s="354">
        <f>MIN(1,CHOOSE(Table1[[#This Row],[Mode Digit]],(Vout+(Rdson2+Rs+Rdcr)*Table1[[#This Row],[Iout]])/(Table1[[#This Row],[Vin]]+(Rs+Rdson2-Rdson1)*Table1[[#This Row],[Iout]]),1,Fsw*Table1[[#This Row],[t2_Ph_I]]+Table1[[#This Row],[t1_Ph_II]]))</f>
        <v>0.46296296296296297</v>
      </c>
      <c r="U178" s="354">
        <f>MIN(1,CHOOSE(Table1[[#This Row],[Mode Digit]],0,(Vout+(Rdson3+Rdcr)*Table1[[#This Row],[Iin]]-Table1[[#This Row],[Vin]])/(Vout+(Rdson3-Rdson4-Rs)*Table1[[#This Row],[Iin]]),Fsw*Table1[[#This Row],[t1_Ph_II]]+Table1[[#This Row],[t3_Ph_III]]))</f>
        <v>0</v>
      </c>
      <c r="V178" s="4">
        <f>MAX(Table1[[#This Row],[I_0]:[I_2]])-MIN(Table1[[#This Row],[I_0]:[I_1]])</f>
        <v>5.0358913206135423</v>
      </c>
      <c r="W17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12.087735524741015</v>
      </c>
      <c r="X178" s="354">
        <f>(Table1[[#This Row],[Irms Lf]]^2*Rdcr*(1+Ltc*Ta-Ltc*25))/(1-Table1[[#This Row],[Irms Lf]]^2*Rdcr*Ltc*ThetaCa)</f>
        <v>0.90909068303264895</v>
      </c>
      <c r="Y178" s="354">
        <f>ABS(7.759*10^-3*Fsw^0.9458*(0.00787*Table1[[#This Row],[Ripple Current pk-pk]])^2.304)</f>
        <v>1.3325726517182568</v>
      </c>
      <c r="Z178" s="354">
        <f>Table1[[#This Row],[DCR    Loss]]+Table1[[#This Row],[Core Loss]]</f>
        <v>2.2416633347509056</v>
      </c>
      <c r="AA178" s="4">
        <f>IF(Table1[[#This Row],[Vin]]&gt;Vout, Table1[[#This Row],[Ripple Current pk-pk]]/SQRT(12), SQRT(Table1[[#This Row],[Duty Cycle BOOST Leg]]/(1-Table1[[#This Row],[Duty Cycle BOOST Leg]]))*SQRT(Table1[[#This Row],[Iout]]^2+(Table1[[#This Row],[Ripple Current pk-pk]]^2)/12))</f>
        <v>1.4537366047829643</v>
      </c>
      <c r="AB178" s="354">
        <f>RCoutEsr*Table1[[#This Row],[Irms Cout]]^2</f>
        <v>1.0566750580429503E-2</v>
      </c>
      <c r="AC178" s="354">
        <f>Table1[[#This Row],[Cout ESR Loss]]</f>
        <v>1.0566750580429503E-2</v>
      </c>
      <c r="AD178" s="354">
        <f>IF(Table1[[#This Row],[Vin]]&gt;Vout, SQRT(Table1[[#This Row],[Duty Cycle BUCK Leg]]*(1-Table1[[#This Row],[Duty Cycle BUCK Leg]]))*SQRT(Table1[[#This Row],[Iout]]^2+(Table1[[#This Row],[Ripple Current pk-pk]]^2)/12), Table1[[#This Row],[Ripple Current pk-pk]]/SQRT(12))</f>
        <v>6.0272636986837806</v>
      </c>
      <c r="AE178" s="354">
        <f>RCinEsr*Table1[[#This Row],[Irms Cin]]^2</f>
        <v>7.2655815386942574E-2</v>
      </c>
      <c r="AF178" s="549">
        <f>Table1[[#This Row],[Cin ESR Loss]]</f>
        <v>7.2655815386942574E-2</v>
      </c>
      <c r="AG17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8.2246622725913756</v>
      </c>
      <c r="AH178" s="354">
        <f>Rdson1*Table1[[#This Row],[Irms BuCtrl]]^2</f>
        <v>0.28410929189238937</v>
      </c>
      <c r="AI178" s="354">
        <f>CHOOSE(Table1[[#This Row],[Mode Digit]], (Table1[[#This Row],[Vin]]*Table1[[#This Row],[Iout]]/2)*(Fsw)*(Tr_buck+Tf_buck), 0, (Table1[[#This Row],[Vin]]*Table1[[#This Row],[Avg IL]]/2)*(Fsw/1)*(Tr_buck+Tf_buck))</f>
        <v>3.7876555174782789</v>
      </c>
      <c r="AJ178">
        <f>IF(Table1[[#This Row],[Vin]]&gt;Vout, IF(Table1[[#This Row],[Iout]]&gt;Table1[[#This Row],[Ripple Current pk-pk]]/2,0,ABS(Table1[[#This Row],[Iout]]-Table1[[#This Row],[Ripple Current pk-pk]]/2)*Vsd_Q1*Deadtime*Fsw),0)</f>
        <v>0</v>
      </c>
      <c r="AK178" s="354">
        <f>(Table1[[#This Row],[Dead Time Loss BuCtrl]]+Table1[[#This Row],[Transition Loss BuCtrl]]+Table1[[#This Row],[RDS(on) Loss BuCtrl]]*(1+RdsonTopTc*Ta-RdsonTopTc*25))/(1-Table1[[#This Row],[RDS(on) Loss BuCtrl]]*RdsonTopTc*ThetaJA_Q1)</f>
        <v>4.3697195090896663</v>
      </c>
      <c r="AL178" s="354">
        <f>CHOOSE(Table1[[#This Row],[Mode Digit]],SQRT((Fsw*(Table1[[#This Row],[t2_Ph_I]]+0))*((Table1[[#This Row],[I_0]]*Table1[[#This Row],[I_1]]+((Table1[[#This Row],[I_0]]-Table1[[#This Row],[I_1]])^2)/3))),0,SQRT((Fsw*(Table1[[#This Row],[t3_Ph_III]]+0))*((Table1[[#This Row],[I_0]]*Table1[[#This Row],[I_2]]+((Table1[[#This Row],[I_0]]-Table1[[#This Row],[I_2]])^2)/3))))</f>
        <v>8.858232364185195</v>
      </c>
      <c r="AM178" s="354">
        <f>Rdson2*Table1[[#This Row],[Irms BuSync]]^2</f>
        <v>0.32956677859517181</v>
      </c>
      <c r="AN17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8" s="354">
        <f>(Table1[[#This Row],[Deadtime Loss BuSync]]+Table1[[#This Row],[RDS(on) Loss BuSync]]*(1+RdsonBotTc*Ta-RdsonBotTc*25))/(1-Table1[[#This Row],[RDS(on) Loss BuSync]]*RdsonBotTc*ThetaJA_Q2)</f>
        <v>0.98483472068973432</v>
      </c>
      <c r="AP178" s="354">
        <f>CHOOSE(Table1[[#This Row],[Mode Digit]],0,SQRT((Fsw*(Table1[[#This Row],[t1_Ph_II]]+0))*((Table1[[#This Row],[I_0]]*Table1[[#This Row],[I_1]]+((Table1[[#This Row],[I_0]]-Table1[[#This Row],[I_1]])^2)/3))),SQRT((Fsw*(Table1[[#This Row],[t2_Ph_I]]+0))*((Table1[[#This Row],[I_1]]*Table1[[#This Row],[I_2]]+((Table1[[#This Row],[I_1]]-Table1[[#This Row],[I_2]])^2)/3))))</f>
        <v>0</v>
      </c>
      <c r="AQ178" s="354">
        <f>Rdson4*Table1[[#This Row],[Irms BoCtlr]]^2</f>
        <v>0</v>
      </c>
      <c r="AR178" s="354">
        <f>CHOOSE(Table1[[#This Row],[Mode Digit]], 0, (Vout*Table1[[#This Row],[Iin]]/2)*(Fsw)*(Tr_boost+Tf_boost), (Vout*Iout/2)*(Fsw/1)*(Tr_boost+Tf_boost))</f>
        <v>0</v>
      </c>
      <c r="AS178">
        <f>IF(Table1[[#This Row],[Vin]]&gt;Vout, 0, IF(Table1[[#This Row],[Iin]]&gt;Table1[[#This Row],[Ripple Current pk-pk]]/2,0,ABS(Table1[[#This Row],[Iin]]-Table1[[#This Row],[Ripple Current pk-pk]]/2)*Vsd_Q4*Deadtime*Fsw))</f>
        <v>0</v>
      </c>
      <c r="AT178" s="354">
        <f>(Table1[[#This Row],[Dead Time Loss BoCtlr]]+Table1[[#This Row],[Transition Loss BoCtlr]]+Table1[[#This Row],[RDS(on) Loss BoCtlr]]*(1+RdsonTopTc*Ta-RdsonTopTc*25))/(1-Table1[[#This Row],[RDS(on) Loss BoCtlr]]*RdsonTopTc*ThetaJA_Q4)</f>
        <v>0</v>
      </c>
      <c r="AU17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12.087735524741015</v>
      </c>
      <c r="AV178" s="354">
        <f>Rdson3*Table1[[#This Row],[Irms BoSync]]^2</f>
        <v>0.61367607048756101</v>
      </c>
      <c r="AW17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8" s="354">
        <f>(Table1[[#This Row],[Deadtime Loss BoSync]]+Table1[[#This Row],[RDS(on) Loss BoSync]]*(1+RdsonBotTc*Ta-RdsonBotTc*25))/(1-Table1[[#This Row],[RDS(on) Loss BoSync]]*RdsonBotTc*ThetaJA_Q3)</f>
        <v>0.71967081190175131</v>
      </c>
      <c r="AY178" s="354">
        <f>CHOOSE(Table1[[#This Row],[Mode Digit]], Rdson3*Table1[[#This Row],[Irms Lf]]^2, Rdson1*Table1[[#This Row],[Irms Lf]]^2, 0)</f>
        <v>0.61367607048756101</v>
      </c>
      <c r="AZ178" s="354">
        <f>CHOOSE(Table1[[#This Row],[Mode Digit]], 2*Deadtime*Fsw*IF(VfdSky_Q2&gt;0,VfdSky_Q2,0)*Table1[[#This Row],[Iout]], 2*Deadtime*Fsw*IF(VfdSky_Q3&gt;0,VfdSky_Q3,0)*Table1[[#This Row],[Iin]], 2*Deadtime*Fsw*IF(VfdSky_Q2&gt;0,VfdSky_Q2,0)*Table1[[#This Row],[Iout]]+2*Deadtime*Fsw*IF(VfdSky_Q3&gt;0,VfdSky_Q3,0)*Table1[[#This Row],[Iin]])</f>
        <v>0</v>
      </c>
      <c r="BA178" s="354">
        <f>CHOOSE(Table1[[#This Row],[Mode Digit]], IF(QrrSky_Q2&gt;0,QrrSky_Q2,Qrr_Q2)*Fsw*(Table1[[#This Row],[Vin]]-Table1[[#This Row],[Iout]]*Rdson1),0,  IF(QrrSky_Q2&gt;0,QrrSky_Q2,Qrr_Q2)*Fsw*(Table1[[#This Row],[Vin]]-Table1[[#This Row],[Iout]]*Rdson1)+IF(QrrSky_Q3&gt;0,QrrSky_Q3,Qrr_Q3)*Fsw*Vout)</f>
        <v>0.38135520000000001</v>
      </c>
      <c r="BB178" s="354">
        <f>CHOOSE(Table1[[#This Row],[Mode Digit]],0, IF(QrrSky_Q3&gt;0,QrrSky_Q3,Qrr_Q3)*Fsw*Vout,  IF(QrrSky_Q2&gt;0,QrrSky_Q2,Qrr_Q2)*Fsw*(Table1[[#This Row],[Vin]]-Table1[[#This Row],[Iout]]*Rdson1)+IF(QrrSky_Q3&gt;0,QrrSky_Q3,Qrr_Q3)*Fsw*Vout)</f>
        <v>0</v>
      </c>
      <c r="BC178" s="354">
        <f>CHOOSE(Table1[[#This Row],[Mode Digit]], Rs*Table1[[#This Row],[Irms BuSync]]^2, Rs*Table1[[#This Row],[Irms BoCtlr]]^2, Rs*(Table1[[#This Row],[Irms BuSync]]^2+Table1[[#This Row],[Irms BoCtlr]]^2))</f>
        <v>0.19617070154474509</v>
      </c>
      <c r="BD178" s="354">
        <f t="shared" si="8"/>
        <v>1.44</v>
      </c>
      <c r="BE178" s="354">
        <f>IF(Vout&gt;8, Iq*Vout, Iq*Table1[[#This Row],[Vin]])</f>
        <v>4.3799999999999999E-2</v>
      </c>
      <c r="BF178" s="354">
        <f>CHOOSE(Table1[[#This Row],[Mode Digit]], (Qg_Q1+Qg_Q2)*Fsw, (Qg_Q3+Qg_Q4)*Fsw, (Qg_Q1+Qg_Q2+Qg_Q3+Qg_Q4)*Fsw)*IF(Vout&gt;8, Vout, Table1[[#This Row],[Vin]])</f>
        <v>0.47303999999999996</v>
      </c>
      <c r="BG178" s="354">
        <f t="shared" si="9"/>
        <v>0.57269042016806726</v>
      </c>
      <c r="BH178" s="354">
        <f>Table1[[#This Row],[IQ Loss]]+Table1[[#This Row],[Switching Current Loss]]</f>
        <v>0.51683999999999997</v>
      </c>
      <c r="BI17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10.933476843944174</v>
      </c>
      <c r="BJ178">
        <f>Vout*Table1[[#This Row],[Iout]]</f>
        <v>175.2</v>
      </c>
      <c r="BK178" s="550">
        <f>Table1[[#This Row],[Pout]]/(Table1[[#This Row],[Pout]]+Table1[[#This Row],[Total Loss]])</f>
        <v>0.94126001926504133</v>
      </c>
      <c r="BL17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262.18317054537999</v>
      </c>
      <c r="BM178" s="559">
        <f>IF(Table1[[#This Row],[Vin]]&gt;Vout, Table1[[#This Row],[Total Sync Bu MOSFET Loss]]*ThetaJA_Q2, ThetaJA_Q3*Table1[[#This Row],[Total Sync Bo MOSFET Loss]])</f>
        <v>59.090083241384058</v>
      </c>
      <c r="BN178" s="9"/>
      <c r="BO178" s="4">
        <f>Table1[[#This Row],[EFF, h]]*100</f>
        <v>94.126001926504131</v>
      </c>
      <c r="BP178" s="354">
        <f>Table1[[#This Row],[Total Inductor Loss]]</f>
        <v>2.2416633347509056</v>
      </c>
      <c r="BQ178" s="354">
        <f>Table1[[#This Row],[Total Control Bu MOSFET Loss]]+Table1[[#This Row],[Total Sync Bu MOSFET Loss]]+Table1[[#This Row],[Total Control Bo MOSFET Loss]]+Table1[[#This Row],[Total Sync Bo MOSFET Loss]]+Table1[[#This Row],[Reverse Recovery Loss MOSFET D BUCK]]+Table1[[#This Row],[Reverse Recovery Loss MOSFET D BOOST]]</f>
        <v>6.4555802416811519</v>
      </c>
      <c r="BR178" s="354">
        <f>Table1[[#This Row],[Total Control Bu MOSFET Loss]]+Table1[[#This Row],[Reverse Recovery Loss MOSFET D BUCK]]*0.66</f>
        <v>4.6214139410896662</v>
      </c>
      <c r="BS178" s="354">
        <f>Table1[[#This Row],[Total Sync Bu MOSFET Loss]]+Table1[[#This Row],[Reverse Recovery Loss MOSFET D BUCK]]*0.33</f>
        <v>1.1106819366897343</v>
      </c>
      <c r="BT178" s="354">
        <f xml:space="preserve"> Table1[[#This Row],[Total Control Bo MOSFET Loss]]+Table1[[#This Row],[Reverse Recovery Loss MOSFET D BOOST]]*0.66</f>
        <v>0</v>
      </c>
      <c r="BU178" s="354">
        <f xml:space="preserve"> Table1[[#This Row],[Total Sync Bo MOSFET Loss]]+Table1[[#This Row],[Reverse Recovery Loss MOSFET D BOOST]]*0.33</f>
        <v>0.71967081190175131</v>
      </c>
      <c r="BV178" s="354">
        <f>Table1[[#This Row],[Isense Shunt Loss]]</f>
        <v>0.19617070154474509</v>
      </c>
    </row>
    <row r="179" spans="7:74" x14ac:dyDescent="0.2">
      <c r="G179">
        <v>170</v>
      </c>
      <c r="H179" s="555">
        <f>VIN_min+(VIN_max-VIN_min)*(Table1[[#This Row],[Step]]/200)</f>
        <v>31.9</v>
      </c>
      <c r="I179" s="4" t="str">
        <f>IF(Mode = 2,IF(Table1[[#This Row],[Vin]]&gt;Vout, "BUCK","BOOST"),IF(Table1[[#This Row],[Vin]]&gt;VIN_BB_to_buck, "BUCK", IF(Table1[[#This Row],[Vin]]&lt;=VIN_boost_to_BB,"BOOST","BUCK-BST")))</f>
        <v>BUCK</v>
      </c>
      <c r="J179">
        <f>IF(Table1[[#This Row],[Mode]]="BOOST",2, IF(Table1[[#This Row],[Mode]]="BUCK", 1,3))</f>
        <v>1</v>
      </c>
      <c r="K179">
        <f t="shared" si="7"/>
        <v>12</v>
      </c>
      <c r="L179" s="4">
        <f>Vout*Table1[[#This Row],[Iout]]/(Table1[[#This Row],[Vin]]*Efficiency)</f>
        <v>5.7812242204256723</v>
      </c>
      <c r="M179" s="711">
        <f>MIN(1/Fsw,CHOOSE(Table1[[#This Row],[Mode Digit]],(Vout+(Rdson2+Rs+Rdcr)*Table1[[#This Row],[Iout]])/(Table1[[#This Row],[Vin]]+(Rs+Rdson2-Rdson1)*Table1[[#This Row],[Iout]])/Fsw,(Vout+(Rdson3+Rdcr)*Table1[[#This Row],[Iin]]-Table1[[#This Row],[Vin]])/(Vout+(Rdson3-Rdson4-Rs)*Table1[[#This Row],[Iin]])/Fsw,t1_Ph_II))</f>
        <v>7.6991335212443885E-7</v>
      </c>
      <c r="N179" s="602">
        <f>CHOOSE(Table1[[#This Row],[Mode Digit]],1/Fsw-Table1[[#This Row],[t1_Ph_II]],1/Fsw-Table1[[#This Row],[t1_Ph_II]],(Vout/Fsw-Table1[[#This Row],[Vin]]*t1_Ph_II)/(Table1[[#This Row],[Vin]]+Vout))</f>
        <v>8.9675331454222781E-7</v>
      </c>
      <c r="O179" s="602">
        <f>1/Fsw-(Table1[[#This Row],[t1_Ph_II]]+Table1[[#This Row],[t2_Ph_I]])</f>
        <v>0</v>
      </c>
      <c r="P17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9.4773672364104566</v>
      </c>
      <c r="Q179" s="4">
        <f>CHOOSE(Table1[[#This Row],[Mode Digit]],Table1[[#This Row],[I_0]]+1/Lf*(Table1[[#This Row],[Vin]]-Vout)*Table1[[#This Row],[t1_Ph_II]],Table1[[#This Row],[I_0]]+1/Lf*Table1[[#This Row],[Vin]]*Table1[[#This Row],[t1_Ph_II]],Table1[[#This Row],[I_0]]+(Table1[[#This Row],[Vin]]-Vout)/L*Table1[[#This Row],[t1_Ph_II]])</f>
        <v>14.522632763589543</v>
      </c>
      <c r="R179" s="4">
        <f>CHOOSE(Table1[[#This Row],[Mode Digit]],0,0,Table1[[#This Row],[I_1]]+Table1[[#This Row],[Vin]]/L*Table1[[#This Row],[t2_Ph_I]])</f>
        <v>0</v>
      </c>
      <c r="S179" s="4">
        <f>Fsw*(Table1[[#This Row],[I_0]]*Table1[[#This Row],[t1_Ph_II]]+Table1[[#This Row],[I_1]]*Table1[[#This Row],[t2_Ph_I]]+Table1[[#This Row],[I_2]]*Table1[[#This Row],[t3_Ph_III]])</f>
        <v>12.191982386956548</v>
      </c>
      <c r="T179" s="354">
        <f>MIN(1,CHOOSE(Table1[[#This Row],[Mode Digit]],(Vout+(Rdson2+Rs+Rdcr)*Table1[[#This Row],[Iout]])/(Table1[[#This Row],[Vin]]+(Rs+Rdson2-Rdson1)*Table1[[#This Row],[Iout]]),1,Fsw*Table1[[#This Row],[t2_Ph_I]]+Table1[[#This Row],[t1_Ph_II]]))</f>
        <v>0.46194801127466334</v>
      </c>
      <c r="U179" s="354">
        <f>MIN(1,CHOOSE(Table1[[#This Row],[Mode Digit]],0,(Vout+(Rdson3+Rdcr)*Table1[[#This Row],[Iin]]-Table1[[#This Row],[Vin]])/(Vout+(Rdson3-Rdson4-Rs)*Table1[[#This Row],[Iin]]),Fsw*Table1[[#This Row],[t1_Ph_II]]+Table1[[#This Row],[t3_Ph_III]]))</f>
        <v>0</v>
      </c>
      <c r="V179" s="4">
        <f>MAX(Table1[[#This Row],[I_0]:[I_2]])-MIN(Table1[[#This Row],[I_0]:[I_1]])</f>
        <v>5.0452655271790867</v>
      </c>
      <c r="W17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12.088061273558793</v>
      </c>
      <c r="X179" s="354">
        <f>(Table1[[#This Row],[Irms Lf]]^2*Rdcr*(1+Ltc*Ta-Ltc*25))/(1-Table1[[#This Row],[Irms Lf]]^2*Rdcr*Ltc*ThetaCa)</f>
        <v>0.9091432450433734</v>
      </c>
      <c r="Y179" s="354">
        <f>ABS(7.759*10^-3*Fsw^0.9458*(0.00787*Table1[[#This Row],[Ripple Current pk-pk]])^2.304)</f>
        <v>1.338294790899089</v>
      </c>
      <c r="Z179" s="354">
        <f>Table1[[#This Row],[DCR    Loss]]+Table1[[#This Row],[Core Loss]]</f>
        <v>2.2474380359424622</v>
      </c>
      <c r="AA179" s="4">
        <f>IF(Table1[[#This Row],[Vin]]&gt;Vout, Table1[[#This Row],[Ripple Current pk-pk]]/SQRT(12), SQRT(Table1[[#This Row],[Duty Cycle BOOST Leg]]/(1-Table1[[#This Row],[Duty Cycle BOOST Leg]]))*SQRT(Table1[[#This Row],[Iout]]^2+(Table1[[#This Row],[Ripple Current pk-pk]]^2)/12))</f>
        <v>1.4564427051249924</v>
      </c>
      <c r="AB179" s="354">
        <f>RCoutEsr*Table1[[#This Row],[Irms Cout]]^2</f>
        <v>1.0606126766559029E-2</v>
      </c>
      <c r="AC179" s="354">
        <f>Table1[[#This Row],[Cout ESR Loss]]</f>
        <v>1.0606126766559029E-2</v>
      </c>
      <c r="AD179" s="354">
        <f>IF(Table1[[#This Row],[Vin]]&gt;Vout, SQRT(Table1[[#This Row],[Duty Cycle BUCK Leg]]*(1-Table1[[#This Row],[Duty Cycle BUCK Leg]]))*SQRT(Table1[[#This Row],[Iout]]^2+(Table1[[#This Row],[Ripple Current pk-pk]]^2)/12), Table1[[#This Row],[Ripple Current pk-pk]]/SQRT(12))</f>
        <v>6.0265022648383901</v>
      </c>
      <c r="AE179" s="354">
        <f>RCinEsr*Table1[[#This Row],[Irms Cin]]^2</f>
        <v>7.263745909620449E-2</v>
      </c>
      <c r="AF179" s="549">
        <f>Table1[[#This Row],[Cin ESR Loss]]</f>
        <v>7.263745909620449E-2</v>
      </c>
      <c r="AG17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8.2158632812979135</v>
      </c>
      <c r="AH179" s="354">
        <f>Rdson1*Table1[[#This Row],[Irms BuCtrl]]^2</f>
        <v>0.28350171971931315</v>
      </c>
      <c r="AI179" s="354">
        <f>CHOOSE(Table1[[#This Row],[Mode Digit]], (Table1[[#This Row],[Vin]]*Table1[[#This Row],[Iout]]/2)*(Fsw)*(Tr_buck+Tf_buck), 0, (Table1[[#This Row],[Vin]]*Table1[[#This Row],[Avg IL]]/2)*(Fsw/1)*(Tr_buck+Tf_buck))</f>
        <v>3.7959852657102449</v>
      </c>
      <c r="AJ179">
        <f>IF(Table1[[#This Row],[Vin]]&gt;Vout, IF(Table1[[#This Row],[Iout]]&gt;Table1[[#This Row],[Ripple Current pk-pk]]/2,0,ABS(Table1[[#This Row],[Iout]]-Table1[[#This Row],[Ripple Current pk-pk]]/2)*Vsd_Q1*Deadtime*Fsw),0)</f>
        <v>0</v>
      </c>
      <c r="AK179" s="354">
        <f>(Table1[[#This Row],[Dead Time Loss BuCtrl]]+Table1[[#This Row],[Transition Loss BuCtrl]]+Table1[[#This Row],[RDS(on) Loss BuCtrl]]*(1+RdsonTopTc*Ta-RdsonTopTc*25))/(1-Table1[[#This Row],[RDS(on) Loss BuCtrl]]*RdsonTopTc*ThetaJA_Q1)</f>
        <v>4.3773217649825149</v>
      </c>
      <c r="AL179" s="354">
        <f>CHOOSE(Table1[[#This Row],[Mode Digit]],SQRT((Fsw*(Table1[[#This Row],[t2_Ph_I]]+0))*((Table1[[#This Row],[I_0]]*Table1[[#This Row],[I_1]]+((Table1[[#This Row],[I_0]]-Table1[[#This Row],[I_1]])^2)/3))),0,SQRT((Fsw*(Table1[[#This Row],[t3_Ph_III]]+0))*((Table1[[#This Row],[I_0]]*Table1[[#This Row],[I_2]]+((Table1[[#This Row],[I_0]]-Table1[[#This Row],[I_2]])^2)/3))))</f>
        <v>8.866837987486436</v>
      </c>
      <c r="AM179" s="354">
        <f>Rdson2*Table1[[#This Row],[Irms BuSync]]^2</f>
        <v>0.33020742676459663</v>
      </c>
      <c r="AN17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79" s="354">
        <f>(Table1[[#This Row],[Deadtime Loss BuSync]]+Table1[[#This Row],[RDS(on) Loss BuSync]]*(1+RdsonBotTc*Ta-RdsonBotTc*25))/(1-Table1[[#This Row],[RDS(on) Loss BuSync]]*RdsonBotTc*ThetaJA_Q2)</f>
        <v>0.98569496700729542</v>
      </c>
      <c r="AP179" s="354">
        <f>CHOOSE(Table1[[#This Row],[Mode Digit]],0,SQRT((Fsw*(Table1[[#This Row],[t1_Ph_II]]+0))*((Table1[[#This Row],[I_0]]*Table1[[#This Row],[I_1]]+((Table1[[#This Row],[I_0]]-Table1[[#This Row],[I_1]])^2)/3))),SQRT((Fsw*(Table1[[#This Row],[t2_Ph_I]]+0))*((Table1[[#This Row],[I_1]]*Table1[[#This Row],[I_2]]+((Table1[[#This Row],[I_1]]-Table1[[#This Row],[I_2]])^2)/3))))</f>
        <v>0</v>
      </c>
      <c r="AQ179" s="354">
        <f>Rdson4*Table1[[#This Row],[Irms BoCtlr]]^2</f>
        <v>0</v>
      </c>
      <c r="AR179" s="354">
        <f>CHOOSE(Table1[[#This Row],[Mode Digit]], 0, (Vout*Table1[[#This Row],[Iin]]/2)*(Fsw)*(Tr_boost+Tf_boost), (Vout*Iout/2)*(Fsw/1)*(Tr_boost+Tf_boost))</f>
        <v>0</v>
      </c>
      <c r="AS179">
        <f>IF(Table1[[#This Row],[Vin]]&gt;Vout, 0, IF(Table1[[#This Row],[Iin]]&gt;Table1[[#This Row],[Ripple Current pk-pk]]/2,0,ABS(Table1[[#This Row],[Iin]]-Table1[[#This Row],[Ripple Current pk-pk]]/2)*Vsd_Q4*Deadtime*Fsw))</f>
        <v>0</v>
      </c>
      <c r="AT179" s="354">
        <f>(Table1[[#This Row],[Dead Time Loss BoCtlr]]+Table1[[#This Row],[Transition Loss BoCtlr]]+Table1[[#This Row],[RDS(on) Loss BoCtlr]]*(1+RdsonTopTc*Ta-RdsonTopTc*25))/(1-Table1[[#This Row],[RDS(on) Loss BoCtlr]]*RdsonTopTc*ThetaJA_Q4)</f>
        <v>0</v>
      </c>
      <c r="AU17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12.088061273558793</v>
      </c>
      <c r="AV179" s="354">
        <f>Rdson3*Table1[[#This Row],[Irms BoSync]]^2</f>
        <v>0.61370914648390984</v>
      </c>
      <c r="AW17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79" s="354">
        <f>(Table1[[#This Row],[Deadtime Loss BoSync]]+Table1[[#This Row],[RDS(on) Loss BoSync]]*(1+RdsonBotTc*Ta-RdsonBotTc*25))/(1-Table1[[#This Row],[RDS(on) Loss BoSync]]*RdsonBotTc*ThetaJA_Q3)</f>
        <v>0.71971630090061556</v>
      </c>
      <c r="AY179" s="354">
        <f>CHOOSE(Table1[[#This Row],[Mode Digit]], Rdson3*Table1[[#This Row],[Irms Lf]]^2, Rdson1*Table1[[#This Row],[Irms Lf]]^2, 0)</f>
        <v>0.61370914648390984</v>
      </c>
      <c r="AZ179" s="354">
        <f>CHOOSE(Table1[[#This Row],[Mode Digit]], 2*Deadtime*Fsw*IF(VfdSky_Q2&gt;0,VfdSky_Q2,0)*Table1[[#This Row],[Iout]], 2*Deadtime*Fsw*IF(VfdSky_Q3&gt;0,VfdSky_Q3,0)*Table1[[#This Row],[Iin]], 2*Deadtime*Fsw*IF(VfdSky_Q2&gt;0,VfdSky_Q2,0)*Table1[[#This Row],[Iout]]+2*Deadtime*Fsw*IF(VfdSky_Q3&gt;0,VfdSky_Q3,0)*Table1[[#This Row],[Iin]])</f>
        <v>0</v>
      </c>
      <c r="BA179" s="354">
        <f>CHOOSE(Table1[[#This Row],[Mode Digit]], IF(QrrSky_Q2&gt;0,QrrSky_Q2,Qrr_Q2)*Fsw*(Table1[[#This Row],[Vin]]-Table1[[#This Row],[Iout]]*Rdson1),0,  IF(QrrSky_Q2&gt;0,QrrSky_Q2,Qrr_Q2)*Fsw*(Table1[[#This Row],[Vin]]-Table1[[#This Row],[Iout]]*Rdson1)+IF(QrrSky_Q3&gt;0,QrrSky_Q3,Qrr_Q3)*Fsw*Vout)</f>
        <v>0.38219520000000001</v>
      </c>
      <c r="BB179" s="354">
        <f>CHOOSE(Table1[[#This Row],[Mode Digit]],0, IF(QrrSky_Q3&gt;0,QrrSky_Q3,Qrr_Q3)*Fsw*Vout,  IF(QrrSky_Q2&gt;0,QrrSky_Q2,Qrr_Q2)*Fsw*(Table1[[#This Row],[Vin]]-Table1[[#This Row],[Iout]]*Rdson1)+IF(QrrSky_Q3&gt;0,QrrSky_Q3,Qrr_Q3)*Fsw*Vout)</f>
        <v>0</v>
      </c>
      <c r="BC179" s="354">
        <f>CHOOSE(Table1[[#This Row],[Mode Digit]], Rs*Table1[[#This Row],[Irms BuSync]]^2, Rs*Table1[[#This Row],[Irms BoCtlr]]^2, Rs*(Table1[[#This Row],[Irms BuSync]]^2+Table1[[#This Row],[Irms BoCtlr]]^2))</f>
        <v>0.1965520397408313</v>
      </c>
      <c r="BD179" s="354">
        <f t="shared" si="8"/>
        <v>1.44</v>
      </c>
      <c r="BE179" s="354">
        <f>IF(Vout&gt;8, Iq*Vout, Iq*Table1[[#This Row],[Vin]])</f>
        <v>4.3799999999999999E-2</v>
      </c>
      <c r="BF179" s="354">
        <f>CHOOSE(Table1[[#This Row],[Mode Digit]], (Qg_Q1+Qg_Q2)*Fsw, (Qg_Q3+Qg_Q4)*Fsw, (Qg_Q1+Qg_Q2+Qg_Q3+Qg_Q4)*Fsw)*IF(Vout&gt;8, Vout, Table1[[#This Row],[Vin]])</f>
        <v>0.47303999999999996</v>
      </c>
      <c r="BG179" s="354">
        <f t="shared" si="9"/>
        <v>0.57269042016806726</v>
      </c>
      <c r="BH179" s="354">
        <f>Table1[[#This Row],[IQ Loss]]+Table1[[#This Row],[Switching Current Loss]]</f>
        <v>0.51683999999999997</v>
      </c>
      <c r="BI17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10.949001894436483</v>
      </c>
      <c r="BJ179">
        <f>Vout*Table1[[#This Row],[Iout]]</f>
        <v>175.2</v>
      </c>
      <c r="BK179" s="550">
        <f>Table1[[#This Row],[Pout]]/(Table1[[#This Row],[Pout]]+Table1[[#This Row],[Total Loss]])</f>
        <v>0.9411815170481248</v>
      </c>
      <c r="BL17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262.63930589895091</v>
      </c>
      <c r="BM179" s="559">
        <f>IF(Table1[[#This Row],[Vin]]&gt;Vout, Table1[[#This Row],[Total Sync Bu MOSFET Loss]]*ThetaJA_Q2, ThetaJA_Q3*Table1[[#This Row],[Total Sync Bo MOSFET Loss]])</f>
        <v>59.141698020437723</v>
      </c>
      <c r="BN179" s="9"/>
      <c r="BO179" s="4">
        <f>Table1[[#This Row],[EFF, h]]*100</f>
        <v>94.118151704812476</v>
      </c>
      <c r="BP179" s="354">
        <f>Table1[[#This Row],[Total Inductor Loss]]</f>
        <v>2.2474380359424622</v>
      </c>
      <c r="BQ179" s="354">
        <f>Table1[[#This Row],[Total Control Bu MOSFET Loss]]+Table1[[#This Row],[Total Sync Bu MOSFET Loss]]+Table1[[#This Row],[Total Control Bo MOSFET Loss]]+Table1[[#This Row],[Total Sync Bo MOSFET Loss]]+Table1[[#This Row],[Reverse Recovery Loss MOSFET D BUCK]]+Table1[[#This Row],[Reverse Recovery Loss MOSFET D BOOST]]</f>
        <v>6.4649282328904256</v>
      </c>
      <c r="BR179" s="354">
        <f>Table1[[#This Row],[Total Control Bu MOSFET Loss]]+Table1[[#This Row],[Reverse Recovery Loss MOSFET D BUCK]]*0.66</f>
        <v>4.6295705969825152</v>
      </c>
      <c r="BS179" s="354">
        <f>Table1[[#This Row],[Total Sync Bu MOSFET Loss]]+Table1[[#This Row],[Reverse Recovery Loss MOSFET D BUCK]]*0.33</f>
        <v>1.1118193830072953</v>
      </c>
      <c r="BT179" s="354">
        <f xml:space="preserve"> Table1[[#This Row],[Total Control Bo MOSFET Loss]]+Table1[[#This Row],[Reverse Recovery Loss MOSFET D BOOST]]*0.66</f>
        <v>0</v>
      </c>
      <c r="BU179" s="354">
        <f xml:space="preserve"> Table1[[#This Row],[Total Sync Bo MOSFET Loss]]+Table1[[#This Row],[Reverse Recovery Loss MOSFET D BOOST]]*0.33</f>
        <v>0.71971630090061556</v>
      </c>
      <c r="BV179" s="354">
        <f>Table1[[#This Row],[Isense Shunt Loss]]</f>
        <v>0.1965520397408313</v>
      </c>
    </row>
    <row r="180" spans="7:74" x14ac:dyDescent="0.2">
      <c r="G180">
        <v>171</v>
      </c>
      <c r="H180" s="555">
        <f>VIN_min+(VIN_max-VIN_min)*(Table1[[#This Row],[Step]]/200)</f>
        <v>31.97</v>
      </c>
      <c r="I180" s="4" t="str">
        <f>IF(Mode = 2,IF(Table1[[#This Row],[Vin]]&gt;Vout, "BUCK","BOOST"),IF(Table1[[#This Row],[Vin]]&gt;VIN_BB_to_buck, "BUCK", IF(Table1[[#This Row],[Vin]]&lt;=VIN_boost_to_BB,"BOOST","BUCK-BST")))</f>
        <v>BUCK</v>
      </c>
      <c r="J180">
        <f>IF(Table1[[#This Row],[Mode]]="BOOST",2, IF(Table1[[#This Row],[Mode]]="BUCK", 1,3))</f>
        <v>1</v>
      </c>
      <c r="K180">
        <f t="shared" si="7"/>
        <v>12</v>
      </c>
      <c r="L180" s="4">
        <f>Vout*Table1[[#This Row],[Iout]]/(Table1[[#This Row],[Vin]]*Efficiency)</f>
        <v>5.7685659252918029</v>
      </c>
      <c r="M180" s="711">
        <f>MIN(1/Fsw,CHOOSE(Table1[[#This Row],[Mode Digit]],(Vout+(Rdson2+Rs+Rdcr)*Table1[[#This Row],[Iout]])/(Table1[[#This Row],[Vin]]+(Rs+Rdson2-Rdson1)*Table1[[#This Row],[Iout]])/Fsw,(Vout+(Rdson3+Rdcr)*Table1[[#This Row],[Iin]]-Table1[[#This Row],[Vin]])/(Vout+(Rdson3-Rdson4-Rs)*Table1[[#This Row],[Iin]])/Fsw,t1_Ph_II))</f>
        <v>7.6822916666666663E-7</v>
      </c>
      <c r="N180" s="602">
        <f>CHOOSE(Table1[[#This Row],[Mode Digit]],1/Fsw-Table1[[#This Row],[t1_Ph_II]],1/Fsw-Table1[[#This Row],[t1_Ph_II]],(Vout/Fsw-Table1[[#This Row],[Vin]]*t1_Ph_II)/(Table1[[#This Row],[Vin]]+Vout))</f>
        <v>8.9843750000000003E-7</v>
      </c>
      <c r="O180" s="602">
        <f>1/Fsw-(Table1[[#This Row],[t1_Ph_II]]+Table1[[#This Row],[t2_Ph_I]])</f>
        <v>0</v>
      </c>
      <c r="P18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9.4727006392045467</v>
      </c>
      <c r="Q180" s="4">
        <f>CHOOSE(Table1[[#This Row],[Mode Digit]],Table1[[#This Row],[I_0]]+1/Lf*(Table1[[#This Row],[Vin]]-Vout)*Table1[[#This Row],[t1_Ph_II]],Table1[[#This Row],[I_0]]+1/Lf*Table1[[#This Row],[Vin]]*Table1[[#This Row],[t1_Ph_II]],Table1[[#This Row],[I_0]]+(Table1[[#This Row],[Vin]]-Vout)/L*Table1[[#This Row],[t1_Ph_II]])</f>
        <v>14.527299360795455</v>
      </c>
      <c r="R180" s="4">
        <f>CHOOSE(Table1[[#This Row],[Mode Digit]],0,0,Table1[[#This Row],[I_1]]+Table1[[#This Row],[Vin]]/L*Table1[[#This Row],[t2_Ph_I]])</f>
        <v>0</v>
      </c>
      <c r="S180" s="4">
        <f>Fsw*(Table1[[#This Row],[I_0]]*Table1[[#This Row],[t1_Ph_II]]+Table1[[#This Row],[I_1]]*Table1[[#This Row],[t2_Ph_I]]+Table1[[#This Row],[I_2]]*Table1[[#This Row],[t3_Ph_III]])</f>
        <v>12.197445262562146</v>
      </c>
      <c r="T180" s="354">
        <f>MIN(1,CHOOSE(Table1[[#This Row],[Mode Digit]],(Vout+(Rdson2+Rs+Rdcr)*Table1[[#This Row],[Iout]])/(Table1[[#This Row],[Vin]]+(Rs+Rdson2-Rdson1)*Table1[[#This Row],[Iout]]),1,Fsw*Table1[[#This Row],[t2_Ph_I]]+Table1[[#This Row],[t1_Ph_II]]))</f>
        <v>0.4609375</v>
      </c>
      <c r="U180" s="354">
        <f>MIN(1,CHOOSE(Table1[[#This Row],[Mode Digit]],0,(Vout+(Rdson3+Rdcr)*Table1[[#This Row],[Iin]]-Table1[[#This Row],[Vin]])/(Vout+(Rdson3-Rdson4-Rs)*Table1[[#This Row],[Iin]]),Fsw*Table1[[#This Row],[t1_Ph_II]]+Table1[[#This Row],[t3_Ph_III]]))</f>
        <v>0</v>
      </c>
      <c r="V180" s="4">
        <f>MAX(Table1[[#This Row],[I_0]:[I_2]])-MIN(Table1[[#This Row],[I_0]:[I_1]])</f>
        <v>5.0545987215909083</v>
      </c>
      <c r="W18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12.088386190321645</v>
      </c>
      <c r="X180" s="354">
        <f>(Table1[[#This Row],[Irms Lf]]^2*Rdcr*(1+Ltc*Ta-Ltc*25))/(1-Table1[[#This Row],[Irms Lf]]^2*Rdcr*Ltc*ThetaCa)</f>
        <v>0.90919567461735595</v>
      </c>
      <c r="Y180" s="354">
        <f>ABS(7.759*10^-3*Fsw^0.9458*(0.00787*Table1[[#This Row],[Ripple Current pk-pk]])^2.304)</f>
        <v>1.3440056854961966</v>
      </c>
      <c r="Z180" s="354">
        <f>Table1[[#This Row],[DCR    Loss]]+Table1[[#This Row],[Core Loss]]</f>
        <v>2.2532013601135525</v>
      </c>
      <c r="AA180" s="4">
        <f>IF(Table1[[#This Row],[Vin]]&gt;Vout, Table1[[#This Row],[Ripple Current pk-pk]]/SQRT(12), SQRT(Table1[[#This Row],[Duty Cycle BOOST Leg]]/(1-Table1[[#This Row],[Duty Cycle BOOST Leg]]))*SQRT(Table1[[#This Row],[Iout]]^2+(Table1[[#This Row],[Ripple Current pk-pk]]^2)/12))</f>
        <v>1.4591369662780247</v>
      </c>
      <c r="AB180" s="354">
        <f>RCoutEsr*Table1[[#This Row],[Irms Cout]]^2</f>
        <v>1.0645403431795186E-2</v>
      </c>
      <c r="AC180" s="354">
        <f>Table1[[#This Row],[Cout ESR Loss]]</f>
        <v>1.0645403431795186E-2</v>
      </c>
      <c r="AD180" s="354">
        <f>IF(Table1[[#This Row],[Vin]]&gt;Vout, SQRT(Table1[[#This Row],[Duty Cycle BUCK Leg]]*(1-Table1[[#This Row],[Duty Cycle BUCK Leg]]))*SQRT(Table1[[#This Row],[Iout]]^2+(Table1[[#This Row],[Ripple Current pk-pk]]^2)/12), Table1[[#This Row],[Ripple Current pk-pk]]/SQRT(12))</f>
        <v>6.0257194499728195</v>
      </c>
      <c r="AE180" s="354">
        <f>RCinEsr*Table1[[#This Row],[Irms Cin]]^2</f>
        <v>7.2618589779561482E-2</v>
      </c>
      <c r="AF180" s="549">
        <f>Table1[[#This Row],[Cin ESR Loss]]</f>
        <v>7.2618589779561482E-2</v>
      </c>
      <c r="AG18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8.207092854895004</v>
      </c>
      <c r="AH180" s="354">
        <f>Rdson1*Table1[[#This Row],[Irms BuCtrl]]^2</f>
        <v>0.28289676714124828</v>
      </c>
      <c r="AI180" s="354">
        <f>CHOOSE(Table1[[#This Row],[Mode Digit]], (Table1[[#This Row],[Vin]]*Table1[[#This Row],[Iout]]/2)*(Fsw)*(Tr_buck+Tf_buck), 0, (Table1[[#This Row],[Vin]]*Table1[[#This Row],[Avg IL]]/2)*(Fsw/1)*(Tr_buck+Tf_buck))</f>
        <v>3.8043150139422113</v>
      </c>
      <c r="AJ180">
        <f>IF(Table1[[#This Row],[Vin]]&gt;Vout, IF(Table1[[#This Row],[Iout]]&gt;Table1[[#This Row],[Ripple Current pk-pk]]/2,0,ABS(Table1[[#This Row],[Iout]]-Table1[[#This Row],[Ripple Current pk-pk]]/2)*Vsd_Q1*Deadtime*Fsw),0)</f>
        <v>0</v>
      </c>
      <c r="AK180" s="354">
        <f>(Table1[[#This Row],[Dead Time Loss BuCtrl]]+Table1[[#This Row],[Transition Loss BuCtrl]]+Table1[[#This Row],[RDS(on) Loss BuCtrl]]*(1+RdsonTopTc*Ta-RdsonTopTc*25))/(1-Table1[[#This Row],[RDS(on) Loss BuCtrl]]*RdsonTopTc*ThetaJA_Q1)</f>
        <v>4.384927410331068</v>
      </c>
      <c r="AL180" s="354">
        <f>CHOOSE(Table1[[#This Row],[Mode Digit]],SQRT((Fsw*(Table1[[#This Row],[t2_Ph_I]]+0))*((Table1[[#This Row],[I_0]]*Table1[[#This Row],[I_1]]+((Table1[[#This Row],[I_0]]-Table1[[#This Row],[I_1]])^2)/3))),0,SQRT((Fsw*(Table1[[#This Row],[t3_Ph_III]]+0))*((Table1[[#This Row],[I_0]]*Table1[[#This Row],[I_2]]+((Table1[[#This Row],[I_0]]-Table1[[#This Row],[I_2]])^2)/3))))</f>
        <v>8.8753990083539591</v>
      </c>
      <c r="AM180" s="354">
        <f>Rdson2*Table1[[#This Row],[Irms BuSync]]^2</f>
        <v>0.33084537174145989</v>
      </c>
      <c r="AN18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0" s="354">
        <f>(Table1[[#This Row],[Deadtime Loss BuSync]]+Table1[[#This Row],[RDS(on) Loss BuSync]]*(1+RdsonBotTc*Ta-RdsonBotTc*25))/(1-Table1[[#This Row],[RDS(on) Loss BuSync]]*RdsonBotTc*ThetaJA_Q2)</f>
        <v>0.98655186908131387</v>
      </c>
      <c r="AP180" s="354">
        <f>CHOOSE(Table1[[#This Row],[Mode Digit]],0,SQRT((Fsw*(Table1[[#This Row],[t1_Ph_II]]+0))*((Table1[[#This Row],[I_0]]*Table1[[#This Row],[I_1]]+((Table1[[#This Row],[I_0]]-Table1[[#This Row],[I_1]])^2)/3))),SQRT((Fsw*(Table1[[#This Row],[t2_Ph_I]]+0))*((Table1[[#This Row],[I_1]]*Table1[[#This Row],[I_2]]+((Table1[[#This Row],[I_1]]-Table1[[#This Row],[I_2]])^2)/3))))</f>
        <v>0</v>
      </c>
      <c r="AQ180" s="354">
        <f>Rdson4*Table1[[#This Row],[Irms BoCtlr]]^2</f>
        <v>0</v>
      </c>
      <c r="AR180" s="354">
        <f>CHOOSE(Table1[[#This Row],[Mode Digit]], 0, (Vout*Table1[[#This Row],[Iin]]/2)*(Fsw)*(Tr_boost+Tf_boost), (Vout*Iout/2)*(Fsw/1)*(Tr_boost+Tf_boost))</f>
        <v>0</v>
      </c>
      <c r="AS180">
        <f>IF(Table1[[#This Row],[Vin]]&gt;Vout, 0, IF(Table1[[#This Row],[Iin]]&gt;Table1[[#This Row],[Ripple Current pk-pk]]/2,0,ABS(Table1[[#This Row],[Iin]]-Table1[[#This Row],[Ripple Current pk-pk]]/2)*Vsd_Q4*Deadtime*Fsw))</f>
        <v>0</v>
      </c>
      <c r="AT180" s="354">
        <f>(Table1[[#This Row],[Dead Time Loss BoCtlr]]+Table1[[#This Row],[Transition Loss BoCtlr]]+Table1[[#This Row],[RDS(on) Loss BoCtlr]]*(1+RdsonTopTc*Ta-RdsonTopTc*25))/(1-Table1[[#This Row],[RDS(on) Loss BoCtlr]]*RdsonTopTc*ThetaJA_Q4)</f>
        <v>0</v>
      </c>
      <c r="AU18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12.088386190321645</v>
      </c>
      <c r="AV180" s="354">
        <f>Rdson3*Table1[[#This Row],[Irms BoSync]]^2</f>
        <v>0.61374213888270801</v>
      </c>
      <c r="AW18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0" s="354">
        <f>(Table1[[#This Row],[Deadtime Loss BoSync]]+Table1[[#This Row],[RDS(on) Loss BoSync]]*(1+RdsonBotTc*Ta-RdsonBotTc*25))/(1-Table1[[#This Row],[RDS(on) Loss BoSync]]*RdsonBotTc*ThetaJA_Q3)</f>
        <v>0.71976167577257966</v>
      </c>
      <c r="AY180" s="354">
        <f>CHOOSE(Table1[[#This Row],[Mode Digit]], Rdson3*Table1[[#This Row],[Irms Lf]]^2, Rdson1*Table1[[#This Row],[Irms Lf]]^2, 0)</f>
        <v>0.61374213888270801</v>
      </c>
      <c r="AZ180" s="354">
        <f>CHOOSE(Table1[[#This Row],[Mode Digit]], 2*Deadtime*Fsw*IF(VfdSky_Q2&gt;0,VfdSky_Q2,0)*Table1[[#This Row],[Iout]], 2*Deadtime*Fsw*IF(VfdSky_Q3&gt;0,VfdSky_Q3,0)*Table1[[#This Row],[Iin]], 2*Deadtime*Fsw*IF(VfdSky_Q2&gt;0,VfdSky_Q2,0)*Table1[[#This Row],[Iout]]+2*Deadtime*Fsw*IF(VfdSky_Q3&gt;0,VfdSky_Q3,0)*Table1[[#This Row],[Iin]])</f>
        <v>0</v>
      </c>
      <c r="BA180" s="354">
        <f>CHOOSE(Table1[[#This Row],[Mode Digit]], IF(QrrSky_Q2&gt;0,QrrSky_Q2,Qrr_Q2)*Fsw*(Table1[[#This Row],[Vin]]-Table1[[#This Row],[Iout]]*Rdson1),0,  IF(QrrSky_Q2&gt;0,QrrSky_Q2,Qrr_Q2)*Fsw*(Table1[[#This Row],[Vin]]-Table1[[#This Row],[Iout]]*Rdson1)+IF(QrrSky_Q3&gt;0,QrrSky_Q3,Qrr_Q3)*Fsw*Vout)</f>
        <v>0.38303520000000002</v>
      </c>
      <c r="BB180" s="354">
        <f>CHOOSE(Table1[[#This Row],[Mode Digit]],0, IF(QrrSky_Q3&gt;0,QrrSky_Q3,Qrr_Q3)*Fsw*Vout,  IF(QrrSky_Q2&gt;0,QrrSky_Q2,Qrr_Q2)*Fsw*(Table1[[#This Row],[Vin]]-Table1[[#This Row],[Iout]]*Rdson1)+IF(QrrSky_Q3&gt;0,QrrSky_Q3,Qrr_Q3)*Fsw*Vout)</f>
        <v>0</v>
      </c>
      <c r="BC180" s="354">
        <f>CHOOSE(Table1[[#This Row],[Mode Digit]], Rs*Table1[[#This Row],[Irms BuSync]]^2, Rs*Table1[[#This Row],[Irms BoCtlr]]^2, Rs*(Table1[[#This Row],[Irms BuSync]]^2+Table1[[#This Row],[Irms BoCtlr]]^2))</f>
        <v>0.1969317688937261</v>
      </c>
      <c r="BD180" s="354">
        <f t="shared" si="8"/>
        <v>1.44</v>
      </c>
      <c r="BE180" s="354">
        <f>IF(Vout&gt;8, Iq*Vout, Iq*Table1[[#This Row],[Vin]])</f>
        <v>4.3799999999999999E-2</v>
      </c>
      <c r="BF180" s="354">
        <f>CHOOSE(Table1[[#This Row],[Mode Digit]], (Qg_Q1+Qg_Q2)*Fsw, (Qg_Q3+Qg_Q4)*Fsw, (Qg_Q1+Qg_Q2+Qg_Q3+Qg_Q4)*Fsw)*IF(Vout&gt;8, Vout, Table1[[#This Row],[Vin]])</f>
        <v>0.47303999999999996</v>
      </c>
      <c r="BG180" s="354">
        <f t="shared" si="9"/>
        <v>0.57269042016806726</v>
      </c>
      <c r="BH180" s="354">
        <f>Table1[[#This Row],[IQ Loss]]+Table1[[#This Row],[Switching Current Loss]]</f>
        <v>0.51683999999999997</v>
      </c>
      <c r="BI18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10.964513277403597</v>
      </c>
      <c r="BJ180">
        <f>Vout*Table1[[#This Row],[Iout]]</f>
        <v>175.2</v>
      </c>
      <c r="BK180" s="550">
        <f>Table1[[#This Row],[Pout]]/(Table1[[#This Row],[Pout]]+Table1[[#This Row],[Total Loss]])</f>
        <v>0.94110309701685524</v>
      </c>
      <c r="BL18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263.09564461986406</v>
      </c>
      <c r="BM180" s="559">
        <f>IF(Table1[[#This Row],[Vin]]&gt;Vout, Table1[[#This Row],[Total Sync Bu MOSFET Loss]]*ThetaJA_Q2, ThetaJA_Q3*Table1[[#This Row],[Total Sync Bo MOSFET Loss]])</f>
        <v>59.193112144878832</v>
      </c>
      <c r="BN180" s="9"/>
      <c r="BO180" s="4">
        <f>Table1[[#This Row],[EFF, h]]*100</f>
        <v>94.110309701685523</v>
      </c>
      <c r="BP180" s="354">
        <f>Table1[[#This Row],[Total Inductor Loss]]</f>
        <v>2.2532013601135525</v>
      </c>
      <c r="BQ180" s="354">
        <f>Table1[[#This Row],[Total Control Bu MOSFET Loss]]+Table1[[#This Row],[Total Sync Bu MOSFET Loss]]+Table1[[#This Row],[Total Control Bo MOSFET Loss]]+Table1[[#This Row],[Total Sync Bo MOSFET Loss]]+Table1[[#This Row],[Reverse Recovery Loss MOSFET D BUCK]]+Table1[[#This Row],[Reverse Recovery Loss MOSFET D BOOST]]</f>
        <v>6.4742761551849615</v>
      </c>
      <c r="BR180" s="354">
        <f>Table1[[#This Row],[Total Control Bu MOSFET Loss]]+Table1[[#This Row],[Reverse Recovery Loss MOSFET D BUCK]]*0.66</f>
        <v>4.6377306423310678</v>
      </c>
      <c r="BS180" s="354">
        <f>Table1[[#This Row],[Total Sync Bu MOSFET Loss]]+Table1[[#This Row],[Reverse Recovery Loss MOSFET D BUCK]]*0.33</f>
        <v>1.1129534850813139</v>
      </c>
      <c r="BT180" s="354">
        <f xml:space="preserve"> Table1[[#This Row],[Total Control Bo MOSFET Loss]]+Table1[[#This Row],[Reverse Recovery Loss MOSFET D BOOST]]*0.66</f>
        <v>0</v>
      </c>
      <c r="BU180" s="354">
        <f xml:space="preserve"> Table1[[#This Row],[Total Sync Bo MOSFET Loss]]+Table1[[#This Row],[Reverse Recovery Loss MOSFET D BOOST]]*0.33</f>
        <v>0.71976167577257966</v>
      </c>
      <c r="BV180" s="354">
        <f>Table1[[#This Row],[Isense Shunt Loss]]</f>
        <v>0.1969317688937261</v>
      </c>
    </row>
    <row r="181" spans="7:74" x14ac:dyDescent="0.2">
      <c r="G181">
        <v>172</v>
      </c>
      <c r="H181" s="555">
        <f>VIN_min+(VIN_max-VIN_min)*(Table1[[#This Row],[Step]]/200)</f>
        <v>32.04</v>
      </c>
      <c r="I181" s="4" t="str">
        <f>IF(Mode = 2,IF(Table1[[#This Row],[Vin]]&gt;Vout, "BUCK","BOOST"),IF(Table1[[#This Row],[Vin]]&gt;VIN_BB_to_buck, "BUCK", IF(Table1[[#This Row],[Vin]]&lt;=VIN_boost_to_BB,"BOOST","BUCK-BST")))</f>
        <v>BUCK</v>
      </c>
      <c r="J181">
        <f>IF(Table1[[#This Row],[Mode]]="BOOST",2, IF(Table1[[#This Row],[Mode]]="BUCK", 1,3))</f>
        <v>1</v>
      </c>
      <c r="K181">
        <f t="shared" si="7"/>
        <v>12</v>
      </c>
      <c r="L181" s="4">
        <f>Vout*Table1[[#This Row],[Iout]]/(Table1[[#This Row],[Vin]]*Efficiency)</f>
        <v>5.755962941060516</v>
      </c>
      <c r="M181" s="711">
        <f>MIN(1/Fsw,CHOOSE(Table1[[#This Row],[Mode Digit]],(Vout+(Rdson2+Rs+Rdcr)*Table1[[#This Row],[Iout]])/(Table1[[#This Row],[Vin]]+(Rs+Rdson2-Rdson1)*Table1[[#This Row],[Iout]])/Fsw,(Vout+(Rdson3+Rdcr)*Table1[[#This Row],[Iin]]-Table1[[#This Row],[Vin]])/(Vout+(Rdson3-Rdson4-Rs)*Table1[[#This Row],[Iin]])/Fsw,t1_Ph_II))</f>
        <v>7.6655233343727259E-7</v>
      </c>
      <c r="N181" s="602">
        <f>CHOOSE(Table1[[#This Row],[Mode Digit]],1/Fsw-Table1[[#This Row],[t1_Ph_II]],1/Fsw-Table1[[#This Row],[t1_Ph_II]],(Vout/Fsw-Table1[[#This Row],[Vin]]*t1_Ph_II)/(Table1[[#This Row],[Vin]]+Vout))</f>
        <v>9.0011433322939407E-7</v>
      </c>
      <c r="O181" s="602">
        <f>1/Fsw-(Table1[[#This Row],[t1_Ph_II]]+Table1[[#This Row],[t2_Ph_I]])</f>
        <v>0</v>
      </c>
      <c r="P18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9.4680544137981002</v>
      </c>
      <c r="Q181" s="4">
        <f>CHOOSE(Table1[[#This Row],[Mode Digit]],Table1[[#This Row],[I_0]]+1/Lf*(Table1[[#This Row],[Vin]]-Vout)*Table1[[#This Row],[t1_Ph_II]],Table1[[#This Row],[I_0]]+1/Lf*Table1[[#This Row],[Vin]]*Table1[[#This Row],[t1_Ph_II]],Table1[[#This Row],[I_0]]+(Table1[[#This Row],[Vin]]-Vout)/L*Table1[[#This Row],[t1_Ph_II]])</f>
        <v>14.5319455862019</v>
      </c>
      <c r="R181" s="4">
        <f>CHOOSE(Table1[[#This Row],[Mode Digit]],0,0,Table1[[#This Row],[I_1]]+Table1[[#This Row],[Vin]]/L*Table1[[#This Row],[t2_Ph_I]])</f>
        <v>0</v>
      </c>
      <c r="S181" s="4">
        <f>Fsw*(Table1[[#This Row],[I_0]]*Table1[[#This Row],[t1_Ph_II]]+Table1[[#This Row],[I_1]]*Table1[[#This Row],[t2_Ph_I]]+Table1[[#This Row],[I_2]]*Table1[[#This Row],[t3_Ph_III]])</f>
        <v>12.202903029514777</v>
      </c>
      <c r="T181" s="354">
        <f>MIN(1,CHOOSE(Table1[[#This Row],[Mode Digit]],(Vout+(Rdson2+Rs+Rdcr)*Table1[[#This Row],[Iout]])/(Table1[[#This Row],[Vin]]+(Rs+Rdson2-Rdson1)*Table1[[#This Row],[Iout]]),1,Fsw*Table1[[#This Row],[t2_Ph_I]]+Table1[[#This Row],[t1_Ph_II]]))</f>
        <v>0.45993140006236355</v>
      </c>
      <c r="U181" s="354">
        <f>MIN(1,CHOOSE(Table1[[#This Row],[Mode Digit]],0,(Vout+(Rdson3+Rdcr)*Table1[[#This Row],[Iin]]-Table1[[#This Row],[Vin]])/(Vout+(Rdson3-Rdson4-Rs)*Table1[[#This Row],[Iin]]),Fsw*Table1[[#This Row],[t1_Ph_II]]+Table1[[#This Row],[t3_Ph_III]]))</f>
        <v>0</v>
      </c>
      <c r="V181" s="4">
        <f>MAX(Table1[[#This Row],[I_0]:[I_2]])-MIN(Table1[[#This Row],[I_0]:[I_1]])</f>
        <v>5.0638911724037996</v>
      </c>
      <c r="W18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12.088710276555384</v>
      </c>
      <c r="X181" s="354">
        <f>(Table1[[#This Row],[Irms Lf]]^2*Rdcr*(1+Ltc*Ta-Ltc*25))/(1-Table1[[#This Row],[Irms Lf]]^2*Rdcr*Ltc*ThetaCa)</f>
        <v>0.90924797198688168</v>
      </c>
      <c r="Y181" s="354">
        <f>ABS(7.759*10^-3*Fsw^0.9458*(0.00787*Table1[[#This Row],[Ripple Current pk-pk]])^2.304)</f>
        <v>1.3497053267227892</v>
      </c>
      <c r="Z181" s="354">
        <f>Table1[[#This Row],[DCR    Loss]]+Table1[[#This Row],[Core Loss]]</f>
        <v>2.2589532987096708</v>
      </c>
      <c r="AA181" s="4">
        <f>IF(Table1[[#This Row],[Vin]]&gt;Vout, Table1[[#This Row],[Ripple Current pk-pk]]/SQRT(12), SQRT(Table1[[#This Row],[Duty Cycle BOOST Leg]]/(1-Table1[[#This Row],[Duty Cycle BOOST Leg]]))*SQRT(Table1[[#This Row],[Iout]]^2+(Table1[[#This Row],[Ripple Current pk-pk]]^2)/12))</f>
        <v>1.4618194657671517</v>
      </c>
      <c r="AB181" s="354">
        <f>RCoutEsr*Table1[[#This Row],[Irms Cout]]^2</f>
        <v>1.0684580752478806E-2</v>
      </c>
      <c r="AC181" s="354">
        <f>Table1[[#This Row],[Cout ESR Loss]]</f>
        <v>1.0684580752478806E-2</v>
      </c>
      <c r="AD181" s="354">
        <f>IF(Table1[[#This Row],[Vin]]&gt;Vout, SQRT(Table1[[#This Row],[Duty Cycle BUCK Leg]]*(1-Table1[[#This Row],[Duty Cycle BUCK Leg]]))*SQRT(Table1[[#This Row],[Iout]]^2+(Table1[[#This Row],[Ripple Current pk-pk]]^2)/12), Table1[[#This Row],[Ripple Current pk-pk]]/SQRT(12))</f>
        <v>6.024915541765143</v>
      </c>
      <c r="AE181" s="354">
        <f>RCinEsr*Table1[[#This Row],[Irms Cin]]^2</f>
        <v>7.2599214570806342E-2</v>
      </c>
      <c r="AF181" s="549">
        <f>Table1[[#This Row],[Cin ESR Loss]]</f>
        <v>7.2599214570806342E-2</v>
      </c>
      <c r="AG18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8.198350836960671</v>
      </c>
      <c r="AH181" s="354">
        <f>Rdson1*Table1[[#This Row],[Irms BuCtrl]]^2</f>
        <v>0.28229441707275377</v>
      </c>
      <c r="AI181" s="354">
        <f>CHOOSE(Table1[[#This Row],[Mode Digit]], (Table1[[#This Row],[Vin]]*Table1[[#This Row],[Iout]]/2)*(Fsw)*(Tr_buck+Tf_buck), 0, (Table1[[#This Row],[Vin]]*Table1[[#This Row],[Avg IL]]/2)*(Fsw/1)*(Tr_buck+Tf_buck))</f>
        <v>3.8126447621741772</v>
      </c>
      <c r="AJ181">
        <f>IF(Table1[[#This Row],[Vin]]&gt;Vout, IF(Table1[[#This Row],[Iout]]&gt;Table1[[#This Row],[Ripple Current pk-pk]]/2,0,ABS(Table1[[#This Row],[Iout]]-Table1[[#This Row],[Ripple Current pk-pk]]/2)*Vsd_Q1*Deadtime*Fsw),0)</f>
        <v>0</v>
      </c>
      <c r="AK181" s="354">
        <f>(Table1[[#This Row],[Dead Time Loss BuCtrl]]+Table1[[#This Row],[Transition Loss BuCtrl]]+Table1[[#This Row],[RDS(on) Loss BuCtrl]]*(1+RdsonTopTc*Ta-RdsonTopTc*25))/(1-Table1[[#This Row],[RDS(on) Loss BuCtrl]]*RdsonTopTc*ThetaJA_Q1)</f>
        <v>4.3925364212915738</v>
      </c>
      <c r="AL181" s="354">
        <f>CHOOSE(Table1[[#This Row],[Mode Digit]],SQRT((Fsw*(Table1[[#This Row],[t2_Ph_I]]+0))*((Table1[[#This Row],[I_0]]*Table1[[#This Row],[I_1]]+((Table1[[#This Row],[I_0]]-Table1[[#This Row],[I_1]])^2)/3))),0,SQRT((Fsw*(Table1[[#This Row],[t3_Ph_III]]+0))*((Table1[[#This Row],[I_0]]*Table1[[#This Row],[I_2]]+((Table1[[#This Row],[I_0]]-Table1[[#This Row],[I_2]])^2)/3))))</f>
        <v>8.8839157866676111</v>
      </c>
      <c r="AM181" s="354">
        <f>Rdson2*Table1[[#This Row],[Irms BuSync]]^2</f>
        <v>0.33148063075932843</v>
      </c>
      <c r="AN18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1" s="354">
        <f>(Table1[[#This Row],[Deadtime Loss BuSync]]+Table1[[#This Row],[RDS(on) Loss BuSync]]*(1+RdsonBotTc*Ta-RdsonBotTc*25))/(1-Table1[[#This Row],[RDS(on) Loss BuSync]]*RdsonBotTc*ThetaJA_Q2)</f>
        <v>0.9874054465910439</v>
      </c>
      <c r="AP181" s="354">
        <f>CHOOSE(Table1[[#This Row],[Mode Digit]],0,SQRT((Fsw*(Table1[[#This Row],[t1_Ph_II]]+0))*((Table1[[#This Row],[I_0]]*Table1[[#This Row],[I_1]]+((Table1[[#This Row],[I_0]]-Table1[[#This Row],[I_1]])^2)/3))),SQRT((Fsw*(Table1[[#This Row],[t2_Ph_I]]+0))*((Table1[[#This Row],[I_1]]*Table1[[#This Row],[I_2]]+((Table1[[#This Row],[I_1]]-Table1[[#This Row],[I_2]])^2)/3))))</f>
        <v>0</v>
      </c>
      <c r="AQ181" s="354">
        <f>Rdson4*Table1[[#This Row],[Irms BoCtlr]]^2</f>
        <v>0</v>
      </c>
      <c r="AR181" s="354">
        <f>CHOOSE(Table1[[#This Row],[Mode Digit]], 0, (Vout*Table1[[#This Row],[Iin]]/2)*(Fsw)*(Tr_boost+Tf_boost), (Vout*Iout/2)*(Fsw/1)*(Tr_boost+Tf_boost))</f>
        <v>0</v>
      </c>
      <c r="AS181">
        <f>IF(Table1[[#This Row],[Vin]]&gt;Vout, 0, IF(Table1[[#This Row],[Iin]]&gt;Table1[[#This Row],[Ripple Current pk-pk]]/2,0,ABS(Table1[[#This Row],[Iin]]-Table1[[#This Row],[Ripple Current pk-pk]]/2)*Vsd_Q4*Deadtime*Fsw))</f>
        <v>0</v>
      </c>
      <c r="AT181" s="354">
        <f>(Table1[[#This Row],[Dead Time Loss BoCtlr]]+Table1[[#This Row],[Transition Loss BoCtlr]]+Table1[[#This Row],[RDS(on) Loss BoCtlr]]*(1+RdsonTopTc*Ta-RdsonTopTc*25))/(1-Table1[[#This Row],[RDS(on) Loss BoCtlr]]*RdsonTopTc*ThetaJA_Q4)</f>
        <v>0</v>
      </c>
      <c r="AU18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12.088710276555384</v>
      </c>
      <c r="AV181" s="354">
        <f>Rdson3*Table1[[#This Row],[Irms BoSync]]^2</f>
        <v>0.61377504783208225</v>
      </c>
      <c r="AW18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1" s="354">
        <f>(Table1[[#This Row],[Deadtime Loss BoSync]]+Table1[[#This Row],[RDS(on) Loss BoSync]]*(1+RdsonBotTc*Ta-RdsonBotTc*25))/(1-Table1[[#This Row],[RDS(on) Loss BoSync]]*RdsonBotTc*ThetaJA_Q3)</f>
        <v>0.71980693671498774</v>
      </c>
      <c r="AY181" s="354">
        <f>CHOOSE(Table1[[#This Row],[Mode Digit]], Rdson3*Table1[[#This Row],[Irms Lf]]^2, Rdson1*Table1[[#This Row],[Irms Lf]]^2, 0)</f>
        <v>0.61377504783208225</v>
      </c>
      <c r="AZ181" s="354">
        <f>CHOOSE(Table1[[#This Row],[Mode Digit]], 2*Deadtime*Fsw*IF(VfdSky_Q2&gt;0,VfdSky_Q2,0)*Table1[[#This Row],[Iout]], 2*Deadtime*Fsw*IF(VfdSky_Q3&gt;0,VfdSky_Q3,0)*Table1[[#This Row],[Iin]], 2*Deadtime*Fsw*IF(VfdSky_Q2&gt;0,VfdSky_Q2,0)*Table1[[#This Row],[Iout]]+2*Deadtime*Fsw*IF(VfdSky_Q3&gt;0,VfdSky_Q3,0)*Table1[[#This Row],[Iin]])</f>
        <v>0</v>
      </c>
      <c r="BA181" s="354">
        <f>CHOOSE(Table1[[#This Row],[Mode Digit]], IF(QrrSky_Q2&gt;0,QrrSky_Q2,Qrr_Q2)*Fsw*(Table1[[#This Row],[Vin]]-Table1[[#This Row],[Iout]]*Rdson1),0,  IF(QrrSky_Q2&gt;0,QrrSky_Q2,Qrr_Q2)*Fsw*(Table1[[#This Row],[Vin]]-Table1[[#This Row],[Iout]]*Rdson1)+IF(QrrSky_Q3&gt;0,QrrSky_Q3,Qrr_Q3)*Fsw*Vout)</f>
        <v>0.38387520000000003</v>
      </c>
      <c r="BB181" s="354">
        <f>CHOOSE(Table1[[#This Row],[Mode Digit]],0, IF(QrrSky_Q3&gt;0,QrrSky_Q3,Qrr_Q3)*Fsw*Vout,  IF(QrrSky_Q2&gt;0,QrrSky_Q2,Qrr_Q2)*Fsw*(Table1[[#This Row],[Vin]]-Table1[[#This Row],[Iout]]*Rdson1)+IF(QrrSky_Q3&gt;0,QrrSky_Q3,Qrr_Q3)*Fsw*Vout)</f>
        <v>0</v>
      </c>
      <c r="BC181" s="354">
        <f>CHOOSE(Table1[[#This Row],[Mode Digit]], Rs*Table1[[#This Row],[Irms BuSync]]^2, Rs*Table1[[#This Row],[Irms BoCtlr]]^2, Rs*(Table1[[#This Row],[Irms BuSync]]^2+Table1[[#This Row],[Irms BoCtlr]]^2))</f>
        <v>0.197309899261505</v>
      </c>
      <c r="BD181" s="354">
        <f t="shared" si="8"/>
        <v>1.44</v>
      </c>
      <c r="BE181" s="354">
        <f>IF(Vout&gt;8, Iq*Vout, Iq*Table1[[#This Row],[Vin]])</f>
        <v>4.3799999999999999E-2</v>
      </c>
      <c r="BF181" s="354">
        <f>CHOOSE(Table1[[#This Row],[Mode Digit]], (Qg_Q1+Qg_Q2)*Fsw, (Qg_Q3+Qg_Q4)*Fsw, (Qg_Q1+Qg_Q2+Qg_Q3+Qg_Q4)*Fsw)*IF(Vout&gt;8, Vout, Table1[[#This Row],[Vin]])</f>
        <v>0.47303999999999996</v>
      </c>
      <c r="BG181" s="354">
        <f t="shared" si="9"/>
        <v>0.57269042016806726</v>
      </c>
      <c r="BH181" s="354">
        <f>Table1[[#This Row],[IQ Loss]]+Table1[[#This Row],[Switching Current Loss]]</f>
        <v>0.51683999999999997</v>
      </c>
      <c r="BI18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10.980010997892068</v>
      </c>
      <c r="BJ181">
        <f>Vout*Table1[[#This Row],[Iout]]</f>
        <v>175.2</v>
      </c>
      <c r="BK181" s="550">
        <f>Table1[[#This Row],[Pout]]/(Table1[[#This Row],[Pout]]+Table1[[#This Row],[Total Loss]])</f>
        <v>0.94102475910791317</v>
      </c>
      <c r="BL18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263.55218527749446</v>
      </c>
      <c r="BM181" s="559">
        <f>IF(Table1[[#This Row],[Vin]]&gt;Vout, Table1[[#This Row],[Total Sync Bu MOSFET Loss]]*ThetaJA_Q2, ThetaJA_Q3*Table1[[#This Row],[Total Sync Bo MOSFET Loss]])</f>
        <v>59.244326795462634</v>
      </c>
      <c r="BN181" s="9"/>
      <c r="BO181" s="4">
        <f>Table1[[#This Row],[EFF, h]]*100</f>
        <v>94.102475910791313</v>
      </c>
      <c r="BP181" s="354">
        <f>Table1[[#This Row],[Total Inductor Loss]]</f>
        <v>2.2589532987096708</v>
      </c>
      <c r="BQ181" s="354">
        <f>Table1[[#This Row],[Total Control Bu MOSFET Loss]]+Table1[[#This Row],[Total Sync Bu MOSFET Loss]]+Table1[[#This Row],[Total Control Bo MOSFET Loss]]+Table1[[#This Row],[Total Sync Bo MOSFET Loss]]+Table1[[#This Row],[Reverse Recovery Loss MOSFET D BUCK]]+Table1[[#This Row],[Reverse Recovery Loss MOSFET D BOOST]]</f>
        <v>6.4836240045976057</v>
      </c>
      <c r="BR181" s="354">
        <f>Table1[[#This Row],[Total Control Bu MOSFET Loss]]+Table1[[#This Row],[Reverse Recovery Loss MOSFET D BUCK]]*0.66</f>
        <v>4.645894053291574</v>
      </c>
      <c r="BS181" s="354">
        <f>Table1[[#This Row],[Total Sync Bu MOSFET Loss]]+Table1[[#This Row],[Reverse Recovery Loss MOSFET D BUCK]]*0.33</f>
        <v>1.1140842625910439</v>
      </c>
      <c r="BT181" s="354">
        <f xml:space="preserve"> Table1[[#This Row],[Total Control Bo MOSFET Loss]]+Table1[[#This Row],[Reverse Recovery Loss MOSFET D BOOST]]*0.66</f>
        <v>0</v>
      </c>
      <c r="BU181" s="354">
        <f xml:space="preserve"> Table1[[#This Row],[Total Sync Bo MOSFET Loss]]+Table1[[#This Row],[Reverse Recovery Loss MOSFET D BOOST]]*0.33</f>
        <v>0.71980693671498774</v>
      </c>
      <c r="BV181" s="354">
        <f>Table1[[#This Row],[Isense Shunt Loss]]</f>
        <v>0.197309899261505</v>
      </c>
    </row>
    <row r="182" spans="7:74" x14ac:dyDescent="0.2">
      <c r="G182">
        <v>173</v>
      </c>
      <c r="H182" s="555">
        <f>VIN_min+(VIN_max-VIN_min)*(Table1[[#This Row],[Step]]/200)</f>
        <v>32.11</v>
      </c>
      <c r="I182" s="4" t="str">
        <f>IF(Mode = 2,IF(Table1[[#This Row],[Vin]]&gt;Vout, "BUCK","BOOST"),IF(Table1[[#This Row],[Vin]]&gt;VIN_BB_to_buck, "BUCK", IF(Table1[[#This Row],[Vin]]&lt;=VIN_boost_to_BB,"BOOST","BUCK-BST")))</f>
        <v>BUCK</v>
      </c>
      <c r="J182">
        <f>IF(Table1[[#This Row],[Mode]]="BOOST",2, IF(Table1[[#This Row],[Mode]]="BUCK", 1,3))</f>
        <v>1</v>
      </c>
      <c r="K182">
        <f t="shared" si="7"/>
        <v>12</v>
      </c>
      <c r="L182" s="4">
        <f>Vout*Table1[[#This Row],[Iout]]/(Table1[[#This Row],[Vin]]*Efficiency)</f>
        <v>5.7434149059974757</v>
      </c>
      <c r="M182" s="711">
        <f>MIN(1/Fsw,CHOOSE(Table1[[#This Row],[Mode Digit]],(Vout+(Rdson2+Rs+Rdcr)*Table1[[#This Row],[Iout]])/(Table1[[#This Row],[Vin]]+(Rs+Rdson2-Rdson1)*Table1[[#This Row],[Iout]])/Fsw,(Vout+(Rdson3+Rdcr)*Table1[[#This Row],[Iin]]-Table1[[#This Row],[Vin]])/(Vout+(Rdson3-Rdson4-Rs)*Table1[[#This Row],[Iin]])/Fsw,t1_Ph_II))</f>
        <v>7.6488280439742792E-7</v>
      </c>
      <c r="N182" s="602">
        <f>CHOOSE(Table1[[#This Row],[Mode Digit]],1/Fsw-Table1[[#This Row],[t1_Ph_II]],1/Fsw-Table1[[#This Row],[t1_Ph_II]],(Vout/Fsw-Table1[[#This Row],[Vin]]*t1_Ph_II)/(Table1[[#This Row],[Vin]]+Vout))</f>
        <v>9.0178386226923874E-7</v>
      </c>
      <c r="O182" s="602">
        <f>1/Fsw-(Table1[[#This Row],[t1_Ph_II]]+Table1[[#This Row],[t2_Ph_I]])</f>
        <v>0</v>
      </c>
      <c r="P18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9.4634284270835298</v>
      </c>
      <c r="Q182" s="4">
        <f>CHOOSE(Table1[[#This Row],[Mode Digit]],Table1[[#This Row],[I_0]]+1/Lf*(Table1[[#This Row],[Vin]]-Vout)*Table1[[#This Row],[t1_Ph_II]],Table1[[#This Row],[I_0]]+1/Lf*Table1[[#This Row],[Vin]]*Table1[[#This Row],[t1_Ph_II]],Table1[[#This Row],[I_0]]+(Table1[[#This Row],[Vin]]-Vout)/L*Table1[[#This Row],[t1_Ph_II]])</f>
        <v>14.53657157291647</v>
      </c>
      <c r="R182" s="4">
        <f>CHOOSE(Table1[[#This Row],[Mode Digit]],0,0,Table1[[#This Row],[I_1]]+Table1[[#This Row],[Vin]]/L*Table1[[#This Row],[t2_Ph_I]])</f>
        <v>0</v>
      </c>
      <c r="S182" s="4">
        <f>Fsw*(Table1[[#This Row],[I_0]]*Table1[[#This Row],[t1_Ph_II]]+Table1[[#This Row],[I_1]]*Table1[[#This Row],[t2_Ph_I]]+Table1[[#This Row],[I_2]]*Table1[[#This Row],[t3_Ph_III]])</f>
        <v>12.208355599019898</v>
      </c>
      <c r="T182" s="354">
        <f>MIN(1,CHOOSE(Table1[[#This Row],[Mode Digit]],(Vout+(Rdson2+Rs+Rdcr)*Table1[[#This Row],[Iout]])/(Table1[[#This Row],[Vin]]+(Rs+Rdson2-Rdson1)*Table1[[#This Row],[Iout]]),1,Fsw*Table1[[#This Row],[t2_Ph_I]]+Table1[[#This Row],[t1_Ph_II]]))</f>
        <v>0.45892968263845674</v>
      </c>
      <c r="U182" s="354">
        <f>MIN(1,CHOOSE(Table1[[#This Row],[Mode Digit]],0,(Vout+(Rdson3+Rdcr)*Table1[[#This Row],[Iin]]-Table1[[#This Row],[Vin]])/(Vout+(Rdson3-Rdson4-Rs)*Table1[[#This Row],[Iin]]),Fsw*Table1[[#This Row],[t1_Ph_II]]+Table1[[#This Row],[t3_Ph_III]]))</f>
        <v>0</v>
      </c>
      <c r="V182" s="4">
        <f>MAX(Table1[[#This Row],[I_0]:[I_2]])-MIN(Table1[[#This Row],[I_0]:[I_1]])</f>
        <v>5.0731431458329403</v>
      </c>
      <c r="W18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12.089033533806965</v>
      </c>
      <c r="X182" s="354">
        <f>(Table1[[#This Row],[Irms Lf]]^2*Rdcr*(1+Ltc*Ta-Ltc*25))/(1-Table1[[#This Row],[Irms Lf]]^2*Rdcr*Ltc*ThetaCa)</f>
        <v>0.90930013738771565</v>
      </c>
      <c r="Y182" s="354">
        <f>ABS(7.759*10^-3*Fsw^0.9458*(0.00787*Table1[[#This Row],[Ripple Current pk-pk]])^2.304)</f>
        <v>1.3553937065087367</v>
      </c>
      <c r="Z182" s="354">
        <f>Table1[[#This Row],[DCR    Loss]]+Table1[[#This Row],[Core Loss]]</f>
        <v>2.2646938438964526</v>
      </c>
      <c r="AA182" s="4">
        <f>IF(Table1[[#This Row],[Vin]]&gt;Vout, Table1[[#This Row],[Ripple Current pk-pk]]/SQRT(12), SQRT(Table1[[#This Row],[Duty Cycle BOOST Leg]]/(1-Table1[[#This Row],[Duty Cycle BOOST Leg]]))*SQRT(Table1[[#This Row],[Iout]]^2+(Table1[[#This Row],[Ripple Current pk-pk]]^2)/12))</f>
        <v>1.4644902804420765</v>
      </c>
      <c r="AB182" s="354">
        <f>RCoutEsr*Table1[[#This Row],[Irms Cout]]^2</f>
        <v>1.0723658907546561E-2</v>
      </c>
      <c r="AC182" s="354">
        <f>Table1[[#This Row],[Cout ESR Loss]]</f>
        <v>1.0723658907546561E-2</v>
      </c>
      <c r="AD182" s="354">
        <f>IF(Table1[[#This Row],[Vin]]&gt;Vout, SQRT(Table1[[#This Row],[Duty Cycle BUCK Leg]]*(1-Table1[[#This Row],[Duty Cycle BUCK Leg]]))*SQRT(Table1[[#This Row],[Iout]]^2+(Table1[[#This Row],[Ripple Current pk-pk]]^2)/12), Table1[[#This Row],[Ripple Current pk-pk]]/SQRT(12))</f>
        <v>6.0240908239049764</v>
      </c>
      <c r="AE182" s="354">
        <f>RCinEsr*Table1[[#This Row],[Irms Cin]]^2</f>
        <v>7.2579340509312279E-2</v>
      </c>
      <c r="AF182" s="549">
        <f>Table1[[#This Row],[Cin ESR Loss]]</f>
        <v>7.2579340509312279E-2</v>
      </c>
      <c r="AG18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8.1896370722865655</v>
      </c>
      <c r="AH182" s="354">
        <f>Rdson1*Table1[[#This Row],[Irms BuCtrl]]^2</f>
        <v>0.281694652578236</v>
      </c>
      <c r="AI182" s="354">
        <f>CHOOSE(Table1[[#This Row],[Mode Digit]], (Table1[[#This Row],[Vin]]*Table1[[#This Row],[Iout]]/2)*(Fsw)*(Tr_buck+Tf_buck), 0, (Table1[[#This Row],[Vin]]*Table1[[#This Row],[Avg IL]]/2)*(Fsw/1)*(Tr_buck+Tf_buck))</f>
        <v>3.8209745104061432</v>
      </c>
      <c r="AJ182">
        <f>IF(Table1[[#This Row],[Vin]]&gt;Vout, IF(Table1[[#This Row],[Iout]]&gt;Table1[[#This Row],[Ripple Current pk-pk]]/2,0,ABS(Table1[[#This Row],[Iout]]-Table1[[#This Row],[Ripple Current pk-pk]]/2)*Vsd_Q1*Deadtime*Fsw),0)</f>
        <v>0</v>
      </c>
      <c r="AK182" s="354">
        <f>(Table1[[#This Row],[Dead Time Loss BuCtrl]]+Table1[[#This Row],[Transition Loss BuCtrl]]+Table1[[#This Row],[RDS(on) Loss BuCtrl]]*(1+RdsonTopTc*Ta-RdsonTopTc*25))/(1-Table1[[#This Row],[RDS(on) Loss BuCtrl]]*RdsonTopTc*ThetaJA_Q1)</f>
        <v>4.4001487742452339</v>
      </c>
      <c r="AL182" s="354">
        <f>CHOOSE(Table1[[#This Row],[Mode Digit]],SQRT((Fsw*(Table1[[#This Row],[t2_Ph_I]]+0))*((Table1[[#This Row],[I_0]]*Table1[[#This Row],[I_1]]+((Table1[[#This Row],[I_0]]-Table1[[#This Row],[I_1]])^2)/3))),0,SQRT((Fsw*(Table1[[#This Row],[t3_Ph_III]]+0))*((Table1[[#This Row],[I_0]]*Table1[[#This Row],[I_2]]+((Table1[[#This Row],[I_0]]-Table1[[#This Row],[I_2]])^2)/3))))</f>
        <v>8.8923886782876771</v>
      </c>
      <c r="AM182" s="354">
        <f>Rdson2*Table1[[#This Row],[Irms BuSync]]^2</f>
        <v>0.33211322090410328</v>
      </c>
      <c r="AN18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2" s="354">
        <f>(Table1[[#This Row],[Deadtime Loss BuSync]]+Table1[[#This Row],[RDS(on) Loss BuSync]]*(1+RdsonBotTc*Ta-RdsonBotTc*25))/(1-Table1[[#This Row],[RDS(on) Loss BuSync]]*RdsonBotTc*ThetaJA_Q2)</f>
        <v>0.98825571905964349</v>
      </c>
      <c r="AP182" s="354">
        <f>CHOOSE(Table1[[#This Row],[Mode Digit]],0,SQRT((Fsw*(Table1[[#This Row],[t1_Ph_II]]+0))*((Table1[[#This Row],[I_0]]*Table1[[#This Row],[I_1]]+((Table1[[#This Row],[I_0]]-Table1[[#This Row],[I_1]])^2)/3))),SQRT((Fsw*(Table1[[#This Row],[t2_Ph_I]]+0))*((Table1[[#This Row],[I_1]]*Table1[[#This Row],[I_2]]+((Table1[[#This Row],[I_1]]-Table1[[#This Row],[I_2]])^2)/3))))</f>
        <v>0</v>
      </c>
      <c r="AQ182" s="354">
        <f>Rdson4*Table1[[#This Row],[Irms BoCtlr]]^2</f>
        <v>0</v>
      </c>
      <c r="AR182" s="354">
        <f>CHOOSE(Table1[[#This Row],[Mode Digit]], 0, (Vout*Table1[[#This Row],[Iin]]/2)*(Fsw)*(Tr_boost+Tf_boost), (Vout*Iout/2)*(Fsw/1)*(Tr_boost+Tf_boost))</f>
        <v>0</v>
      </c>
      <c r="AS182">
        <f>IF(Table1[[#This Row],[Vin]]&gt;Vout, 0, IF(Table1[[#This Row],[Iin]]&gt;Table1[[#This Row],[Ripple Current pk-pk]]/2,0,ABS(Table1[[#This Row],[Iin]]-Table1[[#This Row],[Ripple Current pk-pk]]/2)*Vsd_Q4*Deadtime*Fsw))</f>
        <v>0</v>
      </c>
      <c r="AT182" s="354">
        <f>(Table1[[#This Row],[Dead Time Loss BoCtlr]]+Table1[[#This Row],[Transition Loss BoCtlr]]+Table1[[#This Row],[RDS(on) Loss BoCtlr]]*(1+RdsonTopTc*Ta-RdsonTopTc*25))/(1-Table1[[#This Row],[RDS(on) Loss BoCtlr]]*RdsonTopTc*ThetaJA_Q4)</f>
        <v>0</v>
      </c>
      <c r="AU18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12.089033533806965</v>
      </c>
      <c r="AV182" s="354">
        <f>Rdson3*Table1[[#This Row],[Irms BoSync]]^2</f>
        <v>0.61380787348233934</v>
      </c>
      <c r="AW18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2" s="354">
        <f>(Table1[[#This Row],[Deadtime Loss BoSync]]+Table1[[#This Row],[RDS(on) Loss BoSync]]*(1+RdsonBotTc*Ta-RdsonBotTc*25))/(1-Table1[[#This Row],[RDS(on) Loss BoSync]]*RdsonBotTc*ThetaJA_Q3)</f>
        <v>0.71985208392821298</v>
      </c>
      <c r="AY182" s="354">
        <f>CHOOSE(Table1[[#This Row],[Mode Digit]], Rdson3*Table1[[#This Row],[Irms Lf]]^2, Rdson1*Table1[[#This Row],[Irms Lf]]^2, 0)</f>
        <v>0.61380787348233934</v>
      </c>
      <c r="AZ182" s="354">
        <f>CHOOSE(Table1[[#This Row],[Mode Digit]], 2*Deadtime*Fsw*IF(VfdSky_Q2&gt;0,VfdSky_Q2,0)*Table1[[#This Row],[Iout]], 2*Deadtime*Fsw*IF(VfdSky_Q3&gt;0,VfdSky_Q3,0)*Table1[[#This Row],[Iin]], 2*Deadtime*Fsw*IF(VfdSky_Q2&gt;0,VfdSky_Q2,0)*Table1[[#This Row],[Iout]]+2*Deadtime*Fsw*IF(VfdSky_Q3&gt;0,VfdSky_Q3,0)*Table1[[#This Row],[Iin]])</f>
        <v>0</v>
      </c>
      <c r="BA182" s="354">
        <f>CHOOSE(Table1[[#This Row],[Mode Digit]], IF(QrrSky_Q2&gt;0,QrrSky_Q2,Qrr_Q2)*Fsw*(Table1[[#This Row],[Vin]]-Table1[[#This Row],[Iout]]*Rdson1),0,  IF(QrrSky_Q2&gt;0,QrrSky_Q2,Qrr_Q2)*Fsw*(Table1[[#This Row],[Vin]]-Table1[[#This Row],[Iout]]*Rdson1)+IF(QrrSky_Q3&gt;0,QrrSky_Q3,Qrr_Q3)*Fsw*Vout)</f>
        <v>0.38471519999999998</v>
      </c>
      <c r="BB182" s="354">
        <f>CHOOSE(Table1[[#This Row],[Mode Digit]],0, IF(QrrSky_Q3&gt;0,QrrSky_Q3,Qrr_Q3)*Fsw*Vout,  IF(QrrSky_Q2&gt;0,QrrSky_Q2,Qrr_Q2)*Fsw*(Table1[[#This Row],[Vin]]-Table1[[#This Row],[Iout]]*Rdson1)+IF(QrrSky_Q3&gt;0,QrrSky_Q3,Qrr_Q3)*Fsw*Vout)</f>
        <v>0</v>
      </c>
      <c r="BC182" s="354">
        <f>CHOOSE(Table1[[#This Row],[Mode Digit]], Rs*Table1[[#This Row],[Irms BuSync]]^2, Rs*Table1[[#This Row],[Irms BoCtlr]]^2, Rs*(Table1[[#This Row],[Irms BuSync]]^2+Table1[[#This Row],[Irms BoCtlr]]^2))</f>
        <v>0.19768644101434718</v>
      </c>
      <c r="BD182" s="354">
        <f t="shared" si="8"/>
        <v>1.44</v>
      </c>
      <c r="BE182" s="354">
        <f>IF(Vout&gt;8, Iq*Vout, Iq*Table1[[#This Row],[Vin]])</f>
        <v>4.3799999999999999E-2</v>
      </c>
      <c r="BF182" s="354">
        <f>CHOOSE(Table1[[#This Row],[Mode Digit]], (Qg_Q1+Qg_Q2)*Fsw, (Qg_Q3+Qg_Q4)*Fsw, (Qg_Q1+Qg_Q2+Qg_Q3+Qg_Q4)*Fsw)*IF(Vout&gt;8, Vout, Table1[[#This Row],[Vin]])</f>
        <v>0.47303999999999996</v>
      </c>
      <c r="BG182" s="354">
        <f t="shared" si="9"/>
        <v>0.57269042016806726</v>
      </c>
      <c r="BH182" s="354">
        <f>Table1[[#This Row],[IQ Loss]]+Table1[[#This Row],[Switching Current Loss]]</f>
        <v>0.51683999999999997</v>
      </c>
      <c r="BI18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10.995495061560749</v>
      </c>
      <c r="BJ182">
        <f>Vout*Table1[[#This Row],[Iout]]</f>
        <v>175.2</v>
      </c>
      <c r="BK182" s="550">
        <f>Table1[[#This Row],[Pout]]/(Table1[[#This Row],[Pout]]+Table1[[#This Row],[Total Loss]])</f>
        <v>0.94094650325495055</v>
      </c>
      <c r="BL18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264.00892645471401</v>
      </c>
      <c r="BM182" s="559">
        <f>IF(Table1[[#This Row],[Vin]]&gt;Vout, Table1[[#This Row],[Total Sync Bu MOSFET Loss]]*ThetaJA_Q2, ThetaJA_Q3*Table1[[#This Row],[Total Sync Bo MOSFET Loss]])</f>
        <v>59.295343143578606</v>
      </c>
      <c r="BN182" s="9"/>
      <c r="BO182" s="4">
        <f>Table1[[#This Row],[EFF, h]]*100</f>
        <v>94.094650325495053</v>
      </c>
      <c r="BP182" s="354">
        <f>Table1[[#This Row],[Total Inductor Loss]]</f>
        <v>2.2646938438964526</v>
      </c>
      <c r="BQ182" s="354">
        <f>Table1[[#This Row],[Total Control Bu MOSFET Loss]]+Table1[[#This Row],[Total Sync Bu MOSFET Loss]]+Table1[[#This Row],[Total Control Bo MOSFET Loss]]+Table1[[#This Row],[Total Sync Bo MOSFET Loss]]+Table1[[#This Row],[Reverse Recovery Loss MOSFET D BUCK]]+Table1[[#This Row],[Reverse Recovery Loss MOSFET D BOOST]]</f>
        <v>6.4929717772330902</v>
      </c>
      <c r="BR182" s="354">
        <f>Table1[[#This Row],[Total Control Bu MOSFET Loss]]+Table1[[#This Row],[Reverse Recovery Loss MOSFET D BUCK]]*0.66</f>
        <v>4.6540608062452336</v>
      </c>
      <c r="BS182" s="354">
        <f>Table1[[#This Row],[Total Sync Bu MOSFET Loss]]+Table1[[#This Row],[Reverse Recovery Loss MOSFET D BUCK]]*0.33</f>
        <v>1.1152117350596435</v>
      </c>
      <c r="BT182" s="354">
        <f xml:space="preserve"> Table1[[#This Row],[Total Control Bo MOSFET Loss]]+Table1[[#This Row],[Reverse Recovery Loss MOSFET D BOOST]]*0.66</f>
        <v>0</v>
      </c>
      <c r="BU182" s="354">
        <f xml:space="preserve"> Table1[[#This Row],[Total Sync Bo MOSFET Loss]]+Table1[[#This Row],[Reverse Recovery Loss MOSFET D BOOST]]*0.33</f>
        <v>0.71985208392821298</v>
      </c>
      <c r="BV182" s="354">
        <f>Table1[[#This Row],[Isense Shunt Loss]]</f>
        <v>0.19768644101434718</v>
      </c>
    </row>
    <row r="183" spans="7:74" x14ac:dyDescent="0.2">
      <c r="G183">
        <v>174</v>
      </c>
      <c r="H183" s="555">
        <f>VIN_min+(VIN_max-VIN_min)*(Table1[[#This Row],[Step]]/200)</f>
        <v>32.18</v>
      </c>
      <c r="I183" s="4" t="str">
        <f>IF(Mode = 2,IF(Table1[[#This Row],[Vin]]&gt;Vout, "BUCK","BOOST"),IF(Table1[[#This Row],[Vin]]&gt;VIN_BB_to_buck, "BUCK", IF(Table1[[#This Row],[Vin]]&lt;=VIN_boost_to_BB,"BOOST","BUCK-BST")))</f>
        <v>BUCK</v>
      </c>
      <c r="J183">
        <f>IF(Table1[[#This Row],[Mode]]="BOOST",2, IF(Table1[[#This Row],[Mode]]="BUCK", 1,3))</f>
        <v>1</v>
      </c>
      <c r="K183">
        <f t="shared" si="7"/>
        <v>12</v>
      </c>
      <c r="L183" s="4">
        <f>Vout*Table1[[#This Row],[Iout]]/(Table1[[#This Row],[Vin]]*Efficiency)</f>
        <v>5.7309214615158153</v>
      </c>
      <c r="M183" s="711">
        <f>MIN(1/Fsw,CHOOSE(Table1[[#This Row],[Mode Digit]],(Vout+(Rdson2+Rs+Rdcr)*Table1[[#This Row],[Iout]])/(Table1[[#This Row],[Vin]]+(Rs+Rdson2-Rdson1)*Table1[[#This Row],[Iout]])/Fsw,(Vout+(Rdson3+Rdcr)*Table1[[#This Row],[Iin]]-Table1[[#This Row],[Vin]])/(Vout+(Rdson3-Rdson4-Rs)*Table1[[#This Row],[Iin]])/Fsw,t1_Ph_II))</f>
        <v>7.6322053192590283E-7</v>
      </c>
      <c r="N183" s="602">
        <f>CHOOSE(Table1[[#This Row],[Mode Digit]],1/Fsw-Table1[[#This Row],[t1_Ph_II]],1/Fsw-Table1[[#This Row],[t1_Ph_II]],(Vout/Fsw-Table1[[#This Row],[Vin]]*t1_Ph_II)/(Table1[[#This Row],[Vin]]+Vout))</f>
        <v>9.0344613474076383E-7</v>
      </c>
      <c r="O183" s="602">
        <f>1/Fsw-(Table1[[#This Row],[t1_Ph_II]]+Table1[[#This Row],[t2_Ph_I]])</f>
        <v>0</v>
      </c>
      <c r="P18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9.458822547110346</v>
      </c>
      <c r="Q183" s="4">
        <f>CHOOSE(Table1[[#This Row],[Mode Digit]],Table1[[#This Row],[I_0]]+1/Lf*(Table1[[#This Row],[Vin]]-Vout)*Table1[[#This Row],[t1_Ph_II]],Table1[[#This Row],[I_0]]+1/Lf*Table1[[#This Row],[Vin]]*Table1[[#This Row],[t1_Ph_II]],Table1[[#This Row],[I_0]]+(Table1[[#This Row],[Vin]]-Vout)/L*Table1[[#This Row],[t1_Ph_II]])</f>
        <v>14.541177452889652</v>
      </c>
      <c r="R183" s="4">
        <f>CHOOSE(Table1[[#This Row],[Mode Digit]],0,0,Table1[[#This Row],[I_1]]+Table1[[#This Row],[Vin]]/L*Table1[[#This Row],[t2_Ph_I]])</f>
        <v>0</v>
      </c>
      <c r="S183" s="4">
        <f>Fsw*(Table1[[#This Row],[I_0]]*Table1[[#This Row],[t1_Ph_II]]+Table1[[#This Row],[I_1]]*Table1[[#This Row],[t2_Ph_I]]+Table1[[#This Row],[I_2]]*Table1[[#This Row],[t3_Ph_III]])</f>
        <v>12.213802884114591</v>
      </c>
      <c r="T183" s="354">
        <f>MIN(1,CHOOSE(Table1[[#This Row],[Mode Digit]],(Vout+(Rdson2+Rs+Rdcr)*Table1[[#This Row],[Iout]])/(Table1[[#This Row],[Vin]]+(Rs+Rdson2-Rdson1)*Table1[[#This Row],[Iout]]),1,Fsw*Table1[[#This Row],[t2_Ph_I]]+Table1[[#This Row],[t1_Ph_II]]))</f>
        <v>0.45793231915554172</v>
      </c>
      <c r="U183" s="354">
        <f>MIN(1,CHOOSE(Table1[[#This Row],[Mode Digit]],0,(Vout+(Rdson3+Rdcr)*Table1[[#This Row],[Iin]]-Table1[[#This Row],[Vin]])/(Vout+(Rdson3-Rdson4-Rs)*Table1[[#This Row],[Iin]]),Fsw*Table1[[#This Row],[t1_Ph_II]]+Table1[[#This Row],[t3_Ph_III]]))</f>
        <v>0</v>
      </c>
      <c r="V183" s="4">
        <f>MAX(Table1[[#This Row],[I_0]:[I_2]])-MIN(Table1[[#This Row],[I_0]:[I_1]])</f>
        <v>5.0823549057793063</v>
      </c>
      <c r="W18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12.089355963643868</v>
      </c>
      <c r="X183" s="354">
        <f>(Table1[[#This Row],[Irms Lf]]^2*Rdcr*(1+Ltc*Ta-Ltc*25))/(1-Table1[[#This Row],[Irms Lf]]^2*Rdcr*Ltc*ThetaCa)</f>
        <v>0.90935217105900479</v>
      </c>
      <c r="Y183" s="354">
        <f>ABS(7.759*10^-3*Fsw^0.9458*(0.00787*Table1[[#This Row],[Ripple Current pk-pk]])^2.304)</f>
        <v>1.3610708174867785</v>
      </c>
      <c r="Z183" s="354">
        <f>Table1[[#This Row],[DCR    Loss]]+Table1[[#This Row],[Core Loss]]</f>
        <v>2.2704229885457834</v>
      </c>
      <c r="AA183" s="4">
        <f>IF(Table1[[#This Row],[Vin]]&gt;Vout, Table1[[#This Row],[Ripple Current pk-pk]]/SQRT(12), SQRT(Table1[[#This Row],[Duty Cycle BOOST Leg]]/(1-Table1[[#This Row],[Duty Cycle BOOST Leg]]))*SQRT(Table1[[#This Row],[Iout]]^2+(Table1[[#This Row],[Ripple Current pk-pk]]^2)/12))</f>
        <v>1.4671494864844488</v>
      </c>
      <c r="AB183" s="354">
        <f>RCoutEsr*Table1[[#This Row],[Irms Cout]]^2</f>
        <v>1.076263807845791E-2</v>
      </c>
      <c r="AC183" s="354">
        <f>Table1[[#This Row],[Cout ESR Loss]]</f>
        <v>1.076263807845791E-2</v>
      </c>
      <c r="AD183" s="354">
        <f>IF(Table1[[#This Row],[Vin]]&gt;Vout, SQRT(Table1[[#This Row],[Duty Cycle BUCK Leg]]*(1-Table1[[#This Row],[Duty Cycle BUCK Leg]]))*SQRT(Table1[[#This Row],[Iout]]^2+(Table1[[#This Row],[Ripple Current pk-pk]]^2)/12), Table1[[#This Row],[Ripple Current pk-pk]]/SQRT(12))</f>
        <v>6.0232455761577048</v>
      </c>
      <c r="AE183" s="354">
        <f>RCinEsr*Table1[[#This Row],[Irms Cin]]^2</f>
        <v>7.2558974541406723E-2</v>
      </c>
      <c r="AF183" s="549">
        <f>Table1[[#This Row],[Cin ESR Loss]]</f>
        <v>7.2558974541406723E-2</v>
      </c>
      <c r="AG18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8.1809514068657059</v>
      </c>
      <c r="AH183" s="354">
        <f>Rdson1*Table1[[#This Row],[Irms BuCtrl]]^2</f>
        <v>0.28109745687029153</v>
      </c>
      <c r="AI183" s="354">
        <f>CHOOSE(Table1[[#This Row],[Mode Digit]], (Table1[[#This Row],[Vin]]*Table1[[#This Row],[Iout]]/2)*(Fsw)*(Tr_buck+Tf_buck), 0, (Table1[[#This Row],[Vin]]*Table1[[#This Row],[Avg IL]]/2)*(Fsw/1)*(Tr_buck+Tf_buck))</f>
        <v>3.8293042586381087</v>
      </c>
      <c r="AJ183">
        <f>IF(Table1[[#This Row],[Vin]]&gt;Vout, IF(Table1[[#This Row],[Iout]]&gt;Table1[[#This Row],[Ripple Current pk-pk]]/2,0,ABS(Table1[[#This Row],[Iout]]-Table1[[#This Row],[Ripple Current pk-pk]]/2)*Vsd_Q1*Deadtime*Fsw),0)</f>
        <v>0</v>
      </c>
      <c r="AK183" s="354">
        <f>(Table1[[#This Row],[Dead Time Loss BuCtrl]]+Table1[[#This Row],[Transition Loss BuCtrl]]+Table1[[#This Row],[RDS(on) Loss BuCtrl]]*(1+RdsonTopTc*Ta-RdsonTopTc*25))/(1-Table1[[#This Row],[RDS(on) Loss BuCtrl]]*RdsonTopTc*ThetaJA_Q1)</f>
        <v>4.4077644457955403</v>
      </c>
      <c r="AL183" s="354">
        <f>CHOOSE(Table1[[#This Row],[Mode Digit]],SQRT((Fsw*(Table1[[#This Row],[t2_Ph_I]]+0))*((Table1[[#This Row],[I_0]]*Table1[[#This Row],[I_1]]+((Table1[[#This Row],[I_0]]-Table1[[#This Row],[I_1]])^2)/3))),0,SQRT((Fsw*(Table1[[#This Row],[t3_Ph_III]]+0))*((Table1[[#This Row],[I_0]]*Table1[[#This Row],[I_2]]+((Table1[[#This Row],[I_0]]-Table1[[#This Row],[I_2]])^2)/3))))</f>
        <v>8.9008180351130406</v>
      </c>
      <c r="AM183" s="354">
        <f>Rdson2*Table1[[#This Row],[Irms BuSync]]^2</f>
        <v>0.33274315911561303</v>
      </c>
      <c r="AN18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3" s="354">
        <f>(Table1[[#This Row],[Deadtime Loss BuSync]]+Table1[[#This Row],[RDS(on) Loss BuSync]]*(1+RdsonBotTc*Ta-RdsonBotTc*25))/(1-Table1[[#This Row],[RDS(on) Loss BuSync]]*RdsonBotTc*ThetaJA_Q2)</f>
        <v>0.98910270585573901</v>
      </c>
      <c r="AP183" s="354">
        <f>CHOOSE(Table1[[#This Row],[Mode Digit]],0,SQRT((Fsw*(Table1[[#This Row],[t1_Ph_II]]+0))*((Table1[[#This Row],[I_0]]*Table1[[#This Row],[I_1]]+((Table1[[#This Row],[I_0]]-Table1[[#This Row],[I_1]])^2)/3))),SQRT((Fsw*(Table1[[#This Row],[t2_Ph_I]]+0))*((Table1[[#This Row],[I_1]]*Table1[[#This Row],[I_2]]+((Table1[[#This Row],[I_1]]-Table1[[#This Row],[I_2]])^2)/3))))</f>
        <v>0</v>
      </c>
      <c r="AQ183" s="354">
        <f>Rdson4*Table1[[#This Row],[Irms BoCtlr]]^2</f>
        <v>0</v>
      </c>
      <c r="AR183" s="354">
        <f>CHOOSE(Table1[[#This Row],[Mode Digit]], 0, (Vout*Table1[[#This Row],[Iin]]/2)*(Fsw)*(Tr_boost+Tf_boost), (Vout*Iout/2)*(Fsw/1)*(Tr_boost+Tf_boost))</f>
        <v>0</v>
      </c>
      <c r="AS183">
        <f>IF(Table1[[#This Row],[Vin]]&gt;Vout, 0, IF(Table1[[#This Row],[Iin]]&gt;Table1[[#This Row],[Ripple Current pk-pk]]/2,0,ABS(Table1[[#This Row],[Iin]]-Table1[[#This Row],[Ripple Current pk-pk]]/2)*Vsd_Q4*Deadtime*Fsw))</f>
        <v>0</v>
      </c>
      <c r="AT183" s="354">
        <f>(Table1[[#This Row],[Dead Time Loss BoCtlr]]+Table1[[#This Row],[Transition Loss BoCtlr]]+Table1[[#This Row],[RDS(on) Loss BoCtlr]]*(1+RdsonTopTc*Ta-RdsonTopTc*25))/(1-Table1[[#This Row],[RDS(on) Loss BoCtlr]]*RdsonTopTc*ThetaJA_Q4)</f>
        <v>0</v>
      </c>
      <c r="AU18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12.089355963643868</v>
      </c>
      <c r="AV183" s="354">
        <f>Rdson3*Table1[[#This Row],[Irms BoSync]]^2</f>
        <v>0.61384061598590467</v>
      </c>
      <c r="AW18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3" s="354">
        <f>(Table1[[#This Row],[Deadtime Loss BoSync]]+Table1[[#This Row],[RDS(on) Loss BoSync]]*(1+RdsonBotTc*Ta-RdsonBotTc*25))/(1-Table1[[#This Row],[RDS(on) Loss BoSync]]*RdsonBotTc*ThetaJA_Q3)</f>
        <v>0.71989711761557373</v>
      </c>
      <c r="AY183" s="354">
        <f>CHOOSE(Table1[[#This Row],[Mode Digit]], Rdson3*Table1[[#This Row],[Irms Lf]]^2, Rdson1*Table1[[#This Row],[Irms Lf]]^2, 0)</f>
        <v>0.61384061598590467</v>
      </c>
      <c r="AZ183" s="354">
        <f>CHOOSE(Table1[[#This Row],[Mode Digit]], 2*Deadtime*Fsw*IF(VfdSky_Q2&gt;0,VfdSky_Q2,0)*Table1[[#This Row],[Iout]], 2*Deadtime*Fsw*IF(VfdSky_Q3&gt;0,VfdSky_Q3,0)*Table1[[#This Row],[Iin]], 2*Deadtime*Fsw*IF(VfdSky_Q2&gt;0,VfdSky_Q2,0)*Table1[[#This Row],[Iout]]+2*Deadtime*Fsw*IF(VfdSky_Q3&gt;0,VfdSky_Q3,0)*Table1[[#This Row],[Iin]])</f>
        <v>0</v>
      </c>
      <c r="BA183" s="354">
        <f>CHOOSE(Table1[[#This Row],[Mode Digit]], IF(QrrSky_Q2&gt;0,QrrSky_Q2,Qrr_Q2)*Fsw*(Table1[[#This Row],[Vin]]-Table1[[#This Row],[Iout]]*Rdson1),0,  IF(QrrSky_Q2&gt;0,QrrSky_Q2,Qrr_Q2)*Fsw*(Table1[[#This Row],[Vin]]-Table1[[#This Row],[Iout]]*Rdson1)+IF(QrrSky_Q3&gt;0,QrrSky_Q3,Qrr_Q3)*Fsw*Vout)</f>
        <v>0.38555519999999999</v>
      </c>
      <c r="BB183" s="354">
        <f>CHOOSE(Table1[[#This Row],[Mode Digit]],0, IF(QrrSky_Q3&gt;0,QrrSky_Q3,Qrr_Q3)*Fsw*Vout,  IF(QrrSky_Q2&gt;0,QrrSky_Q2,Qrr_Q2)*Fsw*(Table1[[#This Row],[Vin]]-Table1[[#This Row],[Iout]]*Rdson1)+IF(QrrSky_Q3&gt;0,QrrSky_Q3,Qrr_Q3)*Fsw*Vout)</f>
        <v>0</v>
      </c>
      <c r="BC183" s="354">
        <f>CHOOSE(Table1[[#This Row],[Mode Digit]], Rs*Table1[[#This Row],[Irms BuSync]]^2, Rs*Table1[[#This Row],[Irms BoCtlr]]^2, Rs*(Table1[[#This Row],[Irms BuSync]]^2+Table1[[#This Row],[Irms BoCtlr]]^2))</f>
        <v>0.19806140423548393</v>
      </c>
      <c r="BD183" s="354">
        <f t="shared" si="8"/>
        <v>1.44</v>
      </c>
      <c r="BE183" s="354">
        <f>IF(Vout&gt;8, Iq*Vout, Iq*Table1[[#This Row],[Vin]])</f>
        <v>4.3799999999999999E-2</v>
      </c>
      <c r="BF183" s="354">
        <f>CHOOSE(Table1[[#This Row],[Mode Digit]], (Qg_Q1+Qg_Q2)*Fsw, (Qg_Q3+Qg_Q4)*Fsw, (Qg_Q1+Qg_Q2+Qg_Q3+Qg_Q4)*Fsw)*IF(Vout&gt;8, Vout, Table1[[#This Row],[Vin]])</f>
        <v>0.47303999999999996</v>
      </c>
      <c r="BG183" s="354">
        <f t="shared" si="9"/>
        <v>0.57269042016806726</v>
      </c>
      <c r="BH183" s="354">
        <f>Table1[[#This Row],[IQ Loss]]+Table1[[#This Row],[Switching Current Loss]]</f>
        <v>0.51683999999999997</v>
      </c>
      <c r="BI18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11.010965474667984</v>
      </c>
      <c r="BJ183">
        <f>Vout*Table1[[#This Row],[Iout]]</f>
        <v>175.2</v>
      </c>
      <c r="BK183" s="550">
        <f>Table1[[#This Row],[Pout]]/(Table1[[#This Row],[Pout]]+Table1[[#This Row],[Total Loss]])</f>
        <v>0.94086832938865828</v>
      </c>
      <c r="BL18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264.46586674773243</v>
      </c>
      <c r="BM183" s="559">
        <f>IF(Table1[[#This Row],[Vin]]&gt;Vout, Table1[[#This Row],[Total Sync Bu MOSFET Loss]]*ThetaJA_Q2, ThetaJA_Q3*Table1[[#This Row],[Total Sync Bo MOSFET Loss]])</f>
        <v>59.34616235134434</v>
      </c>
      <c r="BN183" s="9"/>
      <c r="BO183" s="4">
        <f>Table1[[#This Row],[EFF, h]]*100</f>
        <v>94.086832938865825</v>
      </c>
      <c r="BP183" s="354">
        <f>Table1[[#This Row],[Total Inductor Loss]]</f>
        <v>2.2704229885457834</v>
      </c>
      <c r="BQ183" s="354">
        <f>Table1[[#This Row],[Total Control Bu MOSFET Loss]]+Table1[[#This Row],[Total Sync Bu MOSFET Loss]]+Table1[[#This Row],[Total Control Bo MOSFET Loss]]+Table1[[#This Row],[Total Sync Bo MOSFET Loss]]+Table1[[#This Row],[Reverse Recovery Loss MOSFET D BUCK]]+Table1[[#This Row],[Reverse Recovery Loss MOSFET D BOOST]]</f>
        <v>6.5023194692668529</v>
      </c>
      <c r="BR183" s="354">
        <f>Table1[[#This Row],[Total Control Bu MOSFET Loss]]+Table1[[#This Row],[Reverse Recovery Loss MOSFET D BUCK]]*0.66</f>
        <v>4.6622308777955404</v>
      </c>
      <c r="BS183" s="354">
        <f>Table1[[#This Row],[Total Sync Bu MOSFET Loss]]+Table1[[#This Row],[Reverse Recovery Loss MOSFET D BUCK]]*0.33</f>
        <v>1.1163359218557389</v>
      </c>
      <c r="BT183" s="354">
        <f xml:space="preserve"> Table1[[#This Row],[Total Control Bo MOSFET Loss]]+Table1[[#This Row],[Reverse Recovery Loss MOSFET D BOOST]]*0.66</f>
        <v>0</v>
      </c>
      <c r="BU183" s="354">
        <f xml:space="preserve"> Table1[[#This Row],[Total Sync Bo MOSFET Loss]]+Table1[[#This Row],[Reverse Recovery Loss MOSFET D BOOST]]*0.33</f>
        <v>0.71989711761557373</v>
      </c>
      <c r="BV183" s="354">
        <f>Table1[[#This Row],[Isense Shunt Loss]]</f>
        <v>0.19806140423548393</v>
      </c>
    </row>
    <row r="184" spans="7:74" x14ac:dyDescent="0.2">
      <c r="G184">
        <v>175</v>
      </c>
      <c r="H184" s="555">
        <f>VIN_min+(VIN_max-VIN_min)*(Table1[[#This Row],[Step]]/200)</f>
        <v>32.25</v>
      </c>
      <c r="I184" s="4" t="str">
        <f>IF(Mode = 2,IF(Table1[[#This Row],[Vin]]&gt;Vout, "BUCK","BOOST"),IF(Table1[[#This Row],[Vin]]&gt;VIN_BB_to_buck, "BUCK", IF(Table1[[#This Row],[Vin]]&lt;=VIN_boost_to_BB,"BOOST","BUCK-BST")))</f>
        <v>BUCK</v>
      </c>
      <c r="J184">
        <f>IF(Table1[[#This Row],[Mode]]="BOOST",2, IF(Table1[[#This Row],[Mode]]="BUCK", 1,3))</f>
        <v>1</v>
      </c>
      <c r="K184">
        <f t="shared" si="7"/>
        <v>12</v>
      </c>
      <c r="L184" s="4">
        <f>Vout*Table1[[#This Row],[Iout]]/(Table1[[#This Row],[Vin]]*Efficiency)</f>
        <v>5.7184822521419827</v>
      </c>
      <c r="M184" s="711">
        <f>MIN(1/Fsw,CHOOSE(Table1[[#This Row],[Mode Digit]],(Vout+(Rdson2+Rs+Rdcr)*Table1[[#This Row],[Iout]])/(Table1[[#This Row],[Vin]]+(Rs+Rdson2-Rdson1)*Table1[[#This Row],[Iout]])/Fsw,(Vout+(Rdson3+Rdcr)*Table1[[#This Row],[Iin]]-Table1[[#This Row],[Vin]])/(Vout+(Rdson3-Rdson4-Rs)*Table1[[#This Row],[Iin]])/Fsw,t1_Ph_II))</f>
        <v>7.6156546881453942E-7</v>
      </c>
      <c r="N184" s="602">
        <f>CHOOSE(Table1[[#This Row],[Mode Digit]],1/Fsw-Table1[[#This Row],[t1_Ph_II]],1/Fsw-Table1[[#This Row],[t1_Ph_II]],(Vout/Fsw-Table1[[#This Row],[Vin]]*t1_Ph_II)/(Table1[[#This Row],[Vin]]+Vout))</f>
        <v>9.0510119785212724E-7</v>
      </c>
      <c r="O184" s="602">
        <f>1/Fsw-(Table1[[#This Row],[t1_Ph_II]]+Table1[[#This Row],[t2_Ph_I]])</f>
        <v>0</v>
      </c>
      <c r="P18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9.4542366430726101</v>
      </c>
      <c r="Q184" s="4">
        <f>CHOOSE(Table1[[#This Row],[Mode Digit]],Table1[[#This Row],[I_0]]+1/Lf*(Table1[[#This Row],[Vin]]-Vout)*Table1[[#This Row],[t1_Ph_II]],Table1[[#This Row],[I_0]]+1/Lf*Table1[[#This Row],[Vin]]*Table1[[#This Row],[t1_Ph_II]],Table1[[#This Row],[I_0]]+(Table1[[#This Row],[Vin]]-Vout)/L*Table1[[#This Row],[t1_Ph_II]])</f>
        <v>14.54576335692739</v>
      </c>
      <c r="R184" s="4">
        <f>CHOOSE(Table1[[#This Row],[Mode Digit]],0,0,Table1[[#This Row],[I_1]]+Table1[[#This Row],[Vin]]/L*Table1[[#This Row],[t2_Ph_I]])</f>
        <v>0</v>
      </c>
      <c r="S184" s="4">
        <f>Fsw*(Table1[[#This Row],[I_0]]*Table1[[#This Row],[t1_Ph_II]]+Table1[[#This Row],[I_1]]*Table1[[#This Row],[t2_Ph_I]]+Table1[[#This Row],[I_2]]*Table1[[#This Row],[t3_Ph_III]])</f>
        <v>12.21924479963625</v>
      </c>
      <c r="T184" s="354">
        <f>MIN(1,CHOOSE(Table1[[#This Row],[Mode Digit]],(Vout+(Rdson2+Rs+Rdcr)*Table1[[#This Row],[Iout]])/(Table1[[#This Row],[Vin]]+(Rs+Rdson2-Rdson1)*Table1[[#This Row],[Iout]]),1,Fsw*Table1[[#This Row],[t2_Ph_I]]+Table1[[#This Row],[t1_Ph_II]]))</f>
        <v>0.45693928128872363</v>
      </c>
      <c r="U184" s="354">
        <f>MIN(1,CHOOSE(Table1[[#This Row],[Mode Digit]],0,(Vout+(Rdson3+Rdcr)*Table1[[#This Row],[Iin]]-Table1[[#This Row],[Vin]])/(Vout+(Rdson3-Rdson4-Rs)*Table1[[#This Row],[Iin]]),Fsw*Table1[[#This Row],[t1_Ph_II]]+Table1[[#This Row],[t3_Ph_III]]))</f>
        <v>0</v>
      </c>
      <c r="V184" s="4">
        <f>MAX(Table1[[#This Row],[I_0]:[I_2]])-MIN(Table1[[#This Row],[I_0]:[I_1]])</f>
        <v>5.0915267138547797</v>
      </c>
      <c r="W18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12.089677567653521</v>
      </c>
      <c r="X184" s="354">
        <f>(Table1[[#This Row],[Irms Lf]]^2*Rdcr*(1+Ltc*Ta-Ltc*25))/(1-Table1[[#This Row],[Irms Lf]]^2*Rdcr*Ltc*ThetaCa)</f>
        <v>0.90940407324318584</v>
      </c>
      <c r="Y184" s="354">
        <f>ABS(7.759*10^-3*Fsw^0.9458*(0.00787*Table1[[#This Row],[Ripple Current pk-pk]])^2.304)</f>
        <v>1.3667366529790228</v>
      </c>
      <c r="Z184" s="354">
        <f>Table1[[#This Row],[DCR    Loss]]+Table1[[#This Row],[Core Loss]]</f>
        <v>2.2761407262222084</v>
      </c>
      <c r="AA184" s="4">
        <f>IF(Table1[[#This Row],[Vin]]&gt;Vout, Table1[[#This Row],[Ripple Current pk-pk]]/SQRT(12), SQRT(Table1[[#This Row],[Duty Cycle BOOST Leg]]/(1-Table1[[#This Row],[Duty Cycle BOOST Leg]]))*SQRT(Table1[[#This Row],[Iout]]^2+(Table1[[#This Row],[Ripple Current pk-pk]]^2)/12))</f>
        <v>1.469797159415114</v>
      </c>
      <c r="AB184" s="354">
        <f>RCoutEsr*Table1[[#This Row],[Irms Cout]]^2</f>
        <v>1.0801518449123691E-2</v>
      </c>
      <c r="AC184" s="354">
        <f>Table1[[#This Row],[Cout ESR Loss]]</f>
        <v>1.0801518449123691E-2</v>
      </c>
      <c r="AD184" s="354">
        <f>IF(Table1[[#This Row],[Vin]]&gt;Vout, SQRT(Table1[[#This Row],[Duty Cycle BUCK Leg]]*(1-Table1[[#This Row],[Duty Cycle BUCK Leg]]))*SQRT(Table1[[#This Row],[Iout]]^2+(Table1[[#This Row],[Ripple Current pk-pk]]^2)/12), Table1[[#This Row],[Ripple Current pk-pk]]/SQRT(12))</f>
        <v>6.0223800744275016</v>
      </c>
      <c r="AE184" s="354">
        <f>RCinEsr*Table1[[#This Row],[Irms Cin]]^2</f>
        <v>7.25381235217228E-2</v>
      </c>
      <c r="AF184" s="549">
        <f>Table1[[#This Row],[Cin ESR Loss]]</f>
        <v>7.25381235217228E-2</v>
      </c>
      <c r="AG18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8.1722936878804173</v>
      </c>
      <c r="AH184" s="354">
        <f>Rdson1*Table1[[#This Row],[Irms BuCtrl]]^2</f>
        <v>0.28050281330807453</v>
      </c>
      <c r="AI184" s="354">
        <f>CHOOSE(Table1[[#This Row],[Mode Digit]], (Table1[[#This Row],[Vin]]*Table1[[#This Row],[Iout]]/2)*(Fsw)*(Tr_buck+Tf_buck), 0, (Table1[[#This Row],[Vin]]*Table1[[#This Row],[Avg IL]]/2)*(Fsw/1)*(Tr_buck+Tf_buck))</f>
        <v>3.8376340068700756</v>
      </c>
      <c r="AJ184">
        <f>IF(Table1[[#This Row],[Vin]]&gt;Vout, IF(Table1[[#This Row],[Iout]]&gt;Table1[[#This Row],[Ripple Current pk-pk]]/2,0,ABS(Table1[[#This Row],[Iout]]-Table1[[#This Row],[Ripple Current pk-pk]]/2)*Vsd_Q1*Deadtime*Fsw),0)</f>
        <v>0</v>
      </c>
      <c r="AK184" s="354">
        <f>(Table1[[#This Row],[Dead Time Loss BuCtrl]]+Table1[[#This Row],[Transition Loss BuCtrl]]+Table1[[#This Row],[RDS(on) Loss BuCtrl]]*(1+RdsonTopTc*Ta-RdsonTopTc*25))/(1-Table1[[#This Row],[RDS(on) Loss BuCtrl]]*RdsonTopTc*ThetaJA_Q1)</f>
        <v>4.4153834127656477</v>
      </c>
      <c r="AL184" s="354">
        <f>CHOOSE(Table1[[#This Row],[Mode Digit]],SQRT((Fsw*(Table1[[#This Row],[t2_Ph_I]]+0))*((Table1[[#This Row],[I_0]]*Table1[[#This Row],[I_1]]+((Table1[[#This Row],[I_0]]-Table1[[#This Row],[I_1]])^2)/3))),0,SQRT((Fsw*(Table1[[#This Row],[t3_Ph_III]]+0))*((Table1[[#This Row],[I_0]]*Table1[[#This Row],[I_2]]+((Table1[[#This Row],[I_0]]-Table1[[#This Row],[I_2]])^2)/3))))</f>
        <v>8.9092042051383373</v>
      </c>
      <c r="AM184" s="354">
        <f>Rdson2*Table1[[#This Row],[Irms BuSync]]^2</f>
        <v>0.33337046218918948</v>
      </c>
      <c r="AN18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4" s="354">
        <f>(Table1[[#This Row],[Deadtime Loss BuSync]]+Table1[[#This Row],[RDS(on) Loss BuSync]]*(1+RdsonBotTc*Ta-RdsonBotTc*25))/(1-Table1[[#This Row],[RDS(on) Loss BuSync]]*RdsonBotTc*ThetaJA_Q2)</f>
        <v>0.9899464261949753</v>
      </c>
      <c r="AP184" s="354">
        <f>CHOOSE(Table1[[#This Row],[Mode Digit]],0,SQRT((Fsw*(Table1[[#This Row],[t1_Ph_II]]+0))*((Table1[[#This Row],[I_0]]*Table1[[#This Row],[I_1]]+((Table1[[#This Row],[I_0]]-Table1[[#This Row],[I_1]])^2)/3))),SQRT((Fsw*(Table1[[#This Row],[t2_Ph_I]]+0))*((Table1[[#This Row],[I_1]]*Table1[[#This Row],[I_2]]+((Table1[[#This Row],[I_1]]-Table1[[#This Row],[I_2]])^2)/3))))</f>
        <v>0</v>
      </c>
      <c r="AQ184" s="354">
        <f>Rdson4*Table1[[#This Row],[Irms BoCtlr]]^2</f>
        <v>0</v>
      </c>
      <c r="AR184" s="354">
        <f>CHOOSE(Table1[[#This Row],[Mode Digit]], 0, (Vout*Table1[[#This Row],[Iin]]/2)*(Fsw)*(Tr_boost+Tf_boost), (Vout*Iout/2)*(Fsw/1)*(Tr_boost+Tf_boost))</f>
        <v>0</v>
      </c>
      <c r="AS184">
        <f>IF(Table1[[#This Row],[Vin]]&gt;Vout, 0, IF(Table1[[#This Row],[Iin]]&gt;Table1[[#This Row],[Ripple Current pk-pk]]/2,0,ABS(Table1[[#This Row],[Iin]]-Table1[[#This Row],[Ripple Current pk-pk]]/2)*Vsd_Q4*Deadtime*Fsw))</f>
        <v>0</v>
      </c>
      <c r="AT184" s="354">
        <f>(Table1[[#This Row],[Dead Time Loss BoCtlr]]+Table1[[#This Row],[Transition Loss BoCtlr]]+Table1[[#This Row],[RDS(on) Loss BoCtlr]]*(1+RdsonTopTc*Ta-RdsonTopTc*25))/(1-Table1[[#This Row],[RDS(on) Loss BoCtlr]]*RdsonTopTc*ThetaJA_Q4)</f>
        <v>0</v>
      </c>
      <c r="AU18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12.089677567653521</v>
      </c>
      <c r="AV184" s="354">
        <f>Rdson3*Table1[[#This Row],[Irms BoSync]]^2</f>
        <v>0.61387327549726411</v>
      </c>
      <c r="AW18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4" s="354">
        <f>(Table1[[#This Row],[Deadtime Loss BoSync]]+Table1[[#This Row],[RDS(on) Loss BoSync]]*(1+RdsonBotTc*Ta-RdsonBotTc*25))/(1-Table1[[#This Row],[RDS(on) Loss BoSync]]*RdsonBotTc*ThetaJA_Q3)</f>
        <v>0.7199420379832534</v>
      </c>
      <c r="AY184" s="354">
        <f>CHOOSE(Table1[[#This Row],[Mode Digit]], Rdson3*Table1[[#This Row],[Irms Lf]]^2, Rdson1*Table1[[#This Row],[Irms Lf]]^2, 0)</f>
        <v>0.61387327549726411</v>
      </c>
      <c r="AZ184" s="354">
        <f>CHOOSE(Table1[[#This Row],[Mode Digit]], 2*Deadtime*Fsw*IF(VfdSky_Q2&gt;0,VfdSky_Q2,0)*Table1[[#This Row],[Iout]], 2*Deadtime*Fsw*IF(VfdSky_Q3&gt;0,VfdSky_Q3,0)*Table1[[#This Row],[Iin]], 2*Deadtime*Fsw*IF(VfdSky_Q2&gt;0,VfdSky_Q2,0)*Table1[[#This Row],[Iout]]+2*Deadtime*Fsw*IF(VfdSky_Q3&gt;0,VfdSky_Q3,0)*Table1[[#This Row],[Iin]])</f>
        <v>0</v>
      </c>
      <c r="BA184" s="354">
        <f>CHOOSE(Table1[[#This Row],[Mode Digit]], IF(QrrSky_Q2&gt;0,QrrSky_Q2,Qrr_Q2)*Fsw*(Table1[[#This Row],[Vin]]-Table1[[#This Row],[Iout]]*Rdson1),0,  IF(QrrSky_Q2&gt;0,QrrSky_Q2,Qrr_Q2)*Fsw*(Table1[[#This Row],[Vin]]-Table1[[#This Row],[Iout]]*Rdson1)+IF(QrrSky_Q3&gt;0,QrrSky_Q3,Qrr_Q3)*Fsw*Vout)</f>
        <v>0.38639519999999999</v>
      </c>
      <c r="BB184" s="354">
        <f>CHOOSE(Table1[[#This Row],[Mode Digit]],0, IF(QrrSky_Q3&gt;0,QrrSky_Q3,Qrr_Q3)*Fsw*Vout,  IF(QrrSky_Q2&gt;0,QrrSky_Q2,Qrr_Q2)*Fsw*(Table1[[#This Row],[Vin]]-Table1[[#This Row],[Iout]]*Rdson1)+IF(QrrSky_Q3&gt;0,QrrSky_Q3,Qrr_Q3)*Fsw*Vout)</f>
        <v>0</v>
      </c>
      <c r="BC184" s="354">
        <f>CHOOSE(Table1[[#This Row],[Mode Digit]], Rs*Table1[[#This Row],[Irms BuSync]]^2, Rs*Table1[[#This Row],[Irms BoCtlr]]^2, Rs*(Table1[[#This Row],[Irms BuSync]]^2+Table1[[#This Row],[Irms BoCtlr]]^2))</f>
        <v>0.19843479892213658</v>
      </c>
      <c r="BD184" s="354">
        <f t="shared" si="8"/>
        <v>1.44</v>
      </c>
      <c r="BE184" s="354">
        <f>IF(Vout&gt;8, Iq*Vout, Iq*Table1[[#This Row],[Vin]])</f>
        <v>4.3799999999999999E-2</v>
      </c>
      <c r="BF184" s="354">
        <f>CHOOSE(Table1[[#This Row],[Mode Digit]], (Qg_Q1+Qg_Q2)*Fsw, (Qg_Q3+Qg_Q4)*Fsw, (Qg_Q1+Qg_Q2+Qg_Q3+Qg_Q4)*Fsw)*IF(Vout&gt;8, Vout, Table1[[#This Row],[Vin]])</f>
        <v>0.47303999999999996</v>
      </c>
      <c r="BG184" s="354">
        <f t="shared" si="9"/>
        <v>0.57269042016806726</v>
      </c>
      <c r="BH184" s="354">
        <f>Table1[[#This Row],[IQ Loss]]+Table1[[#This Row],[Switching Current Loss]]</f>
        <v>0.51683999999999997</v>
      </c>
      <c r="BI18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11.026422244059066</v>
      </c>
      <c r="BJ184">
        <f>Vout*Table1[[#This Row],[Iout]]</f>
        <v>175.2</v>
      </c>
      <c r="BK184" s="550">
        <f>Table1[[#This Row],[Pout]]/(Table1[[#This Row],[Pout]]+Table1[[#This Row],[Total Loss]])</f>
        <v>0.94079023743683166</v>
      </c>
      <c r="BL18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264.92300476593886</v>
      </c>
      <c r="BM184" s="559">
        <f>IF(Table1[[#This Row],[Vin]]&gt;Vout, Table1[[#This Row],[Total Sync Bu MOSFET Loss]]*ThetaJA_Q2, ThetaJA_Q3*Table1[[#This Row],[Total Sync Bo MOSFET Loss]])</f>
        <v>59.396785571698516</v>
      </c>
      <c r="BN184" s="9"/>
      <c r="BO184" s="4">
        <f>Table1[[#This Row],[EFF, h]]*100</f>
        <v>94.079023743683166</v>
      </c>
      <c r="BP184" s="354">
        <f>Table1[[#This Row],[Total Inductor Loss]]</f>
        <v>2.2761407262222084</v>
      </c>
      <c r="BQ184" s="354">
        <f>Table1[[#This Row],[Total Control Bu MOSFET Loss]]+Table1[[#This Row],[Total Sync Bu MOSFET Loss]]+Table1[[#This Row],[Total Control Bo MOSFET Loss]]+Table1[[#This Row],[Total Sync Bo MOSFET Loss]]+Table1[[#This Row],[Reverse Recovery Loss MOSFET D BUCK]]+Table1[[#This Row],[Reverse Recovery Loss MOSFET D BOOST]]</f>
        <v>6.5116670769438763</v>
      </c>
      <c r="BR184" s="354">
        <f>Table1[[#This Row],[Total Control Bu MOSFET Loss]]+Table1[[#This Row],[Reverse Recovery Loss MOSFET D BUCK]]*0.66</f>
        <v>4.6704042447656473</v>
      </c>
      <c r="BS184" s="354">
        <f>Table1[[#This Row],[Total Sync Bu MOSFET Loss]]+Table1[[#This Row],[Reverse Recovery Loss MOSFET D BUCK]]*0.33</f>
        <v>1.1174568421949753</v>
      </c>
      <c r="BT184" s="354">
        <f xml:space="preserve"> Table1[[#This Row],[Total Control Bo MOSFET Loss]]+Table1[[#This Row],[Reverse Recovery Loss MOSFET D BOOST]]*0.66</f>
        <v>0</v>
      </c>
      <c r="BU184" s="354">
        <f xml:space="preserve"> Table1[[#This Row],[Total Sync Bo MOSFET Loss]]+Table1[[#This Row],[Reverse Recovery Loss MOSFET D BOOST]]*0.33</f>
        <v>0.7199420379832534</v>
      </c>
      <c r="BV184" s="354">
        <f>Table1[[#This Row],[Isense Shunt Loss]]</f>
        <v>0.19843479892213658</v>
      </c>
    </row>
    <row r="185" spans="7:74" x14ac:dyDescent="0.2">
      <c r="G185">
        <v>176</v>
      </c>
      <c r="H185" s="555">
        <f>VIN_min+(VIN_max-VIN_min)*(Table1[[#This Row],[Step]]/200)</f>
        <v>32.32</v>
      </c>
      <c r="I185" s="4" t="str">
        <f>IF(Mode = 2,IF(Table1[[#This Row],[Vin]]&gt;Vout, "BUCK","BOOST"),IF(Table1[[#This Row],[Vin]]&gt;VIN_BB_to_buck, "BUCK", IF(Table1[[#This Row],[Vin]]&lt;=VIN_boost_to_BB,"BOOST","BUCK-BST")))</f>
        <v>BUCK</v>
      </c>
      <c r="J185">
        <f>IF(Table1[[#This Row],[Mode]]="BOOST",2, IF(Table1[[#This Row],[Mode]]="BUCK", 1,3))</f>
        <v>1</v>
      </c>
      <c r="K185">
        <f t="shared" si="7"/>
        <v>12</v>
      </c>
      <c r="L185" s="4">
        <f>Vout*Table1[[#This Row],[Iout]]/(Table1[[#This Row],[Vin]]*Efficiency)</f>
        <v>5.7060969254820222</v>
      </c>
      <c r="M185" s="711">
        <f>MIN(1/Fsw,CHOOSE(Table1[[#This Row],[Mode Digit]],(Vout+(Rdson2+Rs+Rdcr)*Table1[[#This Row],[Iout]])/(Table1[[#This Row],[Vin]]+(Rs+Rdson2-Rdson1)*Table1[[#This Row],[Iout]])/Fsw,(Vout+(Rdson3+Rdcr)*Table1[[#This Row],[Iin]]-Table1[[#This Row],[Vin]])/(Vout+(Rdson3-Rdson4-Rs)*Table1[[#This Row],[Iin]])/Fsw,t1_Ph_II))</f>
        <v>7.5991756826378153E-7</v>
      </c>
      <c r="N185" s="602">
        <f>CHOOSE(Table1[[#This Row],[Mode Digit]],1/Fsw-Table1[[#This Row],[t1_Ph_II]],1/Fsw-Table1[[#This Row],[t1_Ph_II]],(Vout/Fsw-Table1[[#This Row],[Vin]]*t1_Ph_II)/(Table1[[#This Row],[Vin]]+Vout))</f>
        <v>9.0674909840288513E-7</v>
      </c>
      <c r="O185" s="602">
        <f>1/Fsw-(Table1[[#This Row],[t1_Ph_II]]+Table1[[#This Row],[t2_Ph_I]])</f>
        <v>0</v>
      </c>
      <c r="P18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9.4496705852965519</v>
      </c>
      <c r="Q185" s="4">
        <f>CHOOSE(Table1[[#This Row],[Mode Digit]],Table1[[#This Row],[I_0]]+1/Lf*(Table1[[#This Row],[Vin]]-Vout)*Table1[[#This Row],[t1_Ph_II]],Table1[[#This Row],[I_0]]+1/Lf*Table1[[#This Row],[Vin]]*Table1[[#This Row],[t1_Ph_II]],Table1[[#This Row],[I_0]]+(Table1[[#This Row],[Vin]]-Vout)/L*Table1[[#This Row],[t1_Ph_II]])</f>
        <v>14.550329414703448</v>
      </c>
      <c r="R185" s="4">
        <f>CHOOSE(Table1[[#This Row],[Mode Digit]],0,0,Table1[[#This Row],[I_1]]+Table1[[#This Row],[Vin]]/L*Table1[[#This Row],[t2_Ph_I]])</f>
        <v>0</v>
      </c>
      <c r="S185" s="4">
        <f>Fsw*(Table1[[#This Row],[I_0]]*Table1[[#This Row],[t1_Ph_II]]+Table1[[#This Row],[I_1]]*Table1[[#This Row],[t2_Ph_I]]+Table1[[#This Row],[I_2]]*Table1[[#This Row],[t3_Ph_III]])</f>
        <v>12.224681262191803</v>
      </c>
      <c r="T185" s="354">
        <f>MIN(1,CHOOSE(Table1[[#This Row],[Mode Digit]],(Vout+(Rdson2+Rs+Rdcr)*Table1[[#This Row],[Iout]])/(Table1[[#This Row],[Vin]]+(Rs+Rdson2-Rdson1)*Table1[[#This Row],[Iout]]),1,Fsw*Table1[[#This Row],[t2_Ph_I]]+Table1[[#This Row],[t1_Ph_II]]))</f>
        <v>0.45595054095826892</v>
      </c>
      <c r="U185" s="354">
        <f>MIN(1,CHOOSE(Table1[[#This Row],[Mode Digit]],0,(Vout+(Rdson3+Rdcr)*Table1[[#This Row],[Iin]]-Table1[[#This Row],[Vin]])/(Vout+(Rdson3-Rdson4-Rs)*Table1[[#This Row],[Iin]]),Fsw*Table1[[#This Row],[t1_Ph_II]]+Table1[[#This Row],[t3_Ph_III]]))</f>
        <v>0</v>
      </c>
      <c r="V185" s="4">
        <f>MAX(Table1[[#This Row],[I_0]:[I_2]])-MIN(Table1[[#This Row],[I_0]:[I_1]])</f>
        <v>5.1006588294068962</v>
      </c>
      <c r="W18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12.089998347442698</v>
      </c>
      <c r="X185" s="354">
        <f>(Table1[[#This Row],[Irms Lf]]^2*Rdcr*(1+Ltc*Ta-Ltc*25))/(1-Table1[[#This Row],[Irms Lf]]^2*Rdcr*Ltc*ThetaCa)</f>
        <v>0.90945584418588699</v>
      </c>
      <c r="Y185" s="354">
        <f>ABS(7.759*10^-3*Fsw^0.9458*(0.00787*Table1[[#This Row],[Ripple Current pk-pk]])^2.304)</f>
        <v>1.3723912069836433</v>
      </c>
      <c r="Z185" s="354">
        <f>Table1[[#This Row],[DCR    Loss]]+Table1[[#This Row],[Core Loss]]</f>
        <v>2.2818470511695303</v>
      </c>
      <c r="AA185" s="4">
        <f>IF(Table1[[#This Row],[Vin]]&gt;Vout, Table1[[#This Row],[Ripple Current pk-pk]]/SQRT(12), SQRT(Table1[[#This Row],[Duty Cycle BOOST Leg]]/(1-Table1[[#This Row],[Duty Cycle BOOST Leg]]))*SQRT(Table1[[#This Row],[Iout]]^2+(Table1[[#This Row],[Ripple Current pk-pk]]^2)/12))</f>
        <v>1.4724333741012565</v>
      </c>
      <c r="AB185" s="354">
        <f>RCoutEsr*Table1[[#This Row],[Irms Cout]]^2</f>
        <v>1.0840300205836054E-2</v>
      </c>
      <c r="AC185" s="354">
        <f>Table1[[#This Row],[Cout ESR Loss]]</f>
        <v>1.0840300205836054E-2</v>
      </c>
      <c r="AD185" s="354">
        <f>IF(Table1[[#This Row],[Vin]]&gt;Vout, SQRT(Table1[[#This Row],[Duty Cycle BUCK Leg]]*(1-Table1[[#This Row],[Duty Cycle BUCK Leg]]))*SQRT(Table1[[#This Row],[Iout]]^2+(Table1[[#This Row],[Ripple Current pk-pk]]^2)/12), Table1[[#This Row],[Ripple Current pk-pk]]/SQRT(12))</f>
        <v>6.0214945908191524</v>
      </c>
      <c r="AE185" s="354">
        <f>RCinEsr*Table1[[#This Row],[Irms Cin]]^2</f>
        <v>7.2516794214528613E-2</v>
      </c>
      <c r="AF185" s="549">
        <f>Table1[[#This Row],[Cin ESR Loss]]</f>
        <v>7.2516794214528613E-2</v>
      </c>
      <c r="AG18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8.1636637636903515</v>
      </c>
      <c r="AH185" s="354">
        <f>Rdson1*Table1[[#This Row],[Irms BuCtrl]]^2</f>
        <v>0.27991070539568191</v>
      </c>
      <c r="AI185" s="354">
        <f>CHOOSE(Table1[[#This Row],[Mode Digit]], (Table1[[#This Row],[Vin]]*Table1[[#This Row],[Iout]]/2)*(Fsw)*(Tr_buck+Tf_buck), 0, (Table1[[#This Row],[Vin]]*Table1[[#This Row],[Avg IL]]/2)*(Fsw/1)*(Tr_buck+Tf_buck))</f>
        <v>3.845963755102042</v>
      </c>
      <c r="AJ185">
        <f>IF(Table1[[#This Row],[Vin]]&gt;Vout, IF(Table1[[#This Row],[Iout]]&gt;Table1[[#This Row],[Ripple Current pk-pk]]/2,0,ABS(Table1[[#This Row],[Iout]]-Table1[[#This Row],[Ripple Current pk-pk]]/2)*Vsd_Q1*Deadtime*Fsw),0)</f>
        <v>0</v>
      </c>
      <c r="AK185" s="354">
        <f>(Table1[[#This Row],[Dead Time Loss BuCtrl]]+Table1[[#This Row],[Transition Loss BuCtrl]]+Table1[[#This Row],[RDS(on) Loss BuCtrl]]*(1+RdsonTopTc*Ta-RdsonTopTc*25))/(1-Table1[[#This Row],[RDS(on) Loss BuCtrl]]*RdsonTopTc*ThetaJA_Q1)</f>
        <v>4.4230056521957737</v>
      </c>
      <c r="AL185" s="354">
        <f>CHOOSE(Table1[[#This Row],[Mode Digit]],SQRT((Fsw*(Table1[[#This Row],[t2_Ph_I]]+0))*((Table1[[#This Row],[I_0]]*Table1[[#This Row],[I_1]]+((Table1[[#This Row],[I_0]]-Table1[[#This Row],[I_1]])^2)/3))),0,SQRT((Fsw*(Table1[[#This Row],[t3_Ph_III]]+0))*((Table1[[#This Row],[I_0]]*Table1[[#This Row],[I_2]]+((Table1[[#This Row],[I_0]]-Table1[[#This Row],[I_2]])^2)/3))))</f>
        <v>8.9175475325100599</v>
      </c>
      <c r="AM185" s="354">
        <f>Rdson2*Table1[[#This Row],[Irms BuSync]]^2</f>
        <v>0.33399514677722036</v>
      </c>
      <c r="AN18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5" s="354">
        <f>(Table1[[#This Row],[Deadtime Loss BuSync]]+Table1[[#This Row],[RDS(on) Loss BuSync]]*(1+RdsonBotTc*Ta-RdsonBotTc*25))/(1-Table1[[#This Row],[RDS(on) Loss BuSync]]*RdsonBotTc*ThetaJA_Q2)</f>
        <v>0.99078689914154328</v>
      </c>
      <c r="AP185" s="354">
        <f>CHOOSE(Table1[[#This Row],[Mode Digit]],0,SQRT((Fsw*(Table1[[#This Row],[t1_Ph_II]]+0))*((Table1[[#This Row],[I_0]]*Table1[[#This Row],[I_1]]+((Table1[[#This Row],[I_0]]-Table1[[#This Row],[I_1]])^2)/3))),SQRT((Fsw*(Table1[[#This Row],[t2_Ph_I]]+0))*((Table1[[#This Row],[I_1]]*Table1[[#This Row],[I_2]]+((Table1[[#This Row],[I_1]]-Table1[[#This Row],[I_2]])^2)/3))))</f>
        <v>0</v>
      </c>
      <c r="AQ185" s="354">
        <f>Rdson4*Table1[[#This Row],[Irms BoCtlr]]^2</f>
        <v>0</v>
      </c>
      <c r="AR185" s="354">
        <f>CHOOSE(Table1[[#This Row],[Mode Digit]], 0, (Vout*Table1[[#This Row],[Iin]]/2)*(Fsw)*(Tr_boost+Tf_boost), (Vout*Iout/2)*(Fsw/1)*(Tr_boost+Tf_boost))</f>
        <v>0</v>
      </c>
      <c r="AS185">
        <f>IF(Table1[[#This Row],[Vin]]&gt;Vout, 0, IF(Table1[[#This Row],[Iin]]&gt;Table1[[#This Row],[Ripple Current pk-pk]]/2,0,ABS(Table1[[#This Row],[Iin]]-Table1[[#This Row],[Ripple Current pk-pk]]/2)*Vsd_Q4*Deadtime*Fsw))</f>
        <v>0</v>
      </c>
      <c r="AT185" s="354">
        <f>(Table1[[#This Row],[Dead Time Loss BoCtlr]]+Table1[[#This Row],[Transition Loss BoCtlr]]+Table1[[#This Row],[RDS(on) Loss BoCtlr]]*(1+RdsonTopTc*Ta-RdsonTopTc*25))/(1-Table1[[#This Row],[RDS(on) Loss BoCtlr]]*RdsonTopTc*ThetaJA_Q4)</f>
        <v>0</v>
      </c>
      <c r="AU18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12.089998347442698</v>
      </c>
      <c r="AV185" s="354">
        <f>Rdson3*Table1[[#This Row],[Irms BoSync]]^2</f>
        <v>0.61390585217290217</v>
      </c>
      <c r="AW18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5" s="354">
        <f>(Table1[[#This Row],[Deadtime Loss BoSync]]+Table1[[#This Row],[RDS(on) Loss BoSync]]*(1+RdsonBotTc*Ta-RdsonBotTc*25))/(1-Table1[[#This Row],[RDS(on) Loss BoSync]]*RdsonBotTc*ThetaJA_Q3)</f>
        <v>0.71998684524021606</v>
      </c>
      <c r="AY185" s="354">
        <f>CHOOSE(Table1[[#This Row],[Mode Digit]], Rdson3*Table1[[#This Row],[Irms Lf]]^2, Rdson1*Table1[[#This Row],[Irms Lf]]^2, 0)</f>
        <v>0.61390585217290217</v>
      </c>
      <c r="AZ185" s="354">
        <f>CHOOSE(Table1[[#This Row],[Mode Digit]], 2*Deadtime*Fsw*IF(VfdSky_Q2&gt;0,VfdSky_Q2,0)*Table1[[#This Row],[Iout]], 2*Deadtime*Fsw*IF(VfdSky_Q3&gt;0,VfdSky_Q3,0)*Table1[[#This Row],[Iin]], 2*Deadtime*Fsw*IF(VfdSky_Q2&gt;0,VfdSky_Q2,0)*Table1[[#This Row],[Iout]]+2*Deadtime*Fsw*IF(VfdSky_Q3&gt;0,VfdSky_Q3,0)*Table1[[#This Row],[Iin]])</f>
        <v>0</v>
      </c>
      <c r="BA185" s="354">
        <f>CHOOSE(Table1[[#This Row],[Mode Digit]], IF(QrrSky_Q2&gt;0,QrrSky_Q2,Qrr_Q2)*Fsw*(Table1[[#This Row],[Vin]]-Table1[[#This Row],[Iout]]*Rdson1),0,  IF(QrrSky_Q2&gt;0,QrrSky_Q2,Qrr_Q2)*Fsw*(Table1[[#This Row],[Vin]]-Table1[[#This Row],[Iout]]*Rdson1)+IF(QrrSky_Q3&gt;0,QrrSky_Q3,Qrr_Q3)*Fsw*Vout)</f>
        <v>0.38723519999999995</v>
      </c>
      <c r="BB185" s="354">
        <f>CHOOSE(Table1[[#This Row],[Mode Digit]],0, IF(QrrSky_Q3&gt;0,QrrSky_Q3,Qrr_Q3)*Fsw*Vout,  IF(QrrSky_Q2&gt;0,QrrSky_Q2,Qrr_Q2)*Fsw*(Table1[[#This Row],[Vin]]-Table1[[#This Row],[Iout]]*Rdson1)+IF(QrrSky_Q3&gt;0,QrrSky_Q3,Qrr_Q3)*Fsw*Vout)</f>
        <v>0</v>
      </c>
      <c r="BC185" s="354">
        <f>CHOOSE(Table1[[#This Row],[Mode Digit]], Rs*Table1[[#This Row],[Irms BuSync]]^2, Rs*Table1[[#This Row],[Irms BoCtlr]]^2, Rs*(Table1[[#This Row],[Irms BuSync]]^2+Table1[[#This Row],[Irms BoCtlr]]^2))</f>
        <v>0.19880663498644066</v>
      </c>
      <c r="BD185" s="354">
        <f t="shared" si="8"/>
        <v>1.44</v>
      </c>
      <c r="BE185" s="354">
        <f>IF(Vout&gt;8, Iq*Vout, Iq*Table1[[#This Row],[Vin]])</f>
        <v>4.3799999999999999E-2</v>
      </c>
      <c r="BF185" s="354">
        <f>CHOOSE(Table1[[#This Row],[Mode Digit]], (Qg_Q1+Qg_Q2)*Fsw, (Qg_Q3+Qg_Q4)*Fsw, (Qg_Q1+Qg_Q2+Qg_Q3+Qg_Q4)*Fsw)*IF(Vout&gt;8, Vout, Table1[[#This Row],[Vin]])</f>
        <v>0.47303999999999996</v>
      </c>
      <c r="BG185" s="354">
        <f t="shared" si="9"/>
        <v>0.57269042016806726</v>
      </c>
      <c r="BH185" s="354">
        <f>Table1[[#This Row],[IQ Loss]]+Table1[[#This Row],[Switching Current Loss]]</f>
        <v>0.51683999999999997</v>
      </c>
      <c r="BI18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11.041865377153869</v>
      </c>
      <c r="BJ185">
        <f>Vout*Table1[[#This Row],[Iout]]</f>
        <v>175.2</v>
      </c>
      <c r="BK185" s="550">
        <f>Table1[[#This Row],[Pout]]/(Table1[[#This Row],[Pout]]+Table1[[#This Row],[Total Loss]])</f>
        <v>0.94071222732443505</v>
      </c>
      <c r="BL18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265.38033913174644</v>
      </c>
      <c r="BM185" s="559">
        <f>IF(Table1[[#This Row],[Vin]]&gt;Vout, Table1[[#This Row],[Total Sync Bu MOSFET Loss]]*ThetaJA_Q2, ThetaJA_Q3*Table1[[#This Row],[Total Sync Bo MOSFET Loss]])</f>
        <v>59.447213948492596</v>
      </c>
      <c r="BN185" s="9"/>
      <c r="BO185" s="4">
        <f>Table1[[#This Row],[EFF, h]]*100</f>
        <v>94.071222732443502</v>
      </c>
      <c r="BP185" s="354">
        <f>Table1[[#This Row],[Total Inductor Loss]]</f>
        <v>2.2818470511695303</v>
      </c>
      <c r="BQ185" s="354">
        <f>Table1[[#This Row],[Total Control Bu MOSFET Loss]]+Table1[[#This Row],[Total Sync Bu MOSFET Loss]]+Table1[[#This Row],[Total Control Bo MOSFET Loss]]+Table1[[#This Row],[Total Sync Bo MOSFET Loss]]+Table1[[#This Row],[Reverse Recovery Loss MOSFET D BUCK]]+Table1[[#This Row],[Reverse Recovery Loss MOSFET D BOOST]]</f>
        <v>6.5210145965775332</v>
      </c>
      <c r="BR185" s="354">
        <f>Table1[[#This Row],[Total Control Bu MOSFET Loss]]+Table1[[#This Row],[Reverse Recovery Loss MOSFET D BUCK]]*0.66</f>
        <v>4.6785808841957737</v>
      </c>
      <c r="BS185" s="354">
        <f>Table1[[#This Row],[Total Sync Bu MOSFET Loss]]+Table1[[#This Row],[Reverse Recovery Loss MOSFET D BUCK]]*0.33</f>
        <v>1.1185745151415434</v>
      </c>
      <c r="BT185" s="354">
        <f xml:space="preserve"> Table1[[#This Row],[Total Control Bo MOSFET Loss]]+Table1[[#This Row],[Reverse Recovery Loss MOSFET D BOOST]]*0.66</f>
        <v>0</v>
      </c>
      <c r="BU185" s="354">
        <f xml:space="preserve"> Table1[[#This Row],[Total Sync Bo MOSFET Loss]]+Table1[[#This Row],[Reverse Recovery Loss MOSFET D BOOST]]*0.33</f>
        <v>0.71998684524021606</v>
      </c>
      <c r="BV185" s="354">
        <f>Table1[[#This Row],[Isense Shunt Loss]]</f>
        <v>0.19880663498644066</v>
      </c>
    </row>
    <row r="186" spans="7:74" x14ac:dyDescent="0.2">
      <c r="G186">
        <v>177</v>
      </c>
      <c r="H186" s="555">
        <f>VIN_min+(VIN_max-VIN_min)*(Table1[[#This Row],[Step]]/200)</f>
        <v>32.39</v>
      </c>
      <c r="I186" s="4" t="str">
        <f>IF(Mode = 2,IF(Table1[[#This Row],[Vin]]&gt;Vout, "BUCK","BOOST"),IF(Table1[[#This Row],[Vin]]&gt;VIN_BB_to_buck, "BUCK", IF(Table1[[#This Row],[Vin]]&lt;=VIN_boost_to_BB,"BOOST","BUCK-BST")))</f>
        <v>BUCK</v>
      </c>
      <c r="J186">
        <f>IF(Table1[[#This Row],[Mode]]="BOOST",2, IF(Table1[[#This Row],[Mode]]="BUCK", 1,3))</f>
        <v>1</v>
      </c>
      <c r="K186">
        <f t="shared" si="7"/>
        <v>12</v>
      </c>
      <c r="L186" s="4">
        <f>Vout*Table1[[#This Row],[Iout]]/(Table1[[#This Row],[Vin]]*Efficiency)</f>
        <v>5.6937651321882967</v>
      </c>
      <c r="M186" s="711">
        <f>MIN(1/Fsw,CHOOSE(Table1[[#This Row],[Mode Digit]],(Vout+(Rdson2+Rs+Rdcr)*Table1[[#This Row],[Iout]])/(Table1[[#This Row],[Vin]]+(Rs+Rdson2-Rdson1)*Table1[[#This Row],[Iout]])/Fsw,(Vout+(Rdson3+Rdcr)*Table1[[#This Row],[Iin]]-Table1[[#This Row],[Vin]])/(Vout+(Rdson3-Rdson4-Rs)*Table1[[#This Row],[Iin]])/Fsw,t1_Ph_II))</f>
        <v>7.5827678387826439E-7</v>
      </c>
      <c r="N186" s="602">
        <f>CHOOSE(Table1[[#This Row],[Mode Digit]],1/Fsw-Table1[[#This Row],[t1_Ph_II]],1/Fsw-Table1[[#This Row],[t1_Ph_II]],(Vout/Fsw-Table1[[#This Row],[Vin]]*t1_Ph_II)/(Table1[[#This Row],[Vin]]+Vout))</f>
        <v>9.0838988278840227E-7</v>
      </c>
      <c r="O186" s="602">
        <f>1/Fsw-(Table1[[#This Row],[t1_Ph_II]]+Table1[[#This Row],[t2_Ph_I]])</f>
        <v>0</v>
      </c>
      <c r="P18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9.4451242452283477</v>
      </c>
      <c r="Q186" s="4">
        <f>CHOOSE(Table1[[#This Row],[Mode Digit]],Table1[[#This Row],[I_0]]+1/Lf*(Table1[[#This Row],[Vin]]-Vout)*Table1[[#This Row],[t1_Ph_II]],Table1[[#This Row],[I_0]]+1/Lf*Table1[[#This Row],[Vin]]*Table1[[#This Row],[t1_Ph_II]],Table1[[#This Row],[I_0]]+(Table1[[#This Row],[Vin]]-Vout)/L*Table1[[#This Row],[t1_Ph_II]])</f>
        <v>14.554875754771651</v>
      </c>
      <c r="R186" s="4">
        <f>CHOOSE(Table1[[#This Row],[Mode Digit]],0,0,Table1[[#This Row],[I_1]]+Table1[[#This Row],[Vin]]/L*Table1[[#This Row],[t2_Ph_I]])</f>
        <v>0</v>
      </c>
      <c r="S186" s="4">
        <f>Fsw*(Table1[[#This Row],[I_0]]*Table1[[#This Row],[t1_Ph_II]]+Table1[[#This Row],[I_1]]*Table1[[#This Row],[t2_Ph_I]]+Table1[[#This Row],[I_2]]*Table1[[#This Row],[t3_Ph_III]])</f>
        <v>12.230112190127487</v>
      </c>
      <c r="T186" s="354">
        <f>MIN(1,CHOOSE(Table1[[#This Row],[Mode Digit]],(Vout+(Rdson2+Rs+Rdcr)*Table1[[#This Row],[Iout]])/(Table1[[#This Row],[Vin]]+(Rs+Rdson2-Rdson1)*Table1[[#This Row],[Iout]]),1,Fsw*Table1[[#This Row],[t2_Ph_I]]+Table1[[#This Row],[t1_Ph_II]]))</f>
        <v>0.45496607032695863</v>
      </c>
      <c r="U186" s="354">
        <f>MIN(1,CHOOSE(Table1[[#This Row],[Mode Digit]],0,(Vout+(Rdson3+Rdcr)*Table1[[#This Row],[Iin]]-Table1[[#This Row],[Vin]])/(Vout+(Rdson3-Rdson4-Rs)*Table1[[#This Row],[Iin]]),Fsw*Table1[[#This Row],[t1_Ph_II]]+Table1[[#This Row],[t3_Ph_III]]))</f>
        <v>0</v>
      </c>
      <c r="V186" s="4">
        <f>MAX(Table1[[#This Row],[I_0]:[I_2]])-MIN(Table1[[#This Row],[I_0]:[I_1]])</f>
        <v>5.1097515095433028</v>
      </c>
      <c r="W18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12.090318304636979</v>
      </c>
      <c r="X186" s="354">
        <f>(Table1[[#This Row],[Irms Lf]]^2*Rdcr*(1+Ltc*Ta-Ltc*25))/(1-Table1[[#This Row],[Irms Lf]]^2*Rdcr*Ltc*ThetaCa)</f>
        <v>0.90950748413584226</v>
      </c>
      <c r="Y186" s="354">
        <f>ABS(7.759*10^-3*Fsw^0.9458*(0.00787*Table1[[#This Row],[Ripple Current pk-pk]])^2.304)</f>
        <v>1.3780344741618289</v>
      </c>
      <c r="Z186" s="354">
        <f>Table1[[#This Row],[DCR    Loss]]+Table1[[#This Row],[Core Loss]]</f>
        <v>2.287541958297671</v>
      </c>
      <c r="AA186" s="4">
        <f>IF(Table1[[#This Row],[Vin]]&gt;Vout, Table1[[#This Row],[Ripple Current pk-pk]]/SQRT(12), SQRT(Table1[[#This Row],[Duty Cycle BOOST Leg]]/(1-Table1[[#This Row],[Duty Cycle BOOST Leg]]))*SQRT(Table1[[#This Row],[Iout]]^2+(Table1[[#This Row],[Ripple Current pk-pk]]^2)/12))</f>
        <v>1.4750582047634613</v>
      </c>
      <c r="AB186" s="354">
        <f>RCoutEsr*Table1[[#This Row],[Irms Cout]]^2</f>
        <v>1.0878983537200028E-2</v>
      </c>
      <c r="AC186" s="354">
        <f>Table1[[#This Row],[Cout ESR Loss]]</f>
        <v>1.0878983537200028E-2</v>
      </c>
      <c r="AD186" s="354">
        <f>IF(Table1[[#This Row],[Vin]]&gt;Vout, SQRT(Table1[[#This Row],[Duty Cycle BUCK Leg]]*(1-Table1[[#This Row],[Duty Cycle BUCK Leg]]))*SQRT(Table1[[#This Row],[Iout]]^2+(Table1[[#This Row],[Ripple Current pk-pk]]^2)/12), Table1[[#This Row],[Ripple Current pk-pk]]/SQRT(12))</f>
        <v>6.0205893936987218</v>
      </c>
      <c r="AE186" s="354">
        <f>RCinEsr*Table1[[#This Row],[Irms Cin]]^2</f>
        <v>7.2494993295035087E-2</v>
      </c>
      <c r="AF186" s="549">
        <f>Table1[[#This Row],[Cin ESR Loss]]</f>
        <v>7.2494993295035087E-2</v>
      </c>
      <c r="AG18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8.1550614838207292</v>
      </c>
      <c r="AH186" s="354">
        <f>Rdson1*Table1[[#This Row],[Irms BuCtrl]]^2</f>
        <v>0.27932111678056476</v>
      </c>
      <c r="AI186" s="354">
        <f>CHOOSE(Table1[[#This Row],[Mode Digit]], (Table1[[#This Row],[Vin]]*Table1[[#This Row],[Iout]]/2)*(Fsw)*(Tr_buck+Tf_buck), 0, (Table1[[#This Row],[Vin]]*Table1[[#This Row],[Avg IL]]/2)*(Fsw/1)*(Tr_buck+Tf_buck))</f>
        <v>3.8542935033340076</v>
      </c>
      <c r="AJ186">
        <f>IF(Table1[[#This Row],[Vin]]&gt;Vout, IF(Table1[[#This Row],[Iout]]&gt;Table1[[#This Row],[Ripple Current pk-pk]]/2,0,ABS(Table1[[#This Row],[Iout]]-Table1[[#This Row],[Ripple Current pk-pk]]/2)*Vsd_Q1*Deadtime*Fsw),0)</f>
        <v>0</v>
      </c>
      <c r="AK186" s="354">
        <f>(Table1[[#This Row],[Dead Time Loss BuCtrl]]+Table1[[#This Row],[Transition Loss BuCtrl]]+Table1[[#This Row],[RDS(on) Loss BuCtrl]]*(1+RdsonTopTc*Ta-RdsonTopTc*25))/(1-Table1[[#This Row],[RDS(on) Loss BuCtrl]]*RdsonTopTc*ThetaJA_Q1)</f>
        <v>4.4306311413406574</v>
      </c>
      <c r="AL186" s="354">
        <f>CHOOSE(Table1[[#This Row],[Mode Digit]],SQRT((Fsw*(Table1[[#This Row],[t2_Ph_I]]+0))*((Table1[[#This Row],[I_0]]*Table1[[#This Row],[I_1]]+((Table1[[#This Row],[I_0]]-Table1[[#This Row],[I_1]])^2)/3))),0,SQRT((Fsw*(Table1[[#This Row],[t3_Ph_III]]+0))*((Table1[[#This Row],[I_0]]*Table1[[#This Row],[I_2]]+((Table1[[#This Row],[I_0]]-Table1[[#This Row],[I_2]])^2)/3))))</f>
        <v>8.9258483575816836</v>
      </c>
      <c r="AM186" s="354">
        <f>Rdson2*Table1[[#This Row],[Irms BuSync]]^2</f>
        <v>0.33461722939068334</v>
      </c>
      <c r="AN18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6" s="354">
        <f>(Table1[[#This Row],[Deadtime Loss BuSync]]+Table1[[#This Row],[RDS(on) Loss BuSync]]*(1+RdsonBotTc*Ta-RdsonBotTc*25))/(1-Table1[[#This Row],[RDS(on) Loss BuSync]]*RdsonBotTc*ThetaJA_Q2)</f>
        <v>0.9916241436096922</v>
      </c>
      <c r="AP186" s="354">
        <f>CHOOSE(Table1[[#This Row],[Mode Digit]],0,SQRT((Fsw*(Table1[[#This Row],[t1_Ph_II]]+0))*((Table1[[#This Row],[I_0]]*Table1[[#This Row],[I_1]]+((Table1[[#This Row],[I_0]]-Table1[[#This Row],[I_1]])^2)/3))),SQRT((Fsw*(Table1[[#This Row],[t2_Ph_I]]+0))*((Table1[[#This Row],[I_1]]*Table1[[#This Row],[I_2]]+((Table1[[#This Row],[I_1]]-Table1[[#This Row],[I_2]])^2)/3))))</f>
        <v>0</v>
      </c>
      <c r="AQ186" s="354">
        <f>Rdson4*Table1[[#This Row],[Irms BoCtlr]]^2</f>
        <v>0</v>
      </c>
      <c r="AR186" s="354">
        <f>CHOOSE(Table1[[#This Row],[Mode Digit]], 0, (Vout*Table1[[#This Row],[Iin]]/2)*(Fsw)*(Tr_boost+Tf_boost), (Vout*Iout/2)*(Fsw/1)*(Tr_boost+Tf_boost))</f>
        <v>0</v>
      </c>
      <c r="AS186">
        <f>IF(Table1[[#This Row],[Vin]]&gt;Vout, 0, IF(Table1[[#This Row],[Iin]]&gt;Table1[[#This Row],[Ripple Current pk-pk]]/2,0,ABS(Table1[[#This Row],[Iin]]-Table1[[#This Row],[Ripple Current pk-pk]]/2)*Vsd_Q4*Deadtime*Fsw))</f>
        <v>0</v>
      </c>
      <c r="AT186" s="354">
        <f>(Table1[[#This Row],[Dead Time Loss BoCtlr]]+Table1[[#This Row],[Transition Loss BoCtlr]]+Table1[[#This Row],[RDS(on) Loss BoCtlr]]*(1+RdsonTopTc*Ta-RdsonTopTc*25))/(1-Table1[[#This Row],[RDS(on) Loss BoCtlr]]*RdsonTopTc*ThetaJA_Q4)</f>
        <v>0</v>
      </c>
      <c r="AU18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12.090318304636979</v>
      </c>
      <c r="AV186" s="354">
        <f>Rdson3*Table1[[#This Row],[Irms BoSync]]^2</f>
        <v>0.61393834617124798</v>
      </c>
      <c r="AW18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6" s="354">
        <f>(Table1[[#This Row],[Deadtime Loss BoSync]]+Table1[[#This Row],[RDS(on) Loss BoSync]]*(1+RdsonBotTc*Ta-RdsonBotTc*25))/(1-Table1[[#This Row],[RDS(on) Loss BoSync]]*RdsonBotTc*ThetaJA_Q3)</f>
        <v>0.72003153959813149</v>
      </c>
      <c r="AY186" s="354">
        <f>CHOOSE(Table1[[#This Row],[Mode Digit]], Rdson3*Table1[[#This Row],[Irms Lf]]^2, Rdson1*Table1[[#This Row],[Irms Lf]]^2, 0)</f>
        <v>0.61393834617124798</v>
      </c>
      <c r="AZ186" s="354">
        <f>CHOOSE(Table1[[#This Row],[Mode Digit]], 2*Deadtime*Fsw*IF(VfdSky_Q2&gt;0,VfdSky_Q2,0)*Table1[[#This Row],[Iout]], 2*Deadtime*Fsw*IF(VfdSky_Q3&gt;0,VfdSky_Q3,0)*Table1[[#This Row],[Iin]], 2*Deadtime*Fsw*IF(VfdSky_Q2&gt;0,VfdSky_Q2,0)*Table1[[#This Row],[Iout]]+2*Deadtime*Fsw*IF(VfdSky_Q3&gt;0,VfdSky_Q3,0)*Table1[[#This Row],[Iin]])</f>
        <v>0</v>
      </c>
      <c r="BA186" s="354">
        <f>CHOOSE(Table1[[#This Row],[Mode Digit]], IF(QrrSky_Q2&gt;0,QrrSky_Q2,Qrr_Q2)*Fsw*(Table1[[#This Row],[Vin]]-Table1[[#This Row],[Iout]]*Rdson1),0,  IF(QrrSky_Q2&gt;0,QrrSky_Q2,Qrr_Q2)*Fsw*(Table1[[#This Row],[Vin]]-Table1[[#This Row],[Iout]]*Rdson1)+IF(QrrSky_Q3&gt;0,QrrSky_Q3,Qrr_Q3)*Fsw*Vout)</f>
        <v>0.38807519999999995</v>
      </c>
      <c r="BB186" s="354">
        <f>CHOOSE(Table1[[#This Row],[Mode Digit]],0, IF(QrrSky_Q3&gt;0,QrrSky_Q3,Qrr_Q3)*Fsw*Vout,  IF(QrrSky_Q2&gt;0,QrrSky_Q2,Qrr_Q2)*Fsw*(Table1[[#This Row],[Vin]]-Table1[[#This Row],[Iout]]*Rdson1)+IF(QrrSky_Q3&gt;0,QrrSky_Q3,Qrr_Q3)*Fsw*Vout)</f>
        <v>0</v>
      </c>
      <c r="BC186" s="354">
        <f>CHOOSE(Table1[[#This Row],[Mode Digit]], Rs*Table1[[#This Row],[Irms BuSync]]^2, Rs*Table1[[#This Row],[Irms BoCtlr]]^2, Rs*(Table1[[#This Row],[Irms BuSync]]^2+Table1[[#This Row],[Irms BoCtlr]]^2))</f>
        <v>0.19917692225635911</v>
      </c>
      <c r="BD186" s="354">
        <f t="shared" si="8"/>
        <v>1.44</v>
      </c>
      <c r="BE186" s="354">
        <f>IF(Vout&gt;8, Iq*Vout, Iq*Table1[[#This Row],[Vin]])</f>
        <v>4.3799999999999999E-2</v>
      </c>
      <c r="BF186" s="354">
        <f>CHOOSE(Table1[[#This Row],[Mode Digit]], (Qg_Q1+Qg_Q2)*Fsw, (Qg_Q3+Qg_Q4)*Fsw, (Qg_Q1+Qg_Q2+Qg_Q3+Qg_Q4)*Fsw)*IF(Vout&gt;8, Vout, Table1[[#This Row],[Vin]])</f>
        <v>0.47303999999999996</v>
      </c>
      <c r="BG186" s="354">
        <f t="shared" si="9"/>
        <v>0.57269042016806726</v>
      </c>
      <c r="BH186" s="354">
        <f>Table1[[#This Row],[IQ Loss]]+Table1[[#This Row],[Switching Current Loss]]</f>
        <v>0.51683999999999997</v>
      </c>
      <c r="BI18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11.057294881934746</v>
      </c>
      <c r="BJ186">
        <f>Vout*Table1[[#This Row],[Iout]]</f>
        <v>175.2</v>
      </c>
      <c r="BK186" s="550">
        <f>Table1[[#This Row],[Pout]]/(Table1[[#This Row],[Pout]]+Table1[[#This Row],[Total Loss]])</f>
        <v>0.94063429897366557</v>
      </c>
      <c r="BL18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265.83786848043945</v>
      </c>
      <c r="BM186" s="559">
        <f>IF(Table1[[#This Row],[Vin]]&gt;Vout, Table1[[#This Row],[Total Sync Bu MOSFET Loss]]*ThetaJA_Q2, ThetaJA_Q3*Table1[[#This Row],[Total Sync Bo MOSFET Loss]])</f>
        <v>59.497448616581529</v>
      </c>
      <c r="BN186" s="9"/>
      <c r="BO186" s="4">
        <f>Table1[[#This Row],[EFF, h]]*100</f>
        <v>94.063429897366561</v>
      </c>
      <c r="BP186" s="354">
        <f>Table1[[#This Row],[Total Inductor Loss]]</f>
        <v>2.287541958297671</v>
      </c>
      <c r="BQ186" s="354">
        <f>Table1[[#This Row],[Total Control Bu MOSFET Loss]]+Table1[[#This Row],[Total Sync Bu MOSFET Loss]]+Table1[[#This Row],[Total Control Bo MOSFET Loss]]+Table1[[#This Row],[Total Sync Bo MOSFET Loss]]+Table1[[#This Row],[Reverse Recovery Loss MOSFET D BUCK]]+Table1[[#This Row],[Reverse Recovery Loss MOSFET D BOOST]]</f>
        <v>6.5303620245484808</v>
      </c>
      <c r="BR186" s="354">
        <f>Table1[[#This Row],[Total Control Bu MOSFET Loss]]+Table1[[#This Row],[Reverse Recovery Loss MOSFET D BUCK]]*0.66</f>
        <v>4.6867607733406578</v>
      </c>
      <c r="BS186" s="354">
        <f>Table1[[#This Row],[Total Sync Bu MOSFET Loss]]+Table1[[#This Row],[Reverse Recovery Loss MOSFET D BUCK]]*0.33</f>
        <v>1.1196889596096922</v>
      </c>
      <c r="BT186" s="354">
        <f xml:space="preserve"> Table1[[#This Row],[Total Control Bo MOSFET Loss]]+Table1[[#This Row],[Reverse Recovery Loss MOSFET D BOOST]]*0.66</f>
        <v>0</v>
      </c>
      <c r="BU186" s="354">
        <f xml:space="preserve"> Table1[[#This Row],[Total Sync Bo MOSFET Loss]]+Table1[[#This Row],[Reverse Recovery Loss MOSFET D BOOST]]*0.33</f>
        <v>0.72003153959813149</v>
      </c>
      <c r="BV186" s="354">
        <f>Table1[[#This Row],[Isense Shunt Loss]]</f>
        <v>0.19917692225635911</v>
      </c>
    </row>
    <row r="187" spans="7:74" x14ac:dyDescent="0.2">
      <c r="G187">
        <v>178</v>
      </c>
      <c r="H187" s="555">
        <f>VIN_min+(VIN_max-VIN_min)*(Table1[[#This Row],[Step]]/200)</f>
        <v>32.46</v>
      </c>
      <c r="I187" s="4" t="str">
        <f>IF(Mode = 2,IF(Table1[[#This Row],[Vin]]&gt;Vout, "BUCK","BOOST"),IF(Table1[[#This Row],[Vin]]&gt;VIN_BB_to_buck, "BUCK", IF(Table1[[#This Row],[Vin]]&lt;=VIN_boost_to_BB,"BOOST","BUCK-BST")))</f>
        <v>BUCK</v>
      </c>
      <c r="J187">
        <f>IF(Table1[[#This Row],[Mode]]="BOOST",2, IF(Table1[[#This Row],[Mode]]="BUCK", 1,3))</f>
        <v>1</v>
      </c>
      <c r="K187">
        <f t="shared" si="7"/>
        <v>12</v>
      </c>
      <c r="L187" s="4">
        <f>Vout*Table1[[#This Row],[Iout]]/(Table1[[#This Row],[Vin]]*Efficiency)</f>
        <v>5.6814865259266458</v>
      </c>
      <c r="M187" s="711">
        <f>MIN(1/Fsw,CHOOSE(Table1[[#This Row],[Mode Digit]],(Vout+(Rdson2+Rs+Rdcr)*Table1[[#This Row],[Iout]])/(Table1[[#This Row],[Vin]]+(Rs+Rdson2-Rdson1)*Table1[[#This Row],[Iout]])/Fsw,(Vout+(Rdson3+Rdcr)*Table1[[#This Row],[Iin]]-Table1[[#This Row],[Vin]])/(Vout+(Rdson3-Rdson4-Rs)*Table1[[#This Row],[Iin]])/Fsw,t1_Ph_II))</f>
        <v>7.5664306966246028E-7</v>
      </c>
      <c r="N187" s="602">
        <f>CHOOSE(Table1[[#This Row],[Mode Digit]],1/Fsw-Table1[[#This Row],[t1_Ph_II]],1/Fsw-Table1[[#This Row],[t1_Ph_II]],(Vout/Fsw-Table1[[#This Row],[Vin]]*t1_Ph_II)/(Table1[[#This Row],[Vin]]+Vout))</f>
        <v>9.1002359700420638E-7</v>
      </c>
      <c r="O187" s="602">
        <f>1/Fsw-(Table1[[#This Row],[t1_Ph_II]]+Table1[[#This Row],[t2_Ph_I]])</f>
        <v>0</v>
      </c>
      <c r="P18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9.4405974954220575</v>
      </c>
      <c r="Q187" s="4">
        <f>CHOOSE(Table1[[#This Row],[Mode Digit]],Table1[[#This Row],[I_0]]+1/Lf*(Table1[[#This Row],[Vin]]-Vout)*Table1[[#This Row],[t1_Ph_II]],Table1[[#This Row],[I_0]]+1/Lf*Table1[[#This Row],[Vin]]*Table1[[#This Row],[t1_Ph_II]],Table1[[#This Row],[I_0]]+(Table1[[#This Row],[Vin]]-Vout)/L*Table1[[#This Row],[t1_Ph_II]])</f>
        <v>14.559402504577942</v>
      </c>
      <c r="R187" s="4">
        <f>CHOOSE(Table1[[#This Row],[Mode Digit]],0,0,Table1[[#This Row],[I_1]]+Table1[[#This Row],[Vin]]/L*Table1[[#This Row],[t2_Ph_I]])</f>
        <v>0</v>
      </c>
      <c r="S187" s="4">
        <f>Fsw*(Table1[[#This Row],[I_0]]*Table1[[#This Row],[t1_Ph_II]]+Table1[[#This Row],[I_1]]*Table1[[#This Row],[t2_Ph_I]]+Table1[[#This Row],[I_2]]*Table1[[#This Row],[t3_Ph_III]])</f>
        <v>12.23553750349917</v>
      </c>
      <c r="T187" s="354">
        <f>MIN(1,CHOOSE(Table1[[#This Row],[Mode Digit]],(Vout+(Rdson2+Rs+Rdcr)*Table1[[#This Row],[Iout]])/(Table1[[#This Row],[Vin]]+(Rs+Rdson2-Rdson1)*Table1[[#This Row],[Iout]]),1,Fsw*Table1[[#This Row],[t2_Ph_I]]+Table1[[#This Row],[t1_Ph_II]]))</f>
        <v>0.45398584179747614</v>
      </c>
      <c r="U187" s="354">
        <f>MIN(1,CHOOSE(Table1[[#This Row],[Mode Digit]],0,(Vout+(Rdson3+Rdcr)*Table1[[#This Row],[Iin]]-Table1[[#This Row],[Vin]])/(Vout+(Rdson3-Rdson4-Rs)*Table1[[#This Row],[Iin]]),Fsw*Table1[[#This Row],[t1_Ph_II]]+Table1[[#This Row],[t3_Ph_III]]))</f>
        <v>0</v>
      </c>
      <c r="V187" s="4">
        <f>MAX(Table1[[#This Row],[I_0]:[I_2]])-MIN(Table1[[#This Row],[I_0]:[I_1]])</f>
        <v>5.118805009155885</v>
      </c>
      <c r="W18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12.090637440880165</v>
      </c>
      <c r="X187" s="354">
        <f>(Table1[[#This Row],[Irms Lf]]^2*Rdcr*(1+Ltc*Ta-Ltc*25))/(1-Table1[[#This Row],[Irms Lf]]^2*Rdcr*Ltc*ThetaCa)</f>
        <v>0.90955899334479684</v>
      </c>
      <c r="Y187" s="354">
        <f>ABS(7.759*10^-3*Fsw^0.9458*(0.00787*Table1[[#This Row],[Ripple Current pk-pk]])^2.304)</f>
        <v>1.3836664498249645</v>
      </c>
      <c r="Z187" s="354">
        <f>Table1[[#This Row],[DCR    Loss]]+Table1[[#This Row],[Core Loss]]</f>
        <v>2.2932254431697614</v>
      </c>
      <c r="AA187" s="4">
        <f>IF(Table1[[#This Row],[Vin]]&gt;Vout, Table1[[#This Row],[Ripple Current pk-pk]]/SQRT(12), SQRT(Table1[[#This Row],[Duty Cycle BOOST Leg]]/(1-Table1[[#This Row],[Duty Cycle BOOST Leg]]))*SQRT(Table1[[#This Row],[Iout]]^2+(Table1[[#This Row],[Ripple Current pk-pk]]^2)/12))</f>
        <v>1.4776717249826776</v>
      </c>
      <c r="AB187" s="354">
        <f>RCoutEsr*Table1[[#This Row],[Irms Cout]]^2</f>
        <v>1.0917568634066411E-2</v>
      </c>
      <c r="AC187" s="354">
        <f>Table1[[#This Row],[Cout ESR Loss]]</f>
        <v>1.0917568634066411E-2</v>
      </c>
      <c r="AD187" s="354">
        <f>IF(Table1[[#This Row],[Vin]]&gt;Vout, SQRT(Table1[[#This Row],[Duty Cycle BUCK Leg]]*(1-Table1[[#This Row],[Duty Cycle BUCK Leg]]))*SQRT(Table1[[#This Row],[Iout]]^2+(Table1[[#This Row],[Ripple Current pk-pk]]^2)/12), Table1[[#This Row],[Ripple Current pk-pk]]/SQRT(12))</f>
        <v>6.0196647477530885</v>
      </c>
      <c r="AE187" s="354">
        <f>RCinEsr*Table1[[#This Row],[Irms Cin]]^2</f>
        <v>7.2472727350682511E-2</v>
      </c>
      <c r="AF187" s="549">
        <f>Table1[[#This Row],[Cin ESR Loss]]</f>
        <v>7.2472727350682511E-2</v>
      </c>
      <c r="AG18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8.1464866989506728</v>
      </c>
      <c r="AH187" s="354">
        <f>Rdson1*Table1[[#This Row],[Irms BuCtrl]]^2</f>
        <v>0.278734031251957</v>
      </c>
      <c r="AI187" s="354">
        <f>CHOOSE(Table1[[#This Row],[Mode Digit]], (Table1[[#This Row],[Vin]]*Table1[[#This Row],[Iout]]/2)*(Fsw)*(Tr_buck+Tf_buck), 0, (Table1[[#This Row],[Vin]]*Table1[[#This Row],[Avg IL]]/2)*(Fsw/1)*(Tr_buck+Tf_buck))</f>
        <v>3.8626232515659735</v>
      </c>
      <c r="AJ187">
        <f>IF(Table1[[#This Row],[Vin]]&gt;Vout, IF(Table1[[#This Row],[Iout]]&gt;Table1[[#This Row],[Ripple Current pk-pk]]/2,0,ABS(Table1[[#This Row],[Iout]]-Table1[[#This Row],[Ripple Current pk-pk]]/2)*Vsd_Q1*Deadtime*Fsw),0)</f>
        <v>0</v>
      </c>
      <c r="AK187" s="354">
        <f>(Table1[[#This Row],[Dead Time Loss BuCtrl]]+Table1[[#This Row],[Transition Loss BuCtrl]]+Table1[[#This Row],[RDS(on) Loss BuCtrl]]*(1+RdsonTopTc*Ta-RdsonTopTc*25))/(1-Table1[[#This Row],[RDS(on) Loss BuCtrl]]*RdsonTopTc*ThetaJA_Q1)</f>
        <v>4.4382598576670347</v>
      </c>
      <c r="AL187" s="354">
        <f>CHOOSE(Table1[[#This Row],[Mode Digit]],SQRT((Fsw*(Table1[[#This Row],[t2_Ph_I]]+0))*((Table1[[#This Row],[I_0]]*Table1[[#This Row],[I_1]]+((Table1[[#This Row],[I_0]]-Table1[[#This Row],[I_1]])^2)/3))),0,SQRT((Fsw*(Table1[[#This Row],[t3_Ph_III]]+0))*((Table1[[#This Row],[I_0]]*Table1[[#This Row],[I_2]]+((Table1[[#This Row],[I_0]]-Table1[[#This Row],[I_2]])^2)/3))))</f>
        <v>8.9341070169677863</v>
      </c>
      <c r="AM187" s="354">
        <f>Rdson2*Table1[[#This Row],[Irms BuSync]]^2</f>
        <v>0.33523672640065877</v>
      </c>
      <c r="AN18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7" s="354">
        <f>(Table1[[#This Row],[Deadtime Loss BuSync]]+Table1[[#This Row],[RDS(on) Loss BuSync]]*(1+RdsonBotTc*Ta-RdsonBotTc*25))/(1-Table1[[#This Row],[RDS(on) Loss BuSync]]*RdsonBotTc*ThetaJA_Q2)</f>
        <v>0.99245817836521943</v>
      </c>
      <c r="AP187" s="354">
        <f>CHOOSE(Table1[[#This Row],[Mode Digit]],0,SQRT((Fsw*(Table1[[#This Row],[t1_Ph_II]]+0))*((Table1[[#This Row],[I_0]]*Table1[[#This Row],[I_1]]+((Table1[[#This Row],[I_0]]-Table1[[#This Row],[I_1]])^2)/3))),SQRT((Fsw*(Table1[[#This Row],[t2_Ph_I]]+0))*((Table1[[#This Row],[I_1]]*Table1[[#This Row],[I_2]]+((Table1[[#This Row],[I_1]]-Table1[[#This Row],[I_2]])^2)/3))))</f>
        <v>0</v>
      </c>
      <c r="AQ187" s="354">
        <f>Rdson4*Table1[[#This Row],[Irms BoCtlr]]^2</f>
        <v>0</v>
      </c>
      <c r="AR187" s="354">
        <f>CHOOSE(Table1[[#This Row],[Mode Digit]], 0, (Vout*Table1[[#This Row],[Iin]]/2)*(Fsw)*(Tr_boost+Tf_boost), (Vout*Iout/2)*(Fsw/1)*(Tr_boost+Tf_boost))</f>
        <v>0</v>
      </c>
      <c r="AS187">
        <f>IF(Table1[[#This Row],[Vin]]&gt;Vout, 0, IF(Table1[[#This Row],[Iin]]&gt;Table1[[#This Row],[Ripple Current pk-pk]]/2,0,ABS(Table1[[#This Row],[Iin]]-Table1[[#This Row],[Ripple Current pk-pk]]/2)*Vsd_Q4*Deadtime*Fsw))</f>
        <v>0</v>
      </c>
      <c r="AT187" s="354">
        <f>(Table1[[#This Row],[Dead Time Loss BoCtlr]]+Table1[[#This Row],[Transition Loss BoCtlr]]+Table1[[#This Row],[RDS(on) Loss BoCtlr]]*(1+RdsonTopTc*Ta-RdsonTopTc*25))/(1-Table1[[#This Row],[RDS(on) Loss BoCtlr]]*RdsonTopTc*ThetaJA_Q4)</f>
        <v>0</v>
      </c>
      <c r="AU18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12.090637440880165</v>
      </c>
      <c r="AV187" s="354">
        <f>Rdson3*Table1[[#This Row],[Irms BoSync]]^2</f>
        <v>0.61397075765261577</v>
      </c>
      <c r="AW18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7" s="354">
        <f>(Table1[[#This Row],[Deadtime Loss BoSync]]+Table1[[#This Row],[RDS(on) Loss BoSync]]*(1+RdsonBotTc*Ta-RdsonBotTc*25))/(1-Table1[[#This Row],[RDS(on) Loss BoSync]]*RdsonBotTc*ThetaJA_Q3)</f>
        <v>0.72007612127129417</v>
      </c>
      <c r="AY187" s="354">
        <f>CHOOSE(Table1[[#This Row],[Mode Digit]], Rdson3*Table1[[#This Row],[Irms Lf]]^2, Rdson1*Table1[[#This Row],[Irms Lf]]^2, 0)</f>
        <v>0.61397075765261577</v>
      </c>
      <c r="AZ187" s="354">
        <f>CHOOSE(Table1[[#This Row],[Mode Digit]], 2*Deadtime*Fsw*IF(VfdSky_Q2&gt;0,VfdSky_Q2,0)*Table1[[#This Row],[Iout]], 2*Deadtime*Fsw*IF(VfdSky_Q3&gt;0,VfdSky_Q3,0)*Table1[[#This Row],[Iin]], 2*Deadtime*Fsw*IF(VfdSky_Q2&gt;0,VfdSky_Q2,0)*Table1[[#This Row],[Iout]]+2*Deadtime*Fsw*IF(VfdSky_Q3&gt;0,VfdSky_Q3,0)*Table1[[#This Row],[Iin]])</f>
        <v>0</v>
      </c>
      <c r="BA187" s="354">
        <f>CHOOSE(Table1[[#This Row],[Mode Digit]], IF(QrrSky_Q2&gt;0,QrrSky_Q2,Qrr_Q2)*Fsw*(Table1[[#This Row],[Vin]]-Table1[[#This Row],[Iout]]*Rdson1),0,  IF(QrrSky_Q2&gt;0,QrrSky_Q2,Qrr_Q2)*Fsw*(Table1[[#This Row],[Vin]]-Table1[[#This Row],[Iout]]*Rdson1)+IF(QrrSky_Q3&gt;0,QrrSky_Q3,Qrr_Q3)*Fsw*Vout)</f>
        <v>0.38891519999999996</v>
      </c>
      <c r="BB187" s="354">
        <f>CHOOSE(Table1[[#This Row],[Mode Digit]],0, IF(QrrSky_Q3&gt;0,QrrSky_Q3,Qrr_Q3)*Fsw*Vout,  IF(QrrSky_Q2&gt;0,QrrSky_Q2,Qrr_Q2)*Fsw*(Table1[[#This Row],[Vin]]-Table1[[#This Row],[Iout]]*Rdson1)+IF(QrrSky_Q3&gt;0,QrrSky_Q3,Qrr_Q3)*Fsw*Vout)</f>
        <v>0</v>
      </c>
      <c r="BC187" s="354">
        <f>CHOOSE(Table1[[#This Row],[Mode Digit]], Rs*Table1[[#This Row],[Irms BuSync]]^2, Rs*Table1[[#This Row],[Irms BoCtlr]]^2, Rs*(Table1[[#This Row],[Irms BuSync]]^2+Table1[[#This Row],[Irms BoCtlr]]^2))</f>
        <v>0.19954567047658259</v>
      </c>
      <c r="BD187" s="354">
        <f t="shared" si="8"/>
        <v>1.44</v>
      </c>
      <c r="BE187" s="354">
        <f>IF(Vout&gt;8, Iq*Vout, Iq*Table1[[#This Row],[Vin]])</f>
        <v>4.3799999999999999E-2</v>
      </c>
      <c r="BF187" s="354">
        <f>CHOOSE(Table1[[#This Row],[Mode Digit]], (Qg_Q1+Qg_Q2)*Fsw, (Qg_Q3+Qg_Q4)*Fsw, (Qg_Q1+Qg_Q2+Qg_Q3+Qg_Q4)*Fsw)*IF(Vout&gt;8, Vout, Table1[[#This Row],[Vin]])</f>
        <v>0.47303999999999996</v>
      </c>
      <c r="BG187" s="354">
        <f t="shared" si="9"/>
        <v>0.57269042016806726</v>
      </c>
      <c r="BH187" s="354">
        <f>Table1[[#This Row],[IQ Loss]]+Table1[[#This Row],[Switching Current Loss]]</f>
        <v>0.51683999999999997</v>
      </c>
      <c r="BI18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11.072710766934643</v>
      </c>
      <c r="BJ187">
        <f>Vout*Table1[[#This Row],[Iout]]</f>
        <v>175.2</v>
      </c>
      <c r="BK187" s="550">
        <f>Table1[[#This Row],[Pout]]/(Table1[[#This Row],[Pout]]+Table1[[#This Row],[Total Loss]])</f>
        <v>0.9405564523040153</v>
      </c>
      <c r="BL18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266.29559146002208</v>
      </c>
      <c r="BM187" s="559">
        <f>IF(Table1[[#This Row],[Vin]]&gt;Vout, Table1[[#This Row],[Total Sync Bu MOSFET Loss]]*ThetaJA_Q2, ThetaJA_Q3*Table1[[#This Row],[Total Sync Bo MOSFET Loss]])</f>
        <v>59.547490701913169</v>
      </c>
      <c r="BN187" s="9"/>
      <c r="BO187" s="4">
        <f>Table1[[#This Row],[EFF, h]]*100</f>
        <v>94.055645230401524</v>
      </c>
      <c r="BP187" s="354">
        <f>Table1[[#This Row],[Total Inductor Loss]]</f>
        <v>2.2932254431697614</v>
      </c>
      <c r="BQ187" s="354">
        <f>Table1[[#This Row],[Total Control Bu MOSFET Loss]]+Table1[[#This Row],[Total Sync Bu MOSFET Loss]]+Table1[[#This Row],[Total Control Bo MOSFET Loss]]+Table1[[#This Row],[Total Sync Bo MOSFET Loss]]+Table1[[#This Row],[Reverse Recovery Loss MOSFET D BUCK]]+Table1[[#This Row],[Reverse Recovery Loss MOSFET D BOOST]]</f>
        <v>6.5397093573035479</v>
      </c>
      <c r="BR187" s="354">
        <f>Table1[[#This Row],[Total Control Bu MOSFET Loss]]+Table1[[#This Row],[Reverse Recovery Loss MOSFET D BUCK]]*0.66</f>
        <v>4.6949438896670346</v>
      </c>
      <c r="BS187" s="354">
        <f>Table1[[#This Row],[Total Sync Bu MOSFET Loss]]+Table1[[#This Row],[Reverse Recovery Loss MOSFET D BUCK]]*0.33</f>
        <v>1.1208001943652195</v>
      </c>
      <c r="BT187" s="354">
        <f xml:space="preserve"> Table1[[#This Row],[Total Control Bo MOSFET Loss]]+Table1[[#This Row],[Reverse Recovery Loss MOSFET D BOOST]]*0.66</f>
        <v>0</v>
      </c>
      <c r="BU187" s="354">
        <f xml:space="preserve"> Table1[[#This Row],[Total Sync Bo MOSFET Loss]]+Table1[[#This Row],[Reverse Recovery Loss MOSFET D BOOST]]*0.33</f>
        <v>0.72007612127129417</v>
      </c>
      <c r="BV187" s="354">
        <f>Table1[[#This Row],[Isense Shunt Loss]]</f>
        <v>0.19954567047658259</v>
      </c>
    </row>
    <row r="188" spans="7:74" x14ac:dyDescent="0.2">
      <c r="G188">
        <v>179</v>
      </c>
      <c r="H188" s="555">
        <f>VIN_min+(VIN_max-VIN_min)*(Table1[[#This Row],[Step]]/200)</f>
        <v>32.53</v>
      </c>
      <c r="I188" s="4" t="str">
        <f>IF(Mode = 2,IF(Table1[[#This Row],[Vin]]&gt;Vout, "BUCK","BOOST"),IF(Table1[[#This Row],[Vin]]&gt;VIN_BB_to_buck, "BUCK", IF(Table1[[#This Row],[Vin]]&lt;=VIN_boost_to_BB,"BOOST","BUCK-BST")))</f>
        <v>BUCK</v>
      </c>
      <c r="J188">
        <f>IF(Table1[[#This Row],[Mode]]="BOOST",2, IF(Table1[[#This Row],[Mode]]="BUCK", 1,3))</f>
        <v>1</v>
      </c>
      <c r="K188">
        <f t="shared" si="7"/>
        <v>12</v>
      </c>
      <c r="L188" s="4">
        <f>Vout*Table1[[#This Row],[Iout]]/(Table1[[#This Row],[Vin]]*Efficiency)</f>
        <v>5.6692607633439573</v>
      </c>
      <c r="M188" s="711">
        <f>MIN(1/Fsw,CHOOSE(Table1[[#This Row],[Mode Digit]],(Vout+(Rdson2+Rs+Rdcr)*Table1[[#This Row],[Iout]])/(Table1[[#This Row],[Vin]]+(Rs+Rdson2-Rdson1)*Table1[[#This Row],[Iout]])/Fsw,(Vout+(Rdson3+Rdcr)*Table1[[#This Row],[Iin]]-Table1[[#This Row],[Vin]])/(Vout+(Rdson3-Rdson4-Rs)*Table1[[#This Row],[Iin]])/Fsw,t1_Ph_II))</f>
        <v>7.5501638001637991E-7</v>
      </c>
      <c r="N188" s="602">
        <f>CHOOSE(Table1[[#This Row],[Mode Digit]],1/Fsw-Table1[[#This Row],[t1_Ph_II]],1/Fsw-Table1[[#This Row],[t1_Ph_II]],(Vout/Fsw-Table1[[#This Row],[Vin]]*t1_Ph_II)/(Table1[[#This Row],[Vin]]+Vout))</f>
        <v>9.1165028665028675E-7</v>
      </c>
      <c r="O188" s="602">
        <f>1/Fsw-(Table1[[#This Row],[t1_Ph_II]]+Table1[[#This Row],[t2_Ph_I]])</f>
        <v>0</v>
      </c>
      <c r="P18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9.436090209527709</v>
      </c>
      <c r="Q188" s="4">
        <f>CHOOSE(Table1[[#This Row],[Mode Digit]],Table1[[#This Row],[I_0]]+1/Lf*(Table1[[#This Row],[Vin]]-Vout)*Table1[[#This Row],[t1_Ph_II]],Table1[[#This Row],[I_0]]+1/Lf*Table1[[#This Row],[Vin]]*Table1[[#This Row],[t1_Ph_II]],Table1[[#This Row],[I_0]]+(Table1[[#This Row],[Vin]]-Vout)/L*Table1[[#This Row],[t1_Ph_II]])</f>
        <v>14.563909790472289</v>
      </c>
      <c r="R188" s="4">
        <f>CHOOSE(Table1[[#This Row],[Mode Digit]],0,0,Table1[[#This Row],[I_1]]+Table1[[#This Row],[Vin]]/L*Table1[[#This Row],[t2_Ph_I]])</f>
        <v>0</v>
      </c>
      <c r="S188" s="4">
        <f>Fsw*(Table1[[#This Row],[I_0]]*Table1[[#This Row],[t1_Ph_II]]+Table1[[#This Row],[I_1]]*Table1[[#This Row],[t2_Ph_I]]+Table1[[#This Row],[I_2]]*Table1[[#This Row],[t3_Ph_III]])</f>
        <v>12.240957124043158</v>
      </c>
      <c r="T188" s="354">
        <f>MIN(1,CHOOSE(Table1[[#This Row],[Mode Digit]],(Vout+(Rdson2+Rs+Rdcr)*Table1[[#This Row],[Iout]])/(Table1[[#This Row],[Vin]]+(Rs+Rdson2-Rdson1)*Table1[[#This Row],[Iout]]),1,Fsw*Table1[[#This Row],[t2_Ph_I]]+Table1[[#This Row],[t1_Ph_II]]))</f>
        <v>0.45300982800982798</v>
      </c>
      <c r="U188" s="354">
        <f>MIN(1,CHOOSE(Table1[[#This Row],[Mode Digit]],0,(Vout+(Rdson3+Rdcr)*Table1[[#This Row],[Iin]]-Table1[[#This Row],[Vin]])/(Vout+(Rdson3-Rdson4-Rs)*Table1[[#This Row],[Iin]]),Fsw*Table1[[#This Row],[t1_Ph_II]]+Table1[[#This Row],[t3_Ph_III]]))</f>
        <v>0</v>
      </c>
      <c r="V188" s="4">
        <f>MAX(Table1[[#This Row],[I_0]:[I_2]])-MIN(Table1[[#This Row],[I_0]:[I_1]])</f>
        <v>5.1278195809445801</v>
      </c>
      <c r="W18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12.090955757833754</v>
      </c>
      <c r="X188" s="354">
        <f>(Table1[[#This Row],[Irms Lf]]^2*Rdcr*(1+Ltc*Ta-Ltc*25))/(1-Table1[[#This Row],[Irms Lf]]^2*Rdcr*Ltc*ThetaCa)</f>
        <v>0.90961037206742312</v>
      </c>
      <c r="Y188" s="354">
        <f>ABS(7.759*10^-3*Fsw^0.9458*(0.00787*Table1[[#This Row],[Ripple Current pk-pk]])^2.304)</f>
        <v>1.3892871299220282</v>
      </c>
      <c r="Z188" s="354">
        <f>Table1[[#This Row],[DCR    Loss]]+Table1[[#This Row],[Core Loss]]</f>
        <v>2.2988975019894511</v>
      </c>
      <c r="AA188" s="4">
        <f>IF(Table1[[#This Row],[Vin]]&gt;Vout, Table1[[#This Row],[Ripple Current pk-pk]]/SQRT(12), SQRT(Table1[[#This Row],[Duty Cycle BOOST Leg]]/(1-Table1[[#This Row],[Duty Cycle BOOST Leg]]))*SQRT(Table1[[#This Row],[Iout]]^2+(Table1[[#This Row],[Ripple Current pk-pk]]^2)/12))</f>
        <v>1.4802740077070937</v>
      </c>
      <c r="AB188" s="354">
        <f>RCoutEsr*Table1[[#This Row],[Irms Cout]]^2</f>
        <v>1.0956055689466105E-2</v>
      </c>
      <c r="AC188" s="354">
        <f>Table1[[#This Row],[Cout ESR Loss]]</f>
        <v>1.0956055689466105E-2</v>
      </c>
      <c r="AD188" s="354">
        <f>IF(Table1[[#This Row],[Vin]]&gt;Vout, SQRT(Table1[[#This Row],[Duty Cycle BUCK Leg]]*(1-Table1[[#This Row],[Duty Cycle BUCK Leg]]))*SQRT(Table1[[#This Row],[Iout]]^2+(Table1[[#This Row],[Ripple Current pk-pk]]^2)/12), Table1[[#This Row],[Ripple Current pk-pk]]/SQRT(12))</f>
        <v>6.0187209140483615</v>
      </c>
      <c r="AE188" s="354">
        <f>RCinEsr*Table1[[#This Row],[Irms Cin]]^2</f>
        <v>7.24500028824063E-2</v>
      </c>
      <c r="AF188" s="549">
        <f>Table1[[#This Row],[Cin ESR Loss]]</f>
        <v>7.24500028824063E-2</v>
      </c>
      <c r="AG18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8.1379392609017085</v>
      </c>
      <c r="AH188" s="354">
        <f>Rdson1*Table1[[#This Row],[Irms BuCtrl]]^2</f>
        <v>0.27814943273932691</v>
      </c>
      <c r="AI188" s="354">
        <f>CHOOSE(Table1[[#This Row],[Mode Digit]], (Table1[[#This Row],[Vin]]*Table1[[#This Row],[Iout]]/2)*(Fsw)*(Tr_buck+Tf_buck), 0, (Table1[[#This Row],[Vin]]*Table1[[#This Row],[Avg IL]]/2)*(Fsw/1)*(Tr_buck+Tf_buck))</f>
        <v>3.8709529997979395</v>
      </c>
      <c r="AJ188">
        <f>IF(Table1[[#This Row],[Vin]]&gt;Vout, IF(Table1[[#This Row],[Iout]]&gt;Table1[[#This Row],[Ripple Current pk-pk]]/2,0,ABS(Table1[[#This Row],[Iout]]-Table1[[#This Row],[Ripple Current pk-pk]]/2)*Vsd_Q1*Deadtime*Fsw),0)</f>
        <v>0</v>
      </c>
      <c r="AK188" s="354">
        <f>(Table1[[#This Row],[Dead Time Loss BuCtrl]]+Table1[[#This Row],[Transition Loss BuCtrl]]+Table1[[#This Row],[RDS(on) Loss BuCtrl]]*(1+RdsonTopTc*Ta-RdsonTopTc*25))/(1-Table1[[#This Row],[RDS(on) Loss BuCtrl]]*RdsonTopTc*ThetaJA_Q1)</f>
        <v>4.4458917788511592</v>
      </c>
      <c r="AL188" s="354">
        <f>CHOOSE(Table1[[#This Row],[Mode Digit]],SQRT((Fsw*(Table1[[#This Row],[t2_Ph_I]]+0))*((Table1[[#This Row],[I_0]]*Table1[[#This Row],[I_1]]+((Table1[[#This Row],[I_0]]-Table1[[#This Row],[I_1]])^2)/3))),0,SQRT((Fsw*(Table1[[#This Row],[t3_Ph_III]]+0))*((Table1[[#This Row],[I_0]]*Table1[[#This Row],[I_2]]+((Table1[[#This Row],[I_0]]-Table1[[#This Row],[I_2]])^2)/3))))</f>
        <v>8.9423238435972419</v>
      </c>
      <c r="AM188" s="354">
        <f>Rdson2*Table1[[#This Row],[Irms BuSync]]^2</f>
        <v>0.33585365403982459</v>
      </c>
      <c r="AN18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8" s="354">
        <f>(Table1[[#This Row],[Deadtime Loss BuSync]]+Table1[[#This Row],[RDS(on) Loss BuSync]]*(1+RdsonBotTc*Ta-RdsonBotTc*25))/(1-Table1[[#This Row],[RDS(on) Loss BuSync]]*RdsonBotTc*ThetaJA_Q2)</f>
        <v>0.99328902202694769</v>
      </c>
      <c r="AP188" s="354">
        <f>CHOOSE(Table1[[#This Row],[Mode Digit]],0,SQRT((Fsw*(Table1[[#This Row],[t1_Ph_II]]+0))*((Table1[[#This Row],[I_0]]*Table1[[#This Row],[I_1]]+((Table1[[#This Row],[I_0]]-Table1[[#This Row],[I_1]])^2)/3))),SQRT((Fsw*(Table1[[#This Row],[t2_Ph_I]]+0))*((Table1[[#This Row],[I_1]]*Table1[[#This Row],[I_2]]+((Table1[[#This Row],[I_1]]-Table1[[#This Row],[I_2]])^2)/3))))</f>
        <v>0</v>
      </c>
      <c r="AQ188" s="354">
        <f>Rdson4*Table1[[#This Row],[Irms BoCtlr]]^2</f>
        <v>0</v>
      </c>
      <c r="AR188" s="354">
        <f>CHOOSE(Table1[[#This Row],[Mode Digit]], 0, (Vout*Table1[[#This Row],[Iin]]/2)*(Fsw)*(Tr_boost+Tf_boost), (Vout*Iout/2)*(Fsw/1)*(Tr_boost+Tf_boost))</f>
        <v>0</v>
      </c>
      <c r="AS188">
        <f>IF(Table1[[#This Row],[Vin]]&gt;Vout, 0, IF(Table1[[#This Row],[Iin]]&gt;Table1[[#This Row],[Ripple Current pk-pk]]/2,0,ABS(Table1[[#This Row],[Iin]]-Table1[[#This Row],[Ripple Current pk-pk]]/2)*Vsd_Q4*Deadtime*Fsw))</f>
        <v>0</v>
      </c>
      <c r="AT188" s="354">
        <f>(Table1[[#This Row],[Dead Time Loss BoCtlr]]+Table1[[#This Row],[Transition Loss BoCtlr]]+Table1[[#This Row],[RDS(on) Loss BoCtlr]]*(1+RdsonTopTc*Ta-RdsonTopTc*25))/(1-Table1[[#This Row],[RDS(on) Loss BoCtlr]]*RdsonTopTc*ThetaJA_Q4)</f>
        <v>0</v>
      </c>
      <c r="AU18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12.090955757833754</v>
      </c>
      <c r="AV188" s="354">
        <f>Rdson3*Table1[[#This Row],[Irms BoSync]]^2</f>
        <v>0.61400308677915161</v>
      </c>
      <c r="AW18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8" s="354">
        <f>(Table1[[#This Row],[Deadtime Loss BoSync]]+Table1[[#This Row],[RDS(on) Loss BoSync]]*(1+RdsonBotTc*Ta-RdsonBotTc*25))/(1-Table1[[#This Row],[RDS(on) Loss BoSync]]*RdsonBotTc*ThetaJA_Q3)</f>
        <v>0.72012059047655008</v>
      </c>
      <c r="AY188" s="354">
        <f>CHOOSE(Table1[[#This Row],[Mode Digit]], Rdson3*Table1[[#This Row],[Irms Lf]]^2, Rdson1*Table1[[#This Row],[Irms Lf]]^2, 0)</f>
        <v>0.61400308677915161</v>
      </c>
      <c r="AZ188" s="354">
        <f>CHOOSE(Table1[[#This Row],[Mode Digit]], 2*Deadtime*Fsw*IF(VfdSky_Q2&gt;0,VfdSky_Q2,0)*Table1[[#This Row],[Iout]], 2*Deadtime*Fsw*IF(VfdSky_Q3&gt;0,VfdSky_Q3,0)*Table1[[#This Row],[Iin]], 2*Deadtime*Fsw*IF(VfdSky_Q2&gt;0,VfdSky_Q2,0)*Table1[[#This Row],[Iout]]+2*Deadtime*Fsw*IF(VfdSky_Q3&gt;0,VfdSky_Q3,0)*Table1[[#This Row],[Iin]])</f>
        <v>0</v>
      </c>
      <c r="BA188" s="354">
        <f>CHOOSE(Table1[[#This Row],[Mode Digit]], IF(QrrSky_Q2&gt;0,QrrSky_Q2,Qrr_Q2)*Fsw*(Table1[[#This Row],[Vin]]-Table1[[#This Row],[Iout]]*Rdson1),0,  IF(QrrSky_Q2&gt;0,QrrSky_Q2,Qrr_Q2)*Fsw*(Table1[[#This Row],[Vin]]-Table1[[#This Row],[Iout]]*Rdson1)+IF(QrrSky_Q3&gt;0,QrrSky_Q3,Qrr_Q3)*Fsw*Vout)</f>
        <v>0.38975519999999997</v>
      </c>
      <c r="BB188" s="354">
        <f>CHOOSE(Table1[[#This Row],[Mode Digit]],0, IF(QrrSky_Q3&gt;0,QrrSky_Q3,Qrr_Q3)*Fsw*Vout,  IF(QrrSky_Q2&gt;0,QrrSky_Q2,Qrr_Q2)*Fsw*(Table1[[#This Row],[Vin]]-Table1[[#This Row],[Iout]]*Rdson1)+IF(QrrSky_Q3&gt;0,QrrSky_Q3,Qrr_Q3)*Fsw*Vout)</f>
        <v>0</v>
      </c>
      <c r="BC188" s="354">
        <f>CHOOSE(Table1[[#This Row],[Mode Digit]], Rs*Table1[[#This Row],[Irms BuSync]]^2, Rs*Table1[[#This Row],[Irms BoCtlr]]^2, Rs*(Table1[[#This Row],[Irms BuSync]]^2+Table1[[#This Row],[Irms BoCtlr]]^2))</f>
        <v>0.19991288930941939</v>
      </c>
      <c r="BD188" s="354">
        <f t="shared" si="8"/>
        <v>1.44</v>
      </c>
      <c r="BE188" s="354">
        <f>IF(Vout&gt;8, Iq*Vout, Iq*Table1[[#This Row],[Vin]])</f>
        <v>4.3799999999999999E-2</v>
      </c>
      <c r="BF188" s="354">
        <f>CHOOSE(Table1[[#This Row],[Mode Digit]], (Qg_Q1+Qg_Q2)*Fsw, (Qg_Q3+Qg_Q4)*Fsw, (Qg_Q1+Qg_Q2+Qg_Q3+Qg_Q4)*Fsw)*IF(Vout&gt;8, Vout, Table1[[#This Row],[Vin]])</f>
        <v>0.47303999999999996</v>
      </c>
      <c r="BG188" s="354">
        <f t="shared" si="9"/>
        <v>0.57269042016806726</v>
      </c>
      <c r="BH188" s="354">
        <f>Table1[[#This Row],[IQ Loss]]+Table1[[#This Row],[Switching Current Loss]]</f>
        <v>0.51683999999999997</v>
      </c>
      <c r="BI18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11.088113041225402</v>
      </c>
      <c r="BJ188">
        <f>Vout*Table1[[#This Row],[Iout]]</f>
        <v>175.2</v>
      </c>
      <c r="BK188" s="550">
        <f>Table1[[#This Row],[Pout]]/(Table1[[#This Row],[Pout]]+Table1[[#This Row],[Total Loss]])</f>
        <v>0.94047868723233241</v>
      </c>
      <c r="BL18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266.75350673106954</v>
      </c>
      <c r="BM188" s="559">
        <f>IF(Table1[[#This Row],[Vin]]&gt;Vout, Table1[[#This Row],[Total Sync Bu MOSFET Loss]]*ThetaJA_Q2, ThetaJA_Q3*Table1[[#This Row],[Total Sync Bo MOSFET Loss]])</f>
        <v>59.597341321616859</v>
      </c>
      <c r="BN188" s="9"/>
      <c r="BO188" s="4">
        <f>Table1[[#This Row],[EFF, h]]*100</f>
        <v>94.047868723233236</v>
      </c>
      <c r="BP188" s="354">
        <f>Table1[[#This Row],[Total Inductor Loss]]</f>
        <v>2.2988975019894511</v>
      </c>
      <c r="BQ188" s="354">
        <f>Table1[[#This Row],[Total Control Bu MOSFET Loss]]+Table1[[#This Row],[Total Sync Bu MOSFET Loss]]+Table1[[#This Row],[Total Control Bo MOSFET Loss]]+Table1[[#This Row],[Total Sync Bo MOSFET Loss]]+Table1[[#This Row],[Reverse Recovery Loss MOSFET D BUCK]]+Table1[[#This Row],[Reverse Recovery Loss MOSFET D BOOST]]</f>
        <v>6.549056591354657</v>
      </c>
      <c r="BR188" s="354">
        <f>Table1[[#This Row],[Total Control Bu MOSFET Loss]]+Table1[[#This Row],[Reverse Recovery Loss MOSFET D BUCK]]*0.66</f>
        <v>4.7031302108511595</v>
      </c>
      <c r="BS188" s="354">
        <f>Table1[[#This Row],[Total Sync Bu MOSFET Loss]]+Table1[[#This Row],[Reverse Recovery Loss MOSFET D BUCK]]*0.33</f>
        <v>1.1219082380269476</v>
      </c>
      <c r="BT188" s="354">
        <f xml:space="preserve"> Table1[[#This Row],[Total Control Bo MOSFET Loss]]+Table1[[#This Row],[Reverse Recovery Loss MOSFET D BOOST]]*0.66</f>
        <v>0</v>
      </c>
      <c r="BU188" s="354">
        <f xml:space="preserve"> Table1[[#This Row],[Total Sync Bo MOSFET Loss]]+Table1[[#This Row],[Reverse Recovery Loss MOSFET D BOOST]]*0.33</f>
        <v>0.72012059047655008</v>
      </c>
      <c r="BV188" s="354">
        <f>Table1[[#This Row],[Isense Shunt Loss]]</f>
        <v>0.19991288930941939</v>
      </c>
    </row>
    <row r="189" spans="7:74" x14ac:dyDescent="0.2">
      <c r="G189">
        <v>180</v>
      </c>
      <c r="H189" s="555">
        <f>VIN_min+(VIN_max-VIN_min)*(Table1[[#This Row],[Step]]/200)</f>
        <v>32.6</v>
      </c>
      <c r="I189" s="4" t="str">
        <f>IF(Mode = 2,IF(Table1[[#This Row],[Vin]]&gt;Vout, "BUCK","BOOST"),IF(Table1[[#This Row],[Vin]]&gt;VIN_BB_to_buck, "BUCK", IF(Table1[[#This Row],[Vin]]&lt;=VIN_boost_to_BB,"BOOST","BUCK-BST")))</f>
        <v>BUCK</v>
      </c>
      <c r="J189">
        <f>IF(Table1[[#This Row],[Mode]]="BOOST",2, IF(Table1[[#This Row],[Mode]]="BUCK", 1,3))</f>
        <v>1</v>
      </c>
      <c r="K189">
        <f t="shared" si="7"/>
        <v>12</v>
      </c>
      <c r="L189" s="4">
        <f>Vout*Table1[[#This Row],[Iout]]/(Table1[[#This Row],[Vin]]*Efficiency)</f>
        <v>5.6570875040361637</v>
      </c>
      <c r="M189" s="711">
        <f>MIN(1/Fsw,CHOOSE(Table1[[#This Row],[Mode Digit]],(Vout+(Rdson2+Rs+Rdcr)*Table1[[#This Row],[Iout]])/(Table1[[#This Row],[Vin]]+(Rs+Rdson2-Rdson1)*Table1[[#This Row],[Iout]])/Fsw,(Vout+(Rdson3+Rdcr)*Table1[[#This Row],[Iin]]-Table1[[#This Row],[Vin]])/(Vout+(Rdson3-Rdson4-Rs)*Table1[[#This Row],[Iin]])/Fsw,t1_Ph_II))</f>
        <v>7.5339666973133105E-7</v>
      </c>
      <c r="N189" s="602">
        <f>CHOOSE(Table1[[#This Row],[Mode Digit]],1/Fsw-Table1[[#This Row],[t1_Ph_II]],1/Fsw-Table1[[#This Row],[t1_Ph_II]],(Vout/Fsw-Table1[[#This Row],[Vin]]*t1_Ph_II)/(Table1[[#This Row],[Vin]]+Vout))</f>
        <v>9.1326999693533561E-7</v>
      </c>
      <c r="O189" s="602">
        <f>1/Fsw-(Table1[[#This Row],[t1_Ph_II]]+Table1[[#This Row],[t2_Ph_I]])</f>
        <v>0</v>
      </c>
      <c r="P18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9.4316022622795526</v>
      </c>
      <c r="Q189" s="4">
        <f>CHOOSE(Table1[[#This Row],[Mode Digit]],Table1[[#This Row],[I_0]]+1/Lf*(Table1[[#This Row],[Vin]]-Vout)*Table1[[#This Row],[t1_Ph_II]],Table1[[#This Row],[I_0]]+1/Lf*Table1[[#This Row],[Vin]]*Table1[[#This Row],[t1_Ph_II]],Table1[[#This Row],[I_0]]+(Table1[[#This Row],[Vin]]-Vout)/L*Table1[[#This Row],[t1_Ph_II]])</f>
        <v>14.568397737720446</v>
      </c>
      <c r="R189" s="4">
        <f>CHOOSE(Table1[[#This Row],[Mode Digit]],0,0,Table1[[#This Row],[I_1]]+Table1[[#This Row],[Vin]]/L*Table1[[#This Row],[t2_Ph_I]])</f>
        <v>0</v>
      </c>
      <c r="S189" s="4">
        <f>Fsw*(Table1[[#This Row],[I_0]]*Table1[[#This Row],[t1_Ph_II]]+Table1[[#This Row],[I_1]]*Table1[[#This Row],[t2_Ph_I]]+Table1[[#This Row],[I_2]]*Table1[[#This Row],[t3_Ph_III]])</f>
        <v>12.246370975147563</v>
      </c>
      <c r="T189" s="354">
        <f>MIN(1,CHOOSE(Table1[[#This Row],[Mode Digit]],(Vout+(Rdson2+Rs+Rdcr)*Table1[[#This Row],[Iout]])/(Table1[[#This Row],[Vin]]+(Rs+Rdson2-Rdson1)*Table1[[#This Row],[Iout]]),1,Fsw*Table1[[#This Row],[t2_Ph_I]]+Table1[[#This Row],[t1_Ph_II]]))</f>
        <v>0.45203800183879861</v>
      </c>
      <c r="U189" s="354">
        <f>MIN(1,CHOOSE(Table1[[#This Row],[Mode Digit]],0,(Vout+(Rdson3+Rdcr)*Table1[[#This Row],[Iin]]-Table1[[#This Row],[Vin]])/(Vout+(Rdson3-Rdson4-Rs)*Table1[[#This Row],[Iin]]),Fsw*Table1[[#This Row],[t1_Ph_II]]+Table1[[#This Row],[t3_Ph_III]]))</f>
        <v>0</v>
      </c>
      <c r="V189" s="4">
        <f>MAX(Table1[[#This Row],[I_0]:[I_2]])-MIN(Table1[[#This Row],[I_0]:[I_1]])</f>
        <v>5.1367954754408931</v>
      </c>
      <c r="W18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12.091273257176399</v>
      </c>
      <c r="X189" s="354">
        <f>(Table1[[#This Row],[Irms Lf]]^2*Rdcr*(1+Ltc*Ta-Ltc*25))/(1-Table1[[#This Row],[Irms Lf]]^2*Rdcr*Ltc*ThetaCa)</f>
        <v>0.90966162056123279</v>
      </c>
      <c r="Y189" s="354">
        <f>ABS(7.759*10^-3*Fsw^0.9458*(0.00787*Table1[[#This Row],[Ripple Current pk-pk]])^2.304)</f>
        <v>1.3948965110272082</v>
      </c>
      <c r="Z189" s="354">
        <f>Table1[[#This Row],[DCR    Loss]]+Table1[[#This Row],[Core Loss]]</f>
        <v>2.3045581315884411</v>
      </c>
      <c r="AA189" s="4">
        <f>IF(Table1[[#This Row],[Vin]]&gt;Vout, Table1[[#This Row],[Ripple Current pk-pk]]/SQRT(12), SQRT(Table1[[#This Row],[Duty Cycle BOOST Leg]]/(1-Table1[[#This Row],[Duty Cycle BOOST Leg]]))*SQRT(Table1[[#This Row],[Iout]]^2+(Table1[[#This Row],[Ripple Current pk-pk]]^2)/12))</f>
        <v>1.4828651252589258</v>
      </c>
      <c r="AB189" s="354">
        <f>RCoutEsr*Table1[[#This Row],[Irms Cout]]^2</f>
        <v>1.0994444898545848E-2</v>
      </c>
      <c r="AC189" s="354">
        <f>Table1[[#This Row],[Cout ESR Loss]]</f>
        <v>1.0994444898545848E-2</v>
      </c>
      <c r="AD189" s="354">
        <f>IF(Table1[[#This Row],[Vin]]&gt;Vout, SQRT(Table1[[#This Row],[Duty Cycle BUCK Leg]]*(1-Table1[[#This Row],[Duty Cycle BUCK Leg]]))*SQRT(Table1[[#This Row],[Iout]]^2+(Table1[[#This Row],[Ripple Current pk-pk]]^2)/12), Table1[[#This Row],[Ripple Current pk-pk]]/SQRT(12))</f>
        <v>6.0177581500872179</v>
      </c>
      <c r="AE189" s="354">
        <f>RCinEsr*Table1[[#This Row],[Irms Cin]]^2</f>
        <v>7.2426826305882278E-2</v>
      </c>
      <c r="AF189" s="549">
        <f>Table1[[#This Row],[Cin ESR Loss]]</f>
        <v>7.2426826305882278E-2</v>
      </c>
      <c r="AG18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8.129419022626406</v>
      </c>
      <c r="AH189" s="354">
        <f>Rdson1*Table1[[#This Row],[Irms BuCtrl]]^2</f>
        <v>0.27756730531084833</v>
      </c>
      <c r="AI189" s="354">
        <f>CHOOSE(Table1[[#This Row],[Mode Digit]], (Table1[[#This Row],[Vin]]*Table1[[#This Row],[Iout]]/2)*(Fsw)*(Tr_buck+Tf_buck), 0, (Table1[[#This Row],[Vin]]*Table1[[#This Row],[Avg IL]]/2)*(Fsw/1)*(Tr_buck+Tf_buck))</f>
        <v>3.8792827480299064</v>
      </c>
      <c r="AJ189">
        <f>IF(Table1[[#This Row],[Vin]]&gt;Vout, IF(Table1[[#This Row],[Iout]]&gt;Table1[[#This Row],[Ripple Current pk-pk]]/2,0,ABS(Table1[[#This Row],[Iout]]-Table1[[#This Row],[Ripple Current pk-pk]]/2)*Vsd_Q1*Deadtime*Fsw),0)</f>
        <v>0</v>
      </c>
      <c r="AK189" s="354">
        <f>(Table1[[#This Row],[Dead Time Loss BuCtrl]]+Table1[[#This Row],[Transition Loss BuCtrl]]+Table1[[#This Row],[RDS(on) Loss BuCtrl]]*(1+RdsonTopTc*Ta-RdsonTopTc*25))/(1-Table1[[#This Row],[RDS(on) Loss BuCtrl]]*RdsonTopTc*ThetaJA_Q1)</f>
        <v>4.4535268827763517</v>
      </c>
      <c r="AL189" s="354">
        <f>CHOOSE(Table1[[#This Row],[Mode Digit]],SQRT((Fsw*(Table1[[#This Row],[t2_Ph_I]]+0))*((Table1[[#This Row],[I_0]]*Table1[[#This Row],[I_1]]+((Table1[[#This Row],[I_0]]-Table1[[#This Row],[I_1]])^2)/3))),0,SQRT((Fsw*(Table1[[#This Row],[t3_Ph_III]]+0))*((Table1[[#This Row],[I_0]]*Table1[[#This Row],[I_2]]+((Table1[[#This Row],[I_0]]-Table1[[#This Row],[I_2]])^2)/3))))</f>
        <v>8.9504991667654537</v>
      </c>
      <c r="AM189" s="354">
        <f>Rdson2*Table1[[#This Row],[Irms BuSync]]^2</f>
        <v>0.33646802840393014</v>
      </c>
      <c r="AN18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89" s="354">
        <f>(Table1[[#This Row],[Deadtime Loss BuSync]]+Table1[[#This Row],[RDS(on) Loss BuSync]]*(1+RdsonBotTc*Ta-RdsonBotTc*25))/(1-Table1[[#This Row],[RDS(on) Loss BuSync]]*RdsonBotTc*ThetaJA_Q2)</f>
        <v>0.99411669306817918</v>
      </c>
      <c r="AP189" s="354">
        <f>CHOOSE(Table1[[#This Row],[Mode Digit]],0,SQRT((Fsw*(Table1[[#This Row],[t1_Ph_II]]+0))*((Table1[[#This Row],[I_0]]*Table1[[#This Row],[I_1]]+((Table1[[#This Row],[I_0]]-Table1[[#This Row],[I_1]])^2)/3))),SQRT((Fsw*(Table1[[#This Row],[t2_Ph_I]]+0))*((Table1[[#This Row],[I_1]]*Table1[[#This Row],[I_2]]+((Table1[[#This Row],[I_1]]-Table1[[#This Row],[I_2]])^2)/3))))</f>
        <v>0</v>
      </c>
      <c r="AQ189" s="354">
        <f>Rdson4*Table1[[#This Row],[Irms BoCtlr]]^2</f>
        <v>0</v>
      </c>
      <c r="AR189" s="354">
        <f>CHOOSE(Table1[[#This Row],[Mode Digit]], 0, (Vout*Table1[[#This Row],[Iin]]/2)*(Fsw)*(Tr_boost+Tf_boost), (Vout*Iout/2)*(Fsw/1)*(Tr_boost+Tf_boost))</f>
        <v>0</v>
      </c>
      <c r="AS189">
        <f>IF(Table1[[#This Row],[Vin]]&gt;Vout, 0, IF(Table1[[#This Row],[Iin]]&gt;Table1[[#This Row],[Ripple Current pk-pk]]/2,0,ABS(Table1[[#This Row],[Iin]]-Table1[[#This Row],[Ripple Current pk-pk]]/2)*Vsd_Q4*Deadtime*Fsw))</f>
        <v>0</v>
      </c>
      <c r="AT189" s="354">
        <f>(Table1[[#This Row],[Dead Time Loss BoCtlr]]+Table1[[#This Row],[Transition Loss BoCtlr]]+Table1[[#This Row],[RDS(on) Loss BoCtlr]]*(1+RdsonTopTc*Ta-RdsonTopTc*25))/(1-Table1[[#This Row],[RDS(on) Loss BoCtlr]]*RdsonTopTc*ThetaJA_Q4)</f>
        <v>0</v>
      </c>
      <c r="AU18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12.091273257176399</v>
      </c>
      <c r="AV189" s="354">
        <f>Rdson3*Table1[[#This Row],[Irms BoSync]]^2</f>
        <v>0.61403533371477859</v>
      </c>
      <c r="AW18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89" s="354">
        <f>(Table1[[#This Row],[Deadtime Loss BoSync]]+Table1[[#This Row],[RDS(on) Loss BoSync]]*(1+RdsonBotTc*Ta-RdsonBotTc*25))/(1-Table1[[#This Row],[RDS(on) Loss BoSync]]*RdsonBotTc*ThetaJA_Q3)</f>
        <v>0.72016494743322113</v>
      </c>
      <c r="AY189" s="354">
        <f>CHOOSE(Table1[[#This Row],[Mode Digit]], Rdson3*Table1[[#This Row],[Irms Lf]]^2, Rdson1*Table1[[#This Row],[Irms Lf]]^2, 0)</f>
        <v>0.61403533371477859</v>
      </c>
      <c r="AZ189" s="354">
        <f>CHOOSE(Table1[[#This Row],[Mode Digit]], 2*Deadtime*Fsw*IF(VfdSky_Q2&gt;0,VfdSky_Q2,0)*Table1[[#This Row],[Iout]], 2*Deadtime*Fsw*IF(VfdSky_Q3&gt;0,VfdSky_Q3,0)*Table1[[#This Row],[Iin]], 2*Deadtime*Fsw*IF(VfdSky_Q2&gt;0,VfdSky_Q2,0)*Table1[[#This Row],[Iout]]+2*Deadtime*Fsw*IF(VfdSky_Q3&gt;0,VfdSky_Q3,0)*Table1[[#This Row],[Iin]])</f>
        <v>0</v>
      </c>
      <c r="BA189" s="354">
        <f>CHOOSE(Table1[[#This Row],[Mode Digit]], IF(QrrSky_Q2&gt;0,QrrSky_Q2,Qrr_Q2)*Fsw*(Table1[[#This Row],[Vin]]-Table1[[#This Row],[Iout]]*Rdson1),0,  IF(QrrSky_Q2&gt;0,QrrSky_Q2,Qrr_Q2)*Fsw*(Table1[[#This Row],[Vin]]-Table1[[#This Row],[Iout]]*Rdson1)+IF(QrrSky_Q3&gt;0,QrrSky_Q3,Qrr_Q3)*Fsw*Vout)</f>
        <v>0.39059519999999998</v>
      </c>
      <c r="BB189" s="354">
        <f>CHOOSE(Table1[[#This Row],[Mode Digit]],0, IF(QrrSky_Q3&gt;0,QrrSky_Q3,Qrr_Q3)*Fsw*Vout,  IF(QrrSky_Q2&gt;0,QrrSky_Q2,Qrr_Q2)*Fsw*(Table1[[#This Row],[Vin]]-Table1[[#This Row],[Iout]]*Rdson1)+IF(QrrSky_Q3&gt;0,QrrSky_Q3,Qrr_Q3)*Fsw*Vout)</f>
        <v>0</v>
      </c>
      <c r="BC189" s="354">
        <f>CHOOSE(Table1[[#This Row],[Mode Digit]], Rs*Table1[[#This Row],[Irms BuSync]]^2, Rs*Table1[[#This Row],[Irms BoCtlr]]^2, Rs*(Table1[[#This Row],[Irms BuSync]]^2+Table1[[#This Row],[Irms BoCtlr]]^2))</f>
        <v>0.20027858833567269</v>
      </c>
      <c r="BD189" s="354">
        <f t="shared" si="8"/>
        <v>1.44</v>
      </c>
      <c r="BE189" s="354">
        <f>IF(Vout&gt;8, Iq*Vout, Iq*Table1[[#This Row],[Vin]])</f>
        <v>4.3799999999999999E-2</v>
      </c>
      <c r="BF189" s="354">
        <f>CHOOSE(Table1[[#This Row],[Mode Digit]], (Qg_Q1+Qg_Q2)*Fsw, (Qg_Q3+Qg_Q4)*Fsw, (Qg_Q1+Qg_Q2+Qg_Q3+Qg_Q4)*Fsw)*IF(Vout&gt;8, Vout, Table1[[#This Row],[Vin]])</f>
        <v>0.47303999999999996</v>
      </c>
      <c r="BG189" s="354">
        <f t="shared" si="9"/>
        <v>0.57269042016806726</v>
      </c>
      <c r="BH189" s="354">
        <f>Table1[[#This Row],[IQ Loss]]+Table1[[#This Row],[Switching Current Loss]]</f>
        <v>0.51683999999999997</v>
      </c>
      <c r="BI18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11.103501714406292</v>
      </c>
      <c r="BJ189">
        <f>Vout*Table1[[#This Row],[Iout]]</f>
        <v>175.2</v>
      </c>
      <c r="BK189" s="550">
        <f>Table1[[#This Row],[Pout]]/(Table1[[#This Row],[Pout]]+Table1[[#This Row],[Total Loss]])</f>
        <v>0.94040100367288104</v>
      </c>
      <c r="BL18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267.21161296658113</v>
      </c>
      <c r="BM189" s="559">
        <f>IF(Table1[[#This Row],[Vin]]&gt;Vout, Table1[[#This Row],[Total Sync Bu MOSFET Loss]]*ThetaJA_Q2, ThetaJA_Q3*Table1[[#This Row],[Total Sync Bo MOSFET Loss]])</f>
        <v>59.647001584090752</v>
      </c>
      <c r="BN189" s="9"/>
      <c r="BO189" s="4">
        <f>Table1[[#This Row],[EFF, h]]*100</f>
        <v>94.040100367288105</v>
      </c>
      <c r="BP189" s="354">
        <f>Table1[[#This Row],[Total Inductor Loss]]</f>
        <v>2.3045581315884411</v>
      </c>
      <c r="BQ189" s="354">
        <f>Table1[[#This Row],[Total Control Bu MOSFET Loss]]+Table1[[#This Row],[Total Sync Bu MOSFET Loss]]+Table1[[#This Row],[Total Control Bo MOSFET Loss]]+Table1[[#This Row],[Total Sync Bo MOSFET Loss]]+Table1[[#This Row],[Reverse Recovery Loss MOSFET D BUCK]]+Table1[[#This Row],[Reverse Recovery Loss MOSFET D BOOST]]</f>
        <v>6.5584037232777517</v>
      </c>
      <c r="BR189" s="354">
        <f>Table1[[#This Row],[Total Control Bu MOSFET Loss]]+Table1[[#This Row],[Reverse Recovery Loss MOSFET D BUCK]]*0.66</f>
        <v>4.7113197147763515</v>
      </c>
      <c r="BS189" s="354">
        <f>Table1[[#This Row],[Total Sync Bu MOSFET Loss]]+Table1[[#This Row],[Reverse Recovery Loss MOSFET D BUCK]]*0.33</f>
        <v>1.1230131090681792</v>
      </c>
      <c r="BT189" s="354">
        <f xml:space="preserve"> Table1[[#This Row],[Total Control Bo MOSFET Loss]]+Table1[[#This Row],[Reverse Recovery Loss MOSFET D BOOST]]*0.66</f>
        <v>0</v>
      </c>
      <c r="BU189" s="354">
        <f xml:space="preserve"> Table1[[#This Row],[Total Sync Bo MOSFET Loss]]+Table1[[#This Row],[Reverse Recovery Loss MOSFET D BOOST]]*0.33</f>
        <v>0.72016494743322113</v>
      </c>
      <c r="BV189" s="354">
        <f>Table1[[#This Row],[Isense Shunt Loss]]</f>
        <v>0.20027858833567269</v>
      </c>
    </row>
    <row r="190" spans="7:74" x14ac:dyDescent="0.2">
      <c r="G190">
        <v>181</v>
      </c>
      <c r="H190" s="555">
        <f>VIN_min+(VIN_max-VIN_min)*(Table1[[#This Row],[Step]]/200)</f>
        <v>32.67</v>
      </c>
      <c r="I190" s="4" t="str">
        <f>IF(Mode = 2,IF(Table1[[#This Row],[Vin]]&gt;Vout, "BUCK","BOOST"),IF(Table1[[#This Row],[Vin]]&gt;VIN_BB_to_buck, "BUCK", IF(Table1[[#This Row],[Vin]]&lt;=VIN_boost_to_BB,"BOOST","BUCK-BST")))</f>
        <v>BUCK</v>
      </c>
      <c r="J190">
        <f>IF(Table1[[#This Row],[Mode]]="BOOST",2, IF(Table1[[#This Row],[Mode]]="BUCK", 1,3))</f>
        <v>1</v>
      </c>
      <c r="K190">
        <f t="shared" si="7"/>
        <v>12</v>
      </c>
      <c r="L190" s="4">
        <f>Vout*Table1[[#This Row],[Iout]]/(Table1[[#This Row],[Vin]]*Efficiency)</f>
        <v>5.6449664105166493</v>
      </c>
      <c r="M190" s="711">
        <f>MIN(1/Fsw,CHOOSE(Table1[[#This Row],[Mode Digit]],(Vout+(Rdson2+Rs+Rdcr)*Table1[[#This Row],[Iout]])/(Table1[[#This Row],[Vin]]+(Rs+Rdson2-Rdson1)*Table1[[#This Row],[Iout]])/Fsw,(Vout+(Rdson3+Rdcr)*Table1[[#This Row],[Iin]]-Table1[[#This Row],[Vin]])/(Vout+(Rdson3-Rdson4-Rs)*Table1[[#This Row],[Iin]])/Fsw,t1_Ph_II))</f>
        <v>7.5178389398572883E-7</v>
      </c>
      <c r="N190" s="602">
        <f>CHOOSE(Table1[[#This Row],[Mode Digit]],1/Fsw-Table1[[#This Row],[t1_Ph_II]],1/Fsw-Table1[[#This Row],[t1_Ph_II]],(Vout/Fsw-Table1[[#This Row],[Vin]]*t1_Ph_II)/(Table1[[#This Row],[Vin]]+Vout))</f>
        <v>9.1488277268093783E-7</v>
      </c>
      <c r="O190" s="602">
        <f>1/Fsw-(Table1[[#This Row],[t1_Ph_II]]+Table1[[#This Row],[t2_Ph_I]])</f>
        <v>0</v>
      </c>
      <c r="P19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9.4271335294844469</v>
      </c>
      <c r="Q190" s="4">
        <f>CHOOSE(Table1[[#This Row],[Mode Digit]],Table1[[#This Row],[I_0]]+1/Lf*(Table1[[#This Row],[Vin]]-Vout)*Table1[[#This Row],[t1_Ph_II]],Table1[[#This Row],[I_0]]+1/Lf*Table1[[#This Row],[Vin]]*Table1[[#This Row],[t1_Ph_II]],Table1[[#This Row],[I_0]]+(Table1[[#This Row],[Vin]]-Vout)/L*Table1[[#This Row],[t1_Ph_II]])</f>
        <v>14.572866470515553</v>
      </c>
      <c r="R190" s="4">
        <f>CHOOSE(Table1[[#This Row],[Mode Digit]],0,0,Table1[[#This Row],[I_1]]+Table1[[#This Row],[Vin]]/L*Table1[[#This Row],[t2_Ph_I]])</f>
        <v>0</v>
      </c>
      <c r="S190" s="4">
        <f>Fsw*(Table1[[#This Row],[I_0]]*Table1[[#This Row],[t1_Ph_II]]+Table1[[#This Row],[I_1]]*Table1[[#This Row],[t2_Ph_I]]+Table1[[#This Row],[I_2]]*Table1[[#This Row],[t3_Ph_III]])</f>
        <v>12.251778981824152</v>
      </c>
      <c r="T190" s="354">
        <f>MIN(1,CHOOSE(Table1[[#This Row],[Mode Digit]],(Vout+(Rdson2+Rs+Rdcr)*Table1[[#This Row],[Iout]])/(Table1[[#This Row],[Vin]]+(Rs+Rdson2-Rdson1)*Table1[[#This Row],[Iout]]),1,Fsw*Table1[[#This Row],[t2_Ph_I]]+Table1[[#This Row],[t1_Ph_II]]))</f>
        <v>0.45107033639143729</v>
      </c>
      <c r="U190" s="354">
        <f>MIN(1,CHOOSE(Table1[[#This Row],[Mode Digit]],0,(Vout+(Rdson3+Rdcr)*Table1[[#This Row],[Iin]]-Table1[[#This Row],[Vin]])/(Vout+(Rdson3-Rdson4-Rs)*Table1[[#This Row],[Iin]]),Fsw*Table1[[#This Row],[t1_Ph_II]]+Table1[[#This Row],[t3_Ph_III]]))</f>
        <v>0</v>
      </c>
      <c r="V190" s="4">
        <f>MAX(Table1[[#This Row],[I_0]:[I_2]])-MIN(Table1[[#This Row],[I_0]:[I_1]])</f>
        <v>5.1457329410311061</v>
      </c>
      <c r="W19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12.091589940603388</v>
      </c>
      <c r="X190" s="354">
        <f>(Table1[[#This Row],[Irms Lf]]^2*Rdcr*(1+Ltc*Ta-Ltc*25))/(1-Table1[[#This Row],[Irms Lf]]^2*Rdcr*Ltc*ThetaCa)</f>
        <v>0.90971273908649408</v>
      </c>
      <c r="Y190" s="354">
        <f>ABS(7.759*10^-3*Fsw^0.9458*(0.00787*Table1[[#This Row],[Ripple Current pk-pk]])^2.304)</f>
        <v>1.4004945903277519</v>
      </c>
      <c r="Z190" s="354">
        <f>Table1[[#This Row],[DCR    Loss]]+Table1[[#This Row],[Core Loss]]</f>
        <v>2.3102073294142462</v>
      </c>
      <c r="AA190" s="4">
        <f>IF(Table1[[#This Row],[Vin]]&gt;Vout, Table1[[#This Row],[Ripple Current pk-pk]]/SQRT(12), SQRT(Table1[[#This Row],[Duty Cycle BOOST Leg]]/(1-Table1[[#This Row],[Duty Cycle BOOST Leg]]))*SQRT(Table1[[#This Row],[Iout]]^2+(Table1[[#This Row],[Ripple Current pk-pk]]^2)/12))</f>
        <v>1.4854451493411169</v>
      </c>
      <c r="AB190" s="354">
        <f>RCoutEsr*Table1[[#This Row],[Irms Cout]]^2</f>
        <v>1.1032736458505266E-2</v>
      </c>
      <c r="AC190" s="354">
        <f>Table1[[#This Row],[Cout ESR Loss]]</f>
        <v>1.1032736458505266E-2</v>
      </c>
      <c r="AD190" s="354">
        <f>IF(Table1[[#This Row],[Vin]]&gt;Vout, SQRT(Table1[[#This Row],[Duty Cycle BUCK Leg]]*(1-Table1[[#This Row],[Duty Cycle BUCK Leg]]))*SQRT(Table1[[#This Row],[Iout]]^2+(Table1[[#This Row],[Ripple Current pk-pk]]^2)/12), Table1[[#This Row],[Ripple Current pk-pk]]/SQRT(12))</f>
        <v>6.0167767098651677</v>
      </c>
      <c r="AE190" s="354">
        <f>RCinEsr*Table1[[#This Row],[Irms Cin]]^2</f>
        <v>7.2403203952751821E-2</v>
      </c>
      <c r="AF190" s="549">
        <f>Table1[[#This Row],[Cin ESR Loss]]</f>
        <v>7.2403203952751821E-2</v>
      </c>
      <c r="AG19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8.1209258381971559</v>
      </c>
      <c r="AH190" s="354">
        <f>Rdson1*Table1[[#This Row],[Irms BuCtrl]]^2</f>
        <v>0.2769876331718924</v>
      </c>
      <c r="AI190" s="354">
        <f>CHOOSE(Table1[[#This Row],[Mode Digit]], (Table1[[#This Row],[Vin]]*Table1[[#This Row],[Iout]]/2)*(Fsw)*(Tr_buck+Tf_buck), 0, (Table1[[#This Row],[Vin]]*Table1[[#This Row],[Avg IL]]/2)*(Fsw/1)*(Tr_buck+Tf_buck))</f>
        <v>3.8876124962618719</v>
      </c>
      <c r="AJ190">
        <f>IF(Table1[[#This Row],[Vin]]&gt;Vout, IF(Table1[[#This Row],[Iout]]&gt;Table1[[#This Row],[Ripple Current pk-pk]]/2,0,ABS(Table1[[#This Row],[Iout]]-Table1[[#This Row],[Ripple Current pk-pk]]/2)*Vsd_Q1*Deadtime*Fsw),0)</f>
        <v>0</v>
      </c>
      <c r="AK190" s="354">
        <f>(Table1[[#This Row],[Dead Time Loss BuCtrl]]+Table1[[#This Row],[Transition Loss BuCtrl]]+Table1[[#This Row],[RDS(on) Loss BuCtrl]]*(1+RdsonTopTc*Ta-RdsonTopTc*25))/(1-Table1[[#This Row],[RDS(on) Loss BuCtrl]]*RdsonTopTc*ThetaJA_Q1)</f>
        <v>4.4611651475305889</v>
      </c>
      <c r="AL190" s="354">
        <f>CHOOSE(Table1[[#This Row],[Mode Digit]],SQRT((Fsw*(Table1[[#This Row],[t2_Ph_I]]+0))*((Table1[[#This Row],[I_0]]*Table1[[#This Row],[I_1]]+((Table1[[#This Row],[I_0]]-Table1[[#This Row],[I_1]])^2)/3))),0,SQRT((Fsw*(Table1[[#This Row],[t3_Ph_III]]+0))*((Table1[[#This Row],[I_0]]*Table1[[#This Row],[I_2]]+((Table1[[#This Row],[I_0]]-Table1[[#This Row],[I_2]])^2)/3))))</f>
        <v>8.9586333121856736</v>
      </c>
      <c r="AM190" s="354">
        <f>Rdson2*Table1[[#This Row],[Irms BuSync]]^2</f>
        <v>0.33707986545325203</v>
      </c>
      <c r="AN19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0" s="354">
        <f>(Table1[[#This Row],[Deadtime Loss BuSync]]+Table1[[#This Row],[RDS(on) Loss BuSync]]*(1+RdsonBotTc*Ta-RdsonBotTc*25))/(1-Table1[[#This Row],[RDS(on) Loss BuSync]]*RdsonBotTc*ThetaJA_Q2)</f>
        <v>0.99494120981813472</v>
      </c>
      <c r="AP190" s="354">
        <f>CHOOSE(Table1[[#This Row],[Mode Digit]],0,SQRT((Fsw*(Table1[[#This Row],[t1_Ph_II]]+0))*((Table1[[#This Row],[I_0]]*Table1[[#This Row],[I_1]]+((Table1[[#This Row],[I_0]]-Table1[[#This Row],[I_1]])^2)/3))),SQRT((Fsw*(Table1[[#This Row],[t2_Ph_I]]+0))*((Table1[[#This Row],[I_1]]*Table1[[#This Row],[I_2]]+((Table1[[#This Row],[I_1]]-Table1[[#This Row],[I_2]])^2)/3))))</f>
        <v>0</v>
      </c>
      <c r="AQ190" s="354">
        <f>Rdson4*Table1[[#This Row],[Irms BoCtlr]]^2</f>
        <v>0</v>
      </c>
      <c r="AR190" s="354">
        <f>CHOOSE(Table1[[#This Row],[Mode Digit]], 0, (Vout*Table1[[#This Row],[Iin]]/2)*(Fsw)*(Tr_boost+Tf_boost), (Vout*Iout/2)*(Fsw/1)*(Tr_boost+Tf_boost))</f>
        <v>0</v>
      </c>
      <c r="AS190">
        <f>IF(Table1[[#This Row],[Vin]]&gt;Vout, 0, IF(Table1[[#This Row],[Iin]]&gt;Table1[[#This Row],[Ripple Current pk-pk]]/2,0,ABS(Table1[[#This Row],[Iin]]-Table1[[#This Row],[Ripple Current pk-pk]]/2)*Vsd_Q4*Deadtime*Fsw))</f>
        <v>0</v>
      </c>
      <c r="AT190" s="354">
        <f>(Table1[[#This Row],[Dead Time Loss BoCtlr]]+Table1[[#This Row],[Transition Loss BoCtlr]]+Table1[[#This Row],[RDS(on) Loss BoCtlr]]*(1+RdsonTopTc*Ta-RdsonTopTc*25))/(1-Table1[[#This Row],[RDS(on) Loss BoCtlr]]*RdsonTopTc*ThetaJA_Q4)</f>
        <v>0</v>
      </c>
      <c r="AU19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12.091589940603388</v>
      </c>
      <c r="AV190" s="354">
        <f>Rdson3*Table1[[#This Row],[Irms BoSync]]^2</f>
        <v>0.61406749862514443</v>
      </c>
      <c r="AW19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0" s="354">
        <f>(Table1[[#This Row],[Deadtime Loss BoSync]]+Table1[[#This Row],[RDS(on) Loss BoSync]]*(1+RdsonBotTc*Ta-RdsonBotTc*25))/(1-Table1[[#This Row],[RDS(on) Loss BoSync]]*RdsonBotTc*ThetaJA_Q3)</f>
        <v>0.72020919236303327</v>
      </c>
      <c r="AY190" s="354">
        <f>CHOOSE(Table1[[#This Row],[Mode Digit]], Rdson3*Table1[[#This Row],[Irms Lf]]^2, Rdson1*Table1[[#This Row],[Irms Lf]]^2, 0)</f>
        <v>0.61406749862514443</v>
      </c>
      <c r="AZ190" s="354">
        <f>CHOOSE(Table1[[#This Row],[Mode Digit]], 2*Deadtime*Fsw*IF(VfdSky_Q2&gt;0,VfdSky_Q2,0)*Table1[[#This Row],[Iout]], 2*Deadtime*Fsw*IF(VfdSky_Q3&gt;0,VfdSky_Q3,0)*Table1[[#This Row],[Iin]], 2*Deadtime*Fsw*IF(VfdSky_Q2&gt;0,VfdSky_Q2,0)*Table1[[#This Row],[Iout]]+2*Deadtime*Fsw*IF(VfdSky_Q3&gt;0,VfdSky_Q3,0)*Table1[[#This Row],[Iin]])</f>
        <v>0</v>
      </c>
      <c r="BA190" s="354">
        <f>CHOOSE(Table1[[#This Row],[Mode Digit]], IF(QrrSky_Q2&gt;0,QrrSky_Q2,Qrr_Q2)*Fsw*(Table1[[#This Row],[Vin]]-Table1[[#This Row],[Iout]]*Rdson1),0,  IF(QrrSky_Q2&gt;0,QrrSky_Q2,Qrr_Q2)*Fsw*(Table1[[#This Row],[Vin]]-Table1[[#This Row],[Iout]]*Rdson1)+IF(QrrSky_Q3&gt;0,QrrSky_Q3,Qrr_Q3)*Fsw*Vout)</f>
        <v>0.39143519999999998</v>
      </c>
      <c r="BB190" s="354">
        <f>CHOOSE(Table1[[#This Row],[Mode Digit]],0, IF(QrrSky_Q3&gt;0,QrrSky_Q3,Qrr_Q3)*Fsw*Vout,  IF(QrrSky_Q2&gt;0,QrrSky_Q2,Qrr_Q2)*Fsw*(Table1[[#This Row],[Vin]]-Table1[[#This Row],[Iout]]*Rdson1)+IF(QrrSky_Q3&gt;0,QrrSky_Q3,Qrr_Q3)*Fsw*Vout)</f>
        <v>0</v>
      </c>
      <c r="BC190" s="354">
        <f>CHOOSE(Table1[[#This Row],[Mode Digit]], Rs*Table1[[#This Row],[Irms BuSync]]^2, Rs*Table1[[#This Row],[Irms BoCtlr]]^2, Rs*(Table1[[#This Row],[Irms BuSync]]^2+Table1[[#This Row],[Irms BoCtlr]]^2))</f>
        <v>0.20064277705550712</v>
      </c>
      <c r="BD190" s="354">
        <f t="shared" si="8"/>
        <v>1.44</v>
      </c>
      <c r="BE190" s="354">
        <f>IF(Vout&gt;8, Iq*Vout, Iq*Table1[[#This Row],[Vin]])</f>
        <v>4.3799999999999999E-2</v>
      </c>
      <c r="BF190" s="354">
        <f>CHOOSE(Table1[[#This Row],[Mode Digit]], (Qg_Q1+Qg_Q2)*Fsw, (Qg_Q3+Qg_Q4)*Fsw, (Qg_Q1+Qg_Q2+Qg_Q3+Qg_Q4)*Fsw)*IF(Vout&gt;8, Vout, Table1[[#This Row],[Vin]])</f>
        <v>0.47303999999999996</v>
      </c>
      <c r="BG190" s="354">
        <f t="shared" si="9"/>
        <v>0.57269042016806726</v>
      </c>
      <c r="BH190" s="354">
        <f>Table1[[#This Row],[IQ Loss]]+Table1[[#This Row],[Switching Current Loss]]</f>
        <v>0.51683999999999997</v>
      </c>
      <c r="BI19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11.118876796592767</v>
      </c>
      <c r="BJ190">
        <f>Vout*Table1[[#This Row],[Iout]]</f>
        <v>175.2</v>
      </c>
      <c r="BK190" s="550">
        <f>Table1[[#This Row],[Pout]]/(Table1[[#This Row],[Pout]]+Table1[[#This Row],[Total Loss]])</f>
        <v>0.94032340153740079</v>
      </c>
      <c r="BL19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267.66990885183532</v>
      </c>
      <c r="BM190" s="559">
        <f>IF(Table1[[#This Row],[Vin]]&gt;Vout, Table1[[#This Row],[Total Sync Bu MOSFET Loss]]*ThetaJA_Q2, ThetaJA_Q3*Table1[[#This Row],[Total Sync Bo MOSFET Loss]])</f>
        <v>59.696472589088081</v>
      </c>
      <c r="BN190" s="9"/>
      <c r="BO190" s="4">
        <f>Table1[[#This Row],[EFF, h]]*100</f>
        <v>94.03234015374008</v>
      </c>
      <c r="BP190" s="354">
        <f>Table1[[#This Row],[Total Inductor Loss]]</f>
        <v>2.3102073294142462</v>
      </c>
      <c r="BQ190" s="354">
        <f>Table1[[#This Row],[Total Control Bu MOSFET Loss]]+Table1[[#This Row],[Total Sync Bu MOSFET Loss]]+Table1[[#This Row],[Total Control Bo MOSFET Loss]]+Table1[[#This Row],[Total Sync Bo MOSFET Loss]]+Table1[[#This Row],[Reverse Recovery Loss MOSFET D BUCK]]+Table1[[#This Row],[Reverse Recovery Loss MOSFET D BOOST]]</f>
        <v>6.5677507497117569</v>
      </c>
      <c r="BR190" s="354">
        <f>Table1[[#This Row],[Total Control Bu MOSFET Loss]]+Table1[[#This Row],[Reverse Recovery Loss MOSFET D BUCK]]*0.66</f>
        <v>4.7195123795305891</v>
      </c>
      <c r="BS190" s="354">
        <f>Table1[[#This Row],[Total Sync Bu MOSFET Loss]]+Table1[[#This Row],[Reverse Recovery Loss MOSFET D BUCK]]*0.33</f>
        <v>1.1241148258181348</v>
      </c>
      <c r="BT190" s="354">
        <f xml:space="preserve"> Table1[[#This Row],[Total Control Bo MOSFET Loss]]+Table1[[#This Row],[Reverse Recovery Loss MOSFET D BOOST]]*0.66</f>
        <v>0</v>
      </c>
      <c r="BU190" s="354">
        <f xml:space="preserve"> Table1[[#This Row],[Total Sync Bo MOSFET Loss]]+Table1[[#This Row],[Reverse Recovery Loss MOSFET D BOOST]]*0.33</f>
        <v>0.72020919236303327</v>
      </c>
      <c r="BV190" s="354">
        <f>Table1[[#This Row],[Isense Shunt Loss]]</f>
        <v>0.20064277705550712</v>
      </c>
    </row>
    <row r="191" spans="7:74" x14ac:dyDescent="0.2">
      <c r="G191">
        <v>182</v>
      </c>
      <c r="H191" s="555">
        <f>VIN_min+(VIN_max-VIN_min)*(Table1[[#This Row],[Step]]/200)</f>
        <v>32.74</v>
      </c>
      <c r="I191" s="4" t="str">
        <f>IF(Mode = 2,IF(Table1[[#This Row],[Vin]]&gt;Vout, "BUCK","BOOST"),IF(Table1[[#This Row],[Vin]]&gt;VIN_BB_to_buck, "BUCK", IF(Table1[[#This Row],[Vin]]&lt;=VIN_boost_to_BB,"BOOST","BUCK-BST")))</f>
        <v>BUCK</v>
      </c>
      <c r="J191">
        <f>IF(Table1[[#This Row],[Mode]]="BOOST",2, IF(Table1[[#This Row],[Mode]]="BUCK", 1,3))</f>
        <v>1</v>
      </c>
      <c r="K191">
        <f t="shared" si="7"/>
        <v>12</v>
      </c>
      <c r="L191" s="4">
        <f>Vout*Table1[[#This Row],[Iout]]/(Table1[[#This Row],[Vin]]*Efficiency)</f>
        <v>5.6328971481850623</v>
      </c>
      <c r="M191" s="711">
        <f>MIN(1/Fsw,CHOOSE(Table1[[#This Row],[Mode Digit]],(Vout+(Rdson2+Rs+Rdcr)*Table1[[#This Row],[Iout]])/(Table1[[#This Row],[Vin]]+(Rs+Rdson2-Rdson1)*Table1[[#This Row],[Iout]])/Fsw,(Vout+(Rdson3+Rdcr)*Table1[[#This Row],[Iin]]-Table1[[#This Row],[Vin]])/(Vout+(Rdson3-Rdson4-Rs)*Table1[[#This Row],[Iin]])/Fsw,t1_Ph_II))</f>
        <v>7.5017800834096219E-7</v>
      </c>
      <c r="N191" s="602">
        <f>CHOOSE(Table1[[#This Row],[Mode Digit]],1/Fsw-Table1[[#This Row],[t1_Ph_II]],1/Fsw-Table1[[#This Row],[t1_Ph_II]],(Vout/Fsw-Table1[[#This Row],[Vin]]*t1_Ph_II)/(Table1[[#This Row],[Vin]]+Vout))</f>
        <v>9.1648865832570447E-7</v>
      </c>
      <c r="O191" s="602">
        <f>1/Fsw-(Table1[[#This Row],[t1_Ph_II]]+Table1[[#This Row],[t2_Ph_I]])</f>
        <v>0</v>
      </c>
      <c r="P19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9.4226838880104058</v>
      </c>
      <c r="Q191" s="4">
        <f>CHOOSE(Table1[[#This Row],[Mode Digit]],Table1[[#This Row],[I_0]]+1/Lf*(Table1[[#This Row],[Vin]]-Vout)*Table1[[#This Row],[t1_Ph_II]],Table1[[#This Row],[I_0]]+1/Lf*Table1[[#This Row],[Vin]]*Table1[[#This Row],[t1_Ph_II]],Table1[[#This Row],[I_0]]+(Table1[[#This Row],[Vin]]-Vout)/L*Table1[[#This Row],[t1_Ph_II]])</f>
        <v>14.577316111989592</v>
      </c>
      <c r="R191" s="4">
        <f>CHOOSE(Table1[[#This Row],[Mode Digit]],0,0,Table1[[#This Row],[I_1]]+Table1[[#This Row],[Vin]]/L*Table1[[#This Row],[t2_Ph_I]])</f>
        <v>0</v>
      </c>
      <c r="S191" s="4">
        <f>Fsw*(Table1[[#This Row],[I_0]]*Table1[[#This Row],[t1_Ph_II]]+Table1[[#This Row],[I_1]]*Table1[[#This Row],[t2_Ph_I]]+Table1[[#This Row],[I_2]]*Table1[[#This Row],[t3_Ph_III]])</f>
        <v>12.257181070680682</v>
      </c>
      <c r="T191" s="354">
        <f>MIN(1,CHOOSE(Table1[[#This Row],[Mode Digit]],(Vout+(Rdson2+Rs+Rdcr)*Table1[[#This Row],[Iout]])/(Table1[[#This Row],[Vin]]+(Rs+Rdson2-Rdson1)*Table1[[#This Row],[Iout]]),1,Fsw*Table1[[#This Row],[t2_Ph_I]]+Table1[[#This Row],[t1_Ph_II]]))</f>
        <v>0.45010680500457734</v>
      </c>
      <c r="U191" s="354">
        <f>MIN(1,CHOOSE(Table1[[#This Row],[Mode Digit]],0,(Vout+(Rdson3+Rdcr)*Table1[[#This Row],[Iin]]-Table1[[#This Row],[Vin]])/(Vout+(Rdson3-Rdson4-Rs)*Table1[[#This Row],[Iin]]),Fsw*Table1[[#This Row],[t1_Ph_II]]+Table1[[#This Row],[t3_Ph_III]]))</f>
        <v>0</v>
      </c>
      <c r="V191" s="4">
        <f>MAX(Table1[[#This Row],[I_0]:[I_2]])-MIN(Table1[[#This Row],[I_0]:[I_1]])</f>
        <v>5.1546322239791866</v>
      </c>
      <c r="W19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12.091905809826134</v>
      </c>
      <c r="X191" s="354">
        <f>(Table1[[#This Row],[Irms Lf]]^2*Rdcr*(1+Ltc*Ta-Ltc*25))/(1-Table1[[#This Row],[Irms Lf]]^2*Rdcr*Ltc*ThetaCa)</f>
        <v>0.90976372790614879</v>
      </c>
      <c r="Y191" s="354">
        <f>ABS(7.759*10^-3*Fsw^0.9458*(0.00787*Table1[[#This Row],[Ripple Current pk-pk]])^2.304)</f>
        <v>1.406081365612009</v>
      </c>
      <c r="Z191" s="354">
        <f>Table1[[#This Row],[DCR    Loss]]+Table1[[#This Row],[Core Loss]]</f>
        <v>2.315845093518158</v>
      </c>
      <c r="AA191" s="4">
        <f>IF(Table1[[#This Row],[Vin]]&gt;Vout, Table1[[#This Row],[Ripple Current pk-pk]]/SQRT(12), SQRT(Table1[[#This Row],[Duty Cycle BOOST Leg]]/(1-Table1[[#This Row],[Duty Cycle BOOST Leg]]))*SQRT(Table1[[#This Row],[Iout]]^2+(Table1[[#This Row],[Ripple Current pk-pk]]^2)/12))</f>
        <v>1.4880141510439515</v>
      </c>
      <c r="AB191" s="354">
        <f>RCoutEsr*Table1[[#This Row],[Irms Cout]]^2</f>
        <v>1.1070930568535258E-2</v>
      </c>
      <c r="AC191" s="354">
        <f>Table1[[#This Row],[Cout ESR Loss]]</f>
        <v>1.1070930568535258E-2</v>
      </c>
      <c r="AD191" s="354">
        <f>IF(Table1[[#This Row],[Vin]]&gt;Vout, SQRT(Table1[[#This Row],[Duty Cycle BUCK Leg]]*(1-Table1[[#This Row],[Duty Cycle BUCK Leg]]))*SQRT(Table1[[#This Row],[Iout]]^2+(Table1[[#This Row],[Ripple Current pk-pk]]^2)/12), Table1[[#This Row],[Ripple Current pk-pk]]/SQRT(12))</f>
        <v>6.0157768439257957</v>
      </c>
      <c r="AE191" s="354">
        <f>RCinEsr*Table1[[#This Row],[Irms Cin]]^2</f>
        <v>7.2379142071827621E-2</v>
      </c>
      <c r="AF191" s="549">
        <f>Table1[[#This Row],[Cin ESR Loss]]</f>
        <v>7.2379142071827621E-2</v>
      </c>
      <c r="AG19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8.1124595627950775</v>
      </c>
      <c r="AH191" s="354">
        <f>Rdson1*Table1[[#This Row],[Irms BuCtrl]]^2</f>
        <v>0.27641040066353828</v>
      </c>
      <c r="AI191" s="354">
        <f>CHOOSE(Table1[[#This Row],[Mode Digit]], (Table1[[#This Row],[Vin]]*Table1[[#This Row],[Iout]]/2)*(Fsw)*(Tr_buck+Tf_buck), 0, (Table1[[#This Row],[Vin]]*Table1[[#This Row],[Avg IL]]/2)*(Fsw/1)*(Tr_buck+Tf_buck))</f>
        <v>3.8959422444938379</v>
      </c>
      <c r="AJ191">
        <f>IF(Table1[[#This Row],[Vin]]&gt;Vout, IF(Table1[[#This Row],[Iout]]&gt;Table1[[#This Row],[Ripple Current pk-pk]]/2,0,ABS(Table1[[#This Row],[Iout]]-Table1[[#This Row],[Ripple Current pk-pk]]/2)*Vsd_Q1*Deadtime*Fsw),0)</f>
        <v>0</v>
      </c>
      <c r="AK191" s="354">
        <f>(Table1[[#This Row],[Dead Time Loss BuCtrl]]+Table1[[#This Row],[Transition Loss BuCtrl]]+Table1[[#This Row],[RDS(on) Loss BuCtrl]]*(1+RdsonTopTc*Ta-RdsonTopTc*25))/(1-Table1[[#This Row],[RDS(on) Loss BuCtrl]]*RdsonTopTc*ThetaJA_Q1)</f>
        <v>4.4688065514041266</v>
      </c>
      <c r="AL191" s="354">
        <f>CHOOSE(Table1[[#This Row],[Mode Digit]],SQRT((Fsw*(Table1[[#This Row],[t2_Ph_I]]+0))*((Table1[[#This Row],[I_0]]*Table1[[#This Row],[I_1]]+((Table1[[#This Row],[I_0]]-Table1[[#This Row],[I_1]])^2)/3))),0,SQRT((Fsw*(Table1[[#This Row],[t3_Ph_III]]+0))*((Table1[[#This Row],[I_0]]*Table1[[#This Row],[I_2]]+((Table1[[#This Row],[I_0]]-Table1[[#This Row],[I_2]])^2)/3))))</f>
        <v>8.9667266020394383</v>
      </c>
      <c r="AM191" s="354">
        <f>Rdson2*Table1[[#This Row],[Irms BuSync]]^2</f>
        <v>0.33768918101403134</v>
      </c>
      <c r="AN19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1" s="354">
        <f>(Table1[[#This Row],[Deadtime Loss BuSync]]+Table1[[#This Row],[RDS(on) Loss BuSync]]*(1+RdsonBotTc*Ta-RdsonBotTc*25))/(1-Table1[[#This Row],[RDS(on) Loss BuSync]]*RdsonBotTc*ThetaJA_Q2)</f>
        <v>0.99576259046337701</v>
      </c>
      <c r="AP191" s="354">
        <f>CHOOSE(Table1[[#This Row],[Mode Digit]],0,SQRT((Fsw*(Table1[[#This Row],[t1_Ph_II]]+0))*((Table1[[#This Row],[I_0]]*Table1[[#This Row],[I_1]]+((Table1[[#This Row],[I_0]]-Table1[[#This Row],[I_1]])^2)/3))),SQRT((Fsw*(Table1[[#This Row],[t2_Ph_I]]+0))*((Table1[[#This Row],[I_1]]*Table1[[#This Row],[I_2]]+((Table1[[#This Row],[I_1]]-Table1[[#This Row],[I_2]])^2)/3))))</f>
        <v>0</v>
      </c>
      <c r="AQ191" s="354">
        <f>Rdson4*Table1[[#This Row],[Irms BoCtlr]]^2</f>
        <v>0</v>
      </c>
      <c r="AR191" s="354">
        <f>CHOOSE(Table1[[#This Row],[Mode Digit]], 0, (Vout*Table1[[#This Row],[Iin]]/2)*(Fsw)*(Tr_boost+Tf_boost), (Vout*Iout/2)*(Fsw/1)*(Tr_boost+Tf_boost))</f>
        <v>0</v>
      </c>
      <c r="AS191">
        <f>IF(Table1[[#This Row],[Vin]]&gt;Vout, 0, IF(Table1[[#This Row],[Iin]]&gt;Table1[[#This Row],[Ripple Current pk-pk]]/2,0,ABS(Table1[[#This Row],[Iin]]-Table1[[#This Row],[Ripple Current pk-pk]]/2)*Vsd_Q4*Deadtime*Fsw))</f>
        <v>0</v>
      </c>
      <c r="AT191" s="354">
        <f>(Table1[[#This Row],[Dead Time Loss BoCtlr]]+Table1[[#This Row],[Transition Loss BoCtlr]]+Table1[[#This Row],[RDS(on) Loss BoCtlr]]*(1+RdsonTopTc*Ta-RdsonTopTc*25))/(1-Table1[[#This Row],[RDS(on) Loss BoCtlr]]*RdsonTopTc*ThetaJA_Q4)</f>
        <v>0</v>
      </c>
      <c r="AU19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12.091905809826134</v>
      </c>
      <c r="AV191" s="354">
        <f>Rdson3*Table1[[#This Row],[Irms BoSync]]^2</f>
        <v>0.61409958167756951</v>
      </c>
      <c r="AW19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1" s="354">
        <f>(Table1[[#This Row],[Deadtime Loss BoSync]]+Table1[[#This Row],[RDS(on) Loss BoSync]]*(1+RdsonBotTc*Ta-RdsonBotTc*25))/(1-Table1[[#This Row],[RDS(on) Loss BoSync]]*RdsonBotTc*ThetaJA_Q3)</f>
        <v>0.72025332549004506</v>
      </c>
      <c r="AY191" s="354">
        <f>CHOOSE(Table1[[#This Row],[Mode Digit]], Rdson3*Table1[[#This Row],[Irms Lf]]^2, Rdson1*Table1[[#This Row],[Irms Lf]]^2, 0)</f>
        <v>0.61409958167756951</v>
      </c>
      <c r="AZ191" s="354">
        <f>CHOOSE(Table1[[#This Row],[Mode Digit]], 2*Deadtime*Fsw*IF(VfdSky_Q2&gt;0,VfdSky_Q2,0)*Table1[[#This Row],[Iout]], 2*Deadtime*Fsw*IF(VfdSky_Q3&gt;0,VfdSky_Q3,0)*Table1[[#This Row],[Iin]], 2*Deadtime*Fsw*IF(VfdSky_Q2&gt;0,VfdSky_Q2,0)*Table1[[#This Row],[Iout]]+2*Deadtime*Fsw*IF(VfdSky_Q3&gt;0,VfdSky_Q3,0)*Table1[[#This Row],[Iin]])</f>
        <v>0</v>
      </c>
      <c r="BA191" s="354">
        <f>CHOOSE(Table1[[#This Row],[Mode Digit]], IF(QrrSky_Q2&gt;0,QrrSky_Q2,Qrr_Q2)*Fsw*(Table1[[#This Row],[Vin]]-Table1[[#This Row],[Iout]]*Rdson1),0,  IF(QrrSky_Q2&gt;0,QrrSky_Q2,Qrr_Q2)*Fsw*(Table1[[#This Row],[Vin]]-Table1[[#This Row],[Iout]]*Rdson1)+IF(QrrSky_Q3&gt;0,QrrSky_Q3,Qrr_Q3)*Fsw*Vout)</f>
        <v>0.39227519999999999</v>
      </c>
      <c r="BB191" s="354">
        <f>CHOOSE(Table1[[#This Row],[Mode Digit]],0, IF(QrrSky_Q3&gt;0,QrrSky_Q3,Qrr_Q3)*Fsw*Vout,  IF(QrrSky_Q2&gt;0,QrrSky_Q2,Qrr_Q2)*Fsw*(Table1[[#This Row],[Vin]]-Table1[[#This Row],[Iout]]*Rdson1)+IF(QrrSky_Q3&gt;0,QrrSky_Q3,Qrr_Q3)*Fsw*Vout)</f>
        <v>0</v>
      </c>
      <c r="BC191" s="354">
        <f>CHOOSE(Table1[[#This Row],[Mode Digit]], Rs*Table1[[#This Row],[Irms BuSync]]^2, Rs*Table1[[#This Row],[Irms BoCtlr]]^2, Rs*(Table1[[#This Row],[Irms BuSync]]^2+Table1[[#This Row],[Irms BoCtlr]]^2))</f>
        <v>0.20100546488930435</v>
      </c>
      <c r="BD191" s="354">
        <f t="shared" si="8"/>
        <v>1.44</v>
      </c>
      <c r="BE191" s="354">
        <f>IF(Vout&gt;8, Iq*Vout, Iq*Table1[[#This Row],[Vin]])</f>
        <v>4.3799999999999999E-2</v>
      </c>
      <c r="BF191" s="354">
        <f>CHOOSE(Table1[[#This Row],[Mode Digit]], (Qg_Q1+Qg_Q2)*Fsw, (Qg_Q3+Qg_Q4)*Fsw, (Qg_Q1+Qg_Q2+Qg_Q3+Qg_Q4)*Fsw)*IF(Vout&gt;8, Vout, Table1[[#This Row],[Vin]])</f>
        <v>0.47303999999999996</v>
      </c>
      <c r="BG191" s="354">
        <f t="shared" si="9"/>
        <v>0.57269042016806726</v>
      </c>
      <c r="BH191" s="354">
        <f>Table1[[#This Row],[IQ Loss]]+Table1[[#This Row],[Switching Current Loss]]</f>
        <v>0.51683999999999997</v>
      </c>
      <c r="BI19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11.134238298405373</v>
      </c>
      <c r="BJ191">
        <f>Vout*Table1[[#This Row],[Iout]]</f>
        <v>175.2</v>
      </c>
      <c r="BK191" s="550">
        <f>Table1[[#This Row],[Pout]]/(Table1[[#This Row],[Pout]]+Table1[[#This Row],[Total Loss]])</f>
        <v>0.94024588073516358</v>
      </c>
      <c r="BL19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268.12839308424759</v>
      </c>
      <c r="BM191" s="559">
        <f>IF(Table1[[#This Row],[Vin]]&gt;Vout, Table1[[#This Row],[Total Sync Bu MOSFET Loss]]*ThetaJA_Q2, ThetaJA_Q3*Table1[[#This Row],[Total Sync Bo MOSFET Loss]])</f>
        <v>59.745755427802621</v>
      </c>
      <c r="BN191" s="9"/>
      <c r="BO191" s="4">
        <f>Table1[[#This Row],[EFF, h]]*100</f>
        <v>94.024588073516355</v>
      </c>
      <c r="BP191" s="354">
        <f>Table1[[#This Row],[Total Inductor Loss]]</f>
        <v>2.315845093518158</v>
      </c>
      <c r="BQ191" s="354">
        <f>Table1[[#This Row],[Total Control Bu MOSFET Loss]]+Table1[[#This Row],[Total Sync Bu MOSFET Loss]]+Table1[[#This Row],[Total Control Bo MOSFET Loss]]+Table1[[#This Row],[Total Sync Bo MOSFET Loss]]+Table1[[#This Row],[Reverse Recovery Loss MOSFET D BUCK]]+Table1[[#This Row],[Reverse Recovery Loss MOSFET D BOOST]]</f>
        <v>6.577097667357549</v>
      </c>
      <c r="BR191" s="354">
        <f>Table1[[#This Row],[Total Control Bu MOSFET Loss]]+Table1[[#This Row],[Reverse Recovery Loss MOSFET D BUCK]]*0.66</f>
        <v>4.7277081834041264</v>
      </c>
      <c r="BS191" s="354">
        <f>Table1[[#This Row],[Total Sync Bu MOSFET Loss]]+Table1[[#This Row],[Reverse Recovery Loss MOSFET D BUCK]]*0.33</f>
        <v>1.125213406463377</v>
      </c>
      <c r="BT191" s="354">
        <f xml:space="preserve"> Table1[[#This Row],[Total Control Bo MOSFET Loss]]+Table1[[#This Row],[Reverse Recovery Loss MOSFET D BOOST]]*0.66</f>
        <v>0</v>
      </c>
      <c r="BU191" s="354">
        <f xml:space="preserve"> Table1[[#This Row],[Total Sync Bo MOSFET Loss]]+Table1[[#This Row],[Reverse Recovery Loss MOSFET D BOOST]]*0.33</f>
        <v>0.72025332549004506</v>
      </c>
      <c r="BV191" s="354">
        <f>Table1[[#This Row],[Isense Shunt Loss]]</f>
        <v>0.20100546488930435</v>
      </c>
    </row>
    <row r="192" spans="7:74" x14ac:dyDescent="0.2">
      <c r="G192">
        <v>183</v>
      </c>
      <c r="H192" s="555">
        <f>VIN_min+(VIN_max-VIN_min)*(Table1[[#This Row],[Step]]/200)</f>
        <v>32.81</v>
      </c>
      <c r="I192" s="4" t="str">
        <f>IF(Mode = 2,IF(Table1[[#This Row],[Vin]]&gt;Vout, "BUCK","BOOST"),IF(Table1[[#This Row],[Vin]]&gt;VIN_BB_to_buck, "BUCK", IF(Table1[[#This Row],[Vin]]&lt;=VIN_boost_to_BB,"BOOST","BUCK-BST")))</f>
        <v>BUCK</v>
      </c>
      <c r="J192">
        <f>IF(Table1[[#This Row],[Mode]]="BOOST",2, IF(Table1[[#This Row],[Mode]]="BUCK", 1,3))</f>
        <v>1</v>
      </c>
      <c r="K192">
        <f t="shared" si="7"/>
        <v>12</v>
      </c>
      <c r="L192" s="4">
        <f>Vout*Table1[[#This Row],[Iout]]/(Table1[[#This Row],[Vin]]*Efficiency)</f>
        <v>5.620879385296524</v>
      </c>
      <c r="M192" s="711">
        <f>MIN(1/Fsw,CHOOSE(Table1[[#This Row],[Mode Digit]],(Vout+(Rdson2+Rs+Rdcr)*Table1[[#This Row],[Iout]])/(Table1[[#This Row],[Vin]]+(Rs+Rdson2-Rdson1)*Table1[[#This Row],[Iout]])/Fsw,(Vout+(Rdson3+Rdcr)*Table1[[#This Row],[Iin]]-Table1[[#This Row],[Vin]])/(Vout+(Rdson3-Rdson4-Rs)*Table1[[#This Row],[Iin]])/Fsw,t1_Ph_II))</f>
        <v>7.4857896873731218E-7</v>
      </c>
      <c r="N192" s="602">
        <f>CHOOSE(Table1[[#This Row],[Mode Digit]],1/Fsw-Table1[[#This Row],[t1_Ph_II]],1/Fsw-Table1[[#This Row],[t1_Ph_II]],(Vout/Fsw-Table1[[#This Row],[Vin]]*t1_Ph_II)/(Table1[[#This Row],[Vin]]+Vout))</f>
        <v>9.1808769792935449E-7</v>
      </c>
      <c r="O192" s="602">
        <f>1/Fsw-(Table1[[#This Row],[t1_Ph_II]]+Table1[[#This Row],[t2_Ph_I]])</f>
        <v>0</v>
      </c>
      <c r="P19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9.4182532157752927</v>
      </c>
      <c r="Q192" s="4">
        <f>CHOOSE(Table1[[#This Row],[Mode Digit]],Table1[[#This Row],[I_0]]+1/Lf*(Table1[[#This Row],[Vin]]-Vout)*Table1[[#This Row],[t1_Ph_II]],Table1[[#This Row],[I_0]]+1/Lf*Table1[[#This Row],[Vin]]*Table1[[#This Row],[t1_Ph_II]],Table1[[#This Row],[I_0]]+(Table1[[#This Row],[Vin]]-Vout)/L*Table1[[#This Row],[t1_Ph_II]])</f>
        <v>14.581746784224709</v>
      </c>
      <c r="R192" s="4">
        <f>CHOOSE(Table1[[#This Row],[Mode Digit]],0,0,Table1[[#This Row],[I_1]]+Table1[[#This Row],[Vin]]/L*Table1[[#This Row],[t2_Ph_I]])</f>
        <v>0</v>
      </c>
      <c r="S192" s="4">
        <f>Fsw*(Table1[[#This Row],[I_0]]*Table1[[#This Row],[t1_Ph_II]]+Table1[[#This Row],[I_1]]*Table1[[#This Row],[t2_Ph_I]]+Table1[[#This Row],[I_2]]*Table1[[#This Row],[t3_Ph_III]])</f>
        <v>12.262577169893744</v>
      </c>
      <c r="T192" s="354">
        <f>MIN(1,CHOOSE(Table1[[#This Row],[Mode Digit]],(Vout+(Rdson2+Rs+Rdcr)*Table1[[#This Row],[Iout]])/(Table1[[#This Row],[Vin]]+(Rs+Rdson2-Rdson1)*Table1[[#This Row],[Iout]]),1,Fsw*Table1[[#This Row],[t2_Ph_I]]+Table1[[#This Row],[t1_Ph_II]]))</f>
        <v>0.44914738124238729</v>
      </c>
      <c r="U192" s="354">
        <f>MIN(1,CHOOSE(Table1[[#This Row],[Mode Digit]],0,(Vout+(Rdson3+Rdcr)*Table1[[#This Row],[Iin]]-Table1[[#This Row],[Vin]])/(Vout+(Rdson3-Rdson4-Rs)*Table1[[#This Row],[Iin]]),Fsw*Table1[[#This Row],[t1_Ph_II]]+Table1[[#This Row],[t3_Ph_III]]))</f>
        <v>0</v>
      </c>
      <c r="V192" s="4">
        <f>MAX(Table1[[#This Row],[I_0]:[I_2]])-MIN(Table1[[#This Row],[I_0]:[I_1]])</f>
        <v>5.1634935684494163</v>
      </c>
      <c r="W19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12.092220866571681</v>
      </c>
      <c r="X192" s="354">
        <f>(Table1[[#This Row],[Irms Lf]]^2*Rdcr*(1+Ltc*Ta-Ltc*25))/(1-Table1[[#This Row],[Irms Lf]]^2*Rdcr*Ltc*ThetaCa)</f>
        <v>0.90981458728573361</v>
      </c>
      <c r="Y192" s="354">
        <f>ABS(7.759*10^-3*Fsw^0.9458*(0.00787*Table1[[#This Row],[Ripple Current pk-pk]])^2.304)</f>
        <v>1.4116568352576986</v>
      </c>
      <c r="Z192" s="354">
        <f>Table1[[#This Row],[DCR    Loss]]+Table1[[#This Row],[Core Loss]]</f>
        <v>2.3214714225434321</v>
      </c>
      <c r="AA192" s="4">
        <f>IF(Table1[[#This Row],[Vin]]&gt;Vout, Table1[[#This Row],[Ripple Current pk-pk]]/SQRT(12), SQRT(Table1[[#This Row],[Duty Cycle BOOST Leg]]/(1-Table1[[#This Row],[Duty Cycle BOOST Leg]]))*SQRT(Table1[[#This Row],[Iout]]^2+(Table1[[#This Row],[Ripple Current pk-pk]]^2)/12))</f>
        <v>1.490572200851586</v>
      </c>
      <c r="AB192" s="354">
        <f>RCoutEsr*Table1[[#This Row],[Irms Cout]]^2</f>
        <v>1.1109027429757706E-2</v>
      </c>
      <c r="AC192" s="354">
        <f>Table1[[#This Row],[Cout ESR Loss]]</f>
        <v>1.1109027429757706E-2</v>
      </c>
      <c r="AD192" s="354">
        <f>IF(Table1[[#This Row],[Vin]]&gt;Vout, SQRT(Table1[[#This Row],[Duty Cycle BUCK Leg]]*(1-Table1[[#This Row],[Duty Cycle BUCK Leg]]))*SQRT(Table1[[#This Row],[Iout]]^2+(Table1[[#This Row],[Ripple Current pk-pk]]^2)/12), Table1[[#This Row],[Ripple Current pk-pk]]/SQRT(12))</f>
        <v>6.0147587994149641</v>
      </c>
      <c r="AE192" s="354">
        <f>RCinEsr*Table1[[#This Row],[Irms Cin]]^2</f>
        <v>7.2354646830279479E-2</v>
      </c>
      <c r="AF192" s="549">
        <f>Table1[[#This Row],[Cin ESR Loss]]</f>
        <v>7.2354646830279479E-2</v>
      </c>
      <c r="AG19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8.1040200526990844</v>
      </c>
      <c r="AH192" s="354">
        <f>Rdson1*Table1[[#This Row],[Irms BuCtrl]]^2</f>
        <v>0.27583559226110532</v>
      </c>
      <c r="AI192" s="354">
        <f>CHOOSE(Table1[[#This Row],[Mode Digit]], (Table1[[#This Row],[Vin]]*Table1[[#This Row],[Iout]]/2)*(Fsw)*(Tr_buck+Tf_buck), 0, (Table1[[#This Row],[Vin]]*Table1[[#This Row],[Avg IL]]/2)*(Fsw/1)*(Tr_buck+Tf_buck))</f>
        <v>3.9042719927258043</v>
      </c>
      <c r="AJ192">
        <f>IF(Table1[[#This Row],[Vin]]&gt;Vout, IF(Table1[[#This Row],[Iout]]&gt;Table1[[#This Row],[Ripple Current pk-pk]]/2,0,ABS(Table1[[#This Row],[Iout]]-Table1[[#This Row],[Ripple Current pk-pk]]/2)*Vsd_Q1*Deadtime*Fsw),0)</f>
        <v>0</v>
      </c>
      <c r="AK192" s="354">
        <f>(Table1[[#This Row],[Dead Time Loss BuCtrl]]+Table1[[#This Row],[Transition Loss BuCtrl]]+Table1[[#This Row],[RDS(on) Loss BuCtrl]]*(1+RdsonTopTc*Ta-RdsonTopTc*25))/(1-Table1[[#This Row],[RDS(on) Loss BuCtrl]]*RdsonTopTc*ThetaJA_Q1)</f>
        <v>4.4764510728871549</v>
      </c>
      <c r="AL192" s="354">
        <f>CHOOSE(Table1[[#This Row],[Mode Digit]],SQRT((Fsw*(Table1[[#This Row],[t2_Ph_I]]+0))*((Table1[[#This Row],[I_0]]*Table1[[#This Row],[I_1]]+((Table1[[#This Row],[I_0]]-Table1[[#This Row],[I_1]])^2)/3))),0,SQRT((Fsw*(Table1[[#This Row],[t3_Ph_III]]+0))*((Table1[[#This Row],[I_0]]*Table1[[#This Row],[I_2]]+((Table1[[#This Row],[I_0]]-Table1[[#This Row],[I_2]])^2)/3))))</f>
        <v>8.974779355026099</v>
      </c>
      <c r="AM192" s="354">
        <f>Rdson2*Table1[[#This Row],[Irms BuSync]]^2</f>
        <v>0.33829599077989131</v>
      </c>
      <c r="AN19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2" s="354">
        <f>(Table1[[#This Row],[Deadtime Loss BuSync]]+Table1[[#This Row],[RDS(on) Loss BuSync]]*(1+RdsonBotTc*Ta-RdsonBotTc*25))/(1-Table1[[#This Row],[RDS(on) Loss BuSync]]*RdsonBotTc*ThetaJA_Q2)</f>
        <v>0.99658085304921262</v>
      </c>
      <c r="AP192" s="354">
        <f>CHOOSE(Table1[[#This Row],[Mode Digit]],0,SQRT((Fsw*(Table1[[#This Row],[t1_Ph_II]]+0))*((Table1[[#This Row],[I_0]]*Table1[[#This Row],[I_1]]+((Table1[[#This Row],[I_0]]-Table1[[#This Row],[I_1]])^2)/3))),SQRT((Fsw*(Table1[[#This Row],[t2_Ph_I]]+0))*((Table1[[#This Row],[I_1]]*Table1[[#This Row],[I_2]]+((Table1[[#This Row],[I_1]]-Table1[[#This Row],[I_2]])^2)/3))))</f>
        <v>0</v>
      </c>
      <c r="AQ192" s="354">
        <f>Rdson4*Table1[[#This Row],[Irms BoCtlr]]^2</f>
        <v>0</v>
      </c>
      <c r="AR192" s="354">
        <f>CHOOSE(Table1[[#This Row],[Mode Digit]], 0, (Vout*Table1[[#This Row],[Iin]]/2)*(Fsw)*(Tr_boost+Tf_boost), (Vout*Iout/2)*(Fsw/1)*(Tr_boost+Tf_boost))</f>
        <v>0</v>
      </c>
      <c r="AS192">
        <f>IF(Table1[[#This Row],[Vin]]&gt;Vout, 0, IF(Table1[[#This Row],[Iin]]&gt;Table1[[#This Row],[Ripple Current pk-pk]]/2,0,ABS(Table1[[#This Row],[Iin]]-Table1[[#This Row],[Ripple Current pk-pk]]/2)*Vsd_Q4*Deadtime*Fsw))</f>
        <v>0</v>
      </c>
      <c r="AT192" s="354">
        <f>(Table1[[#This Row],[Dead Time Loss BoCtlr]]+Table1[[#This Row],[Transition Loss BoCtlr]]+Table1[[#This Row],[RDS(on) Loss BoCtlr]]*(1+RdsonTopTc*Ta-RdsonTopTc*25))/(1-Table1[[#This Row],[RDS(on) Loss BoCtlr]]*RdsonTopTc*ThetaJA_Q4)</f>
        <v>0</v>
      </c>
      <c r="AU19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12.092220866571681</v>
      </c>
      <c r="AV192" s="354">
        <f>Rdson3*Table1[[#This Row],[Irms BoSync]]^2</f>
        <v>0.6141315830409968</v>
      </c>
      <c r="AW19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2" s="354">
        <f>(Table1[[#This Row],[Deadtime Loss BoSync]]+Table1[[#This Row],[RDS(on) Loss BoSync]]*(1+RdsonBotTc*Ta-RdsonBotTc*25))/(1-Table1[[#This Row],[RDS(on) Loss BoSync]]*RdsonBotTc*ThetaJA_Q3)</f>
        <v>0.72029734704057957</v>
      </c>
      <c r="AY192" s="354">
        <f>CHOOSE(Table1[[#This Row],[Mode Digit]], Rdson3*Table1[[#This Row],[Irms Lf]]^2, Rdson1*Table1[[#This Row],[Irms Lf]]^2, 0)</f>
        <v>0.6141315830409968</v>
      </c>
      <c r="AZ192" s="354">
        <f>CHOOSE(Table1[[#This Row],[Mode Digit]], 2*Deadtime*Fsw*IF(VfdSky_Q2&gt;0,VfdSky_Q2,0)*Table1[[#This Row],[Iout]], 2*Deadtime*Fsw*IF(VfdSky_Q3&gt;0,VfdSky_Q3,0)*Table1[[#This Row],[Iin]], 2*Deadtime*Fsw*IF(VfdSky_Q2&gt;0,VfdSky_Q2,0)*Table1[[#This Row],[Iout]]+2*Deadtime*Fsw*IF(VfdSky_Q3&gt;0,VfdSky_Q3,0)*Table1[[#This Row],[Iin]])</f>
        <v>0</v>
      </c>
      <c r="BA192" s="354">
        <f>CHOOSE(Table1[[#This Row],[Mode Digit]], IF(QrrSky_Q2&gt;0,QrrSky_Q2,Qrr_Q2)*Fsw*(Table1[[#This Row],[Vin]]-Table1[[#This Row],[Iout]]*Rdson1),0,  IF(QrrSky_Q2&gt;0,QrrSky_Q2,Qrr_Q2)*Fsw*(Table1[[#This Row],[Vin]]-Table1[[#This Row],[Iout]]*Rdson1)+IF(QrrSky_Q3&gt;0,QrrSky_Q3,Qrr_Q3)*Fsw*Vout)</f>
        <v>0.3931152</v>
      </c>
      <c r="BB192" s="354">
        <f>CHOOSE(Table1[[#This Row],[Mode Digit]],0, IF(QrrSky_Q3&gt;0,QrrSky_Q3,Qrr_Q3)*Fsw*Vout,  IF(QrrSky_Q2&gt;0,QrrSky_Q2,Qrr_Q2)*Fsw*(Table1[[#This Row],[Vin]]-Table1[[#This Row],[Iout]]*Rdson1)+IF(QrrSky_Q3&gt;0,QrrSky_Q3,Qrr_Q3)*Fsw*Vout)</f>
        <v>0</v>
      </c>
      <c r="BC192" s="354">
        <f>CHOOSE(Table1[[#This Row],[Mode Digit]], Rs*Table1[[#This Row],[Irms BuSync]]^2, Rs*Table1[[#This Row],[Irms BoCtlr]]^2, Rs*(Table1[[#This Row],[Irms BuSync]]^2+Table1[[#This Row],[Irms BoCtlr]]^2))</f>
        <v>0.20136666117850671</v>
      </c>
      <c r="BD192" s="354">
        <f t="shared" si="8"/>
        <v>1.44</v>
      </c>
      <c r="BE192" s="354">
        <f>IF(Vout&gt;8, Iq*Vout, Iq*Table1[[#This Row],[Vin]])</f>
        <v>4.3799999999999999E-2</v>
      </c>
      <c r="BF192" s="354">
        <f>CHOOSE(Table1[[#This Row],[Mode Digit]], (Qg_Q1+Qg_Q2)*Fsw, (Qg_Q3+Qg_Q4)*Fsw, (Qg_Q1+Qg_Q2+Qg_Q3+Qg_Q4)*Fsw)*IF(Vout&gt;8, Vout, Table1[[#This Row],[Vin]])</f>
        <v>0.47303999999999996</v>
      </c>
      <c r="BG192" s="354">
        <f t="shared" si="9"/>
        <v>0.57269042016806726</v>
      </c>
      <c r="BH192" s="354">
        <f>Table1[[#This Row],[IQ Loss]]+Table1[[#This Row],[Switching Current Loss]]</f>
        <v>0.51683999999999997</v>
      </c>
      <c r="BI19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11.149586230958922</v>
      </c>
      <c r="BJ192">
        <f>Vout*Table1[[#This Row],[Iout]]</f>
        <v>175.2</v>
      </c>
      <c r="BK192" s="550">
        <f>Table1[[#This Row],[Pout]]/(Table1[[#This Row],[Pout]]+Table1[[#This Row],[Total Loss]])</f>
        <v>0.94016844117303111</v>
      </c>
      <c r="BL19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268.58706437322928</v>
      </c>
      <c r="BM192" s="559">
        <f>IF(Table1[[#This Row],[Vin]]&gt;Vout, Table1[[#This Row],[Total Sync Bu MOSFET Loss]]*ThetaJA_Q2, ThetaJA_Q3*Table1[[#This Row],[Total Sync Bo MOSFET Loss]])</f>
        <v>59.794851182952755</v>
      </c>
      <c r="BN192" s="9"/>
      <c r="BO192" s="4">
        <f>Table1[[#This Row],[EFF, h]]*100</f>
        <v>94.016844117303108</v>
      </c>
      <c r="BP192" s="354">
        <f>Table1[[#This Row],[Total Inductor Loss]]</f>
        <v>2.3214714225434321</v>
      </c>
      <c r="BQ192" s="354">
        <f>Table1[[#This Row],[Total Control Bu MOSFET Loss]]+Table1[[#This Row],[Total Sync Bu MOSFET Loss]]+Table1[[#This Row],[Total Control Bo MOSFET Loss]]+Table1[[#This Row],[Total Sync Bo MOSFET Loss]]+Table1[[#This Row],[Reverse Recovery Loss MOSFET D BUCK]]+Table1[[#This Row],[Reverse Recovery Loss MOSFET D BOOST]]</f>
        <v>6.5864444729769467</v>
      </c>
      <c r="BR192" s="354">
        <f>Table1[[#This Row],[Total Control Bu MOSFET Loss]]+Table1[[#This Row],[Reverse Recovery Loss MOSFET D BUCK]]*0.66</f>
        <v>4.7359071048871551</v>
      </c>
      <c r="BS192" s="354">
        <f>Table1[[#This Row],[Total Sync Bu MOSFET Loss]]+Table1[[#This Row],[Reverse Recovery Loss MOSFET D BUCK]]*0.33</f>
        <v>1.1263088690492127</v>
      </c>
      <c r="BT192" s="354">
        <f xml:space="preserve"> Table1[[#This Row],[Total Control Bo MOSFET Loss]]+Table1[[#This Row],[Reverse Recovery Loss MOSFET D BOOST]]*0.66</f>
        <v>0</v>
      </c>
      <c r="BU192" s="354">
        <f xml:space="preserve"> Table1[[#This Row],[Total Sync Bo MOSFET Loss]]+Table1[[#This Row],[Reverse Recovery Loss MOSFET D BOOST]]*0.33</f>
        <v>0.72029734704057957</v>
      </c>
      <c r="BV192" s="354">
        <f>Table1[[#This Row],[Isense Shunt Loss]]</f>
        <v>0.20136666117850671</v>
      </c>
    </row>
    <row r="193" spans="7:74" x14ac:dyDescent="0.2">
      <c r="G193">
        <v>184</v>
      </c>
      <c r="H193" s="555">
        <f>VIN_min+(VIN_max-VIN_min)*(Table1[[#This Row],[Step]]/200)</f>
        <v>32.880000000000003</v>
      </c>
      <c r="I193" s="4" t="str">
        <f>IF(Mode = 2,IF(Table1[[#This Row],[Vin]]&gt;Vout, "BUCK","BOOST"),IF(Table1[[#This Row],[Vin]]&gt;VIN_BB_to_buck, "BUCK", IF(Table1[[#This Row],[Vin]]&lt;=VIN_boost_to_BB,"BOOST","BUCK-BST")))</f>
        <v>BUCK</v>
      </c>
      <c r="J193">
        <f>IF(Table1[[#This Row],[Mode]]="BOOST",2, IF(Table1[[#This Row],[Mode]]="BUCK", 1,3))</f>
        <v>1</v>
      </c>
      <c r="K193">
        <f t="shared" si="7"/>
        <v>12</v>
      </c>
      <c r="L193" s="4">
        <f>Vout*Table1[[#This Row],[Iout]]/(Table1[[#This Row],[Vin]]*Efficiency)</f>
        <v>5.6089127929312328</v>
      </c>
      <c r="M193" s="711">
        <f>MIN(1/Fsw,CHOOSE(Table1[[#This Row],[Mode Digit]],(Vout+(Rdson2+Rs+Rdcr)*Table1[[#This Row],[Iout]])/(Table1[[#This Row],[Vin]]+(Rs+Rdson2-Rdson1)*Table1[[#This Row],[Iout]])/Fsw,(Vout+(Rdson3+Rdcr)*Table1[[#This Row],[Iin]]-Table1[[#This Row],[Vin]])/(Vout+(Rdson3-Rdson4-Rs)*Table1[[#This Row],[Iin]])/Fsw,t1_Ph_II))</f>
        <v>7.4698673148992189E-7</v>
      </c>
      <c r="N193" s="602">
        <f>CHOOSE(Table1[[#This Row],[Mode Digit]],1/Fsw-Table1[[#This Row],[t1_Ph_II]],1/Fsw-Table1[[#This Row],[t1_Ph_II]],(Vout/Fsw-Table1[[#This Row],[Vin]]*t1_Ph_II)/(Table1[[#This Row],[Vin]]+Vout))</f>
        <v>9.1967993517674477E-7</v>
      </c>
      <c r="O193" s="602">
        <f>1/Fsw-(Table1[[#This Row],[t1_Ph_II]]+Table1[[#This Row],[t2_Ph_I]])</f>
        <v>0</v>
      </c>
      <c r="P19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9.413841391735648</v>
      </c>
      <c r="Q193" s="4">
        <f>CHOOSE(Table1[[#This Row],[Mode Digit]],Table1[[#This Row],[I_0]]+1/Lf*(Table1[[#This Row],[Vin]]-Vout)*Table1[[#This Row],[t1_Ph_II]],Table1[[#This Row],[I_0]]+1/Lf*Table1[[#This Row],[Vin]]*Table1[[#This Row],[t1_Ph_II]],Table1[[#This Row],[I_0]]+(Table1[[#This Row],[Vin]]-Vout)/L*Table1[[#This Row],[t1_Ph_II]])</f>
        <v>14.58615860826435</v>
      </c>
      <c r="R193" s="4">
        <f>CHOOSE(Table1[[#This Row],[Mode Digit]],0,0,Table1[[#This Row],[I_1]]+Table1[[#This Row],[Vin]]/L*Table1[[#This Row],[t2_Ph_I]])</f>
        <v>0</v>
      </c>
      <c r="S193" s="4">
        <f>Fsw*(Table1[[#This Row],[I_0]]*Table1[[#This Row],[t1_Ph_II]]+Table1[[#This Row],[I_1]]*Table1[[#This Row],[t2_Ph_I]]+Table1[[#This Row],[I_2]]*Table1[[#This Row],[t3_Ph_III]])</f>
        <v>12.267967209182054</v>
      </c>
      <c r="T193" s="354">
        <f>MIN(1,CHOOSE(Table1[[#This Row],[Mode Digit]],(Vout+(Rdson2+Rs+Rdcr)*Table1[[#This Row],[Iout]])/(Table1[[#This Row],[Vin]]+(Rs+Rdson2-Rdson1)*Table1[[#This Row],[Iout]]),1,Fsw*Table1[[#This Row],[t2_Ph_I]]+Table1[[#This Row],[t1_Ph_II]]))</f>
        <v>0.44819203889395315</v>
      </c>
      <c r="U193" s="354">
        <f>MIN(1,CHOOSE(Table1[[#This Row],[Mode Digit]],0,(Vout+(Rdson3+Rdcr)*Table1[[#This Row],[Iin]]-Table1[[#This Row],[Vin]])/(Vout+(Rdson3-Rdson4-Rs)*Table1[[#This Row],[Iin]]),Fsw*Table1[[#This Row],[t1_Ph_II]]+Table1[[#This Row],[t3_Ph_III]]))</f>
        <v>0</v>
      </c>
      <c r="V193" s="4">
        <f>MAX(Table1[[#This Row],[I_0]:[I_2]])-MIN(Table1[[#This Row],[I_0]:[I_1]])</f>
        <v>5.1723172165287021</v>
      </c>
      <c r="W19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12.092535112582194</v>
      </c>
      <c r="X193" s="354">
        <f>(Table1[[#This Row],[Irms Lf]]^2*Rdcr*(1+Ltc*Ta-Ltc*25))/(1-Table1[[#This Row],[Irms Lf]]^2*Rdcr*Ltc*ThetaCa)</f>
        <v>0.90986531749329647</v>
      </c>
      <c r="Y193" s="354">
        <f>ABS(7.759*10^-3*Fsw^0.9458*(0.00787*Table1[[#This Row],[Ripple Current pk-pk]])^2.304)</f>
        <v>1.4172209982203678</v>
      </c>
      <c r="Z193" s="354">
        <f>Table1[[#This Row],[DCR    Loss]]+Table1[[#This Row],[Core Loss]]</f>
        <v>2.3270863157136645</v>
      </c>
      <c r="AA193" s="4">
        <f>IF(Table1[[#This Row],[Vin]]&gt;Vout, Table1[[#This Row],[Ripple Current pk-pk]]/SQRT(12), SQRT(Table1[[#This Row],[Duty Cycle BOOST Leg]]/(1-Table1[[#This Row],[Duty Cycle BOOST Leg]]))*SQRT(Table1[[#This Row],[Iout]]^2+(Table1[[#This Row],[Ripple Current pk-pk]]^2)/12))</f>
        <v>1.4931193686484912</v>
      </c>
      <c r="AB193" s="354">
        <f>RCoutEsr*Table1[[#This Row],[Irms Cout]]^2</f>
        <v>1.1147027245166344E-2</v>
      </c>
      <c r="AC193" s="354">
        <f>Table1[[#This Row],[Cout ESR Loss]]</f>
        <v>1.1147027245166344E-2</v>
      </c>
      <c r="AD193" s="354">
        <f>IF(Table1[[#This Row],[Vin]]&gt;Vout, SQRT(Table1[[#This Row],[Duty Cycle BUCK Leg]]*(1-Table1[[#This Row],[Duty Cycle BUCK Leg]]))*SQRT(Table1[[#This Row],[Iout]]^2+(Table1[[#This Row],[Ripple Current pk-pk]]^2)/12), Table1[[#This Row],[Ripple Current pk-pk]]/SQRT(12))</f>
        <v>6.0137228201340358</v>
      </c>
      <c r="AE193" s="354">
        <f>RCinEsr*Table1[[#This Row],[Irms Cin]]^2</f>
        <v>7.2329724314801724E-2</v>
      </c>
      <c r="AF193" s="549">
        <f>Table1[[#This Row],[Cin ESR Loss]]</f>
        <v>7.2329724314801724E-2</v>
      </c>
      <c r="AG19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8.0956071652750516</v>
      </c>
      <c r="AH193" s="354">
        <f>Rdson1*Table1[[#This Row],[Irms BuCtrl]]^2</f>
        <v>0.2752631925727016</v>
      </c>
      <c r="AI193" s="354">
        <f>CHOOSE(Table1[[#This Row],[Mode Digit]], (Table1[[#This Row],[Vin]]*Table1[[#This Row],[Iout]]/2)*(Fsw)*(Tr_buck+Tf_buck), 0, (Table1[[#This Row],[Vin]]*Table1[[#This Row],[Avg IL]]/2)*(Fsw/1)*(Tr_buck+Tf_buck))</f>
        <v>3.9126017409577702</v>
      </c>
      <c r="AJ193">
        <f>IF(Table1[[#This Row],[Vin]]&gt;Vout, IF(Table1[[#This Row],[Iout]]&gt;Table1[[#This Row],[Ripple Current pk-pk]]/2,0,ABS(Table1[[#This Row],[Iout]]-Table1[[#This Row],[Ripple Current pk-pk]]/2)*Vsd_Q1*Deadtime*Fsw),0)</f>
        <v>0</v>
      </c>
      <c r="AK193" s="354">
        <f>(Table1[[#This Row],[Dead Time Loss BuCtrl]]+Table1[[#This Row],[Transition Loss BuCtrl]]+Table1[[#This Row],[RDS(on) Loss BuCtrl]]*(1+RdsonTopTc*Ta-RdsonTopTc*25))/(1-Table1[[#This Row],[RDS(on) Loss BuCtrl]]*RdsonTopTc*ThetaJA_Q1)</f>
        <v>4.48409869066748</v>
      </c>
      <c r="AL193" s="354">
        <f>CHOOSE(Table1[[#This Row],[Mode Digit]],SQRT((Fsw*(Table1[[#This Row],[t2_Ph_I]]+0))*((Table1[[#This Row],[I_0]]*Table1[[#This Row],[I_1]]+((Table1[[#This Row],[I_0]]-Table1[[#This Row],[I_1]])^2)/3))),0,SQRT((Fsw*(Table1[[#This Row],[t3_Ph_III]]+0))*((Table1[[#This Row],[I_0]]*Table1[[#This Row],[I_2]]+((Table1[[#This Row],[I_0]]-Table1[[#This Row],[I_2]])^2)/3))))</f>
        <v>8.9827918864115119</v>
      </c>
      <c r="AM193" s="354">
        <f>Rdson2*Table1[[#This Row],[Irms BuSync]]^2</f>
        <v>0.33890031031323808</v>
      </c>
      <c r="AN19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3" s="354">
        <f>(Table1[[#This Row],[Deadtime Loss BuSync]]+Table1[[#This Row],[RDS(on) Loss BuSync]]*(1+RdsonBotTc*Ta-RdsonBotTc*25))/(1-Table1[[#This Row],[RDS(on) Loss BuSync]]*RdsonBotTc*ThetaJA_Q2)</f>
        <v>0.9973960154810807</v>
      </c>
      <c r="AP193" s="354">
        <f>CHOOSE(Table1[[#This Row],[Mode Digit]],0,SQRT((Fsw*(Table1[[#This Row],[t1_Ph_II]]+0))*((Table1[[#This Row],[I_0]]*Table1[[#This Row],[I_1]]+((Table1[[#This Row],[I_0]]-Table1[[#This Row],[I_1]])^2)/3))),SQRT((Fsw*(Table1[[#This Row],[t2_Ph_I]]+0))*((Table1[[#This Row],[I_1]]*Table1[[#This Row],[I_2]]+((Table1[[#This Row],[I_1]]-Table1[[#This Row],[I_2]])^2)/3))))</f>
        <v>0</v>
      </c>
      <c r="AQ193" s="354">
        <f>Rdson4*Table1[[#This Row],[Irms BoCtlr]]^2</f>
        <v>0</v>
      </c>
      <c r="AR193" s="354">
        <f>CHOOSE(Table1[[#This Row],[Mode Digit]], 0, (Vout*Table1[[#This Row],[Iin]]/2)*(Fsw)*(Tr_boost+Tf_boost), (Vout*Iout/2)*(Fsw/1)*(Tr_boost+Tf_boost))</f>
        <v>0</v>
      </c>
      <c r="AS193">
        <f>IF(Table1[[#This Row],[Vin]]&gt;Vout, 0, IF(Table1[[#This Row],[Iin]]&gt;Table1[[#This Row],[Ripple Current pk-pk]]/2,0,ABS(Table1[[#This Row],[Iin]]-Table1[[#This Row],[Ripple Current pk-pk]]/2)*Vsd_Q4*Deadtime*Fsw))</f>
        <v>0</v>
      </c>
      <c r="AT193" s="354">
        <f>(Table1[[#This Row],[Dead Time Loss BoCtlr]]+Table1[[#This Row],[Transition Loss BoCtlr]]+Table1[[#This Row],[RDS(on) Loss BoCtlr]]*(1+RdsonTopTc*Ta-RdsonTopTc*25))/(1-Table1[[#This Row],[RDS(on) Loss BoCtlr]]*RdsonTopTc*ThetaJA_Q4)</f>
        <v>0</v>
      </c>
      <c r="AU19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12.092535112582194</v>
      </c>
      <c r="AV193" s="354">
        <f>Rdson3*Table1[[#This Row],[Irms BoSync]]^2</f>
        <v>0.61416350288593979</v>
      </c>
      <c r="AW19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3" s="354">
        <f>(Table1[[#This Row],[Deadtime Loss BoSync]]+Table1[[#This Row],[RDS(on) Loss BoSync]]*(1+RdsonBotTc*Ta-RdsonBotTc*25))/(1-Table1[[#This Row],[RDS(on) Loss BoSync]]*RdsonBotTc*ThetaJA_Q3)</f>
        <v>0.72034125724315157</v>
      </c>
      <c r="AY193" s="354">
        <f>CHOOSE(Table1[[#This Row],[Mode Digit]], Rdson3*Table1[[#This Row],[Irms Lf]]^2, Rdson1*Table1[[#This Row],[Irms Lf]]^2, 0)</f>
        <v>0.61416350288593979</v>
      </c>
      <c r="AZ193" s="354">
        <f>CHOOSE(Table1[[#This Row],[Mode Digit]], 2*Deadtime*Fsw*IF(VfdSky_Q2&gt;0,VfdSky_Q2,0)*Table1[[#This Row],[Iout]], 2*Deadtime*Fsw*IF(VfdSky_Q3&gt;0,VfdSky_Q3,0)*Table1[[#This Row],[Iin]], 2*Deadtime*Fsw*IF(VfdSky_Q2&gt;0,VfdSky_Q2,0)*Table1[[#This Row],[Iout]]+2*Deadtime*Fsw*IF(VfdSky_Q3&gt;0,VfdSky_Q3,0)*Table1[[#This Row],[Iin]])</f>
        <v>0</v>
      </c>
      <c r="BA193" s="354">
        <f>CHOOSE(Table1[[#This Row],[Mode Digit]], IF(QrrSky_Q2&gt;0,QrrSky_Q2,Qrr_Q2)*Fsw*(Table1[[#This Row],[Vin]]-Table1[[#This Row],[Iout]]*Rdson1),0,  IF(QrrSky_Q2&gt;0,QrrSky_Q2,Qrr_Q2)*Fsw*(Table1[[#This Row],[Vin]]-Table1[[#This Row],[Iout]]*Rdson1)+IF(QrrSky_Q3&gt;0,QrrSky_Q3,Qrr_Q3)*Fsw*Vout)</f>
        <v>0.39395520000000001</v>
      </c>
      <c r="BB193" s="354">
        <f>CHOOSE(Table1[[#This Row],[Mode Digit]],0, IF(QrrSky_Q3&gt;0,QrrSky_Q3,Qrr_Q3)*Fsw*Vout,  IF(QrrSky_Q2&gt;0,QrrSky_Q2,Qrr_Q2)*Fsw*(Table1[[#This Row],[Vin]]-Table1[[#This Row],[Iout]]*Rdson1)+IF(QrrSky_Q3&gt;0,QrrSky_Q3,Qrr_Q3)*Fsw*Vout)</f>
        <v>0</v>
      </c>
      <c r="BC193" s="354">
        <f>CHOOSE(Table1[[#This Row],[Mode Digit]], Rs*Table1[[#This Row],[Irms BuSync]]^2, Rs*Table1[[#This Row],[Irms BoCtlr]]^2, Rs*(Table1[[#This Row],[Irms BuSync]]^2+Table1[[#This Row],[Irms BoCtlr]]^2))</f>
        <v>0.20172637518645123</v>
      </c>
      <c r="BD193" s="354">
        <f t="shared" si="8"/>
        <v>1.44</v>
      </c>
      <c r="BE193" s="354">
        <f>IF(Vout&gt;8, Iq*Vout, Iq*Table1[[#This Row],[Vin]])</f>
        <v>4.3799999999999999E-2</v>
      </c>
      <c r="BF193" s="354">
        <f>CHOOSE(Table1[[#This Row],[Mode Digit]], (Qg_Q1+Qg_Q2)*Fsw, (Qg_Q3+Qg_Q4)*Fsw, (Qg_Q1+Qg_Q2+Qg_Q3+Qg_Q4)*Fsw)*IF(Vout&gt;8, Vout, Table1[[#This Row],[Vin]])</f>
        <v>0.47303999999999996</v>
      </c>
      <c r="BG193" s="354">
        <f t="shared" si="9"/>
        <v>0.57269042016806726</v>
      </c>
      <c r="BH193" s="354">
        <f>Table1[[#This Row],[IQ Loss]]+Table1[[#This Row],[Switching Current Loss]]</f>
        <v>0.51683999999999997</v>
      </c>
      <c r="BI19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11.164920605851796</v>
      </c>
      <c r="BJ193">
        <f>Vout*Table1[[#This Row],[Iout]]</f>
        <v>175.2</v>
      </c>
      <c r="BK193" s="550">
        <f>Table1[[#This Row],[Pout]]/(Table1[[#This Row],[Pout]]+Table1[[#This Row],[Total Loss]])</f>
        <v>0.94009108275551068</v>
      </c>
      <c r="BL19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269.0459214400488</v>
      </c>
      <c r="BM193" s="559">
        <f>IF(Table1[[#This Row],[Vin]]&gt;Vout, Table1[[#This Row],[Total Sync Bu MOSFET Loss]]*ThetaJA_Q2, ThetaJA_Q3*Table1[[#This Row],[Total Sync Bo MOSFET Loss]])</f>
        <v>59.843760928864839</v>
      </c>
      <c r="BN193" s="9"/>
      <c r="BO193" s="4">
        <f>Table1[[#This Row],[EFF, h]]*100</f>
        <v>94.009108275551071</v>
      </c>
      <c r="BP193" s="354">
        <f>Table1[[#This Row],[Total Inductor Loss]]</f>
        <v>2.3270863157136645</v>
      </c>
      <c r="BQ193" s="354">
        <f>Table1[[#This Row],[Total Control Bu MOSFET Loss]]+Table1[[#This Row],[Total Sync Bu MOSFET Loss]]+Table1[[#This Row],[Total Control Bo MOSFET Loss]]+Table1[[#This Row],[Total Sync Bo MOSFET Loss]]+Table1[[#This Row],[Reverse Recovery Loss MOSFET D BUCK]]+Table1[[#This Row],[Reverse Recovery Loss MOSFET D BOOST]]</f>
        <v>6.5957911633917119</v>
      </c>
      <c r="BR193" s="354">
        <f>Table1[[#This Row],[Total Control Bu MOSFET Loss]]+Table1[[#This Row],[Reverse Recovery Loss MOSFET D BUCK]]*0.66</f>
        <v>4.7441091226674796</v>
      </c>
      <c r="BS193" s="354">
        <f>Table1[[#This Row],[Total Sync Bu MOSFET Loss]]+Table1[[#This Row],[Reverse Recovery Loss MOSFET D BUCK]]*0.33</f>
        <v>1.1274012314810806</v>
      </c>
      <c r="BT193" s="354">
        <f xml:space="preserve"> Table1[[#This Row],[Total Control Bo MOSFET Loss]]+Table1[[#This Row],[Reverse Recovery Loss MOSFET D BOOST]]*0.66</f>
        <v>0</v>
      </c>
      <c r="BU193" s="354">
        <f xml:space="preserve"> Table1[[#This Row],[Total Sync Bo MOSFET Loss]]+Table1[[#This Row],[Reverse Recovery Loss MOSFET D BOOST]]*0.33</f>
        <v>0.72034125724315157</v>
      </c>
      <c r="BV193" s="354">
        <f>Table1[[#This Row],[Isense Shunt Loss]]</f>
        <v>0.20172637518645123</v>
      </c>
    </row>
    <row r="194" spans="7:74" x14ac:dyDescent="0.2">
      <c r="G194">
        <v>185</v>
      </c>
      <c r="H194" s="555">
        <f>VIN_min+(VIN_max-VIN_min)*(Table1[[#This Row],[Step]]/200)</f>
        <v>32.950000000000003</v>
      </c>
      <c r="I194" s="4" t="str">
        <f>IF(Mode = 2,IF(Table1[[#This Row],[Vin]]&gt;Vout, "BUCK","BOOST"),IF(Table1[[#This Row],[Vin]]&gt;VIN_BB_to_buck, "BUCK", IF(Table1[[#This Row],[Vin]]&lt;=VIN_boost_to_BB,"BOOST","BUCK-BST")))</f>
        <v>BUCK</v>
      </c>
      <c r="J194">
        <f>IF(Table1[[#This Row],[Mode]]="BOOST",2, IF(Table1[[#This Row],[Mode]]="BUCK", 1,3))</f>
        <v>1</v>
      </c>
      <c r="K194">
        <f t="shared" si="7"/>
        <v>12</v>
      </c>
      <c r="L194" s="4">
        <f>Vout*Table1[[#This Row],[Iout]]/(Table1[[#This Row],[Vin]]*Efficiency)</f>
        <v>5.5969970449644588</v>
      </c>
      <c r="M194" s="711">
        <f>MIN(1/Fsw,CHOOSE(Table1[[#This Row],[Mode Digit]],(Vout+(Rdson2+Rs+Rdcr)*Table1[[#This Row],[Iout]])/(Table1[[#This Row],[Vin]]+(Rs+Rdson2-Rdson1)*Table1[[#This Row],[Iout]])/Fsw,(Vout+(Rdson3+Rdcr)*Table1[[#This Row],[Iin]]-Table1[[#This Row],[Vin]])/(Vout+(Rdson3-Rdson4-Rs)*Table1[[#This Row],[Iin]])/Fsw,t1_Ph_II))</f>
        <v>7.4540125328481905E-7</v>
      </c>
      <c r="N194" s="602">
        <f>CHOOSE(Table1[[#This Row],[Mode Digit]],1/Fsw-Table1[[#This Row],[t1_Ph_II]],1/Fsw-Table1[[#This Row],[t1_Ph_II]],(Vout/Fsw-Table1[[#This Row],[Vin]]*t1_Ph_II)/(Table1[[#This Row],[Vin]]+Vout))</f>
        <v>9.2126541338184761E-7</v>
      </c>
      <c r="O194" s="602">
        <f>1/Fsw-(Table1[[#This Row],[t1_Ph_II]]+Table1[[#This Row],[t2_Ph_I]])</f>
        <v>0</v>
      </c>
      <c r="P19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9.4094482958756771</v>
      </c>
      <c r="Q194" s="4">
        <f>CHOOSE(Table1[[#This Row],[Mode Digit]],Table1[[#This Row],[I_0]]+1/Lf*(Table1[[#This Row],[Vin]]-Vout)*Table1[[#This Row],[t1_Ph_II]],Table1[[#This Row],[I_0]]+1/Lf*Table1[[#This Row],[Vin]]*Table1[[#This Row],[t1_Ph_II]],Table1[[#This Row],[I_0]]+(Table1[[#This Row],[Vin]]-Vout)/L*Table1[[#This Row],[t1_Ph_II]])</f>
        <v>14.590551704124325</v>
      </c>
      <c r="R194" s="4">
        <f>CHOOSE(Table1[[#This Row],[Mode Digit]],0,0,Table1[[#This Row],[I_1]]+Table1[[#This Row],[Vin]]/L*Table1[[#This Row],[t2_Ph_I]])</f>
        <v>0</v>
      </c>
      <c r="S194" s="4">
        <f>Fsw*(Table1[[#This Row],[I_0]]*Table1[[#This Row],[t1_Ph_II]]+Table1[[#This Row],[I_1]]*Table1[[#This Row],[t2_Ph_I]]+Table1[[#This Row],[I_2]]*Table1[[#This Row],[t3_Ph_III]])</f>
        <v>12.273351119780251</v>
      </c>
      <c r="T194" s="354">
        <f>MIN(1,CHOOSE(Table1[[#This Row],[Mode Digit]],(Vout+(Rdson2+Rs+Rdcr)*Table1[[#This Row],[Iout]])/(Table1[[#This Row],[Vin]]+(Rs+Rdson2-Rdson1)*Table1[[#This Row],[Iout]]),1,Fsw*Table1[[#This Row],[t2_Ph_I]]+Table1[[#This Row],[t1_Ph_II]]))</f>
        <v>0.44724075197089141</v>
      </c>
      <c r="U194" s="354">
        <f>MIN(1,CHOOSE(Table1[[#This Row],[Mode Digit]],0,(Vout+(Rdson3+Rdcr)*Table1[[#This Row],[Iin]]-Table1[[#This Row],[Vin]])/(Vout+(Rdson3-Rdson4-Rs)*Table1[[#This Row],[Iin]]),Fsw*Table1[[#This Row],[t1_Ph_II]]+Table1[[#This Row],[t3_Ph_III]]))</f>
        <v>0</v>
      </c>
      <c r="V194" s="4">
        <f>MAX(Table1[[#This Row],[I_0]:[I_2]])-MIN(Table1[[#This Row],[I_0]:[I_1]])</f>
        <v>5.1811034082486476</v>
      </c>
      <c r="W19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12.092848549614512</v>
      </c>
      <c r="X194" s="354">
        <f>(Table1[[#This Row],[Irms Lf]]^2*Rdcr*(1+Ltc*Ta-Ltc*25))/(1-Table1[[#This Row],[Irms Lf]]^2*Rdcr*Ltc*ThetaCa)</f>
        <v>0.90991591879932687</v>
      </c>
      <c r="Y194" s="354">
        <f>ABS(7.759*10^-3*Fsw^0.9458*(0.00787*Table1[[#This Row],[Ripple Current pk-pk]])^2.304)</f>
        <v>1.42277385402208</v>
      </c>
      <c r="Z194" s="354">
        <f>Table1[[#This Row],[DCR    Loss]]+Table1[[#This Row],[Core Loss]]</f>
        <v>2.3326897728214071</v>
      </c>
      <c r="AA194" s="4">
        <f>IF(Table1[[#This Row],[Vin]]&gt;Vout, Table1[[#This Row],[Ripple Current pk-pk]]/SQRT(12), SQRT(Table1[[#This Row],[Duty Cycle BOOST Leg]]/(1-Table1[[#This Row],[Duty Cycle BOOST Leg]]))*SQRT(Table1[[#This Row],[Iout]]^2+(Table1[[#This Row],[Ripple Current pk-pk]]^2)/12))</f>
        <v>1.4956557237258221</v>
      </c>
      <c r="AB194" s="354">
        <f>RCoutEsr*Table1[[#This Row],[Irms Cout]]^2</f>
        <v>1.1184930219569065E-2</v>
      </c>
      <c r="AC194" s="354">
        <f>Table1[[#This Row],[Cout ESR Loss]]</f>
        <v>1.1184930219569065E-2</v>
      </c>
      <c r="AD194" s="354">
        <f>IF(Table1[[#This Row],[Vin]]&gt;Vout, SQRT(Table1[[#This Row],[Duty Cycle BUCK Leg]]*(1-Table1[[#This Row],[Duty Cycle BUCK Leg]]))*SQRT(Table1[[#This Row],[Iout]]^2+(Table1[[#This Row],[Ripple Current pk-pk]]^2)/12), Table1[[#This Row],[Ripple Current pk-pk]]/SQRT(12))</f>
        <v>6.0126691465921134</v>
      </c>
      <c r="AE194" s="354">
        <f>RCinEsr*Table1[[#This Row],[Irms Cin]]^2</f>
        <v>7.2304380532761475E-2</v>
      </c>
      <c r="AF194" s="549">
        <f>Table1[[#This Row],[Cin ESR Loss]]</f>
        <v>7.2304380532761475E-2</v>
      </c>
      <c r="AG19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8.0872207589651453</v>
      </c>
      <c r="AH194" s="354">
        <f>Rdson1*Table1[[#This Row],[Irms BuCtrl]]^2</f>
        <v>0.27469318633779455</v>
      </c>
      <c r="AI194" s="354">
        <f>CHOOSE(Table1[[#This Row],[Mode Digit]], (Table1[[#This Row],[Vin]]*Table1[[#This Row],[Iout]]/2)*(Fsw)*(Tr_buck+Tf_buck), 0, (Table1[[#This Row],[Vin]]*Table1[[#This Row],[Avg IL]]/2)*(Fsw/1)*(Tr_buck+Tf_buck))</f>
        <v>3.9209314891897367</v>
      </c>
      <c r="AJ194">
        <f>IF(Table1[[#This Row],[Vin]]&gt;Vout, IF(Table1[[#This Row],[Iout]]&gt;Table1[[#This Row],[Ripple Current pk-pk]]/2,0,ABS(Table1[[#This Row],[Iout]]-Table1[[#This Row],[Ripple Current pk-pk]]/2)*Vsd_Q1*Deadtime*Fsw),0)</f>
        <v>0</v>
      </c>
      <c r="AK194" s="354">
        <f>(Table1[[#This Row],[Dead Time Loss BuCtrl]]+Table1[[#This Row],[Transition Loss BuCtrl]]+Table1[[#This Row],[RDS(on) Loss BuCtrl]]*(1+RdsonTopTc*Ta-RdsonTopTc*25))/(1-Table1[[#This Row],[RDS(on) Loss BuCtrl]]*RdsonTopTc*ThetaJA_Q1)</f>
        <v>4.4917493836282523</v>
      </c>
      <c r="AL194" s="354">
        <f>CHOOSE(Table1[[#This Row],[Mode Digit]],SQRT((Fsw*(Table1[[#This Row],[t2_Ph_I]]+0))*((Table1[[#This Row],[I_0]]*Table1[[#This Row],[I_1]]+((Table1[[#This Row],[I_0]]-Table1[[#This Row],[I_1]])^2)/3))),0,SQRT((Fsw*(Table1[[#This Row],[t3_Ph_III]]+0))*((Table1[[#This Row],[I_0]]*Table1[[#This Row],[I_2]]+((Table1[[#This Row],[I_0]]-Table1[[#This Row],[I_2]])^2)/3))))</f>
        <v>8.9907645080758876</v>
      </c>
      <c r="AM194" s="354">
        <f>Rdson2*Table1[[#This Row],[Irms BuSync]]^2</f>
        <v>0.33950215504664372</v>
      </c>
      <c r="AN19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4" s="354">
        <f>(Table1[[#This Row],[Deadtime Loss BuSync]]+Table1[[#This Row],[RDS(on) Loss BuSync]]*(1+RdsonBotTc*Ta-RdsonBotTc*25))/(1-Table1[[#This Row],[RDS(on) Loss BuSync]]*RdsonBotTc*ThetaJA_Q2)</f>
        <v>0.99820809552592615</v>
      </c>
      <c r="AP194" s="354">
        <f>CHOOSE(Table1[[#This Row],[Mode Digit]],0,SQRT((Fsw*(Table1[[#This Row],[t1_Ph_II]]+0))*((Table1[[#This Row],[I_0]]*Table1[[#This Row],[I_1]]+((Table1[[#This Row],[I_0]]-Table1[[#This Row],[I_1]])^2)/3))),SQRT((Fsw*(Table1[[#This Row],[t2_Ph_I]]+0))*((Table1[[#This Row],[I_1]]*Table1[[#This Row],[I_2]]+((Table1[[#This Row],[I_1]]-Table1[[#This Row],[I_2]])^2)/3))))</f>
        <v>0</v>
      </c>
      <c r="AQ194" s="354">
        <f>Rdson4*Table1[[#This Row],[Irms BoCtlr]]^2</f>
        <v>0</v>
      </c>
      <c r="AR194" s="354">
        <f>CHOOSE(Table1[[#This Row],[Mode Digit]], 0, (Vout*Table1[[#This Row],[Iin]]/2)*(Fsw)*(Tr_boost+Tf_boost), (Vout*Iout/2)*(Fsw/1)*(Tr_boost+Tf_boost))</f>
        <v>0</v>
      </c>
      <c r="AS194">
        <f>IF(Table1[[#This Row],[Vin]]&gt;Vout, 0, IF(Table1[[#This Row],[Iin]]&gt;Table1[[#This Row],[Ripple Current pk-pk]]/2,0,ABS(Table1[[#This Row],[Iin]]-Table1[[#This Row],[Ripple Current pk-pk]]/2)*Vsd_Q4*Deadtime*Fsw))</f>
        <v>0</v>
      </c>
      <c r="AT194" s="354">
        <f>(Table1[[#This Row],[Dead Time Loss BoCtlr]]+Table1[[#This Row],[Transition Loss BoCtlr]]+Table1[[#This Row],[RDS(on) Loss BoCtlr]]*(1+RdsonTopTc*Ta-RdsonTopTc*25))/(1-Table1[[#This Row],[RDS(on) Loss BoCtlr]]*RdsonTopTc*ThetaJA_Q4)</f>
        <v>0</v>
      </c>
      <c r="AU19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12.092848549614512</v>
      </c>
      <c r="AV194" s="354">
        <f>Rdson3*Table1[[#This Row],[Irms BoSync]]^2</f>
        <v>0.6141953413844381</v>
      </c>
      <c r="AW19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4" s="354">
        <f>(Table1[[#This Row],[Deadtime Loss BoSync]]+Table1[[#This Row],[RDS(on) Loss BoSync]]*(1+RdsonBotTc*Ta-RdsonBotTc*25))/(1-Table1[[#This Row],[RDS(on) Loss BoSync]]*RdsonBotTc*ThetaJA_Q3)</f>
        <v>0.72038505632840788</v>
      </c>
      <c r="AY194" s="354">
        <f>CHOOSE(Table1[[#This Row],[Mode Digit]], Rdson3*Table1[[#This Row],[Irms Lf]]^2, Rdson1*Table1[[#This Row],[Irms Lf]]^2, 0)</f>
        <v>0.6141953413844381</v>
      </c>
      <c r="AZ194" s="354">
        <f>CHOOSE(Table1[[#This Row],[Mode Digit]], 2*Deadtime*Fsw*IF(VfdSky_Q2&gt;0,VfdSky_Q2,0)*Table1[[#This Row],[Iout]], 2*Deadtime*Fsw*IF(VfdSky_Q3&gt;0,VfdSky_Q3,0)*Table1[[#This Row],[Iin]], 2*Deadtime*Fsw*IF(VfdSky_Q2&gt;0,VfdSky_Q2,0)*Table1[[#This Row],[Iout]]+2*Deadtime*Fsw*IF(VfdSky_Q3&gt;0,VfdSky_Q3,0)*Table1[[#This Row],[Iin]])</f>
        <v>0</v>
      </c>
      <c r="BA194" s="354">
        <f>CHOOSE(Table1[[#This Row],[Mode Digit]], IF(QrrSky_Q2&gt;0,QrrSky_Q2,Qrr_Q2)*Fsw*(Table1[[#This Row],[Vin]]-Table1[[#This Row],[Iout]]*Rdson1),0,  IF(QrrSky_Q2&gt;0,QrrSky_Q2,Qrr_Q2)*Fsw*(Table1[[#This Row],[Vin]]-Table1[[#This Row],[Iout]]*Rdson1)+IF(QrrSky_Q3&gt;0,QrrSky_Q3,Qrr_Q3)*Fsw*Vout)</f>
        <v>0.39479520000000001</v>
      </c>
      <c r="BB194" s="354">
        <f>CHOOSE(Table1[[#This Row],[Mode Digit]],0, IF(QrrSky_Q3&gt;0,QrrSky_Q3,Qrr_Q3)*Fsw*Vout,  IF(QrrSky_Q2&gt;0,QrrSky_Q2,Qrr_Q2)*Fsw*(Table1[[#This Row],[Vin]]-Table1[[#This Row],[Iout]]*Rdson1)+IF(QrrSky_Q3&gt;0,QrrSky_Q3,Qrr_Q3)*Fsw*Vout)</f>
        <v>0</v>
      </c>
      <c r="BC194" s="354">
        <f>CHOOSE(Table1[[#This Row],[Mode Digit]], Rs*Table1[[#This Row],[Irms BuSync]]^2, Rs*Table1[[#This Row],[Irms BoCtlr]]^2, Rs*(Table1[[#This Row],[Irms BuSync]]^2+Table1[[#This Row],[Irms BoCtlr]]^2))</f>
        <v>0.20208461609919265</v>
      </c>
      <c r="BD194" s="354">
        <f t="shared" si="8"/>
        <v>1.44</v>
      </c>
      <c r="BE194" s="354">
        <f>IF(Vout&gt;8, Iq*Vout, Iq*Table1[[#This Row],[Vin]])</f>
        <v>4.3799999999999999E-2</v>
      </c>
      <c r="BF194" s="354">
        <f>CHOOSE(Table1[[#This Row],[Mode Digit]], (Qg_Q1+Qg_Q2)*Fsw, (Qg_Q3+Qg_Q4)*Fsw, (Qg_Q1+Qg_Q2+Qg_Q3+Qg_Q4)*Fsw)*IF(Vout&gt;8, Vout, Table1[[#This Row],[Vin]])</f>
        <v>0.47303999999999996</v>
      </c>
      <c r="BG194" s="354">
        <f t="shared" si="9"/>
        <v>0.57269042016806726</v>
      </c>
      <c r="BH194" s="354">
        <f>Table1[[#This Row],[IQ Loss]]+Table1[[#This Row],[Switching Current Loss]]</f>
        <v>0.51683999999999997</v>
      </c>
      <c r="BI19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11.180241435155516</v>
      </c>
      <c r="BJ194">
        <f>Vout*Table1[[#This Row],[Iout]]</f>
        <v>175.2</v>
      </c>
      <c r="BK194" s="550">
        <f>Table1[[#This Row],[Pout]]/(Table1[[#This Row],[Pout]]+Table1[[#This Row],[Total Loss]])</f>
        <v>0.94001380538480905</v>
      </c>
      <c r="BL19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269.50496301769516</v>
      </c>
      <c r="BM194" s="559">
        <f>IF(Table1[[#This Row],[Vin]]&gt;Vout, Table1[[#This Row],[Total Sync Bu MOSFET Loss]]*ThetaJA_Q2, ThetaJA_Q3*Table1[[#This Row],[Total Sync Bo MOSFET Loss]])</f>
        <v>59.892485731555567</v>
      </c>
      <c r="BN194" s="9"/>
      <c r="BO194" s="4">
        <f>Table1[[#This Row],[EFF, h]]*100</f>
        <v>94.001380538480902</v>
      </c>
      <c r="BP194" s="354">
        <f>Table1[[#This Row],[Total Inductor Loss]]</f>
        <v>2.3326897728214071</v>
      </c>
      <c r="BQ194" s="354">
        <f>Table1[[#This Row],[Total Control Bu MOSFET Loss]]+Table1[[#This Row],[Total Sync Bu MOSFET Loss]]+Table1[[#This Row],[Total Control Bo MOSFET Loss]]+Table1[[#This Row],[Total Sync Bo MOSFET Loss]]+Table1[[#This Row],[Reverse Recovery Loss MOSFET D BUCK]]+Table1[[#This Row],[Reverse Recovery Loss MOSFET D BOOST]]</f>
        <v>6.605137735482586</v>
      </c>
      <c r="BR194" s="354">
        <f>Table1[[#This Row],[Total Control Bu MOSFET Loss]]+Table1[[#This Row],[Reverse Recovery Loss MOSFET D BUCK]]*0.66</f>
        <v>4.7523142156282523</v>
      </c>
      <c r="BS194" s="354">
        <f>Table1[[#This Row],[Total Sync Bu MOSFET Loss]]+Table1[[#This Row],[Reverse Recovery Loss MOSFET D BUCK]]*0.33</f>
        <v>1.1284905115259263</v>
      </c>
      <c r="BT194" s="354">
        <f xml:space="preserve"> Table1[[#This Row],[Total Control Bo MOSFET Loss]]+Table1[[#This Row],[Reverse Recovery Loss MOSFET D BOOST]]*0.66</f>
        <v>0</v>
      </c>
      <c r="BU194" s="354">
        <f xml:space="preserve"> Table1[[#This Row],[Total Sync Bo MOSFET Loss]]+Table1[[#This Row],[Reverse Recovery Loss MOSFET D BOOST]]*0.33</f>
        <v>0.72038505632840788</v>
      </c>
      <c r="BV194" s="354">
        <f>Table1[[#This Row],[Isense Shunt Loss]]</f>
        <v>0.20208461609919265</v>
      </c>
    </row>
    <row r="195" spans="7:74" x14ac:dyDescent="0.2">
      <c r="G195">
        <v>186</v>
      </c>
      <c r="H195" s="555">
        <f>VIN_min+(VIN_max-VIN_min)*(Table1[[#This Row],[Step]]/200)</f>
        <v>33.020000000000003</v>
      </c>
      <c r="I195" s="4" t="str">
        <f>IF(Mode = 2,IF(Table1[[#This Row],[Vin]]&gt;Vout, "BUCK","BOOST"),IF(Table1[[#This Row],[Vin]]&gt;VIN_BB_to_buck, "BUCK", IF(Table1[[#This Row],[Vin]]&lt;=VIN_boost_to_BB,"BOOST","BUCK-BST")))</f>
        <v>BUCK</v>
      </c>
      <c r="J195">
        <f>IF(Table1[[#This Row],[Mode]]="BOOST",2, IF(Table1[[#This Row],[Mode]]="BUCK", 1,3))</f>
        <v>1</v>
      </c>
      <c r="K195">
        <f t="shared" si="7"/>
        <v>12</v>
      </c>
      <c r="L195" s="4">
        <f>Vout*Table1[[#This Row],[Iout]]/(Table1[[#This Row],[Vin]]*Efficiency)</f>
        <v>5.5851318180369152</v>
      </c>
      <c r="M195" s="711">
        <f>MIN(1/Fsw,CHOOSE(Table1[[#This Row],[Mode Digit]],(Vout+(Rdson2+Rs+Rdcr)*Table1[[#This Row],[Iout]])/(Table1[[#This Row],[Vin]]+(Rs+Rdson2-Rdson1)*Table1[[#This Row],[Iout]])/Fsw,(Vout+(Rdson3+Rdcr)*Table1[[#This Row],[Iin]]-Table1[[#This Row],[Vin]])/(Vout+(Rdson3-Rdson4-Rs)*Table1[[#This Row],[Iin]])/Fsw,t1_Ph_II))</f>
        <v>7.438224911749873E-7</v>
      </c>
      <c r="N195" s="602">
        <f>CHOOSE(Table1[[#This Row],[Mode Digit]],1/Fsw-Table1[[#This Row],[t1_Ph_II]],1/Fsw-Table1[[#This Row],[t1_Ph_II]],(Vout/Fsw-Table1[[#This Row],[Vin]]*t1_Ph_II)/(Table1[[#This Row],[Vin]]+Vout))</f>
        <v>9.2284417549167936E-7</v>
      </c>
      <c r="O195" s="602">
        <f>1/Fsw-(Table1[[#This Row],[t1_Ph_II]]+Table1[[#This Row],[t2_Ph_I]])</f>
        <v>0</v>
      </c>
      <c r="P19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9.4050738091963506</v>
      </c>
      <c r="Q195" s="4">
        <f>CHOOSE(Table1[[#This Row],[Mode Digit]],Table1[[#This Row],[I_0]]+1/Lf*(Table1[[#This Row],[Vin]]-Vout)*Table1[[#This Row],[t1_Ph_II]],Table1[[#This Row],[I_0]]+1/Lf*Table1[[#This Row],[Vin]]*Table1[[#This Row],[t1_Ph_II]],Table1[[#This Row],[I_0]]+(Table1[[#This Row],[Vin]]-Vout)/L*Table1[[#This Row],[t1_Ph_II]])</f>
        <v>14.594926190803648</v>
      </c>
      <c r="R195" s="4">
        <f>CHOOSE(Table1[[#This Row],[Mode Digit]],0,0,Table1[[#This Row],[I_1]]+Table1[[#This Row],[Vin]]/L*Table1[[#This Row],[t2_Ph_I]])</f>
        <v>0</v>
      </c>
      <c r="S195" s="4">
        <f>Fsw*(Table1[[#This Row],[I_0]]*Table1[[#This Row],[t1_Ph_II]]+Table1[[#This Row],[I_1]]*Table1[[#This Row],[t2_Ph_I]]+Table1[[#This Row],[I_2]]*Table1[[#This Row],[t3_Ph_III]])</f>
        <v>12.2787288344131</v>
      </c>
      <c r="T195" s="354">
        <f>MIN(1,CHOOSE(Table1[[#This Row],[Mode Digit]],(Vout+(Rdson2+Rs+Rdcr)*Table1[[#This Row],[Iout]])/(Table1[[#This Row],[Vin]]+(Rs+Rdson2-Rdson1)*Table1[[#This Row],[Iout]]),1,Fsw*Table1[[#This Row],[t2_Ph_I]]+Table1[[#This Row],[t1_Ph_II]]))</f>
        <v>0.44629349470499236</v>
      </c>
      <c r="U195" s="354">
        <f>MIN(1,CHOOSE(Table1[[#This Row],[Mode Digit]],0,(Vout+(Rdson3+Rdcr)*Table1[[#This Row],[Iin]]-Table1[[#This Row],[Vin]])/(Vout+(Rdson3-Rdson4-Rs)*Table1[[#This Row],[Iin]]),Fsw*Table1[[#This Row],[t1_Ph_II]]+Table1[[#This Row],[t3_Ph_III]]))</f>
        <v>0</v>
      </c>
      <c r="V195" s="4">
        <f>MAX(Table1[[#This Row],[I_0]:[I_2]])-MIN(Table1[[#This Row],[I_0]:[I_1]])</f>
        <v>5.189852381607297</v>
      </c>
      <c r="W19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12.093161179439651</v>
      </c>
      <c r="X195" s="354">
        <f>(Table1[[#This Row],[Irms Lf]]^2*Rdcr*(1+Ltc*Ta-Ltc*25))/(1-Table1[[#This Row],[Irms Lf]]^2*Rdcr*Ltc*ThetaCa)</f>
        <v>0.90996639147667346</v>
      </c>
      <c r="Y195" s="354">
        <f>ABS(7.759*10^-3*Fsw^0.9458*(0.00787*Table1[[#This Row],[Ripple Current pk-pk]])^2.304)</f>
        <v>1.4283154027402558</v>
      </c>
      <c r="Z195" s="354">
        <f>Table1[[#This Row],[DCR    Loss]]+Table1[[#This Row],[Core Loss]]</f>
        <v>2.3382817942169294</v>
      </c>
      <c r="AA195" s="4">
        <f>IF(Table1[[#This Row],[Vin]]&gt;Vout, Table1[[#This Row],[Ripple Current pk-pk]]/SQRT(12), SQRT(Table1[[#This Row],[Duty Cycle BOOST Leg]]/(1-Table1[[#This Row],[Duty Cycle BOOST Leg]]))*SQRT(Table1[[#This Row],[Iout]]^2+(Table1[[#This Row],[Ripple Current pk-pk]]^2)/12))</f>
        <v>1.4981813347876967</v>
      </c>
      <c r="AB195" s="354">
        <f>RCoutEsr*Table1[[#This Row],[Irms Cout]]^2</f>
        <v>1.1222736559531222E-2</v>
      </c>
      <c r="AC195" s="354">
        <f>Table1[[#This Row],[Cout ESR Loss]]</f>
        <v>1.1222736559531222E-2</v>
      </c>
      <c r="AD195" s="354">
        <f>IF(Table1[[#This Row],[Vin]]&gt;Vout, SQRT(Table1[[#This Row],[Duty Cycle BUCK Leg]]*(1-Table1[[#This Row],[Duty Cycle BUCK Leg]]))*SQRT(Table1[[#This Row],[Iout]]^2+(Table1[[#This Row],[Ripple Current pk-pk]]^2)/12), Table1[[#This Row],[Ripple Current pk-pk]]/SQRT(12))</f>
        <v>6.0115980160573281</v>
      </c>
      <c r="AE195" s="354">
        <f>RCinEsr*Table1[[#This Row],[Irms Cin]]^2</f>
        <v>7.2278621413328803E-2</v>
      </c>
      <c r="AF195" s="549">
        <f>Table1[[#This Row],[Cin ESR Loss]]</f>
        <v>7.2278621413328803E-2</v>
      </c>
      <c r="AG19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8.0788606932772531</v>
      </c>
      <c r="AH195" s="354">
        <f>Rdson1*Table1[[#This Row],[Irms BuCtrl]]^2</f>
        <v>0.27412555842579694</v>
      </c>
      <c r="AI195" s="354">
        <f>CHOOSE(Table1[[#This Row],[Mode Digit]], (Table1[[#This Row],[Vin]]*Table1[[#This Row],[Iout]]/2)*(Fsw)*(Tr_buck+Tf_buck), 0, (Table1[[#This Row],[Vin]]*Table1[[#This Row],[Avg IL]]/2)*(Fsw/1)*(Tr_buck+Tf_buck))</f>
        <v>3.9292612374217022</v>
      </c>
      <c r="AJ195">
        <f>IF(Table1[[#This Row],[Vin]]&gt;Vout, IF(Table1[[#This Row],[Iout]]&gt;Table1[[#This Row],[Ripple Current pk-pk]]/2,0,ABS(Table1[[#This Row],[Iout]]-Table1[[#This Row],[Ripple Current pk-pk]]/2)*Vsd_Q1*Deadtime*Fsw),0)</f>
        <v>0</v>
      </c>
      <c r="AK195" s="354">
        <f>(Table1[[#This Row],[Dead Time Loss BuCtrl]]+Table1[[#This Row],[Transition Loss BuCtrl]]+Table1[[#This Row],[RDS(on) Loss BuCtrl]]*(1+RdsonTopTc*Ta-RdsonTopTc*25))/(1-Table1[[#This Row],[RDS(on) Loss BuCtrl]]*RdsonTopTc*ThetaJA_Q1)</f>
        <v>4.499403130845705</v>
      </c>
      <c r="AL195" s="354">
        <f>CHOOSE(Table1[[#This Row],[Mode Digit]],SQRT((Fsw*(Table1[[#This Row],[t2_Ph_I]]+0))*((Table1[[#This Row],[I_0]]*Table1[[#This Row],[I_1]]+((Table1[[#This Row],[I_0]]-Table1[[#This Row],[I_1]])^2)/3))),0,SQRT((Fsw*(Table1[[#This Row],[t3_Ph_III]]+0))*((Table1[[#This Row],[I_0]]*Table1[[#This Row],[I_2]]+((Table1[[#This Row],[I_0]]-Table1[[#This Row],[I_2]])^2)/3))))</f>
        <v>8.9986975285607862</v>
      </c>
      <c r="AM195" s="354">
        <f>Rdson2*Table1[[#This Row],[Irms BuSync]]^2</f>
        <v>0.34010154028420925</v>
      </c>
      <c r="AN19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5" s="354">
        <f>(Table1[[#This Row],[Deadtime Loss BuSync]]+Table1[[#This Row],[RDS(on) Loss BuSync]]*(1+RdsonBotTc*Ta-RdsonBotTc*25))/(1-Table1[[#This Row],[RDS(on) Loss BuSync]]*RdsonBotTc*ThetaJA_Q2)</f>
        <v>0.99901711081355027</v>
      </c>
      <c r="AP195" s="354">
        <f>CHOOSE(Table1[[#This Row],[Mode Digit]],0,SQRT((Fsw*(Table1[[#This Row],[t1_Ph_II]]+0))*((Table1[[#This Row],[I_0]]*Table1[[#This Row],[I_1]]+((Table1[[#This Row],[I_0]]-Table1[[#This Row],[I_1]])^2)/3))),SQRT((Fsw*(Table1[[#This Row],[t2_Ph_I]]+0))*((Table1[[#This Row],[I_1]]*Table1[[#This Row],[I_2]]+((Table1[[#This Row],[I_1]]-Table1[[#This Row],[I_2]])^2)/3))))</f>
        <v>0</v>
      </c>
      <c r="AQ195" s="354">
        <f>Rdson4*Table1[[#This Row],[Irms BoCtlr]]^2</f>
        <v>0</v>
      </c>
      <c r="AR195" s="354">
        <f>CHOOSE(Table1[[#This Row],[Mode Digit]], 0, (Vout*Table1[[#This Row],[Iin]]/2)*(Fsw)*(Tr_boost+Tf_boost), (Vout*Iout/2)*(Fsw/1)*(Tr_boost+Tf_boost))</f>
        <v>0</v>
      </c>
      <c r="AS195">
        <f>IF(Table1[[#This Row],[Vin]]&gt;Vout, 0, IF(Table1[[#This Row],[Iin]]&gt;Table1[[#This Row],[Ripple Current pk-pk]]/2,0,ABS(Table1[[#This Row],[Iin]]-Table1[[#This Row],[Ripple Current pk-pk]]/2)*Vsd_Q4*Deadtime*Fsw))</f>
        <v>0</v>
      </c>
      <c r="AT195" s="354">
        <f>(Table1[[#This Row],[Dead Time Loss BoCtlr]]+Table1[[#This Row],[Transition Loss BoCtlr]]+Table1[[#This Row],[RDS(on) Loss BoCtlr]]*(1+RdsonTopTc*Ta-RdsonTopTc*25))/(1-Table1[[#This Row],[RDS(on) Loss BoCtlr]]*RdsonTopTc*ThetaJA_Q4)</f>
        <v>0</v>
      </c>
      <c r="AU19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12.093161179439651</v>
      </c>
      <c r="AV195" s="354">
        <f>Rdson3*Table1[[#This Row],[Irms BoSync]]^2</f>
        <v>0.61422709871000625</v>
      </c>
      <c r="AW19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5" s="354">
        <f>(Table1[[#This Row],[Deadtime Loss BoSync]]+Table1[[#This Row],[RDS(on) Loss BoSync]]*(1+RdsonBotTc*Ta-RdsonBotTc*25))/(1-Table1[[#This Row],[RDS(on) Loss BoSync]]*RdsonBotTc*ThetaJA_Q3)</f>
        <v>0.72042874452905614</v>
      </c>
      <c r="AY195" s="354">
        <f>CHOOSE(Table1[[#This Row],[Mode Digit]], Rdson3*Table1[[#This Row],[Irms Lf]]^2, Rdson1*Table1[[#This Row],[Irms Lf]]^2, 0)</f>
        <v>0.61422709871000625</v>
      </c>
      <c r="AZ195" s="354">
        <f>CHOOSE(Table1[[#This Row],[Mode Digit]], 2*Deadtime*Fsw*IF(VfdSky_Q2&gt;0,VfdSky_Q2,0)*Table1[[#This Row],[Iout]], 2*Deadtime*Fsw*IF(VfdSky_Q3&gt;0,VfdSky_Q3,0)*Table1[[#This Row],[Iin]], 2*Deadtime*Fsw*IF(VfdSky_Q2&gt;0,VfdSky_Q2,0)*Table1[[#This Row],[Iout]]+2*Deadtime*Fsw*IF(VfdSky_Q3&gt;0,VfdSky_Q3,0)*Table1[[#This Row],[Iin]])</f>
        <v>0</v>
      </c>
      <c r="BA195" s="354">
        <f>CHOOSE(Table1[[#This Row],[Mode Digit]], IF(QrrSky_Q2&gt;0,QrrSky_Q2,Qrr_Q2)*Fsw*(Table1[[#This Row],[Vin]]-Table1[[#This Row],[Iout]]*Rdson1),0,  IF(QrrSky_Q2&gt;0,QrrSky_Q2,Qrr_Q2)*Fsw*(Table1[[#This Row],[Vin]]-Table1[[#This Row],[Iout]]*Rdson1)+IF(QrrSky_Q3&gt;0,QrrSky_Q3,Qrr_Q3)*Fsw*Vout)</f>
        <v>0.39563520000000002</v>
      </c>
      <c r="BB195" s="354">
        <f>CHOOSE(Table1[[#This Row],[Mode Digit]],0, IF(QrrSky_Q3&gt;0,QrrSky_Q3,Qrr_Q3)*Fsw*Vout,  IF(QrrSky_Q2&gt;0,QrrSky_Q2,Qrr_Q2)*Fsw*(Table1[[#This Row],[Vin]]-Table1[[#This Row],[Iout]]*Rdson1)+IF(QrrSky_Q3&gt;0,QrrSky_Q3,Qrr_Q3)*Fsw*Vout)</f>
        <v>0</v>
      </c>
      <c r="BC195" s="354">
        <f>CHOOSE(Table1[[#This Row],[Mode Digit]], Rs*Table1[[#This Row],[Irms BuSync]]^2, Rs*Table1[[#This Row],[Irms BoCtlr]]^2, Rs*(Table1[[#This Row],[Irms BuSync]]^2+Table1[[#This Row],[Irms BoCtlr]]^2))</f>
        <v>0.202441393026315</v>
      </c>
      <c r="BD195" s="354">
        <f t="shared" si="8"/>
        <v>1.44</v>
      </c>
      <c r="BE195" s="354">
        <f>IF(Vout&gt;8, Iq*Vout, Iq*Table1[[#This Row],[Vin]])</f>
        <v>4.3799999999999999E-2</v>
      </c>
      <c r="BF195" s="354">
        <f>CHOOSE(Table1[[#This Row],[Mode Digit]], (Qg_Q1+Qg_Q2)*Fsw, (Qg_Q3+Qg_Q4)*Fsw, (Qg_Q1+Qg_Q2+Qg_Q3+Qg_Q4)*Fsw)*IF(Vout&gt;8, Vout, Table1[[#This Row],[Vin]])</f>
        <v>0.47303999999999996</v>
      </c>
      <c r="BG195" s="354">
        <f t="shared" si="9"/>
        <v>0.57269042016806726</v>
      </c>
      <c r="BH195" s="354">
        <f>Table1[[#This Row],[IQ Loss]]+Table1[[#This Row],[Switching Current Loss]]</f>
        <v>0.51683999999999997</v>
      </c>
      <c r="BI19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11.195548731404415</v>
      </c>
      <c r="BJ195">
        <f>Vout*Table1[[#This Row],[Iout]]</f>
        <v>175.2</v>
      </c>
      <c r="BK195" s="550">
        <f>Table1[[#This Row],[Pout]]/(Table1[[#This Row],[Pout]]+Table1[[#This Row],[Total Loss]])</f>
        <v>0.93993660896088682</v>
      </c>
      <c r="BL19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269.96418785074229</v>
      </c>
      <c r="BM195" s="559">
        <f>IF(Table1[[#This Row],[Vin]]&gt;Vout, Table1[[#This Row],[Total Sync Bu MOSFET Loss]]*ThetaJA_Q2, ThetaJA_Q3*Table1[[#This Row],[Total Sync Bo MOSFET Loss]])</f>
        <v>59.941026648813015</v>
      </c>
      <c r="BN195" s="9"/>
      <c r="BO195" s="4">
        <f>Table1[[#This Row],[EFF, h]]*100</f>
        <v>93.993660896088684</v>
      </c>
      <c r="BP195" s="354">
        <f>Table1[[#This Row],[Total Inductor Loss]]</f>
        <v>2.3382817942169294</v>
      </c>
      <c r="BQ195" s="354">
        <f>Table1[[#This Row],[Total Control Bu MOSFET Loss]]+Table1[[#This Row],[Total Sync Bu MOSFET Loss]]+Table1[[#This Row],[Total Control Bo MOSFET Loss]]+Table1[[#This Row],[Total Sync Bo MOSFET Loss]]+Table1[[#This Row],[Reverse Recovery Loss MOSFET D BUCK]]+Table1[[#This Row],[Reverse Recovery Loss MOSFET D BOOST]]</f>
        <v>6.6144841861883119</v>
      </c>
      <c r="BR195" s="354">
        <f>Table1[[#This Row],[Total Control Bu MOSFET Loss]]+Table1[[#This Row],[Reverse Recovery Loss MOSFET D BUCK]]*0.66</f>
        <v>4.7605223628457054</v>
      </c>
      <c r="BS195" s="354">
        <f>Table1[[#This Row],[Total Sync Bu MOSFET Loss]]+Table1[[#This Row],[Reverse Recovery Loss MOSFET D BUCK]]*0.33</f>
        <v>1.1295767268135504</v>
      </c>
      <c r="BT195" s="354">
        <f xml:space="preserve"> Table1[[#This Row],[Total Control Bo MOSFET Loss]]+Table1[[#This Row],[Reverse Recovery Loss MOSFET D BOOST]]*0.66</f>
        <v>0</v>
      </c>
      <c r="BU195" s="354">
        <f xml:space="preserve"> Table1[[#This Row],[Total Sync Bo MOSFET Loss]]+Table1[[#This Row],[Reverse Recovery Loss MOSFET D BOOST]]*0.33</f>
        <v>0.72042874452905614</v>
      </c>
      <c r="BV195" s="354">
        <f>Table1[[#This Row],[Isense Shunt Loss]]</f>
        <v>0.202441393026315</v>
      </c>
    </row>
    <row r="196" spans="7:74" x14ac:dyDescent="0.2">
      <c r="G196">
        <v>187</v>
      </c>
      <c r="H196" s="555">
        <f>VIN_min+(VIN_max-VIN_min)*(Table1[[#This Row],[Step]]/200)</f>
        <v>33.090000000000003</v>
      </c>
      <c r="I196" s="4" t="str">
        <f>IF(Mode = 2,IF(Table1[[#This Row],[Vin]]&gt;Vout, "BUCK","BOOST"),IF(Table1[[#This Row],[Vin]]&gt;VIN_BB_to_buck, "BUCK", IF(Table1[[#This Row],[Vin]]&lt;=VIN_boost_to_BB,"BOOST","BUCK-BST")))</f>
        <v>BUCK</v>
      </c>
      <c r="J196">
        <f>IF(Table1[[#This Row],[Mode]]="BOOST",2, IF(Table1[[#This Row],[Mode]]="BUCK", 1,3))</f>
        <v>1</v>
      </c>
      <c r="K196">
        <f t="shared" si="7"/>
        <v>12</v>
      </c>
      <c r="L196" s="4">
        <f>Vout*Table1[[#This Row],[Iout]]/(Table1[[#This Row],[Vin]]*Efficiency)</f>
        <v>5.573316791525504</v>
      </c>
      <c r="M196" s="711">
        <f>MIN(1/Fsw,CHOOSE(Table1[[#This Row],[Mode Digit]],(Vout+(Rdson2+Rs+Rdcr)*Table1[[#This Row],[Iout]])/(Table1[[#This Row],[Vin]]+(Rs+Rdson2-Rdson1)*Table1[[#This Row],[Iout]])/Fsw,(Vout+(Rdson3+Rdcr)*Table1[[#This Row],[Iin]]-Table1[[#This Row],[Vin]])/(Vout+(Rdson3-Rdson4-Rs)*Table1[[#This Row],[Iin]])/Fsw,t1_Ph_II))</f>
        <v>7.422504025764894E-7</v>
      </c>
      <c r="N196" s="602">
        <f>CHOOSE(Table1[[#This Row],[Mode Digit]],1/Fsw-Table1[[#This Row],[t1_Ph_II]],1/Fsw-Table1[[#This Row],[t1_Ph_II]],(Vout/Fsw-Table1[[#This Row],[Vin]]*t1_Ph_II)/(Table1[[#This Row],[Vin]]+Vout))</f>
        <v>9.2441626409017726E-7</v>
      </c>
      <c r="O196" s="602">
        <f>1/Fsw-(Table1[[#This Row],[t1_Ph_II]]+Table1[[#This Row],[t2_Ph_I]])</f>
        <v>0</v>
      </c>
      <c r="P19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9.4007178137046807</v>
      </c>
      <c r="Q196" s="4">
        <f>CHOOSE(Table1[[#This Row],[Mode Digit]],Table1[[#This Row],[I_0]]+1/Lf*(Table1[[#This Row],[Vin]]-Vout)*Table1[[#This Row],[t1_Ph_II]],Table1[[#This Row],[I_0]]+1/Lf*Table1[[#This Row],[Vin]]*Table1[[#This Row],[t1_Ph_II]],Table1[[#This Row],[I_0]]+(Table1[[#This Row],[Vin]]-Vout)/L*Table1[[#This Row],[t1_Ph_II]])</f>
        <v>14.599282186295321</v>
      </c>
      <c r="R196" s="4">
        <f>CHOOSE(Table1[[#This Row],[Mode Digit]],0,0,Table1[[#This Row],[I_1]]+Table1[[#This Row],[Vin]]/L*Table1[[#This Row],[t2_Ph_I]])</f>
        <v>0</v>
      </c>
      <c r="S196" s="4">
        <f>Fsw*(Table1[[#This Row],[I_0]]*Table1[[#This Row],[t1_Ph_II]]+Table1[[#This Row],[I_1]]*Table1[[#This Row],[t2_Ph_I]]+Table1[[#This Row],[I_2]]*Table1[[#This Row],[t3_Ph_III]])</f>
        <v>12.284100287270203</v>
      </c>
      <c r="T196" s="354">
        <f>MIN(1,CHOOSE(Table1[[#This Row],[Mode Digit]],(Vout+(Rdson2+Rs+Rdcr)*Table1[[#This Row],[Iout]])/(Table1[[#This Row],[Vin]]+(Rs+Rdson2-Rdson1)*Table1[[#This Row],[Iout]]),1,Fsw*Table1[[#This Row],[t2_Ph_I]]+Table1[[#This Row],[t1_Ph_II]]))</f>
        <v>0.44535024154589364</v>
      </c>
      <c r="U196" s="354">
        <f>MIN(1,CHOOSE(Table1[[#This Row],[Mode Digit]],0,(Vout+(Rdson3+Rdcr)*Table1[[#This Row],[Iin]]-Table1[[#This Row],[Vin]])/(Vout+(Rdson3-Rdson4-Rs)*Table1[[#This Row],[Iin]]),Fsw*Table1[[#This Row],[t1_Ph_II]]+Table1[[#This Row],[t3_Ph_III]]))</f>
        <v>0</v>
      </c>
      <c r="V196" s="4">
        <f>MAX(Table1[[#This Row],[I_0]:[I_2]])-MIN(Table1[[#This Row],[I_0]:[I_1]])</f>
        <v>5.1985643725906403</v>
      </c>
      <c r="W19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12.093473003842364</v>
      </c>
      <c r="X196" s="354">
        <f>(Table1[[#This Row],[Irms Lf]]^2*Rdcr*(1+Ltc*Ta-Ltc*25))/(1-Table1[[#This Row],[Irms Lf]]^2*Rdcr*Ltc*ThetaCa)</f>
        <v>0.91001673580047482</v>
      </c>
      <c r="Y196" s="354">
        <f>ABS(7.759*10^-3*Fsw^0.9458*(0.00787*Table1[[#This Row],[Ripple Current pk-pk]])^2.304)</f>
        <v>1.4338456449967634</v>
      </c>
      <c r="Z196" s="354">
        <f>Table1[[#This Row],[DCR    Loss]]+Table1[[#This Row],[Core Loss]]</f>
        <v>2.3438623807972383</v>
      </c>
      <c r="AA196" s="4">
        <f>IF(Table1[[#This Row],[Vin]]&gt;Vout, Table1[[#This Row],[Ripple Current pk-pk]]/SQRT(12), SQRT(Table1[[#This Row],[Duty Cycle BOOST Leg]]/(1-Table1[[#This Row],[Duty Cycle BOOST Leg]]))*SQRT(Table1[[#This Row],[Iout]]^2+(Table1[[#This Row],[Ripple Current pk-pk]]^2)/12))</f>
        <v>1.5006962699574022</v>
      </c>
      <c r="AB196" s="354">
        <f>RCoutEsr*Table1[[#This Row],[Irms Cout]]^2</f>
        <v>1.1260446473320303E-2</v>
      </c>
      <c r="AC196" s="354">
        <f>Table1[[#This Row],[Cout ESR Loss]]</f>
        <v>1.1260446473320303E-2</v>
      </c>
      <c r="AD196" s="354">
        <f>IF(Table1[[#This Row],[Vin]]&gt;Vout, SQRT(Table1[[#This Row],[Duty Cycle BUCK Leg]]*(1-Table1[[#This Row],[Duty Cycle BUCK Leg]]))*SQRT(Table1[[#This Row],[Iout]]^2+(Table1[[#This Row],[Ripple Current pk-pk]]^2)/12), Table1[[#This Row],[Ripple Current pk-pk]]/SQRT(12))</f>
        <v>6.0105096626071983</v>
      </c>
      <c r="AE196" s="354">
        <f>RCinEsr*Table1[[#This Row],[Irms Cin]]^2</f>
        <v>7.2252452808588996E-2</v>
      </c>
      <c r="AF196" s="549">
        <f>Table1[[#This Row],[Cin ESR Loss]]</f>
        <v>7.2252452808588996E-2</v>
      </c>
      <c r="AG19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8.0705268287745788</v>
      </c>
      <c r="AH196" s="354">
        <f>Rdson1*Table1[[#This Row],[Irms BuCtrl]]^2</f>
        <v>0.27356029383467512</v>
      </c>
      <c r="AI196" s="354">
        <f>CHOOSE(Table1[[#This Row],[Mode Digit]], (Table1[[#This Row],[Vin]]*Table1[[#This Row],[Iout]]/2)*(Fsw)*(Tr_buck+Tf_buck), 0, (Table1[[#This Row],[Vin]]*Table1[[#This Row],[Avg IL]]/2)*(Fsw/1)*(Tr_buck+Tf_buck))</f>
        <v>3.9375909856536686</v>
      </c>
      <c r="AJ196">
        <f>IF(Table1[[#This Row],[Vin]]&gt;Vout, IF(Table1[[#This Row],[Iout]]&gt;Table1[[#This Row],[Ripple Current pk-pk]]/2,0,ABS(Table1[[#This Row],[Iout]]-Table1[[#This Row],[Ripple Current pk-pk]]/2)*Vsd_Q1*Deadtime*Fsw),0)</f>
        <v>0</v>
      </c>
      <c r="AK196" s="354">
        <f>(Table1[[#This Row],[Dead Time Loss BuCtrl]]+Table1[[#This Row],[Transition Loss BuCtrl]]+Table1[[#This Row],[RDS(on) Loss BuCtrl]]*(1+RdsonTopTc*Ta-RdsonTopTc*25))/(1-Table1[[#This Row],[RDS(on) Loss BuCtrl]]*RdsonTopTc*ThetaJA_Q1)</f>
        <v>4.5070599115869543</v>
      </c>
      <c r="AL196" s="354">
        <f>CHOOSE(Table1[[#This Row],[Mode Digit]],SQRT((Fsw*(Table1[[#This Row],[t2_Ph_I]]+0))*((Table1[[#This Row],[I_0]]*Table1[[#This Row],[I_1]]+((Table1[[#This Row],[I_0]]-Table1[[#This Row],[I_1]])^2)/3))),0,SQRT((Fsw*(Table1[[#This Row],[t3_Ph_III]]+0))*((Table1[[#This Row],[I_0]]*Table1[[#This Row],[I_2]]+((Table1[[#This Row],[I_0]]-Table1[[#This Row],[I_2]])^2)/3))))</f>
        <v>9.006591253115344</v>
      </c>
      <c r="AM196" s="354">
        <f>Rdson2*Table1[[#This Row],[Irms BuSync]]^2</f>
        <v>0.34069848120291413</v>
      </c>
      <c r="AN19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6" s="354">
        <f>(Table1[[#This Row],[Deadtime Loss BuSync]]+Table1[[#This Row],[RDS(on) Loss BuSync]]*(1+RdsonBotTc*Ta-RdsonBotTc*25))/(1-Table1[[#This Row],[RDS(on) Loss BuSync]]*RdsonBotTc*ThetaJA_Q2)</f>
        <v>0.99982307883795363</v>
      </c>
      <c r="AP196" s="354">
        <f>CHOOSE(Table1[[#This Row],[Mode Digit]],0,SQRT((Fsw*(Table1[[#This Row],[t1_Ph_II]]+0))*((Table1[[#This Row],[I_0]]*Table1[[#This Row],[I_1]]+((Table1[[#This Row],[I_0]]-Table1[[#This Row],[I_1]])^2)/3))),SQRT((Fsw*(Table1[[#This Row],[t2_Ph_I]]+0))*((Table1[[#This Row],[I_1]]*Table1[[#This Row],[I_2]]+((Table1[[#This Row],[I_1]]-Table1[[#This Row],[I_2]])^2)/3))))</f>
        <v>0</v>
      </c>
      <c r="AQ196" s="354">
        <f>Rdson4*Table1[[#This Row],[Irms BoCtlr]]^2</f>
        <v>0</v>
      </c>
      <c r="AR196" s="354">
        <f>CHOOSE(Table1[[#This Row],[Mode Digit]], 0, (Vout*Table1[[#This Row],[Iin]]/2)*(Fsw)*(Tr_boost+Tf_boost), (Vout*Iout/2)*(Fsw/1)*(Tr_boost+Tf_boost))</f>
        <v>0</v>
      </c>
      <c r="AS196">
        <f>IF(Table1[[#This Row],[Vin]]&gt;Vout, 0, IF(Table1[[#This Row],[Iin]]&gt;Table1[[#This Row],[Ripple Current pk-pk]]/2,0,ABS(Table1[[#This Row],[Iin]]-Table1[[#This Row],[Ripple Current pk-pk]]/2)*Vsd_Q4*Deadtime*Fsw))</f>
        <v>0</v>
      </c>
      <c r="AT196" s="354">
        <f>(Table1[[#This Row],[Dead Time Loss BoCtlr]]+Table1[[#This Row],[Transition Loss BoCtlr]]+Table1[[#This Row],[RDS(on) Loss BoCtlr]]*(1+RdsonTopTc*Ta-RdsonTopTc*25))/(1-Table1[[#This Row],[RDS(on) Loss BoCtlr]]*RdsonTopTc*ThetaJA_Q4)</f>
        <v>0</v>
      </c>
      <c r="AU19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12.093473003842364</v>
      </c>
      <c r="AV196" s="354">
        <f>Rdson3*Table1[[#This Row],[Irms BoSync]]^2</f>
        <v>0.61425877503758908</v>
      </c>
      <c r="AW19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6" s="354">
        <f>(Table1[[#This Row],[Deadtime Loss BoSync]]+Table1[[#This Row],[RDS(on) Loss BoSync]]*(1+RdsonBotTc*Ta-RdsonBotTc*25))/(1-Table1[[#This Row],[RDS(on) Loss BoSync]]*RdsonBotTc*ThetaJA_Q3)</f>
        <v>0.72047232207980372</v>
      </c>
      <c r="AY196" s="354">
        <f>CHOOSE(Table1[[#This Row],[Mode Digit]], Rdson3*Table1[[#This Row],[Irms Lf]]^2, Rdson1*Table1[[#This Row],[Irms Lf]]^2, 0)</f>
        <v>0.61425877503758908</v>
      </c>
      <c r="AZ196" s="354">
        <f>CHOOSE(Table1[[#This Row],[Mode Digit]], 2*Deadtime*Fsw*IF(VfdSky_Q2&gt;0,VfdSky_Q2,0)*Table1[[#This Row],[Iout]], 2*Deadtime*Fsw*IF(VfdSky_Q3&gt;0,VfdSky_Q3,0)*Table1[[#This Row],[Iin]], 2*Deadtime*Fsw*IF(VfdSky_Q2&gt;0,VfdSky_Q2,0)*Table1[[#This Row],[Iout]]+2*Deadtime*Fsw*IF(VfdSky_Q3&gt;0,VfdSky_Q3,0)*Table1[[#This Row],[Iin]])</f>
        <v>0</v>
      </c>
      <c r="BA196" s="354">
        <f>CHOOSE(Table1[[#This Row],[Mode Digit]], IF(QrrSky_Q2&gt;0,QrrSky_Q2,Qrr_Q2)*Fsw*(Table1[[#This Row],[Vin]]-Table1[[#This Row],[Iout]]*Rdson1),0,  IF(QrrSky_Q2&gt;0,QrrSky_Q2,Qrr_Q2)*Fsw*(Table1[[#This Row],[Vin]]-Table1[[#This Row],[Iout]]*Rdson1)+IF(QrrSky_Q3&gt;0,QrrSky_Q3,Qrr_Q3)*Fsw*Vout)</f>
        <v>0.39647520000000003</v>
      </c>
      <c r="BB196" s="354">
        <f>CHOOSE(Table1[[#This Row],[Mode Digit]],0, IF(QrrSky_Q3&gt;0,QrrSky_Q3,Qrr_Q3)*Fsw*Vout,  IF(QrrSky_Q2&gt;0,QrrSky_Q2,Qrr_Q2)*Fsw*(Table1[[#This Row],[Vin]]-Table1[[#This Row],[Iout]]*Rdson1)+IF(QrrSky_Q3&gt;0,QrrSky_Q3,Qrr_Q3)*Fsw*Vout)</f>
        <v>0</v>
      </c>
      <c r="BC196" s="354">
        <f>CHOOSE(Table1[[#This Row],[Mode Digit]], Rs*Table1[[#This Row],[Irms BuSync]]^2, Rs*Table1[[#This Row],[Irms BoCtlr]]^2, Rs*(Table1[[#This Row],[Irms BuSync]]^2+Table1[[#This Row],[Irms BoCtlr]]^2))</f>
        <v>0.20279671500173457</v>
      </c>
      <c r="BD196" s="354">
        <f t="shared" si="8"/>
        <v>1.44</v>
      </c>
      <c r="BE196" s="354">
        <f>IF(Vout&gt;8, Iq*Vout, Iq*Table1[[#This Row],[Vin]])</f>
        <v>4.3799999999999999E-2</v>
      </c>
      <c r="BF196" s="354">
        <f>CHOOSE(Table1[[#This Row],[Mode Digit]], (Qg_Q1+Qg_Q2)*Fsw, (Qg_Q3+Qg_Q4)*Fsw, (Qg_Q1+Qg_Q2+Qg_Q3+Qg_Q4)*Fsw)*IF(Vout&gt;8, Vout, Table1[[#This Row],[Vin]])</f>
        <v>0.47303999999999996</v>
      </c>
      <c r="BG196" s="354">
        <f t="shared" si="9"/>
        <v>0.57269042016806726</v>
      </c>
      <c r="BH196" s="354">
        <f>Table1[[#This Row],[IQ Loss]]+Table1[[#This Row],[Switching Current Loss]]</f>
        <v>0.51683999999999997</v>
      </c>
      <c r="BI19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11.210842507585594</v>
      </c>
      <c r="BJ196">
        <f>Vout*Table1[[#This Row],[Iout]]</f>
        <v>175.2</v>
      </c>
      <c r="BK196" s="550">
        <f>Table1[[#This Row],[Pout]]/(Table1[[#This Row],[Pout]]+Table1[[#This Row],[Total Loss]])</f>
        <v>0.93985949338151087</v>
      </c>
      <c r="BL19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270.42359469521728</v>
      </c>
      <c r="BM196" s="559">
        <f>IF(Table1[[#This Row],[Vin]]&gt;Vout, Table1[[#This Row],[Total Sync Bu MOSFET Loss]]*ThetaJA_Q2, ThetaJA_Q3*Table1[[#This Row],[Total Sync Bo MOSFET Loss]])</f>
        <v>59.989384730277216</v>
      </c>
      <c r="BN196" s="9"/>
      <c r="BO196" s="4">
        <f>Table1[[#This Row],[EFF, h]]*100</f>
        <v>93.985949338151087</v>
      </c>
      <c r="BP196" s="354">
        <f>Table1[[#This Row],[Total Inductor Loss]]</f>
        <v>2.3438623807972383</v>
      </c>
      <c r="BQ196" s="354">
        <f>Table1[[#This Row],[Total Control Bu MOSFET Loss]]+Table1[[#This Row],[Total Sync Bu MOSFET Loss]]+Table1[[#This Row],[Total Control Bo MOSFET Loss]]+Table1[[#This Row],[Total Sync Bo MOSFET Loss]]+Table1[[#This Row],[Reverse Recovery Loss MOSFET D BUCK]]+Table1[[#This Row],[Reverse Recovery Loss MOSFET D BOOST]]</f>
        <v>6.6238305125047114</v>
      </c>
      <c r="BR196" s="354">
        <f>Table1[[#This Row],[Total Control Bu MOSFET Loss]]+Table1[[#This Row],[Reverse Recovery Loss MOSFET D BUCK]]*0.66</f>
        <v>4.7687335435869542</v>
      </c>
      <c r="BS196" s="354">
        <f>Table1[[#This Row],[Total Sync Bu MOSFET Loss]]+Table1[[#This Row],[Reverse Recovery Loss MOSFET D BUCK]]*0.33</f>
        <v>1.1306598948379536</v>
      </c>
      <c r="BT196" s="354">
        <f xml:space="preserve"> Table1[[#This Row],[Total Control Bo MOSFET Loss]]+Table1[[#This Row],[Reverse Recovery Loss MOSFET D BOOST]]*0.66</f>
        <v>0</v>
      </c>
      <c r="BU196" s="354">
        <f xml:space="preserve"> Table1[[#This Row],[Total Sync Bo MOSFET Loss]]+Table1[[#This Row],[Reverse Recovery Loss MOSFET D BOOST]]*0.33</f>
        <v>0.72047232207980372</v>
      </c>
      <c r="BV196" s="354">
        <f>Table1[[#This Row],[Isense Shunt Loss]]</f>
        <v>0.20279671500173457</v>
      </c>
    </row>
    <row r="197" spans="7:74" x14ac:dyDescent="0.2">
      <c r="G197">
        <v>188</v>
      </c>
      <c r="H197" s="555">
        <f>VIN_min+(VIN_max-VIN_min)*(Table1[[#This Row],[Step]]/200)</f>
        <v>33.159999999999997</v>
      </c>
      <c r="I197" s="4" t="str">
        <f>IF(Mode = 2,IF(Table1[[#This Row],[Vin]]&gt;Vout, "BUCK","BOOST"),IF(Table1[[#This Row],[Vin]]&gt;VIN_BB_to_buck, "BUCK", IF(Table1[[#This Row],[Vin]]&lt;=VIN_boost_to_BB,"BOOST","BUCK-BST")))</f>
        <v>BUCK</v>
      </c>
      <c r="J197">
        <f>IF(Table1[[#This Row],[Mode]]="BOOST",2, IF(Table1[[#This Row],[Mode]]="BUCK", 1,3))</f>
        <v>1</v>
      </c>
      <c r="K197">
        <f t="shared" si="7"/>
        <v>12</v>
      </c>
      <c r="L197" s="4">
        <f>Vout*Table1[[#This Row],[Iout]]/(Table1[[#This Row],[Vin]]*Efficiency)</f>
        <v>5.5615516475144444</v>
      </c>
      <c r="M197" s="711">
        <f>MIN(1/Fsw,CHOOSE(Table1[[#This Row],[Mode Digit]],(Vout+(Rdson2+Rs+Rdcr)*Table1[[#This Row],[Iout]])/(Table1[[#This Row],[Vin]]+(Rs+Rdson2-Rdson1)*Table1[[#This Row],[Iout]])/Fsw,(Vout+(Rdson3+Rdcr)*Table1[[#This Row],[Iin]]-Table1[[#This Row],[Vin]])/(Vout+(Rdson3-Rdson4-Rs)*Table1[[#This Row],[Iin]])/Fsw,t1_Ph_II))</f>
        <v>7.4068494526463806E-7</v>
      </c>
      <c r="N197" s="602">
        <f>CHOOSE(Table1[[#This Row],[Mode Digit]],1/Fsw-Table1[[#This Row],[t1_Ph_II]],1/Fsw-Table1[[#This Row],[t1_Ph_II]],(Vout/Fsw-Table1[[#This Row],[Vin]]*t1_Ph_II)/(Table1[[#This Row],[Vin]]+Vout))</f>
        <v>9.259817214020286E-7</v>
      </c>
      <c r="O197" s="602">
        <f>1/Fsw-(Table1[[#This Row],[t1_Ph_II]]+Table1[[#This Row],[t2_Ph_I]])</f>
        <v>0</v>
      </c>
      <c r="P19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9.3963801924030914</v>
      </c>
      <c r="Q197" s="4">
        <f>CHOOSE(Table1[[#This Row],[Mode Digit]],Table1[[#This Row],[I_0]]+1/Lf*(Table1[[#This Row],[Vin]]-Vout)*Table1[[#This Row],[t1_Ph_II]],Table1[[#This Row],[I_0]]+1/Lf*Table1[[#This Row],[Vin]]*Table1[[#This Row],[t1_Ph_II]],Table1[[#This Row],[I_0]]+(Table1[[#This Row],[Vin]]-Vout)/L*Table1[[#This Row],[t1_Ph_II]])</f>
        <v>14.60361980759691</v>
      </c>
      <c r="R197" s="4">
        <f>CHOOSE(Table1[[#This Row],[Mode Digit]],0,0,Table1[[#This Row],[I_1]]+Table1[[#This Row],[Vin]]/L*Table1[[#This Row],[t2_Ph_I]])</f>
        <v>0</v>
      </c>
      <c r="S197" s="4">
        <f>Fsw*(Table1[[#This Row],[I_0]]*Table1[[#This Row],[t1_Ph_II]]+Table1[[#This Row],[I_1]]*Table1[[#This Row],[t2_Ph_I]]+Table1[[#This Row],[I_2]]*Table1[[#This Row],[t3_Ph_III]])</f>
        <v>12.289465413981098</v>
      </c>
      <c r="T197" s="354">
        <f>MIN(1,CHOOSE(Table1[[#This Row],[Mode Digit]],(Vout+(Rdson2+Rs+Rdcr)*Table1[[#This Row],[Iout]])/(Table1[[#This Row],[Vin]]+(Rs+Rdson2-Rdson1)*Table1[[#This Row],[Iout]]),1,Fsw*Table1[[#This Row],[t2_Ph_I]]+Table1[[#This Row],[t1_Ph_II]]))</f>
        <v>0.44441096715878281</v>
      </c>
      <c r="U197" s="354">
        <f>MIN(1,CHOOSE(Table1[[#This Row],[Mode Digit]],0,(Vout+(Rdson3+Rdcr)*Table1[[#This Row],[Iin]]-Table1[[#This Row],[Vin]])/(Vout+(Rdson3-Rdson4-Rs)*Table1[[#This Row],[Iin]]),Fsw*Table1[[#This Row],[t1_Ph_II]]+Table1[[#This Row],[t3_Ph_III]]))</f>
        <v>0</v>
      </c>
      <c r="V197" s="4">
        <f>MAX(Table1[[#This Row],[I_0]:[I_2]])-MIN(Table1[[#This Row],[I_0]:[I_1]])</f>
        <v>5.2072396151938189</v>
      </c>
      <c r="W19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12.093784024620678</v>
      </c>
      <c r="X197" s="354">
        <f>(Table1[[#This Row],[Irms Lf]]^2*Rdcr*(1+Ltc*Ta-Ltc*25))/(1-Table1[[#This Row],[Irms Lf]]^2*Rdcr*Ltc*ThetaCa)</f>
        <v>0.91006695204808385</v>
      </c>
      <c r="Y197" s="354">
        <f>ABS(7.759*10^-3*Fsw^0.9458*(0.00787*Table1[[#This Row],[Ripple Current pk-pk]])^2.304)</f>
        <v>1.4393645819471474</v>
      </c>
      <c r="Z197" s="354">
        <f>Table1[[#This Row],[DCR    Loss]]+Table1[[#This Row],[Core Loss]]</f>
        <v>2.3494315339952312</v>
      </c>
      <c r="AA197" s="4">
        <f>IF(Table1[[#This Row],[Vin]]&gt;Vout, Table1[[#This Row],[Ripple Current pk-pk]]/SQRT(12), SQRT(Table1[[#This Row],[Duty Cycle BOOST Leg]]/(1-Table1[[#This Row],[Duty Cycle BOOST Leg]]))*SQRT(Table1[[#This Row],[Iout]]^2+(Table1[[#This Row],[Ripple Current pk-pk]]^2)/12))</f>
        <v>1.5032005967835174</v>
      </c>
      <c r="AB197" s="354">
        <f>RCoutEsr*Table1[[#This Row],[Irms Cout]]^2</f>
        <v>1.1298060170851615E-2</v>
      </c>
      <c r="AC197" s="354">
        <f>Table1[[#This Row],[Cout ESR Loss]]</f>
        <v>1.1298060170851615E-2</v>
      </c>
      <c r="AD197" s="354">
        <f>IF(Table1[[#This Row],[Vin]]&gt;Vout, SQRT(Table1[[#This Row],[Duty Cycle BUCK Leg]]*(1-Table1[[#This Row],[Duty Cycle BUCK Leg]]))*SQRT(Table1[[#This Row],[Iout]]^2+(Table1[[#This Row],[Ripple Current pk-pk]]^2)/12), Table1[[#This Row],[Ripple Current pk-pk]]/SQRT(12))</f>
        <v>6.0094043171780642</v>
      </c>
      <c r="AE197" s="354">
        <f>RCinEsr*Table1[[#This Row],[Irms Cin]]^2</f>
        <v>7.2225880494636713E-2</v>
      </c>
      <c r="AF197" s="549">
        <f>Table1[[#This Row],[Cin ESR Loss]]</f>
        <v>7.2225880494636713E-2</v>
      </c>
      <c r="AG19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8.062219027065316</v>
      </c>
      <c r="AH197" s="354">
        <f>Rdson1*Table1[[#This Row],[Irms BuCtrl]]^2</f>
        <v>0.27299737768957089</v>
      </c>
      <c r="AI197" s="354">
        <f>CHOOSE(Table1[[#This Row],[Mode Digit]], (Table1[[#This Row],[Vin]]*Table1[[#This Row],[Iout]]/2)*(Fsw)*(Tr_buck+Tf_buck), 0, (Table1[[#This Row],[Vin]]*Table1[[#This Row],[Avg IL]]/2)*(Fsw/1)*(Tr_buck+Tf_buck))</f>
        <v>3.9459207338856337</v>
      </c>
      <c r="AJ197">
        <f>IF(Table1[[#This Row],[Vin]]&gt;Vout, IF(Table1[[#This Row],[Iout]]&gt;Table1[[#This Row],[Ripple Current pk-pk]]/2,0,ABS(Table1[[#This Row],[Iout]]-Table1[[#This Row],[Ripple Current pk-pk]]/2)*Vsd_Q1*Deadtime*Fsw),0)</f>
        <v>0</v>
      </c>
      <c r="AK197" s="354">
        <f>(Table1[[#This Row],[Dead Time Loss BuCtrl]]+Table1[[#This Row],[Transition Loss BuCtrl]]+Table1[[#This Row],[RDS(on) Loss BuCtrl]]*(1+RdsonTopTc*Ta-RdsonTopTc*25))/(1-Table1[[#This Row],[RDS(on) Loss BuCtrl]]*RdsonTopTc*ThetaJA_Q1)</f>
        <v>4.5147197053077956</v>
      </c>
      <c r="AL197" s="354">
        <f>CHOOSE(Table1[[#This Row],[Mode Digit]],SQRT((Fsw*(Table1[[#This Row],[t2_Ph_I]]+0))*((Table1[[#This Row],[I_0]]*Table1[[#This Row],[I_1]]+((Table1[[#This Row],[I_0]]-Table1[[#This Row],[I_1]])^2)/3))),0,SQRT((Fsw*(Table1[[#This Row],[t3_Ph_III]]+0))*((Table1[[#This Row],[I_0]]*Table1[[#This Row],[I_2]]+((Table1[[#This Row],[I_0]]-Table1[[#This Row],[I_2]])^2)/3))))</f>
        <v>9.0144459837416715</v>
      </c>
      <c r="AM197" s="354">
        <f>Rdson2*Table1[[#This Row],[Irms BuSync]]^2</f>
        <v>0.34129299285394471</v>
      </c>
      <c r="AN19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7" s="354">
        <f>(Table1[[#This Row],[Deadtime Loss BuSync]]+Table1[[#This Row],[RDS(on) Loss BuSync]]*(1+RdsonBotTc*Ta-RdsonBotTc*25))/(1-Table1[[#This Row],[RDS(on) Loss BuSync]]*RdsonBotTc*ThetaJA_Q2)</f>
        <v>1.0006260169586552</v>
      </c>
      <c r="AP197" s="354">
        <f>CHOOSE(Table1[[#This Row],[Mode Digit]],0,SQRT((Fsw*(Table1[[#This Row],[t1_Ph_II]]+0))*((Table1[[#This Row],[I_0]]*Table1[[#This Row],[I_1]]+((Table1[[#This Row],[I_0]]-Table1[[#This Row],[I_1]])^2)/3))),SQRT((Fsw*(Table1[[#This Row],[t2_Ph_I]]+0))*((Table1[[#This Row],[I_1]]*Table1[[#This Row],[I_2]]+((Table1[[#This Row],[I_1]]-Table1[[#This Row],[I_2]])^2)/3))))</f>
        <v>0</v>
      </c>
      <c r="AQ197" s="354">
        <f>Rdson4*Table1[[#This Row],[Irms BoCtlr]]^2</f>
        <v>0</v>
      </c>
      <c r="AR197" s="354">
        <f>CHOOSE(Table1[[#This Row],[Mode Digit]], 0, (Vout*Table1[[#This Row],[Iin]]/2)*(Fsw)*(Tr_boost+Tf_boost), (Vout*Iout/2)*(Fsw/1)*(Tr_boost+Tf_boost))</f>
        <v>0</v>
      </c>
      <c r="AS197">
        <f>IF(Table1[[#This Row],[Vin]]&gt;Vout, 0, IF(Table1[[#This Row],[Iin]]&gt;Table1[[#This Row],[Ripple Current pk-pk]]/2,0,ABS(Table1[[#This Row],[Iin]]-Table1[[#This Row],[Ripple Current pk-pk]]/2)*Vsd_Q4*Deadtime*Fsw))</f>
        <v>0</v>
      </c>
      <c r="AT197" s="354">
        <f>(Table1[[#This Row],[Dead Time Loss BoCtlr]]+Table1[[#This Row],[Transition Loss BoCtlr]]+Table1[[#This Row],[RDS(on) Loss BoCtlr]]*(1+RdsonTopTc*Ta-RdsonTopTc*25))/(1-Table1[[#This Row],[RDS(on) Loss BoCtlr]]*RdsonTopTc*ThetaJA_Q4)</f>
        <v>0</v>
      </c>
      <c r="AU19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12.093784024620678</v>
      </c>
      <c r="AV197" s="354">
        <f>Rdson3*Table1[[#This Row],[Irms BoSync]]^2</f>
        <v>0.61429037054351543</v>
      </c>
      <c r="AW19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7" s="354">
        <f>(Table1[[#This Row],[Deadtime Loss BoSync]]+Table1[[#This Row],[RDS(on) Loss BoSync]]*(1+RdsonBotTc*Ta-RdsonBotTc*25))/(1-Table1[[#This Row],[RDS(on) Loss BoSync]]*RdsonBotTc*ThetaJA_Q3)</f>
        <v>0.72051578921729431</v>
      </c>
      <c r="AY197" s="354">
        <f>CHOOSE(Table1[[#This Row],[Mode Digit]], Rdson3*Table1[[#This Row],[Irms Lf]]^2, Rdson1*Table1[[#This Row],[Irms Lf]]^2, 0)</f>
        <v>0.61429037054351543</v>
      </c>
      <c r="AZ197" s="354">
        <f>CHOOSE(Table1[[#This Row],[Mode Digit]], 2*Deadtime*Fsw*IF(VfdSky_Q2&gt;0,VfdSky_Q2,0)*Table1[[#This Row],[Iout]], 2*Deadtime*Fsw*IF(VfdSky_Q3&gt;0,VfdSky_Q3,0)*Table1[[#This Row],[Iin]], 2*Deadtime*Fsw*IF(VfdSky_Q2&gt;0,VfdSky_Q2,0)*Table1[[#This Row],[Iout]]+2*Deadtime*Fsw*IF(VfdSky_Q3&gt;0,VfdSky_Q3,0)*Table1[[#This Row],[Iin]])</f>
        <v>0</v>
      </c>
      <c r="BA197" s="354">
        <f>CHOOSE(Table1[[#This Row],[Mode Digit]], IF(QrrSky_Q2&gt;0,QrrSky_Q2,Qrr_Q2)*Fsw*(Table1[[#This Row],[Vin]]-Table1[[#This Row],[Iout]]*Rdson1),0,  IF(QrrSky_Q2&gt;0,QrrSky_Q2,Qrr_Q2)*Fsw*(Table1[[#This Row],[Vin]]-Table1[[#This Row],[Iout]]*Rdson1)+IF(QrrSky_Q3&gt;0,QrrSky_Q3,Qrr_Q3)*Fsw*Vout)</f>
        <v>0.39731519999999992</v>
      </c>
      <c r="BB197" s="354">
        <f>CHOOSE(Table1[[#This Row],[Mode Digit]],0, IF(QrrSky_Q3&gt;0,QrrSky_Q3,Qrr_Q3)*Fsw*Vout,  IF(QrrSky_Q2&gt;0,QrrSky_Q2,Qrr_Q2)*Fsw*(Table1[[#This Row],[Vin]]-Table1[[#This Row],[Iout]]*Rdson1)+IF(QrrSky_Q3&gt;0,QrrSky_Q3,Qrr_Q3)*Fsw*Vout)</f>
        <v>0</v>
      </c>
      <c r="BC197" s="354">
        <f>CHOOSE(Table1[[#This Row],[Mode Digit]], Rs*Table1[[#This Row],[Irms BuSync]]^2, Rs*Table1[[#This Row],[Irms BoCtlr]]^2, Rs*(Table1[[#This Row],[Irms BuSync]]^2+Table1[[#This Row],[Irms BoCtlr]]^2))</f>
        <v>0.20315059098449087</v>
      </c>
      <c r="BD197" s="354">
        <f t="shared" si="8"/>
        <v>1.44</v>
      </c>
      <c r="BE197" s="354">
        <f>IF(Vout&gt;8, Iq*Vout, Iq*Table1[[#This Row],[Vin]])</f>
        <v>4.3799999999999999E-2</v>
      </c>
      <c r="BF197" s="354">
        <f>CHOOSE(Table1[[#This Row],[Mode Digit]], (Qg_Q1+Qg_Q2)*Fsw, (Qg_Q3+Qg_Q4)*Fsw, (Qg_Q1+Qg_Q2+Qg_Q3+Qg_Q4)*Fsw)*IF(Vout&gt;8, Vout, Table1[[#This Row],[Vin]])</f>
        <v>0.47303999999999996</v>
      </c>
      <c r="BG197" s="354">
        <f t="shared" si="9"/>
        <v>0.57269042016806726</v>
      </c>
      <c r="BH197" s="354">
        <f>Table1[[#This Row],[IQ Loss]]+Table1[[#This Row],[Switching Current Loss]]</f>
        <v>0.51683999999999997</v>
      </c>
      <c r="BI19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11.226122777128955</v>
      </c>
      <c r="BJ197">
        <f>Vout*Table1[[#This Row],[Iout]]</f>
        <v>175.2</v>
      </c>
      <c r="BK197" s="550">
        <f>Table1[[#This Row],[Pout]]/(Table1[[#This Row],[Pout]]+Table1[[#This Row],[Total Loss]])</f>
        <v>0.9397824585423058</v>
      </c>
      <c r="BL19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270.88318231846773</v>
      </c>
      <c r="BM197" s="559">
        <f>IF(Table1[[#This Row],[Vin]]&gt;Vout, Table1[[#This Row],[Total Sync Bu MOSFET Loss]]*ThetaJA_Q2, ThetaJA_Q3*Table1[[#This Row],[Total Sync Bo MOSFET Loss]])</f>
        <v>60.037561017519309</v>
      </c>
      <c r="BN197" s="9"/>
      <c r="BO197" s="4">
        <f>Table1[[#This Row],[EFF, h]]*100</f>
        <v>93.978245854230579</v>
      </c>
      <c r="BP197" s="354">
        <f>Table1[[#This Row],[Total Inductor Loss]]</f>
        <v>2.3494315339952312</v>
      </c>
      <c r="BQ197" s="354">
        <f>Table1[[#This Row],[Total Control Bu MOSFET Loss]]+Table1[[#This Row],[Total Sync Bu MOSFET Loss]]+Table1[[#This Row],[Total Control Bo MOSFET Loss]]+Table1[[#This Row],[Total Sync Bo MOSFET Loss]]+Table1[[#This Row],[Reverse Recovery Loss MOSFET D BUCK]]+Table1[[#This Row],[Reverse Recovery Loss MOSFET D BOOST]]</f>
        <v>6.6331767114837445</v>
      </c>
      <c r="BR197" s="354">
        <f>Table1[[#This Row],[Total Control Bu MOSFET Loss]]+Table1[[#This Row],[Reverse Recovery Loss MOSFET D BUCK]]*0.66</f>
        <v>4.776947737307796</v>
      </c>
      <c r="BS197" s="354">
        <f>Table1[[#This Row],[Total Sync Bu MOSFET Loss]]+Table1[[#This Row],[Reverse Recovery Loss MOSFET D BUCK]]*0.33</f>
        <v>1.1317400329586551</v>
      </c>
      <c r="BT197" s="354">
        <f xml:space="preserve"> Table1[[#This Row],[Total Control Bo MOSFET Loss]]+Table1[[#This Row],[Reverse Recovery Loss MOSFET D BOOST]]*0.66</f>
        <v>0</v>
      </c>
      <c r="BU197" s="354">
        <f xml:space="preserve"> Table1[[#This Row],[Total Sync Bo MOSFET Loss]]+Table1[[#This Row],[Reverse Recovery Loss MOSFET D BOOST]]*0.33</f>
        <v>0.72051578921729431</v>
      </c>
      <c r="BV197" s="354">
        <f>Table1[[#This Row],[Isense Shunt Loss]]</f>
        <v>0.20315059098449087</v>
      </c>
    </row>
    <row r="198" spans="7:74" x14ac:dyDescent="0.2">
      <c r="G198">
        <v>189</v>
      </c>
      <c r="H198" s="555">
        <f>VIN_min+(VIN_max-VIN_min)*(Table1[[#This Row],[Step]]/200)</f>
        <v>33.229999999999997</v>
      </c>
      <c r="I198" s="4" t="str">
        <f>IF(Mode = 2,IF(Table1[[#This Row],[Vin]]&gt;Vout, "BUCK","BOOST"),IF(Table1[[#This Row],[Vin]]&gt;VIN_BB_to_buck, "BUCK", IF(Table1[[#This Row],[Vin]]&lt;=VIN_boost_to_BB,"BOOST","BUCK-BST")))</f>
        <v>BUCK</v>
      </c>
      <c r="J198">
        <f>IF(Table1[[#This Row],[Mode]]="BOOST",2, IF(Table1[[#This Row],[Mode]]="BUCK", 1,3))</f>
        <v>1</v>
      </c>
      <c r="K198">
        <f t="shared" si="7"/>
        <v>12</v>
      </c>
      <c r="L198" s="4">
        <f>Vout*Table1[[#This Row],[Iout]]/(Table1[[#This Row],[Vin]]*Efficiency)</f>
        <v>5.5498360707667453</v>
      </c>
      <c r="M198" s="711">
        <f>MIN(1/Fsw,CHOOSE(Table1[[#This Row],[Mode Digit]],(Vout+(Rdson2+Rs+Rdcr)*Table1[[#This Row],[Iout]])/(Table1[[#This Row],[Vin]]+(Rs+Rdson2-Rdson1)*Table1[[#This Row],[Iout]])/Fsw,(Vout+(Rdson3+Rdcr)*Table1[[#This Row],[Iin]]-Table1[[#This Row],[Vin]])/(Vout+(Rdson3-Rdson4-Rs)*Table1[[#This Row],[Iin]])/Fsw,t1_Ph_II))</f>
        <v>7.3912607737021458E-7</v>
      </c>
      <c r="N198" s="602">
        <f>CHOOSE(Table1[[#This Row],[Mode Digit]],1/Fsw-Table1[[#This Row],[t1_Ph_II]],1/Fsw-Table1[[#This Row],[t1_Ph_II]],(Vout/Fsw-Table1[[#This Row],[Vin]]*t1_Ph_II)/(Table1[[#This Row],[Vin]]+Vout))</f>
        <v>9.2754058929645208E-7</v>
      </c>
      <c r="O198" s="602">
        <f>1/Fsw-(Table1[[#This Row],[t1_Ph_II]]+Table1[[#This Row],[t2_Ph_I]])</f>
        <v>0</v>
      </c>
      <c r="P19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9.3920608292789591</v>
      </c>
      <c r="Q198" s="4">
        <f>CHOOSE(Table1[[#This Row],[Mode Digit]],Table1[[#This Row],[I_0]]+1/Lf*(Table1[[#This Row],[Vin]]-Vout)*Table1[[#This Row],[t1_Ph_II]],Table1[[#This Row],[I_0]]+1/Lf*Table1[[#This Row],[Vin]]*Table1[[#This Row],[t1_Ph_II]],Table1[[#This Row],[I_0]]+(Table1[[#This Row],[Vin]]-Vout)/L*Table1[[#This Row],[t1_Ph_II]])</f>
        <v>14.607939170721039</v>
      </c>
      <c r="R198" s="4">
        <f>CHOOSE(Table1[[#This Row],[Mode Digit]],0,0,Table1[[#This Row],[I_1]]+Table1[[#This Row],[Vin]]/L*Table1[[#This Row],[t2_Ph_I]])</f>
        <v>0</v>
      </c>
      <c r="S198" s="4">
        <f>Fsw*(Table1[[#This Row],[I_0]]*Table1[[#This Row],[t1_Ph_II]]+Table1[[#This Row],[I_1]]*Table1[[#This Row],[t2_Ph_I]]+Table1[[#This Row],[I_2]]*Table1[[#This Row],[t3_Ph_III]])</f>
        <v>12.294824151590831</v>
      </c>
      <c r="T198" s="354">
        <f>MIN(1,CHOOSE(Table1[[#This Row],[Mode Digit]],(Vout+(Rdson2+Rs+Rdcr)*Table1[[#This Row],[Iout]])/(Table1[[#This Row],[Vin]]+(Rs+Rdson2-Rdson1)*Table1[[#This Row],[Iout]]),1,Fsw*Table1[[#This Row],[t2_Ph_I]]+Table1[[#This Row],[t1_Ph_II]]))</f>
        <v>0.44347564642212872</v>
      </c>
      <c r="U198" s="354">
        <f>MIN(1,CHOOSE(Table1[[#This Row],[Mode Digit]],0,(Vout+(Rdson3+Rdcr)*Table1[[#This Row],[Iin]]-Table1[[#This Row],[Vin]])/(Vout+(Rdson3-Rdson4-Rs)*Table1[[#This Row],[Iin]]),Fsw*Table1[[#This Row],[t1_Ph_II]]+Table1[[#This Row],[t3_Ph_III]]))</f>
        <v>0</v>
      </c>
      <c r="V198" s="4">
        <f>MAX(Table1[[#This Row],[I_0]:[I_2]])-MIN(Table1[[#This Row],[I_0]:[I_1]])</f>
        <v>5.21587834144208</v>
      </c>
      <c r="W19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12.094094243585463</v>
      </c>
      <c r="X198" s="354">
        <f>(Table1[[#This Row],[Irms Lf]]^2*Rdcr*(1+Ltc*Ta-Ltc*25))/(1-Table1[[#This Row],[Irms Lf]]^2*Rdcr*Ltc*ThetaCa)</f>
        <v>0.91011704049899866</v>
      </c>
      <c r="Y198" s="354">
        <f>ABS(7.759*10^-3*Fsw^0.9458*(0.00787*Table1[[#This Row],[Ripple Current pk-pk]])^2.304)</f>
        <v>1.4448722152700855</v>
      </c>
      <c r="Z198" s="354">
        <f>Table1[[#This Row],[DCR    Loss]]+Table1[[#This Row],[Core Loss]]</f>
        <v>2.3549892557690839</v>
      </c>
      <c r="AA198" s="4">
        <f>IF(Table1[[#This Row],[Vin]]&gt;Vout, Table1[[#This Row],[Ripple Current pk-pk]]/SQRT(12), SQRT(Table1[[#This Row],[Duty Cycle BOOST Leg]]/(1-Table1[[#This Row],[Duty Cycle BOOST Leg]]))*SQRT(Table1[[#This Row],[Iout]]^2+(Table1[[#This Row],[Ripple Current pk-pk]]^2)/12))</f>
        <v>1.5056943822459619</v>
      </c>
      <c r="AB198" s="354">
        <f>RCoutEsr*Table1[[#This Row],[Irms Cout]]^2</f>
        <v>1.1335577863635244E-2</v>
      </c>
      <c r="AC198" s="354">
        <f>Table1[[#This Row],[Cout ESR Loss]]</f>
        <v>1.1335577863635244E-2</v>
      </c>
      <c r="AD198" s="354">
        <f>IF(Table1[[#This Row],[Vin]]&gt;Vout, SQRT(Table1[[#This Row],[Duty Cycle BUCK Leg]]*(1-Table1[[#This Row],[Duty Cycle BUCK Leg]]))*SQRT(Table1[[#This Row],[Iout]]^2+(Table1[[#This Row],[Ripple Current pk-pk]]^2)/12), Table1[[#This Row],[Ripple Current pk-pk]]/SQRT(12))</f>
        <v>6.0082822076136368</v>
      </c>
      <c r="AE198" s="354">
        <f>RCinEsr*Table1[[#This Row],[Irms Cin]]^2</f>
        <v>7.2198910172653202E-2</v>
      </c>
      <c r="AF198" s="549">
        <f>Table1[[#This Row],[Cin ESR Loss]]</f>
        <v>7.2198910172653202E-2</v>
      </c>
      <c r="AG19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8.053937150792482</v>
      </c>
      <c r="AH198" s="354">
        <f>Rdson1*Table1[[#This Row],[Irms BuCtrl]]^2</f>
        <v>0.27243679524144437</v>
      </c>
      <c r="AI198" s="354">
        <f>CHOOSE(Table1[[#This Row],[Mode Digit]], (Table1[[#This Row],[Vin]]*Table1[[#This Row],[Iout]]/2)*(Fsw)*(Tr_buck+Tf_buck), 0, (Table1[[#This Row],[Vin]]*Table1[[#This Row],[Avg IL]]/2)*(Fsw/1)*(Tr_buck+Tf_buck))</f>
        <v>3.9542504821176001</v>
      </c>
      <c r="AJ198">
        <f>IF(Table1[[#This Row],[Vin]]&gt;Vout, IF(Table1[[#This Row],[Iout]]&gt;Table1[[#This Row],[Ripple Current pk-pk]]/2,0,ABS(Table1[[#This Row],[Iout]]-Table1[[#This Row],[Ripple Current pk-pk]]/2)*Vsd_Q1*Deadtime*Fsw),0)</f>
        <v>0</v>
      </c>
      <c r="AK198" s="354">
        <f>(Table1[[#This Row],[Dead Time Loss BuCtrl]]+Table1[[#This Row],[Transition Loss BuCtrl]]+Table1[[#This Row],[RDS(on) Loss BuCtrl]]*(1+RdsonTopTc*Ta-RdsonTopTc*25))/(1-Table1[[#This Row],[RDS(on) Loss BuCtrl]]*RdsonTopTc*ThetaJA_Q1)</f>
        <v>4.5223824916505553</v>
      </c>
      <c r="AL198" s="354">
        <f>CHOOSE(Table1[[#This Row],[Mode Digit]],SQRT((Fsw*(Table1[[#This Row],[t2_Ph_I]]+0))*((Table1[[#This Row],[I_0]]*Table1[[#This Row],[I_1]]+((Table1[[#This Row],[I_0]]-Table1[[#This Row],[I_1]])^2)/3))),0,SQRT((Fsw*(Table1[[#This Row],[t3_Ph_III]]+0))*((Table1[[#This Row],[I_0]]*Table1[[#This Row],[I_2]]+((Table1[[#This Row],[I_0]]-Table1[[#This Row],[I_2]])^2)/3))))</f>
        <v>9.0222620192395038</v>
      </c>
      <c r="AM198" s="354">
        <f>Rdson2*Table1[[#This Row],[Irms BuSync]]^2</f>
        <v>0.34188509016400914</v>
      </c>
      <c r="AN19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8" s="354">
        <f>(Table1[[#This Row],[Deadtime Loss BuSync]]+Table1[[#This Row],[RDS(on) Loss BuSync]]*(1+RdsonBotTc*Ta-RdsonBotTc*25))/(1-Table1[[#This Row],[RDS(on) Loss BuSync]]*RdsonBotTc*ThetaJA_Q2)</f>
        <v>1.0014259424020024</v>
      </c>
      <c r="AP198" s="354">
        <f>CHOOSE(Table1[[#This Row],[Mode Digit]],0,SQRT((Fsw*(Table1[[#This Row],[t1_Ph_II]]+0))*((Table1[[#This Row],[I_0]]*Table1[[#This Row],[I_1]]+((Table1[[#This Row],[I_0]]-Table1[[#This Row],[I_1]])^2)/3))),SQRT((Fsw*(Table1[[#This Row],[t2_Ph_I]]+0))*((Table1[[#This Row],[I_1]]*Table1[[#This Row],[I_2]]+((Table1[[#This Row],[I_1]]-Table1[[#This Row],[I_2]])^2)/3))))</f>
        <v>0</v>
      </c>
      <c r="AQ198" s="354">
        <f>Rdson4*Table1[[#This Row],[Irms BoCtlr]]^2</f>
        <v>0</v>
      </c>
      <c r="AR198" s="354">
        <f>CHOOSE(Table1[[#This Row],[Mode Digit]], 0, (Vout*Table1[[#This Row],[Iin]]/2)*(Fsw)*(Tr_boost+Tf_boost), (Vout*Iout/2)*(Fsw/1)*(Tr_boost+Tf_boost))</f>
        <v>0</v>
      </c>
      <c r="AS198">
        <f>IF(Table1[[#This Row],[Vin]]&gt;Vout, 0, IF(Table1[[#This Row],[Iin]]&gt;Table1[[#This Row],[Ripple Current pk-pk]]/2,0,ABS(Table1[[#This Row],[Iin]]-Table1[[#This Row],[Ripple Current pk-pk]]/2)*Vsd_Q4*Deadtime*Fsw))</f>
        <v>0</v>
      </c>
      <c r="AT198" s="354">
        <f>(Table1[[#This Row],[Dead Time Loss BoCtlr]]+Table1[[#This Row],[Transition Loss BoCtlr]]+Table1[[#This Row],[RDS(on) Loss BoCtlr]]*(1+RdsonTopTc*Ta-RdsonTopTc*25))/(1-Table1[[#This Row],[RDS(on) Loss BoCtlr]]*RdsonTopTc*ThetaJA_Q4)</f>
        <v>0</v>
      </c>
      <c r="AU19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12.094094243585463</v>
      </c>
      <c r="AV198" s="354">
        <f>Rdson3*Table1[[#This Row],[Irms BoSync]]^2</f>
        <v>0.61432188540545363</v>
      </c>
      <c r="AW19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8" s="354">
        <f>(Table1[[#This Row],[Deadtime Loss BoSync]]+Table1[[#This Row],[RDS(on) Loss BoSync]]*(1+RdsonBotTc*Ta-RdsonBotTc*25))/(1-Table1[[#This Row],[RDS(on) Loss BoSync]]*RdsonBotTc*ThetaJA_Q3)</f>
        <v>0.72055914618004646</v>
      </c>
      <c r="AY198" s="354">
        <f>CHOOSE(Table1[[#This Row],[Mode Digit]], Rdson3*Table1[[#This Row],[Irms Lf]]^2, Rdson1*Table1[[#This Row],[Irms Lf]]^2, 0)</f>
        <v>0.61432188540545363</v>
      </c>
      <c r="AZ198" s="354">
        <f>CHOOSE(Table1[[#This Row],[Mode Digit]], 2*Deadtime*Fsw*IF(VfdSky_Q2&gt;0,VfdSky_Q2,0)*Table1[[#This Row],[Iout]], 2*Deadtime*Fsw*IF(VfdSky_Q3&gt;0,VfdSky_Q3,0)*Table1[[#This Row],[Iin]], 2*Deadtime*Fsw*IF(VfdSky_Q2&gt;0,VfdSky_Q2,0)*Table1[[#This Row],[Iout]]+2*Deadtime*Fsw*IF(VfdSky_Q3&gt;0,VfdSky_Q3,0)*Table1[[#This Row],[Iin]])</f>
        <v>0</v>
      </c>
      <c r="BA198" s="354">
        <f>CHOOSE(Table1[[#This Row],[Mode Digit]], IF(QrrSky_Q2&gt;0,QrrSky_Q2,Qrr_Q2)*Fsw*(Table1[[#This Row],[Vin]]-Table1[[#This Row],[Iout]]*Rdson1),0,  IF(QrrSky_Q2&gt;0,QrrSky_Q2,Qrr_Q2)*Fsw*(Table1[[#This Row],[Vin]]-Table1[[#This Row],[Iout]]*Rdson1)+IF(QrrSky_Q3&gt;0,QrrSky_Q3,Qrr_Q3)*Fsw*Vout)</f>
        <v>0.39815519999999993</v>
      </c>
      <c r="BB198" s="354">
        <f>CHOOSE(Table1[[#This Row],[Mode Digit]],0, IF(QrrSky_Q3&gt;0,QrrSky_Q3,Qrr_Q3)*Fsw*Vout,  IF(QrrSky_Q2&gt;0,QrrSky_Q2,Qrr_Q2)*Fsw*(Table1[[#This Row],[Vin]]-Table1[[#This Row],[Iout]]*Rdson1)+IF(QrrSky_Q3&gt;0,QrrSky_Q3,Qrr_Q3)*Fsw*Vout)</f>
        <v>0</v>
      </c>
      <c r="BC198" s="354">
        <f>CHOOSE(Table1[[#This Row],[Mode Digit]], Rs*Table1[[#This Row],[Irms BuSync]]^2, Rs*Table1[[#This Row],[Irms BoCtlr]]^2, Rs*(Table1[[#This Row],[Irms BuSync]]^2+Table1[[#This Row],[Irms BoCtlr]]^2))</f>
        <v>0.20350302985952923</v>
      </c>
      <c r="BD198" s="354">
        <f t="shared" si="8"/>
        <v>1.44</v>
      </c>
      <c r="BE198" s="354">
        <f>IF(Vout&gt;8, Iq*Vout, Iq*Table1[[#This Row],[Vin]])</f>
        <v>4.3799999999999999E-2</v>
      </c>
      <c r="BF198" s="354">
        <f>CHOOSE(Table1[[#This Row],[Mode Digit]], (Qg_Q1+Qg_Q2)*Fsw, (Qg_Q3+Qg_Q4)*Fsw, (Qg_Q1+Qg_Q2+Qg_Q3+Qg_Q4)*Fsw)*IF(Vout&gt;8, Vout, Table1[[#This Row],[Vin]])</f>
        <v>0.47303999999999996</v>
      </c>
      <c r="BG198" s="354">
        <f t="shared" si="9"/>
        <v>0.57269042016806726</v>
      </c>
      <c r="BH198" s="354">
        <f>Table1[[#This Row],[IQ Loss]]+Table1[[#This Row],[Switching Current Loss]]</f>
        <v>0.51683999999999997</v>
      </c>
      <c r="BI19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11.241389553897504</v>
      </c>
      <c r="BJ198">
        <f>Vout*Table1[[#This Row],[Iout]]</f>
        <v>175.2</v>
      </c>
      <c r="BK198" s="550">
        <f>Table1[[#This Row],[Pout]]/(Table1[[#This Row],[Pout]]+Table1[[#This Row],[Total Loss]])</f>
        <v>0.93970550433680511</v>
      </c>
      <c r="BL19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271.3429494990333</v>
      </c>
      <c r="BM198" s="559">
        <f>IF(Table1[[#This Row],[Vin]]&gt;Vout, Table1[[#This Row],[Total Sync Bu MOSFET Loss]]*ThetaJA_Q2, ThetaJA_Q3*Table1[[#This Row],[Total Sync Bo MOSFET Loss]])</f>
        <v>60.085556544120145</v>
      </c>
      <c r="BN198" s="9"/>
      <c r="BO198" s="4">
        <f>Table1[[#This Row],[EFF, h]]*100</f>
        <v>93.970550433680515</v>
      </c>
      <c r="BP198" s="354">
        <f>Table1[[#This Row],[Total Inductor Loss]]</f>
        <v>2.3549892557690839</v>
      </c>
      <c r="BQ198" s="354">
        <f>Table1[[#This Row],[Total Control Bu MOSFET Loss]]+Table1[[#This Row],[Total Sync Bu MOSFET Loss]]+Table1[[#This Row],[Total Control Bo MOSFET Loss]]+Table1[[#This Row],[Total Sync Bo MOSFET Loss]]+Table1[[#This Row],[Reverse Recovery Loss MOSFET D BUCK]]+Table1[[#This Row],[Reverse Recovery Loss MOSFET D BOOST]]</f>
        <v>6.6425227802326043</v>
      </c>
      <c r="BR198" s="354">
        <f>Table1[[#This Row],[Total Control Bu MOSFET Loss]]+Table1[[#This Row],[Reverse Recovery Loss MOSFET D BUCK]]*0.66</f>
        <v>4.7851649236505551</v>
      </c>
      <c r="BS198" s="354">
        <f>Table1[[#This Row],[Total Sync Bu MOSFET Loss]]+Table1[[#This Row],[Reverse Recovery Loss MOSFET D BUCK]]*0.33</f>
        <v>1.1328171584020024</v>
      </c>
      <c r="BT198" s="354">
        <f xml:space="preserve"> Table1[[#This Row],[Total Control Bo MOSFET Loss]]+Table1[[#This Row],[Reverse Recovery Loss MOSFET D BOOST]]*0.66</f>
        <v>0</v>
      </c>
      <c r="BU198" s="354">
        <f xml:space="preserve"> Table1[[#This Row],[Total Sync Bo MOSFET Loss]]+Table1[[#This Row],[Reverse Recovery Loss MOSFET D BOOST]]*0.33</f>
        <v>0.72055914618004646</v>
      </c>
      <c r="BV198" s="354">
        <f>Table1[[#This Row],[Isense Shunt Loss]]</f>
        <v>0.20350302985952923</v>
      </c>
    </row>
    <row r="199" spans="7:74" x14ac:dyDescent="0.2">
      <c r="G199">
        <v>190</v>
      </c>
      <c r="H199" s="555">
        <f>VIN_min+(VIN_max-VIN_min)*(Table1[[#This Row],[Step]]/200)</f>
        <v>33.299999999999997</v>
      </c>
      <c r="I199" s="4" t="str">
        <f>IF(Mode = 2,IF(Table1[[#This Row],[Vin]]&gt;Vout, "BUCK","BOOST"),IF(Table1[[#This Row],[Vin]]&gt;VIN_BB_to_buck, "BUCK", IF(Table1[[#This Row],[Vin]]&lt;=VIN_boost_to_BB,"BOOST","BUCK-BST")))</f>
        <v>BUCK</v>
      </c>
      <c r="J199">
        <f>IF(Table1[[#This Row],[Mode]]="BOOST",2, IF(Table1[[#This Row],[Mode]]="BUCK", 1,3))</f>
        <v>1</v>
      </c>
      <c r="K199">
        <f t="shared" si="7"/>
        <v>12</v>
      </c>
      <c r="L199" s="4">
        <f>Vout*Table1[[#This Row],[Iout]]/(Table1[[#This Row],[Vin]]*Efficiency)</f>
        <v>5.538169748696065</v>
      </c>
      <c r="M199" s="711">
        <f>MIN(1/Fsw,CHOOSE(Table1[[#This Row],[Mode Digit]],(Vout+(Rdson2+Rs+Rdcr)*Table1[[#This Row],[Iout]])/(Table1[[#This Row],[Vin]]+(Rs+Rdson2-Rdson1)*Table1[[#This Row],[Iout]])/Fsw,(Vout+(Rdson3+Rdcr)*Table1[[#This Row],[Iin]]-Table1[[#This Row],[Vin]])/(Vout+(Rdson3-Rdson4-Rs)*Table1[[#This Row],[Iin]])/Fsw,t1_Ph_II))</f>
        <v>7.375737573757376E-7</v>
      </c>
      <c r="N199" s="602">
        <f>CHOOSE(Table1[[#This Row],[Mode Digit]],1/Fsw-Table1[[#This Row],[t1_Ph_II]],1/Fsw-Table1[[#This Row],[t1_Ph_II]],(Vout/Fsw-Table1[[#This Row],[Vin]]*t1_Ph_II)/(Table1[[#This Row],[Vin]]+Vout))</f>
        <v>9.2909290929092906E-7</v>
      </c>
      <c r="O199" s="602">
        <f>1/Fsw-(Table1[[#This Row],[t1_Ph_II]]+Table1[[#This Row],[t2_Ph_I]])</f>
        <v>0</v>
      </c>
      <c r="P19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9.3877596092942639</v>
      </c>
      <c r="Q199" s="4">
        <f>CHOOSE(Table1[[#This Row],[Mode Digit]],Table1[[#This Row],[I_0]]+1/Lf*(Table1[[#This Row],[Vin]]-Vout)*Table1[[#This Row],[t1_Ph_II]],Table1[[#This Row],[I_0]]+1/Lf*Table1[[#This Row],[Vin]]*Table1[[#This Row],[t1_Ph_II]],Table1[[#This Row],[I_0]]+(Table1[[#This Row],[Vin]]-Vout)/L*Table1[[#This Row],[t1_Ph_II]])</f>
        <v>14.612240390705738</v>
      </c>
      <c r="R199" s="4">
        <f>CHOOSE(Table1[[#This Row],[Mode Digit]],0,0,Table1[[#This Row],[I_1]]+Table1[[#This Row],[Vin]]/L*Table1[[#This Row],[t2_Ph_I]])</f>
        <v>0</v>
      </c>
      <c r="S199" s="4">
        <f>Fsw*(Table1[[#This Row],[I_0]]*Table1[[#This Row],[t1_Ph_II]]+Table1[[#This Row],[I_1]]*Table1[[#This Row],[t2_Ph_I]]+Table1[[#This Row],[I_2]]*Table1[[#This Row],[t3_Ph_III]])</f>
        <v>12.300176438535944</v>
      </c>
      <c r="T199" s="354">
        <f>MIN(1,CHOOSE(Table1[[#This Row],[Mode Digit]],(Vout+(Rdson2+Rs+Rdcr)*Table1[[#This Row],[Iout]])/(Table1[[#This Row],[Vin]]+(Rs+Rdson2-Rdson1)*Table1[[#This Row],[Iout]]),1,Fsw*Table1[[#This Row],[t2_Ph_I]]+Table1[[#This Row],[t1_Ph_II]]))</f>
        <v>0.44254425442544254</v>
      </c>
      <c r="U199" s="354">
        <f>MIN(1,CHOOSE(Table1[[#This Row],[Mode Digit]],0,(Vout+(Rdson3+Rdcr)*Table1[[#This Row],[Iin]]-Table1[[#This Row],[Vin]])/(Vout+(Rdson3-Rdson4-Rs)*Table1[[#This Row],[Iin]]),Fsw*Table1[[#This Row],[t1_Ph_II]]+Table1[[#This Row],[t3_Ph_III]]))</f>
        <v>0</v>
      </c>
      <c r="V199" s="4">
        <f>MAX(Table1[[#This Row],[I_0]:[I_2]])-MIN(Table1[[#This Row],[I_0]:[I_1]])</f>
        <v>5.224480781411474</v>
      </c>
      <c r="W19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12.094403662560005</v>
      </c>
      <c r="X199" s="354">
        <f>(Table1[[#This Row],[Irms Lf]]^2*Rdcr*(1+Ltc*Ta-Ltc*25))/(1-Table1[[#This Row],[Irms Lf]]^2*Rdcr*Ltc*ThetaCa)</f>
        <v>0.91016700143479434</v>
      </c>
      <c r="Y199" s="354">
        <f>ABS(7.759*10^-3*Fsw^0.9458*(0.00787*Table1[[#This Row],[Ripple Current pk-pk]])^2.304)</f>
        <v>1.4503685471570169</v>
      </c>
      <c r="Z199" s="354">
        <f>Table1[[#This Row],[DCR    Loss]]+Table1[[#This Row],[Core Loss]]</f>
        <v>2.3605355485918111</v>
      </c>
      <c r="AA199" s="4">
        <f>IF(Table1[[#This Row],[Vin]]&gt;Vout, Table1[[#This Row],[Ripple Current pk-pk]]/SQRT(12), SQRT(Table1[[#This Row],[Duty Cycle BOOST Leg]]/(1-Table1[[#This Row],[Duty Cycle BOOST Leg]]))*SQRT(Table1[[#This Row],[Iout]]^2+(Table1[[#This Row],[Ripple Current pk-pk]]^2)/12))</f>
        <v>1.5081776927619706</v>
      </c>
      <c r="AB199" s="354">
        <f>RCoutEsr*Table1[[#This Row],[Irms Cout]]^2</f>
        <v>1.1372999764724103E-2</v>
      </c>
      <c r="AC199" s="354">
        <f>Table1[[#This Row],[Cout ESR Loss]]</f>
        <v>1.1372999764724103E-2</v>
      </c>
      <c r="AD199" s="354">
        <f>IF(Table1[[#This Row],[Vin]]&gt;Vout, SQRT(Table1[[#This Row],[Duty Cycle BUCK Leg]]*(1-Table1[[#This Row],[Duty Cycle BUCK Leg]]))*SQRT(Table1[[#This Row],[Iout]]^2+(Table1[[#This Row],[Ripple Current pk-pk]]^2)/12), Table1[[#This Row],[Ripple Current pk-pk]]/SQRT(12))</f>
        <v>6.00714355871267</v>
      </c>
      <c r="AE199" s="354">
        <f>RCinEsr*Table1[[#This Row],[Irms Cin]]^2</f>
        <v>7.2171547469966249E-2</v>
      </c>
      <c r="AF199" s="549">
        <f>Table1[[#This Row],[Cin ESR Loss]]</f>
        <v>7.2171547469966249E-2</v>
      </c>
      <c r="AG19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8.0456810636238778</v>
      </c>
      <c r="AH199" s="354">
        <f>Rdson1*Table1[[#This Row],[Irms BuCtrl]]^2</f>
        <v>0.27187853186573463</v>
      </c>
      <c r="AI199" s="354">
        <f>CHOOSE(Table1[[#This Row],[Mode Digit]], (Table1[[#This Row],[Vin]]*Table1[[#This Row],[Iout]]/2)*(Fsw)*(Tr_buck+Tf_buck), 0, (Table1[[#This Row],[Vin]]*Table1[[#This Row],[Avg IL]]/2)*(Fsw/1)*(Tr_buck+Tf_buck))</f>
        <v>3.9625802303495656</v>
      </c>
      <c r="AJ199">
        <f>IF(Table1[[#This Row],[Vin]]&gt;Vout, IF(Table1[[#This Row],[Iout]]&gt;Table1[[#This Row],[Ripple Current pk-pk]]/2,0,ABS(Table1[[#This Row],[Iout]]-Table1[[#This Row],[Ripple Current pk-pk]]/2)*Vsd_Q1*Deadtime*Fsw),0)</f>
        <v>0</v>
      </c>
      <c r="AK199" s="354">
        <f>(Table1[[#This Row],[Dead Time Loss BuCtrl]]+Table1[[#This Row],[Transition Loss BuCtrl]]+Table1[[#This Row],[RDS(on) Loss BuCtrl]]*(1+RdsonTopTc*Ta-RdsonTopTc*25))/(1-Table1[[#This Row],[RDS(on) Loss BuCtrl]]*RdsonTopTc*ThetaJA_Q1)</f>
        <v>4.5300482504419648</v>
      </c>
      <c r="AL199" s="354">
        <f>CHOOSE(Table1[[#This Row],[Mode Digit]],SQRT((Fsw*(Table1[[#This Row],[t2_Ph_I]]+0))*((Table1[[#This Row],[I_0]]*Table1[[#This Row],[I_1]]+((Table1[[#This Row],[I_0]]-Table1[[#This Row],[I_1]])^2)/3))),0,SQRT((Fsw*(Table1[[#This Row],[t3_Ph_III]]+0))*((Table1[[#This Row],[I_0]]*Table1[[#This Row],[I_2]]+((Table1[[#This Row],[I_0]]-Table1[[#This Row],[I_2]])^2)/3))))</f>
        <v>9.0300396552500803</v>
      </c>
      <c r="AM199" s="354">
        <f>Rdson2*Table1[[#This Row],[Irms BuSync]]^2</f>
        <v>0.34247478793663383</v>
      </c>
      <c r="AN19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199" s="354">
        <f>(Table1[[#This Row],[Deadtime Loss BuSync]]+Table1[[#This Row],[RDS(on) Loss BuSync]]*(1+RdsonBotTc*Ta-RdsonBotTc*25))/(1-Table1[[#This Row],[RDS(on) Loss BuSync]]*RdsonBotTc*ThetaJA_Q2)</f>
        <v>1.0022228722624618</v>
      </c>
      <c r="AP199" s="354">
        <f>CHOOSE(Table1[[#This Row],[Mode Digit]],0,SQRT((Fsw*(Table1[[#This Row],[t1_Ph_II]]+0))*((Table1[[#This Row],[I_0]]*Table1[[#This Row],[I_1]]+((Table1[[#This Row],[I_0]]-Table1[[#This Row],[I_1]])^2)/3))),SQRT((Fsw*(Table1[[#This Row],[t2_Ph_I]]+0))*((Table1[[#This Row],[I_1]]*Table1[[#This Row],[I_2]]+((Table1[[#This Row],[I_1]]-Table1[[#This Row],[I_2]])^2)/3))))</f>
        <v>0</v>
      </c>
      <c r="AQ199" s="354">
        <f>Rdson4*Table1[[#This Row],[Irms BoCtlr]]^2</f>
        <v>0</v>
      </c>
      <c r="AR199" s="354">
        <f>CHOOSE(Table1[[#This Row],[Mode Digit]], 0, (Vout*Table1[[#This Row],[Iin]]/2)*(Fsw)*(Tr_boost+Tf_boost), (Vout*Iout/2)*(Fsw/1)*(Tr_boost+Tf_boost))</f>
        <v>0</v>
      </c>
      <c r="AS199">
        <f>IF(Table1[[#This Row],[Vin]]&gt;Vout, 0, IF(Table1[[#This Row],[Iin]]&gt;Table1[[#This Row],[Ripple Current pk-pk]]/2,0,ABS(Table1[[#This Row],[Iin]]-Table1[[#This Row],[Ripple Current pk-pk]]/2)*Vsd_Q4*Deadtime*Fsw))</f>
        <v>0</v>
      </c>
      <c r="AT199" s="354">
        <f>(Table1[[#This Row],[Dead Time Loss BoCtlr]]+Table1[[#This Row],[Transition Loss BoCtlr]]+Table1[[#This Row],[RDS(on) Loss BoCtlr]]*(1+RdsonTopTc*Ta-RdsonTopTc*25))/(1-Table1[[#This Row],[RDS(on) Loss BoCtlr]]*RdsonTopTc*ThetaJA_Q4)</f>
        <v>0</v>
      </c>
      <c r="AU19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12.094403662560005</v>
      </c>
      <c r="AV199" s="354">
        <f>Rdson3*Table1[[#This Row],[Irms BoSync]]^2</f>
        <v>0.61435331980236851</v>
      </c>
      <c r="AW19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199" s="354">
        <f>(Table1[[#This Row],[Deadtime Loss BoSync]]+Table1[[#This Row],[RDS(on) Loss BoSync]]*(1+RdsonBotTc*Ta-RdsonBotTc*25))/(1-Table1[[#This Row],[RDS(on) Loss BoSync]]*RdsonBotTc*ThetaJA_Q3)</f>
        <v>0.7206023932083947</v>
      </c>
      <c r="AY199" s="354">
        <f>CHOOSE(Table1[[#This Row],[Mode Digit]], Rdson3*Table1[[#This Row],[Irms Lf]]^2, Rdson1*Table1[[#This Row],[Irms Lf]]^2, 0)</f>
        <v>0.61435331980236851</v>
      </c>
      <c r="AZ199" s="354">
        <f>CHOOSE(Table1[[#This Row],[Mode Digit]], 2*Deadtime*Fsw*IF(VfdSky_Q2&gt;0,VfdSky_Q2,0)*Table1[[#This Row],[Iout]], 2*Deadtime*Fsw*IF(VfdSky_Q3&gt;0,VfdSky_Q3,0)*Table1[[#This Row],[Iin]], 2*Deadtime*Fsw*IF(VfdSky_Q2&gt;0,VfdSky_Q2,0)*Table1[[#This Row],[Iout]]+2*Deadtime*Fsw*IF(VfdSky_Q3&gt;0,VfdSky_Q3,0)*Table1[[#This Row],[Iin]])</f>
        <v>0</v>
      </c>
      <c r="BA199" s="354">
        <f>CHOOSE(Table1[[#This Row],[Mode Digit]], IF(QrrSky_Q2&gt;0,QrrSky_Q2,Qrr_Q2)*Fsw*(Table1[[#This Row],[Vin]]-Table1[[#This Row],[Iout]]*Rdson1),0,  IF(QrrSky_Q2&gt;0,QrrSky_Q2,Qrr_Q2)*Fsw*(Table1[[#This Row],[Vin]]-Table1[[#This Row],[Iout]]*Rdson1)+IF(QrrSky_Q3&gt;0,QrrSky_Q3,Qrr_Q3)*Fsw*Vout)</f>
        <v>0.39899519999999994</v>
      </c>
      <c r="BB199" s="354">
        <f>CHOOSE(Table1[[#This Row],[Mode Digit]],0, IF(QrrSky_Q3&gt;0,QrrSky_Q3,Qrr_Q3)*Fsw*Vout,  IF(QrrSky_Q2&gt;0,QrrSky_Q2,Qrr_Q2)*Fsw*(Table1[[#This Row],[Vin]]-Table1[[#This Row],[Iout]]*Rdson1)+IF(QrrSky_Q3&gt;0,QrrSky_Q3,Qrr_Q3)*Fsw*Vout)</f>
        <v>0</v>
      </c>
      <c r="BC199" s="354">
        <f>CHOOSE(Table1[[#This Row],[Mode Digit]], Rs*Table1[[#This Row],[Irms BuSync]]^2, Rs*Table1[[#This Row],[Irms BoCtlr]]^2, Rs*(Table1[[#This Row],[Irms BuSync]]^2+Table1[[#This Row],[Irms BoCtlr]]^2))</f>
        <v>0.20385404043847249</v>
      </c>
      <c r="BD199" s="354">
        <f t="shared" si="8"/>
        <v>1.44</v>
      </c>
      <c r="BE199" s="354">
        <f>IF(Vout&gt;8, Iq*Vout, Iq*Table1[[#This Row],[Vin]])</f>
        <v>4.3799999999999999E-2</v>
      </c>
      <c r="BF199" s="354">
        <f>CHOOSE(Table1[[#This Row],[Mode Digit]], (Qg_Q1+Qg_Q2)*Fsw, (Qg_Q3+Qg_Q4)*Fsw, (Qg_Q1+Qg_Q2+Qg_Q3+Qg_Q4)*Fsw)*IF(Vout&gt;8, Vout, Table1[[#This Row],[Vin]])</f>
        <v>0.47303999999999996</v>
      </c>
      <c r="BG199" s="354">
        <f t="shared" si="9"/>
        <v>0.57269042016806726</v>
      </c>
      <c r="BH199" s="354">
        <f>Table1[[#This Row],[IQ Loss]]+Table1[[#This Row],[Switching Current Loss]]</f>
        <v>0.51683999999999997</v>
      </c>
      <c r="BI19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11.256642852177794</v>
      </c>
      <c r="BJ199">
        <f>Vout*Table1[[#This Row],[Iout]]</f>
        <v>175.2</v>
      </c>
      <c r="BK199" s="550">
        <f>Table1[[#This Row],[Pout]]/(Table1[[#This Row],[Pout]]+Table1[[#This Row],[Total Loss]])</f>
        <v>0.93962863065650049</v>
      </c>
      <c r="BL19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271.80289502651789</v>
      </c>
      <c r="BM199" s="559">
        <f>IF(Table1[[#This Row],[Vin]]&gt;Vout, Table1[[#This Row],[Total Sync Bu MOSFET Loss]]*ThetaJA_Q2, ThetaJA_Q3*Table1[[#This Row],[Total Sync Bo MOSFET Loss]])</f>
        <v>60.133372335747708</v>
      </c>
      <c r="BN199" s="9"/>
      <c r="BO199" s="4">
        <f>Table1[[#This Row],[EFF, h]]*100</f>
        <v>93.962863065650055</v>
      </c>
      <c r="BP199" s="354">
        <f>Table1[[#This Row],[Total Inductor Loss]]</f>
        <v>2.3605355485918111</v>
      </c>
      <c r="BQ199" s="354">
        <f>Table1[[#This Row],[Total Control Bu MOSFET Loss]]+Table1[[#This Row],[Total Sync Bu MOSFET Loss]]+Table1[[#This Row],[Total Control Bo MOSFET Loss]]+Table1[[#This Row],[Total Sync Bo MOSFET Loss]]+Table1[[#This Row],[Reverse Recovery Loss MOSFET D BUCK]]+Table1[[#This Row],[Reverse Recovery Loss MOSFET D BOOST]]</f>
        <v>6.6518687159128209</v>
      </c>
      <c r="BR199" s="354">
        <f>Table1[[#This Row],[Total Control Bu MOSFET Loss]]+Table1[[#This Row],[Reverse Recovery Loss MOSFET D BUCK]]*0.66</f>
        <v>4.793385082441965</v>
      </c>
      <c r="BS199" s="354">
        <f>Table1[[#This Row],[Total Sync Bu MOSFET Loss]]+Table1[[#This Row],[Reverse Recovery Loss MOSFET D BUCK]]*0.33</f>
        <v>1.1338912882624617</v>
      </c>
      <c r="BT199" s="354">
        <f xml:space="preserve"> Table1[[#This Row],[Total Control Bo MOSFET Loss]]+Table1[[#This Row],[Reverse Recovery Loss MOSFET D BOOST]]*0.66</f>
        <v>0</v>
      </c>
      <c r="BU199" s="354">
        <f xml:space="preserve"> Table1[[#This Row],[Total Sync Bo MOSFET Loss]]+Table1[[#This Row],[Reverse Recovery Loss MOSFET D BOOST]]*0.33</f>
        <v>0.7206023932083947</v>
      </c>
      <c r="BV199" s="354">
        <f>Table1[[#This Row],[Isense Shunt Loss]]</f>
        <v>0.20385404043847249</v>
      </c>
    </row>
    <row r="200" spans="7:74" x14ac:dyDescent="0.2">
      <c r="G200">
        <v>191</v>
      </c>
      <c r="H200" s="555">
        <f>VIN_min+(VIN_max-VIN_min)*(Table1[[#This Row],[Step]]/200)</f>
        <v>33.369999999999997</v>
      </c>
      <c r="I200" s="4" t="str">
        <f>IF(Mode = 2,IF(Table1[[#This Row],[Vin]]&gt;Vout, "BUCK","BOOST"),IF(Table1[[#This Row],[Vin]]&gt;VIN_BB_to_buck, "BUCK", IF(Table1[[#This Row],[Vin]]&lt;=VIN_boost_to_BB,"BOOST","BUCK-BST")))</f>
        <v>BUCK</v>
      </c>
      <c r="J200">
        <f>IF(Table1[[#This Row],[Mode]]="BOOST",2, IF(Table1[[#This Row],[Mode]]="BUCK", 1,3))</f>
        <v>1</v>
      </c>
      <c r="K200">
        <f t="shared" si="7"/>
        <v>12</v>
      </c>
      <c r="L200" s="4">
        <f>Vout*Table1[[#This Row],[Iout]]/(Table1[[#This Row],[Vin]]*Efficiency)</f>
        <v>5.5265523713388962</v>
      </c>
      <c r="M200" s="711">
        <f>MIN(1/Fsw,CHOOSE(Table1[[#This Row],[Mode Digit]],(Vout+(Rdson2+Rs+Rdcr)*Table1[[#This Row],[Iout]])/(Table1[[#This Row],[Vin]]+(Rs+Rdson2-Rdson1)*Table1[[#This Row],[Iout]])/Fsw,(Vout+(Rdson3+Rdcr)*Table1[[#This Row],[Iin]]-Table1[[#This Row],[Vin]])/(Vout+(Rdson3-Rdson4-Rs)*Table1[[#This Row],[Iin]])/Fsw,t1_Ph_II))</f>
        <v>7.3602794411177644E-7</v>
      </c>
      <c r="N200" s="602">
        <f>CHOOSE(Table1[[#This Row],[Mode Digit]],1/Fsw-Table1[[#This Row],[t1_Ph_II]],1/Fsw-Table1[[#This Row],[t1_Ph_II]],(Vout/Fsw-Table1[[#This Row],[Vin]]*t1_Ph_II)/(Table1[[#This Row],[Vin]]+Vout))</f>
        <v>9.3063872255489022E-7</v>
      </c>
      <c r="O200" s="602">
        <f>1/Fsw-(Table1[[#This Row],[t1_Ph_II]]+Table1[[#This Row],[t2_Ph_I]])</f>
        <v>0</v>
      </c>
      <c r="P200"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9.3834764183753716</v>
      </c>
      <c r="Q200" s="4">
        <f>CHOOSE(Table1[[#This Row],[Mode Digit]],Table1[[#This Row],[I_0]]+1/Lf*(Table1[[#This Row],[Vin]]-Vout)*Table1[[#This Row],[t1_Ph_II]],Table1[[#This Row],[I_0]]+1/Lf*Table1[[#This Row],[Vin]]*Table1[[#This Row],[t1_Ph_II]],Table1[[#This Row],[I_0]]+(Table1[[#This Row],[Vin]]-Vout)/L*Table1[[#This Row],[t1_Ph_II]])</f>
        <v>14.61652358162463</v>
      </c>
      <c r="R200" s="4">
        <f>CHOOSE(Table1[[#This Row],[Mode Digit]],0,0,Table1[[#This Row],[I_1]]+Table1[[#This Row],[Vin]]/L*Table1[[#This Row],[t2_Ph_I]])</f>
        <v>0</v>
      </c>
      <c r="S200" s="4">
        <f>Fsw*(Table1[[#This Row],[I_0]]*Table1[[#This Row],[t1_Ph_II]]+Table1[[#This Row],[I_1]]*Table1[[#This Row],[t2_Ph_I]]+Table1[[#This Row],[I_2]]*Table1[[#This Row],[t3_Ph_III]])</f>
        <v>12.305522214620842</v>
      </c>
      <c r="T200" s="354">
        <f>MIN(1,CHOOSE(Table1[[#This Row],[Mode Digit]],(Vout+(Rdson2+Rs+Rdcr)*Table1[[#This Row],[Iout]])/(Table1[[#This Row],[Vin]]+(Rs+Rdson2-Rdson1)*Table1[[#This Row],[Iout]]),1,Fsw*Table1[[#This Row],[t2_Ph_I]]+Table1[[#This Row],[t1_Ph_II]]))</f>
        <v>0.44161676646706588</v>
      </c>
      <c r="U200" s="354">
        <f>MIN(1,CHOOSE(Table1[[#This Row],[Mode Digit]],0,(Vout+(Rdson3+Rdcr)*Table1[[#This Row],[Iin]]-Table1[[#This Row],[Vin]])/(Vout+(Rdson3-Rdson4-Rs)*Table1[[#This Row],[Iin]]),Fsw*Table1[[#This Row],[t1_Ph_II]]+Table1[[#This Row],[t3_Ph_III]]))</f>
        <v>0</v>
      </c>
      <c r="V200" s="4">
        <f>MAX(Table1[[#This Row],[I_0]:[I_2]])-MIN(Table1[[#This Row],[I_0]:[I_1]])</f>
        <v>5.2330471632492586</v>
      </c>
      <c r="W200"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12.094712283379568</v>
      </c>
      <c r="X200" s="354">
        <f>(Table1[[#This Row],[Irms Lf]]^2*Rdcr*(1+Ltc*Ta-Ltc*25))/(1-Table1[[#This Row],[Irms Lf]]^2*Rdcr*Ltc*ThetaCa)</f>
        <v>0.91021683513905016</v>
      </c>
      <c r="Y200" s="354">
        <f>ABS(7.759*10^-3*Fsw^0.9458*(0.00787*Table1[[#This Row],[Ripple Current pk-pk]])^2.304)</f>
        <v>1.4558535803019395</v>
      </c>
      <c r="Z200" s="354">
        <f>Table1[[#This Row],[DCR    Loss]]+Table1[[#This Row],[Core Loss]]</f>
        <v>2.3660704154409897</v>
      </c>
      <c r="AA200" s="4">
        <f>IF(Table1[[#This Row],[Vin]]&gt;Vout, Table1[[#This Row],[Ripple Current pk-pk]]/SQRT(12), SQRT(Table1[[#This Row],[Duty Cycle BOOST Leg]]/(1-Table1[[#This Row],[Duty Cycle BOOST Leg]]))*SQRT(Table1[[#This Row],[Iout]]^2+(Table1[[#This Row],[Ripple Current pk-pk]]^2)/12))</f>
        <v>1.5106505941919834</v>
      </c>
      <c r="AB200" s="354">
        <f>RCoutEsr*Table1[[#This Row],[Irms Cout]]^2</f>
        <v>1.1410326088662963E-2</v>
      </c>
      <c r="AC200" s="354">
        <f>Table1[[#This Row],[Cout ESR Loss]]</f>
        <v>1.1410326088662963E-2</v>
      </c>
      <c r="AD200" s="354">
        <f>IF(Table1[[#This Row],[Vin]]&gt;Vout, SQRT(Table1[[#This Row],[Duty Cycle BUCK Leg]]*(1-Table1[[#This Row],[Duty Cycle BUCK Leg]]))*SQRT(Table1[[#This Row],[Iout]]^2+(Table1[[#This Row],[Ripple Current pk-pk]]^2)/12), Table1[[#This Row],[Ripple Current pk-pk]]/SQRT(12))</f>
        <v>6.0059885922757674</v>
      </c>
      <c r="AE200" s="354">
        <f>RCinEsr*Table1[[#This Row],[Irms Cin]]^2</f>
        <v>7.214379794109331E-2</v>
      </c>
      <c r="AF200" s="549">
        <f>Table1[[#This Row],[Cin ESR Loss]]</f>
        <v>7.214379794109331E-2</v>
      </c>
      <c r="AG200"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8.0374506302421249</v>
      </c>
      <c r="AH200" s="354">
        <f>Rdson1*Table1[[#This Row],[Irms BuCtrl]]^2</f>
        <v>0.27132257306103408</v>
      </c>
      <c r="AI200" s="354">
        <f>CHOOSE(Table1[[#This Row],[Mode Digit]], (Table1[[#This Row],[Vin]]*Table1[[#This Row],[Iout]]/2)*(Fsw)*(Tr_buck+Tf_buck), 0, (Table1[[#This Row],[Vin]]*Table1[[#This Row],[Avg IL]]/2)*(Fsw/1)*(Tr_buck+Tf_buck))</f>
        <v>3.9709099785815316</v>
      </c>
      <c r="AJ200">
        <f>IF(Table1[[#This Row],[Vin]]&gt;Vout, IF(Table1[[#This Row],[Iout]]&gt;Table1[[#This Row],[Ripple Current pk-pk]]/2,0,ABS(Table1[[#This Row],[Iout]]-Table1[[#This Row],[Ripple Current pk-pk]]/2)*Vsd_Q1*Deadtime*Fsw),0)</f>
        <v>0</v>
      </c>
      <c r="AK200" s="354">
        <f>(Table1[[#This Row],[Dead Time Loss BuCtrl]]+Table1[[#This Row],[Transition Loss BuCtrl]]+Table1[[#This Row],[RDS(on) Loss BuCtrl]]*(1+RdsonTopTc*Ta-RdsonTopTc*25))/(1-Table1[[#This Row],[RDS(on) Loss BuCtrl]]*RdsonTopTc*ThetaJA_Q1)</f>
        <v>4.537716961691058</v>
      </c>
      <c r="AL200" s="354">
        <f>CHOOSE(Table1[[#This Row],[Mode Digit]],SQRT((Fsw*(Table1[[#This Row],[t2_Ph_I]]+0))*((Table1[[#This Row],[I_0]]*Table1[[#This Row],[I_1]]+((Table1[[#This Row],[I_0]]-Table1[[#This Row],[I_1]])^2)/3))),0,SQRT((Fsw*(Table1[[#This Row],[t3_Ph_III]]+0))*((Table1[[#This Row],[I_0]]*Table1[[#This Row],[I_2]]+((Table1[[#This Row],[I_0]]-Table1[[#This Row],[I_2]])^2)/3))))</f>
        <v>9.0377791842992661</v>
      </c>
      <c r="AM200" s="354">
        <f>Rdson2*Table1[[#This Row],[Irms BuSync]]^2</f>
        <v>0.34306210085344307</v>
      </c>
      <c r="AN200"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0" s="354">
        <f>(Table1[[#This Row],[Deadtime Loss BuSync]]+Table1[[#This Row],[RDS(on) Loss BuSync]]*(1+RdsonBotTc*Ta-RdsonBotTc*25))/(1-Table1[[#This Row],[RDS(on) Loss BuSync]]*RdsonBotTc*ThetaJA_Q2)</f>
        <v>1.0030168235038939</v>
      </c>
      <c r="AP200" s="354">
        <f>CHOOSE(Table1[[#This Row],[Mode Digit]],0,SQRT((Fsw*(Table1[[#This Row],[t1_Ph_II]]+0))*((Table1[[#This Row],[I_0]]*Table1[[#This Row],[I_1]]+((Table1[[#This Row],[I_0]]-Table1[[#This Row],[I_1]])^2)/3))),SQRT((Fsw*(Table1[[#This Row],[t2_Ph_I]]+0))*((Table1[[#This Row],[I_1]]*Table1[[#This Row],[I_2]]+((Table1[[#This Row],[I_1]]-Table1[[#This Row],[I_2]])^2)/3))))</f>
        <v>0</v>
      </c>
      <c r="AQ200" s="354">
        <f>Rdson4*Table1[[#This Row],[Irms BoCtlr]]^2</f>
        <v>0</v>
      </c>
      <c r="AR200" s="354">
        <f>CHOOSE(Table1[[#This Row],[Mode Digit]], 0, (Vout*Table1[[#This Row],[Iin]]/2)*(Fsw)*(Tr_boost+Tf_boost), (Vout*Iout/2)*(Fsw/1)*(Tr_boost+Tf_boost))</f>
        <v>0</v>
      </c>
      <c r="AS200">
        <f>IF(Table1[[#This Row],[Vin]]&gt;Vout, 0, IF(Table1[[#This Row],[Iin]]&gt;Table1[[#This Row],[Ripple Current pk-pk]]/2,0,ABS(Table1[[#This Row],[Iin]]-Table1[[#This Row],[Ripple Current pk-pk]]/2)*Vsd_Q4*Deadtime*Fsw))</f>
        <v>0</v>
      </c>
      <c r="AT200" s="354">
        <f>(Table1[[#This Row],[Dead Time Loss BoCtlr]]+Table1[[#This Row],[Transition Loss BoCtlr]]+Table1[[#This Row],[RDS(on) Loss BoCtlr]]*(1+RdsonTopTc*Ta-RdsonTopTc*25))/(1-Table1[[#This Row],[RDS(on) Loss BoCtlr]]*RdsonTopTc*ThetaJA_Q4)</f>
        <v>0</v>
      </c>
      <c r="AU200"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12.094712283379568</v>
      </c>
      <c r="AV200" s="354">
        <f>Rdson3*Table1[[#This Row],[Irms BoSync]]^2</f>
        <v>0.61438467391447693</v>
      </c>
      <c r="AW200"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0" s="354">
        <f>(Table1[[#This Row],[Deadtime Loss BoSync]]+Table1[[#This Row],[RDS(on) Loss BoSync]]*(1+RdsonBotTc*Ta-RdsonBotTc*25))/(1-Table1[[#This Row],[RDS(on) Loss BoSync]]*RdsonBotTc*ThetaJA_Q3)</f>
        <v>0.72064553054442815</v>
      </c>
      <c r="AY200" s="354">
        <f>CHOOSE(Table1[[#This Row],[Mode Digit]], Rdson3*Table1[[#This Row],[Irms Lf]]^2, Rdson1*Table1[[#This Row],[Irms Lf]]^2, 0)</f>
        <v>0.61438467391447693</v>
      </c>
      <c r="AZ200" s="354">
        <f>CHOOSE(Table1[[#This Row],[Mode Digit]], 2*Deadtime*Fsw*IF(VfdSky_Q2&gt;0,VfdSky_Q2,0)*Table1[[#This Row],[Iout]], 2*Deadtime*Fsw*IF(VfdSky_Q3&gt;0,VfdSky_Q3,0)*Table1[[#This Row],[Iin]], 2*Deadtime*Fsw*IF(VfdSky_Q2&gt;0,VfdSky_Q2,0)*Table1[[#This Row],[Iout]]+2*Deadtime*Fsw*IF(VfdSky_Q3&gt;0,VfdSky_Q3,0)*Table1[[#This Row],[Iin]])</f>
        <v>0</v>
      </c>
      <c r="BA200" s="354">
        <f>CHOOSE(Table1[[#This Row],[Mode Digit]], IF(QrrSky_Q2&gt;0,QrrSky_Q2,Qrr_Q2)*Fsw*(Table1[[#This Row],[Vin]]-Table1[[#This Row],[Iout]]*Rdson1),0,  IF(QrrSky_Q2&gt;0,QrrSky_Q2,Qrr_Q2)*Fsw*(Table1[[#This Row],[Vin]]-Table1[[#This Row],[Iout]]*Rdson1)+IF(QrrSky_Q3&gt;0,QrrSky_Q3,Qrr_Q3)*Fsw*Vout)</f>
        <v>0.39983519999999995</v>
      </c>
      <c r="BB200" s="354">
        <f>CHOOSE(Table1[[#This Row],[Mode Digit]],0, IF(QrrSky_Q3&gt;0,QrrSky_Q3,Qrr_Q3)*Fsw*Vout,  IF(QrrSky_Q2&gt;0,QrrSky_Q2,Qrr_Q2)*Fsw*(Table1[[#This Row],[Vin]]-Table1[[#This Row],[Iout]]*Rdson1)+IF(QrrSky_Q3&gt;0,QrrSky_Q3,Qrr_Q3)*Fsw*Vout)</f>
        <v>0</v>
      </c>
      <c r="BC200" s="354">
        <f>CHOOSE(Table1[[#This Row],[Mode Digit]], Rs*Table1[[#This Row],[Irms BuSync]]^2, Rs*Table1[[#This Row],[Irms BoCtlr]]^2, Rs*(Table1[[#This Row],[Irms BuSync]]^2+Table1[[#This Row],[Irms BoCtlr]]^2))</f>
        <v>0.20420363146038278</v>
      </c>
      <c r="BD200" s="354">
        <f t="shared" si="8"/>
        <v>1.44</v>
      </c>
      <c r="BE200" s="354">
        <f>IF(Vout&gt;8, Iq*Vout, Iq*Table1[[#This Row],[Vin]])</f>
        <v>4.3799999999999999E-2</v>
      </c>
      <c r="BF200" s="354">
        <f>CHOOSE(Table1[[#This Row],[Mode Digit]], (Qg_Q1+Qg_Q2)*Fsw, (Qg_Q3+Qg_Q4)*Fsw, (Qg_Q1+Qg_Q2+Qg_Q3+Qg_Q4)*Fsw)*IF(Vout&gt;8, Vout, Table1[[#This Row],[Vin]])</f>
        <v>0.47303999999999996</v>
      </c>
      <c r="BG200" s="354">
        <f t="shared" si="9"/>
        <v>0.57269042016806726</v>
      </c>
      <c r="BH200" s="354">
        <f>Table1[[#This Row],[IQ Loss]]+Table1[[#This Row],[Switching Current Loss]]</f>
        <v>0.51683999999999997</v>
      </c>
      <c r="BI200"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11.271882686670509</v>
      </c>
      <c r="BJ200">
        <f>Vout*Table1[[#This Row],[Iout]]</f>
        <v>175.2</v>
      </c>
      <c r="BK200" s="550">
        <f>Table1[[#This Row],[Pout]]/(Table1[[#This Row],[Pout]]+Table1[[#This Row],[Total Loss]])</f>
        <v>0.93955183739089132</v>
      </c>
      <c r="BL200"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272.26301770146347</v>
      </c>
      <c r="BM200" s="559">
        <f>IF(Table1[[#This Row],[Vin]]&gt;Vout, Table1[[#This Row],[Total Sync Bu MOSFET Loss]]*ThetaJA_Q2, ThetaJA_Q3*Table1[[#This Row],[Total Sync Bo MOSFET Loss]])</f>
        <v>60.181009410233635</v>
      </c>
      <c r="BN200" s="9"/>
      <c r="BO200" s="4">
        <f>Table1[[#This Row],[EFF, h]]*100</f>
        <v>93.955183739089136</v>
      </c>
      <c r="BP200" s="354">
        <f>Table1[[#This Row],[Total Inductor Loss]]</f>
        <v>2.3660704154409897</v>
      </c>
      <c r="BQ200" s="354">
        <f>Table1[[#This Row],[Total Control Bu MOSFET Loss]]+Table1[[#This Row],[Total Sync Bu MOSFET Loss]]+Table1[[#This Row],[Total Control Bo MOSFET Loss]]+Table1[[#This Row],[Total Sync Bo MOSFET Loss]]+Table1[[#This Row],[Reverse Recovery Loss MOSFET D BUCK]]+Table1[[#This Row],[Reverse Recovery Loss MOSFET D BOOST]]</f>
        <v>6.6612145157393803</v>
      </c>
      <c r="BR200" s="354">
        <f>Table1[[#This Row],[Total Control Bu MOSFET Loss]]+Table1[[#This Row],[Reverse Recovery Loss MOSFET D BUCK]]*0.66</f>
        <v>4.8016081936910577</v>
      </c>
      <c r="BS200" s="354">
        <f>Table1[[#This Row],[Total Sync Bu MOSFET Loss]]+Table1[[#This Row],[Reverse Recovery Loss MOSFET D BUCK]]*0.33</f>
        <v>1.134962439503894</v>
      </c>
      <c r="BT200" s="354">
        <f xml:space="preserve"> Table1[[#This Row],[Total Control Bo MOSFET Loss]]+Table1[[#This Row],[Reverse Recovery Loss MOSFET D BOOST]]*0.66</f>
        <v>0</v>
      </c>
      <c r="BU200" s="354">
        <f xml:space="preserve"> Table1[[#This Row],[Total Sync Bo MOSFET Loss]]+Table1[[#This Row],[Reverse Recovery Loss MOSFET D BOOST]]*0.33</f>
        <v>0.72064553054442815</v>
      </c>
      <c r="BV200" s="354">
        <f>Table1[[#This Row],[Isense Shunt Loss]]</f>
        <v>0.20420363146038278</v>
      </c>
    </row>
    <row r="201" spans="7:74" x14ac:dyDescent="0.2">
      <c r="G201">
        <v>192</v>
      </c>
      <c r="H201" s="555">
        <f>VIN_min+(VIN_max-VIN_min)*(Table1[[#This Row],[Step]]/200)</f>
        <v>33.44</v>
      </c>
      <c r="I201" s="4" t="str">
        <f>IF(Mode = 2,IF(Table1[[#This Row],[Vin]]&gt;Vout, "BUCK","BOOST"),IF(Table1[[#This Row],[Vin]]&gt;VIN_BB_to_buck, "BUCK", IF(Table1[[#This Row],[Vin]]&lt;=VIN_boost_to_BB,"BOOST","BUCK-BST")))</f>
        <v>BUCK</v>
      </c>
      <c r="J201">
        <f>IF(Table1[[#This Row],[Mode]]="BOOST",2, IF(Table1[[#This Row],[Mode]]="BUCK", 1,3))</f>
        <v>1</v>
      </c>
      <c r="K201">
        <f t="shared" ref="K201:K209" si="10">Iout</f>
        <v>12</v>
      </c>
      <c r="L201" s="4">
        <f>Vout*Table1[[#This Row],[Iout]]/(Table1[[#This Row],[Vin]]*Efficiency)</f>
        <v>5.5149836313271221</v>
      </c>
      <c r="M201" s="711">
        <f>MIN(1/Fsw,CHOOSE(Table1[[#This Row],[Mode Digit]],(Vout+(Rdson2+Rs+Rdcr)*Table1[[#This Row],[Iout]])/(Table1[[#This Row],[Vin]]+(Rs+Rdson2-Rdson1)*Table1[[#This Row],[Iout]])/Fsw,(Vout+(Rdson3+Rdcr)*Table1[[#This Row],[Iin]]-Table1[[#This Row],[Vin]])/(Vout+(Rdson3-Rdson4-Rs)*Table1[[#This Row],[Iin]])/Fsw,t1_Ph_II))</f>
        <v>7.3448859675331145E-7</v>
      </c>
      <c r="N201" s="602">
        <f>CHOOSE(Table1[[#This Row],[Mode Digit]],1/Fsw-Table1[[#This Row],[t1_Ph_II]],1/Fsw-Table1[[#This Row],[t1_Ph_II]],(Vout/Fsw-Table1[[#This Row],[Vin]]*t1_Ph_II)/(Table1[[#This Row],[Vin]]+Vout))</f>
        <v>9.3217806991335521E-7</v>
      </c>
      <c r="O201" s="602">
        <f>1/Fsw-(Table1[[#This Row],[t1_Ph_II]]+Table1[[#This Row],[t2_Ph_I]])</f>
        <v>0</v>
      </c>
      <c r="P201"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9.3792111434029568</v>
      </c>
      <c r="Q201" s="4">
        <f>CHOOSE(Table1[[#This Row],[Mode Digit]],Table1[[#This Row],[I_0]]+1/Lf*(Table1[[#This Row],[Vin]]-Vout)*Table1[[#This Row],[t1_Ph_II]],Table1[[#This Row],[I_0]]+1/Lf*Table1[[#This Row],[Vin]]*Table1[[#This Row],[t1_Ph_II]],Table1[[#This Row],[I_0]]+(Table1[[#This Row],[Vin]]-Vout)/L*Table1[[#This Row],[t1_Ph_II]])</f>
        <v>14.620788856597041</v>
      </c>
      <c r="R201" s="4">
        <f>CHOOSE(Table1[[#This Row],[Mode Digit]],0,0,Table1[[#This Row],[I_1]]+Table1[[#This Row],[Vin]]/L*Table1[[#This Row],[t2_Ph_I]])</f>
        <v>0</v>
      </c>
      <c r="S201" s="4">
        <f>Fsw*(Table1[[#This Row],[I_0]]*Table1[[#This Row],[t1_Ph_II]]+Table1[[#This Row],[I_1]]*Table1[[#This Row],[t2_Ph_I]]+Table1[[#This Row],[I_2]]*Table1[[#This Row],[t3_Ph_III]])</f>
        <v>12.310861420994629</v>
      </c>
      <c r="T201" s="354">
        <f>MIN(1,CHOOSE(Table1[[#This Row],[Mode Digit]],(Vout+(Rdson2+Rs+Rdcr)*Table1[[#This Row],[Iout]])/(Table1[[#This Row],[Vin]]+(Rs+Rdson2-Rdson1)*Table1[[#This Row],[Iout]]),1,Fsw*Table1[[#This Row],[t2_Ph_I]]+Table1[[#This Row],[t1_Ph_II]]))</f>
        <v>0.44069315805198689</v>
      </c>
      <c r="U201" s="354">
        <f>MIN(1,CHOOSE(Table1[[#This Row],[Mode Digit]],0,(Vout+(Rdson3+Rdcr)*Table1[[#This Row],[Iin]]-Table1[[#This Row],[Vin]])/(Vout+(Rdson3-Rdson4-Rs)*Table1[[#This Row],[Iin]]),Fsw*Table1[[#This Row],[t1_Ph_II]]+Table1[[#This Row],[t3_Ph_III]]))</f>
        <v>0</v>
      </c>
      <c r="V201" s="4">
        <f>MAX(Table1[[#This Row],[I_0]:[I_2]])-MIN(Table1[[#This Row],[I_0]:[I_1]])</f>
        <v>5.2415777131940846</v>
      </c>
      <c r="W201"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12.095020107891004</v>
      </c>
      <c r="X201" s="354">
        <f>(Table1[[#This Row],[Irms Lf]]^2*Rdcr*(1+Ltc*Ta-Ltc*25))/(1-Table1[[#This Row],[Irms Lf]]^2*Rdcr*Ltc*ThetaCa)</f>
        <v>0.91026654189728984</v>
      </c>
      <c r="Y201" s="354">
        <f>ABS(7.759*10^-3*Fsw^0.9458*(0.00787*Table1[[#This Row],[Ripple Current pk-pk]])^2.304)</f>
        <v>1.4613273178914032</v>
      </c>
      <c r="Z201" s="354">
        <f>Table1[[#This Row],[DCR    Loss]]+Table1[[#This Row],[Core Loss]]</f>
        <v>2.371593859788693</v>
      </c>
      <c r="AA201" s="4">
        <f>IF(Table1[[#This Row],[Vin]]&gt;Vout, Table1[[#This Row],[Ripple Current pk-pk]]/SQRT(12), SQRT(Table1[[#This Row],[Duty Cycle BOOST Leg]]/(1-Table1[[#This Row],[Duty Cycle BOOST Leg]]))*SQRT(Table1[[#This Row],[Iout]]^2+(Table1[[#This Row],[Ripple Current pk-pk]]^2)/12))</f>
        <v>1.5131131518454739</v>
      </c>
      <c r="AB201" s="354">
        <f>RCoutEsr*Table1[[#This Row],[Irms Cout]]^2</f>
        <v>1.1447557051438722E-2</v>
      </c>
      <c r="AC201" s="354">
        <f>Table1[[#This Row],[Cout ESR Loss]]</f>
        <v>1.1447557051438722E-2</v>
      </c>
      <c r="AD201" s="354">
        <f>IF(Table1[[#This Row],[Vin]]&gt;Vout, SQRT(Table1[[#This Row],[Duty Cycle BUCK Leg]]*(1-Table1[[#This Row],[Duty Cycle BUCK Leg]]))*SQRT(Table1[[#This Row],[Iout]]^2+(Table1[[#This Row],[Ripple Current pk-pk]]^2)/12), Table1[[#This Row],[Ripple Current pk-pk]]/SQRT(12))</f>
        <v>6.0048175271513555</v>
      </c>
      <c r="AE201" s="354">
        <f>RCinEsr*Table1[[#This Row],[Irms Cin]]^2</f>
        <v>7.2115667068768249E-2</v>
      </c>
      <c r="AF201" s="549">
        <f>Table1[[#This Row],[Cin ESR Loss]]</f>
        <v>7.2115667068768249E-2</v>
      </c>
      <c r="AG201"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8.0292457163348701</v>
      </c>
      <c r="AH201" s="354">
        <f>Rdson1*Table1[[#This Row],[Irms BuCtrl]]^2</f>
        <v>0.27076890444778384</v>
      </c>
      <c r="AI201" s="354">
        <f>CHOOSE(Table1[[#This Row],[Mode Digit]], (Table1[[#This Row],[Vin]]*Table1[[#This Row],[Iout]]/2)*(Fsw)*(Tr_buck+Tf_buck), 0, (Table1[[#This Row],[Vin]]*Table1[[#This Row],[Avg IL]]/2)*(Fsw/1)*(Tr_buck+Tf_buck))</f>
        <v>3.979239726813498</v>
      </c>
      <c r="AJ201">
        <f>IF(Table1[[#This Row],[Vin]]&gt;Vout, IF(Table1[[#This Row],[Iout]]&gt;Table1[[#This Row],[Ripple Current pk-pk]]/2,0,ABS(Table1[[#This Row],[Iout]]-Table1[[#This Row],[Ripple Current pk-pk]]/2)*Vsd_Q1*Deadtime*Fsw),0)</f>
        <v>0</v>
      </c>
      <c r="AK201" s="354">
        <f>(Table1[[#This Row],[Dead Time Loss BuCtrl]]+Table1[[#This Row],[Transition Loss BuCtrl]]+Table1[[#This Row],[RDS(on) Loss BuCtrl]]*(1+RdsonTopTc*Ta-RdsonTopTc*25))/(1-Table1[[#This Row],[RDS(on) Loss BuCtrl]]*RdsonTopTc*ThetaJA_Q1)</f>
        <v>4.545388605587104</v>
      </c>
      <c r="AL201" s="354">
        <f>CHOOSE(Table1[[#This Row],[Mode Digit]],SQRT((Fsw*(Table1[[#This Row],[t2_Ph_I]]+0))*((Table1[[#This Row],[I_0]]*Table1[[#This Row],[I_1]]+((Table1[[#This Row],[I_0]]-Table1[[#This Row],[I_1]])^2)/3))),0,SQRT((Fsw*(Table1[[#This Row],[t3_Ph_III]]+0))*((Table1[[#This Row],[I_0]]*Table1[[#This Row],[I_2]]+((Table1[[#This Row],[I_0]]-Table1[[#This Row],[I_2]])^2)/3))))</f>
        <v>9.0454808958399706</v>
      </c>
      <c r="AM201" s="354">
        <f>Rdson2*Table1[[#This Row],[Irms BuSync]]^2</f>
        <v>0.34364704347542474</v>
      </c>
      <c r="AN201"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1" s="354">
        <f>(Table1[[#This Row],[Deadtime Loss BuSync]]+Table1[[#This Row],[RDS(on) Loss BuSync]]*(1+RdsonBotTc*Ta-RdsonBotTc*25))/(1-Table1[[#This Row],[RDS(on) Loss BuSync]]*RdsonBotTc*ThetaJA_Q2)</f>
        <v>1.0038078129608174</v>
      </c>
      <c r="AP201" s="354">
        <f>CHOOSE(Table1[[#This Row],[Mode Digit]],0,SQRT((Fsw*(Table1[[#This Row],[t1_Ph_II]]+0))*((Table1[[#This Row],[I_0]]*Table1[[#This Row],[I_1]]+((Table1[[#This Row],[I_0]]-Table1[[#This Row],[I_1]])^2)/3))),SQRT((Fsw*(Table1[[#This Row],[t2_Ph_I]]+0))*((Table1[[#This Row],[I_1]]*Table1[[#This Row],[I_2]]+((Table1[[#This Row],[I_1]]-Table1[[#This Row],[I_2]])^2)/3))))</f>
        <v>0</v>
      </c>
      <c r="AQ201" s="354">
        <f>Rdson4*Table1[[#This Row],[Irms BoCtlr]]^2</f>
        <v>0</v>
      </c>
      <c r="AR201" s="354">
        <f>CHOOSE(Table1[[#This Row],[Mode Digit]], 0, (Vout*Table1[[#This Row],[Iin]]/2)*(Fsw)*(Tr_boost+Tf_boost), (Vout*Iout/2)*(Fsw/1)*(Tr_boost+Tf_boost))</f>
        <v>0</v>
      </c>
      <c r="AS201">
        <f>IF(Table1[[#This Row],[Vin]]&gt;Vout, 0, IF(Table1[[#This Row],[Iin]]&gt;Table1[[#This Row],[Ripple Current pk-pk]]/2,0,ABS(Table1[[#This Row],[Iin]]-Table1[[#This Row],[Ripple Current pk-pk]]/2)*Vsd_Q4*Deadtime*Fsw))</f>
        <v>0</v>
      </c>
      <c r="AT201" s="354">
        <f>(Table1[[#This Row],[Dead Time Loss BoCtlr]]+Table1[[#This Row],[Transition Loss BoCtlr]]+Table1[[#This Row],[RDS(on) Loss BoCtlr]]*(1+RdsonTopTc*Ta-RdsonTopTc*25))/(1-Table1[[#This Row],[RDS(on) Loss BoCtlr]]*RdsonTopTc*ThetaJA_Q4)</f>
        <v>0</v>
      </c>
      <c r="AU201"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12.095020107891004</v>
      </c>
      <c r="AV201" s="354">
        <f>Rdson3*Table1[[#This Row],[Irms BoSync]]^2</f>
        <v>0.61441594792320853</v>
      </c>
      <c r="AW201"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1" s="354">
        <f>(Table1[[#This Row],[Deadtime Loss BoSync]]+Table1[[#This Row],[RDS(on) Loss BoSync]]*(1+RdsonBotTc*Ta-RdsonBotTc*25))/(1-Table1[[#This Row],[RDS(on) Loss BoSync]]*RdsonBotTc*ThetaJA_Q3)</f>
        <v>0.72068855843193713</v>
      </c>
      <c r="AY201" s="354">
        <f>CHOOSE(Table1[[#This Row],[Mode Digit]], Rdson3*Table1[[#This Row],[Irms Lf]]^2, Rdson1*Table1[[#This Row],[Irms Lf]]^2, 0)</f>
        <v>0.61441594792320853</v>
      </c>
      <c r="AZ201" s="354">
        <f>CHOOSE(Table1[[#This Row],[Mode Digit]], 2*Deadtime*Fsw*IF(VfdSky_Q2&gt;0,VfdSky_Q2,0)*Table1[[#This Row],[Iout]], 2*Deadtime*Fsw*IF(VfdSky_Q3&gt;0,VfdSky_Q3,0)*Table1[[#This Row],[Iin]], 2*Deadtime*Fsw*IF(VfdSky_Q2&gt;0,VfdSky_Q2,0)*Table1[[#This Row],[Iout]]+2*Deadtime*Fsw*IF(VfdSky_Q3&gt;0,VfdSky_Q3,0)*Table1[[#This Row],[Iin]])</f>
        <v>0</v>
      </c>
      <c r="BA201" s="354">
        <f>CHOOSE(Table1[[#This Row],[Mode Digit]], IF(QrrSky_Q2&gt;0,QrrSky_Q2,Qrr_Q2)*Fsw*(Table1[[#This Row],[Vin]]-Table1[[#This Row],[Iout]]*Rdson1),0,  IF(QrrSky_Q2&gt;0,QrrSky_Q2,Qrr_Q2)*Fsw*(Table1[[#This Row],[Vin]]-Table1[[#This Row],[Iout]]*Rdson1)+IF(QrrSky_Q3&gt;0,QrrSky_Q3,Qrr_Q3)*Fsw*Vout)</f>
        <v>0.40067519999999995</v>
      </c>
      <c r="BB201" s="354">
        <f>CHOOSE(Table1[[#This Row],[Mode Digit]],0, IF(QrrSky_Q3&gt;0,QrrSky_Q3,Qrr_Q3)*Fsw*Vout,  IF(QrrSky_Q2&gt;0,QrrSky_Q2,Qrr_Q2)*Fsw*(Table1[[#This Row],[Vin]]-Table1[[#This Row],[Iout]]*Rdson1)+IF(QrrSky_Q3&gt;0,QrrSky_Q3,Qrr_Q3)*Fsw*Vout)</f>
        <v>0</v>
      </c>
      <c r="BC201" s="354">
        <f>CHOOSE(Table1[[#This Row],[Mode Digit]], Rs*Table1[[#This Row],[Irms BuSync]]^2, Rs*Table1[[#This Row],[Irms BoCtlr]]^2, Rs*(Table1[[#This Row],[Irms BuSync]]^2+Table1[[#This Row],[Irms BoCtlr]]^2))</f>
        <v>0.2045518115925147</v>
      </c>
      <c r="BD201" s="354">
        <f t="shared" ref="BD201:BD209" si="11">Rshunt/1000*Iout^2</f>
        <v>1.44</v>
      </c>
      <c r="BE201" s="354">
        <f>IF(Vout&gt;8, Iq*Vout, Iq*Table1[[#This Row],[Vin]])</f>
        <v>4.3799999999999999E-2</v>
      </c>
      <c r="BF201" s="354">
        <f>CHOOSE(Table1[[#This Row],[Mode Digit]], (Qg_Q1+Qg_Q2)*Fsw, (Qg_Q3+Qg_Q4)*Fsw, (Qg_Q1+Qg_Q2+Qg_Q3+Qg_Q4)*Fsw)*IF(Vout&gt;8, Vout, Table1[[#This Row],[Vin]])</f>
        <v>0.47303999999999996</v>
      </c>
      <c r="BG201" s="354">
        <f t="shared" ref="BG201:BG209" si="12">(Vin-Vdd)*Fsw*(Qg_Q1+Qg_Q2)+(RdsonDRT+RdsonDRT2)*Fsw*Qg_Q1*Vdd/(RdsonDRT+2*Rgate1+RdsonDRT2)+(RdsonDRB+RdsonDRB2)*Fsw*Qg_Q2*Vdd/(RdsonDRB+2*Rgate2+RdsonDRB2)</f>
        <v>0.57269042016806726</v>
      </c>
      <c r="BH201" s="354">
        <f>Table1[[#This Row],[IQ Loss]]+Table1[[#This Row],[Switching Current Loss]]</f>
        <v>0.51683999999999997</v>
      </c>
      <c r="BI201"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11.287109072481272</v>
      </c>
      <c r="BJ201">
        <f>Vout*Table1[[#This Row],[Iout]]</f>
        <v>175.2</v>
      </c>
      <c r="BK201" s="550">
        <f>Table1[[#This Row],[Pout]]/(Table1[[#This Row],[Pout]]+Table1[[#This Row],[Total Loss]])</f>
        <v>0.93947512442753167</v>
      </c>
      <c r="BL201"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272.72331633522623</v>
      </c>
      <c r="BM201" s="559">
        <f>IF(Table1[[#This Row],[Vin]]&gt;Vout, Table1[[#This Row],[Total Sync Bu MOSFET Loss]]*ThetaJA_Q2, ThetaJA_Q3*Table1[[#This Row],[Total Sync Bo MOSFET Loss]])</f>
        <v>60.228468777649049</v>
      </c>
      <c r="BN201" s="9"/>
      <c r="BO201" s="4">
        <f>Table1[[#This Row],[EFF, h]]*100</f>
        <v>93.947512442753165</v>
      </c>
      <c r="BP201" s="354">
        <f>Table1[[#This Row],[Total Inductor Loss]]</f>
        <v>2.371593859788693</v>
      </c>
      <c r="BQ201" s="354">
        <f>Table1[[#This Row],[Total Control Bu MOSFET Loss]]+Table1[[#This Row],[Total Sync Bu MOSFET Loss]]+Table1[[#This Row],[Total Control Bo MOSFET Loss]]+Table1[[#This Row],[Total Sync Bo MOSFET Loss]]+Table1[[#This Row],[Reverse Recovery Loss MOSFET D BUCK]]+Table1[[#This Row],[Reverse Recovery Loss MOSFET D BOOST]]</f>
        <v>6.6705601769798593</v>
      </c>
      <c r="BR201" s="354">
        <f>Table1[[#This Row],[Total Control Bu MOSFET Loss]]+Table1[[#This Row],[Reverse Recovery Loss MOSFET D BUCK]]*0.66</f>
        <v>4.8098342375871042</v>
      </c>
      <c r="BS201" s="354">
        <f>Table1[[#This Row],[Total Sync Bu MOSFET Loss]]+Table1[[#This Row],[Reverse Recovery Loss MOSFET D BUCK]]*0.33</f>
        <v>1.1360306289608175</v>
      </c>
      <c r="BT201" s="354">
        <f xml:space="preserve"> Table1[[#This Row],[Total Control Bo MOSFET Loss]]+Table1[[#This Row],[Reverse Recovery Loss MOSFET D BOOST]]*0.66</f>
        <v>0</v>
      </c>
      <c r="BU201" s="354">
        <f xml:space="preserve"> Table1[[#This Row],[Total Sync Bo MOSFET Loss]]+Table1[[#This Row],[Reverse Recovery Loss MOSFET D BOOST]]*0.33</f>
        <v>0.72068855843193713</v>
      </c>
      <c r="BV201" s="354">
        <f>Table1[[#This Row],[Isense Shunt Loss]]</f>
        <v>0.2045518115925147</v>
      </c>
    </row>
    <row r="202" spans="7:74" x14ac:dyDescent="0.2">
      <c r="G202">
        <v>193</v>
      </c>
      <c r="H202" s="555">
        <f>VIN_min+(VIN_max-VIN_min)*(Table1[[#This Row],[Step]]/200)</f>
        <v>33.51</v>
      </c>
      <c r="I202" s="4" t="str">
        <f>IF(Mode = 2,IF(Table1[[#This Row],[Vin]]&gt;Vout, "BUCK","BOOST"),IF(Table1[[#This Row],[Vin]]&gt;VIN_BB_to_buck, "BUCK", IF(Table1[[#This Row],[Vin]]&lt;=VIN_boost_to_BB,"BOOST","BUCK-BST")))</f>
        <v>BUCK</v>
      </c>
      <c r="J202">
        <f>IF(Table1[[#This Row],[Mode]]="BOOST",2, IF(Table1[[#This Row],[Mode]]="BUCK", 1,3))</f>
        <v>1</v>
      </c>
      <c r="K202">
        <f t="shared" si="10"/>
        <v>12</v>
      </c>
      <c r="L202" s="4">
        <f>Vout*Table1[[#This Row],[Iout]]/(Table1[[#This Row],[Vin]]*Efficiency)</f>
        <v>5.5034632238609058</v>
      </c>
      <c r="M202" s="711">
        <f>MIN(1/Fsw,CHOOSE(Table1[[#This Row],[Mode Digit]],(Vout+(Rdson2+Rs+Rdcr)*Table1[[#This Row],[Iout]])/(Table1[[#This Row],[Vin]]+(Rs+Rdson2-Rdson1)*Table1[[#This Row],[Iout]])/Fsw,(Vout+(Rdson3+Rdcr)*Table1[[#This Row],[Iin]]-Table1[[#This Row],[Vin]])/(Vout+(Rdson3-Rdson4-Rs)*Table1[[#This Row],[Iin]])/Fsw,t1_Ph_II))</f>
        <v>7.3295567481613991E-7</v>
      </c>
      <c r="N202" s="602">
        <f>CHOOSE(Table1[[#This Row],[Mode Digit]],1/Fsw-Table1[[#This Row],[t1_Ph_II]],1/Fsw-Table1[[#This Row],[t1_Ph_II]],(Vout/Fsw-Table1[[#This Row],[Vin]]*t1_Ph_II)/(Table1[[#This Row],[Vin]]+Vout))</f>
        <v>9.3371099185052676E-7</v>
      </c>
      <c r="O202" s="602">
        <f>1/Fsw-(Table1[[#This Row],[t1_Ph_II]]+Table1[[#This Row],[t2_Ph_I]])</f>
        <v>0</v>
      </c>
      <c r="P202"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9.3749636722020444</v>
      </c>
      <c r="Q202" s="4">
        <f>CHOOSE(Table1[[#This Row],[Mode Digit]],Table1[[#This Row],[I_0]]+1/Lf*(Table1[[#This Row],[Vin]]-Vout)*Table1[[#This Row],[t1_Ph_II]],Table1[[#This Row],[I_0]]+1/Lf*Table1[[#This Row],[Vin]]*Table1[[#This Row],[t1_Ph_II]],Table1[[#This Row],[I_0]]+(Table1[[#This Row],[Vin]]-Vout)/L*Table1[[#This Row],[t1_Ph_II]])</f>
        <v>14.625036327797954</v>
      </c>
      <c r="R202" s="4">
        <f>CHOOSE(Table1[[#This Row],[Mode Digit]],0,0,Table1[[#This Row],[I_1]]+Table1[[#This Row],[Vin]]/L*Table1[[#This Row],[t2_Ph_I]])</f>
        <v>0</v>
      </c>
      <c r="S202" s="4">
        <f>Fsw*(Table1[[#This Row],[I_0]]*Table1[[#This Row],[t1_Ph_II]]+Table1[[#This Row],[I_1]]*Table1[[#This Row],[t2_Ph_I]]+Table1[[#This Row],[I_2]]*Table1[[#This Row],[t3_Ph_III]])</f>
        <v>12.316194000128316</v>
      </c>
      <c r="T202" s="354">
        <f>MIN(1,CHOOSE(Table1[[#This Row],[Mode Digit]],(Vout+(Rdson2+Rs+Rdcr)*Table1[[#This Row],[Iout]])/(Table1[[#This Row],[Vin]]+(Rs+Rdson2-Rdson1)*Table1[[#This Row],[Iout]]),1,Fsw*Table1[[#This Row],[t2_Ph_I]]+Table1[[#This Row],[t1_Ph_II]]))</f>
        <v>0.43977340488968397</v>
      </c>
      <c r="U202" s="354">
        <f>MIN(1,CHOOSE(Table1[[#This Row],[Mode Digit]],0,(Vout+(Rdson3+Rdcr)*Table1[[#This Row],[Iin]]-Table1[[#This Row],[Vin]])/(Vout+(Rdson3-Rdson4-Rs)*Table1[[#This Row],[Iin]]),Fsw*Table1[[#This Row],[t1_Ph_II]]+Table1[[#This Row],[t3_Ph_III]]))</f>
        <v>0</v>
      </c>
      <c r="V202" s="4">
        <f>MAX(Table1[[#This Row],[I_0]:[I_2]])-MIN(Table1[[#This Row],[I_0]:[I_1]])</f>
        <v>5.2500726555959094</v>
      </c>
      <c r="W202"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12.095327137952339</v>
      </c>
      <c r="X202" s="354">
        <f>(Table1[[#This Row],[Irms Lf]]^2*Rdcr*(1+Ltc*Ta-Ltc*25))/(1-Table1[[#This Row],[Irms Lf]]^2*Rdcr*Ltc*ThetaCa)</f>
        <v>0.9103161219969117</v>
      </c>
      <c r="Y202" s="354">
        <f>ABS(7.759*10^-3*Fsw^0.9458*(0.00787*Table1[[#This Row],[Ripple Current pk-pk]])^2.304)</f>
        <v>1.4667897635946701</v>
      </c>
      <c r="Z202" s="354">
        <f>Table1[[#This Row],[DCR    Loss]]+Table1[[#This Row],[Core Loss]]</f>
        <v>2.3771058855915816</v>
      </c>
      <c r="AA202" s="4">
        <f>IF(Table1[[#This Row],[Vin]]&gt;Vout, Table1[[#This Row],[Ripple Current pk-pk]]/SQRT(12), SQRT(Table1[[#This Row],[Duty Cycle BOOST Leg]]/(1-Table1[[#This Row],[Duty Cycle BOOST Leg]]))*SQRT(Table1[[#This Row],[Iout]]^2+(Table1[[#This Row],[Ripple Current pk-pk]]^2)/12))</f>
        <v>1.5155654304866959</v>
      </c>
      <c r="AB202" s="354">
        <f>RCoutEsr*Table1[[#This Row],[Irms Cout]]^2</f>
        <v>1.1484692870431619E-2</v>
      </c>
      <c r="AC202" s="354">
        <f>Table1[[#This Row],[Cout ESR Loss]]</f>
        <v>1.1484692870431619E-2</v>
      </c>
      <c r="AD202" s="354">
        <f>IF(Table1[[#This Row],[Vin]]&gt;Vout, SQRT(Table1[[#This Row],[Duty Cycle BUCK Leg]]*(1-Table1[[#This Row],[Duty Cycle BUCK Leg]]))*SQRT(Table1[[#This Row],[Iout]]^2+(Table1[[#This Row],[Ripple Current pk-pk]]^2)/12), Table1[[#This Row],[Ripple Current pk-pk]]/SQRT(12))</f>
        <v>6.0036305792808413</v>
      </c>
      <c r="AE202" s="354">
        <f>RCinEsr*Table1[[#This Row],[Irms Cin]]^2</f>
        <v>7.2087160264952016E-2</v>
      </c>
      <c r="AF202" s="549">
        <f>Table1[[#This Row],[Cin ESR Loss]]</f>
        <v>7.2087160264952016E-2</v>
      </c>
      <c r="AG202"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8.0210661885850865</v>
      </c>
      <c r="AH202" s="354">
        <f>Rdson1*Table1[[#This Row],[Irms BuCtrl]]^2</f>
        <v>0.27021751176698411</v>
      </c>
      <c r="AI202" s="354">
        <f>CHOOSE(Table1[[#This Row],[Mode Digit]], (Table1[[#This Row],[Vin]]*Table1[[#This Row],[Iout]]/2)*(Fsw)*(Tr_buck+Tf_buck), 0, (Table1[[#This Row],[Vin]]*Table1[[#This Row],[Avg IL]]/2)*(Fsw/1)*(Tr_buck+Tf_buck))</f>
        <v>3.9875694750454644</v>
      </c>
      <c r="AJ202">
        <f>IF(Table1[[#This Row],[Vin]]&gt;Vout, IF(Table1[[#This Row],[Iout]]&gt;Table1[[#This Row],[Ripple Current pk-pk]]/2,0,ABS(Table1[[#This Row],[Iout]]-Table1[[#This Row],[Ripple Current pk-pk]]/2)*Vsd_Q1*Deadtime*Fsw),0)</f>
        <v>0</v>
      </c>
      <c r="AK202" s="354">
        <f>(Table1[[#This Row],[Dead Time Loss BuCtrl]]+Table1[[#This Row],[Transition Loss BuCtrl]]+Table1[[#This Row],[RDS(on) Loss BuCtrl]]*(1+RdsonTopTc*Ta-RdsonTopTc*25))/(1-Table1[[#This Row],[RDS(on) Loss BuCtrl]]*RdsonTopTc*ThetaJA_Q1)</f>
        <v>4.5530631624975717</v>
      </c>
      <c r="AL202" s="354">
        <f>CHOOSE(Table1[[#This Row],[Mode Digit]],SQRT((Fsw*(Table1[[#This Row],[t2_Ph_I]]+0))*((Table1[[#This Row],[I_0]]*Table1[[#This Row],[I_1]]+((Table1[[#This Row],[I_0]]-Table1[[#This Row],[I_1]])^2)/3))),0,SQRT((Fsw*(Table1[[#This Row],[t3_Ph_III]]+0))*((Table1[[#This Row],[I_0]]*Table1[[#This Row],[I_2]]+((Table1[[#This Row],[I_0]]-Table1[[#This Row],[I_2]])^2)/3))))</f>
        <v>9.0531450762938412</v>
      </c>
      <c r="AM202" s="354">
        <f>Rdson2*Table1[[#This Row],[Irms BuSync]]^2</f>
        <v>0.34422963024417841</v>
      </c>
      <c r="AN202"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2" s="354">
        <f>(Table1[[#This Row],[Deadtime Loss BuSync]]+Table1[[#This Row],[RDS(on) Loss BuSync]]*(1+RdsonBotTc*Ta-RdsonBotTc*25))/(1-Table1[[#This Row],[RDS(on) Loss BuSync]]*RdsonBotTc*ThetaJA_Q2)</f>
        <v>1.0045958573396538</v>
      </c>
      <c r="AP202" s="354">
        <f>CHOOSE(Table1[[#This Row],[Mode Digit]],0,SQRT((Fsw*(Table1[[#This Row],[t1_Ph_II]]+0))*((Table1[[#This Row],[I_0]]*Table1[[#This Row],[I_1]]+((Table1[[#This Row],[I_0]]-Table1[[#This Row],[I_1]])^2)/3))),SQRT((Fsw*(Table1[[#This Row],[t2_Ph_I]]+0))*((Table1[[#This Row],[I_1]]*Table1[[#This Row],[I_2]]+((Table1[[#This Row],[I_1]]-Table1[[#This Row],[I_2]])^2)/3))))</f>
        <v>0</v>
      </c>
      <c r="AQ202" s="354">
        <f>Rdson4*Table1[[#This Row],[Irms BoCtlr]]^2</f>
        <v>0</v>
      </c>
      <c r="AR202" s="354">
        <f>CHOOSE(Table1[[#This Row],[Mode Digit]], 0, (Vout*Table1[[#This Row],[Iin]]/2)*(Fsw)*(Tr_boost+Tf_boost), (Vout*Iout/2)*(Fsw/1)*(Tr_boost+Tf_boost))</f>
        <v>0</v>
      </c>
      <c r="AS202">
        <f>IF(Table1[[#This Row],[Vin]]&gt;Vout, 0, IF(Table1[[#This Row],[Iin]]&gt;Table1[[#This Row],[Ripple Current pk-pk]]/2,0,ABS(Table1[[#This Row],[Iin]]-Table1[[#This Row],[Ripple Current pk-pk]]/2)*Vsd_Q4*Deadtime*Fsw))</f>
        <v>0</v>
      </c>
      <c r="AT202" s="354">
        <f>(Table1[[#This Row],[Dead Time Loss BoCtlr]]+Table1[[#This Row],[Transition Loss BoCtlr]]+Table1[[#This Row],[RDS(on) Loss BoCtlr]]*(1+RdsonTopTc*Ta-RdsonTopTc*25))/(1-Table1[[#This Row],[RDS(on) Loss BoCtlr]]*RdsonTopTc*ThetaJA_Q4)</f>
        <v>0</v>
      </c>
      <c r="AU202"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12.095327137952339</v>
      </c>
      <c r="AV202" s="354">
        <f>Rdson3*Table1[[#This Row],[Irms BoSync]]^2</f>
        <v>0.61444714201116257</v>
      </c>
      <c r="AW202"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2" s="354">
        <f>(Table1[[#This Row],[Deadtime Loss BoSync]]+Table1[[#This Row],[RDS(on) Loss BoSync]]*(1+RdsonBotTc*Ta-RdsonBotTc*25))/(1-Table1[[#This Row],[RDS(on) Loss BoSync]]*RdsonBotTc*ThetaJA_Q3)</f>
        <v>0.72073147711635299</v>
      </c>
      <c r="AY202" s="354">
        <f>CHOOSE(Table1[[#This Row],[Mode Digit]], Rdson3*Table1[[#This Row],[Irms Lf]]^2, Rdson1*Table1[[#This Row],[Irms Lf]]^2, 0)</f>
        <v>0.61444714201116257</v>
      </c>
      <c r="AZ202" s="354">
        <f>CHOOSE(Table1[[#This Row],[Mode Digit]], 2*Deadtime*Fsw*IF(VfdSky_Q2&gt;0,VfdSky_Q2,0)*Table1[[#This Row],[Iout]], 2*Deadtime*Fsw*IF(VfdSky_Q3&gt;0,VfdSky_Q3,0)*Table1[[#This Row],[Iin]], 2*Deadtime*Fsw*IF(VfdSky_Q2&gt;0,VfdSky_Q2,0)*Table1[[#This Row],[Iout]]+2*Deadtime*Fsw*IF(VfdSky_Q3&gt;0,VfdSky_Q3,0)*Table1[[#This Row],[Iin]])</f>
        <v>0</v>
      </c>
      <c r="BA202" s="354">
        <f>CHOOSE(Table1[[#This Row],[Mode Digit]], IF(QrrSky_Q2&gt;0,QrrSky_Q2,Qrr_Q2)*Fsw*(Table1[[#This Row],[Vin]]-Table1[[#This Row],[Iout]]*Rdson1),0,  IF(QrrSky_Q2&gt;0,QrrSky_Q2,Qrr_Q2)*Fsw*(Table1[[#This Row],[Vin]]-Table1[[#This Row],[Iout]]*Rdson1)+IF(QrrSky_Q3&gt;0,QrrSky_Q3,Qrr_Q3)*Fsw*Vout)</f>
        <v>0.40151519999999996</v>
      </c>
      <c r="BB202" s="354">
        <f>CHOOSE(Table1[[#This Row],[Mode Digit]],0, IF(QrrSky_Q3&gt;0,QrrSky_Q3,Qrr_Q3)*Fsw*Vout,  IF(QrrSky_Q2&gt;0,QrrSky_Q2,Qrr_Q2)*Fsw*(Table1[[#This Row],[Vin]]-Table1[[#This Row],[Iout]]*Rdson1)+IF(QrrSky_Q3&gt;0,QrrSky_Q3,Qrr_Q3)*Fsw*Vout)</f>
        <v>0</v>
      </c>
      <c r="BC202" s="354">
        <f>CHOOSE(Table1[[#This Row],[Mode Digit]], Rs*Table1[[#This Row],[Irms BuSync]]^2, Rs*Table1[[#This Row],[Irms BoCtlr]]^2, Rs*(Table1[[#This Row],[Irms BuSync]]^2+Table1[[#This Row],[Irms BoCtlr]]^2))</f>
        <v>0.20489858943105854</v>
      </c>
      <c r="BD202" s="354">
        <f t="shared" si="11"/>
        <v>1.44</v>
      </c>
      <c r="BE202" s="354">
        <f>IF(Vout&gt;8, Iq*Vout, Iq*Table1[[#This Row],[Vin]])</f>
        <v>4.3799999999999999E-2</v>
      </c>
      <c r="BF202" s="354">
        <f>CHOOSE(Table1[[#This Row],[Mode Digit]], (Qg_Q1+Qg_Q2)*Fsw, (Qg_Q3+Qg_Q4)*Fsw, (Qg_Q1+Qg_Q2+Qg_Q3+Qg_Q4)*Fsw)*IF(Vout&gt;8, Vout, Table1[[#This Row],[Vin]])</f>
        <v>0.47303999999999996</v>
      </c>
      <c r="BG202" s="354">
        <f t="shared" si="12"/>
        <v>0.57269042016806726</v>
      </c>
      <c r="BH202" s="354">
        <f>Table1[[#This Row],[IQ Loss]]+Table1[[#This Row],[Switching Current Loss]]</f>
        <v>0.51683999999999997</v>
      </c>
      <c r="BI202"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11.302322025111602</v>
      </c>
      <c r="BJ202">
        <f>Vout*Table1[[#This Row],[Iout]]</f>
        <v>175.2</v>
      </c>
      <c r="BK202" s="550">
        <f>Table1[[#This Row],[Pout]]/(Table1[[#This Row],[Pout]]+Table1[[#This Row],[Total Loss]])</f>
        <v>0.93939849165207812</v>
      </c>
      <c r="BL202"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273.18378974985433</v>
      </c>
      <c r="BM202" s="559">
        <f>IF(Table1[[#This Row],[Vin]]&gt;Vout, Table1[[#This Row],[Total Sync Bu MOSFET Loss]]*ThetaJA_Q2, ThetaJA_Q3*Table1[[#This Row],[Total Sync Bo MOSFET Loss]])</f>
        <v>60.275751440379231</v>
      </c>
      <c r="BN202" s="9"/>
      <c r="BO202" s="4">
        <f>Table1[[#This Row],[EFF, h]]*100</f>
        <v>93.939849165207818</v>
      </c>
      <c r="BP202" s="354">
        <f>Table1[[#This Row],[Total Inductor Loss]]</f>
        <v>2.3771058855915816</v>
      </c>
      <c r="BQ202" s="354">
        <f>Table1[[#This Row],[Total Control Bu MOSFET Loss]]+Table1[[#This Row],[Total Sync Bu MOSFET Loss]]+Table1[[#This Row],[Total Control Bo MOSFET Loss]]+Table1[[#This Row],[Total Sync Bo MOSFET Loss]]+Table1[[#This Row],[Reverse Recovery Loss MOSFET D BUCK]]+Table1[[#This Row],[Reverse Recovery Loss MOSFET D BOOST]]</f>
        <v>6.6799056969535791</v>
      </c>
      <c r="BR202" s="354">
        <f>Table1[[#This Row],[Total Control Bu MOSFET Loss]]+Table1[[#This Row],[Reverse Recovery Loss MOSFET D BUCK]]*0.66</f>
        <v>4.8180631944975714</v>
      </c>
      <c r="BS202" s="354">
        <f>Table1[[#This Row],[Total Sync Bu MOSFET Loss]]+Table1[[#This Row],[Reverse Recovery Loss MOSFET D BUCK]]*0.33</f>
        <v>1.1370958733396539</v>
      </c>
      <c r="BT202" s="354">
        <f xml:space="preserve"> Table1[[#This Row],[Total Control Bo MOSFET Loss]]+Table1[[#This Row],[Reverse Recovery Loss MOSFET D BOOST]]*0.66</f>
        <v>0</v>
      </c>
      <c r="BU202" s="354">
        <f xml:space="preserve"> Table1[[#This Row],[Total Sync Bo MOSFET Loss]]+Table1[[#This Row],[Reverse Recovery Loss MOSFET D BOOST]]*0.33</f>
        <v>0.72073147711635299</v>
      </c>
      <c r="BV202" s="354">
        <f>Table1[[#This Row],[Isense Shunt Loss]]</f>
        <v>0.20489858943105854</v>
      </c>
    </row>
    <row r="203" spans="7:74" x14ac:dyDescent="0.2">
      <c r="G203">
        <v>194</v>
      </c>
      <c r="H203" s="555">
        <f>VIN_min+(VIN_max-VIN_min)*(Table1[[#This Row],[Step]]/200)</f>
        <v>33.58</v>
      </c>
      <c r="I203" s="4" t="str">
        <f>IF(Mode = 2,IF(Table1[[#This Row],[Vin]]&gt;Vout, "BUCK","BOOST"),IF(Table1[[#This Row],[Vin]]&gt;VIN_BB_to_buck, "BUCK", IF(Table1[[#This Row],[Vin]]&lt;=VIN_boost_to_BB,"BOOST","BUCK-BST")))</f>
        <v>BUCK</v>
      </c>
      <c r="J203">
        <f>IF(Table1[[#This Row],[Mode]]="BOOST",2, IF(Table1[[#This Row],[Mode]]="BUCK", 1,3))</f>
        <v>1</v>
      </c>
      <c r="K203">
        <f t="shared" si="10"/>
        <v>12</v>
      </c>
      <c r="L203" s="4">
        <f>Vout*Table1[[#This Row],[Iout]]/(Table1[[#This Row],[Vin]]*Efficiency)</f>
        <v>5.4919908466819223</v>
      </c>
      <c r="M203" s="711">
        <f>MIN(1/Fsw,CHOOSE(Table1[[#This Row],[Mode Digit]],(Vout+(Rdson2+Rs+Rdcr)*Table1[[#This Row],[Iout]])/(Table1[[#This Row],[Vin]]+(Rs+Rdson2-Rdson1)*Table1[[#This Row],[Iout]])/Fsw,(Vout+(Rdson3+Rdcr)*Table1[[#This Row],[Iin]]-Table1[[#This Row],[Vin]])/(Vout+(Rdson3-Rdson4-Rs)*Table1[[#This Row],[Iin]])/Fsw,t1_Ph_II))</f>
        <v>7.3142913815332739E-7</v>
      </c>
      <c r="N203" s="602">
        <f>CHOOSE(Table1[[#This Row],[Mode Digit]],1/Fsw-Table1[[#This Row],[t1_Ph_II]],1/Fsw-Table1[[#This Row],[t1_Ph_II]],(Vout/Fsw-Table1[[#This Row],[Vin]]*t1_Ph_II)/(Table1[[#This Row],[Vin]]+Vout))</f>
        <v>9.3523752851333927E-7</v>
      </c>
      <c r="O203" s="602">
        <f>1/Fsw-(Table1[[#This Row],[t1_Ph_II]]+Table1[[#This Row],[t2_Ph_I]])</f>
        <v>0</v>
      </c>
      <c r="P203"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9.3707338935321687</v>
      </c>
      <c r="Q203" s="4">
        <f>CHOOSE(Table1[[#This Row],[Mode Digit]],Table1[[#This Row],[I_0]]+1/Lf*(Table1[[#This Row],[Vin]]-Vout)*Table1[[#This Row],[t1_Ph_II]],Table1[[#This Row],[I_0]]+1/Lf*Table1[[#This Row],[Vin]]*Table1[[#This Row],[t1_Ph_II]],Table1[[#This Row],[I_0]]+(Table1[[#This Row],[Vin]]-Vout)/L*Table1[[#This Row],[t1_Ph_II]])</f>
        <v>14.629266106467831</v>
      </c>
      <c r="R203" s="4">
        <f>CHOOSE(Table1[[#This Row],[Mode Digit]],0,0,Table1[[#This Row],[I_1]]+Table1[[#This Row],[Vin]]/L*Table1[[#This Row],[t2_Ph_I]])</f>
        <v>0</v>
      </c>
      <c r="S203" s="4">
        <f>Fsw*(Table1[[#This Row],[I_0]]*Table1[[#This Row],[t1_Ph_II]]+Table1[[#This Row],[I_1]]*Table1[[#This Row],[t2_Ph_I]]+Table1[[#This Row],[I_2]]*Table1[[#This Row],[t3_Ph_III]])</f>
        <v>12.321519895792408</v>
      </c>
      <c r="T203" s="354">
        <f>MIN(1,CHOOSE(Table1[[#This Row],[Mode Digit]],(Vout+(Rdson2+Rs+Rdcr)*Table1[[#This Row],[Iout]])/(Table1[[#This Row],[Vin]]+(Rs+Rdson2-Rdson1)*Table1[[#This Row],[Iout]]),1,Fsw*Table1[[#This Row],[t2_Ph_I]]+Table1[[#This Row],[t1_Ph_II]]))</f>
        <v>0.43885748289199644</v>
      </c>
      <c r="U203" s="354">
        <f>MIN(1,CHOOSE(Table1[[#This Row],[Mode Digit]],0,(Vout+(Rdson3+Rdcr)*Table1[[#This Row],[Iin]]-Table1[[#This Row],[Vin]])/(Vout+(Rdson3-Rdson4-Rs)*Table1[[#This Row],[Iin]]),Fsw*Table1[[#This Row],[t1_Ph_II]]+Table1[[#This Row],[t3_Ph_III]]))</f>
        <v>0</v>
      </c>
      <c r="V203" s="4">
        <f>MAX(Table1[[#This Row],[I_0]:[I_2]])-MIN(Table1[[#This Row],[I_0]:[I_1]])</f>
        <v>5.2585322129356626</v>
      </c>
      <c r="W203"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12.095633375432373</v>
      </c>
      <c r="X203" s="354">
        <f>(Table1[[#This Row],[Irms Lf]]^2*Rdcr*(1+Ltc*Ta-Ltc*25))/(1-Table1[[#This Row],[Irms Lf]]^2*Rdcr*Ltc*ThetaCa)</f>
        <v>0.91036557572712662</v>
      </c>
      <c r="Y203" s="354">
        <f>ABS(7.759*10^-3*Fsw^0.9458*(0.00787*Table1[[#This Row],[Ripple Current pk-pk]])^2.304)</f>
        <v>1.4722409215540488</v>
      </c>
      <c r="Z203" s="354">
        <f>Table1[[#This Row],[DCR    Loss]]+Table1[[#This Row],[Core Loss]]</f>
        <v>2.3826064972811754</v>
      </c>
      <c r="AA203" s="4">
        <f>IF(Table1[[#This Row],[Vin]]&gt;Vout, Table1[[#This Row],[Ripple Current pk-pk]]/SQRT(12), SQRT(Table1[[#This Row],[Duty Cycle BOOST Leg]]/(1-Table1[[#This Row],[Duty Cycle BOOST Leg]]))*SQRT(Table1[[#This Row],[Iout]]^2+(Table1[[#This Row],[Ripple Current pk-pk]]^2)/12))</f>
        <v>1.5180074943403616</v>
      </c>
      <c r="AB203" s="354">
        <f>RCoutEsr*Table1[[#This Row],[Irms Cout]]^2</f>
        <v>1.1521733764367515E-2</v>
      </c>
      <c r="AC203" s="354">
        <f>Table1[[#This Row],[Cout ESR Loss]]</f>
        <v>1.1521733764367515E-2</v>
      </c>
      <c r="AD203" s="354">
        <f>IF(Table1[[#This Row],[Vin]]&gt;Vout, SQRT(Table1[[#This Row],[Duty Cycle BUCK Leg]]*(1-Table1[[#This Row],[Duty Cycle BUCK Leg]]))*SQRT(Table1[[#This Row],[Iout]]^2+(Table1[[#This Row],[Ripple Current pk-pk]]^2)/12), Table1[[#This Row],[Ripple Current pk-pk]]/SQRT(12))</f>
        <v>6.0024279617429492</v>
      </c>
      <c r="AE203" s="354">
        <f>RCinEsr*Table1[[#This Row],[Irms Cin]]^2</f>
        <v>7.2058282871827237E-2</v>
      </c>
      <c r="AF203" s="549">
        <f>Table1[[#This Row],[Cin ESR Loss]]</f>
        <v>7.2058282871827237E-2</v>
      </c>
      <c r="AG203"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8.0129119146614798</v>
      </c>
      <c r="AH203" s="354">
        <f>Rdson1*Table1[[#This Row],[Irms BuCtrl]]^2</f>
        <v>0.26966838087892042</v>
      </c>
      <c r="AI203" s="354">
        <f>CHOOSE(Table1[[#This Row],[Mode Digit]], (Table1[[#This Row],[Vin]]*Table1[[#This Row],[Iout]]/2)*(Fsw)*(Tr_buck+Tf_buck), 0, (Table1[[#This Row],[Vin]]*Table1[[#This Row],[Avg IL]]/2)*(Fsw/1)*(Tr_buck+Tf_buck))</f>
        <v>3.9958992232774304</v>
      </c>
      <c r="AJ203">
        <f>IF(Table1[[#This Row],[Vin]]&gt;Vout, IF(Table1[[#This Row],[Iout]]&gt;Table1[[#This Row],[Ripple Current pk-pk]]/2,0,ABS(Table1[[#This Row],[Iout]]-Table1[[#This Row],[Ripple Current pk-pk]]/2)*Vsd_Q1*Deadtime*Fsw),0)</f>
        <v>0</v>
      </c>
      <c r="AK203" s="354">
        <f>(Table1[[#This Row],[Dead Time Loss BuCtrl]]+Table1[[#This Row],[Transition Loss BuCtrl]]+Table1[[#This Row],[RDS(on) Loss BuCtrl]]*(1+RdsonTopTc*Ta-RdsonTopTc*25))/(1-Table1[[#This Row],[RDS(on) Loss BuCtrl]]*RdsonTopTc*ThetaJA_Q1)</f>
        <v>4.5607406129661037</v>
      </c>
      <c r="AL203" s="354">
        <f>CHOOSE(Table1[[#This Row],[Mode Digit]],SQRT((Fsw*(Table1[[#This Row],[t2_Ph_I]]+0))*((Table1[[#This Row],[I_0]]*Table1[[#This Row],[I_1]]+((Table1[[#This Row],[I_0]]-Table1[[#This Row],[I_1]])^2)/3))),0,SQRT((Fsw*(Table1[[#This Row],[t3_Ph_III]]+0))*((Table1[[#This Row],[I_0]]*Table1[[#This Row],[I_2]]+((Table1[[#This Row],[I_0]]-Table1[[#This Row],[I_2]])^2)/3))))</f>
        <v>9.0607720090922506</v>
      </c>
      <c r="AM203" s="354">
        <f>Rdson2*Table1[[#This Row],[Irms BuSync]]^2</f>
        <v>0.3448098754831484</v>
      </c>
      <c r="AN203"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3" s="354">
        <f>(Table1[[#This Row],[Deadtime Loss BuSync]]+Table1[[#This Row],[RDS(on) Loss BuSync]]*(1+RdsonBotTc*Ta-RdsonBotTc*25))/(1-Table1[[#This Row],[RDS(on) Loss BuSync]]*RdsonBotTc*ThetaJA_Q2)</f>
        <v>1.0053809732199614</v>
      </c>
      <c r="AP203" s="354">
        <f>CHOOSE(Table1[[#This Row],[Mode Digit]],0,SQRT((Fsw*(Table1[[#This Row],[t1_Ph_II]]+0))*((Table1[[#This Row],[I_0]]*Table1[[#This Row],[I_1]]+((Table1[[#This Row],[I_0]]-Table1[[#This Row],[I_1]])^2)/3))),SQRT((Fsw*(Table1[[#This Row],[t2_Ph_I]]+0))*((Table1[[#This Row],[I_1]]*Table1[[#This Row],[I_2]]+((Table1[[#This Row],[I_1]]-Table1[[#This Row],[I_2]])^2)/3))))</f>
        <v>0</v>
      </c>
      <c r="AQ203" s="354">
        <f>Rdson4*Table1[[#This Row],[Irms BoCtlr]]^2</f>
        <v>0</v>
      </c>
      <c r="AR203" s="354">
        <f>CHOOSE(Table1[[#This Row],[Mode Digit]], 0, (Vout*Table1[[#This Row],[Iin]]/2)*(Fsw)*(Tr_boost+Tf_boost), (Vout*Iout/2)*(Fsw/1)*(Tr_boost+Tf_boost))</f>
        <v>0</v>
      </c>
      <c r="AS203">
        <f>IF(Table1[[#This Row],[Vin]]&gt;Vout, 0, IF(Table1[[#This Row],[Iin]]&gt;Table1[[#This Row],[Ripple Current pk-pk]]/2,0,ABS(Table1[[#This Row],[Iin]]-Table1[[#This Row],[Ripple Current pk-pk]]/2)*Vsd_Q4*Deadtime*Fsw))</f>
        <v>0</v>
      </c>
      <c r="AT203" s="354">
        <f>(Table1[[#This Row],[Dead Time Loss BoCtlr]]+Table1[[#This Row],[Transition Loss BoCtlr]]+Table1[[#This Row],[RDS(on) Loss BoCtlr]]*(1+RdsonTopTc*Ta-RdsonTopTc*25))/(1-Table1[[#This Row],[RDS(on) Loss BoCtlr]]*RdsonTopTc*ThetaJA_Q4)</f>
        <v>0</v>
      </c>
      <c r="AU203"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12.095633375432373</v>
      </c>
      <c r="AV203" s="354">
        <f>Rdson3*Table1[[#This Row],[Irms BoSync]]^2</f>
        <v>0.61447825636206888</v>
      </c>
      <c r="AW203"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3" s="354">
        <f>(Table1[[#This Row],[Deadtime Loss BoSync]]+Table1[[#This Row],[RDS(on) Loss BoSync]]*(1+RdsonBotTc*Ta-RdsonBotTc*25))/(1-Table1[[#This Row],[RDS(on) Loss BoSync]]*RdsonBotTc*ThetaJA_Q3)</f>
        <v>0.72077428684469491</v>
      </c>
      <c r="AY203" s="354">
        <f>CHOOSE(Table1[[#This Row],[Mode Digit]], Rdson3*Table1[[#This Row],[Irms Lf]]^2, Rdson1*Table1[[#This Row],[Irms Lf]]^2, 0)</f>
        <v>0.61447825636206888</v>
      </c>
      <c r="AZ203" s="354">
        <f>CHOOSE(Table1[[#This Row],[Mode Digit]], 2*Deadtime*Fsw*IF(VfdSky_Q2&gt;0,VfdSky_Q2,0)*Table1[[#This Row],[Iout]], 2*Deadtime*Fsw*IF(VfdSky_Q3&gt;0,VfdSky_Q3,0)*Table1[[#This Row],[Iin]], 2*Deadtime*Fsw*IF(VfdSky_Q2&gt;0,VfdSky_Q2,0)*Table1[[#This Row],[Iout]]+2*Deadtime*Fsw*IF(VfdSky_Q3&gt;0,VfdSky_Q3,0)*Table1[[#This Row],[Iin]])</f>
        <v>0</v>
      </c>
      <c r="BA203" s="354">
        <f>CHOOSE(Table1[[#This Row],[Mode Digit]], IF(QrrSky_Q2&gt;0,QrrSky_Q2,Qrr_Q2)*Fsw*(Table1[[#This Row],[Vin]]-Table1[[#This Row],[Iout]]*Rdson1),0,  IF(QrrSky_Q2&gt;0,QrrSky_Q2,Qrr_Q2)*Fsw*(Table1[[#This Row],[Vin]]-Table1[[#This Row],[Iout]]*Rdson1)+IF(QrrSky_Q3&gt;0,QrrSky_Q3,Qrr_Q3)*Fsw*Vout)</f>
        <v>0.40235519999999997</v>
      </c>
      <c r="BB203" s="354">
        <f>CHOOSE(Table1[[#This Row],[Mode Digit]],0, IF(QrrSky_Q3&gt;0,QrrSky_Q3,Qrr_Q3)*Fsw*Vout,  IF(QrrSky_Q2&gt;0,QrrSky_Q2,Qrr_Q2)*Fsw*(Table1[[#This Row],[Vin]]-Table1[[#This Row],[Iout]]*Rdson1)+IF(QrrSky_Q3&gt;0,QrrSky_Q3,Qrr_Q3)*Fsw*Vout)</f>
        <v>0</v>
      </c>
      <c r="BC203" s="354">
        <f>CHOOSE(Table1[[#This Row],[Mode Digit]], Rs*Table1[[#This Row],[Irms BuSync]]^2, Rs*Table1[[#This Row],[Irms BoCtlr]]^2, Rs*(Table1[[#This Row],[Irms BuSync]]^2+Table1[[#This Row],[Irms BoCtlr]]^2))</f>
        <v>0.20524397350187404</v>
      </c>
      <c r="BD203" s="354">
        <f t="shared" si="11"/>
        <v>1.44</v>
      </c>
      <c r="BE203" s="354">
        <f>IF(Vout&gt;8, Iq*Vout, Iq*Table1[[#This Row],[Vin]])</f>
        <v>4.3799999999999999E-2</v>
      </c>
      <c r="BF203" s="354">
        <f>CHOOSE(Table1[[#This Row],[Mode Digit]], (Qg_Q1+Qg_Q2)*Fsw, (Qg_Q3+Qg_Q4)*Fsw, (Qg_Q1+Qg_Q2+Qg_Q3+Qg_Q4)*Fsw)*IF(Vout&gt;8, Vout, Table1[[#This Row],[Vin]])</f>
        <v>0.47303999999999996</v>
      </c>
      <c r="BG203" s="354">
        <f t="shared" si="12"/>
        <v>0.57269042016806726</v>
      </c>
      <c r="BH203" s="354">
        <f>Table1[[#This Row],[IQ Loss]]+Table1[[#This Row],[Switching Current Loss]]</f>
        <v>0.51683999999999997</v>
      </c>
      <c r="BI203"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11.317521560450004</v>
      </c>
      <c r="BJ203">
        <f>Vout*Table1[[#This Row],[Iout]]</f>
        <v>175.2</v>
      </c>
      <c r="BK203" s="550">
        <f>Table1[[#This Row],[Pout]]/(Table1[[#This Row],[Pout]]+Table1[[#This Row],[Total Loss]])</f>
        <v>0.93932193894833615</v>
      </c>
      <c r="BL203"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273.64443677796623</v>
      </c>
      <c r="BM203" s="559">
        <f>IF(Table1[[#This Row],[Vin]]&gt;Vout, Table1[[#This Row],[Total Sync Bu MOSFET Loss]]*ThetaJA_Q2, ThetaJA_Q3*Table1[[#This Row],[Total Sync Bo MOSFET Loss]])</f>
        <v>60.322858393197684</v>
      </c>
      <c r="BN203" s="9"/>
      <c r="BO203" s="4">
        <f>Table1[[#This Row],[EFF, h]]*100</f>
        <v>93.932193894833617</v>
      </c>
      <c r="BP203" s="354">
        <f>Table1[[#This Row],[Total Inductor Loss]]</f>
        <v>2.3826064972811754</v>
      </c>
      <c r="BQ203" s="354">
        <f>Table1[[#This Row],[Total Control Bu MOSFET Loss]]+Table1[[#This Row],[Total Sync Bu MOSFET Loss]]+Table1[[#This Row],[Total Control Bo MOSFET Loss]]+Table1[[#This Row],[Total Sync Bo MOSFET Loss]]+Table1[[#This Row],[Reverse Recovery Loss MOSFET D BUCK]]+Table1[[#This Row],[Reverse Recovery Loss MOSFET D BOOST]]</f>
        <v>6.6892510730307597</v>
      </c>
      <c r="BR203" s="354">
        <f>Table1[[#This Row],[Total Control Bu MOSFET Loss]]+Table1[[#This Row],[Reverse Recovery Loss MOSFET D BUCK]]*0.66</f>
        <v>4.8262950449661037</v>
      </c>
      <c r="BS203" s="354">
        <f>Table1[[#This Row],[Total Sync Bu MOSFET Loss]]+Table1[[#This Row],[Reverse Recovery Loss MOSFET D BUCK]]*0.33</f>
        <v>1.1381581892199615</v>
      </c>
      <c r="BT203" s="354">
        <f xml:space="preserve"> Table1[[#This Row],[Total Control Bo MOSFET Loss]]+Table1[[#This Row],[Reverse Recovery Loss MOSFET D BOOST]]*0.66</f>
        <v>0</v>
      </c>
      <c r="BU203" s="354">
        <f xml:space="preserve"> Table1[[#This Row],[Total Sync Bo MOSFET Loss]]+Table1[[#This Row],[Reverse Recovery Loss MOSFET D BOOST]]*0.33</f>
        <v>0.72077428684469491</v>
      </c>
      <c r="BV203" s="354">
        <f>Table1[[#This Row],[Isense Shunt Loss]]</f>
        <v>0.20524397350187404</v>
      </c>
    </row>
    <row r="204" spans="7:74" x14ac:dyDescent="0.2">
      <c r="G204">
        <v>195</v>
      </c>
      <c r="H204" s="555">
        <f>VIN_min+(VIN_max-VIN_min)*(Table1[[#This Row],[Step]]/200)</f>
        <v>33.65</v>
      </c>
      <c r="I204" s="4" t="str">
        <f>IF(Mode = 2,IF(Table1[[#This Row],[Vin]]&gt;Vout, "BUCK","BOOST"),IF(Table1[[#This Row],[Vin]]&gt;VIN_BB_to_buck, "BUCK", IF(Table1[[#This Row],[Vin]]&lt;=VIN_boost_to_BB,"BOOST","BUCK-BST")))</f>
        <v>BUCK</v>
      </c>
      <c r="J204">
        <f>IF(Table1[[#This Row],[Mode]]="BOOST",2, IF(Table1[[#This Row],[Mode]]="BUCK", 1,3))</f>
        <v>1</v>
      </c>
      <c r="K204">
        <f t="shared" si="10"/>
        <v>12</v>
      </c>
      <c r="L204" s="4">
        <f>Vout*Table1[[#This Row],[Iout]]/(Table1[[#This Row],[Vin]]*Efficiency)</f>
        <v>5.4805662000469226</v>
      </c>
      <c r="M204" s="711">
        <f>MIN(1/Fsw,CHOOSE(Table1[[#This Row],[Mode Digit]],(Vout+(Rdson2+Rs+Rdcr)*Table1[[#This Row],[Iout]])/(Table1[[#This Row],[Vin]]+(Rs+Rdson2-Rdson1)*Table1[[#This Row],[Iout]])/Fsw,(Vout+(Rdson3+Rdcr)*Table1[[#This Row],[Iin]]-Table1[[#This Row],[Vin]])/(Vout+(Rdson3-Rdson4-Rs)*Table1[[#This Row],[Iin]])/Fsw,t1_Ph_II))</f>
        <v>7.2990894695170223E-7</v>
      </c>
      <c r="N204" s="602">
        <f>CHOOSE(Table1[[#This Row],[Mode Digit]],1/Fsw-Table1[[#This Row],[t1_Ph_II]],1/Fsw-Table1[[#This Row],[t1_Ph_II]],(Vout/Fsw-Table1[[#This Row],[Vin]]*t1_Ph_II)/(Table1[[#This Row],[Vin]]+Vout))</f>
        <v>9.3675771971496443E-7</v>
      </c>
      <c r="O204" s="602">
        <f>1/Fsw-(Table1[[#This Row],[t1_Ph_II]]+Table1[[#This Row],[t2_Ph_I]])</f>
        <v>0</v>
      </c>
      <c r="P204"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9.3665216970776655</v>
      </c>
      <c r="Q204" s="4">
        <f>CHOOSE(Table1[[#This Row],[Mode Digit]],Table1[[#This Row],[I_0]]+1/Lf*(Table1[[#This Row],[Vin]]-Vout)*Table1[[#This Row],[t1_Ph_II]],Table1[[#This Row],[I_0]]+1/Lf*Table1[[#This Row],[Vin]]*Table1[[#This Row],[t1_Ph_II]],Table1[[#This Row],[I_0]]+(Table1[[#This Row],[Vin]]-Vout)/L*Table1[[#This Row],[t1_Ph_II]])</f>
        <v>14.633478302922335</v>
      </c>
      <c r="R204" s="4">
        <f>CHOOSE(Table1[[#This Row],[Mode Digit]],0,0,Table1[[#This Row],[I_1]]+Table1[[#This Row],[Vin]]/L*Table1[[#This Row],[t2_Ph_I]])</f>
        <v>0</v>
      </c>
      <c r="S204" s="4">
        <f>Fsw*(Table1[[#This Row],[I_0]]*Table1[[#This Row],[t1_Ph_II]]+Table1[[#This Row],[I_1]]*Table1[[#This Row],[t2_Ph_I]]+Table1[[#This Row],[I_2]]*Table1[[#This Row],[t3_Ph_III]])</f>
        <v>12.326839053034899</v>
      </c>
      <c r="T204" s="354">
        <f>MIN(1,CHOOSE(Table1[[#This Row],[Mode Digit]],(Vout+(Rdson2+Rs+Rdcr)*Table1[[#This Row],[Iout]])/(Table1[[#This Row],[Vin]]+(Rs+Rdson2-Rdson1)*Table1[[#This Row],[Iout]]),1,Fsw*Table1[[#This Row],[t2_Ph_I]]+Table1[[#This Row],[t1_Ph_II]]))</f>
        <v>0.43794536817102137</v>
      </c>
      <c r="U204" s="354">
        <f>MIN(1,CHOOSE(Table1[[#This Row],[Mode Digit]],0,(Vout+(Rdson3+Rdcr)*Table1[[#This Row],[Iin]]-Table1[[#This Row],[Vin]])/(Vout+(Rdson3-Rdson4-Rs)*Table1[[#This Row],[Iin]]),Fsw*Table1[[#This Row],[t1_Ph_II]]+Table1[[#This Row],[t3_Ph_III]]))</f>
        <v>0</v>
      </c>
      <c r="V204" s="4">
        <f>MAX(Table1[[#This Row],[I_0]:[I_2]])-MIN(Table1[[#This Row],[I_0]:[I_1]])</f>
        <v>5.2669566058446691</v>
      </c>
      <c r="W204"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12.095938822210297</v>
      </c>
      <c r="X204" s="354">
        <f>(Table1[[#This Row],[Irms Lf]]^2*Rdcr*(1+Ltc*Ta-Ltc*25))/(1-Table1[[#This Row],[Irms Lf]]^2*Rdcr*Ltc*ThetaCa)</f>
        <v>0.91041490337889464</v>
      </c>
      <c r="Y204" s="354">
        <f>ABS(7.759*10^-3*Fsw^0.9458*(0.00787*Table1[[#This Row],[Ripple Current pk-pk]])^2.304)</f>
        <v>1.4776807963753911</v>
      </c>
      <c r="Z204" s="354">
        <f>Table1[[#This Row],[DCR    Loss]]+Table1[[#This Row],[Core Loss]]</f>
        <v>2.3880956997542855</v>
      </c>
      <c r="AA204" s="4">
        <f>IF(Table1[[#This Row],[Vin]]&gt;Vout, Table1[[#This Row],[Ripple Current pk-pk]]/SQRT(12), SQRT(Table1[[#This Row],[Duty Cycle BOOST Leg]]/(1-Table1[[#This Row],[Duty Cycle BOOST Leg]]))*SQRT(Table1[[#This Row],[Iout]]^2+(Table1[[#This Row],[Ripple Current pk-pk]]^2)/12))</f>
        <v>1.5204394070972487</v>
      </c>
      <c r="AB204" s="354">
        <f>RCoutEsr*Table1[[#This Row],[Irms Cout]]^2</f>
        <v>1.1558679953271166E-2</v>
      </c>
      <c r="AC204" s="354">
        <f>Table1[[#This Row],[Cout ESR Loss]]</f>
        <v>1.1558679953271166E-2</v>
      </c>
      <c r="AD204" s="354">
        <f>IF(Table1[[#This Row],[Vin]]&gt;Vout, SQRT(Table1[[#This Row],[Duty Cycle BUCK Leg]]*(1-Table1[[#This Row],[Duty Cycle BUCK Leg]]))*SQRT(Table1[[#This Row],[Iout]]^2+(Table1[[#This Row],[Ripple Current pk-pk]]^2)/12), Table1[[#This Row],[Ripple Current pk-pk]]/SQRT(12))</f>
        <v>6.0012098847972783</v>
      </c>
      <c r="AE204" s="354">
        <f>RCinEsr*Table1[[#This Row],[Irms Cin]]^2</f>
        <v>7.2029040162777128E-2</v>
      </c>
      <c r="AF204" s="549">
        <f>Table1[[#This Row],[Cin ESR Loss]]</f>
        <v>7.2029040162777128E-2</v>
      </c>
      <c r="AG204"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8.0047827632090254</v>
      </c>
      <c r="AH204" s="354">
        <f>Rdson1*Table1[[#This Row],[Irms BuCtrl]]^2</f>
        <v>0.26912149776190697</v>
      </c>
      <c r="AI204" s="354">
        <f>CHOOSE(Table1[[#This Row],[Mode Digit]], (Table1[[#This Row],[Vin]]*Table1[[#This Row],[Iout]]/2)*(Fsw)*(Tr_buck+Tf_buck), 0, (Table1[[#This Row],[Vin]]*Table1[[#This Row],[Avg IL]]/2)*(Fsw/1)*(Tr_buck+Tf_buck))</f>
        <v>4.0042289715093959</v>
      </c>
      <c r="AJ204">
        <f>IF(Table1[[#This Row],[Vin]]&gt;Vout, IF(Table1[[#This Row],[Iout]]&gt;Table1[[#This Row],[Ripple Current pk-pk]]/2,0,ABS(Table1[[#This Row],[Iout]]-Table1[[#This Row],[Ripple Current pk-pk]]/2)*Vsd_Q1*Deadtime*Fsw),0)</f>
        <v>0</v>
      </c>
      <c r="AK204" s="354">
        <f>(Table1[[#This Row],[Dead Time Loss BuCtrl]]+Table1[[#This Row],[Transition Loss BuCtrl]]+Table1[[#This Row],[RDS(on) Loss BuCtrl]]*(1+RdsonTopTc*Ta-RdsonTopTc*25))/(1-Table1[[#This Row],[RDS(on) Loss BuCtrl]]*RdsonTopTc*ThetaJA_Q1)</f>
        <v>4.568420937710548</v>
      </c>
      <c r="AL204" s="354">
        <f>CHOOSE(Table1[[#This Row],[Mode Digit]],SQRT((Fsw*(Table1[[#This Row],[t2_Ph_I]]+0))*((Table1[[#This Row],[I_0]]*Table1[[#This Row],[I_1]]+((Table1[[#This Row],[I_0]]-Table1[[#This Row],[I_1]])^2)/3))),0,SQRT((Fsw*(Table1[[#This Row],[t3_Ph_III]]+0))*((Table1[[#This Row],[I_0]]*Table1[[#This Row],[I_2]]+((Table1[[#This Row],[I_0]]-Table1[[#This Row],[I_2]])^2)/3))))</f>
        <v>9.0683619747165967</v>
      </c>
      <c r="AM204" s="354">
        <f>Rdson2*Table1[[#This Row],[Irms BuSync]]^2</f>
        <v>0.34538779339884079</v>
      </c>
      <c r="AN204"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4" s="354">
        <f>(Table1[[#This Row],[Deadtime Loss BuSync]]+Table1[[#This Row],[RDS(on) Loss BuSync]]*(1+RdsonBotTc*Ta-RdsonBotTc*25))/(1-Table1[[#This Row],[RDS(on) Loss BuSync]]*RdsonBotTc*ThetaJA_Q2)</f>
        <v>1.0061631770556496</v>
      </c>
      <c r="AP204" s="354">
        <f>CHOOSE(Table1[[#This Row],[Mode Digit]],0,SQRT((Fsw*(Table1[[#This Row],[t1_Ph_II]]+0))*((Table1[[#This Row],[I_0]]*Table1[[#This Row],[I_1]]+((Table1[[#This Row],[I_0]]-Table1[[#This Row],[I_1]])^2)/3))),SQRT((Fsw*(Table1[[#This Row],[t2_Ph_I]]+0))*((Table1[[#This Row],[I_1]]*Table1[[#This Row],[I_2]]+((Table1[[#This Row],[I_1]]-Table1[[#This Row],[I_2]])^2)/3))))</f>
        <v>0</v>
      </c>
      <c r="AQ204" s="354">
        <f>Rdson4*Table1[[#This Row],[Irms BoCtlr]]^2</f>
        <v>0</v>
      </c>
      <c r="AR204" s="354">
        <f>CHOOSE(Table1[[#This Row],[Mode Digit]], 0, (Vout*Table1[[#This Row],[Iin]]/2)*(Fsw)*(Tr_boost+Tf_boost), (Vout*Iout/2)*(Fsw/1)*(Tr_boost+Tf_boost))</f>
        <v>0</v>
      </c>
      <c r="AS204">
        <f>IF(Table1[[#This Row],[Vin]]&gt;Vout, 0, IF(Table1[[#This Row],[Iin]]&gt;Table1[[#This Row],[Ripple Current pk-pk]]/2,0,ABS(Table1[[#This Row],[Iin]]-Table1[[#This Row],[Ripple Current pk-pk]]/2)*Vsd_Q4*Deadtime*Fsw))</f>
        <v>0</v>
      </c>
      <c r="AT204" s="354">
        <f>(Table1[[#This Row],[Dead Time Loss BoCtlr]]+Table1[[#This Row],[Transition Loss BoCtlr]]+Table1[[#This Row],[RDS(on) Loss BoCtlr]]*(1+RdsonTopTc*Ta-RdsonTopTc*25))/(1-Table1[[#This Row],[RDS(on) Loss BoCtlr]]*RdsonTopTc*ThetaJA_Q4)</f>
        <v>0</v>
      </c>
      <c r="AU204"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12.095938822210297</v>
      </c>
      <c r="AV204" s="354">
        <f>Rdson3*Table1[[#This Row],[Irms BoSync]]^2</f>
        <v>0.61450929116074782</v>
      </c>
      <c r="AW204"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4" s="354">
        <f>(Table1[[#This Row],[Deadtime Loss BoSync]]+Table1[[#This Row],[RDS(on) Loss BoSync]]*(1+RdsonBotTc*Ta-RdsonBotTc*25))/(1-Table1[[#This Row],[RDS(on) Loss BoSync]]*RdsonBotTc*ThetaJA_Q3)</f>
        <v>0.72081698786551496</v>
      </c>
      <c r="AY204" s="354">
        <f>CHOOSE(Table1[[#This Row],[Mode Digit]], Rdson3*Table1[[#This Row],[Irms Lf]]^2, Rdson1*Table1[[#This Row],[Irms Lf]]^2, 0)</f>
        <v>0.61450929116074782</v>
      </c>
      <c r="AZ204" s="354">
        <f>CHOOSE(Table1[[#This Row],[Mode Digit]], 2*Deadtime*Fsw*IF(VfdSky_Q2&gt;0,VfdSky_Q2,0)*Table1[[#This Row],[Iout]], 2*Deadtime*Fsw*IF(VfdSky_Q3&gt;0,VfdSky_Q3,0)*Table1[[#This Row],[Iin]], 2*Deadtime*Fsw*IF(VfdSky_Q2&gt;0,VfdSky_Q2,0)*Table1[[#This Row],[Iout]]+2*Deadtime*Fsw*IF(VfdSky_Q3&gt;0,VfdSky_Q3,0)*Table1[[#This Row],[Iin]])</f>
        <v>0</v>
      </c>
      <c r="BA204" s="354">
        <f>CHOOSE(Table1[[#This Row],[Mode Digit]], IF(QrrSky_Q2&gt;0,QrrSky_Q2,Qrr_Q2)*Fsw*(Table1[[#This Row],[Vin]]-Table1[[#This Row],[Iout]]*Rdson1),0,  IF(QrrSky_Q2&gt;0,QrrSky_Q2,Qrr_Q2)*Fsw*(Table1[[#This Row],[Vin]]-Table1[[#This Row],[Iout]]*Rdson1)+IF(QrrSky_Q3&gt;0,QrrSky_Q3,Qrr_Q3)*Fsw*Vout)</f>
        <v>0.40319519999999998</v>
      </c>
      <c r="BB204" s="354">
        <f>CHOOSE(Table1[[#This Row],[Mode Digit]],0, IF(QrrSky_Q3&gt;0,QrrSky_Q3,Qrr_Q3)*Fsw*Vout,  IF(QrrSky_Q2&gt;0,QrrSky_Q2,Qrr_Q2)*Fsw*(Table1[[#This Row],[Vin]]-Table1[[#This Row],[Iout]]*Rdson1)+IF(QrrSky_Q3&gt;0,QrrSky_Q3,Qrr_Q3)*Fsw*Vout)</f>
        <v>0</v>
      </c>
      <c r="BC204" s="354">
        <f>CHOOSE(Table1[[#This Row],[Mode Digit]], Rs*Table1[[#This Row],[Irms BuSync]]^2, Rs*Table1[[#This Row],[Irms BoCtlr]]^2, Rs*(Table1[[#This Row],[Irms BuSync]]^2+Table1[[#This Row],[Irms BoCtlr]]^2))</f>
        <v>0.20558797226121475</v>
      </c>
      <c r="BD204" s="354">
        <f t="shared" si="11"/>
        <v>1.44</v>
      </c>
      <c r="BE204" s="354">
        <f>IF(Vout&gt;8, Iq*Vout, Iq*Table1[[#This Row],[Vin]])</f>
        <v>4.3799999999999999E-2</v>
      </c>
      <c r="BF204" s="354">
        <f>CHOOSE(Table1[[#This Row],[Mode Digit]], (Qg_Q1+Qg_Q2)*Fsw, (Qg_Q3+Qg_Q4)*Fsw, (Qg_Q1+Qg_Q2+Qg_Q3+Qg_Q4)*Fsw)*IF(Vout&gt;8, Vout, Table1[[#This Row],[Vin]])</f>
        <v>0.47303999999999996</v>
      </c>
      <c r="BG204" s="354">
        <f t="shared" si="12"/>
        <v>0.57269042016806726</v>
      </c>
      <c r="BH204" s="354">
        <f>Table1[[#This Row],[IQ Loss]]+Table1[[#This Row],[Switching Current Loss]]</f>
        <v>0.51683999999999997</v>
      </c>
      <c r="BI204"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11.332707694763261</v>
      </c>
      <c r="BJ204">
        <f>Vout*Table1[[#This Row],[Iout]]</f>
        <v>175.2</v>
      </c>
      <c r="BK204" s="550">
        <f>Table1[[#This Row],[Pout]]/(Table1[[#This Row],[Pout]]+Table1[[#This Row],[Total Loss]])</f>
        <v>0.93924546619830462</v>
      </c>
      <c r="BL204"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274.10525626263291</v>
      </c>
      <c r="BM204" s="559">
        <f>IF(Table1[[#This Row],[Vin]]&gt;Vout, Table1[[#This Row],[Total Sync Bu MOSFET Loss]]*ThetaJA_Q2, ThetaJA_Q3*Table1[[#This Row],[Total Sync Bo MOSFET Loss]])</f>
        <v>60.369790623338979</v>
      </c>
      <c r="BN204" s="9"/>
      <c r="BO204" s="4">
        <f>Table1[[#This Row],[EFF, h]]*100</f>
        <v>93.924546619830465</v>
      </c>
      <c r="BP204" s="354">
        <f>Table1[[#This Row],[Total Inductor Loss]]</f>
        <v>2.3880956997542855</v>
      </c>
      <c r="BQ204" s="354">
        <f>Table1[[#This Row],[Total Control Bu MOSFET Loss]]+Table1[[#This Row],[Total Sync Bu MOSFET Loss]]+Table1[[#This Row],[Total Control Bo MOSFET Loss]]+Table1[[#This Row],[Total Sync Bo MOSFET Loss]]+Table1[[#This Row],[Reverse Recovery Loss MOSFET D BUCK]]+Table1[[#This Row],[Reverse Recovery Loss MOSFET D BOOST]]</f>
        <v>6.6985963026317128</v>
      </c>
      <c r="BR204" s="354">
        <f>Table1[[#This Row],[Total Control Bu MOSFET Loss]]+Table1[[#This Row],[Reverse Recovery Loss MOSFET D BUCK]]*0.66</f>
        <v>4.8345297697105476</v>
      </c>
      <c r="BS204" s="354">
        <f>Table1[[#This Row],[Total Sync Bu MOSFET Loss]]+Table1[[#This Row],[Reverse Recovery Loss MOSFET D BUCK]]*0.33</f>
        <v>1.1392175930556496</v>
      </c>
      <c r="BT204" s="354">
        <f xml:space="preserve"> Table1[[#This Row],[Total Control Bo MOSFET Loss]]+Table1[[#This Row],[Reverse Recovery Loss MOSFET D BOOST]]*0.66</f>
        <v>0</v>
      </c>
      <c r="BU204" s="354">
        <f xml:space="preserve"> Table1[[#This Row],[Total Sync Bo MOSFET Loss]]+Table1[[#This Row],[Reverse Recovery Loss MOSFET D BOOST]]*0.33</f>
        <v>0.72081698786551496</v>
      </c>
      <c r="BV204" s="354">
        <f>Table1[[#This Row],[Isense Shunt Loss]]</f>
        <v>0.20558797226121475</v>
      </c>
    </row>
    <row r="205" spans="7:74" x14ac:dyDescent="0.2">
      <c r="G205">
        <v>196</v>
      </c>
      <c r="H205" s="555">
        <f>VIN_min+(VIN_max-VIN_min)*(Table1[[#This Row],[Step]]/200)</f>
        <v>33.72</v>
      </c>
      <c r="I205" s="4" t="str">
        <f>IF(Mode = 2,IF(Table1[[#This Row],[Vin]]&gt;Vout, "BUCK","BOOST"),IF(Table1[[#This Row],[Vin]]&gt;VIN_BB_to_buck, "BUCK", IF(Table1[[#This Row],[Vin]]&lt;=VIN_boost_to_BB,"BOOST","BUCK-BST")))</f>
        <v>BUCK</v>
      </c>
      <c r="J205">
        <f>IF(Table1[[#This Row],[Mode]]="BOOST",2, IF(Table1[[#This Row],[Mode]]="BUCK", 1,3))</f>
        <v>1</v>
      </c>
      <c r="K205">
        <f t="shared" si="10"/>
        <v>12</v>
      </c>
      <c r="L205" s="4">
        <f>Vout*Table1[[#This Row],[Iout]]/(Table1[[#This Row],[Vin]]*Efficiency)</f>
        <v>5.4691889867016297</v>
      </c>
      <c r="M205" s="711">
        <f>MIN(1/Fsw,CHOOSE(Table1[[#This Row],[Mode Digit]],(Vout+(Rdson2+Rs+Rdcr)*Table1[[#This Row],[Iout]])/(Table1[[#This Row],[Vin]]+(Rs+Rdson2-Rdson1)*Table1[[#This Row],[Iout]])/Fsw,(Vout+(Rdson3+Rdcr)*Table1[[#This Row],[Iin]]-Table1[[#This Row],[Vin]])/(Vout+(Rdson3-Rdson4-Rs)*Table1[[#This Row],[Iin]])/Fsw,t1_Ph_II))</f>
        <v>7.2839506172839515E-7</v>
      </c>
      <c r="N205" s="602">
        <f>CHOOSE(Table1[[#This Row],[Mode Digit]],1/Fsw-Table1[[#This Row],[t1_Ph_II]],1/Fsw-Table1[[#This Row],[t1_Ph_II]],(Vout/Fsw-Table1[[#This Row],[Vin]]*t1_Ph_II)/(Table1[[#This Row],[Vin]]+Vout))</f>
        <v>9.3827160493827152E-7</v>
      </c>
      <c r="O205" s="602">
        <f>1/Fsw-(Table1[[#This Row],[t1_Ph_II]]+Table1[[#This Row],[t2_Ph_I]])</f>
        <v>0</v>
      </c>
      <c r="P205"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9.3623269734380852</v>
      </c>
      <c r="Q205" s="4">
        <f>CHOOSE(Table1[[#This Row],[Mode Digit]],Table1[[#This Row],[I_0]]+1/Lf*(Table1[[#This Row],[Vin]]-Vout)*Table1[[#This Row],[t1_Ph_II]],Table1[[#This Row],[I_0]]+1/Lf*Table1[[#This Row],[Vin]]*Table1[[#This Row],[t1_Ph_II]],Table1[[#This Row],[I_0]]+(Table1[[#This Row],[Vin]]-Vout)/L*Table1[[#This Row],[t1_Ph_II]])</f>
        <v>14.637673026561917</v>
      </c>
      <c r="R205" s="4">
        <f>CHOOSE(Table1[[#This Row],[Mode Digit]],0,0,Table1[[#This Row],[I_1]]+Table1[[#This Row],[Vin]]/L*Table1[[#This Row],[t2_Ph_I]])</f>
        <v>0</v>
      </c>
      <c r="S205" s="4">
        <f>Fsw*(Table1[[#This Row],[I_0]]*Table1[[#This Row],[t1_Ph_II]]+Table1[[#This Row],[I_1]]*Table1[[#This Row],[t2_Ph_I]]+Table1[[#This Row],[I_2]]*Table1[[#This Row],[t3_Ph_III]])</f>
        <v>12.332151418159651</v>
      </c>
      <c r="T205" s="354">
        <f>MIN(1,CHOOSE(Table1[[#This Row],[Mode Digit]],(Vout+(Rdson2+Rs+Rdcr)*Table1[[#This Row],[Iout]])/(Table1[[#This Row],[Vin]]+(Rs+Rdson2-Rdson1)*Table1[[#This Row],[Iout]]),1,Fsw*Table1[[#This Row],[t2_Ph_I]]+Table1[[#This Row],[t1_Ph_II]]))</f>
        <v>0.43703703703703706</v>
      </c>
      <c r="U205" s="354">
        <f>MIN(1,CHOOSE(Table1[[#This Row],[Mode Digit]],0,(Vout+(Rdson3+Rdcr)*Table1[[#This Row],[Iin]]-Table1[[#This Row],[Vin]])/(Vout+(Rdson3-Rdson4-Rs)*Table1[[#This Row],[Iin]]),Fsw*Table1[[#This Row],[t1_Ph_II]]+Table1[[#This Row],[t3_Ph_III]]))</f>
        <v>0</v>
      </c>
      <c r="V205" s="4">
        <f>MAX(Table1[[#This Row],[I_0]:[I_2]])-MIN(Table1[[#This Row],[I_0]:[I_1]])</f>
        <v>5.2753460531238314</v>
      </c>
      <c r="W205"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12.096243480175326</v>
      </c>
      <c r="X205" s="354">
        <f>(Table1[[#This Row],[Irms Lf]]^2*Rdcr*(1+Ltc*Ta-Ltc*25))/(1-Table1[[#This Row],[Irms Lf]]^2*Rdcr*Ltc*ThetaCa)</f>
        <v>0.91046410524486598</v>
      </c>
      <c r="Y205" s="354">
        <f>ABS(7.759*10^-3*Fsw^0.9458*(0.00787*Table1[[#This Row],[Ripple Current pk-pk]])^2.304)</f>
        <v>1.4831093931187649</v>
      </c>
      <c r="Z205" s="354">
        <f>Table1[[#This Row],[DCR    Loss]]+Table1[[#This Row],[Core Loss]]</f>
        <v>2.3935734983636308</v>
      </c>
      <c r="AA205" s="4">
        <f>IF(Table1[[#This Row],[Vin]]&gt;Vout, Table1[[#This Row],[Ripple Current pk-pk]]/SQRT(12), SQRT(Table1[[#This Row],[Duty Cycle BOOST Leg]]/(1-Table1[[#This Row],[Duty Cycle BOOST Leg]]))*SQRT(Table1[[#This Row],[Iout]]^2+(Table1[[#This Row],[Ripple Current pk-pk]]^2)/12))</f>
        <v>1.522861231919737</v>
      </c>
      <c r="AB205" s="354">
        <f>RCoutEsr*Table1[[#This Row],[Irms Cout]]^2</f>
        <v>1.1595531658420494E-2</v>
      </c>
      <c r="AC205" s="354">
        <f>Table1[[#This Row],[Cout ESR Loss]]</f>
        <v>1.1595531658420494E-2</v>
      </c>
      <c r="AD205" s="354">
        <f>IF(Table1[[#This Row],[Vin]]&gt;Vout, SQRT(Table1[[#This Row],[Duty Cycle BUCK Leg]]*(1-Table1[[#This Row],[Duty Cycle BUCK Leg]]))*SQRT(Table1[[#This Row],[Iout]]^2+(Table1[[#This Row],[Ripple Current pk-pk]]^2)/12), Table1[[#This Row],[Ripple Current pk-pk]]/SQRT(12))</f>
        <v>5.9999765559270894</v>
      </c>
      <c r="AE205" s="354">
        <f>RCinEsr*Table1[[#This Row],[Irms Cin]]^2</f>
        <v>7.1999437343349404E-2</v>
      </c>
      <c r="AF205" s="549">
        <f>Table1[[#This Row],[Cin ESR Loss]]</f>
        <v>7.1999437343349404E-2</v>
      </c>
      <c r="AG205"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7.996678603839622</v>
      </c>
      <c r="AH205" s="354">
        <f>Rdson1*Table1[[#This Row],[Irms BuCtrl]]^2</f>
        <v>0.26857684851104696</v>
      </c>
      <c r="AI205" s="354">
        <f>CHOOSE(Table1[[#This Row],[Mode Digit]], (Table1[[#This Row],[Vin]]*Table1[[#This Row],[Iout]]/2)*(Fsw)*(Tr_buck+Tf_buck), 0, (Table1[[#This Row],[Vin]]*Table1[[#This Row],[Avg IL]]/2)*(Fsw/1)*(Tr_buck+Tf_buck))</f>
        <v>4.0125587197413628</v>
      </c>
      <c r="AJ205">
        <f>IF(Table1[[#This Row],[Vin]]&gt;Vout, IF(Table1[[#This Row],[Iout]]&gt;Table1[[#This Row],[Ripple Current pk-pk]]/2,0,ABS(Table1[[#This Row],[Iout]]-Table1[[#This Row],[Ripple Current pk-pk]]/2)*Vsd_Q1*Deadtime*Fsw),0)</f>
        <v>0</v>
      </c>
      <c r="AK205" s="354">
        <f>(Table1[[#This Row],[Dead Time Loss BuCtrl]]+Table1[[#This Row],[Transition Loss BuCtrl]]+Table1[[#This Row],[RDS(on) Loss BuCtrl]]*(1+RdsonTopTc*Ta-RdsonTopTc*25))/(1-Table1[[#This Row],[RDS(on) Loss BuCtrl]]*RdsonTopTc*ThetaJA_Q1)</f>
        <v>4.5761041176209867</v>
      </c>
      <c r="AL205" s="354">
        <f>CHOOSE(Table1[[#This Row],[Mode Digit]],SQRT((Fsw*(Table1[[#This Row],[t2_Ph_I]]+0))*((Table1[[#This Row],[I_0]]*Table1[[#This Row],[I_1]]+((Table1[[#This Row],[I_0]]-Table1[[#This Row],[I_1]])^2)/3))),0,SQRT((Fsw*(Table1[[#This Row],[t3_Ph_III]]+0))*((Table1[[#This Row],[I_0]]*Table1[[#This Row],[I_2]]+((Table1[[#This Row],[I_0]]-Table1[[#This Row],[I_2]])^2)/3))))</f>
        <v>9.0759152507379497</v>
      </c>
      <c r="AM205" s="354">
        <f>Rdson2*Table1[[#This Row],[Irms BuSync]]^2</f>
        <v>0.34596339808202642</v>
      </c>
      <c r="AN205"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5" s="354">
        <f>(Table1[[#This Row],[Deadtime Loss BuSync]]+Table1[[#This Row],[RDS(on) Loss BuSync]]*(1+RdsonBotTc*Ta-RdsonBotTc*25))/(1-Table1[[#This Row],[RDS(on) Loss BuSync]]*RdsonBotTc*ThetaJA_Q2)</f>
        <v>1.0069424851761863</v>
      </c>
      <c r="AP205" s="354">
        <f>CHOOSE(Table1[[#This Row],[Mode Digit]],0,SQRT((Fsw*(Table1[[#This Row],[t1_Ph_II]]+0))*((Table1[[#This Row],[I_0]]*Table1[[#This Row],[I_1]]+((Table1[[#This Row],[I_0]]-Table1[[#This Row],[I_1]])^2)/3))),SQRT((Fsw*(Table1[[#This Row],[t2_Ph_I]]+0))*((Table1[[#This Row],[I_1]]*Table1[[#This Row],[I_2]]+((Table1[[#This Row],[I_1]]-Table1[[#This Row],[I_2]])^2)/3))))</f>
        <v>0</v>
      </c>
      <c r="AQ205" s="354">
        <f>Rdson4*Table1[[#This Row],[Irms BoCtlr]]^2</f>
        <v>0</v>
      </c>
      <c r="AR205" s="354">
        <f>CHOOSE(Table1[[#This Row],[Mode Digit]], 0, (Vout*Table1[[#This Row],[Iin]]/2)*(Fsw)*(Tr_boost+Tf_boost), (Vout*Iout/2)*(Fsw/1)*(Tr_boost+Tf_boost))</f>
        <v>0</v>
      </c>
      <c r="AS205">
        <f>IF(Table1[[#This Row],[Vin]]&gt;Vout, 0, IF(Table1[[#This Row],[Iin]]&gt;Table1[[#This Row],[Ripple Current pk-pk]]/2,0,ABS(Table1[[#This Row],[Iin]]-Table1[[#This Row],[Ripple Current pk-pk]]/2)*Vsd_Q4*Deadtime*Fsw))</f>
        <v>0</v>
      </c>
      <c r="AT205" s="354">
        <f>(Table1[[#This Row],[Dead Time Loss BoCtlr]]+Table1[[#This Row],[Transition Loss BoCtlr]]+Table1[[#This Row],[RDS(on) Loss BoCtlr]]*(1+RdsonTopTc*Ta-RdsonTopTc*25))/(1-Table1[[#This Row],[RDS(on) Loss BoCtlr]]*RdsonTopTc*ThetaJA_Q4)</f>
        <v>0</v>
      </c>
      <c r="AU205"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12.096243480175326</v>
      </c>
      <c r="AV205" s="354">
        <f>Rdson3*Table1[[#This Row],[Irms BoSync]]^2</f>
        <v>0.61454024659307327</v>
      </c>
      <c r="AW205"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5" s="354">
        <f>(Table1[[#This Row],[Deadtime Loss BoSync]]+Table1[[#This Row],[RDS(on) Loss BoSync]]*(1+RdsonBotTc*Ta-RdsonBotTc*25))/(1-Table1[[#This Row],[RDS(on) Loss BoSync]]*RdsonBotTc*ThetaJA_Q3)</f>
        <v>0.72085958042884679</v>
      </c>
      <c r="AY205" s="354">
        <f>CHOOSE(Table1[[#This Row],[Mode Digit]], Rdson3*Table1[[#This Row],[Irms Lf]]^2, Rdson1*Table1[[#This Row],[Irms Lf]]^2, 0)</f>
        <v>0.61454024659307327</v>
      </c>
      <c r="AZ205" s="354">
        <f>CHOOSE(Table1[[#This Row],[Mode Digit]], 2*Deadtime*Fsw*IF(VfdSky_Q2&gt;0,VfdSky_Q2,0)*Table1[[#This Row],[Iout]], 2*Deadtime*Fsw*IF(VfdSky_Q3&gt;0,VfdSky_Q3,0)*Table1[[#This Row],[Iin]], 2*Deadtime*Fsw*IF(VfdSky_Q2&gt;0,VfdSky_Q2,0)*Table1[[#This Row],[Iout]]+2*Deadtime*Fsw*IF(VfdSky_Q3&gt;0,VfdSky_Q3,0)*Table1[[#This Row],[Iin]])</f>
        <v>0</v>
      </c>
      <c r="BA205" s="354">
        <f>CHOOSE(Table1[[#This Row],[Mode Digit]], IF(QrrSky_Q2&gt;0,QrrSky_Q2,Qrr_Q2)*Fsw*(Table1[[#This Row],[Vin]]-Table1[[#This Row],[Iout]]*Rdson1),0,  IF(QrrSky_Q2&gt;0,QrrSky_Q2,Qrr_Q2)*Fsw*(Table1[[#This Row],[Vin]]-Table1[[#This Row],[Iout]]*Rdson1)+IF(QrrSky_Q3&gt;0,QrrSky_Q3,Qrr_Q3)*Fsw*Vout)</f>
        <v>0.40403519999999993</v>
      </c>
      <c r="BB205" s="354">
        <f>CHOOSE(Table1[[#This Row],[Mode Digit]],0, IF(QrrSky_Q3&gt;0,QrrSky_Q3,Qrr_Q3)*Fsw*Vout,  IF(QrrSky_Q2&gt;0,QrrSky_Q2,Qrr_Q2)*Fsw*(Table1[[#This Row],[Vin]]-Table1[[#This Row],[Iout]]*Rdson1)+IF(QrrSky_Q3&gt;0,QrrSky_Q3,Qrr_Q3)*Fsw*Vout)</f>
        <v>0</v>
      </c>
      <c r="BC205" s="354">
        <f>CHOOSE(Table1[[#This Row],[Mode Digit]], Rs*Table1[[#This Row],[Irms BuSync]]^2, Rs*Table1[[#This Row],[Irms BoCtlr]]^2, Rs*(Table1[[#This Row],[Irms BuSync]]^2+Table1[[#This Row],[Irms BoCtlr]]^2))</f>
        <v>0.20593059409644426</v>
      </c>
      <c r="BD205" s="354">
        <f t="shared" si="11"/>
        <v>1.44</v>
      </c>
      <c r="BE205" s="354">
        <f>IF(Vout&gt;8, Iq*Vout, Iq*Table1[[#This Row],[Vin]])</f>
        <v>4.3799999999999999E-2</v>
      </c>
      <c r="BF205" s="354">
        <f>CHOOSE(Table1[[#This Row],[Mode Digit]], (Qg_Q1+Qg_Q2)*Fsw, (Qg_Q3+Qg_Q4)*Fsw, (Qg_Q1+Qg_Q2+Qg_Q3+Qg_Q4)*Fsw)*IF(Vout&gt;8, Vout, Table1[[#This Row],[Vin]])</f>
        <v>0.47303999999999996</v>
      </c>
      <c r="BG205" s="354">
        <f t="shared" si="12"/>
        <v>0.57269042016806726</v>
      </c>
      <c r="BH205" s="354">
        <f>Table1[[#This Row],[IQ Loss]]+Table1[[#This Row],[Switching Current Loss]]</f>
        <v>0.51683999999999997</v>
      </c>
      <c r="BI205"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11.347880444687863</v>
      </c>
      <c r="BJ205">
        <f>Vout*Table1[[#This Row],[Iout]]</f>
        <v>175.2</v>
      </c>
      <c r="BK205" s="550">
        <f>Table1[[#This Row],[Pout]]/(Table1[[#This Row],[Pout]]+Table1[[#This Row],[Total Loss]])</f>
        <v>0.93916907328222066</v>
      </c>
      <c r="BL205"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274.5662470572592</v>
      </c>
      <c r="BM205" s="559">
        <f>IF(Table1[[#This Row],[Vin]]&gt;Vout, Table1[[#This Row],[Total Sync Bu MOSFET Loss]]*ThetaJA_Q2, ThetaJA_Q3*Table1[[#This Row],[Total Sync Bo MOSFET Loss]])</f>
        <v>60.416549110571182</v>
      </c>
      <c r="BN205" s="9"/>
      <c r="BO205" s="4">
        <f>Table1[[#This Row],[EFF, h]]*100</f>
        <v>93.916907328222067</v>
      </c>
      <c r="BP205" s="354">
        <f>Table1[[#This Row],[Total Inductor Loss]]</f>
        <v>2.3935734983636308</v>
      </c>
      <c r="BQ205" s="354">
        <f>Table1[[#This Row],[Total Control Bu MOSFET Loss]]+Table1[[#This Row],[Total Sync Bu MOSFET Loss]]+Table1[[#This Row],[Total Control Bo MOSFET Loss]]+Table1[[#This Row],[Total Sync Bo MOSFET Loss]]+Table1[[#This Row],[Reverse Recovery Loss MOSFET D BUCK]]+Table1[[#This Row],[Reverse Recovery Loss MOSFET D BOOST]]</f>
        <v>6.7079413832260206</v>
      </c>
      <c r="BR205" s="354">
        <f>Table1[[#This Row],[Total Control Bu MOSFET Loss]]+Table1[[#This Row],[Reverse Recovery Loss MOSFET D BUCK]]*0.66</f>
        <v>4.8427673496209866</v>
      </c>
      <c r="BS205" s="354">
        <f>Table1[[#This Row],[Total Sync Bu MOSFET Loss]]+Table1[[#This Row],[Reverse Recovery Loss MOSFET D BUCK]]*0.33</f>
        <v>1.1402741011761863</v>
      </c>
      <c r="BT205" s="354">
        <f xml:space="preserve"> Table1[[#This Row],[Total Control Bo MOSFET Loss]]+Table1[[#This Row],[Reverse Recovery Loss MOSFET D BOOST]]*0.66</f>
        <v>0</v>
      </c>
      <c r="BU205" s="354">
        <f xml:space="preserve"> Table1[[#This Row],[Total Sync Bo MOSFET Loss]]+Table1[[#This Row],[Reverse Recovery Loss MOSFET D BOOST]]*0.33</f>
        <v>0.72085958042884679</v>
      </c>
      <c r="BV205" s="354">
        <f>Table1[[#This Row],[Isense Shunt Loss]]</f>
        <v>0.20593059409644426</v>
      </c>
    </row>
    <row r="206" spans="7:74" x14ac:dyDescent="0.2">
      <c r="G206">
        <v>197</v>
      </c>
      <c r="H206" s="555">
        <f>VIN_min+(VIN_max-VIN_min)*(Table1[[#This Row],[Step]]/200)</f>
        <v>33.79</v>
      </c>
      <c r="I206" s="4" t="str">
        <f>IF(Mode = 2,IF(Table1[[#This Row],[Vin]]&gt;Vout, "BUCK","BOOST"),IF(Table1[[#This Row],[Vin]]&gt;VIN_BB_to_buck, "BUCK", IF(Table1[[#This Row],[Vin]]&lt;=VIN_boost_to_BB,"BOOST","BUCK-BST")))</f>
        <v>BUCK</v>
      </c>
      <c r="J206">
        <f>IF(Table1[[#This Row],[Mode]]="BOOST",2, IF(Table1[[#This Row],[Mode]]="BUCK", 1,3))</f>
        <v>1</v>
      </c>
      <c r="K206">
        <f t="shared" si="10"/>
        <v>12</v>
      </c>
      <c r="L206" s="4">
        <f>Vout*Table1[[#This Row],[Iout]]/(Table1[[#This Row],[Vin]]*Efficiency)</f>
        <v>5.4578589118549559</v>
      </c>
      <c r="M206" s="711">
        <f>MIN(1/Fsw,CHOOSE(Table1[[#This Row],[Mode Digit]],(Vout+(Rdson2+Rs+Rdcr)*Table1[[#This Row],[Iout]])/(Table1[[#This Row],[Vin]]+(Rs+Rdson2-Rdson1)*Table1[[#This Row],[Iout]])/Fsw,(Vout+(Rdson3+Rdcr)*Table1[[#This Row],[Iin]]-Table1[[#This Row],[Vin]])/(Vout+(Rdson3-Rdson4-Rs)*Table1[[#This Row],[Iin]])/Fsw,t1_Ph_II))</f>
        <v>7.2688744332741959E-7</v>
      </c>
      <c r="N206" s="602">
        <f>CHOOSE(Table1[[#This Row],[Mode Digit]],1/Fsw-Table1[[#This Row],[t1_Ph_II]],1/Fsw-Table1[[#This Row],[t1_Ph_II]],(Vout/Fsw-Table1[[#This Row],[Vin]]*t1_Ph_II)/(Table1[[#This Row],[Vin]]+Vout))</f>
        <v>9.3977922333924707E-7</v>
      </c>
      <c r="O206" s="602">
        <f>1/Fsw-(Table1[[#This Row],[t1_Ph_II]]+Table1[[#This Row],[t2_Ph_I]])</f>
        <v>0</v>
      </c>
      <c r="P206"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9.3581496141187159</v>
      </c>
      <c r="Q206" s="4">
        <f>CHOOSE(Table1[[#This Row],[Mode Digit]],Table1[[#This Row],[I_0]]+1/Lf*(Table1[[#This Row],[Vin]]-Vout)*Table1[[#This Row],[t1_Ph_II]],Table1[[#This Row],[I_0]]+1/Lf*Table1[[#This Row],[Vin]]*Table1[[#This Row],[t1_Ph_II]],Table1[[#This Row],[I_0]]+(Table1[[#This Row],[Vin]]-Vout)/L*Table1[[#This Row],[t1_Ph_II]])</f>
        <v>14.641850385881284</v>
      </c>
      <c r="R206" s="4">
        <f>CHOOSE(Table1[[#This Row],[Mode Digit]],0,0,Table1[[#This Row],[I_1]]+Table1[[#This Row],[Vin]]/L*Table1[[#This Row],[t2_Ph_I]])</f>
        <v>0</v>
      </c>
      <c r="S206" s="4">
        <f>Fsw*(Table1[[#This Row],[I_0]]*Table1[[#This Row],[t1_Ph_II]]+Table1[[#This Row],[I_1]]*Table1[[#This Row],[t2_Ph_I]]+Table1[[#This Row],[I_2]]*Table1[[#This Row],[t3_Ph_III]])</f>
        <v>12.33745693870512</v>
      </c>
      <c r="T206" s="354">
        <f>MIN(1,CHOOSE(Table1[[#This Row],[Mode Digit]],(Vout+(Rdson2+Rs+Rdcr)*Table1[[#This Row],[Iout]])/(Table1[[#This Row],[Vin]]+(Rs+Rdson2-Rdson1)*Table1[[#This Row],[Iout]]),1,Fsw*Table1[[#This Row],[t2_Ph_I]]+Table1[[#This Row],[t1_Ph_II]]))</f>
        <v>0.43613246599645178</v>
      </c>
      <c r="U206" s="354">
        <f>MIN(1,CHOOSE(Table1[[#This Row],[Mode Digit]],0,(Vout+(Rdson3+Rdcr)*Table1[[#This Row],[Iin]]-Table1[[#This Row],[Vin]])/(Vout+(Rdson3-Rdson4-Rs)*Table1[[#This Row],[Iin]]),Fsw*Table1[[#This Row],[t1_Ph_II]]+Table1[[#This Row],[t3_Ph_III]]))</f>
        <v>0</v>
      </c>
      <c r="V206" s="4">
        <f>MAX(Table1[[#This Row],[I_0]:[I_2]])-MIN(Table1[[#This Row],[I_0]:[I_1]])</f>
        <v>5.2837007717625681</v>
      </c>
      <c r="W206"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12.096547351226313</v>
      </c>
      <c r="X206" s="354">
        <f>(Table1[[#This Row],[Irms Lf]]^2*Rdcr*(1+Ltc*Ta-Ltc*25))/(1-Table1[[#This Row],[Irms Lf]]^2*Rdcr*Ltc*ThetaCa)</f>
        <v>0.91051318161931916</v>
      </c>
      <c r="Y206" s="354">
        <f>ABS(7.759*10^-3*Fsw^0.9458*(0.00787*Table1[[#This Row],[Ripple Current pk-pk]])^2.304)</f>
        <v>1.4885267172892798</v>
      </c>
      <c r="Z206" s="354">
        <f>Table1[[#This Row],[DCR    Loss]]+Table1[[#This Row],[Core Loss]]</f>
        <v>2.3990398989085988</v>
      </c>
      <c r="AA206" s="4">
        <f>IF(Table1[[#This Row],[Vin]]&gt;Vout, Table1[[#This Row],[Ripple Current pk-pk]]/SQRT(12), SQRT(Table1[[#This Row],[Duty Cycle BOOST Leg]]/(1-Table1[[#This Row],[Duty Cycle BOOST Leg]]))*SQRT(Table1[[#This Row],[Iout]]^2+(Table1[[#This Row],[Ripple Current pk-pk]]^2)/12))</f>
        <v>1.5252730314472762</v>
      </c>
      <c r="AB206" s="354">
        <f>RCoutEsr*Table1[[#This Row],[Irms Cout]]^2</f>
        <v>1.1632289102301819E-2</v>
      </c>
      <c r="AC206" s="354">
        <f>Table1[[#This Row],[Cout ESR Loss]]</f>
        <v>1.1632289102301819E-2</v>
      </c>
      <c r="AD206" s="354">
        <f>IF(Table1[[#This Row],[Vin]]&gt;Vout, SQRT(Table1[[#This Row],[Duty Cycle BUCK Leg]]*(1-Table1[[#This Row],[Duty Cycle BUCK Leg]]))*SQRT(Table1[[#This Row],[Iout]]^2+(Table1[[#This Row],[Ripple Current pk-pk]]^2)/12), Table1[[#This Row],[Ripple Current pk-pk]]/SQRT(12))</f>
        <v>5.9987281798813328</v>
      </c>
      <c r="AE206" s="354">
        <f>RCinEsr*Table1[[#This Row],[Irms Cin]]^2</f>
        <v>7.1969479552204813E-2</v>
      </c>
      <c r="AF206" s="549">
        <f>Table1[[#This Row],[Cin ESR Loss]]</f>
        <v>7.1969479552204813E-2</v>
      </c>
      <c r="AG206"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7.9885993071228176</v>
      </c>
      <c r="AH206" s="354">
        <f>Rdson1*Table1[[#This Row],[Irms BuCtrl]]^2</f>
        <v>0.26803441933700534</v>
      </c>
      <c r="AI206" s="354">
        <f>CHOOSE(Table1[[#This Row],[Mode Digit]], (Table1[[#This Row],[Vin]]*Table1[[#This Row],[Iout]]/2)*(Fsw)*(Tr_buck+Tf_buck), 0, (Table1[[#This Row],[Vin]]*Table1[[#This Row],[Avg IL]]/2)*(Fsw/1)*(Tr_buck+Tf_buck))</f>
        <v>4.0208884679733288</v>
      </c>
      <c r="AJ206">
        <f>IF(Table1[[#This Row],[Vin]]&gt;Vout, IF(Table1[[#This Row],[Iout]]&gt;Table1[[#This Row],[Ripple Current pk-pk]]/2,0,ABS(Table1[[#This Row],[Iout]]-Table1[[#This Row],[Ripple Current pk-pk]]/2)*Vsd_Q1*Deadtime*Fsw),0)</f>
        <v>0</v>
      </c>
      <c r="AK206" s="354">
        <f>(Table1[[#This Row],[Dead Time Loss BuCtrl]]+Table1[[#This Row],[Transition Loss BuCtrl]]+Table1[[#This Row],[RDS(on) Loss BuCtrl]]*(1+RdsonTopTc*Ta-RdsonTopTc*25))/(1-Table1[[#This Row],[RDS(on) Loss BuCtrl]]*RdsonTopTc*ThetaJA_Q1)</f>
        <v>4.5837901337578062</v>
      </c>
      <c r="AL206" s="354">
        <f>CHOOSE(Table1[[#This Row],[Mode Digit]],SQRT((Fsw*(Table1[[#This Row],[t2_Ph_I]]+0))*((Table1[[#This Row],[I_0]]*Table1[[#This Row],[I_1]]+((Table1[[#This Row],[I_0]]-Table1[[#This Row],[I_1]])^2)/3))),0,SQRT((Fsw*(Table1[[#This Row],[t3_Ph_III]]+0))*((Table1[[#This Row],[I_0]]*Table1[[#This Row],[I_2]]+((Table1[[#This Row],[I_0]]-Table1[[#This Row],[I_2]])^2)/3))))</f>
        <v>9.0834321118560251</v>
      </c>
      <c r="AM206" s="354">
        <f>Rdson2*Table1[[#This Row],[Irms BuSync]]^2</f>
        <v>0.34653670350892829</v>
      </c>
      <c r="AN206"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6" s="354">
        <f>(Table1[[#This Row],[Deadtime Loss BuSync]]+Table1[[#This Row],[RDS(on) Loss BuSync]]*(1+RdsonBotTc*Ta-RdsonBotTc*25))/(1-Table1[[#This Row],[RDS(on) Loss BuSync]]*RdsonBotTc*ThetaJA_Q2)</f>
        <v>1.0077189137877849</v>
      </c>
      <c r="AP206" s="354">
        <f>CHOOSE(Table1[[#This Row],[Mode Digit]],0,SQRT((Fsw*(Table1[[#This Row],[t1_Ph_II]]+0))*((Table1[[#This Row],[I_0]]*Table1[[#This Row],[I_1]]+((Table1[[#This Row],[I_0]]-Table1[[#This Row],[I_1]])^2)/3))),SQRT((Fsw*(Table1[[#This Row],[t2_Ph_I]]+0))*((Table1[[#This Row],[I_1]]*Table1[[#This Row],[I_2]]+((Table1[[#This Row],[I_1]]-Table1[[#This Row],[I_2]])^2)/3))))</f>
        <v>0</v>
      </c>
      <c r="AQ206" s="354">
        <f>Rdson4*Table1[[#This Row],[Irms BoCtlr]]^2</f>
        <v>0</v>
      </c>
      <c r="AR206" s="354">
        <f>CHOOSE(Table1[[#This Row],[Mode Digit]], 0, (Vout*Table1[[#This Row],[Iin]]/2)*(Fsw)*(Tr_boost+Tf_boost), (Vout*Iout/2)*(Fsw/1)*(Tr_boost+Tf_boost))</f>
        <v>0</v>
      </c>
      <c r="AS206">
        <f>IF(Table1[[#This Row],[Vin]]&gt;Vout, 0, IF(Table1[[#This Row],[Iin]]&gt;Table1[[#This Row],[Ripple Current pk-pk]]/2,0,ABS(Table1[[#This Row],[Iin]]-Table1[[#This Row],[Ripple Current pk-pk]]/2)*Vsd_Q4*Deadtime*Fsw))</f>
        <v>0</v>
      </c>
      <c r="AT206" s="354">
        <f>(Table1[[#This Row],[Dead Time Loss BoCtlr]]+Table1[[#This Row],[Transition Loss BoCtlr]]+Table1[[#This Row],[RDS(on) Loss BoCtlr]]*(1+RdsonTopTc*Ta-RdsonTopTc*25))/(1-Table1[[#This Row],[RDS(on) Loss BoCtlr]]*RdsonTopTc*ThetaJA_Q4)</f>
        <v>0</v>
      </c>
      <c r="AU206"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12.096547351226313</v>
      </c>
      <c r="AV206" s="354">
        <f>Rdson3*Table1[[#This Row],[Irms BoSync]]^2</f>
        <v>0.6145711228459334</v>
      </c>
      <c r="AW206"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6" s="354">
        <f>(Table1[[#This Row],[Deadtime Loss BoSync]]+Table1[[#This Row],[RDS(on) Loss BoSync]]*(1+RdsonBotTc*Ta-RdsonBotTc*25))/(1-Table1[[#This Row],[RDS(on) Loss BoSync]]*RdsonBotTc*ThetaJA_Q3)</f>
        <v>0.72090206478615193</v>
      </c>
      <c r="AY206" s="354">
        <f>CHOOSE(Table1[[#This Row],[Mode Digit]], Rdson3*Table1[[#This Row],[Irms Lf]]^2, Rdson1*Table1[[#This Row],[Irms Lf]]^2, 0)</f>
        <v>0.6145711228459334</v>
      </c>
      <c r="AZ206" s="354">
        <f>CHOOSE(Table1[[#This Row],[Mode Digit]], 2*Deadtime*Fsw*IF(VfdSky_Q2&gt;0,VfdSky_Q2,0)*Table1[[#This Row],[Iout]], 2*Deadtime*Fsw*IF(VfdSky_Q3&gt;0,VfdSky_Q3,0)*Table1[[#This Row],[Iin]], 2*Deadtime*Fsw*IF(VfdSky_Q2&gt;0,VfdSky_Q2,0)*Table1[[#This Row],[Iout]]+2*Deadtime*Fsw*IF(VfdSky_Q3&gt;0,VfdSky_Q3,0)*Table1[[#This Row],[Iin]])</f>
        <v>0</v>
      </c>
      <c r="BA206" s="354">
        <f>CHOOSE(Table1[[#This Row],[Mode Digit]], IF(QrrSky_Q2&gt;0,QrrSky_Q2,Qrr_Q2)*Fsw*(Table1[[#This Row],[Vin]]-Table1[[#This Row],[Iout]]*Rdson1),0,  IF(QrrSky_Q2&gt;0,QrrSky_Q2,Qrr_Q2)*Fsw*(Table1[[#This Row],[Vin]]-Table1[[#This Row],[Iout]]*Rdson1)+IF(QrrSky_Q3&gt;0,QrrSky_Q3,Qrr_Q3)*Fsw*Vout)</f>
        <v>0.40487519999999994</v>
      </c>
      <c r="BB206" s="354">
        <f>CHOOSE(Table1[[#This Row],[Mode Digit]],0, IF(QrrSky_Q3&gt;0,QrrSky_Q3,Qrr_Q3)*Fsw*Vout,  IF(QrrSky_Q2&gt;0,QrrSky_Q2,Qrr_Q2)*Fsw*(Table1[[#This Row],[Vin]]-Table1[[#This Row],[Iout]]*Rdson1)+IF(QrrSky_Q3&gt;0,QrrSky_Q3,Qrr_Q3)*Fsw*Vout)</f>
        <v>0</v>
      </c>
      <c r="BC206" s="354">
        <f>CHOOSE(Table1[[#This Row],[Mode Digit]], Rs*Table1[[#This Row],[Irms BuSync]]^2, Rs*Table1[[#This Row],[Irms BoCtlr]]^2, Rs*(Table1[[#This Row],[Irms BuSync]]^2+Table1[[#This Row],[Irms BoCtlr]]^2))</f>
        <v>0.20627184732674303</v>
      </c>
      <c r="BD206" s="354">
        <f t="shared" si="11"/>
        <v>1.44</v>
      </c>
      <c r="BE206" s="354">
        <f>IF(Vout&gt;8, Iq*Vout, Iq*Table1[[#This Row],[Vin]])</f>
        <v>4.3799999999999999E-2</v>
      </c>
      <c r="BF206" s="354">
        <f>CHOOSE(Table1[[#This Row],[Mode Digit]], (Qg_Q1+Qg_Q2)*Fsw, (Qg_Q3+Qg_Q4)*Fsw, (Qg_Q1+Qg_Q2+Qg_Q3+Qg_Q4)*Fsw)*IF(Vout&gt;8, Vout, Table1[[#This Row],[Vin]])</f>
        <v>0.47303999999999996</v>
      </c>
      <c r="BG206" s="354">
        <f t="shared" si="12"/>
        <v>0.57269042016806726</v>
      </c>
      <c r="BH206" s="354">
        <f>Table1[[#This Row],[IQ Loss]]+Table1[[#This Row],[Switching Current Loss]]</f>
        <v>0.51683999999999997</v>
      </c>
      <c r="BI206"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11.363039827221591</v>
      </c>
      <c r="BJ206">
        <f>Vout*Table1[[#This Row],[Iout]]</f>
        <v>175.2</v>
      </c>
      <c r="BK206" s="550">
        <f>Table1[[#This Row],[Pout]]/(Table1[[#This Row],[Pout]]+Table1[[#This Row],[Total Loss]])</f>
        <v>0.93909276007860365</v>
      </c>
      <c r="BL206"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275.02740802546839</v>
      </c>
      <c r="BM206" s="559">
        <f>IF(Table1[[#This Row],[Vin]]&gt;Vout, Table1[[#This Row],[Total Sync Bu MOSFET Loss]]*ThetaJA_Q2, ThetaJA_Q3*Table1[[#This Row],[Total Sync Bo MOSFET Loss]])</f>
        <v>60.463134827267091</v>
      </c>
      <c r="BN206" s="9"/>
      <c r="BO206" s="4">
        <f>Table1[[#This Row],[EFF, h]]*100</f>
        <v>93.90927600786037</v>
      </c>
      <c r="BP206" s="354">
        <f>Table1[[#This Row],[Total Inductor Loss]]</f>
        <v>2.3990398989085988</v>
      </c>
      <c r="BQ206" s="354">
        <f>Table1[[#This Row],[Total Control Bu MOSFET Loss]]+Table1[[#This Row],[Total Sync Bu MOSFET Loss]]+Table1[[#This Row],[Total Control Bo MOSFET Loss]]+Table1[[#This Row],[Total Sync Bo MOSFET Loss]]+Table1[[#This Row],[Reverse Recovery Loss MOSFET D BUCK]]+Table1[[#This Row],[Reverse Recovery Loss MOSFET D BOOST]]</f>
        <v>6.7172863123317432</v>
      </c>
      <c r="BR206" s="354">
        <f>Table1[[#This Row],[Total Control Bu MOSFET Loss]]+Table1[[#This Row],[Reverse Recovery Loss MOSFET D BUCK]]*0.66</f>
        <v>4.8510077657578066</v>
      </c>
      <c r="BS206" s="354">
        <f>Table1[[#This Row],[Total Sync Bu MOSFET Loss]]+Table1[[#This Row],[Reverse Recovery Loss MOSFET D BUCK]]*0.33</f>
        <v>1.1413277297877849</v>
      </c>
      <c r="BT206" s="354">
        <f xml:space="preserve"> Table1[[#This Row],[Total Control Bo MOSFET Loss]]+Table1[[#This Row],[Reverse Recovery Loss MOSFET D BOOST]]*0.66</f>
        <v>0</v>
      </c>
      <c r="BU206" s="354">
        <f xml:space="preserve"> Table1[[#This Row],[Total Sync Bo MOSFET Loss]]+Table1[[#This Row],[Reverse Recovery Loss MOSFET D BOOST]]*0.33</f>
        <v>0.72090206478615193</v>
      </c>
      <c r="BV206" s="354">
        <f>Table1[[#This Row],[Isense Shunt Loss]]</f>
        <v>0.20627184732674303</v>
      </c>
    </row>
    <row r="207" spans="7:74" x14ac:dyDescent="0.2">
      <c r="G207">
        <v>198</v>
      </c>
      <c r="H207" s="555">
        <f>VIN_min+(VIN_max-VIN_min)*(Table1[[#This Row],[Step]]/200)</f>
        <v>33.86</v>
      </c>
      <c r="I207" s="4" t="str">
        <f>IF(Mode = 2,IF(Table1[[#This Row],[Vin]]&gt;Vout, "BUCK","BOOST"),IF(Table1[[#This Row],[Vin]]&gt;VIN_BB_to_buck, "BUCK", IF(Table1[[#This Row],[Vin]]&lt;=VIN_boost_to_BB,"BOOST","BUCK-BST")))</f>
        <v>BUCK</v>
      </c>
      <c r="J207">
        <f>IF(Table1[[#This Row],[Mode]]="BOOST",2, IF(Table1[[#This Row],[Mode]]="BUCK", 1,3))</f>
        <v>1</v>
      </c>
      <c r="K207">
        <f t="shared" si="10"/>
        <v>12</v>
      </c>
      <c r="L207" s="4">
        <f>Vout*Table1[[#This Row],[Iout]]/(Table1[[#This Row],[Vin]]*Efficiency)</f>
        <v>5.4465756831535428</v>
      </c>
      <c r="M207" s="711">
        <f>MIN(1/Fsw,CHOOSE(Table1[[#This Row],[Mode Digit]],(Vout+(Rdson2+Rs+Rdcr)*Table1[[#This Row],[Iout]])/(Table1[[#This Row],[Vin]]+(Rs+Rdson2-Rdson1)*Table1[[#This Row],[Iout]])/Fsw,(Vout+(Rdson3+Rdcr)*Table1[[#This Row],[Iin]]-Table1[[#This Row],[Vin]])/(Vout+(Rdson3-Rdson4-Rs)*Table1[[#This Row],[Iin]])/Fsw,t1_Ph_II))</f>
        <v>7.2538605291629778E-7</v>
      </c>
      <c r="N207" s="602">
        <f>CHOOSE(Table1[[#This Row],[Mode Digit]],1/Fsw-Table1[[#This Row],[t1_Ph_II]],1/Fsw-Table1[[#This Row],[t1_Ph_II]],(Vout/Fsw-Table1[[#This Row],[Vin]]*t1_Ph_II)/(Table1[[#This Row],[Vin]]+Vout))</f>
        <v>9.4128061375036888E-7</v>
      </c>
      <c r="O207" s="602">
        <f>1/Fsw-(Table1[[#This Row],[t1_Ph_II]]+Table1[[#This Row],[t2_Ph_I]])</f>
        <v>0</v>
      </c>
      <c r="P207"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9.353989511521231</v>
      </c>
      <c r="Q207" s="4">
        <f>CHOOSE(Table1[[#This Row],[Mode Digit]],Table1[[#This Row],[I_0]]+1/Lf*(Table1[[#This Row],[Vin]]-Vout)*Table1[[#This Row],[t1_Ph_II]],Table1[[#This Row],[I_0]]+1/Lf*Table1[[#This Row],[Vin]]*Table1[[#This Row],[t1_Ph_II]],Table1[[#This Row],[I_0]]+(Table1[[#This Row],[Vin]]-Vout)/L*Table1[[#This Row],[t1_Ph_II]])</f>
        <v>14.646010488478767</v>
      </c>
      <c r="R207" s="4">
        <f>CHOOSE(Table1[[#This Row],[Mode Digit]],0,0,Table1[[#This Row],[I_1]]+Table1[[#This Row],[Vin]]/L*Table1[[#This Row],[t2_Ph_I]])</f>
        <v>0</v>
      </c>
      <c r="S207" s="4">
        <f>Fsw*(Table1[[#This Row],[I_0]]*Table1[[#This Row],[t1_Ph_II]]+Table1[[#This Row],[I_1]]*Table1[[#This Row],[t2_Ph_I]]+Table1[[#This Row],[I_2]]*Table1[[#This Row],[t3_Ph_III]])</f>
        <v>12.342755563423481</v>
      </c>
      <c r="T207" s="354">
        <f>MIN(1,CHOOSE(Table1[[#This Row],[Mode Digit]],(Vout+(Rdson2+Rs+Rdcr)*Table1[[#This Row],[Iout]])/(Table1[[#This Row],[Vin]]+(Rs+Rdson2-Rdson1)*Table1[[#This Row],[Iout]]),1,Fsw*Table1[[#This Row],[t2_Ph_I]]+Table1[[#This Row],[t1_Ph_II]]))</f>
        <v>0.43523163174977869</v>
      </c>
      <c r="U207" s="354">
        <f>MIN(1,CHOOSE(Table1[[#This Row],[Mode Digit]],0,(Vout+(Rdson3+Rdcr)*Table1[[#This Row],[Iin]]-Table1[[#This Row],[Vin]])/(Vout+(Rdson3-Rdson4-Rs)*Table1[[#This Row],[Iin]]),Fsw*Table1[[#This Row],[t1_Ph_II]]+Table1[[#This Row],[t3_Ph_III]]))</f>
        <v>0</v>
      </c>
      <c r="V207" s="4">
        <f>MAX(Table1[[#This Row],[I_0]:[I_2]])-MIN(Table1[[#This Row],[I_0]:[I_1]])</f>
        <v>5.2920209769575361</v>
      </c>
      <c r="W207"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12.096850437271398</v>
      </c>
      <c r="X207" s="354">
        <f>(Table1[[#This Row],[Irms Lf]]^2*Rdcr*(1+Ltc*Ta-Ltc*25))/(1-Table1[[#This Row],[Irms Lf]]^2*Rdcr*Ltc*ThetaCa)</f>
        <v>0.91056213279810372</v>
      </c>
      <c r="Y207" s="354">
        <f>ABS(7.759*10^-3*Fsw^0.9458*(0.00787*Table1[[#This Row],[Ripple Current pk-pk]])^2.304)</f>
        <v>1.4939327748280891</v>
      </c>
      <c r="Z207" s="354">
        <f>Table1[[#This Row],[DCR    Loss]]+Table1[[#This Row],[Core Loss]]</f>
        <v>2.4044949076261926</v>
      </c>
      <c r="AA207" s="4">
        <f>IF(Table1[[#This Row],[Vin]]&gt;Vout, Table1[[#This Row],[Ripple Current pk-pk]]/SQRT(12), SQRT(Table1[[#This Row],[Duty Cycle BOOST Leg]]/(1-Table1[[#This Row],[Duty Cycle BOOST Leg]]))*SQRT(Table1[[#This Row],[Iout]]^2+(Table1[[#This Row],[Ripple Current pk-pk]]^2)/12))</f>
        <v>1.52767486780179</v>
      </c>
      <c r="AB207" s="354">
        <f>RCoutEsr*Table1[[#This Row],[Irms Cout]]^2</f>
        <v>1.1668952508566081E-2</v>
      </c>
      <c r="AC207" s="354">
        <f>Table1[[#This Row],[Cout ESR Loss]]</f>
        <v>1.1668952508566081E-2</v>
      </c>
      <c r="AD207" s="354">
        <f>IF(Table1[[#This Row],[Vin]]&gt;Vout, SQRT(Table1[[#This Row],[Duty Cycle BUCK Leg]]*(1-Table1[[#This Row],[Duty Cycle BUCK Leg]]))*SQRT(Table1[[#This Row],[Iout]]^2+(Table1[[#This Row],[Ripple Current pk-pk]]^2)/12), Table1[[#This Row],[Ripple Current pk-pk]]/SQRT(12))</f>
        <v>5.9974649587159323</v>
      </c>
      <c r="AE207" s="354">
        <f>RCinEsr*Table1[[#This Row],[Irms Cin]]^2</f>
        <v>7.1939171862050996E-2</v>
      </c>
      <c r="AF207" s="549">
        <f>Table1[[#This Row],[Cin ESR Loss]]</f>
        <v>7.1939171862050996E-2</v>
      </c>
      <c r="AG207"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7.980544744576707</v>
      </c>
      <c r="AH207" s="354">
        <f>Rdson1*Table1[[#This Row],[Irms BuCtrl]]^2</f>
        <v>0.26749419656480183</v>
      </c>
      <c r="AI207" s="354">
        <f>CHOOSE(Table1[[#This Row],[Mode Digit]], (Table1[[#This Row],[Vin]]*Table1[[#This Row],[Iout]]/2)*(Fsw)*(Tr_buck+Tf_buck), 0, (Table1[[#This Row],[Vin]]*Table1[[#This Row],[Avg IL]]/2)*(Fsw/1)*(Tr_buck+Tf_buck))</f>
        <v>4.0292182162052947</v>
      </c>
      <c r="AJ207">
        <f>IF(Table1[[#This Row],[Vin]]&gt;Vout, IF(Table1[[#This Row],[Iout]]&gt;Table1[[#This Row],[Ripple Current pk-pk]]/2,0,ABS(Table1[[#This Row],[Iout]]-Table1[[#This Row],[Ripple Current pk-pk]]/2)*Vsd_Q1*Deadtime*Fsw),0)</f>
        <v>0</v>
      </c>
      <c r="AK207" s="354">
        <f>(Table1[[#This Row],[Dead Time Loss BuCtrl]]+Table1[[#This Row],[Transition Loss BuCtrl]]+Table1[[#This Row],[RDS(on) Loss BuCtrl]]*(1+RdsonTopTc*Ta-RdsonTopTc*25))/(1-Table1[[#This Row],[RDS(on) Loss BuCtrl]]*RdsonTopTc*ThetaJA_Q1)</f>
        <v>4.591478967349798</v>
      </c>
      <c r="AL207" s="354">
        <f>CHOOSE(Table1[[#This Row],[Mode Digit]],SQRT((Fsw*(Table1[[#This Row],[t2_Ph_I]]+0))*((Table1[[#This Row],[I_0]]*Table1[[#This Row],[I_1]]+((Table1[[#This Row],[I_0]]-Table1[[#This Row],[I_1]])^2)/3))),0,SQRT((Fsw*(Table1[[#This Row],[t3_Ph_III]]+0))*((Table1[[#This Row],[I_0]]*Table1[[#This Row],[I_2]]+((Table1[[#This Row],[I_0]]-Table1[[#This Row],[I_2]])^2)/3))))</f>
        <v>9.090912829937503</v>
      </c>
      <c r="AM207" s="354">
        <f>Rdson2*Table1[[#This Row],[Irms BuSync]]^2</f>
        <v>0.34710772354239372</v>
      </c>
      <c r="AN207"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7" s="354">
        <f>(Table1[[#This Row],[Deadtime Loss BuSync]]+Table1[[#This Row],[RDS(on) Loss BuSync]]*(1+RdsonBotTc*Ta-RdsonBotTc*25))/(1-Table1[[#This Row],[RDS(on) Loss BuSync]]*RdsonBotTc*ThetaJA_Q2)</f>
        <v>1.0084924789745804</v>
      </c>
      <c r="AP207" s="354">
        <f>CHOOSE(Table1[[#This Row],[Mode Digit]],0,SQRT((Fsw*(Table1[[#This Row],[t1_Ph_II]]+0))*((Table1[[#This Row],[I_0]]*Table1[[#This Row],[I_1]]+((Table1[[#This Row],[I_0]]-Table1[[#This Row],[I_1]])^2)/3))),SQRT((Fsw*(Table1[[#This Row],[t2_Ph_I]]+0))*((Table1[[#This Row],[I_1]]*Table1[[#This Row],[I_2]]+((Table1[[#This Row],[I_1]]-Table1[[#This Row],[I_2]])^2)/3))))</f>
        <v>0</v>
      </c>
      <c r="AQ207" s="354">
        <f>Rdson4*Table1[[#This Row],[Irms BoCtlr]]^2</f>
        <v>0</v>
      </c>
      <c r="AR207" s="354">
        <f>CHOOSE(Table1[[#This Row],[Mode Digit]], 0, (Vout*Table1[[#This Row],[Iin]]/2)*(Fsw)*(Tr_boost+Tf_boost), (Vout*Iout/2)*(Fsw/1)*(Tr_boost+Tf_boost))</f>
        <v>0</v>
      </c>
      <c r="AS207">
        <f>IF(Table1[[#This Row],[Vin]]&gt;Vout, 0, IF(Table1[[#This Row],[Iin]]&gt;Table1[[#This Row],[Ripple Current pk-pk]]/2,0,ABS(Table1[[#This Row],[Iin]]-Table1[[#This Row],[Ripple Current pk-pk]]/2)*Vsd_Q4*Deadtime*Fsw))</f>
        <v>0</v>
      </c>
      <c r="AT207" s="354">
        <f>(Table1[[#This Row],[Dead Time Loss BoCtlr]]+Table1[[#This Row],[Transition Loss BoCtlr]]+Table1[[#This Row],[RDS(on) Loss BoCtlr]]*(1+RdsonTopTc*Ta-RdsonTopTc*25))/(1-Table1[[#This Row],[RDS(on) Loss BoCtlr]]*RdsonTopTc*ThetaJA_Q4)</f>
        <v>0</v>
      </c>
      <c r="AU207"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12.096850437271398</v>
      </c>
      <c r="AV207" s="354">
        <f>Rdson3*Table1[[#This Row],[Irms BoSync]]^2</f>
        <v>0.6146019201071955</v>
      </c>
      <c r="AW207"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7" s="354">
        <f>(Table1[[#This Row],[Deadtime Loss BoSync]]+Table1[[#This Row],[RDS(on) Loss BoSync]]*(1+RdsonBotTc*Ta-RdsonBotTc*25))/(1-Table1[[#This Row],[RDS(on) Loss BoSync]]*RdsonBotTc*ThetaJA_Q3)</f>
        <v>0.72094444119027157</v>
      </c>
      <c r="AY207" s="354">
        <f>CHOOSE(Table1[[#This Row],[Mode Digit]], Rdson3*Table1[[#This Row],[Irms Lf]]^2, Rdson1*Table1[[#This Row],[Irms Lf]]^2, 0)</f>
        <v>0.6146019201071955</v>
      </c>
      <c r="AZ207" s="354">
        <f>CHOOSE(Table1[[#This Row],[Mode Digit]], 2*Deadtime*Fsw*IF(VfdSky_Q2&gt;0,VfdSky_Q2,0)*Table1[[#This Row],[Iout]], 2*Deadtime*Fsw*IF(VfdSky_Q3&gt;0,VfdSky_Q3,0)*Table1[[#This Row],[Iin]], 2*Deadtime*Fsw*IF(VfdSky_Q2&gt;0,VfdSky_Q2,0)*Table1[[#This Row],[Iout]]+2*Deadtime*Fsw*IF(VfdSky_Q3&gt;0,VfdSky_Q3,0)*Table1[[#This Row],[Iin]])</f>
        <v>0</v>
      </c>
      <c r="BA207" s="354">
        <f>CHOOSE(Table1[[#This Row],[Mode Digit]], IF(QrrSky_Q2&gt;0,QrrSky_Q2,Qrr_Q2)*Fsw*(Table1[[#This Row],[Vin]]-Table1[[#This Row],[Iout]]*Rdson1),0,  IF(QrrSky_Q2&gt;0,QrrSky_Q2,Qrr_Q2)*Fsw*(Table1[[#This Row],[Vin]]-Table1[[#This Row],[Iout]]*Rdson1)+IF(QrrSky_Q3&gt;0,QrrSky_Q3,Qrr_Q3)*Fsw*Vout)</f>
        <v>0.40571519999999994</v>
      </c>
      <c r="BB207" s="354">
        <f>CHOOSE(Table1[[#This Row],[Mode Digit]],0, IF(QrrSky_Q3&gt;0,QrrSky_Q3,Qrr_Q3)*Fsw*Vout,  IF(QrrSky_Q2&gt;0,QrrSky_Q2,Qrr_Q2)*Fsw*(Table1[[#This Row],[Vin]]-Table1[[#This Row],[Iout]]*Rdson1)+IF(QrrSky_Q3&gt;0,QrrSky_Q3,Qrr_Q3)*Fsw*Vout)</f>
        <v>0</v>
      </c>
      <c r="BC207" s="354">
        <f>CHOOSE(Table1[[#This Row],[Mode Digit]], Rs*Table1[[#This Row],[Irms BuSync]]^2, Rs*Table1[[#This Row],[Irms BoCtlr]]^2, Rs*(Table1[[#This Row],[Irms BuSync]]^2+Table1[[#This Row],[Irms BoCtlr]]^2))</f>
        <v>0.20661174020380574</v>
      </c>
      <c r="BD207" s="354">
        <f t="shared" si="11"/>
        <v>1.44</v>
      </c>
      <c r="BE207" s="354">
        <f>IF(Vout&gt;8, Iq*Vout, Iq*Table1[[#This Row],[Vin]])</f>
        <v>4.3799999999999999E-2</v>
      </c>
      <c r="BF207" s="354">
        <f>CHOOSE(Table1[[#This Row],[Mode Digit]], (Qg_Q1+Qg_Q2)*Fsw, (Qg_Q3+Qg_Q4)*Fsw, (Qg_Q1+Qg_Q2+Qg_Q3+Qg_Q4)*Fsw)*IF(Vout&gt;8, Vout, Table1[[#This Row],[Vin]])</f>
        <v>0.47303999999999996</v>
      </c>
      <c r="BG207" s="354">
        <f t="shared" si="12"/>
        <v>0.57269042016806726</v>
      </c>
      <c r="BH207" s="354">
        <f>Table1[[#This Row],[IQ Loss]]+Table1[[#This Row],[Switching Current Loss]]</f>
        <v>0.51683999999999997</v>
      </c>
      <c r="BI207"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11.378185859715265</v>
      </c>
      <c r="BJ207">
        <f>Vout*Table1[[#This Row],[Iout]]</f>
        <v>175.2</v>
      </c>
      <c r="BK207" s="550">
        <f>Table1[[#This Row],[Pout]]/(Table1[[#This Row],[Pout]]+Table1[[#This Row],[Total Loss]])</f>
        <v>0.93901652646429778</v>
      </c>
      <c r="BL207"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275.48873804098787</v>
      </c>
      <c r="BM207" s="559">
        <f>IF(Table1[[#This Row],[Vin]]&gt;Vout, Table1[[#This Row],[Total Sync Bu MOSFET Loss]]*ThetaJA_Q2, ThetaJA_Q3*Table1[[#This Row],[Total Sync Bo MOSFET Loss]])</f>
        <v>60.50954873847482</v>
      </c>
      <c r="BN207" s="9"/>
      <c r="BO207" s="4">
        <f>Table1[[#This Row],[EFF, h]]*100</f>
        <v>93.901652646429781</v>
      </c>
      <c r="BP207" s="354">
        <f>Table1[[#This Row],[Total Inductor Loss]]</f>
        <v>2.4044949076261926</v>
      </c>
      <c r="BQ207" s="354">
        <f>Table1[[#This Row],[Total Control Bu MOSFET Loss]]+Table1[[#This Row],[Total Sync Bu MOSFET Loss]]+Table1[[#This Row],[Total Control Bo MOSFET Loss]]+Table1[[#This Row],[Total Sync Bo MOSFET Loss]]+Table1[[#This Row],[Reverse Recovery Loss MOSFET D BUCK]]+Table1[[#This Row],[Reverse Recovery Loss MOSFET D BOOST]]</f>
        <v>6.7266310875146491</v>
      </c>
      <c r="BR207" s="354">
        <f>Table1[[#This Row],[Total Control Bu MOSFET Loss]]+Table1[[#This Row],[Reverse Recovery Loss MOSFET D BUCK]]*0.66</f>
        <v>4.8592509993497979</v>
      </c>
      <c r="BS207" s="354">
        <f>Table1[[#This Row],[Total Sync Bu MOSFET Loss]]+Table1[[#This Row],[Reverse Recovery Loss MOSFET D BUCK]]*0.33</f>
        <v>1.1423784949745803</v>
      </c>
      <c r="BT207" s="354">
        <f xml:space="preserve"> Table1[[#This Row],[Total Control Bo MOSFET Loss]]+Table1[[#This Row],[Reverse Recovery Loss MOSFET D BOOST]]*0.66</f>
        <v>0</v>
      </c>
      <c r="BU207" s="354">
        <f xml:space="preserve"> Table1[[#This Row],[Total Sync Bo MOSFET Loss]]+Table1[[#This Row],[Reverse Recovery Loss MOSFET D BOOST]]*0.33</f>
        <v>0.72094444119027157</v>
      </c>
      <c r="BV207" s="354">
        <f>Table1[[#This Row],[Isense Shunt Loss]]</f>
        <v>0.20661174020380574</v>
      </c>
    </row>
    <row r="208" spans="7:74" x14ac:dyDescent="0.2">
      <c r="G208">
        <v>199</v>
      </c>
      <c r="H208" s="555">
        <f>VIN_min+(VIN_max-VIN_min)*(Table1[[#This Row],[Step]]/200)</f>
        <v>33.93</v>
      </c>
      <c r="I208" s="4" t="str">
        <f>IF(Mode = 2,IF(Table1[[#This Row],[Vin]]&gt;Vout, "BUCK","BOOST"),IF(Table1[[#This Row],[Vin]]&gt;VIN_BB_to_buck, "BUCK", IF(Table1[[#This Row],[Vin]]&lt;=VIN_boost_to_BB,"BOOST","BUCK-BST")))</f>
        <v>BUCK</v>
      </c>
      <c r="J208">
        <f>IF(Table1[[#This Row],[Mode]]="BOOST",2, IF(Table1[[#This Row],[Mode]]="BUCK", 1,3))</f>
        <v>1</v>
      </c>
      <c r="K208">
        <f t="shared" si="10"/>
        <v>12</v>
      </c>
      <c r="L208" s="4">
        <f>Vout*Table1[[#This Row],[Iout]]/(Table1[[#This Row],[Vin]]*Efficiency)</f>
        <v>5.4353390106566151</v>
      </c>
      <c r="M208" s="711">
        <f>MIN(1/Fsw,CHOOSE(Table1[[#This Row],[Mode Digit]],(Vout+(Rdson2+Rs+Rdcr)*Table1[[#This Row],[Iout]])/(Table1[[#This Row],[Vin]]+(Rs+Rdson2-Rdson1)*Table1[[#This Row],[Iout]])/Fsw,(Vout+(Rdson3+Rdcr)*Table1[[#This Row],[Iin]]-Table1[[#This Row],[Vin]])/(Vout+(Rdson3-Rdson4-Rs)*Table1[[#This Row],[Iin]])/Fsw,t1_Ph_II))</f>
        <v>7.2389085198272479E-7</v>
      </c>
      <c r="N208" s="602">
        <f>CHOOSE(Table1[[#This Row],[Mode Digit]],1/Fsw-Table1[[#This Row],[t1_Ph_II]],1/Fsw-Table1[[#This Row],[t1_Ph_II]],(Vout/Fsw-Table1[[#This Row],[Vin]]*t1_Ph_II)/(Table1[[#This Row],[Vin]]+Vout))</f>
        <v>9.4277581468394187E-7</v>
      </c>
      <c r="O208" s="602">
        <f>1/Fsw-(Table1[[#This Row],[t1_Ph_II]]+Table1[[#This Row],[t2_Ph_I]])</f>
        <v>0</v>
      </c>
      <c r="P208"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9.3498465589344573</v>
      </c>
      <c r="Q208" s="4">
        <f>CHOOSE(Table1[[#This Row],[Mode Digit]],Table1[[#This Row],[I_0]]+1/Lf*(Table1[[#This Row],[Vin]]-Vout)*Table1[[#This Row],[t1_Ph_II]],Table1[[#This Row],[I_0]]+1/Lf*Table1[[#This Row],[Vin]]*Table1[[#This Row],[t1_Ph_II]],Table1[[#This Row],[I_0]]+(Table1[[#This Row],[Vin]]-Vout)/L*Table1[[#This Row],[t1_Ph_II]])</f>
        <v>14.650153441065545</v>
      </c>
      <c r="R208" s="4">
        <f>CHOOSE(Table1[[#This Row],[Mode Digit]],0,0,Table1[[#This Row],[I_1]]+Table1[[#This Row],[Vin]]/L*Table1[[#This Row],[t2_Ph_I]])</f>
        <v>0</v>
      </c>
      <c r="S208" s="4">
        <f>Fsw*(Table1[[#This Row],[I_0]]*Table1[[#This Row],[t1_Ph_II]]+Table1[[#This Row],[I_1]]*Table1[[#This Row],[t2_Ph_I]]+Table1[[#This Row],[I_2]]*Table1[[#This Row],[t3_Ph_III]])</f>
        <v>12.348047242260082</v>
      </c>
      <c r="T208" s="354">
        <f>MIN(1,CHOOSE(Table1[[#This Row],[Mode Digit]],(Vout+(Rdson2+Rs+Rdcr)*Table1[[#This Row],[Iout]])/(Table1[[#This Row],[Vin]]+(Rs+Rdson2-Rdson1)*Table1[[#This Row],[Iout]]),1,Fsw*Table1[[#This Row],[t2_Ph_I]]+Table1[[#This Row],[t1_Ph_II]]))</f>
        <v>0.43433451118963484</v>
      </c>
      <c r="U208" s="354">
        <f>MIN(1,CHOOSE(Table1[[#This Row],[Mode Digit]],0,(Vout+(Rdson3+Rdcr)*Table1[[#This Row],[Iin]]-Table1[[#This Row],[Vin]])/(Vout+(Rdson3-Rdson4-Rs)*Table1[[#This Row],[Iin]]),Fsw*Table1[[#This Row],[t1_Ph_II]]+Table1[[#This Row],[t3_Ph_III]]))</f>
        <v>0</v>
      </c>
      <c r="V208" s="4">
        <f>MAX(Table1[[#This Row],[I_0]:[I_2]])-MIN(Table1[[#This Row],[I_0]:[I_1]])</f>
        <v>5.3003068821310872</v>
      </c>
      <c r="W208"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12.097152740227644</v>
      </c>
      <c r="X208" s="354">
        <f>(Table1[[#This Row],[Irms Lf]]^2*Rdcr*(1+Ltc*Ta-Ltc*25))/(1-Table1[[#This Row],[Irms Lf]]^2*Rdcr*Ltc*ThetaCa)</f>
        <v>0.91061095907858247</v>
      </c>
      <c r="Y208" s="354">
        <f>ABS(7.759*10^-3*Fsw^0.9458*(0.00787*Table1[[#This Row],[Ripple Current pk-pk]])^2.304)</f>
        <v>1.4993275721035211</v>
      </c>
      <c r="Z208" s="354">
        <f>Table1[[#This Row],[DCR    Loss]]+Table1[[#This Row],[Core Loss]]</f>
        <v>2.4099385311821035</v>
      </c>
      <c r="AA208" s="4">
        <f>IF(Table1[[#This Row],[Vin]]&gt;Vout, Table1[[#This Row],[Ripple Current pk-pk]]/SQRT(12), SQRT(Table1[[#This Row],[Duty Cycle BOOST Leg]]/(1-Table1[[#This Row],[Duty Cycle BOOST Leg]]))*SQRT(Table1[[#This Row],[Iout]]^2+(Table1[[#This Row],[Ripple Current pk-pk]]^2)/12))</f>
        <v>1.5300668025930046</v>
      </c>
      <c r="AB208" s="354">
        <f>RCoutEsr*Table1[[#This Row],[Irms Cout]]^2</f>
        <v>1.1705522101985904E-2</v>
      </c>
      <c r="AC208" s="354">
        <f>Table1[[#This Row],[Cout ESR Loss]]</f>
        <v>1.1705522101985904E-2</v>
      </c>
      <c r="AD208" s="354">
        <f>IF(Table1[[#This Row],[Vin]]&gt;Vout, SQRT(Table1[[#This Row],[Duty Cycle BUCK Leg]]*(1-Table1[[#This Row],[Duty Cycle BUCK Leg]]))*SQRT(Table1[[#This Row],[Iout]]^2+(Table1[[#This Row],[Ripple Current pk-pk]]^2)/12), Table1[[#This Row],[Ripple Current pk-pk]]/SQRT(12))</f>
        <v>5.9961870918343454</v>
      </c>
      <c r="AE208" s="354">
        <f>RCinEsr*Table1[[#This Row],[Irms Cin]]^2</f>
        <v>7.1908519280561647E-2</v>
      </c>
      <c r="AF208" s="549">
        <f>Table1[[#This Row],[Cin ESR Loss]]</f>
        <v>7.1908519280561647E-2</v>
      </c>
      <c r="AG208"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7.972514788658879</v>
      </c>
      <c r="AH208" s="354">
        <f>Rdson1*Table1[[#This Row],[Irms BuCtrl]]^2</f>
        <v>0.26695616663261507</v>
      </c>
      <c r="AI208" s="354">
        <f>CHOOSE(Table1[[#This Row],[Mode Digit]], (Table1[[#This Row],[Vin]]*Table1[[#This Row],[Iout]]/2)*(Fsw)*(Tr_buck+Tf_buck), 0, (Table1[[#This Row],[Vin]]*Table1[[#This Row],[Avg IL]]/2)*(Fsw/1)*(Tr_buck+Tf_buck))</f>
        <v>4.0375479644372598</v>
      </c>
      <c r="AJ208">
        <f>IF(Table1[[#This Row],[Vin]]&gt;Vout, IF(Table1[[#This Row],[Iout]]&gt;Table1[[#This Row],[Ripple Current pk-pk]]/2,0,ABS(Table1[[#This Row],[Iout]]-Table1[[#This Row],[Ripple Current pk-pk]]/2)*Vsd_Q1*Deadtime*Fsw),0)</f>
        <v>0</v>
      </c>
      <c r="AK208" s="354">
        <f>(Table1[[#This Row],[Dead Time Loss BuCtrl]]+Table1[[#This Row],[Transition Loss BuCtrl]]+Table1[[#This Row],[RDS(on) Loss BuCtrl]]*(1+RdsonTopTc*Ta-RdsonTopTc*25))/(1-Table1[[#This Row],[RDS(on) Loss BuCtrl]]*RdsonTopTc*ThetaJA_Q1)</f>
        <v>4.5991705997922674</v>
      </c>
      <c r="AL208" s="354">
        <f>CHOOSE(Table1[[#This Row],[Mode Digit]],SQRT((Fsw*(Table1[[#This Row],[t2_Ph_I]]+0))*((Table1[[#This Row],[I_0]]*Table1[[#This Row],[I_1]]+((Table1[[#This Row],[I_0]]-Table1[[#This Row],[I_1]])^2)/3))),0,SQRT((Fsw*(Table1[[#This Row],[t3_Ph_III]]+0))*((Table1[[#This Row],[I_0]]*Table1[[#This Row],[I_2]]+((Table1[[#This Row],[I_0]]-Table1[[#This Row],[I_2]])^2)/3))))</f>
        <v>9.0983576740537444</v>
      </c>
      <c r="AM208" s="354">
        <f>Rdson2*Table1[[#This Row],[Irms BuSync]]^2</f>
        <v>0.34767647193305318</v>
      </c>
      <c r="AN208"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8" s="354">
        <f>(Table1[[#This Row],[Deadtime Loss BuSync]]+Table1[[#This Row],[RDS(on) Loss BuSync]]*(1+RdsonBotTc*Ta-RdsonBotTc*25))/(1-Table1[[#This Row],[RDS(on) Loss BuSync]]*RdsonBotTc*ThetaJA_Q2)</f>
        <v>1.0092631966997918</v>
      </c>
      <c r="AP208" s="354">
        <f>CHOOSE(Table1[[#This Row],[Mode Digit]],0,SQRT((Fsw*(Table1[[#This Row],[t1_Ph_II]]+0))*((Table1[[#This Row],[I_0]]*Table1[[#This Row],[I_1]]+((Table1[[#This Row],[I_0]]-Table1[[#This Row],[I_1]])^2)/3))),SQRT((Fsw*(Table1[[#This Row],[t2_Ph_I]]+0))*((Table1[[#This Row],[I_1]]*Table1[[#This Row],[I_2]]+((Table1[[#This Row],[I_1]]-Table1[[#This Row],[I_2]])^2)/3))))</f>
        <v>0</v>
      </c>
      <c r="AQ208" s="354">
        <f>Rdson4*Table1[[#This Row],[Irms BoCtlr]]^2</f>
        <v>0</v>
      </c>
      <c r="AR208" s="354">
        <f>CHOOSE(Table1[[#This Row],[Mode Digit]], 0, (Vout*Table1[[#This Row],[Iin]]/2)*(Fsw)*(Tr_boost+Tf_boost), (Vout*Iout/2)*(Fsw/1)*(Tr_boost+Tf_boost))</f>
        <v>0</v>
      </c>
      <c r="AS208">
        <f>IF(Table1[[#This Row],[Vin]]&gt;Vout, 0, IF(Table1[[#This Row],[Iin]]&gt;Table1[[#This Row],[Ripple Current pk-pk]]/2,0,ABS(Table1[[#This Row],[Iin]]-Table1[[#This Row],[Ripple Current pk-pk]]/2)*Vsd_Q4*Deadtime*Fsw))</f>
        <v>0</v>
      </c>
      <c r="AT208" s="354">
        <f>(Table1[[#This Row],[Dead Time Loss BoCtlr]]+Table1[[#This Row],[Transition Loss BoCtlr]]+Table1[[#This Row],[RDS(on) Loss BoCtlr]]*(1+RdsonTopTc*Ta-RdsonTopTc*25))/(1-Table1[[#This Row],[RDS(on) Loss BoCtlr]]*RdsonTopTc*ThetaJA_Q4)</f>
        <v>0</v>
      </c>
      <c r="AU208"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12.097152740227644</v>
      </c>
      <c r="AV208" s="354">
        <f>Rdson3*Table1[[#This Row],[Irms BoSync]]^2</f>
        <v>0.6146326385656683</v>
      </c>
      <c r="AW208"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8" s="354">
        <f>(Table1[[#This Row],[Deadtime Loss BoSync]]+Table1[[#This Row],[RDS(on) Loss BoSync]]*(1+RdsonBotTc*Ta-RdsonBotTc*25))/(1-Table1[[#This Row],[RDS(on) Loss BoSync]]*RdsonBotTc*ThetaJA_Q3)</f>
        <v>0.72098670989537395</v>
      </c>
      <c r="AY208" s="354">
        <f>CHOOSE(Table1[[#This Row],[Mode Digit]], Rdson3*Table1[[#This Row],[Irms Lf]]^2, Rdson1*Table1[[#This Row],[Irms Lf]]^2, 0)</f>
        <v>0.6146326385656683</v>
      </c>
      <c r="AZ208" s="354">
        <f>CHOOSE(Table1[[#This Row],[Mode Digit]], 2*Deadtime*Fsw*IF(VfdSky_Q2&gt;0,VfdSky_Q2,0)*Table1[[#This Row],[Iout]], 2*Deadtime*Fsw*IF(VfdSky_Q3&gt;0,VfdSky_Q3,0)*Table1[[#This Row],[Iin]], 2*Deadtime*Fsw*IF(VfdSky_Q2&gt;0,VfdSky_Q2,0)*Table1[[#This Row],[Iout]]+2*Deadtime*Fsw*IF(VfdSky_Q3&gt;0,VfdSky_Q3,0)*Table1[[#This Row],[Iin]])</f>
        <v>0</v>
      </c>
      <c r="BA208" s="354">
        <f>CHOOSE(Table1[[#This Row],[Mode Digit]], IF(QrrSky_Q2&gt;0,QrrSky_Q2,Qrr_Q2)*Fsw*(Table1[[#This Row],[Vin]]-Table1[[#This Row],[Iout]]*Rdson1),0,  IF(QrrSky_Q2&gt;0,QrrSky_Q2,Qrr_Q2)*Fsw*(Table1[[#This Row],[Vin]]-Table1[[#This Row],[Iout]]*Rdson1)+IF(QrrSky_Q3&gt;0,QrrSky_Q3,Qrr_Q3)*Fsw*Vout)</f>
        <v>0.40655519999999995</v>
      </c>
      <c r="BB208" s="354">
        <f>CHOOSE(Table1[[#This Row],[Mode Digit]],0, IF(QrrSky_Q3&gt;0,QrrSky_Q3,Qrr_Q3)*Fsw*Vout,  IF(QrrSky_Q2&gt;0,QrrSky_Q2,Qrr_Q2)*Fsw*(Table1[[#This Row],[Vin]]-Table1[[#This Row],[Iout]]*Rdson1)+IF(QrrSky_Q3&gt;0,QrrSky_Q3,Qrr_Q3)*Fsw*Vout)</f>
        <v>0</v>
      </c>
      <c r="BC208" s="354">
        <f>CHOOSE(Table1[[#This Row],[Mode Digit]], Rs*Table1[[#This Row],[Irms BuSync]]^2, Rs*Table1[[#This Row],[Irms BoCtlr]]^2, Rs*(Table1[[#This Row],[Irms BuSync]]^2+Table1[[#This Row],[Irms BoCtlr]]^2))</f>
        <v>0.20695028091253165</v>
      </c>
      <c r="BD208" s="354">
        <f t="shared" si="11"/>
        <v>1.44</v>
      </c>
      <c r="BE208" s="354">
        <f>IF(Vout&gt;8, Iq*Vout, Iq*Table1[[#This Row],[Vin]])</f>
        <v>4.3799999999999999E-2</v>
      </c>
      <c r="BF208" s="354">
        <f>CHOOSE(Table1[[#This Row],[Mode Digit]], (Qg_Q1+Qg_Q2)*Fsw, (Qg_Q3+Qg_Q4)*Fsw, (Qg_Q1+Qg_Q2+Qg_Q3+Qg_Q4)*Fsw)*IF(Vout&gt;8, Vout, Table1[[#This Row],[Vin]])</f>
        <v>0.47303999999999996</v>
      </c>
      <c r="BG208" s="354">
        <f t="shared" si="12"/>
        <v>0.57269042016806726</v>
      </c>
      <c r="BH208" s="354">
        <f>Table1[[#This Row],[IQ Loss]]+Table1[[#This Row],[Switching Current Loss]]</f>
        <v>0.51683999999999997</v>
      </c>
      <c r="BI208"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11.393318559864616</v>
      </c>
      <c r="BJ208">
        <f>Vout*Table1[[#This Row],[Iout]]</f>
        <v>175.2</v>
      </c>
      <c r="BK208" s="550">
        <f>Table1[[#This Row],[Pout]]/(Table1[[#This Row],[Pout]]+Table1[[#This Row],[Total Loss]])</f>
        <v>0.93894037231451399</v>
      </c>
      <c r="BL208"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275.95023598753602</v>
      </c>
      <c r="BM208" s="559">
        <f>IF(Table1[[#This Row],[Vin]]&gt;Vout, Table1[[#This Row],[Total Sync Bu MOSFET Loss]]*ThetaJA_Q2, ThetaJA_Q3*Table1[[#This Row],[Total Sync Bo MOSFET Loss]])</f>
        <v>60.55579180198751</v>
      </c>
      <c r="BN208" s="9"/>
      <c r="BO208" s="4">
        <f>Table1[[#This Row],[EFF, h]]*100</f>
        <v>93.894037231451392</v>
      </c>
      <c r="BP208" s="354">
        <f>Table1[[#This Row],[Total Inductor Loss]]</f>
        <v>2.4099385311821035</v>
      </c>
      <c r="BQ208" s="354">
        <f>Table1[[#This Row],[Total Control Bu MOSFET Loss]]+Table1[[#This Row],[Total Sync Bu MOSFET Loss]]+Table1[[#This Row],[Total Control Bo MOSFET Loss]]+Table1[[#This Row],[Total Sync Bo MOSFET Loss]]+Table1[[#This Row],[Reverse Recovery Loss MOSFET D BUCK]]+Table1[[#This Row],[Reverse Recovery Loss MOSFET D BOOST]]</f>
        <v>6.7359757063874337</v>
      </c>
      <c r="BR208" s="354">
        <f>Table1[[#This Row],[Total Control Bu MOSFET Loss]]+Table1[[#This Row],[Reverse Recovery Loss MOSFET D BUCK]]*0.66</f>
        <v>4.8674970317922677</v>
      </c>
      <c r="BS208" s="354">
        <f>Table1[[#This Row],[Total Sync Bu MOSFET Loss]]+Table1[[#This Row],[Reverse Recovery Loss MOSFET D BUCK]]*0.33</f>
        <v>1.1434264126997917</v>
      </c>
      <c r="BT208" s="354">
        <f xml:space="preserve"> Table1[[#This Row],[Total Control Bo MOSFET Loss]]+Table1[[#This Row],[Reverse Recovery Loss MOSFET D BOOST]]*0.66</f>
        <v>0</v>
      </c>
      <c r="BU208" s="354">
        <f xml:space="preserve"> Table1[[#This Row],[Total Sync Bo MOSFET Loss]]+Table1[[#This Row],[Reverse Recovery Loss MOSFET D BOOST]]*0.33</f>
        <v>0.72098670989537395</v>
      </c>
      <c r="BV208" s="354">
        <f>Table1[[#This Row],[Isense Shunt Loss]]</f>
        <v>0.20695028091253165</v>
      </c>
    </row>
    <row r="209" spans="7:74" x14ac:dyDescent="0.2">
      <c r="G209">
        <v>200</v>
      </c>
      <c r="H209" s="555">
        <f>VIN_min+(VIN_max-VIN_min)*(Table1[[#This Row],[Step]]/200)</f>
        <v>34</v>
      </c>
      <c r="I209" s="4" t="str">
        <f>IF(Mode = 2,IF(Table1[[#This Row],[Vin]]&gt;Vout, "BUCK","BOOST"),IF(Table1[[#This Row],[Vin]]&gt;VIN_BB_to_buck, "BUCK", IF(Table1[[#This Row],[Vin]]&lt;=VIN_boost_to_BB,"BOOST","BUCK-BST")))</f>
        <v>BUCK</v>
      </c>
      <c r="J209">
        <f>IF(Table1[[#This Row],[Mode]]="BOOST",2, IF(Table1[[#This Row],[Mode]]="BUCK", 1,3))</f>
        <v>1</v>
      </c>
      <c r="K209">
        <f t="shared" si="10"/>
        <v>12</v>
      </c>
      <c r="L209" s="4">
        <f>Vout*Table1[[#This Row],[Iout]]/(Table1[[#This Row],[Vin]]*Efficiency)</f>
        <v>5.424148606811146</v>
      </c>
      <c r="M209" s="711">
        <f>MIN(1/Fsw,CHOOSE(Table1[[#This Row],[Mode Digit]],(Vout+(Rdson2+Rs+Rdcr)*Table1[[#This Row],[Iout]])/(Table1[[#This Row],[Vin]]+(Rs+Rdson2-Rdson1)*Table1[[#This Row],[Iout]])/Fsw,(Vout+(Rdson3+Rdcr)*Table1[[#This Row],[Iin]]-Table1[[#This Row],[Vin]])/(Vout+(Rdson3-Rdson4-Rs)*Table1[[#This Row],[Iin]])/Fsw,t1_Ph_II))</f>
        <v>7.2240180233127632E-7</v>
      </c>
      <c r="N209" s="602">
        <f>CHOOSE(Table1[[#This Row],[Mode Digit]],1/Fsw-Table1[[#This Row],[t1_Ph_II]],1/Fsw-Table1[[#This Row],[t1_Ph_II]],(Vout/Fsw-Table1[[#This Row],[Vin]]*t1_Ph_II)/(Table1[[#This Row],[Vin]]+Vout))</f>
        <v>9.4426486433539035E-7</v>
      </c>
      <c r="O209" s="602">
        <f>1/Fsw-(Table1[[#This Row],[t1_Ph_II]]+Table1[[#This Row],[t2_Ph_I]])</f>
        <v>0</v>
      </c>
      <c r="P209" s="4">
        <f>CHOOSE(Table1[[#This Row],[Mode Digit]],Table1[[#This Row],[Iout]]-1/(2*Lf)*(Table1[[#This Row],[Vin]]-Vout)*Table1[[#This Row],[t1_Ph_II]],Table1[[#This Row],[Iin]]-1/(2*Lf)*Table1[[#This Row],[Vin]]*Table1[[#This Row],[t1_Ph_II]],1/(Table1[[#This Row],[t1_Ph_II]]+Table1[[#This Row],[t2_Ph_I]])*(Table1[[#This Row],[Iin]]/Fsw-(1/2*(Table1[[#This Row],[Vin]]-Vout)/Lf*Table1[[#This Row],[t1_Ph_II]]*Table1[[#This Row],[t1_Ph_II]]+(Table1[[#This Row],[Vin]]-Vout)/Lf*Table1[[#This Row],[t1_Ph_II]]*Table1[[#This Row],[t2_Ph_I]]+1/2*Table1[[#This Row],[Vin]]/L*Table1[[#This Row],[t2_Ph_I]]*Table1[[#This Row],[t2_Ph_I]])))</f>
        <v>9.3457206505252355</v>
      </c>
      <c r="Q209" s="4">
        <f>CHOOSE(Table1[[#This Row],[Mode Digit]],Table1[[#This Row],[I_0]]+1/Lf*(Table1[[#This Row],[Vin]]-Vout)*Table1[[#This Row],[t1_Ph_II]],Table1[[#This Row],[I_0]]+1/Lf*Table1[[#This Row],[Vin]]*Table1[[#This Row],[t1_Ph_II]],Table1[[#This Row],[I_0]]+(Table1[[#This Row],[Vin]]-Vout)/L*Table1[[#This Row],[t1_Ph_II]])</f>
        <v>14.654279349474766</v>
      </c>
      <c r="R209" s="4">
        <f>CHOOSE(Table1[[#This Row],[Mode Digit]],0,0,Table1[[#This Row],[I_1]]+Table1[[#This Row],[Vin]]/L*Table1[[#This Row],[t2_Ph_I]])</f>
        <v>0</v>
      </c>
      <c r="S209" s="4">
        <f>Fsw*(Table1[[#This Row],[I_0]]*Table1[[#This Row],[t1_Ph_II]]+Table1[[#This Row],[I_1]]*Table1[[#This Row],[t2_Ph_I]]+Table1[[#This Row],[I_2]]*Table1[[#This Row],[t3_Ph_III]])</f>
        <v>12.353331926333256</v>
      </c>
      <c r="T209" s="354">
        <f>MIN(1,CHOOSE(Table1[[#This Row],[Mode Digit]],(Vout+(Rdson2+Rs+Rdcr)*Table1[[#This Row],[Iout]])/(Table1[[#This Row],[Vin]]+(Rs+Rdson2-Rdson1)*Table1[[#This Row],[Iout]]),1,Fsw*Table1[[#This Row],[t2_Ph_I]]+Table1[[#This Row],[t1_Ph_II]]))</f>
        <v>0.4334410813987658</v>
      </c>
      <c r="U209" s="354">
        <f>MIN(1,CHOOSE(Table1[[#This Row],[Mode Digit]],0,(Vout+(Rdson3+Rdcr)*Table1[[#This Row],[Iin]]-Table1[[#This Row],[Vin]])/(Vout+(Rdson3-Rdson4-Rs)*Table1[[#This Row],[Iin]]),Fsw*Table1[[#This Row],[t1_Ph_II]]+Table1[[#This Row],[t3_Ph_III]]))</f>
        <v>0</v>
      </c>
      <c r="V209" s="4">
        <f>MAX(Table1[[#This Row],[I_0]:[I_2]])-MIN(Table1[[#This Row],[I_0]:[I_1]])</f>
        <v>5.3085586989495308</v>
      </c>
      <c r="W209" s="354">
        <f>CHOOSE(Table1[[#This Row],[Mode Digit]],SQRT((Table1[[#This Row],[t1_Ph_II]]+Table1[[#This Row],[t2_Ph_I]])*Fsw*(Table1[[#This Row],[I_0]]*Table1[[#This Row],[I_1]]+((Table1[[#This Row],[I_0]]-Table1[[#This Row],[I_1]])^2)/3)),SQRT((Table1[[#This Row],[t1_Ph_II]]+Table1[[#This Row],[t2_Ph_I]])*Fsw*(Table1[[#This Row],[I_0]]*Table1[[#This Row],[I_1]]+((Table1[[#This Row],[I_0]]-Table1[[#This Row],[I_1]])^2)/3)),SQRT(Fsw*(Table1[[#This Row],[t1_Ph_II]]*(Table1[[#This Row],[I_0]]*Table1[[#This Row],[I_1]]+((Table1[[#This Row],[I_1]]-Table1[[#This Row],[I_0]])^2)/3)+Table1[[#This Row],[t2_Ph_I]]*(Table1[[#This Row],[I_1]]*Table1[[#This Row],[I_2]]+((Table1[[#This Row],[I_2]]-Table1[[#This Row],[I_1]])^2)/3)+Table1[[#This Row],[t3_Ph_III]]*(Table1[[#This Row],[I_2]]*Table1[[#This Row],[I_0]]+((Table1[[#This Row],[I_0]]-Table1[[#This Row],[I_2]])^2)/3))))</f>
        <v>12.097454262020699</v>
      </c>
      <c r="X209" s="354">
        <f>(Table1[[#This Row],[Irms Lf]]^2*Rdcr*(1+Ltc*Ta-Ltc*25))/(1-Table1[[#This Row],[Irms Lf]]^2*Rdcr*Ltc*ThetaCa)</f>
        <v>0.9106596607595755</v>
      </c>
      <c r="Y209" s="354">
        <f>ABS(7.759*10^-3*Fsw^0.9458*(0.00787*Table1[[#This Row],[Ripple Current pk-pk]])^2.304)</f>
        <v>1.5047111159023929</v>
      </c>
      <c r="Z209" s="354">
        <f>Table1[[#This Row],[DCR    Loss]]+Table1[[#This Row],[Core Loss]]</f>
        <v>2.4153707766619683</v>
      </c>
      <c r="AA209" s="4">
        <f>IF(Table1[[#This Row],[Vin]]&gt;Vout, Table1[[#This Row],[Ripple Current pk-pk]]/SQRT(12), SQRT(Table1[[#This Row],[Duty Cycle BOOST Leg]]/(1-Table1[[#This Row],[Duty Cycle BOOST Leg]]))*SQRT(Table1[[#This Row],[Iout]]^2+(Table1[[#This Row],[Ripple Current pk-pk]]^2)/12))</f>
        <v>1.5324488969237207</v>
      </c>
      <c r="AB209" s="354">
        <f>RCoutEsr*Table1[[#This Row],[Irms Cout]]^2</f>
        <v>1.1741998108413641E-2</v>
      </c>
      <c r="AC209" s="354">
        <f>Table1[[#This Row],[Cout ESR Loss]]</f>
        <v>1.1741998108413641E-2</v>
      </c>
      <c r="AD209" s="354">
        <f>IF(Table1[[#This Row],[Vin]]&gt;Vout, SQRT(Table1[[#This Row],[Duty Cycle BUCK Leg]]*(1-Table1[[#This Row],[Duty Cycle BUCK Leg]]))*SQRT(Table1[[#This Row],[Iout]]^2+(Table1[[#This Row],[Ripple Current pk-pk]]^2)/12), Table1[[#This Row],[Ripple Current pk-pk]]/SQRT(12))</f>
        <v>5.9948947760274169</v>
      </c>
      <c r="AE209" s="354">
        <f>RCinEsr*Table1[[#This Row],[Irms Cin]]^2</f>
        <v>7.1877526751281617E-2</v>
      </c>
      <c r="AF209" s="549">
        <f>Table1[[#This Row],[Cin ESR Loss]]</f>
        <v>7.1877526751281617E-2</v>
      </c>
      <c r="AG209" s="354">
        <f>CHOOSE(Table1[[#This Row],[Mode Digit]],SQRT((Fsw*(Table1[[#This Row],[t1_Ph_II]]+0))*((Table1[[#This Row],[I_0]]*Table1[[#This Row],[I_1]]+((Table1[[#This Row],[I_0]]-Table1[[#This Row],[I_1]])^2)/3))),Table1[[#This Row],[Irms Lf]],SQRT(Fsw*(Table1[[#This Row],[t1_Ph_II]]*(Table1[[#This Row],[I_0]]*Table1[[#This Row],[I_1]]+((Table1[[#This Row],[I_0]]-Table1[[#This Row],[I_1]])^2)/3)+Table1[[#This Row],[t2_Ph_I]]*(Table1[[#This Row],[I_1]]*Table1[[#This Row],[I_2]]+((Table1[[#This Row],[I_1]]-Table1[[#This Row],[I_2]])^2)/3))))</f>
        <v>7.9645093127574977</v>
      </c>
      <c r="AH209" s="354">
        <f>Rdson1*Table1[[#This Row],[Irms BuCtrl]]^2</f>
        <v>0.26642031609060385</v>
      </c>
      <c r="AI209" s="354">
        <f>CHOOSE(Table1[[#This Row],[Mode Digit]], (Table1[[#This Row],[Vin]]*Table1[[#This Row],[Iout]]/2)*(Fsw)*(Tr_buck+Tf_buck), 0, (Table1[[#This Row],[Vin]]*Table1[[#This Row],[Avg IL]]/2)*(Fsw/1)*(Tr_buck+Tf_buck))</f>
        <v>4.0458777126692267</v>
      </c>
      <c r="AJ209">
        <f>IF(Table1[[#This Row],[Vin]]&gt;Vout, IF(Table1[[#This Row],[Iout]]&gt;Table1[[#This Row],[Ripple Current pk-pk]]/2,0,ABS(Table1[[#This Row],[Iout]]-Table1[[#This Row],[Ripple Current pk-pk]]/2)*Vsd_Q1*Deadtime*Fsw),0)</f>
        <v>0</v>
      </c>
      <c r="AK209" s="354">
        <f>(Table1[[#This Row],[Dead Time Loss BuCtrl]]+Table1[[#This Row],[Transition Loss BuCtrl]]+Table1[[#This Row],[RDS(on) Loss BuCtrl]]*(1+RdsonTopTc*Ta-RdsonTopTc*25))/(1-Table1[[#This Row],[RDS(on) Loss BuCtrl]]*RdsonTopTc*ThetaJA_Q1)</f>
        <v>4.6068650126451924</v>
      </c>
      <c r="AL209" s="354">
        <f>CHOOSE(Table1[[#This Row],[Mode Digit]],SQRT((Fsw*(Table1[[#This Row],[t2_Ph_I]]+0))*((Table1[[#This Row],[I_0]]*Table1[[#This Row],[I_1]]+((Table1[[#This Row],[I_0]]-Table1[[#This Row],[I_1]])^2)/3))),0,SQRT((Fsw*(Table1[[#This Row],[t3_Ph_III]]+0))*((Table1[[#This Row],[I_0]]*Table1[[#This Row],[I_2]]+((Table1[[#This Row],[I_0]]-Table1[[#This Row],[I_2]])^2)/3))))</f>
        <v>9.105766910517854</v>
      </c>
      <c r="AM209" s="354">
        <f>Rdson2*Table1[[#This Row],[Irms BuSync]]^2</f>
        <v>0.34824296232046392</v>
      </c>
      <c r="AN209" s="354">
        <f>CHOOSE(Table1[[#This Row],[Mode Digit]], IF(Table1[[#This Row],[Iout]]&lt;Table1[[#This Row],[Ripple Current pk-pk]]/2,Deadtime*Fsw*IF(VfdSky_Q2&gt;0,0,Vsd_Q2)*(Table1[[#This Row],[Iout]]+Table1[[#This Row],[Ripple Current pk-pk]]/2),2*Deadtime*Fsw*IF(VfdSky_Q2&gt;0,0,Vsd_Q2)*Table1[[#This Row],[Iout]]),0, IF(Table1[[#This Row],[Iout]]&lt;Table1[[#This Row],[Ripple Current pk-pk]]/2,Deadtime*Fsw*IF(VfdSky_Q2&gt;0,0,Vsd_Q2)*(Table1[[#This Row],[Iout]]+Table1[[#This Row],[Ripple Current pk-pk]]/2),2*Deadtime*Fsw*IF(VfdSky_Q2&gt;0,0,Vsd_Q2)*Table1[[#This Row],[Iout]]))</f>
        <v>0.57737142857142854</v>
      </c>
      <c r="AO209" s="354">
        <f>(Table1[[#This Row],[Deadtime Loss BuSync]]+Table1[[#This Row],[RDS(on) Loss BuSync]]*(1+RdsonBotTc*Ta-RdsonBotTc*25))/(1-Table1[[#This Row],[RDS(on) Loss BuSync]]*RdsonBotTc*ThetaJA_Q2)</f>
        <v>1.010031082806871</v>
      </c>
      <c r="AP209" s="354">
        <f>CHOOSE(Table1[[#This Row],[Mode Digit]],0,SQRT((Fsw*(Table1[[#This Row],[t1_Ph_II]]+0))*((Table1[[#This Row],[I_0]]*Table1[[#This Row],[I_1]]+((Table1[[#This Row],[I_0]]-Table1[[#This Row],[I_1]])^2)/3))),SQRT((Fsw*(Table1[[#This Row],[t2_Ph_I]]+0))*((Table1[[#This Row],[I_1]]*Table1[[#This Row],[I_2]]+((Table1[[#This Row],[I_1]]-Table1[[#This Row],[I_2]])^2)/3))))</f>
        <v>0</v>
      </c>
      <c r="AQ209" s="354">
        <f>Rdson4*Table1[[#This Row],[Irms BoCtlr]]^2</f>
        <v>0</v>
      </c>
      <c r="AR209" s="354">
        <f>CHOOSE(Table1[[#This Row],[Mode Digit]], 0, (Vout*Table1[[#This Row],[Iin]]/2)*(Fsw)*(Tr_boost+Tf_boost), (Vout*Iout/2)*(Fsw/1)*(Tr_boost+Tf_boost))</f>
        <v>0</v>
      </c>
      <c r="AS209">
        <f>IF(Table1[[#This Row],[Vin]]&gt;Vout, 0, IF(Table1[[#This Row],[Iin]]&gt;Table1[[#This Row],[Ripple Current pk-pk]]/2,0,ABS(Table1[[#This Row],[Iin]]-Table1[[#This Row],[Ripple Current pk-pk]]/2)*Vsd_Q4*Deadtime*Fsw))</f>
        <v>0</v>
      </c>
      <c r="AT209" s="354">
        <f>(Table1[[#This Row],[Dead Time Loss BoCtlr]]+Table1[[#This Row],[Transition Loss BoCtlr]]+Table1[[#This Row],[RDS(on) Loss BoCtlr]]*(1+RdsonTopTc*Ta-RdsonTopTc*25))/(1-Table1[[#This Row],[RDS(on) Loss BoCtlr]]*RdsonTopTc*ThetaJA_Q4)</f>
        <v>0</v>
      </c>
      <c r="AU209" s="354">
        <f>CHOOSE(Table1[[#This Row],[Mode Digit]],SQRT((Fsw*(Table1[[#This Row],[t1_Ph_II]]+Table1[[#This Row],[t2_Ph_I]]))*((Table1[[#This Row],[I_0]]*Table1[[#This Row],[I_1]]+((Table1[[#This Row],[I_0]]-Table1[[#This Row],[I_1]])^2)/3))),SQRT((Fsw*(Table1[[#This Row],[t2_Ph_I]]+0))*((Table1[[#This Row],[I_0]]*Table1[[#This Row],[I_1]]+((Table1[[#This Row],[I_0]]-Table1[[#This Row],[I_1]])^2)/3))),SQRT(Fsw*(Table1[[#This Row],[t1_Ph_II]]*((Table1[[#This Row],[I_0]]*Table1[[#This Row],[I_1]]+((Table1[[#This Row],[I_0]]-Table1[[#This Row],[I_1]])^2)/3))+Table1[[#This Row],[t3_Ph_III]]*((Table1[[#This Row],[I_2]]*Table1[[#This Row],[I_0]]+((Table1[[#This Row],[I_2]]-Table1[[#This Row],[I_0]])^2)/3)))))</f>
        <v>12.097454262020699</v>
      </c>
      <c r="AV209" s="354">
        <f>Rdson3*Table1[[#This Row],[Irms BoSync]]^2</f>
        <v>0.61466327841106772</v>
      </c>
      <c r="AW209" s="354">
        <f>CHOOSE(Table1[[#This Row],[Mode Digit]], 0, IF(Table1[[#This Row],[Iin]]&lt;Table1[[#This Row],[Ripple Current pk-pk]]/2,Deadtime*Fsw*IF(VfdSky_Q3&gt;0,0,Vsd_Q3)*(Table1[[#This Row],[Iin]]+Table1[[#This Row],[Ripple Current pk-pk]]/2), 2*Deadtime*Fsw*IF(VfdSky_Q3&gt;0,0,Vsd_Q3)*Table1[[#This Row],[Iin]]), IF(Table1[[#This Row],[Iin]]&lt;Table1[[#This Row],[Ripple Current pk-pk]]/2,Deadtime*Fsw*IF(VfdSky_Q3&gt;0,0,Vsd_Q3)*(Table1[[#This Row],[Iin]]+Table1[[#This Row],[Ripple Current pk-pk]]/2), 2*Deadtime*Fsw*IF(VfdSky_Q3&gt;0,0,Vsd_Q3)*Table1[[#This Row],[Iin]]))</f>
        <v>0</v>
      </c>
      <c r="AX209" s="354">
        <f>(Table1[[#This Row],[Deadtime Loss BoSync]]+Table1[[#This Row],[RDS(on) Loss BoSync]]*(1+RdsonBotTc*Ta-RdsonBotTc*25))/(1-Table1[[#This Row],[RDS(on) Loss BoSync]]*RdsonBotTc*ThetaJA_Q3)</f>
        <v>0.7210288711569085</v>
      </c>
      <c r="AY209" s="354">
        <f>CHOOSE(Table1[[#This Row],[Mode Digit]], Rdson3*Table1[[#This Row],[Irms Lf]]^2, Rdson1*Table1[[#This Row],[Irms Lf]]^2, 0)</f>
        <v>0.61466327841106772</v>
      </c>
      <c r="AZ209" s="354">
        <f>CHOOSE(Table1[[#This Row],[Mode Digit]], 2*Deadtime*Fsw*IF(VfdSky_Q2&gt;0,VfdSky_Q2,0)*Table1[[#This Row],[Iout]], 2*Deadtime*Fsw*IF(VfdSky_Q3&gt;0,VfdSky_Q3,0)*Table1[[#This Row],[Iin]], 2*Deadtime*Fsw*IF(VfdSky_Q2&gt;0,VfdSky_Q2,0)*Table1[[#This Row],[Iout]]+2*Deadtime*Fsw*IF(VfdSky_Q3&gt;0,VfdSky_Q3,0)*Table1[[#This Row],[Iin]])</f>
        <v>0</v>
      </c>
      <c r="BA209" s="354">
        <f>CHOOSE(Table1[[#This Row],[Mode Digit]], IF(QrrSky_Q2&gt;0,QrrSky_Q2,Qrr_Q2)*Fsw*(Table1[[#This Row],[Vin]]-Table1[[#This Row],[Iout]]*Rdson1),0,  IF(QrrSky_Q2&gt;0,QrrSky_Q2,Qrr_Q2)*Fsw*(Table1[[#This Row],[Vin]]-Table1[[#This Row],[Iout]]*Rdson1)+IF(QrrSky_Q3&gt;0,QrrSky_Q3,Qrr_Q3)*Fsw*Vout)</f>
        <v>0.40739519999999996</v>
      </c>
      <c r="BB209" s="354">
        <f>CHOOSE(Table1[[#This Row],[Mode Digit]],0, IF(QrrSky_Q3&gt;0,QrrSky_Q3,Qrr_Q3)*Fsw*Vout,  IF(QrrSky_Q2&gt;0,QrrSky_Q2,Qrr_Q2)*Fsw*(Table1[[#This Row],[Vin]]-Table1[[#This Row],[Iout]]*Rdson1)+IF(QrrSky_Q3&gt;0,QrrSky_Q3,Qrr_Q3)*Fsw*Vout)</f>
        <v>0</v>
      </c>
      <c r="BC209" s="354">
        <f>CHOOSE(Table1[[#This Row],[Mode Digit]], Rs*Table1[[#This Row],[Irms BuSync]]^2, Rs*Table1[[#This Row],[Irms BoCtlr]]^2, Rs*(Table1[[#This Row],[Irms BuSync]]^2+Table1[[#This Row],[Irms BoCtlr]]^2))</f>
        <v>0.20728747757170468</v>
      </c>
      <c r="BD209" s="354">
        <f t="shared" si="11"/>
        <v>1.44</v>
      </c>
      <c r="BE209" s="354">
        <f>IF(Vout&gt;8, Iq*Vout, Iq*Table1[[#This Row],[Vin]])</f>
        <v>4.3799999999999999E-2</v>
      </c>
      <c r="BF209" s="354">
        <f>CHOOSE(Table1[[#This Row],[Mode Digit]], (Qg_Q1+Qg_Q2)*Fsw, (Qg_Q3+Qg_Q4)*Fsw, (Qg_Q1+Qg_Q2+Qg_Q3+Qg_Q4)*Fsw)*IF(Vout&gt;8, Vout, Table1[[#This Row],[Vin]])</f>
        <v>0.47303999999999996</v>
      </c>
      <c r="BG209" s="354">
        <f t="shared" si="12"/>
        <v>0.57269042016806726</v>
      </c>
      <c r="BH209" s="354">
        <f>Table1[[#This Row],[IQ Loss]]+Table1[[#This Row],[Switching Current Loss]]</f>
        <v>0.51683999999999997</v>
      </c>
      <c r="BI209" s="354">
        <f>SUM(Table1[[#This Row],[Total Inductor Loss]],Table1[[#This Row],[Total Cout Loss]],Table1[[#This Row],[Total Cin Loss]],Table1[[#This Row],[Total Control Bu MOSFET Loss]],Table1[[#This Row],[Total Sync Bu MOSFET Loss]],Table1[[#This Row],[Total Control Bo MOSFET Loss]],Table1[[#This Row],[Total Sync Bo MOSFET Loss]], Table1[[#This Row],[Deadtime Loss ext D]],Table1[[#This Row],[Reverse Recovery Loss MOSFET D BUCK]],Table1[[#This Row],[Reverse Recovery Loss MOSFET D BOOST]],Table1[[#This Row],[Total IC Loss]],Table1[[#This Row],[Isense Shunt Loss]],Table1[[#This Row],[Iout Shunt Loss]])</f>
        <v>11.408437945702339</v>
      </c>
      <c r="BJ209">
        <f>Vout*Table1[[#This Row],[Iout]]</f>
        <v>175.2</v>
      </c>
      <c r="BK209" s="550">
        <f>Table1[[#This Row],[Pout]]/(Table1[[#This Row],[Pout]]+Table1[[#This Row],[Total Loss]])</f>
        <v>0.93886429750287148</v>
      </c>
      <c r="BL209" s="559">
        <f>IF(Table1[[#This Row],[Vin]]&gt;Vout,ThetaJA_Q1*(Table1[[#This Row],[Total Control Bu MOSFET Loss]]+Table1[[#This Row],[Reverse Recovery Loss MOSFET D BOOST]]),ThetaJA_Q4*(Table1[[#This Row],[Total Control Bo MOSFET Loss]]+Table1[[#This Row],[Reverse Recovery Loss MOSFET D BUCK]]+Table1[[#This Row],[Reverse Recovery Loss MOSFET D BOOST]]))</f>
        <v>276.41190075871157</v>
      </c>
      <c r="BM209" s="559">
        <f>IF(Table1[[#This Row],[Vin]]&gt;Vout, Table1[[#This Row],[Total Sync Bu MOSFET Loss]]*ThetaJA_Q2, ThetaJA_Q3*Table1[[#This Row],[Total Sync Bo MOSFET Loss]])</f>
        <v>60.601864968412265</v>
      </c>
      <c r="BN209" s="9"/>
      <c r="BO209" s="4">
        <f>Table1[[#This Row],[EFF, h]]*100</f>
        <v>93.886429750287149</v>
      </c>
      <c r="BP209" s="354">
        <f>Table1[[#This Row],[Total Inductor Loss]]</f>
        <v>2.4153707766619683</v>
      </c>
      <c r="BQ209" s="354">
        <f>Table1[[#This Row],[Total Control Bu MOSFET Loss]]+Table1[[#This Row],[Total Sync Bu MOSFET Loss]]+Table1[[#This Row],[Total Control Bo MOSFET Loss]]+Table1[[#This Row],[Total Sync Bo MOSFET Loss]]+Table1[[#This Row],[Reverse Recovery Loss MOSFET D BUCK]]+Table1[[#This Row],[Reverse Recovery Loss MOSFET D BOOST]]</f>
        <v>6.7453201666089724</v>
      </c>
      <c r="BR209" s="354">
        <f>Table1[[#This Row],[Total Control Bu MOSFET Loss]]+Table1[[#This Row],[Reverse Recovery Loss MOSFET D BUCK]]*0.66</f>
        <v>4.8757458446451922</v>
      </c>
      <c r="BS209" s="354">
        <f>Table1[[#This Row],[Total Sync Bu MOSFET Loss]]+Table1[[#This Row],[Reverse Recovery Loss MOSFET D BUCK]]*0.33</f>
        <v>1.1444714988068709</v>
      </c>
      <c r="BT209" s="354">
        <f xml:space="preserve"> Table1[[#This Row],[Total Control Bo MOSFET Loss]]+Table1[[#This Row],[Reverse Recovery Loss MOSFET D BOOST]]*0.66</f>
        <v>0</v>
      </c>
      <c r="BU209" s="354">
        <f xml:space="preserve"> Table1[[#This Row],[Total Sync Bo MOSFET Loss]]+Table1[[#This Row],[Reverse Recovery Loss MOSFET D BOOST]]*0.33</f>
        <v>0.7210288711569085</v>
      </c>
      <c r="BV209" s="354">
        <f>Table1[[#This Row],[Isense Shunt Loss]]</f>
        <v>0.20728747757170468</v>
      </c>
    </row>
    <row r="224" spans="7:74" x14ac:dyDescent="0.2">
      <c r="H224"/>
      <c r="T224"/>
      <c r="U224"/>
      <c r="V224"/>
      <c r="W224"/>
      <c r="X224"/>
      <c r="AA224"/>
      <c r="AD224"/>
      <c r="AY224"/>
      <c r="BA224"/>
      <c r="BB224"/>
      <c r="BI224"/>
      <c r="BK224"/>
      <c r="BL224"/>
      <c r="BM224"/>
      <c r="BO224"/>
      <c r="BP224"/>
      <c r="BQ224"/>
      <c r="BR224"/>
      <c r="BS224"/>
      <c r="BT224"/>
      <c r="BU224"/>
    </row>
    <row r="234" customFormat="1" x14ac:dyDescent="0.2"/>
    <row r="235" customFormat="1" x14ac:dyDescent="0.2"/>
  </sheetData>
  <sheetProtection selectLockedCells="1"/>
  <mergeCells count="13">
    <mergeCell ref="AG7:AK7"/>
    <mergeCell ref="AL7:AO7"/>
    <mergeCell ref="BE7:BH7"/>
    <mergeCell ref="BI7:BM7"/>
    <mergeCell ref="BO7:BV7"/>
    <mergeCell ref="AP7:AT7"/>
    <mergeCell ref="AU7:AX7"/>
    <mergeCell ref="AD7:AF7"/>
    <mergeCell ref="A1:D4"/>
    <mergeCell ref="A6:D7"/>
    <mergeCell ref="G7:V7"/>
    <mergeCell ref="W7:Z7"/>
    <mergeCell ref="AA7:AC7"/>
  </mergeCells>
  <pageMargins left="0.75" right="0.75" top="1" bottom="1" header="0.5" footer="0.5"/>
  <pageSetup orientation="portrait" r:id="rId1"/>
  <headerFooter alignWithMargins="0"/>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CN209"/>
  <sheetViews>
    <sheetView topLeftCell="T1" zoomScaleNormal="100" workbookViewId="0">
      <pane ySplit="8" topLeftCell="A9" activePane="bottomLeft" state="frozen"/>
      <selection activeCell="D24" sqref="D24"/>
      <selection pane="bottomLeft" activeCell="D24" sqref="D24"/>
    </sheetView>
  </sheetViews>
  <sheetFormatPr defaultRowHeight="12.75" x14ac:dyDescent="0.2"/>
  <cols>
    <col min="1" max="1" width="19.85546875" customWidth="1"/>
    <col min="2" max="2" width="13.140625" bestFit="1" customWidth="1"/>
    <col min="4" max="4" width="71.5703125" customWidth="1"/>
    <col min="6" max="6" width="9.140625" customWidth="1"/>
    <col min="7" max="7" width="6.85546875" customWidth="1"/>
    <col min="8" max="8" width="9.140625" style="554"/>
    <col min="9" max="9" width="11" customWidth="1"/>
    <col min="10" max="10" width="12.140625" customWidth="1"/>
    <col min="11" max="11" width="8.140625" customWidth="1"/>
    <col min="12" max="12" width="7.42578125" customWidth="1"/>
    <col min="13" max="13" width="12.7109375" bestFit="1" customWidth="1"/>
    <col min="14" max="14" width="12.140625" bestFit="1" customWidth="1"/>
    <col min="15" max="15" width="12.7109375" bestFit="1" customWidth="1"/>
    <col min="16" max="19" width="8.28515625" customWidth="1"/>
    <col min="20" max="20" width="22" style="354" customWidth="1"/>
    <col min="21" max="21" width="23.28515625" style="354" customWidth="1"/>
    <col min="22" max="22" width="21.140625" style="4" customWidth="1"/>
    <col min="23" max="23" width="8.85546875" style="4" customWidth="1"/>
    <col min="24" max="24" width="13.28515625" style="311" customWidth="1"/>
    <col min="25" max="25" width="11.85546875" customWidth="1"/>
    <col min="26" max="26" width="19.85546875" customWidth="1"/>
    <col min="27" max="27" width="11.42578125" style="4" customWidth="1"/>
    <col min="28" max="28" width="16.28515625" customWidth="1"/>
    <col min="29" max="29" width="16.7109375" customWidth="1"/>
    <col min="30" max="30" width="10.140625" style="311" customWidth="1"/>
    <col min="31" max="31" width="14.85546875" customWidth="1"/>
    <col min="32" max="32" width="15.42578125" customWidth="1"/>
    <col min="33" max="33" width="8.5703125" customWidth="1"/>
    <col min="34" max="34" width="15.140625" customWidth="1"/>
    <col min="35" max="35" width="16.42578125" customWidth="1"/>
    <col min="36" max="36" width="17.28515625" customWidth="1"/>
    <col min="37" max="37" width="27.28515625" customWidth="1"/>
    <col min="38" max="38" width="8.85546875" customWidth="1"/>
    <col min="39" max="39" width="16.140625" customWidth="1"/>
    <col min="40" max="40" width="15.7109375" customWidth="1"/>
    <col min="41" max="41" width="25" customWidth="1"/>
    <col min="42" max="42" width="8.5703125" customWidth="1"/>
    <col min="43" max="43" width="16.140625" customWidth="1"/>
    <col min="44" max="44" width="17.42578125" customWidth="1"/>
    <col min="45" max="45" width="18.28515625" customWidth="1"/>
    <col min="46" max="46" width="28.28515625" customWidth="1"/>
    <col min="47" max="47" width="8.85546875" customWidth="1"/>
    <col min="48" max="48" width="17.140625" customWidth="1"/>
    <col min="49" max="49" width="17.7109375" customWidth="1"/>
    <col min="50" max="50" width="27" customWidth="1"/>
    <col min="51" max="51" width="32.42578125" style="311" customWidth="1"/>
    <col min="52" max="52" width="17.7109375" customWidth="1"/>
    <col min="53" max="54" width="23.5703125" style="311" customWidth="1"/>
    <col min="55" max="55" width="19" customWidth="1"/>
    <col min="56" max="56" width="16.7109375" customWidth="1"/>
    <col min="57" max="57" width="9.5703125" customWidth="1"/>
    <col min="58" max="58" width="23.5703125" customWidth="1"/>
    <col min="59" max="59" width="23.140625" customWidth="1"/>
    <col min="60" max="60" width="14.28515625" customWidth="1"/>
    <col min="61" max="61" width="12" style="4" customWidth="1"/>
    <col min="62" max="62" width="7.28515625" customWidth="1"/>
    <col min="63" max="63" width="10.140625" style="9" customWidth="1"/>
    <col min="64" max="64" width="36.5703125" style="371" customWidth="1"/>
    <col min="65" max="65" width="32.42578125" style="371" customWidth="1"/>
    <col min="66" max="66" width="11.5703125" customWidth="1"/>
    <col min="67" max="67" width="7.85546875" style="354" customWidth="1"/>
    <col min="68" max="68" width="24.7109375" style="311" customWidth="1"/>
    <col min="69" max="69" width="20.140625" style="311" customWidth="1"/>
    <col min="70" max="70" width="29.140625" style="311" customWidth="1"/>
    <col min="71" max="73" width="27.5703125" style="311" customWidth="1"/>
    <col min="74" max="74" width="12.85546875" customWidth="1"/>
    <col min="78" max="78" width="28.42578125" customWidth="1"/>
    <col min="81" max="81" width="12.42578125" bestFit="1" customWidth="1"/>
  </cols>
  <sheetData>
    <row r="1" spans="1:92" ht="12.75" customHeight="1" x14ac:dyDescent="0.2">
      <c r="A1" s="925" t="s">
        <v>817</v>
      </c>
      <c r="B1" s="925"/>
      <c r="C1" s="925"/>
      <c r="D1" s="925"/>
    </row>
    <row r="2" spans="1:92" ht="12.75" customHeight="1" x14ac:dyDescent="0.2">
      <c r="A2" s="925"/>
      <c r="B2" s="925"/>
      <c r="C2" s="925"/>
      <c r="D2" s="925"/>
      <c r="H2" s="560">
        <f>BK19</f>
        <v>0.8524909518307322</v>
      </c>
      <c r="I2" s="114" t="s">
        <v>840</v>
      </c>
      <c r="AO2" s="114"/>
      <c r="AP2" s="114"/>
    </row>
    <row r="3" spans="1:92" ht="12.75" customHeight="1" x14ac:dyDescent="0.2">
      <c r="A3" s="925"/>
      <c r="B3" s="925"/>
      <c r="C3" s="925"/>
      <c r="D3" s="925"/>
      <c r="H3" s="560">
        <f>BK59</f>
        <v>0.9402523742410811</v>
      </c>
      <c r="I3" s="114" t="s">
        <v>842</v>
      </c>
      <c r="AO3" s="114"/>
      <c r="AP3" s="114"/>
    </row>
    <row r="4" spans="1:92" ht="12.75" customHeight="1" x14ac:dyDescent="0.2">
      <c r="A4" s="925"/>
      <c r="B4" s="925"/>
      <c r="C4" s="925"/>
      <c r="D4" s="925"/>
      <c r="H4" s="560">
        <f>BK109</f>
        <v>0.93954301077959879</v>
      </c>
      <c r="I4" s="114" t="s">
        <v>841</v>
      </c>
      <c r="AO4" s="114"/>
      <c r="AP4" s="114"/>
    </row>
    <row r="5" spans="1:92" x14ac:dyDescent="0.2">
      <c r="A5" s="10"/>
      <c r="B5" s="11"/>
      <c r="C5" s="6"/>
      <c r="D5" s="6"/>
    </row>
    <row r="6" spans="1:92" ht="13.5" customHeight="1" thickBot="1" x14ac:dyDescent="0.25">
      <c r="A6" s="926" t="s">
        <v>646</v>
      </c>
      <c r="B6" s="926"/>
      <c r="C6" s="926"/>
      <c r="D6" s="926"/>
      <c r="BL6" s="371" t="str">
        <f>IF(Vin&gt;Vout, "Buck ''CONTROL'' MOSFET Temp Rise", "Boost ''CONTROL'' MOSFET Temp Rise")</f>
        <v>Buck ''CONTROL'' MOSFET Temp Rise</v>
      </c>
      <c r="BM6" s="371" t="str">
        <f>IF(Vin&gt;Vout, "Buck ''SYNC'' MOSFET Temp Rise", "Boost ''SYNC'' MOSFET Temp Rise")</f>
        <v>Buck ''SYNC'' MOSFET Temp Rise</v>
      </c>
      <c r="CE6">
        <v>80</v>
      </c>
      <c r="CF6">
        <v>100</v>
      </c>
      <c r="CG6">
        <v>120</v>
      </c>
      <c r="CH6">
        <v>140</v>
      </c>
      <c r="CI6">
        <v>160</v>
      </c>
      <c r="CJ6">
        <v>180</v>
      </c>
      <c r="CK6">
        <v>20</v>
      </c>
      <c r="CL6">
        <v>30</v>
      </c>
      <c r="CM6">
        <v>40</v>
      </c>
      <c r="CN6">
        <v>50</v>
      </c>
    </row>
    <row r="7" spans="1:92" ht="13.5" thickBot="1" x14ac:dyDescent="0.25">
      <c r="A7" s="926"/>
      <c r="B7" s="926"/>
      <c r="C7" s="926"/>
      <c r="D7" s="926"/>
      <c r="G7" s="922" t="s">
        <v>829</v>
      </c>
      <c r="H7" s="923"/>
      <c r="I7" s="923"/>
      <c r="J7" s="923"/>
      <c r="K7" s="923"/>
      <c r="L7" s="923"/>
      <c r="M7" s="923"/>
      <c r="N7" s="923"/>
      <c r="O7" s="923"/>
      <c r="P7" s="923"/>
      <c r="Q7" s="923"/>
      <c r="R7" s="923"/>
      <c r="S7" s="923"/>
      <c r="T7" s="923"/>
      <c r="U7" s="923"/>
      <c r="V7" s="924"/>
      <c r="W7" s="922" t="s">
        <v>658</v>
      </c>
      <c r="X7" s="923"/>
      <c r="Y7" s="923"/>
      <c r="Z7" s="924"/>
      <c r="AA7" s="927" t="s">
        <v>27</v>
      </c>
      <c r="AB7" s="928"/>
      <c r="AC7" s="929"/>
      <c r="AD7" s="922" t="s">
        <v>61</v>
      </c>
      <c r="AE7" s="923"/>
      <c r="AF7" s="924"/>
      <c r="AG7" s="922" t="s">
        <v>824</v>
      </c>
      <c r="AH7" s="923"/>
      <c r="AI7" s="923"/>
      <c r="AJ7" s="923"/>
      <c r="AK7" s="924"/>
      <c r="AL7" s="922" t="s">
        <v>825</v>
      </c>
      <c r="AM7" s="923"/>
      <c r="AN7" s="923"/>
      <c r="AO7" s="924"/>
      <c r="AP7" s="922" t="s">
        <v>826</v>
      </c>
      <c r="AQ7" s="923"/>
      <c r="AR7" s="923"/>
      <c r="AS7" s="923"/>
      <c r="AT7" s="924"/>
      <c r="AU7" s="922" t="s">
        <v>827</v>
      </c>
      <c r="AV7" s="923"/>
      <c r="AW7" s="923"/>
      <c r="AX7" s="924"/>
      <c r="AY7" s="468" t="s">
        <v>819</v>
      </c>
      <c r="AZ7" s="466" t="s">
        <v>234</v>
      </c>
      <c r="BA7" s="469" t="s">
        <v>621</v>
      </c>
      <c r="BB7" s="469" t="s">
        <v>621</v>
      </c>
      <c r="BC7" s="467" t="s">
        <v>676</v>
      </c>
      <c r="BD7" s="467" t="s">
        <v>673</v>
      </c>
      <c r="BE7" s="930" t="s">
        <v>664</v>
      </c>
      <c r="BF7" s="931"/>
      <c r="BG7" s="931"/>
      <c r="BH7" s="932"/>
      <c r="BI7" s="922" t="s">
        <v>671</v>
      </c>
      <c r="BJ7" s="923"/>
      <c r="BK7" s="923"/>
      <c r="BL7" s="923"/>
      <c r="BM7" s="923"/>
      <c r="BN7" s="551"/>
      <c r="BO7" s="933" t="s">
        <v>672</v>
      </c>
      <c r="BP7" s="933"/>
      <c r="BQ7" s="933"/>
      <c r="BR7" s="933"/>
      <c r="BS7" s="933"/>
      <c r="BT7" s="933"/>
      <c r="BU7" s="933"/>
      <c r="BV7" s="933"/>
    </row>
    <row r="8" spans="1:92" ht="30.75" thickBot="1" x14ac:dyDescent="0.45">
      <c r="A8" s="13" t="s">
        <v>110</v>
      </c>
      <c r="B8" s="13"/>
      <c r="C8" s="13"/>
      <c r="D8" s="6"/>
      <c r="G8" s="451" t="s">
        <v>57</v>
      </c>
      <c r="H8" s="553" t="s">
        <v>4</v>
      </c>
      <c r="I8" s="546" t="s">
        <v>828</v>
      </c>
      <c r="J8" s="546" t="s">
        <v>830</v>
      </c>
      <c r="K8" s="452" t="s">
        <v>6</v>
      </c>
      <c r="L8" s="452" t="s">
        <v>402</v>
      </c>
      <c r="M8" s="452" t="s">
        <v>1183</v>
      </c>
      <c r="N8" s="452" t="s">
        <v>1184</v>
      </c>
      <c r="O8" s="452" t="s">
        <v>1185</v>
      </c>
      <c r="P8" s="452" t="s">
        <v>1139</v>
      </c>
      <c r="Q8" s="452" t="s">
        <v>1141</v>
      </c>
      <c r="R8" s="452" t="s">
        <v>1142</v>
      </c>
      <c r="S8" s="452" t="s">
        <v>833</v>
      </c>
      <c r="T8" s="463" t="s">
        <v>832</v>
      </c>
      <c r="U8" s="556" t="s">
        <v>831</v>
      </c>
      <c r="V8" s="548" t="s">
        <v>659</v>
      </c>
      <c r="W8" s="547" t="s">
        <v>823</v>
      </c>
      <c r="X8" s="465" t="s">
        <v>90</v>
      </c>
      <c r="Y8" s="452" t="s">
        <v>822</v>
      </c>
      <c r="Z8" s="453" t="s">
        <v>706</v>
      </c>
      <c r="AA8" s="547" t="s">
        <v>661</v>
      </c>
      <c r="AB8" s="454" t="s">
        <v>660</v>
      </c>
      <c r="AC8" s="453" t="s">
        <v>705</v>
      </c>
      <c r="AD8" s="464" t="s">
        <v>662</v>
      </c>
      <c r="AE8" s="452" t="s">
        <v>663</v>
      </c>
      <c r="AF8" s="453" t="s">
        <v>703</v>
      </c>
      <c r="AG8" s="451" t="s">
        <v>1043</v>
      </c>
      <c r="AH8" s="452" t="s">
        <v>1044</v>
      </c>
      <c r="AI8" s="452" t="s">
        <v>1045</v>
      </c>
      <c r="AJ8" s="455" t="s">
        <v>1046</v>
      </c>
      <c r="AK8" s="453" t="s">
        <v>1047</v>
      </c>
      <c r="AL8" s="451" t="s">
        <v>1048</v>
      </c>
      <c r="AM8" s="452" t="s">
        <v>1049</v>
      </c>
      <c r="AN8" s="452" t="s">
        <v>1050</v>
      </c>
      <c r="AO8" s="456" t="s">
        <v>1051</v>
      </c>
      <c r="AP8" s="451" t="s">
        <v>1057</v>
      </c>
      <c r="AQ8" s="452" t="s">
        <v>1058</v>
      </c>
      <c r="AR8" s="452" t="s">
        <v>1059</v>
      </c>
      <c r="AS8" s="455" t="s">
        <v>1060</v>
      </c>
      <c r="AT8" s="453" t="s">
        <v>1056</v>
      </c>
      <c r="AU8" s="451" t="s">
        <v>1052</v>
      </c>
      <c r="AV8" s="452" t="s">
        <v>1053</v>
      </c>
      <c r="AW8" s="452" t="s">
        <v>1054</v>
      </c>
      <c r="AX8" s="456" t="s">
        <v>1055</v>
      </c>
      <c r="AY8" s="465" t="s">
        <v>818</v>
      </c>
      <c r="AZ8" s="453" t="s">
        <v>1061</v>
      </c>
      <c r="BA8" s="470" t="s">
        <v>1271</v>
      </c>
      <c r="BB8" s="470" t="s">
        <v>1272</v>
      </c>
      <c r="BC8" s="471" t="s">
        <v>675</v>
      </c>
      <c r="BD8" s="471" t="s">
        <v>674</v>
      </c>
      <c r="BE8" s="457" t="s">
        <v>666</v>
      </c>
      <c r="BF8" s="458" t="s">
        <v>164</v>
      </c>
      <c r="BG8" s="459" t="s">
        <v>236</v>
      </c>
      <c r="BH8" s="460" t="s">
        <v>665</v>
      </c>
      <c r="BI8" s="461" t="s">
        <v>58</v>
      </c>
      <c r="BJ8" s="452" t="s">
        <v>384</v>
      </c>
      <c r="BK8" s="462" t="s">
        <v>668</v>
      </c>
      <c r="BL8" s="631" t="s">
        <v>955</v>
      </c>
      <c r="BM8" s="631" t="s">
        <v>956</v>
      </c>
      <c r="BN8" t="s">
        <v>951</v>
      </c>
      <c r="BO8" s="670" t="s">
        <v>667</v>
      </c>
      <c r="BP8" s="671" t="s">
        <v>704</v>
      </c>
      <c r="BQ8" s="671" t="s">
        <v>834</v>
      </c>
      <c r="BR8" s="671" t="s">
        <v>953</v>
      </c>
      <c r="BS8" s="671" t="s">
        <v>954</v>
      </c>
      <c r="BT8" s="671" t="s">
        <v>1186</v>
      </c>
      <c r="BU8" s="671" t="s">
        <v>1187</v>
      </c>
      <c r="BV8" s="671" t="s">
        <v>799</v>
      </c>
      <c r="BW8" s="552"/>
      <c r="CC8" t="s">
        <v>130</v>
      </c>
      <c r="CE8" t="s">
        <v>122</v>
      </c>
      <c r="CF8" t="s">
        <v>123</v>
      </c>
      <c r="CG8" t="s">
        <v>124</v>
      </c>
      <c r="CH8" t="s">
        <v>125</v>
      </c>
      <c r="CI8" t="s">
        <v>126</v>
      </c>
      <c r="CJ8" t="s">
        <v>127</v>
      </c>
      <c r="CK8" t="s">
        <v>131</v>
      </c>
      <c r="CL8" t="s">
        <v>132</v>
      </c>
      <c r="CM8" t="s">
        <v>133</v>
      </c>
      <c r="CN8" t="s">
        <v>134</v>
      </c>
    </row>
    <row r="9" spans="1:92" x14ac:dyDescent="0.2">
      <c r="A9" s="14" t="s">
        <v>59</v>
      </c>
      <c r="B9" s="15" t="s">
        <v>113</v>
      </c>
      <c r="C9" s="16" t="s">
        <v>80</v>
      </c>
      <c r="D9" s="17" t="s">
        <v>109</v>
      </c>
      <c r="G9">
        <v>0</v>
      </c>
      <c r="H9" s="555">
        <f t="shared" ref="H9:H40" si="0">Vin</f>
        <v>23.6</v>
      </c>
      <c r="I9" s="4" t="str">
        <f>IF(Mode = 2,IF(Table2[[#This Row],[Vin]]&gt;Vout, "BUCK","BOOST"),IF(Table2[[#This Row],[Vin]]&gt;VIN_BB_to_buck, "BUCK", IF(Table2[[#This Row],[Vin]]&lt;=VIN_boost_to_BB,"BOOST","BUCK-BST")))</f>
        <v>BUCK</v>
      </c>
      <c r="J9">
        <f>IF(Table2[[#This Row],[Mode]]="BOOST",2, IF(Table2[[#This Row],[Mode]]="BUCK", 1,3))</f>
        <v>1</v>
      </c>
      <c r="K9">
        <v>0</v>
      </c>
      <c r="L9" s="4">
        <f>Vout*Table2[[#This Row],[Iout]]/(Table2[[#This Row],[Vin]]*Efficiency)</f>
        <v>0</v>
      </c>
      <c r="M9" s="711">
        <f>MIN(1/Fsw,CHOOSE(Table2[[#This Row],[Mode Digit]],(Vout+(Rdson2+Rs+Rdcr)*Table2[[#This Row],[Iout]])/(Table2[[#This Row],[Vin]]+(Rs+Rdson2-Rdson1)*Table2[[#This Row],[Iout]])/Fsw,(Vout+(Rdson3+Rdcr)*Table2[[#This Row],[Iin]]-Table2[[#This Row],[Vin]])/(Vout+(Rdson3-Rdson4-Rs)*Table2[[#This Row],[Iin]])/Fsw,t1_Ph_II))</f>
        <v>1.0310734463276834E-6</v>
      </c>
      <c r="N9" s="602">
        <f>CHOOSE(Table2[[#This Row],[Mode Digit]],1/Fsw-Table2[[#This Row],[t1_Ph_II]],1/Fsw-Table2[[#This Row],[t1_Ph_II]],(Vout/Fsw-Table2[[#This Row],[Vin]]*t1_Ph_II)/(Table2[[#This Row],[Vin]]+Vout))</f>
        <v>6.355932203389833E-7</v>
      </c>
      <c r="O9" s="602">
        <f>1/Fsw-(Table2[[#This Row],[t1_Ph_II]]+Table2[[#This Row],[t2_Ph_I]])</f>
        <v>0</v>
      </c>
      <c r="P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-1.7575115562403696</v>
      </c>
      <c r="Q9" s="4">
        <f>CHOOSE(Table2[[#This Row],[Mode Digit]],Table2[[#This Row],[I_0]]+1/Lf*(Table2[[#This Row],[Vin]]-Vout)*Table2[[#This Row],[t1_Ph_II]],Table2[[#This Row],[I_0]]+1/Lf*Table2[[#This Row],[Vin]]*Table2[[#This Row],[t1_Ph_II]],Table2[[#This Row],[I_0]]+(Table2[[#This Row],[Vin]]-Vout)/L*Table2[[#This Row],[t1_Ph_II]])</f>
        <v>1.7575115562403696</v>
      </c>
      <c r="R9" s="4">
        <f>CHOOSE(Table2[[#This Row],[Mode Digit]],0,0,Table2[[#This Row],[I_1]]+Table2[[#This Row],[Vin]]/L*Table2[[#This Row],[t2_Ph_I]])</f>
        <v>0</v>
      </c>
      <c r="S9" s="4">
        <f>Fsw*(Table2[[#This Row],[I_0]]*Table2[[#This Row],[t1_Ph_II]]+Table2[[#This Row],[I_1]]*Table2[[#This Row],[t2_Ph_I]]+Table2[[#This Row],[I_2]]*Table2[[#This Row],[t3_Ph_III]])</f>
        <v>-0.417036640463816</v>
      </c>
      <c r="T9" s="354">
        <f>MIN(1,CHOOSE(Table2[[#This Row],[Mode Digit]],(Vout+(Rdson2+Rs+Rdcr)*Table2[[#This Row],[Iout]])/(Table2[[#This Row],[Vin]]+(Rs+Rdson2-Rdson1)*Table2[[#This Row],[Iout]]),1,Fsw*Table2[[#This Row],[t2_Ph_I]]+Table2[[#This Row],[t1_Ph_II]]))</f>
        <v>0.61864406779661008</v>
      </c>
      <c r="U9" s="354">
        <f>MIN(1,CHOOSE(Table2[[#This Row],[Mode Digit]],0,(Vout+(Rdson3+Rdcr)*Table2[[#This Row],[Iin]]-Table2[[#This Row],[Vin]])/(Vout+(Rdson3-Rdson4-Rs)*Table2[[#This Row],[Iin]]),Fsw*Table2[[#This Row],[t1_Ph_II]]+Table2[[#This Row],[t3_Ph_III]]))</f>
        <v>0</v>
      </c>
      <c r="V9" s="4">
        <f>MAX(Table2[[#This Row],[I_0]:[I_2]])-MIN(Table2[[#This Row],[I_0]:[I_1]])</f>
        <v>3.5150231124807392</v>
      </c>
      <c r="W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1.0146997700992555</v>
      </c>
      <c r="X9" s="354">
        <f>(Table2[[#This Row],[Irms Lf]]^2*Rdcr*(1+Ltc*Ta-Ltc*25))/(1-Table2[[#This Row],[Irms Lf]]^2*Rdcr*Ltc*ThetaCa)</f>
        <v>5.9746249431231278E-3</v>
      </c>
      <c r="Y9" s="354">
        <f>ABS(7.759*10^-3*Fsw^0.9458*(0.00787*Table2[[#This Row],[Ripple Current pk-pk]])^2.304)</f>
        <v>0.58200340578744814</v>
      </c>
      <c r="Z9" s="354">
        <f>Table2[[#This Row],[DCR    Loss]]+Table2[[#This Row],[Core Loss]]</f>
        <v>0.58797803073057131</v>
      </c>
      <c r="AA9" s="4">
        <f>IF(Table2[[#This Row],[Vin]]&gt;Vout, Table2[[#This Row],[Ripple Current pk-pk]]/SQRT(12), SQRT(Table2[[#This Row],[Duty Cycle BOOST Leg]]/(1-Table2[[#This Row],[Duty Cycle BOOST Leg]]))*SQRT(Table2[[#This Row],[Iout]]^2+(Table2[[#This Row],[Ripple Current pk-pk]]^2)/12))</f>
        <v>1.0146997700992555</v>
      </c>
      <c r="AB9" s="354">
        <f>RCoutEsr*Table2[[#This Row],[Irms Cout]]^2</f>
        <v>5.1480781171974101E-3</v>
      </c>
      <c r="AC9" s="354">
        <f>Table2[[#This Row],[Cout ESR Loss]]</f>
        <v>5.1480781171974101E-3</v>
      </c>
      <c r="AD9" s="354">
        <f>IF(Table2[[#This Row],[Vin]]&gt;Vout, SQRT(Table2[[#This Row],[Duty Cycle BUCK Leg]]*(1-Table2[[#This Row],[Duty Cycle BUCK Leg]]))*SQRT(Table2[[#This Row],[Iout]]^2+(Table2[[#This Row],[Ripple Current pk-pk]]^2)/12), Table2[[#This Row],[Ripple Current pk-pk]]/SQRT(12))</f>
        <v>0.49285962427019553</v>
      </c>
      <c r="AE9" s="354">
        <f>RCinEsr*Table2[[#This Row],[Irms Cin]]^2</f>
        <v>4.8582121847151659E-4</v>
      </c>
      <c r="AF9" s="549">
        <f>Table2[[#This Row],[Cin ESR Loss]]</f>
        <v>4.8582121847151659E-4</v>
      </c>
      <c r="AG9" s="354">
        <f>CHOOSE(Table2[[#This Row],[Mode Digit]],SQRT((Fsw*(Table2[[#This Row],[t1_Ph_II]]+0))*((Table2[[#This Row],[I_0]]*Table2[[#This Row],[I_1]]+((Table2[[#This Row],[I_0]]-Table2[[#This Row],[I_1]])^2)/3))),Table2[[#This Row],[Irms Lf]],SQRT(Fsw*(Table2[[#This Row],[t1_Ph_II]]*(Table2[[#This Row],[I_0]]*Table2[[#This Row],[I_1]]+((Table2[[#This Row],[I_0]]-Table2[[#This Row],[I_1]])^2)/3)+Table2[[#This Row],[t2_Ph_I]]*(Table2[[#This Row],[I_1]]*Table2[[#This Row],[I_2]]+((Table2[[#This Row],[I_1]]-Table2[[#This Row],[I_2]])^2)/3))))</f>
        <v>0.79810124517603886</v>
      </c>
      <c r="AH9" s="354">
        <f>Rdson1*Table2[[#This Row],[Irms BuCtrl]]^2</f>
        <v>2.6752555097164839E-3</v>
      </c>
      <c r="AI9" s="354">
        <f>CHOOSE(Table2[[#This Row],[Mode Digit]], (Table2[[#This Row],[Vin]]*Table2[[#This Row],[Iout]]/2)*(Fsw)*(Tr_buck+Tf_buck), 0, (Table2[[#This Row],[Vin]]*Table2[[#This Row],[Avg IL]]/2)*(Fsw/1)*(Tr_buck+Tf_buck))</f>
        <v>0</v>
      </c>
      <c r="AJ9">
        <f>IF(Table2[[#This Row],[Vin]]&gt;Vout, IF(Table2[[#This Row],[Iout]]&gt;Table2[[#This Row],[Ripple Current pk-pk]]/2,0,ABS(Table2[[#This Row],[Iout]]-Table2[[#This Row],[Ripple Current pk-pk]]/2)*Vsd_Q1*Deadtime*Fsw),0)</f>
        <v>4.2280706581554028E-2</v>
      </c>
      <c r="AK9" s="354">
        <f>(Table2[[#This Row],[Dead Time Loss BuCtrl]]+Table2[[#This Row],[Transition Loss BuCtrl]]+Table2[[#This Row],[RDS(on) Loss BuCtrl]]*(1+RdsonTopTc*Ta-RdsonTopTc*25))/(1-Table2[[#This Row],[RDS(on) Loss BuCtrl]]*RdsonTopTc*ThetaJA_Q1)</f>
        <v>4.4984845120413425E-2</v>
      </c>
      <c r="AL9" s="354">
        <f>CHOOSE(Table2[[#This Row],[Mode Digit]],SQRT((Fsw*(Table2[[#This Row],[t2_Ph_I]]+0))*((Table2[[#This Row],[I_0]]*Table2[[#This Row],[I_1]]+((Table2[[#This Row],[I_0]]-Table2[[#This Row],[I_1]])^2)/3))),0,SQRT((Fsw*(Table2[[#This Row],[t3_Ph_III]]+0))*((Table2[[#This Row],[I_0]]*Table2[[#This Row],[I_2]]+((Table2[[#This Row],[I_0]]-Table2[[#This Row],[I_2]])^2)/3))))</f>
        <v>0.62661792656126447</v>
      </c>
      <c r="AM9" s="354">
        <f>Rdson2*Table2[[#This Row],[Irms BuSync]]^2</f>
        <v>1.6491301087293408E-3</v>
      </c>
      <c r="AN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4.2280706581554035E-2</v>
      </c>
      <c r="AO9" s="354">
        <f>(Table2[[#This Row],[Deadtime Loss BuSync]]+Table2[[#This Row],[RDS(on) Loss BuSync]]*(1+RdsonBotTc*Ta-RdsonBotTc*25))/(1-Table2[[#This Row],[RDS(on) Loss BuSync]]*RdsonBotTc*ThetaJA_Q2)</f>
        <v>4.3947230618573384E-2</v>
      </c>
      <c r="AP9" s="354">
        <f>CHOOSE(Table2[[#This Row],[Mode Digit]],0,SQRT((Fsw*(Table2[[#This Row],[t1_Ph_II]]+0))*((Table2[[#This Row],[I_0]]*Table2[[#This Row],[I_1]]+((Table2[[#This Row],[I_0]]-Table2[[#This Row],[I_1]])^2)/3))),SQRT((Fsw*(Table2[[#This Row],[t2_Ph_I]]+0))*((Table2[[#This Row],[I_1]]*Table2[[#This Row],[I_2]]+((Table2[[#This Row],[I_1]]-Table2[[#This Row],[I_2]])^2)/3))))</f>
        <v>0</v>
      </c>
      <c r="AQ9" s="354">
        <f>Rdson4*Table2[[#This Row],[Irms BoCtlr]]^2</f>
        <v>0</v>
      </c>
      <c r="AR9" s="354">
        <f>CHOOSE(Table2[[#This Row],[Mode Digit]], 0, (Vout*Table2[[#This Row],[Iin]]/2)*(Fsw)*(Tr_boost+Tf_boost), (Vout*Iout/2)*(Fsw/1)*(Tr_boost+Tf_boost))</f>
        <v>0</v>
      </c>
      <c r="AS9">
        <f>IF(Table2[[#This Row],[Vin]]&gt;Vout, 0, IF(Table2[[#This Row],[Iin]]&gt;Table2[[#This Row],[Ripple Current pk-pk]]/2,0,ABS(Table2[[#This Row],[Iin]]-Table2[[#This Row],[Ripple Current pk-pk]]/2)*Vsd_Q4*Deadtime*Fsw))</f>
        <v>0</v>
      </c>
      <c r="AT9" s="354">
        <f>(Table2[[#This Row],[Dead Time Loss BoCtlr]]+Table2[[#This Row],[Transition Loss BoCtlr]]+Table2[[#This Row],[RDS(on) Loss BoCtlr]]*(1+RdsonTopTc*Ta-RdsonTopTc*25))/(1-Table2[[#This Row],[RDS(on) Loss BoCtlr]]*RdsonTopTc*ThetaJA_Q4)</f>
        <v>0</v>
      </c>
      <c r="AU9" s="354">
        <f>CHOOSE(Table2[[#This Row],[Mode Digit]],SQRT((Fsw*(Table2[[#This Row],[t1_Ph_II]]+Table2[[#This Row],[t2_Ph_I]]))*((Table2[[#This Row],[I_0]]*Table2[[#This Row],[I_1]]+((Table2[[#This Row],[I_0]]-Table2[[#This Row],[I_1]])^2)/3))),SQRT((Fsw*(Table2[[#This Row],[t2_Ph_I]]+0))*((Table2[[#This Row],[I_0]]*Table2[[#This Row],[I_1]]+((Table2[[#This Row],[I_0]]-Table2[[#This Row],[I_1]])^2)/3))),SQRT(Fsw*(Table2[[#This Row],[t1_Ph_II]]*((Table2[[#This Row],[I_0]]*Table2[[#This Row],[I_1]]+((Table2[[#This Row],[I_0]]-Table2[[#This Row],[I_1]])^2)/3))+Table2[[#This Row],[t3_Ph_III]]*((Table2[[#This Row],[I_2]]*Table2[[#This Row],[I_0]]+((Table2[[#This Row],[I_2]]-Table2[[#This Row],[I_0]])^2)/3)))))</f>
        <v>1.0146997700992555</v>
      </c>
      <c r="AV9" s="354">
        <f>Rdson3*Table2[[#This Row],[Irms BoSync]]^2</f>
        <v>4.324385618445825E-3</v>
      </c>
      <c r="AW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 s="354">
        <f>(Table2[[#This Row],[Deadtime Loss BoSync]]+Table2[[#This Row],[RDS(on) Loss BoSync]]*(1+RdsonBotTc*Ta-RdsonBotTc*25))/(1-Table2[[#This Row],[RDS(on) Loss BoSync]]*RdsonBotTc*ThetaJA_Q3)</f>
        <v>4.3288783558793047E-3</v>
      </c>
      <c r="AY9" s="354">
        <f>CHOOSE(Table2[[#This Row],[Mode Digit]], Rdson3*Table2[[#This Row],[Irms Lf]]^2, Rdson1*Table2[[#This Row],[Irms Lf]]^2, 0)</f>
        <v>4.324385618445825E-3</v>
      </c>
      <c r="AZ9" s="354">
        <f>CHOOSE(Table2[[#This Row],[Mode Digit]], 2*Deadtime*Fsw*IF(VfdSky_Q2&gt;0,VfdSky_Q2,0)*Table2[[#This Row],[Iout]], 2*Deadtime*Fsw*IF(VfdSky_Q3&gt;0,VfdSky_Q3,0)*Table2[[#This Row],[Iin]], 2*Deadtime*Fsw*IF(VfdSky_Q2&gt;0,VfdSky_Q2,0)*Table2[[#This Row],[Iout]]+2*Deadtime*Fsw*IF(VfdSky_Q3&gt;0,VfdSky_Q3,0)*Table2[[#This Row],[Iin]])</f>
        <v>0</v>
      </c>
      <c r="BA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v>
      </c>
      <c r="BB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v>
      </c>
      <c r="BC9" s="354">
        <f>CHOOSE(Table2[[#This Row],[Mode Digit]], Rs*Table2[[#This Row],[Irms BuSync]]^2, Rs*Table2[[#This Row],[Irms BoCtlr]]^2, Rs*(Table2[[#This Row],[Irms BuSync]]^2+Table2[[#This Row],[Irms BoCtlr]]^2))</f>
        <v>9.8162506471984566E-4</v>
      </c>
      <c r="BD9" s="354">
        <f t="shared" ref="BD9:BD40" si="1">Rshunt/1000*Iout^2</f>
        <v>1.44</v>
      </c>
      <c r="BE9" s="354">
        <f>IF(Vout&gt;8, Iq*Vout, Iq*Table2[[#This Row],[Vin]])</f>
        <v>4.3799999999999999E-2</v>
      </c>
      <c r="BF9" s="354">
        <f>CHOOSE(Table2[[#This Row],[Mode Digit]], (Qg_Q1+Qg_Q2)*Fsw, (Qg_Q3+Qg_Q4)*Fsw, (Qg_Q1+Qg_Q2+Qg_Q3+Qg_Q4)*Fsw)*IF(Vout&gt;8, Vout, Table2[[#This Row],[Vin]])</f>
        <v>0.47303999999999996</v>
      </c>
      <c r="BG9" s="354">
        <f>(Vin-Vdd)*Fsw*(Qg_Q1+Qg_Q2)+(RdsonDRT+RdsonDRT2)*Fsw*Qg_Q1*Vdd/(RdsonDRT+2*Rgate1+RdsonDRT2)+(RdsonDRB+RdsonDRB2)*Fsw*Qg_Q2*Vdd/(RdsonDRB+2*Rgate2+RdsonDRB2)</f>
        <v>0.57269042016806726</v>
      </c>
      <c r="BH9" s="354">
        <f>Table2[[#This Row],[IQ Loss]]+Table2[[#This Row],[Switching Current Loss]]</f>
        <v>0.51683999999999997</v>
      </c>
      <c r="BI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2.6446945092258263</v>
      </c>
      <c r="BJ9">
        <f>Vout*Table2[[#This Row],[Iout]]</f>
        <v>0</v>
      </c>
      <c r="BK9" s="550">
        <f>Table2[[#This Row],[Pout]]/(Table2[[#This Row],[Pout]]+Table2[[#This Row],[Total Loss]])</f>
        <v>0</v>
      </c>
      <c r="BL9" s="559">
        <f>IF(Table2[[#This Row],[Vin]]&gt;Vout,ThetaJA_Q1*(Table2[[#This Row],[Total Control Bu MOSFET Loss]]+Table2[[#This Row],[Reverse Recovery Loss MOSFET D BUCK]]),ThetaJA_Q4*(Table2[[#This Row],[Total Control Bo MOSFET Loss]]+Table2[[#This Row],[Reverse Recovery Loss MOSFET D BOOST]]))</f>
        <v>2.6990907072248054</v>
      </c>
      <c r="BM9" s="559">
        <f>IF(Table2[[#This Row],[Vin]]&gt;Vout, Table2[[#This Row],[Total Sync Bu MOSFET Loss]]*ThetaJA_Q2, ThetaJA_Q3*Table2[[#This Row],[Total Sync Bo MOSFET Loss]])</f>
        <v>2.6368338371144029</v>
      </c>
      <c r="BO9" s="4">
        <f>Table2[[#This Row],[EFF, h]]*100</f>
        <v>0</v>
      </c>
      <c r="BP9" s="354">
        <f>Table2[[#This Row],[Total Inductor Loss]]</f>
        <v>0.58797803073057131</v>
      </c>
      <c r="BQ9" s="354">
        <f>Table2[[#This Row],[Total Control Bu MOSFET Loss]]+Table2[[#This Row],[Total Sync Bu MOSFET Loss]]+Table2[[#This Row],[Total Control Bo MOSFET Loss]]+Table2[[#This Row],[Total Sync Bo MOSFET Loss]]+Table2[[#This Row],[Reverse Recovery Loss MOSFET D BUCK]]+Table2[[#This Row],[Reverse Recovery Loss MOSFET D BOOST]]</f>
        <v>9.3260954094866122E-2</v>
      </c>
      <c r="BR9" s="354">
        <f xml:space="preserve"> Table2[[#This Row],[Total Control Bu MOSFET Loss]]+Table2[[#This Row],[Reverse Recovery Loss MOSFET D BUCK]]*0.66</f>
        <v>4.4984845120413425E-2</v>
      </c>
      <c r="BS9" s="354">
        <f>Table2[[#This Row],[Total Sync Bu MOSFET Loss]]+Table2[[#This Row],[Reverse Recovery Loss MOSFET D BUCK]]*0.33</f>
        <v>4.3947230618573384E-2</v>
      </c>
      <c r="BT9" s="354">
        <f xml:space="preserve"> Table2[[#This Row],[Total Control Bo MOSFET Loss]]+Table2[[#This Row],[Reverse Recovery Loss MOSFET D BOOST]]*0.66</f>
        <v>0</v>
      </c>
      <c r="BU9" s="354">
        <f xml:space="preserve"> Table2[[#This Row],[Total Sync Bo MOSFET Loss]]+Table2[[#This Row],[Reverse Recovery Loss MOSFET D BOOST]]*0.33</f>
        <v>4.3288783558793047E-3</v>
      </c>
      <c r="BV9" s="354">
        <f>Table2[[#This Row],[Isense Shunt Loss]]</f>
        <v>9.8162506471984566E-4</v>
      </c>
      <c r="BZ9" t="s">
        <v>135</v>
      </c>
      <c r="CA9" s="18">
        <v>70</v>
      </c>
      <c r="CB9" s="18">
        <v>70</v>
      </c>
      <c r="CC9" s="18">
        <v>70</v>
      </c>
      <c r="CD9" s="19">
        <f>250000*(5-Vdd)*CC9/1000000000+((250000*CC9/1000000000*Vdd)*2.5/(2*4))</f>
        <v>-2.7343749999999972E-3</v>
      </c>
      <c r="CE9">
        <f t="shared" ref="CE9:CN17" si="2">CE$6*$CD9</f>
        <v>-0.21874999999999978</v>
      </c>
      <c r="CF9">
        <f t="shared" si="2"/>
        <v>-0.27343749999999972</v>
      </c>
      <c r="CG9">
        <f t="shared" si="2"/>
        <v>-0.32812499999999967</v>
      </c>
      <c r="CH9">
        <f t="shared" si="2"/>
        <v>-0.38281249999999961</v>
      </c>
      <c r="CI9">
        <f t="shared" si="2"/>
        <v>-0.43749999999999956</v>
      </c>
      <c r="CJ9">
        <f t="shared" si="2"/>
        <v>-0.4921874999999995</v>
      </c>
      <c r="CK9">
        <f t="shared" si="2"/>
        <v>-5.4687499999999944E-2</v>
      </c>
      <c r="CL9">
        <f t="shared" si="2"/>
        <v>-8.2031249999999917E-2</v>
      </c>
      <c r="CM9">
        <f t="shared" si="2"/>
        <v>-0.10937499999999989</v>
      </c>
      <c r="CN9">
        <f t="shared" si="2"/>
        <v>-0.13671874999999986</v>
      </c>
    </row>
    <row r="10" spans="1:92" x14ac:dyDescent="0.2">
      <c r="A10" s="502"/>
      <c r="B10" s="24"/>
      <c r="C10" s="16"/>
      <c r="D10" s="17"/>
      <c r="G10">
        <v>1</v>
      </c>
      <c r="H10" s="555">
        <f t="shared" si="0"/>
        <v>23.6</v>
      </c>
      <c r="I10" s="4" t="str">
        <f>IF(Mode = 2,IF(Table2[[#This Row],[Vin]]&gt;Vout, "BUCK","BOOST"),IF(Table2[[#This Row],[Vin]]&gt;VIN_BB_to_buck, "BUCK", IF(Table2[[#This Row],[Vin]]&lt;=VIN_boost_to_BB,"BOOST","BUCK-BST")))</f>
        <v>BUCK</v>
      </c>
      <c r="J10">
        <f>IF(Table2[[#This Row],[Mode]]="BOOST",2, IF(Table2[[#This Row],[Mode]]="BUCK", 1,3))</f>
        <v>1</v>
      </c>
      <c r="K10" s="354">
        <f t="shared" ref="K10:K41" si="3">Iout*G10/100</f>
        <v>0.12</v>
      </c>
      <c r="L10" s="4">
        <f>Vout*Table2[[#This Row],[Iout]]/(Table2[[#This Row],[Vin]]*Efficiency)</f>
        <v>7.8144513826940223E-2</v>
      </c>
      <c r="M10" s="711">
        <f>MIN(1/Fsw,CHOOSE(Table2[[#This Row],[Mode Digit]],(Vout+(Rdson2+Rs+Rdcr)*Table2[[#This Row],[Iout]])/(Table2[[#This Row],[Vin]]+(Rs+Rdson2-Rdson1)*Table2[[#This Row],[Iout]])/Fsw,(Vout+(Rdson3+Rdcr)*Table2[[#This Row],[Iin]]-Table2[[#This Row],[Vin]])/(Vout+(Rdson3-Rdson4-Rs)*Table2[[#This Row],[Iin]])/Fsw,t1_Ph_II))</f>
        <v>1.0311662704852622E-6</v>
      </c>
      <c r="N10" s="602">
        <f>CHOOSE(Table2[[#This Row],[Mode Digit]],1/Fsw-Table2[[#This Row],[t1_Ph_II]],1/Fsw-Table2[[#This Row],[t1_Ph_II]],(Vout/Fsw-Table2[[#This Row],[Vin]]*t1_Ph_II)/(Table2[[#This Row],[Vin]]+Vout))</f>
        <v>6.3550039618140444E-7</v>
      </c>
      <c r="O10" s="602">
        <f>1/Fsw-(Table2[[#This Row],[t1_Ph_II]]+Table2[[#This Row],[t2_Ph_I]])</f>
        <v>0</v>
      </c>
      <c r="P1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-1.6376697792362429</v>
      </c>
      <c r="Q10" s="4">
        <f>CHOOSE(Table2[[#This Row],[Mode Digit]],Table2[[#This Row],[I_0]]+1/Lf*(Table2[[#This Row],[Vin]]-Vout)*Table2[[#This Row],[t1_Ph_II]],Table2[[#This Row],[I_0]]+1/Lf*Table2[[#This Row],[Vin]]*Table2[[#This Row],[t1_Ph_II]],Table2[[#This Row],[I_0]]+(Table2[[#This Row],[Vin]]-Vout)/L*Table2[[#This Row],[t1_Ph_II]])</f>
        <v>1.8776697792362427</v>
      </c>
      <c r="R10" s="4">
        <f>CHOOSE(Table2[[#This Row],[Mode Digit]],0,0,Table2[[#This Row],[I_1]]+Table2[[#This Row],[Vin]]/L*Table2[[#This Row],[t2_Ph_I]])</f>
        <v>0</v>
      </c>
      <c r="S10" s="409">
        <f>Fsw*(Table2[[#This Row],[I_0]]*Table2[[#This Row],[t1_Ph_II]]+Table2[[#This Row],[I_1]]*Table2[[#This Row],[t2_Ph_I]]+Table2[[#This Row],[I_2]]*Table2[[#This Row],[t3_Ph_III]])</f>
        <v>-0.29726996996338612</v>
      </c>
      <c r="T10" s="354">
        <f>MIN(1,CHOOSE(Table2[[#This Row],[Mode Digit]],(Vout+(Rdson2+Rs+Rdcr)*Table2[[#This Row],[Iout]])/(Table2[[#This Row],[Vin]]+(Rs+Rdson2-Rdson1)*Table2[[#This Row],[Iout]]),1,Fsw*Table2[[#This Row],[t2_Ph_I]]+Table2[[#This Row],[t1_Ph_II]]))</f>
        <v>0.61869976229115731</v>
      </c>
      <c r="U10" s="354">
        <f>MIN(1,CHOOSE(Table2[[#This Row],[Mode Digit]],0,(Vout+(Rdson3+Rdcr)*Table2[[#This Row],[Iin]]-Table2[[#This Row],[Vin]])/(Vout+(Rdson3-Rdson4-Rs)*Table2[[#This Row],[Iin]]),Fsw*Table2[[#This Row],[t1_Ph_II]]+Table2[[#This Row],[t3_Ph_III]]))</f>
        <v>0</v>
      </c>
      <c r="V10" s="4">
        <f>MAX(Table2[[#This Row],[I_0]:[I_2]])-MIN(Table2[[#This Row],[I_0]:[I_1]])</f>
        <v>3.5153395584724856</v>
      </c>
      <c r="W1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1.0218615452268771</v>
      </c>
      <c r="X10" s="354">
        <f>(Table2[[#This Row],[Irms Lf]]^2*Rdcr*(1+Ltc*Ta-Ltc*25))/(1-Table2[[#This Row],[Irms Lf]]^2*Rdcr*Ltc*ThetaCa)</f>
        <v>6.0593016900097755E-3</v>
      </c>
      <c r="Y10" s="354">
        <f>ABS(7.759*10^-3*Fsw^0.9458*(0.00787*Table2[[#This Row],[Ripple Current pk-pk]])^2.304)</f>
        <v>0.58212413292576148</v>
      </c>
      <c r="Z10" s="354">
        <f>Table2[[#This Row],[DCR    Loss]]+Table2[[#This Row],[Core Loss]]</f>
        <v>0.58818343461577127</v>
      </c>
      <c r="AA10" s="4">
        <f>IF(Table2[[#This Row],[Vin]]&gt;Vout, Table2[[#This Row],[Ripple Current pk-pk]]/SQRT(12), SQRT(Table2[[#This Row],[Duty Cycle BOOST Leg]]/(1-Table2[[#This Row],[Duty Cycle BOOST Leg]]))*SQRT(Table2[[#This Row],[Iout]]^2+(Table2[[#This Row],[Ripple Current pk-pk]]^2)/12))</f>
        <v>1.0147911201885149</v>
      </c>
      <c r="AB10" s="354">
        <f>RCoutEsr*Table2[[#This Row],[Irms Cout]]^2</f>
        <v>5.1490050880673042E-3</v>
      </c>
      <c r="AC10" s="354">
        <f>Table2[[#This Row],[Cout ESR Loss]]</f>
        <v>5.1490050880673042E-3</v>
      </c>
      <c r="AD10" s="4">
        <f>IF(Table2[[#This Row],[Vin]]&gt;Vout, SQRT(Table2[[#This Row],[Duty Cycle BUCK Leg]]*(1-Table2[[#This Row],[Duty Cycle BUCK Leg]]))*SQRT(Table2[[#This Row],[Iout]]^2+(Table2[[#This Row],[Ripple Current pk-pk]]^2)/12), Table2[[#This Row],[Ripple Current pk-pk]]/SQRT(12))</f>
        <v>0.49632433417462279</v>
      </c>
      <c r="AE10" s="354">
        <f>RCinEsr*Table2[[#This Row],[Irms Cin]]^2</f>
        <v>4.9267568938776533E-4</v>
      </c>
      <c r="AF10" s="549">
        <f>Table2[[#This Row],[Cin ESR Loss]]</f>
        <v>4.9267568938776533E-4</v>
      </c>
      <c r="AG10" s="354">
        <f>Table2[[#This Row],[Irms Lf]]</f>
        <v>1.0218615452268771</v>
      </c>
      <c r="AH10" s="354">
        <f>Rdson1*Table2[[#This Row],[Irms BuCtrl]]^2</f>
        <v>4.3856442739765369E-3</v>
      </c>
      <c r="AI10" s="354">
        <f>CHOOSE(Table2[[#This Row],[Mode Digit]], (Table2[[#This Row],[Vin]]*Table2[[#This Row],[Iout]]/2)*(Fsw)*(Tr_buck+Tf_buck), 0, (Table2[[#This Row],[Vin]]*Table2[[#This Row],[Avg IL]]/2)*(Fsw/1)*(Tr_buck+Tf_buck))</f>
        <v>2.8083151182056985E-2</v>
      </c>
      <c r="AJ10">
        <f>IF(Table2[[#This Row],[Vin]]&gt;Vout, IF(Table2[[#This Row],[Iout]]&gt;Table2[[#This Row],[Ripple Current pk-pk]]/2,0,ABS(Table2[[#This Row],[Iout]]-Table2[[#This Row],[Ripple Current pk-pk]]/2)*Vsd_Q1*Deadtime*Fsw),0)</f>
        <v>3.9397655831911904E-2</v>
      </c>
      <c r="AK10" s="354">
        <f>(Table2[[#This Row],[Dead Time Loss BuCtrl]]+Table2[[#This Row],[Transition Loss BuCtrl]]+Table2[[#This Row],[RDS(on) Loss BuCtrl]]*(1+RdsonTopTc*Ta-RdsonTopTc*25))/(1-Table2[[#This Row],[RDS(on) Loss BuCtrl]]*RdsonTopTc*ThetaJA_Q1)</f>
        <v>7.1942174356351016E-2</v>
      </c>
      <c r="AL10" s="354">
        <f>Table2[[#This Row],[Irms Lf]]</f>
        <v>1.0218615452268771</v>
      </c>
      <c r="AM10" s="354">
        <f>Rdson2*Table2[[#This Row],[Irms BuSync]]^2</f>
        <v>4.3856442739765369E-3</v>
      </c>
      <c r="AN1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4.5171370117626182E-2</v>
      </c>
      <c r="AO10" s="354">
        <f>(Table2[[#This Row],[Deadtime Loss BuSync]]+Table2[[#This Row],[RDS(on) Loss BuSync]]*(1+RdsonBotTc*Ta-RdsonBotTc*25))/(1-Table2[[#This Row],[RDS(on) Loss BuSync]]*RdsonBotTc*ThetaJA_Q2)</f>
        <v>4.9609230816979245E-2</v>
      </c>
      <c r="AP10" s="354">
        <f>Table2[[#This Row],[Irms Lf]]</f>
        <v>1.0218615452268771</v>
      </c>
      <c r="AQ10" s="354">
        <f>Rdson4*Table2[[#This Row],[Irms BoCtlr]]^2</f>
        <v>4.3856442739765369E-3</v>
      </c>
      <c r="AR10" s="354">
        <f>CHOOSE(Table2[[#This Row],[Mode Digit]], 0, (Vout*Table2[[#This Row],[Iin]]/2)*(Fsw)*(Tr_boost+Tf_boost), (Vout*Iout/2)*(Fsw/1)*(Tr_boost+Tf_boost))</f>
        <v>0</v>
      </c>
      <c r="AS10" s="354">
        <f>IF(Table2[[#This Row],[Vin]]&gt;Vout, 0, IF(Table2[[#This Row],[Iin]]&gt;Table2[[#This Row],[Ripple Current pk-pk]]/2,0,ABS(Table2[[#This Row],[Iin]]-Table2[[#This Row],[Ripple Current pk-pk]]/2)*Vsd_Q4*Deadtime*Fsw))</f>
        <v>0</v>
      </c>
      <c r="AT10" s="354">
        <f>(Table2[[#This Row],[Dead Time Loss BoCtlr]]+Table2[[#This Row],[Transition Loss BoCtlr]]+Table2[[#This Row],[RDS(on) Loss BoCtlr]]*(1+RdsonTopTc*Ta-RdsonTopTc*25))/(1-Table2[[#This Row],[RDS(on) Loss BoCtlr]]*RdsonTopTc*ThetaJA_Q4)</f>
        <v>4.3902652679926515E-3</v>
      </c>
      <c r="AU10" s="354">
        <f>Table2[[#This Row],[Irms Lf]]</f>
        <v>1.0218615452268771</v>
      </c>
      <c r="AV10" s="354">
        <f>Rdson3*Table2[[#This Row],[Irms BoSync]]^2</f>
        <v>4.3856442739765369E-3</v>
      </c>
      <c r="AW1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 s="354">
        <f>(Table2[[#This Row],[Deadtime Loss BoSync]]+Table2[[#This Row],[RDS(on) Loss BoSync]]*(1+RdsonBotTc*Ta-RdsonBotTc*25))/(1-Table2[[#This Row],[RDS(on) Loss BoSync]]*RdsonBotTc*ThetaJA_Q3)</f>
        <v>4.3902652679926515E-3</v>
      </c>
      <c r="AY10" s="354">
        <f>CHOOSE(Table2[[#This Row],[Mode Digit]], Rdson3*Table2[[#This Row],[Irms Lf]]^2, Rdson1*Table2[[#This Row],[Irms Lf]]^2, 0)</f>
        <v>4.3856442739765369E-3</v>
      </c>
      <c r="AZ10" s="354">
        <f>CHOOSE(Table2[[#This Row],[Mode Digit]], 2*Deadtime*Fsw*IF(VfdSky_Q2&gt;0,VfdSky_Q2,0)*Table2[[#This Row],[Iout]], 2*Deadtime*Fsw*IF(VfdSky_Q3&gt;0,VfdSky_Q3,0)*Table2[[#This Row],[Iin]], 2*Deadtime*Fsw*IF(VfdSky_Q2&gt;0,VfdSky_Q2,0)*Table2[[#This Row],[Iout]]+2*Deadtime*Fsw*IF(VfdSky_Q3&gt;0,VfdSky_Q3,0)*Table2[[#This Row],[Iin]])</f>
        <v>0</v>
      </c>
      <c r="BA1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2.8319395200000004E-3</v>
      </c>
      <c r="BB1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2.8319395200000004E-3</v>
      </c>
      <c r="BC10" s="354">
        <f>CHOOSE(Table2[[#This Row],[Mode Digit]], Rs*Table2[[#This Row],[Irms BuSync]]^2, Rs*Table2[[#This Row],[Irms BoCtlr]]^2, Rs*(Table2[[#This Row],[Irms BuSync]]^2+Table2[[#This Row],[Irms BoCtlr]]^2))</f>
        <v>2.6105025440336526E-3</v>
      </c>
      <c r="BD10" s="354">
        <f t="shared" si="1"/>
        <v>1.44</v>
      </c>
      <c r="BE10" s="354">
        <f>IF(Vout&gt;8, Iq*Vout, Iq*Table2[[#This Row],[Vin]])</f>
        <v>4.3799999999999999E-2</v>
      </c>
      <c r="BF10" s="354">
        <f>CHOOSE(Table2[[#This Row],[Mode Digit]], (Qg_Q1+Qg_Q2)*Fsw, (Qg_Q3+Qg_Q4)*Fsw, (Qg_Q1+Qg_Q2+Qg_Q3+Qg_Q4)*Fsw)*IF(Vout&gt;8, Vout, Table2[[#This Row],[Vin]])</f>
        <v>0.47303999999999996</v>
      </c>
      <c r="BG10" s="354">
        <f t="shared" ref="BG10:BG72" si="4">(Vin-Vdd)*Fsw*(Qg_Q1+Qg_Q2)+(RdsonDRT+RdsonDRT2)*Fsw*Qg_Q1*Vdd/(RdsonDRT+2*Rgate1+RdsonDRT2)+(RdsonDRB+RdsonDRB2)*Fsw*Qg_Q2*Vdd/(RdsonDRB+2*Rgate2+RdsonDRB2)</f>
        <v>0.57269042016806726</v>
      </c>
      <c r="BH10" s="354">
        <f>Table2[[#This Row],[IQ Loss]]+Table2[[#This Row],[Switching Current Loss]]</f>
        <v>0.51683999999999997</v>
      </c>
      <c r="BI1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2.6892714326865756</v>
      </c>
      <c r="BJ10">
        <f>Vout*Table2[[#This Row],[Iout]]</f>
        <v>1.752</v>
      </c>
      <c r="BK10" s="550">
        <f>Table2[[#This Row],[Pout]]/(Table2[[#This Row],[Pout]]+Table2[[#This Row],[Total Loss]])</f>
        <v>0.39448163134226522</v>
      </c>
      <c r="BL10" s="559">
        <f>IF(Table2[[#This Row],[Vin]]&gt;Vout,ThetaJA_Q1*(Table2[[#This Row],[Total Control Bu MOSFET Loss]]+Table2[[#This Row],[Reverse Recovery Loss MOSFET D BUCK]]),ThetaJA_Q4*(Table2[[#This Row],[Total Control Bo MOSFET Loss]]+Table2[[#This Row],[Reverse Recovery Loss MOSFET D BOOST]]))</f>
        <v>4.4864468325810609</v>
      </c>
      <c r="BM10" s="559">
        <f>IF(Table2[[#This Row],[Vin]]&gt;Vout, Table2[[#This Row],[Total Sync Bu MOSFET Loss]]*ThetaJA_Q2, ThetaJA_Q3*Table2[[#This Row],[Total Sync Bo MOSFET Loss]])</f>
        <v>2.9765538490187549</v>
      </c>
      <c r="BN10" s="9"/>
      <c r="BO10" s="4">
        <f>Table2[[#This Row],[EFF, h]]*100</f>
        <v>39.448163134226519</v>
      </c>
      <c r="BP10" s="354">
        <f>Table2[[#This Row],[Total Inductor Loss]]</f>
        <v>0.58818343461577127</v>
      </c>
      <c r="BQ10" s="354">
        <f>Table2[[#This Row],[Total Control Bu MOSFET Loss]]+Table2[[#This Row],[Total Sync Bu MOSFET Loss]]+Table2[[#This Row],[Total Control Bo MOSFET Loss]]+Table2[[#This Row],[Total Sync Bo MOSFET Loss]]+Table2[[#This Row],[Reverse Recovery Loss MOSFET D BUCK]]+Table2[[#This Row],[Reverse Recovery Loss MOSFET D BOOST]]</f>
        <v>0.13599581474931557</v>
      </c>
      <c r="BR10" s="354">
        <f xml:space="preserve"> Table2[[#This Row],[Total Control Bu MOSFET Loss]]+Table2[[#This Row],[Reverse Recovery Loss MOSFET D BUCK]]*0.66</f>
        <v>7.3811254439551013E-2</v>
      </c>
      <c r="BS10" s="354">
        <f>Table2[[#This Row],[Total Sync Bu MOSFET Loss]]+Table2[[#This Row],[Reverse Recovery Loss MOSFET D BUCK]]*0.33</f>
        <v>5.0543770858579244E-2</v>
      </c>
      <c r="BT10" s="354">
        <f xml:space="preserve"> Table2[[#This Row],[Total Control Bo MOSFET Loss]]+Table2[[#This Row],[Reverse Recovery Loss MOSFET D BOOST]]*0.66</f>
        <v>6.2593453511926517E-3</v>
      </c>
      <c r="BU10" s="354">
        <f xml:space="preserve"> Table2[[#This Row],[Total Sync Bo MOSFET Loss]]+Table2[[#This Row],[Reverse Recovery Loss MOSFET D BOOST]]*0.33</f>
        <v>5.324805309592652E-3</v>
      </c>
      <c r="BV10" s="354">
        <f>Table2[[#This Row],[Isense Shunt Loss]]</f>
        <v>2.6105025440336526E-3</v>
      </c>
      <c r="CA10" s="18"/>
      <c r="CB10" s="18"/>
      <c r="CC10" s="18"/>
      <c r="CD10" s="19"/>
    </row>
    <row r="11" spans="1:92" x14ac:dyDescent="0.2">
      <c r="A11" s="20" t="s">
        <v>4</v>
      </c>
      <c r="B11" s="5">
        <f>Vin</f>
        <v>23.6</v>
      </c>
      <c r="C11" s="440" t="s">
        <v>0</v>
      </c>
      <c r="D11" s="21" t="s">
        <v>4</v>
      </c>
      <c r="G11">
        <v>2</v>
      </c>
      <c r="H11" s="555">
        <f t="shared" si="0"/>
        <v>23.6</v>
      </c>
      <c r="I11" s="4" t="str">
        <f>IF(Mode = 2,IF(Table2[[#This Row],[Vin]]&gt;Vout, "BUCK","BOOST"),IF(Table2[[#This Row],[Vin]]&gt;VIN_BB_to_buck, "BUCK", IF(Table2[[#This Row],[Vin]]&lt;=VIN_boost_to_BB,"BOOST","BUCK-BST")))</f>
        <v>BUCK</v>
      </c>
      <c r="J11">
        <f>IF(Table2[[#This Row],[Mode]]="BOOST",2, IF(Table2[[#This Row],[Mode]]="BUCK", 1,3))</f>
        <v>1</v>
      </c>
      <c r="K11" s="354">
        <f t="shared" si="3"/>
        <v>0.24</v>
      </c>
      <c r="L11" s="4">
        <f>Vout*Table2[[#This Row],[Iout]]/(Table2[[#This Row],[Vin]]*Efficiency)</f>
        <v>0.15628902765388045</v>
      </c>
      <c r="M11" s="711">
        <f>MIN(1/Fsw,CHOOSE(Table2[[#This Row],[Mode Digit]],(Vout+(Rdson2+Rs+Rdcr)*Table2[[#This Row],[Iout]])/(Table2[[#This Row],[Vin]]+(Rs+Rdson2-Rdson1)*Table2[[#This Row],[Iout]])/Fsw,(Vout+(Rdson3+Rdcr)*Table2[[#This Row],[Iin]]-Table2[[#This Row],[Vin]])/(Vout+(Rdson3-Rdson4-Rs)*Table2[[#This Row],[Iin]])/Fsw,t1_Ph_II))</f>
        <v>1.0312590922829645E-6</v>
      </c>
      <c r="N11" s="602">
        <f>CHOOSE(Table2[[#This Row],[Mode Digit]],1/Fsw-Table2[[#This Row],[t1_Ph_II]],1/Fsw-Table2[[#This Row],[t1_Ph_II]],(Vout/Fsw-Table2[[#This Row],[Vin]]*t1_Ph_II)/(Table2[[#This Row],[Vin]]+Vout))</f>
        <v>6.3540757438370215E-7</v>
      </c>
      <c r="O11" s="602">
        <f>1/Fsw-(Table2[[#This Row],[t1_Ph_II]]+Table2[[#This Row],[t2_Ph_I]])</f>
        <v>0</v>
      </c>
      <c r="P1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-1.5178279982095988</v>
      </c>
      <c r="Q11" s="4">
        <f>CHOOSE(Table2[[#This Row],[Mode Digit]],Table2[[#This Row],[I_0]]+1/Lf*(Table2[[#This Row],[Vin]]-Vout)*Table2[[#This Row],[t1_Ph_II]],Table2[[#This Row],[I_0]]+1/Lf*Table2[[#This Row],[Vin]]*Table2[[#This Row],[t1_Ph_II]],Table2[[#This Row],[I_0]]+(Table2[[#This Row],[Vin]]-Vout)/L*Table2[[#This Row],[t1_Ph_II]])</f>
        <v>1.9978279982095988</v>
      </c>
      <c r="R11" s="4">
        <f>CHOOSE(Table2[[#This Row],[Mode Digit]],0,0,Table2[[#This Row],[I_1]]+Table2[[#This Row],[Vin]]/L*Table2[[#This Row],[t2_Ph_I]])</f>
        <v>0</v>
      </c>
      <c r="S11" s="409">
        <f>Fsw*(Table2[[#This Row],[I_0]]*Table2[[#This Row],[t1_Ph_II]]+Table2[[#This Row],[I_1]]*Table2[[#This Row],[t2_Ph_I]]+Table2[[#This Row],[I_2]]*Table2[[#This Row],[t3_Ph_III]])</f>
        <v>-0.17750332877825498</v>
      </c>
      <c r="T11" s="354">
        <f>MIN(1,CHOOSE(Table2[[#This Row],[Mode Digit]],(Vout+(Rdson2+Rs+Rdcr)*Table2[[#This Row],[Iout]])/(Table2[[#This Row],[Vin]]+(Rs+Rdson2-Rdson1)*Table2[[#This Row],[Iout]]),1,Fsw*Table2[[#This Row],[t2_Ph_I]]+Table2[[#This Row],[t1_Ph_II]]))</f>
        <v>0.61875545536977872</v>
      </c>
      <c r="U11" s="354">
        <f>MIN(1,CHOOSE(Table2[[#This Row],[Mode Digit]],0,(Vout+(Rdson3+Rdcr)*Table2[[#This Row],[Iin]]-Table2[[#This Row],[Vin]])/(Vout+(Rdson3-Rdson4-Rs)*Table2[[#This Row],[Iin]]),Fsw*Table2[[#This Row],[t1_Ph_II]]+Table2[[#This Row],[t3_Ph_III]]))</f>
        <v>0</v>
      </c>
      <c r="V11" s="4">
        <f>MAX(Table2[[#This Row],[I_0]:[I_2]])-MIN(Table2[[#This Row],[I_0]:[I_1]])</f>
        <v>3.5156559964191976</v>
      </c>
      <c r="W1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1.0428741169303171</v>
      </c>
      <c r="X11" s="354">
        <f>(Table2[[#This Row],[Irms Lf]]^2*Rdcr*(1+Ltc*Ta-Ltc*25))/(1-Table2[[#This Row],[Irms Lf]]^2*Rdcr*Ltc*ThetaCa)</f>
        <v>6.3111861354329495E-3</v>
      </c>
      <c r="Y11" s="354">
        <f>ABS(7.759*10^-3*Fsw^0.9458*(0.00787*Table2[[#This Row],[Ripple Current pk-pk]])^2.304)</f>
        <v>0.58224487116657753</v>
      </c>
      <c r="Z11" s="354">
        <f>Table2[[#This Row],[DCR    Loss]]+Table2[[#This Row],[Core Loss]]</f>
        <v>0.58855605730201044</v>
      </c>
      <c r="AA11" s="4">
        <f>IF(Table2[[#This Row],[Vin]]&gt;Vout, Table2[[#This Row],[Ripple Current pk-pk]]/SQRT(12), SQRT(Table2[[#This Row],[Duty Cycle BOOST Leg]]/(1-Table2[[#This Row],[Duty Cycle BOOST Leg]]))*SQRT(Table2[[#This Row],[Iout]]^2+(Table2[[#This Row],[Ripple Current pk-pk]]^2)/12))</f>
        <v>1.014882467955373</v>
      </c>
      <c r="AB11" s="354">
        <f>RCoutEsr*Table2[[#This Row],[Irms Cout]]^2</f>
        <v>5.1499321188159435E-3</v>
      </c>
      <c r="AC11" s="354">
        <f>Table2[[#This Row],[Cout ESR Loss]]</f>
        <v>5.1499321188159435E-3</v>
      </c>
      <c r="AD11" s="4">
        <f>IF(Table2[[#This Row],[Vin]]&gt;Vout, SQRT(Table2[[#This Row],[Duty Cycle BUCK Leg]]*(1-Table2[[#This Row],[Duty Cycle BUCK Leg]]))*SQRT(Table2[[#This Row],[Iout]]^2+(Table2[[#This Row],[Ripple Current pk-pk]]^2)/12), Table2[[#This Row],[Ripple Current pk-pk]]/SQRT(12))</f>
        <v>0.50651606968375706</v>
      </c>
      <c r="AE11" s="354">
        <f>RCinEsr*Table2[[#This Row],[Irms Cin]]^2</f>
        <v>5.1311705769576136E-4</v>
      </c>
      <c r="AF11" s="549">
        <f>Table2[[#This Row],[Cin ESR Loss]]</f>
        <v>5.1311705769576136E-4</v>
      </c>
      <c r="AG11" s="354">
        <f>Table2[[#This Row],[Irms Lf]]</f>
        <v>1.0428741169303171</v>
      </c>
      <c r="AH11" s="354">
        <f>Rdson1*Table2[[#This Row],[Irms BuCtrl]]^2</f>
        <v>4.5678629798053929E-3</v>
      </c>
      <c r="AI11" s="354">
        <f>CHOOSE(Table2[[#This Row],[Mode Digit]], (Table2[[#This Row],[Vin]]*Table2[[#This Row],[Iout]]/2)*(Fsw)*(Tr_buck+Tf_buck), 0, (Table2[[#This Row],[Vin]]*Table2[[#This Row],[Avg IL]]/2)*(Fsw/1)*(Tr_buck+Tf_buck))</f>
        <v>5.6166302364113969E-2</v>
      </c>
      <c r="AJ11">
        <f>IF(Table2[[#This Row],[Vin]]&gt;Vout, IF(Table2[[#This Row],[Iout]]&gt;Table2[[#This Row],[Ripple Current pk-pk]]/2,0,ABS(Table2[[#This Row],[Iout]]-Table2[[#This Row],[Ripple Current pk-pk]]/2)*Vsd_Q1*Deadtime*Fsw),0)</f>
        <v>3.6514604985499487E-2</v>
      </c>
      <c r="AK11" s="354">
        <f>(Table2[[#This Row],[Dead Time Loss BuCtrl]]+Table2[[#This Row],[Transition Loss BuCtrl]]+Table2[[#This Row],[RDS(on) Loss BuCtrl]]*(1+RdsonTopTc*Ta-RdsonTopTc*25))/(1-Table2[[#This Row],[RDS(on) Loss BuCtrl]]*RdsonTopTc*ThetaJA_Q1)</f>
        <v>9.735549990955901E-2</v>
      </c>
      <c r="AL11" s="354">
        <f>Table2[[#This Row],[Irms Lf]]</f>
        <v>1.0428741169303171</v>
      </c>
      <c r="AM11" s="354">
        <f>Rdson2*Table2[[#This Row],[Irms BuSync]]^2</f>
        <v>4.5678629798053929E-3</v>
      </c>
      <c r="AN1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4.8062033556928063E-2</v>
      </c>
      <c r="AO11" s="354">
        <f>(Table2[[#This Row],[Deadtime Loss BuSync]]+Table2[[#This Row],[RDS(on) Loss BuSync]]*(1+RdsonBotTc*Ta-RdsonBotTc*25))/(1-Table2[[#This Row],[RDS(on) Loss BuSync]]*RdsonBotTc*ThetaJA_Q2)</f>
        <v>5.2687657336599185E-2</v>
      </c>
      <c r="AP11" s="354">
        <f>Table2[[#This Row],[Irms Lf]]</f>
        <v>1.0428741169303171</v>
      </c>
      <c r="AQ11" s="354">
        <f>Rdson4*Table2[[#This Row],[Irms BoCtlr]]^2</f>
        <v>4.5678629798053929E-3</v>
      </c>
      <c r="AR11" s="354">
        <f>CHOOSE(Table2[[#This Row],[Mode Digit]], 0, (Vout*Table2[[#This Row],[Iin]]/2)*(Fsw)*(Tr_boost+Tf_boost), (Vout*Iout/2)*(Fsw/1)*(Tr_boost+Tf_boost))</f>
        <v>0</v>
      </c>
      <c r="AS11" s="354">
        <f>IF(Table2[[#This Row],[Vin]]&gt;Vout, 0, IF(Table2[[#This Row],[Iin]]&gt;Table2[[#This Row],[Ripple Current pk-pk]]/2,0,ABS(Table2[[#This Row],[Iin]]-Table2[[#This Row],[Ripple Current pk-pk]]/2)*Vsd_Q4*Deadtime*Fsw))</f>
        <v>0</v>
      </c>
      <c r="AT11" s="354">
        <f>(Table2[[#This Row],[Dead Time Loss BoCtlr]]+Table2[[#This Row],[Transition Loss BoCtlr]]+Table2[[#This Row],[RDS(on) Loss BoCtlr]]*(1+RdsonTopTc*Ta-RdsonTopTc*25))/(1-Table2[[#This Row],[RDS(on) Loss BoCtlr]]*RdsonTopTc*ThetaJA_Q4)</f>
        <v>4.5728761650243007E-3</v>
      </c>
      <c r="AU11" s="354">
        <f>Table2[[#This Row],[Irms Lf]]</f>
        <v>1.0428741169303171</v>
      </c>
      <c r="AV11" s="354">
        <f>Rdson3*Table2[[#This Row],[Irms BoSync]]^2</f>
        <v>4.5678629798053929E-3</v>
      </c>
      <c r="AW1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1" s="354">
        <f>(Table2[[#This Row],[Deadtime Loss BoSync]]+Table2[[#This Row],[RDS(on) Loss BoSync]]*(1+RdsonBotTc*Ta-RdsonBotTc*25))/(1-Table2[[#This Row],[RDS(on) Loss BoSync]]*RdsonBotTc*ThetaJA_Q3)</f>
        <v>4.5728761650243007E-3</v>
      </c>
      <c r="AY11" s="354">
        <f>CHOOSE(Table2[[#This Row],[Mode Digit]], Rdson3*Table2[[#This Row],[Irms Lf]]^2, Rdson1*Table2[[#This Row],[Irms Lf]]^2, 0)</f>
        <v>4.5678629798053929E-3</v>
      </c>
      <c r="AZ11" s="354">
        <f>CHOOSE(Table2[[#This Row],[Mode Digit]], 2*Deadtime*Fsw*IF(VfdSky_Q2&gt;0,VfdSky_Q2,0)*Table2[[#This Row],[Iout]], 2*Deadtime*Fsw*IF(VfdSky_Q3&gt;0,VfdSky_Q3,0)*Table2[[#This Row],[Iin]], 2*Deadtime*Fsw*IF(VfdSky_Q2&gt;0,VfdSky_Q2,0)*Table2[[#This Row],[Iout]]+2*Deadtime*Fsw*IF(VfdSky_Q3&gt;0,VfdSky_Q3,0)*Table2[[#This Row],[Iin]])</f>
        <v>0</v>
      </c>
      <c r="BA1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5.6637580800000011E-3</v>
      </c>
      <c r="BB1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5.6637580800000011E-3</v>
      </c>
      <c r="BC11" s="354">
        <f>CHOOSE(Table2[[#This Row],[Mode Digit]], Rs*Table2[[#This Row],[Irms BuSync]]^2, Rs*Table2[[#This Row],[Irms BoCtlr]]^2, Rs*(Table2[[#This Row],[Irms BuSync]]^2+Table2[[#This Row],[Irms BoCtlr]]^2))</f>
        <v>2.7189660594079718E-3</v>
      </c>
      <c r="BD11" s="354">
        <f t="shared" si="1"/>
        <v>1.44</v>
      </c>
      <c r="BE11" s="354">
        <f>IF(Vout&gt;8, Iq*Vout, Iq*Table2[[#This Row],[Vin]])</f>
        <v>4.3799999999999999E-2</v>
      </c>
      <c r="BF11" s="354">
        <f>CHOOSE(Table2[[#This Row],[Mode Digit]], (Qg_Q1+Qg_Q2)*Fsw, (Qg_Q3+Qg_Q4)*Fsw, (Qg_Q1+Qg_Q2+Qg_Q3+Qg_Q4)*Fsw)*IF(Vout&gt;8, Vout, Table2[[#This Row],[Vin]])</f>
        <v>0.47303999999999996</v>
      </c>
      <c r="BG11" s="354">
        <f t="shared" si="4"/>
        <v>0.57269042016806726</v>
      </c>
      <c r="BH11" s="354">
        <f>Table2[[#This Row],[IQ Loss]]+Table2[[#This Row],[Switching Current Loss]]</f>
        <v>0.51683999999999997</v>
      </c>
      <c r="BI1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2.7242944982741371</v>
      </c>
      <c r="BJ11">
        <f>Vout*Table2[[#This Row],[Iout]]</f>
        <v>3.504</v>
      </c>
      <c r="BK11" s="550">
        <f>Table2[[#This Row],[Pout]]/(Table2[[#This Row],[Pout]]+Table2[[#This Row],[Total Loss]])</f>
        <v>0.56259382098437383</v>
      </c>
      <c r="BL11" s="559">
        <f>IF(Table2[[#This Row],[Vin]]&gt;Vout,ThetaJA_Q1*(Table2[[#This Row],[Total Control Bu MOSFET Loss]]+Table2[[#This Row],[Reverse Recovery Loss MOSFET D BUCK]]),ThetaJA_Q4*(Table2[[#This Row],[Total Control Bo MOSFET Loss]]+Table2[[#This Row],[Reverse Recovery Loss MOSFET D BOOST]]))</f>
        <v>6.1811554793735404</v>
      </c>
      <c r="BM11" s="559">
        <f>IF(Table2[[#This Row],[Vin]]&gt;Vout, Table2[[#This Row],[Total Sync Bu MOSFET Loss]]*ThetaJA_Q2, ThetaJA_Q3*Table2[[#This Row],[Total Sync Bo MOSFET Loss]])</f>
        <v>3.1612594401959511</v>
      </c>
      <c r="BN11" s="9"/>
      <c r="BO11" s="4">
        <f>Table2[[#This Row],[EFF, h]]*100</f>
        <v>56.259382098437385</v>
      </c>
      <c r="BP11" s="354">
        <f>Table2[[#This Row],[Total Inductor Loss]]</f>
        <v>0.58855605730201044</v>
      </c>
      <c r="BQ11" s="354">
        <f>Table2[[#This Row],[Total Control Bu MOSFET Loss]]+Table2[[#This Row],[Total Sync Bu MOSFET Loss]]+Table2[[#This Row],[Total Control Bo MOSFET Loss]]+Table2[[#This Row],[Total Sync Bo MOSFET Loss]]+Table2[[#This Row],[Reverse Recovery Loss MOSFET D BUCK]]+Table2[[#This Row],[Reverse Recovery Loss MOSFET D BOOST]]</f>
        <v>0.17051642573620679</v>
      </c>
      <c r="BR11" s="354">
        <f xml:space="preserve"> Table2[[#This Row],[Total Control Bu MOSFET Loss]]+Table2[[#This Row],[Reverse Recovery Loss MOSFET D BUCK]]*0.66</f>
        <v>0.10109358024235901</v>
      </c>
      <c r="BS11" s="354">
        <f>Table2[[#This Row],[Total Sync Bu MOSFET Loss]]+Table2[[#This Row],[Reverse Recovery Loss MOSFET D BUCK]]*0.33</f>
        <v>5.4556697502999185E-2</v>
      </c>
      <c r="BT11" s="354">
        <f xml:space="preserve"> Table2[[#This Row],[Total Control Bo MOSFET Loss]]+Table2[[#This Row],[Reverse Recovery Loss MOSFET D BOOST]]*0.66</f>
        <v>8.3109564978243022E-3</v>
      </c>
      <c r="BU11" s="354">
        <f xml:space="preserve"> Table2[[#This Row],[Total Sync Bo MOSFET Loss]]+Table2[[#This Row],[Reverse Recovery Loss MOSFET D BOOST]]*0.33</f>
        <v>6.441916331424301E-3</v>
      </c>
      <c r="BV11" s="354">
        <f>Table2[[#This Row],[Isense Shunt Loss]]</f>
        <v>2.7189660594079718E-3</v>
      </c>
      <c r="BZ11" t="s">
        <v>136</v>
      </c>
      <c r="CA11" s="18">
        <v>90</v>
      </c>
      <c r="CB11" s="18">
        <v>90</v>
      </c>
      <c r="CC11" s="18">
        <v>90</v>
      </c>
      <c r="CD11" s="19">
        <f>250000*(12-Vdd)*CC11/1000000000+((250000*CC9/1000000000*Vdd)*2.5/(2*4))</f>
        <v>0.14226562500000001</v>
      </c>
      <c r="CE11">
        <f t="shared" si="2"/>
        <v>11.381250000000001</v>
      </c>
      <c r="CF11">
        <f t="shared" si="2"/>
        <v>14.2265625</v>
      </c>
      <c r="CG11">
        <f t="shared" si="2"/>
        <v>17.071875000000002</v>
      </c>
      <c r="CH11">
        <f t="shared" si="2"/>
        <v>19.917187500000001</v>
      </c>
      <c r="CI11">
        <f t="shared" si="2"/>
        <v>22.762500000000003</v>
      </c>
      <c r="CJ11">
        <f t="shared" si="2"/>
        <v>25.607812500000001</v>
      </c>
      <c r="CK11">
        <f t="shared" si="2"/>
        <v>2.8453125000000004</v>
      </c>
      <c r="CL11">
        <f t="shared" si="2"/>
        <v>4.2679687500000005</v>
      </c>
      <c r="CM11">
        <f t="shared" si="2"/>
        <v>5.6906250000000007</v>
      </c>
      <c r="CN11">
        <f t="shared" si="2"/>
        <v>7.11328125</v>
      </c>
    </row>
    <row r="12" spans="1:92" x14ac:dyDescent="0.2">
      <c r="A12" s="22" t="s">
        <v>5</v>
      </c>
      <c r="B12" s="5">
        <f>Vout</f>
        <v>14.6</v>
      </c>
      <c r="C12" s="440" t="s">
        <v>0</v>
      </c>
      <c r="D12" s="21" t="s">
        <v>5</v>
      </c>
      <c r="G12">
        <v>3</v>
      </c>
      <c r="H12" s="555">
        <f t="shared" si="0"/>
        <v>23.6</v>
      </c>
      <c r="I12" s="4" t="str">
        <f>IF(Mode = 2,IF(Table2[[#This Row],[Vin]]&gt;Vout, "BUCK","BOOST"),IF(Table2[[#This Row],[Vin]]&gt;VIN_BB_to_buck, "BUCK", IF(Table2[[#This Row],[Vin]]&lt;=VIN_boost_to_BB,"BOOST","BUCK-BST")))</f>
        <v>BUCK</v>
      </c>
      <c r="J12">
        <f>IF(Table2[[#This Row],[Mode]]="BOOST",2, IF(Table2[[#This Row],[Mode]]="BUCK", 1,3))</f>
        <v>1</v>
      </c>
      <c r="K12" s="354">
        <f t="shared" si="3"/>
        <v>0.36</v>
      </c>
      <c r="L12" s="4">
        <f>Vout*Table2[[#This Row],[Iout]]/(Table2[[#This Row],[Vin]]*Efficiency)</f>
        <v>0.23443354148082066</v>
      </c>
      <c r="M12" s="711">
        <f>MIN(1/Fsw,CHOOSE(Table2[[#This Row],[Mode Digit]],(Vout+(Rdson2+Rs+Rdcr)*Table2[[#This Row],[Iout]])/(Table2[[#This Row],[Vin]]+(Rs+Rdson2-Rdson1)*Table2[[#This Row],[Iout]])/Fsw,(Vout+(Rdson3+Rdcr)*Table2[[#This Row],[Iin]]-Table2[[#This Row],[Vin]])/(Vout+(Rdson3-Rdson4-Rs)*Table2[[#This Row],[Iin]])/Fsw,t1_Ph_II))</f>
        <v>1.0313519117208807E-6</v>
      </c>
      <c r="N12" s="602">
        <f>CHOOSE(Table2[[#This Row],[Mode Digit]],1/Fsw-Table2[[#This Row],[t1_Ph_II]],1/Fsw-Table2[[#This Row],[t1_Ph_II]],(Vout/Fsw-Table2[[#This Row],[Vin]]*t1_Ph_II)/(Table2[[#This Row],[Vin]]+Vout))</f>
        <v>6.3531475494578601E-7</v>
      </c>
      <c r="O12" s="602">
        <f>1/Fsw-(Table2[[#This Row],[t1_Ph_II]]+Table2[[#This Row],[t2_Ph_I]])</f>
        <v>0</v>
      </c>
      <c r="P1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-1.3979862131605922</v>
      </c>
      <c r="Q12" s="4">
        <f>CHOOSE(Table2[[#This Row],[Mode Digit]],Table2[[#This Row],[I_0]]+1/Lf*(Table2[[#This Row],[Vin]]-Vout)*Table2[[#This Row],[t1_Ph_II]],Table2[[#This Row],[I_0]]+1/Lf*Table2[[#This Row],[Vin]]*Table2[[#This Row],[t1_Ph_II]],Table2[[#This Row],[I_0]]+(Table2[[#This Row],[Vin]]-Vout)/L*Table2[[#This Row],[t1_Ph_II]])</f>
        <v>2.1179862131605924</v>
      </c>
      <c r="R12" s="4">
        <f>CHOOSE(Table2[[#This Row],[Mode Digit]],0,0,Table2[[#This Row],[I_1]]+Table2[[#This Row],[Vin]]/L*Table2[[#This Row],[t2_Ph_I]])</f>
        <v>0</v>
      </c>
      <c r="S12" s="409">
        <f>Fsw*(Table2[[#This Row],[I_0]]*Table2[[#This Row],[t1_Ph_II]]+Table2[[#This Row],[I_1]]*Table2[[#This Row],[t2_Ph_I]]+Table2[[#This Row],[I_2]]*Table2[[#This Row],[t3_Ph_III]])</f>
        <v>-5.7736716905961757E-2</v>
      </c>
      <c r="T12" s="354">
        <f>MIN(1,CHOOSE(Table2[[#This Row],[Mode Digit]],(Vout+(Rdson2+Rs+Rdcr)*Table2[[#This Row],[Iout]])/(Table2[[#This Row],[Vin]]+(Rs+Rdson2-Rdson1)*Table2[[#This Row],[Iout]]),1,Fsw*Table2[[#This Row],[t2_Ph_I]]+Table2[[#This Row],[t1_Ph_II]]))</f>
        <v>0.61881114703252837</v>
      </c>
      <c r="U12" s="354">
        <f>MIN(1,CHOOSE(Table2[[#This Row],[Mode Digit]],0,(Vout+(Rdson3+Rdcr)*Table2[[#This Row],[Iin]]-Table2[[#This Row],[Vin]])/(Vout+(Rdson3-Rdson4-Rs)*Table2[[#This Row],[Iin]]),Fsw*Table2[[#This Row],[t1_Ph_II]]+Table2[[#This Row],[t3_Ph_III]]))</f>
        <v>0</v>
      </c>
      <c r="V12" s="4">
        <f>MAX(Table2[[#This Row],[I_0]:[I_2]])-MIN(Table2[[#This Row],[I_0]:[I_1]])</f>
        <v>3.5159724263211847</v>
      </c>
      <c r="W1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1.0769270364734898</v>
      </c>
      <c r="X12" s="354">
        <f>(Table2[[#This Row],[Irms Lf]]^2*Rdcr*(1+Ltc*Ta-Ltc*25))/(1-Table2[[#This Row],[Irms Lf]]^2*Rdcr*Ltc*ThetaCa)</f>
        <v>6.7302984862996898E-3</v>
      </c>
      <c r="Y12" s="354">
        <f>ABS(7.759*10^-3*Fsw^0.9458*(0.00787*Table2[[#This Row],[Ripple Current pk-pk]])^2.304)</f>
        <v>0.58236562050931873</v>
      </c>
      <c r="Z12" s="354">
        <f>Table2[[#This Row],[DCR    Loss]]+Table2[[#This Row],[Core Loss]]</f>
        <v>0.58909591899561842</v>
      </c>
      <c r="AA12" s="4">
        <f>IF(Table2[[#This Row],[Vin]]&gt;Vout, Table2[[#This Row],[Ripple Current pk-pk]]/SQRT(12), SQRT(Table2[[#This Row],[Duty Cycle BOOST Leg]]/(1-Table2[[#This Row],[Duty Cycle BOOST Leg]]))*SQRT(Table2[[#This Row],[Iout]]^2+(Table2[[#This Row],[Ripple Current pk-pk]]^2)/12))</f>
        <v>1.0149738133999189</v>
      </c>
      <c r="AB12" s="354">
        <f>RCoutEsr*Table2[[#This Row],[Irms Cout]]^2</f>
        <v>5.150859209437867E-3</v>
      </c>
      <c r="AC12" s="354">
        <f>Table2[[#This Row],[Cout ESR Loss]]</f>
        <v>5.150859209437867E-3</v>
      </c>
      <c r="AD12" s="4">
        <f>IF(Table2[[#This Row],[Vin]]&gt;Vout, SQRT(Table2[[#This Row],[Duty Cycle BUCK Leg]]*(1-Table2[[#This Row],[Duty Cycle BUCK Leg]]))*SQRT(Table2[[#This Row],[Iout]]^2+(Table2[[#This Row],[Ripple Current pk-pk]]^2)/12), Table2[[#This Row],[Ripple Current pk-pk]]/SQRT(12))</f>
        <v>0.52304064691702679</v>
      </c>
      <c r="AE12" s="354">
        <f>RCinEsr*Table2[[#This Row],[Irms Cin]]^2</f>
        <v>5.4714303665476369E-4</v>
      </c>
      <c r="AF12" s="549">
        <f>Table2[[#This Row],[Cin ESR Loss]]</f>
        <v>5.4714303665476369E-4</v>
      </c>
      <c r="AG12" s="354">
        <f>Table2[[#This Row],[Irms Lf]]</f>
        <v>1.0769270364734898</v>
      </c>
      <c r="AH12" s="354">
        <f>Rdson1*Table2[[#This Row],[Irms BuCtrl]]^2</f>
        <v>4.8710417359278078E-3</v>
      </c>
      <c r="AI12" s="354">
        <f>CHOOSE(Table2[[#This Row],[Mode Digit]], (Table2[[#This Row],[Vin]]*Table2[[#This Row],[Iout]]/2)*(Fsw)*(Tr_buck+Tf_buck), 0, (Table2[[#This Row],[Vin]]*Table2[[#This Row],[Avg IL]]/2)*(Fsw/1)*(Tr_buck+Tf_buck))</f>
        <v>8.4249453546170958E-2</v>
      </c>
      <c r="AJ12">
        <f>IF(Table2[[#This Row],[Vin]]&gt;Vout, IF(Table2[[#This Row],[Iout]]&gt;Table2[[#This Row],[Ripple Current pk-pk]]/2,0,ABS(Table2[[#This Row],[Iout]]-Table2[[#This Row],[Ripple Current pk-pk]]/2)*Vsd_Q1*Deadtime*Fsw),0)</f>
        <v>3.363155404232053E-2</v>
      </c>
      <c r="AK12" s="354">
        <f>(Table2[[#This Row],[Dead Time Loss BuCtrl]]+Table2[[#This Row],[Transition Loss BuCtrl]]+Table2[[#This Row],[RDS(on) Loss BuCtrl]]*(1+RdsonTopTc*Ta-RdsonTopTc*25))/(1-Table2[[#This Row],[RDS(on) Loss BuCtrl]]*RdsonTopTc*ThetaJA_Q1)</f>
        <v>0.12289572056859287</v>
      </c>
      <c r="AL12" s="354">
        <f>Table2[[#This Row],[Irms Lf]]</f>
        <v>1.0769270364734898</v>
      </c>
      <c r="AM12" s="354">
        <f>Rdson2*Table2[[#This Row],[Irms BuSync]]^2</f>
        <v>4.8710417359278078E-3</v>
      </c>
      <c r="AN1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5.0952696899463391E-2</v>
      </c>
      <c r="AO12" s="354">
        <f>(Table2[[#This Row],[Deadtime Loss BuSync]]+Table2[[#This Row],[RDS(on) Loss BuSync]]*(1+RdsonBotTc*Ta-RdsonBotTc*25))/(1-Table2[[#This Row],[RDS(on) Loss BuSync]]*RdsonBotTc*ThetaJA_Q2)</f>
        <v>5.5889075760337845E-2</v>
      </c>
      <c r="AP12" s="354">
        <f>Table2[[#This Row],[Irms Lf]]</f>
        <v>1.0769270364734898</v>
      </c>
      <c r="AQ12" s="354">
        <f>Rdson4*Table2[[#This Row],[Irms BoCtlr]]^2</f>
        <v>4.8710417359278078E-3</v>
      </c>
      <c r="AR12" s="354">
        <f>CHOOSE(Table2[[#This Row],[Mode Digit]], 0, (Vout*Table2[[#This Row],[Iin]]/2)*(Fsw)*(Tr_boost+Tf_boost), (Vout*Iout/2)*(Fsw/1)*(Tr_boost+Tf_boost))</f>
        <v>0</v>
      </c>
      <c r="AS12" s="354">
        <f>IF(Table2[[#This Row],[Vin]]&gt;Vout, 0, IF(Table2[[#This Row],[Iin]]&gt;Table2[[#This Row],[Ripple Current pk-pk]]/2,0,ABS(Table2[[#This Row],[Iin]]-Table2[[#This Row],[Ripple Current pk-pk]]/2)*Vsd_Q4*Deadtime*Fsw))</f>
        <v>0</v>
      </c>
      <c r="AT12" s="354">
        <f>(Table2[[#This Row],[Dead Time Loss BoCtlr]]+Table2[[#This Row],[Transition Loss BoCtlr]]+Table2[[#This Row],[RDS(on) Loss BoCtlr]]*(1+RdsonTopTc*Ta-RdsonTopTc*25))/(1-Table2[[#This Row],[RDS(on) Loss BoCtlr]]*RdsonTopTc*ThetaJA_Q4)</f>
        <v>4.8767428922871009E-3</v>
      </c>
      <c r="AU12" s="354">
        <f>Table2[[#This Row],[Irms Lf]]</f>
        <v>1.0769270364734898</v>
      </c>
      <c r="AV12" s="354">
        <f>Rdson3*Table2[[#This Row],[Irms BoSync]]^2</f>
        <v>4.8710417359278078E-3</v>
      </c>
      <c r="AW1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2" s="354">
        <f>(Table2[[#This Row],[Deadtime Loss BoSync]]+Table2[[#This Row],[RDS(on) Loss BoSync]]*(1+RdsonBotTc*Ta-RdsonBotTc*25))/(1-Table2[[#This Row],[RDS(on) Loss BoSync]]*RdsonBotTc*ThetaJA_Q3)</f>
        <v>4.8767428922871009E-3</v>
      </c>
      <c r="AY12" s="354">
        <f>CHOOSE(Table2[[#This Row],[Mode Digit]], Rdson3*Table2[[#This Row],[Irms Lf]]^2, Rdson1*Table2[[#This Row],[Irms Lf]]^2, 0)</f>
        <v>4.8710417359278078E-3</v>
      </c>
      <c r="AZ12" s="354">
        <f>CHOOSE(Table2[[#This Row],[Mode Digit]], 2*Deadtime*Fsw*IF(VfdSky_Q2&gt;0,VfdSky_Q2,0)*Table2[[#This Row],[Iout]], 2*Deadtime*Fsw*IF(VfdSky_Q3&gt;0,VfdSky_Q3,0)*Table2[[#This Row],[Iin]], 2*Deadtime*Fsw*IF(VfdSky_Q2&gt;0,VfdSky_Q2,0)*Table2[[#This Row],[Iout]]+2*Deadtime*Fsw*IF(VfdSky_Q3&gt;0,VfdSky_Q3,0)*Table2[[#This Row],[Iin]])</f>
        <v>0</v>
      </c>
      <c r="BA1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8.4954556799999997E-3</v>
      </c>
      <c r="BB1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8.4954556799999997E-3</v>
      </c>
      <c r="BC12" s="354">
        <f>CHOOSE(Table2[[#This Row],[Mode Digit]], Rs*Table2[[#This Row],[Irms BuSync]]^2, Rs*Table2[[#This Row],[Irms BoCtlr]]^2, Rs*(Table2[[#This Row],[Irms BuSync]]^2+Table2[[#This Row],[Irms BoCtlr]]^2))</f>
        <v>2.8994296047189327E-3</v>
      </c>
      <c r="BD12" s="354">
        <f t="shared" si="1"/>
        <v>1.44</v>
      </c>
      <c r="BE12" s="354">
        <f>IF(Vout&gt;8, Iq*Vout, Iq*Table2[[#This Row],[Vin]])</f>
        <v>4.3799999999999999E-2</v>
      </c>
      <c r="BF12" s="354">
        <f>CHOOSE(Table2[[#This Row],[Mode Digit]], (Qg_Q1+Qg_Q2)*Fsw, (Qg_Q3+Qg_Q4)*Fsw, (Qg_Q1+Qg_Q2+Qg_Q3+Qg_Q4)*Fsw)*IF(Vout&gt;8, Vout, Table2[[#This Row],[Vin]])</f>
        <v>0.47303999999999996</v>
      </c>
      <c r="BG12" s="354">
        <f t="shared" si="4"/>
        <v>0.57269042016806726</v>
      </c>
      <c r="BH12" s="354">
        <f>Table2[[#This Row],[IQ Loss]]+Table2[[#This Row],[Switching Current Loss]]</f>
        <v>0.51683999999999997</v>
      </c>
      <c r="BI1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2.7600625443199349</v>
      </c>
      <c r="BJ12">
        <f>Vout*Table2[[#This Row],[Iout]]</f>
        <v>5.2559999999999993</v>
      </c>
      <c r="BK12" s="550">
        <f>Table2[[#This Row],[Pout]]/(Table2[[#This Row],[Pout]]+Table2[[#This Row],[Total Loss]])</f>
        <v>0.65568350682646859</v>
      </c>
      <c r="BL12" s="559">
        <f>IF(Table2[[#This Row],[Vin]]&gt;Vout,ThetaJA_Q1*(Table2[[#This Row],[Total Control Bu MOSFET Loss]]+Table2[[#This Row],[Reverse Recovery Loss MOSFET D BUCK]]),ThetaJA_Q4*(Table2[[#This Row],[Total Control Bo MOSFET Loss]]+Table2[[#This Row],[Reverse Recovery Loss MOSFET D BOOST]]))</f>
        <v>7.883470574915572</v>
      </c>
      <c r="BM12" s="559">
        <f>IF(Table2[[#This Row],[Vin]]&gt;Vout, Table2[[#This Row],[Total Sync Bu MOSFET Loss]]*ThetaJA_Q2, ThetaJA_Q3*Table2[[#This Row],[Total Sync Bo MOSFET Loss]])</f>
        <v>3.3533445456202706</v>
      </c>
      <c r="BN12" s="9"/>
      <c r="BO12" s="4">
        <f>Table2[[#This Row],[EFF, h]]*100</f>
        <v>65.568350682646866</v>
      </c>
      <c r="BP12" s="354">
        <f>Table2[[#This Row],[Total Inductor Loss]]</f>
        <v>0.58909591899561842</v>
      </c>
      <c r="BQ12" s="354">
        <f>Table2[[#This Row],[Total Control Bu MOSFET Loss]]+Table2[[#This Row],[Total Sync Bu MOSFET Loss]]+Table2[[#This Row],[Total Control Bo MOSFET Loss]]+Table2[[#This Row],[Total Sync Bo MOSFET Loss]]+Table2[[#This Row],[Reverse Recovery Loss MOSFET D BUCK]]+Table2[[#This Row],[Reverse Recovery Loss MOSFET D BOOST]]</f>
        <v>0.2055291934735049</v>
      </c>
      <c r="BR12" s="354">
        <f xml:space="preserve"> Table2[[#This Row],[Total Control Bu MOSFET Loss]]+Table2[[#This Row],[Reverse Recovery Loss MOSFET D BUCK]]*0.66</f>
        <v>0.12850272131739288</v>
      </c>
      <c r="BS12" s="354">
        <f>Table2[[#This Row],[Total Sync Bu MOSFET Loss]]+Table2[[#This Row],[Reverse Recovery Loss MOSFET D BUCK]]*0.33</f>
        <v>5.8692576134737842E-2</v>
      </c>
      <c r="BT12" s="354">
        <f xml:space="preserve"> Table2[[#This Row],[Total Control Bo MOSFET Loss]]+Table2[[#This Row],[Reverse Recovery Loss MOSFET D BOOST]]*0.66</f>
        <v>1.04837436410871E-2</v>
      </c>
      <c r="BU12" s="354">
        <f xml:space="preserve"> Table2[[#This Row],[Total Sync Bo MOSFET Loss]]+Table2[[#This Row],[Reverse Recovery Loss MOSFET D BOOST]]*0.33</f>
        <v>7.680243266687101E-3</v>
      </c>
      <c r="BV12" s="354">
        <f>Table2[[#This Row],[Isense Shunt Loss]]</f>
        <v>2.8994296047189327E-3</v>
      </c>
      <c r="BZ12" t="s">
        <v>141</v>
      </c>
      <c r="CA12" s="18">
        <v>60</v>
      </c>
      <c r="CB12" s="18">
        <v>60</v>
      </c>
      <c r="CC12" s="18">
        <v>60</v>
      </c>
      <c r="CD12" s="19">
        <f>250000*(18-Vdd)*CC12/1000000000+((250000*CC9/1000000000*Vdd)*2.5/(2*4))</f>
        <v>0.198515625</v>
      </c>
      <c r="CE12">
        <f t="shared" si="2"/>
        <v>15.88125</v>
      </c>
      <c r="CF12">
        <f t="shared" si="2"/>
        <v>19.8515625</v>
      </c>
      <c r="CG12">
        <f t="shared" si="2"/>
        <v>23.821874999999999</v>
      </c>
      <c r="CH12">
        <f t="shared" si="2"/>
        <v>27.792187500000001</v>
      </c>
      <c r="CI12">
        <f t="shared" si="2"/>
        <v>31.762499999999999</v>
      </c>
      <c r="CJ12">
        <f t="shared" si="2"/>
        <v>35.732812500000001</v>
      </c>
      <c r="CK12">
        <f t="shared" si="2"/>
        <v>3.9703124999999999</v>
      </c>
      <c r="CL12">
        <f t="shared" si="2"/>
        <v>5.9554687499999996</v>
      </c>
      <c r="CM12">
        <f t="shared" si="2"/>
        <v>7.9406249999999998</v>
      </c>
      <c r="CN12">
        <f t="shared" si="2"/>
        <v>9.92578125</v>
      </c>
    </row>
    <row r="13" spans="1:92" x14ac:dyDescent="0.2">
      <c r="A13" s="22" t="s">
        <v>7</v>
      </c>
      <c r="B13" s="5">
        <f>Fsw/1000</f>
        <v>600</v>
      </c>
      <c r="C13" s="440" t="s">
        <v>3</v>
      </c>
      <c r="D13" s="21" t="s">
        <v>96</v>
      </c>
      <c r="G13">
        <v>4</v>
      </c>
      <c r="H13" s="555">
        <f t="shared" si="0"/>
        <v>23.6</v>
      </c>
      <c r="I13" s="4" t="str">
        <f>IF(Mode = 2,IF(Table2[[#This Row],[Vin]]&gt;Vout, "BUCK","BOOST"),IF(Table2[[#This Row],[Vin]]&gt;VIN_BB_to_buck, "BUCK", IF(Table2[[#This Row],[Vin]]&lt;=VIN_boost_to_BB,"BOOST","BUCK-BST")))</f>
        <v>BUCK</v>
      </c>
      <c r="J13">
        <f>IF(Table2[[#This Row],[Mode]]="BOOST",2, IF(Table2[[#This Row],[Mode]]="BUCK", 1,3))</f>
        <v>1</v>
      </c>
      <c r="K13" s="354">
        <f t="shared" si="3"/>
        <v>0.48</v>
      </c>
      <c r="L13" s="4">
        <f>Vout*Table2[[#This Row],[Iout]]/(Table2[[#This Row],[Vin]]*Efficiency)</f>
        <v>0.31257805530776089</v>
      </c>
      <c r="M13" s="711">
        <f>MIN(1/Fsw,CHOOSE(Table2[[#This Row],[Mode Digit]],(Vout+(Rdson2+Rs+Rdcr)*Table2[[#This Row],[Iout]])/(Table2[[#This Row],[Vin]]+(Rs+Rdson2-Rdson1)*Table2[[#This Row],[Iout]])/Fsw,(Vout+(Rdson3+Rdcr)*Table2[[#This Row],[Iin]]-Table2[[#This Row],[Vin]])/(Vout+(Rdson3-Rdson4-Rs)*Table2[[#This Row],[Iin]])/Fsw,t1_Ph_II))</f>
        <v>1.0314447287991007E-6</v>
      </c>
      <c r="N13" s="602">
        <f>CHOOSE(Table2[[#This Row],[Mode Digit]],1/Fsw-Table2[[#This Row],[t1_Ph_II]],1/Fsw-Table2[[#This Row],[t1_Ph_II]],(Vout/Fsw-Table2[[#This Row],[Vin]]*t1_Ph_II)/(Table2[[#This Row],[Vin]]+Vout))</f>
        <v>6.3522193786756601E-7</v>
      </c>
      <c r="O13" s="602">
        <f>1/Fsw-(Table2[[#This Row],[t1_Ph_II]]+Table2[[#This Row],[t2_Ph_I]])</f>
        <v>0</v>
      </c>
      <c r="P1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-1.2781444240893765</v>
      </c>
      <c r="Q13" s="4">
        <f>CHOOSE(Table2[[#This Row],[Mode Digit]],Table2[[#This Row],[I_0]]+1/Lf*(Table2[[#This Row],[Vin]]-Vout)*Table2[[#This Row],[t1_Ph_II]],Table2[[#This Row],[I_0]]+1/Lf*Table2[[#This Row],[Vin]]*Table2[[#This Row],[t1_Ph_II]],Table2[[#This Row],[I_0]]+(Table2[[#This Row],[Vin]]-Vout)/L*Table2[[#This Row],[t1_Ph_II]])</f>
        <v>2.2381444240893762</v>
      </c>
      <c r="R13" s="4">
        <f>CHOOSE(Table2[[#This Row],[Mode Digit]],0,0,Table2[[#This Row],[I_1]]+Table2[[#This Row],[Vin]]/L*Table2[[#This Row],[t2_Ph_I]])</f>
        <v>0</v>
      </c>
      <c r="S13" s="409">
        <f>Fsw*(Table2[[#This Row],[I_0]]*Table2[[#This Row],[t1_Ph_II]]+Table2[[#This Row],[I_1]]*Table2[[#This Row],[t2_Ph_I]]+Table2[[#This Row],[I_2]]*Table2[[#This Row],[t3_Ph_III]])</f>
        <v>6.2029865655954954E-2</v>
      </c>
      <c r="T13" s="354">
        <f>MIN(1,CHOOSE(Table2[[#This Row],[Mode Digit]],(Vout+(Rdson2+Rs+Rdcr)*Table2[[#This Row],[Iout]])/(Table2[[#This Row],[Vin]]+(Rs+Rdson2-Rdson1)*Table2[[#This Row],[Iout]]),1,Fsw*Table2[[#This Row],[t2_Ph_I]]+Table2[[#This Row],[t1_Ph_II]]))</f>
        <v>0.61886683727946035</v>
      </c>
      <c r="U13" s="354">
        <f>MIN(1,CHOOSE(Table2[[#This Row],[Mode Digit]],0,(Vout+(Rdson3+Rdcr)*Table2[[#This Row],[Iin]]-Table2[[#This Row],[Vin]])/(Vout+(Rdson3-Rdson4-Rs)*Table2[[#This Row],[Iin]]),Fsw*Table2[[#This Row],[t1_Ph_II]]+Table2[[#This Row],[t3_Ph_III]]))</f>
        <v>0</v>
      </c>
      <c r="V13" s="4">
        <f>MAX(Table2[[#This Row],[I_0]:[I_2]])-MIN(Table2[[#This Row],[I_0]:[I_1]])</f>
        <v>3.5162888481787524</v>
      </c>
      <c r="W1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1.122834481117106</v>
      </c>
      <c r="X13" s="354">
        <f>(Table2[[#This Row],[Irms Lf]]^2*Rdcr*(1+Ltc*Ta-Ltc*25))/(1-Table2[[#This Row],[Irms Lf]]^2*Rdcr*Ltc*ThetaCa)</f>
        <v>7.3166723677390039E-3</v>
      </c>
      <c r="Y13" s="354">
        <f>ABS(7.759*10^-3*Fsw^0.9458*(0.00787*Table2[[#This Row],[Ripple Current pk-pk]])^2.304)</f>
        <v>0.58248638095341243</v>
      </c>
      <c r="Z13" s="354">
        <f>Table2[[#This Row],[DCR    Loss]]+Table2[[#This Row],[Core Loss]]</f>
        <v>0.58980305332115146</v>
      </c>
      <c r="AA13" s="4">
        <f>IF(Table2[[#This Row],[Vin]]&gt;Vout, Table2[[#This Row],[Ripple Current pk-pk]]/SQRT(12), SQRT(Table2[[#This Row],[Duty Cycle BOOST Leg]]/(1-Table2[[#This Row],[Duty Cycle BOOST Leg]]))*SQRT(Table2[[#This Row],[Iout]]^2+(Table2[[#This Row],[Ripple Current pk-pk]]^2)/12))</f>
        <v>1.0150651565222411</v>
      </c>
      <c r="AB13" s="354">
        <f>RCoutEsr*Table2[[#This Row],[Irms Cout]]^2</f>
        <v>5.1517863599276079E-3</v>
      </c>
      <c r="AC13" s="354">
        <f>Table2[[#This Row],[Cout ESR Loss]]</f>
        <v>5.1517863599276079E-3</v>
      </c>
      <c r="AD13" s="4">
        <f>IF(Table2[[#This Row],[Vin]]&gt;Vout, SQRT(Table2[[#This Row],[Duty Cycle BUCK Leg]]*(1-Table2[[#This Row],[Duty Cycle BUCK Leg]]))*SQRT(Table2[[#This Row],[Iout]]^2+(Table2[[#This Row],[Ripple Current pk-pk]]^2)/12), Table2[[#This Row],[Ripple Current pk-pk]]/SQRT(12))</f>
        <v>0.54532161954969705</v>
      </c>
      <c r="AE13" s="354">
        <f>RCinEsr*Table2[[#This Row],[Irms Cin]]^2</f>
        <v>5.9475133749660903E-4</v>
      </c>
      <c r="AF13" s="549">
        <f>Table2[[#This Row],[Cin ESR Loss]]</f>
        <v>5.9475133749660903E-4</v>
      </c>
      <c r="AG13" s="354">
        <f>Table2[[#This Row],[Irms Lf]]</f>
        <v>1.122834481117106</v>
      </c>
      <c r="AH13" s="354">
        <f>Rdson1*Table2[[#This Row],[Irms BuCtrl]]^2</f>
        <v>5.2951805423391875E-3</v>
      </c>
      <c r="AI13" s="354">
        <f>CHOOSE(Table2[[#This Row],[Mode Digit]], (Table2[[#This Row],[Vin]]*Table2[[#This Row],[Iout]]/2)*(Fsw)*(Tr_buck+Tf_buck), 0, (Table2[[#This Row],[Vin]]*Table2[[#This Row],[Avg IL]]/2)*(Fsw/1)*(Tr_buck+Tf_buck))</f>
        <v>0.11233260472822794</v>
      </c>
      <c r="AJ13">
        <f>IF(Table2[[#This Row],[Vin]]&gt;Vout, IF(Table2[[#This Row],[Iout]]&gt;Table2[[#This Row],[Ripple Current pk-pk]]/2,0,ABS(Table2[[#This Row],[Iout]]-Table2[[#This Row],[Ripple Current pk-pk]]/2)*Vsd_Q1*Deadtime*Fsw),0)</f>
        <v>3.0748503002378708E-2</v>
      </c>
      <c r="AK13" s="354">
        <f>(Table2[[#This Row],[Dead Time Loss BuCtrl]]+Table2[[#This Row],[Transition Loss BuCtrl]]+Table2[[#This Row],[RDS(on) Loss BuCtrl]]*(1+RdsonTopTc*Ta-RdsonTopTc*25))/(1-Table2[[#This Row],[RDS(on) Loss BuCtrl]]*RdsonTopTc*ThetaJA_Q1)</f>
        <v>0.14856509122822803</v>
      </c>
      <c r="AL13" s="354">
        <f>Table2[[#This Row],[Irms Lf]]</f>
        <v>1.122834481117106</v>
      </c>
      <c r="AM13" s="354">
        <f>Rdson2*Table2[[#This Row],[Irms BuSync]]^2</f>
        <v>5.2951805423391875E-3</v>
      </c>
      <c r="AN1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5.3843360145235851E-2</v>
      </c>
      <c r="AO13" s="354">
        <f>(Table2[[#This Row],[Deadtime Loss BuSync]]+Table2[[#This Row],[RDS(on) Loss BuSync]]*(1+RdsonBotTc*Ta-RdsonBotTc*25))/(1-Table2[[#This Row],[RDS(on) Loss BuSync]]*RdsonBotTc*ThetaJA_Q2)</f>
        <v>5.9213792140370196E-2</v>
      </c>
      <c r="AP13" s="354">
        <f>Table2[[#This Row],[Irms Lf]]</f>
        <v>1.122834481117106</v>
      </c>
      <c r="AQ13" s="354">
        <f>Rdson4*Table2[[#This Row],[Irms BoCtlr]]^2</f>
        <v>5.2951805423391875E-3</v>
      </c>
      <c r="AR13" s="354">
        <f>CHOOSE(Table2[[#This Row],[Mode Digit]], 0, (Vout*Table2[[#This Row],[Iin]]/2)*(Fsw)*(Tr_boost+Tf_boost), (Vout*Iout/2)*(Fsw/1)*(Tr_boost+Tf_boost))</f>
        <v>0</v>
      </c>
      <c r="AS13" s="354">
        <f>IF(Table2[[#This Row],[Vin]]&gt;Vout, 0, IF(Table2[[#This Row],[Iin]]&gt;Table2[[#This Row],[Ripple Current pk-pk]]/2,0,ABS(Table2[[#This Row],[Iin]]-Table2[[#This Row],[Ripple Current pk-pk]]/2)*Vsd_Q4*Deadtime*Fsw))</f>
        <v>0</v>
      </c>
      <c r="AT13" s="354">
        <f>(Table2[[#This Row],[Dead Time Loss BoCtlr]]+Table2[[#This Row],[Transition Loss BoCtlr]]+Table2[[#This Row],[RDS(on) Loss BoCtlr]]*(1+RdsonTopTc*Ta-RdsonTopTc*25))/(1-Table2[[#This Row],[RDS(on) Loss BoCtlr]]*RdsonTopTc*ThetaJA_Q4)</f>
        <v>5.3019184500384779E-3</v>
      </c>
      <c r="AU13" s="354">
        <f>Table2[[#This Row],[Irms Lf]]</f>
        <v>1.122834481117106</v>
      </c>
      <c r="AV13" s="354">
        <f>Rdson3*Table2[[#This Row],[Irms BoSync]]^2</f>
        <v>5.2951805423391875E-3</v>
      </c>
      <c r="AW1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3" s="354">
        <f>(Table2[[#This Row],[Deadtime Loss BoSync]]+Table2[[#This Row],[RDS(on) Loss BoSync]]*(1+RdsonBotTc*Ta-RdsonBotTc*25))/(1-Table2[[#This Row],[RDS(on) Loss BoSync]]*RdsonBotTc*ThetaJA_Q3)</f>
        <v>5.3019184500384779E-3</v>
      </c>
      <c r="AY13" s="354">
        <f>CHOOSE(Table2[[#This Row],[Mode Digit]], Rdson3*Table2[[#This Row],[Irms Lf]]^2, Rdson1*Table2[[#This Row],[Irms Lf]]^2, 0)</f>
        <v>5.2951805423391875E-3</v>
      </c>
      <c r="AZ13" s="354">
        <f>CHOOSE(Table2[[#This Row],[Mode Digit]], 2*Deadtime*Fsw*IF(VfdSky_Q2&gt;0,VfdSky_Q2,0)*Table2[[#This Row],[Iout]], 2*Deadtime*Fsw*IF(VfdSky_Q3&gt;0,VfdSky_Q3,0)*Table2[[#This Row],[Iin]], 2*Deadtime*Fsw*IF(VfdSky_Q2&gt;0,VfdSky_Q2,0)*Table2[[#This Row],[Iout]]+2*Deadtime*Fsw*IF(VfdSky_Q3&gt;0,VfdSky_Q3,0)*Table2[[#This Row],[Iin]])</f>
        <v>0</v>
      </c>
      <c r="BA1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1.1327032320000001E-2</v>
      </c>
      <c r="BB1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1.1327032320000001E-2</v>
      </c>
      <c r="BC13" s="354">
        <f>CHOOSE(Table2[[#This Row],[Mode Digit]], Rs*Table2[[#This Row],[Irms BuSync]]^2, Rs*Table2[[#This Row],[Irms BoCtlr]]^2, Rs*(Table2[[#This Row],[Irms BuSync]]^2+Table2[[#This Row],[Irms BoCtlr]]^2))</f>
        <v>3.1518931799638019E-3</v>
      </c>
      <c r="BD13" s="354">
        <f t="shared" si="1"/>
        <v>1.44</v>
      </c>
      <c r="BE13" s="354">
        <f>IF(Vout&gt;8, Iq*Vout, Iq*Table2[[#This Row],[Vin]])</f>
        <v>4.3799999999999999E-2</v>
      </c>
      <c r="BF13" s="354">
        <f>CHOOSE(Table2[[#This Row],[Mode Digit]], (Qg_Q1+Qg_Q2)*Fsw, (Qg_Q3+Qg_Q4)*Fsw, (Qg_Q1+Qg_Q2+Qg_Q3+Qg_Q4)*Fsw)*IF(Vout&gt;8, Vout, Table2[[#This Row],[Vin]])</f>
        <v>0.47303999999999996</v>
      </c>
      <c r="BG13" s="354">
        <f t="shared" si="4"/>
        <v>0.57269042016806726</v>
      </c>
      <c r="BH13" s="354">
        <f>Table2[[#This Row],[IQ Loss]]+Table2[[#This Row],[Switching Current Loss]]</f>
        <v>0.51683999999999997</v>
      </c>
      <c r="BI1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2.796578269107215</v>
      </c>
      <c r="BJ13">
        <f>Vout*Table2[[#This Row],[Iout]]</f>
        <v>7.008</v>
      </c>
      <c r="BK13" s="550">
        <f>Table2[[#This Row],[Pout]]/(Table2[[#This Row],[Pout]]+Table2[[#This Row],[Total Loss]])</f>
        <v>0.71476812236597453</v>
      </c>
      <c r="BL13" s="559">
        <f>IF(Table2[[#This Row],[Vin]]&gt;Vout,ThetaJA_Q1*(Table2[[#This Row],[Total Control Bu MOSFET Loss]]+Table2[[#This Row],[Reverse Recovery Loss MOSFET D BUCK]]),ThetaJA_Q4*(Table2[[#This Row],[Total Control Bo MOSFET Loss]]+Table2[[#This Row],[Reverse Recovery Loss MOSFET D BOOST]]))</f>
        <v>9.5935274128936818</v>
      </c>
      <c r="BM13" s="559">
        <f>IF(Table2[[#This Row],[Vin]]&gt;Vout, Table2[[#This Row],[Total Sync Bu MOSFET Loss]]*ThetaJA_Q2, ThetaJA_Q3*Table2[[#This Row],[Total Sync Bo MOSFET Loss]])</f>
        <v>3.5528275284222119</v>
      </c>
      <c r="BN13" s="9"/>
      <c r="BO13" s="4">
        <f>Table2[[#This Row],[EFF, h]]*100</f>
        <v>71.476812236597453</v>
      </c>
      <c r="BP13" s="354">
        <f>Table2[[#This Row],[Total Inductor Loss]]</f>
        <v>0.58980305332115146</v>
      </c>
      <c r="BQ13" s="354">
        <f>Table2[[#This Row],[Total Control Bu MOSFET Loss]]+Table2[[#This Row],[Total Sync Bu MOSFET Loss]]+Table2[[#This Row],[Total Control Bo MOSFET Loss]]+Table2[[#This Row],[Total Sync Bo MOSFET Loss]]+Table2[[#This Row],[Reverse Recovery Loss MOSFET D BUCK]]+Table2[[#This Row],[Reverse Recovery Loss MOSFET D BOOST]]</f>
        <v>0.24103678490867519</v>
      </c>
      <c r="BR13" s="354">
        <f xml:space="preserve"> Table2[[#This Row],[Total Control Bu MOSFET Loss]]+Table2[[#This Row],[Reverse Recovery Loss MOSFET D BUCK]]*0.66</f>
        <v>0.15604093255942802</v>
      </c>
      <c r="BS13" s="354">
        <f>Table2[[#This Row],[Total Sync Bu MOSFET Loss]]+Table2[[#This Row],[Reverse Recovery Loss MOSFET D BUCK]]*0.33</f>
        <v>6.29517128059702E-2</v>
      </c>
      <c r="BT13" s="354">
        <f xml:space="preserve"> Table2[[#This Row],[Total Control Bo MOSFET Loss]]+Table2[[#This Row],[Reverse Recovery Loss MOSFET D BOOST]]*0.66</f>
        <v>1.277775978123848E-2</v>
      </c>
      <c r="BU13" s="354">
        <f xml:space="preserve"> Table2[[#This Row],[Total Sync Bo MOSFET Loss]]+Table2[[#This Row],[Reverse Recovery Loss MOSFET D BOOST]]*0.33</f>
        <v>9.0398391156384789E-3</v>
      </c>
      <c r="BV13" s="354">
        <f>Table2[[#This Row],[Isense Shunt Loss]]</f>
        <v>3.1518931799638019E-3</v>
      </c>
      <c r="BZ13" t="s">
        <v>137</v>
      </c>
      <c r="CA13" s="18">
        <v>30</v>
      </c>
      <c r="CB13" s="18">
        <v>30</v>
      </c>
      <c r="CC13" s="18">
        <v>30</v>
      </c>
      <c r="CD13" s="19">
        <f>500000*(5-Vdd)*CC13/1000000000+((500000*CC9/1000000000*Vdd)*2.5/(2*4))</f>
        <v>4.4531250000000001E-2</v>
      </c>
      <c r="CE13">
        <f t="shared" si="2"/>
        <v>3.5625</v>
      </c>
      <c r="CF13">
        <f t="shared" si="2"/>
        <v>4.453125</v>
      </c>
      <c r="CG13">
        <f t="shared" si="2"/>
        <v>5.34375</v>
      </c>
      <c r="CH13">
        <f t="shared" si="2"/>
        <v>6.234375</v>
      </c>
      <c r="CI13">
        <f t="shared" si="2"/>
        <v>7.125</v>
      </c>
      <c r="CJ13">
        <f t="shared" si="2"/>
        <v>8.015625</v>
      </c>
      <c r="CK13">
        <f t="shared" si="2"/>
        <v>0.890625</v>
      </c>
      <c r="CL13">
        <f t="shared" si="2"/>
        <v>1.3359375</v>
      </c>
      <c r="CM13">
        <f t="shared" si="2"/>
        <v>1.78125</v>
      </c>
      <c r="CN13">
        <f t="shared" si="2"/>
        <v>2.2265625</v>
      </c>
    </row>
    <row r="14" spans="1:92" x14ac:dyDescent="0.2">
      <c r="A14" s="22" t="s">
        <v>6</v>
      </c>
      <c r="B14" s="5">
        <f>Iout</f>
        <v>12</v>
      </c>
      <c r="C14" s="440" t="s">
        <v>2</v>
      </c>
      <c r="D14" s="21" t="s">
        <v>97</v>
      </c>
      <c r="G14">
        <v>5</v>
      </c>
      <c r="H14" s="555">
        <f t="shared" si="0"/>
        <v>23.6</v>
      </c>
      <c r="I14" s="4" t="str">
        <f>IF(Mode = 2,IF(Table2[[#This Row],[Vin]]&gt;Vout, "BUCK","BOOST"),IF(Table2[[#This Row],[Vin]]&gt;VIN_BB_to_buck, "BUCK", IF(Table2[[#This Row],[Vin]]&lt;=VIN_boost_to_BB,"BOOST","BUCK-BST")))</f>
        <v>BUCK</v>
      </c>
      <c r="J14">
        <f>IF(Table2[[#This Row],[Mode]]="BOOST",2, IF(Table2[[#This Row],[Mode]]="BUCK", 1,3))</f>
        <v>1</v>
      </c>
      <c r="K14" s="354">
        <f t="shared" si="3"/>
        <v>0.6</v>
      </c>
      <c r="L14" s="4">
        <f>Vout*Table2[[#This Row],[Iout]]/(Table2[[#This Row],[Vin]]*Efficiency)</f>
        <v>0.3907225691347011</v>
      </c>
      <c r="M14" s="711">
        <f>MIN(1/Fsw,CHOOSE(Table2[[#This Row],[Mode Digit]],(Vout+(Rdson2+Rs+Rdcr)*Table2[[#This Row],[Iout]])/(Table2[[#This Row],[Vin]]+(Rs+Rdson2-Rdson1)*Table2[[#This Row],[Iout]])/Fsw,(Vout+(Rdson3+Rdcr)*Table2[[#This Row],[Iin]]-Table2[[#This Row],[Vin]])/(Vout+(Rdson3-Rdson4-Rs)*Table2[[#This Row],[Iin]])/Fsw,t1_Ph_II))</f>
        <v>1.0315375435177141E-6</v>
      </c>
      <c r="N14" s="602">
        <f>CHOOSE(Table2[[#This Row],[Mode Digit]],1/Fsw-Table2[[#This Row],[t1_Ph_II]],1/Fsw-Table2[[#This Row],[t1_Ph_II]],(Vout/Fsw-Table2[[#This Row],[Vin]]*t1_Ph_II)/(Table2[[#This Row],[Vin]]+Vout))</f>
        <v>6.3512912314895259E-7</v>
      </c>
      <c r="O14" s="602">
        <f>1/Fsw-(Table2[[#This Row],[t1_Ph_II]]+Table2[[#This Row],[t2_Ph_I]])</f>
        <v>0</v>
      </c>
      <c r="P1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-1.1583026309961038</v>
      </c>
      <c r="Q14" s="4">
        <f>CHOOSE(Table2[[#This Row],[Mode Digit]],Table2[[#This Row],[I_0]]+1/Lf*(Table2[[#This Row],[Vin]]-Vout)*Table2[[#This Row],[t1_Ph_II]],Table2[[#This Row],[I_0]]+1/Lf*Table2[[#This Row],[Vin]]*Table2[[#This Row],[t1_Ph_II]],Table2[[#This Row],[I_0]]+(Table2[[#This Row],[Vin]]-Vout)/L*Table2[[#This Row],[t1_Ph_II]])</f>
        <v>2.3583026309961039</v>
      </c>
      <c r="R14" s="4">
        <f>CHOOSE(Table2[[#This Row],[Mode Digit]],0,0,Table2[[#This Row],[I_1]]+Table2[[#This Row],[Vin]]/L*Table2[[#This Row],[t2_Ph_I]])</f>
        <v>0</v>
      </c>
      <c r="S14" s="409">
        <f>Fsw*(Table2[[#This Row],[I_0]]*Table2[[#This Row],[t1_Ph_II]]+Table2[[#This Row],[I_1]]*Table2[[#This Row],[t2_Ph_I]]+Table2[[#This Row],[I_2]]*Table2[[#This Row],[t3_Ph_III]])</f>
        <v>0.18179641890995837</v>
      </c>
      <c r="T14" s="354">
        <f>MIN(1,CHOOSE(Table2[[#This Row],[Mode Digit]],(Vout+(Rdson2+Rs+Rdcr)*Table2[[#This Row],[Iout]])/(Table2[[#This Row],[Vin]]+(Rs+Rdson2-Rdson1)*Table2[[#This Row],[Iout]]),1,Fsw*Table2[[#This Row],[t2_Ph_I]]+Table2[[#This Row],[t1_Ph_II]]))</f>
        <v>0.61892252611062848</v>
      </c>
      <c r="U14" s="354">
        <f>MIN(1,CHOOSE(Table2[[#This Row],[Mode Digit]],0,(Vout+(Rdson3+Rdcr)*Table2[[#This Row],[Iin]]-Table2[[#This Row],[Vin]])/(Vout+(Rdson3-Rdson4-Rs)*Table2[[#This Row],[Iin]]),Fsw*Table2[[#This Row],[t1_Ph_II]]+Table2[[#This Row],[t3_Ph_III]]))</f>
        <v>0</v>
      </c>
      <c r="V14" s="4">
        <f>MAX(Table2[[#This Row],[I_0]:[I_2]])-MIN(Table2[[#This Row],[I_0]:[I_1]])</f>
        <v>3.5166052619922077</v>
      </c>
      <c r="W1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1.1792127518204427</v>
      </c>
      <c r="X14" s="354">
        <f>(Table2[[#This Row],[Irms Lf]]^2*Rdcr*(1+Ltc*Ta-Ltc*25))/(1-Table2[[#This Row],[Irms Lf]]^2*Rdcr*Ltc*ThetaCa)</f>
        <v>8.0703548298467955E-3</v>
      </c>
      <c r="Y14" s="354">
        <f>ABS(7.759*10^-3*Fsw^0.9458*(0.00787*Table2[[#This Row],[Ripple Current pk-pk]])^2.304)</f>
        <v>0.58260715249827966</v>
      </c>
      <c r="Z14" s="354">
        <f>Table2[[#This Row],[DCR    Loss]]+Table2[[#This Row],[Core Loss]]</f>
        <v>0.59067750732812641</v>
      </c>
      <c r="AA14" s="4">
        <f>IF(Table2[[#This Row],[Vin]]&gt;Vout, Table2[[#This Row],[Ripple Current pk-pk]]/SQRT(12), SQRT(Table2[[#This Row],[Duty Cycle BOOST Leg]]/(1-Table2[[#This Row],[Duty Cycle BOOST Leg]]))*SQRT(Table2[[#This Row],[Iout]]^2+(Table2[[#This Row],[Ripple Current pk-pk]]^2)/12))</f>
        <v>1.0151564973224279</v>
      </c>
      <c r="AB14" s="354">
        <f>RCoutEsr*Table2[[#This Row],[Irms Cout]]^2</f>
        <v>5.1527135702797025E-3</v>
      </c>
      <c r="AC14" s="354">
        <f>Table2[[#This Row],[Cout ESR Loss]]</f>
        <v>5.1527135702797025E-3</v>
      </c>
      <c r="AD14" s="4">
        <f>IF(Table2[[#This Row],[Vin]]&gt;Vout, SQRT(Table2[[#This Row],[Duty Cycle BUCK Leg]]*(1-Table2[[#This Row],[Duty Cycle BUCK Leg]]))*SQRT(Table2[[#This Row],[Iout]]^2+(Table2[[#This Row],[Ripple Current pk-pk]]^2)/12), Table2[[#This Row],[Ripple Current pk-pk]]/SQRT(12))</f>
        <v>0.57268650648761454</v>
      </c>
      <c r="AE14" s="354">
        <f>RCinEsr*Table2[[#This Row],[Irms Cin]]^2</f>
        <v>6.5593966942597713E-4</v>
      </c>
      <c r="AF14" s="549">
        <f>Table2[[#This Row],[Cin ESR Loss]]</f>
        <v>6.5593966942597713E-4</v>
      </c>
      <c r="AG14" s="354">
        <f>Table2[[#This Row],[Irms Lf]]</f>
        <v>1.1792127518204427</v>
      </c>
      <c r="AH14" s="354">
        <f>Rdson1*Table2[[#This Row],[Irms BuCtrl]]^2</f>
        <v>5.840279399034953E-3</v>
      </c>
      <c r="AI14" s="354">
        <f>CHOOSE(Table2[[#This Row],[Mode Digit]], (Table2[[#This Row],[Vin]]*Table2[[#This Row],[Iout]]/2)*(Fsw)*(Tr_buck+Tf_buck), 0, (Table2[[#This Row],[Vin]]*Table2[[#This Row],[Avg IL]]/2)*(Fsw/1)*(Tr_buck+Tf_buck))</f>
        <v>0.14041575591028493</v>
      </c>
      <c r="AJ14">
        <f>IF(Table2[[#This Row],[Vin]]&gt;Vout, IF(Table2[[#This Row],[Iout]]&gt;Table2[[#This Row],[Ripple Current pk-pk]]/2,0,ABS(Table2[[#This Row],[Iout]]-Table2[[#This Row],[Ripple Current pk-pk]]/2)*Vsd_Q1*Deadtime*Fsw),0)</f>
        <v>2.7865451865677696E-2</v>
      </c>
      <c r="AK14" s="354">
        <f>(Table2[[#This Row],[Dead Time Loss BuCtrl]]+Table2[[#This Row],[Transition Loss BuCtrl]]+Table2[[#This Row],[RDS(on) Loss BuCtrl]]*(1+RdsonTopTc*Ta-RdsonTopTc*25))/(1-Table2[[#This Row],[RDS(on) Loss BuCtrl]]*RdsonTopTc*ThetaJA_Q1)</f>
        <v>0.17436589009879877</v>
      </c>
      <c r="AL14" s="354">
        <f>Table2[[#This Row],[Irms Lf]]</f>
        <v>1.1792127518204427</v>
      </c>
      <c r="AM14" s="354">
        <f>Rdson2*Table2[[#This Row],[Irms BuSync]]^2</f>
        <v>5.840279399034953E-3</v>
      </c>
      <c r="AN1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5.6734023294249127E-2</v>
      </c>
      <c r="AO14" s="354">
        <f>(Table2[[#This Row],[Deadtime Loss BuSync]]+Table2[[#This Row],[RDS(on) Loss BuSync]]*(1+RdsonBotTc*Ta-RdsonBotTc*25))/(1-Table2[[#This Row],[RDS(on) Loss BuSync]]*RdsonBotTc*ThetaJA_Q2)</f>
        <v>6.2662134142355566E-2</v>
      </c>
      <c r="AP14" s="354">
        <f>Table2[[#This Row],[Irms Lf]]</f>
        <v>1.1792127518204427</v>
      </c>
      <c r="AQ14" s="354">
        <f>Rdson4*Table2[[#This Row],[Irms BoCtlr]]^2</f>
        <v>5.840279399034953E-3</v>
      </c>
      <c r="AR14" s="354">
        <f>CHOOSE(Table2[[#This Row],[Mode Digit]], 0, (Vout*Table2[[#This Row],[Iin]]/2)*(Fsw)*(Tr_boost+Tf_boost), (Vout*Iout/2)*(Fsw/1)*(Tr_boost+Tf_boost))</f>
        <v>0</v>
      </c>
      <c r="AS14" s="354">
        <f>IF(Table2[[#This Row],[Vin]]&gt;Vout, 0, IF(Table2[[#This Row],[Iin]]&gt;Table2[[#This Row],[Ripple Current pk-pk]]/2,0,ABS(Table2[[#This Row],[Iin]]-Table2[[#This Row],[Ripple Current pk-pk]]/2)*Vsd_Q4*Deadtime*Fsw))</f>
        <v>0</v>
      </c>
      <c r="AT14" s="354">
        <f>(Table2[[#This Row],[Dead Time Loss BoCtlr]]+Table2[[#This Row],[Transition Loss BoCtlr]]+Table2[[#This Row],[RDS(on) Loss BoCtlr]]*(1+RdsonTopTc*Ta-RdsonTopTc*25))/(1-Table2[[#This Row],[RDS(on) Loss BoCtlr]]*RdsonTopTc*ThetaJA_Q4)</f>
        <v>5.8484770165955335E-3</v>
      </c>
      <c r="AU14" s="354">
        <f>Table2[[#This Row],[Irms Lf]]</f>
        <v>1.1792127518204427</v>
      </c>
      <c r="AV14" s="354">
        <f>Rdson3*Table2[[#This Row],[Irms BoSync]]^2</f>
        <v>5.840279399034953E-3</v>
      </c>
      <c r="AW1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4" s="354">
        <f>(Table2[[#This Row],[Deadtime Loss BoSync]]+Table2[[#This Row],[RDS(on) Loss BoSync]]*(1+RdsonBotTc*Ta-RdsonBotTc*25))/(1-Table2[[#This Row],[RDS(on) Loss BoSync]]*RdsonBotTc*ThetaJA_Q3)</f>
        <v>5.8484770165955335E-3</v>
      </c>
      <c r="AY14" s="354">
        <f>CHOOSE(Table2[[#This Row],[Mode Digit]], Rdson3*Table2[[#This Row],[Irms Lf]]^2, Rdson1*Table2[[#This Row],[Irms Lf]]^2, 0)</f>
        <v>5.840279399034953E-3</v>
      </c>
      <c r="AZ14" s="354">
        <f>CHOOSE(Table2[[#This Row],[Mode Digit]], 2*Deadtime*Fsw*IF(VfdSky_Q2&gt;0,VfdSky_Q2,0)*Table2[[#This Row],[Iout]], 2*Deadtime*Fsw*IF(VfdSky_Q3&gt;0,VfdSky_Q3,0)*Table2[[#This Row],[Iin]], 2*Deadtime*Fsw*IF(VfdSky_Q2&gt;0,VfdSky_Q2,0)*Table2[[#This Row],[Iout]]+2*Deadtime*Fsw*IF(VfdSky_Q3&gt;0,VfdSky_Q3,0)*Table2[[#This Row],[Iin]])</f>
        <v>0</v>
      </c>
      <c r="BA1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1.4158488000000002E-2</v>
      </c>
      <c r="BB1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1.4158488000000002E-2</v>
      </c>
      <c r="BC14" s="354">
        <f>CHOOSE(Table2[[#This Row],[Mode Digit]], Rs*Table2[[#This Row],[Irms BuSync]]^2, Rs*Table2[[#This Row],[Irms BoCtlr]]^2, Rs*(Table2[[#This Row],[Irms BuSync]]^2+Table2[[#This Row],[Irms BoCtlr]]^2))</f>
        <v>3.4763567851398523E-3</v>
      </c>
      <c r="BD14" s="354">
        <f t="shared" si="1"/>
        <v>1.44</v>
      </c>
      <c r="BE14" s="354">
        <f>IF(Vout&gt;8, Iq*Vout, Iq*Table2[[#This Row],[Vin]])</f>
        <v>4.3799999999999999E-2</v>
      </c>
      <c r="BF14" s="354">
        <f>CHOOSE(Table2[[#This Row],[Mode Digit]], (Qg_Q1+Qg_Q2)*Fsw, (Qg_Q3+Qg_Q4)*Fsw, (Qg_Q1+Qg_Q2+Qg_Q3+Qg_Q4)*Fsw)*IF(Vout&gt;8, Vout, Table2[[#This Row],[Vin]])</f>
        <v>0.47303999999999996</v>
      </c>
      <c r="BG14" s="354">
        <f t="shared" si="4"/>
        <v>0.57269042016806726</v>
      </c>
      <c r="BH14" s="354">
        <f>Table2[[#This Row],[IQ Loss]]+Table2[[#This Row],[Switching Current Loss]]</f>
        <v>0.51683999999999997</v>
      </c>
      <c r="BI1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2.8338444716273172</v>
      </c>
      <c r="BJ14">
        <f>Vout*Table2[[#This Row],[Iout]]</f>
        <v>8.76</v>
      </c>
      <c r="BK14" s="550">
        <f>Table2[[#This Row],[Pout]]/(Table2[[#This Row],[Pout]]+Table2[[#This Row],[Total Loss]])</f>
        <v>0.7555733580381937</v>
      </c>
      <c r="BL14" s="559">
        <f>IF(Table2[[#This Row],[Vin]]&gt;Vout,ThetaJA_Q1*(Table2[[#This Row],[Total Control Bu MOSFET Loss]]+Table2[[#This Row],[Reverse Recovery Loss MOSFET D BUCK]]),ThetaJA_Q4*(Table2[[#This Row],[Total Control Bo MOSFET Loss]]+Table2[[#This Row],[Reverse Recovery Loss MOSFET D BOOST]]))</f>
        <v>11.311462685927927</v>
      </c>
      <c r="BM14" s="559">
        <f>IF(Table2[[#This Row],[Vin]]&gt;Vout, Table2[[#This Row],[Total Sync Bu MOSFET Loss]]*ThetaJA_Q2, ThetaJA_Q3*Table2[[#This Row],[Total Sync Bo MOSFET Loss]])</f>
        <v>3.759728048541334</v>
      </c>
      <c r="BN14" s="9"/>
      <c r="BO14" s="4">
        <f>Table2[[#This Row],[EFF, h]]*100</f>
        <v>75.55733580381937</v>
      </c>
      <c r="BP14" s="354">
        <f>Table2[[#This Row],[Total Inductor Loss]]</f>
        <v>0.59067750732812641</v>
      </c>
      <c r="BQ14" s="354">
        <f>Table2[[#This Row],[Total Control Bu MOSFET Loss]]+Table2[[#This Row],[Total Sync Bu MOSFET Loss]]+Table2[[#This Row],[Total Control Bo MOSFET Loss]]+Table2[[#This Row],[Total Sync Bo MOSFET Loss]]+Table2[[#This Row],[Reverse Recovery Loss MOSFET D BUCK]]+Table2[[#This Row],[Reverse Recovery Loss MOSFET D BOOST]]</f>
        <v>0.27704195427434541</v>
      </c>
      <c r="BR14" s="354">
        <f xml:space="preserve"> Table2[[#This Row],[Total Control Bu MOSFET Loss]]+Table2[[#This Row],[Reverse Recovery Loss MOSFET D BUCK]]*0.66</f>
        <v>0.18371049217879878</v>
      </c>
      <c r="BS14" s="354">
        <f>Table2[[#This Row],[Total Sync Bu MOSFET Loss]]+Table2[[#This Row],[Reverse Recovery Loss MOSFET D BUCK]]*0.33</f>
        <v>6.7334435182355573E-2</v>
      </c>
      <c r="BT14" s="354">
        <f xml:space="preserve"> Table2[[#This Row],[Total Control Bo MOSFET Loss]]+Table2[[#This Row],[Reverse Recovery Loss MOSFET D BOOST]]*0.66</f>
        <v>1.5193079096595535E-2</v>
      </c>
      <c r="BU14" s="354">
        <f xml:space="preserve"> Table2[[#This Row],[Total Sync Bo MOSFET Loss]]+Table2[[#This Row],[Reverse Recovery Loss MOSFET D BOOST]]*0.33</f>
        <v>1.0520778056595535E-2</v>
      </c>
      <c r="BV14" s="354">
        <f>Table2[[#This Row],[Isense Shunt Loss]]</f>
        <v>3.4763567851398523E-3</v>
      </c>
      <c r="BZ14" t="s">
        <v>140</v>
      </c>
      <c r="CA14" s="18">
        <v>45</v>
      </c>
      <c r="CB14" s="18">
        <v>45</v>
      </c>
      <c r="CC14" s="18">
        <v>45</v>
      </c>
      <c r="CD14" s="19">
        <f>500000*(12-Vdd)*CC14/1000000000+((500000*CC9/1000000000*Vdd)*2.5/(2*4))</f>
        <v>0.18328125000000001</v>
      </c>
      <c r="CE14">
        <f t="shared" si="2"/>
        <v>14.662500000000001</v>
      </c>
      <c r="CF14">
        <f t="shared" si="2"/>
        <v>18.328125</v>
      </c>
      <c r="CG14">
        <f t="shared" si="2"/>
        <v>21.993750000000002</v>
      </c>
      <c r="CH14">
        <f t="shared" si="2"/>
        <v>25.659375000000001</v>
      </c>
      <c r="CI14">
        <f t="shared" si="2"/>
        <v>29.325000000000003</v>
      </c>
      <c r="CJ14">
        <f t="shared" si="2"/>
        <v>32.990625000000001</v>
      </c>
      <c r="CK14">
        <f t="shared" si="2"/>
        <v>3.6656250000000004</v>
      </c>
      <c r="CL14">
        <f t="shared" si="2"/>
        <v>5.4984375000000005</v>
      </c>
      <c r="CM14">
        <f t="shared" si="2"/>
        <v>7.3312500000000007</v>
      </c>
      <c r="CN14">
        <f t="shared" si="2"/>
        <v>9.1640625</v>
      </c>
    </row>
    <row r="15" spans="1:92" x14ac:dyDescent="0.2">
      <c r="A15" s="23" t="s">
        <v>87</v>
      </c>
      <c r="B15" s="5">
        <f>Ta</f>
        <v>25</v>
      </c>
      <c r="C15" s="440" t="s">
        <v>637</v>
      </c>
      <c r="D15" s="21" t="s">
        <v>98</v>
      </c>
      <c r="G15">
        <v>6</v>
      </c>
      <c r="H15" s="555">
        <f t="shared" si="0"/>
        <v>23.6</v>
      </c>
      <c r="I15" s="4" t="str">
        <f>IF(Mode = 2,IF(Table2[[#This Row],[Vin]]&gt;Vout, "BUCK","BOOST"),IF(Table2[[#This Row],[Vin]]&gt;VIN_BB_to_buck, "BUCK", IF(Table2[[#This Row],[Vin]]&lt;=VIN_boost_to_BB,"BOOST","BUCK-BST")))</f>
        <v>BUCK</v>
      </c>
      <c r="J15">
        <f>IF(Table2[[#This Row],[Mode]]="BOOST",2, IF(Table2[[#This Row],[Mode]]="BUCK", 1,3))</f>
        <v>1</v>
      </c>
      <c r="K15" s="354">
        <f t="shared" si="3"/>
        <v>0.72</v>
      </c>
      <c r="L15" s="4">
        <f>Vout*Table2[[#This Row],[Iout]]/(Table2[[#This Row],[Vin]]*Efficiency)</f>
        <v>0.46886708296164131</v>
      </c>
      <c r="M15" s="711">
        <f>MIN(1/Fsw,CHOOSE(Table2[[#This Row],[Mode Digit]],(Vout+(Rdson2+Rs+Rdcr)*Table2[[#This Row],[Iout]])/(Table2[[#This Row],[Vin]]+(Rs+Rdson2-Rdson1)*Table2[[#This Row],[Iout]])/Fsw,(Vout+(Rdson3+Rdcr)*Table2[[#This Row],[Iin]]-Table2[[#This Row],[Vin]])/(Vout+(Rdson3-Rdson4-Rs)*Table2[[#This Row],[Iin]])/Fsw,t1_Ph_II))</f>
        <v>1.0316303558768116E-6</v>
      </c>
      <c r="N15" s="602">
        <f>CHOOSE(Table2[[#This Row],[Mode Digit]],1/Fsw-Table2[[#This Row],[t1_Ph_II]],1/Fsw-Table2[[#This Row],[t1_Ph_II]],(Vout/Fsw-Table2[[#This Row],[Vin]]*t1_Ph_II)/(Table2[[#This Row],[Vin]]+Vout))</f>
        <v>6.3503631078985511E-7</v>
      </c>
      <c r="O15" s="602">
        <f>1/Fsw-(Table2[[#This Row],[t1_Ph_II]]+Table2[[#This Row],[t2_Ph_I]])</f>
        <v>0</v>
      </c>
      <c r="P1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-1.0384608338809291</v>
      </c>
      <c r="Q15" s="4">
        <f>CHOOSE(Table2[[#This Row],[Mode Digit]],Table2[[#This Row],[I_0]]+1/Lf*(Table2[[#This Row],[Vin]]-Vout)*Table2[[#This Row],[t1_Ph_II]],Table2[[#This Row],[I_0]]+1/Lf*Table2[[#This Row],[Vin]]*Table2[[#This Row],[t1_Ph_II]],Table2[[#This Row],[I_0]]+(Table2[[#This Row],[Vin]]-Vout)/L*Table2[[#This Row],[t1_Ph_II]])</f>
        <v>2.4784608338809289</v>
      </c>
      <c r="R15" s="4">
        <f>CHOOSE(Table2[[#This Row],[Mode Digit]],0,0,Table2[[#This Row],[I_1]]+Table2[[#This Row],[Vin]]/L*Table2[[#This Row],[t2_Ph_I]])</f>
        <v>0</v>
      </c>
      <c r="S15" s="409">
        <f>Fsw*(Table2[[#This Row],[I_0]]*Table2[[#This Row],[t1_Ph_II]]+Table2[[#This Row],[I_1]]*Table2[[#This Row],[t2_Ph_I]]+Table2[[#This Row],[I_2]]*Table2[[#This Row],[t3_Ph_III]])</f>
        <v>0.30156294285850777</v>
      </c>
      <c r="T15" s="354">
        <f>MIN(1,CHOOSE(Table2[[#This Row],[Mode Digit]],(Vout+(Rdson2+Rs+Rdcr)*Table2[[#This Row],[Iout]])/(Table2[[#This Row],[Vin]]+(Rs+Rdson2-Rdson1)*Table2[[#This Row],[Iout]]),1,Fsw*Table2[[#This Row],[t2_Ph_I]]+Table2[[#This Row],[t1_Ph_II]]))</f>
        <v>0.61897821352608695</v>
      </c>
      <c r="U15" s="354">
        <f>MIN(1,CHOOSE(Table2[[#This Row],[Mode Digit]],0,(Vout+(Rdson3+Rdcr)*Table2[[#This Row],[Iin]]-Table2[[#This Row],[Vin]])/(Vout+(Rdson3-Rdson4-Rs)*Table2[[#This Row],[Iin]]),Fsw*Table2[[#This Row],[t1_Ph_II]]+Table2[[#This Row],[t3_Ph_III]]))</f>
        <v>0</v>
      </c>
      <c r="V15" s="4">
        <f>MAX(Table2[[#This Row],[I_0]:[I_2]])-MIN(Table2[[#This Row],[I_0]:[I_1]])</f>
        <v>3.5169216677618582</v>
      </c>
      <c r="W1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1.2446397744318385</v>
      </c>
      <c r="X15" s="354">
        <f>(Table2[[#This Row],[Irms Lf]]^2*Rdcr*(1+Ltc*Ta-Ltc*25))/(1-Table2[[#This Row],[Irms Lf]]^2*Rdcr*Ltc*ThetaCa)</f>
        <v>8.9914063571252863E-3</v>
      </c>
      <c r="Y15" s="354">
        <f>ABS(7.759*10^-3*Fsw^0.9458*(0.00787*Table2[[#This Row],[Ripple Current pk-pk]])^2.304)</f>
        <v>0.58272793514334553</v>
      </c>
      <c r="Z15" s="354">
        <f>Table2[[#This Row],[DCR    Loss]]+Table2[[#This Row],[Core Loss]]</f>
        <v>0.59171934150047079</v>
      </c>
      <c r="AA15" s="4">
        <f>IF(Table2[[#This Row],[Vin]]&gt;Vout, Table2[[#This Row],[Ripple Current pk-pk]]/SQRT(12), SQRT(Table2[[#This Row],[Duty Cycle BOOST Leg]]/(1-Table2[[#This Row],[Duty Cycle BOOST Leg]]))*SQRT(Table2[[#This Row],[Iout]]^2+(Table2[[#This Row],[Ripple Current pk-pk]]^2)/12))</f>
        <v>1.0152478358005683</v>
      </c>
      <c r="AB15" s="354">
        <f>RCoutEsr*Table2[[#This Row],[Irms Cout]]^2</f>
        <v>5.1536408404886892E-3</v>
      </c>
      <c r="AC15" s="354">
        <f>Table2[[#This Row],[Cout ESR Loss]]</f>
        <v>5.1536408404886892E-3</v>
      </c>
      <c r="AD15" s="4">
        <f>IF(Table2[[#This Row],[Vin]]&gt;Vout, SQRT(Table2[[#This Row],[Duty Cycle BUCK Leg]]*(1-Table2[[#This Row],[Duty Cycle BUCK Leg]]))*SQRT(Table2[[#This Row],[Iout]]^2+(Table2[[#This Row],[Ripple Current pk-pk]]^2)/12), Table2[[#This Row],[Ripple Current pk-pk]]/SQRT(12))</f>
        <v>0.60444426526382766</v>
      </c>
      <c r="AE15" s="354">
        <f>RCinEsr*Table2[[#This Row],[Irms Cin]]^2</f>
        <v>7.3070573962065693E-4</v>
      </c>
      <c r="AF15" s="549">
        <f>Table2[[#This Row],[Cin ESR Loss]]</f>
        <v>7.3070573962065693E-4</v>
      </c>
      <c r="AG15" s="354">
        <f>Table2[[#This Row],[Irms Lf]]</f>
        <v>1.2446397744318385</v>
      </c>
      <c r="AH15" s="354">
        <f>Rdson1*Table2[[#This Row],[Irms BuCtrl]]^2</f>
        <v>6.5063383060104995E-3</v>
      </c>
      <c r="AI15" s="354">
        <f>CHOOSE(Table2[[#This Row],[Mode Digit]], (Table2[[#This Row],[Vin]]*Table2[[#This Row],[Iout]]/2)*(Fsw)*(Tr_buck+Tf_buck), 0, (Table2[[#This Row],[Vin]]*Table2[[#This Row],[Avg IL]]/2)*(Fsw/1)*(Tr_buck+Tf_buck))</f>
        <v>0.16849890709234192</v>
      </c>
      <c r="AJ15">
        <f>IF(Table2[[#This Row],[Vin]]&gt;Vout, IF(Table2[[#This Row],[Iout]]&gt;Table2[[#This Row],[Ripple Current pk-pk]]/2,0,ABS(Table2[[#This Row],[Iout]]-Table2[[#This Row],[Ripple Current pk-pk]]/2)*Vsd_Q1*Deadtime*Fsw),0)</f>
        <v>2.4982400632221208E-2</v>
      </c>
      <c r="AK15" s="354">
        <f>(Table2[[#This Row],[Dead Time Loss BuCtrl]]+Table2[[#This Row],[Transition Loss BuCtrl]]+Table2[[#This Row],[RDS(on) Loss BuCtrl]]*(1+RdsonTopTc*Ta-RdsonTopTc*25))/(1-Table2[[#This Row],[RDS(on) Loss BuCtrl]]*RdsonTopTc*ThetaJA_Q1)</f>
        <v>0.20030041938049167</v>
      </c>
      <c r="AL15" s="354">
        <f>Table2[[#This Row],[Irms Lf]]</f>
        <v>1.2446397744318385</v>
      </c>
      <c r="AM15" s="354">
        <f>Rdson2*Table2[[#This Row],[Irms BuSync]]^2</f>
        <v>6.5063383060104995E-3</v>
      </c>
      <c r="AN1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5.9624686346506917E-2</v>
      </c>
      <c r="AO15" s="354">
        <f>(Table2[[#This Row],[Deadtime Loss BuSync]]+Table2[[#This Row],[RDS(on) Loss BuSync]]*(1+RdsonBotTc*Ta-RdsonBotTc*25))/(1-Table2[[#This Row],[RDS(on) Loss BuSync]]*RdsonBotTc*ThetaJA_Q2)</f>
        <v>6.6234451151726867E-2</v>
      </c>
      <c r="AP15" s="354">
        <f>Table2[[#This Row],[Irms Lf]]</f>
        <v>1.2446397744318385</v>
      </c>
      <c r="AQ15" s="354">
        <f>Rdson4*Table2[[#This Row],[Irms BoCtlr]]^2</f>
        <v>6.5063383060104995E-3</v>
      </c>
      <c r="AR15" s="354">
        <f>CHOOSE(Table2[[#This Row],[Mode Digit]], 0, (Vout*Table2[[#This Row],[Iin]]/2)*(Fsw)*(Tr_boost+Tf_boost), (Vout*Iout/2)*(Fsw/1)*(Tr_boost+Tf_boost))</f>
        <v>0</v>
      </c>
      <c r="AS15" s="354">
        <f>IF(Table2[[#This Row],[Vin]]&gt;Vout, 0, IF(Table2[[#This Row],[Iin]]&gt;Table2[[#This Row],[Ripple Current pk-pk]]/2,0,ABS(Table2[[#This Row],[Iin]]-Table2[[#This Row],[Ripple Current pk-pk]]/2)*Vsd_Q4*Deadtime*Fsw))</f>
        <v>0</v>
      </c>
      <c r="AT15" s="354">
        <f>(Table2[[#This Row],[Dead Time Loss BoCtlr]]+Table2[[#This Row],[Transition Loss BoCtlr]]+Table2[[#This Row],[RDS(on) Loss BoCtlr]]*(1+RdsonTopTc*Ta-RdsonTopTc*25))/(1-Table2[[#This Row],[RDS(on) Loss BoCtlr]]*RdsonTopTc*ThetaJA_Q4)</f>
        <v>6.5165139806987252E-3</v>
      </c>
      <c r="AU15" s="354">
        <f>Table2[[#This Row],[Irms Lf]]</f>
        <v>1.2446397744318385</v>
      </c>
      <c r="AV15" s="354">
        <f>Rdson3*Table2[[#This Row],[Irms BoSync]]^2</f>
        <v>6.5063383060104995E-3</v>
      </c>
      <c r="AW1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5" s="354">
        <f>(Table2[[#This Row],[Deadtime Loss BoSync]]+Table2[[#This Row],[RDS(on) Loss BoSync]]*(1+RdsonBotTc*Ta-RdsonBotTc*25))/(1-Table2[[#This Row],[RDS(on) Loss BoSync]]*RdsonBotTc*ThetaJA_Q3)</f>
        <v>6.5165139806987252E-3</v>
      </c>
      <c r="AY15" s="354">
        <f>CHOOSE(Table2[[#This Row],[Mode Digit]], Rdson3*Table2[[#This Row],[Irms Lf]]^2, Rdson1*Table2[[#This Row],[Irms Lf]]^2, 0)</f>
        <v>6.5063383060104995E-3</v>
      </c>
      <c r="AZ15" s="354">
        <f>CHOOSE(Table2[[#This Row],[Mode Digit]], 2*Deadtime*Fsw*IF(VfdSky_Q2&gt;0,VfdSky_Q2,0)*Table2[[#This Row],[Iout]], 2*Deadtime*Fsw*IF(VfdSky_Q3&gt;0,VfdSky_Q3,0)*Table2[[#This Row],[Iin]], 2*Deadtime*Fsw*IF(VfdSky_Q2&gt;0,VfdSky_Q2,0)*Table2[[#This Row],[Iout]]+2*Deadtime*Fsw*IF(VfdSky_Q3&gt;0,VfdSky_Q3,0)*Table2[[#This Row],[Iin]])</f>
        <v>0</v>
      </c>
      <c r="BA1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1.6989822720000002E-2</v>
      </c>
      <c r="BB1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1.6989822720000002E-2</v>
      </c>
      <c r="BC15" s="354">
        <f>CHOOSE(Table2[[#This Row],[Mode Digit]], Rs*Table2[[#This Row],[Irms BuSync]]^2, Rs*Table2[[#This Row],[Irms BoCtlr]]^2, Rs*(Table2[[#This Row],[Irms BuSync]]^2+Table2[[#This Row],[Irms BoCtlr]]^2))</f>
        <v>3.8728204202443444E-3</v>
      </c>
      <c r="BD15" s="354">
        <f t="shared" si="1"/>
        <v>1.44</v>
      </c>
      <c r="BE15" s="354">
        <f>IF(Vout&gt;8, Iq*Vout, Iq*Table2[[#This Row],[Vin]])</f>
        <v>4.3799999999999999E-2</v>
      </c>
      <c r="BF15" s="354">
        <f>CHOOSE(Table2[[#This Row],[Mode Digit]], (Qg_Q1+Qg_Q2)*Fsw, (Qg_Q3+Qg_Q4)*Fsw, (Qg_Q1+Qg_Q2+Qg_Q3+Qg_Q4)*Fsw)*IF(Vout&gt;8, Vout, Table2[[#This Row],[Vin]])</f>
        <v>0.47303999999999996</v>
      </c>
      <c r="BG15" s="354">
        <f t="shared" si="4"/>
        <v>0.57269042016806726</v>
      </c>
      <c r="BH15" s="354">
        <f>Table2[[#This Row],[IQ Loss]]+Table2[[#This Row],[Switching Current Loss]]</f>
        <v>0.51683999999999997</v>
      </c>
      <c r="BI1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2.8718640524344403</v>
      </c>
      <c r="BJ15">
        <f>Vout*Table2[[#This Row],[Iout]]</f>
        <v>10.511999999999999</v>
      </c>
      <c r="BK15" s="550">
        <f>Table2[[#This Row],[Pout]]/(Table2[[#This Row],[Pout]]+Table2[[#This Row],[Total Loss]])</f>
        <v>0.78542339931254257</v>
      </c>
      <c r="BL15" s="559">
        <f>IF(Table2[[#This Row],[Vin]]&gt;Vout,ThetaJA_Q1*(Table2[[#This Row],[Total Control Bu MOSFET Loss]]+Table2[[#This Row],[Reverse Recovery Loss MOSFET D BUCK]]),ThetaJA_Q4*(Table2[[#This Row],[Total Control Bo MOSFET Loss]]+Table2[[#This Row],[Reverse Recovery Loss MOSFET D BOOST]]))</f>
        <v>13.037414526029499</v>
      </c>
      <c r="BM15" s="559">
        <f>IF(Table2[[#This Row],[Vin]]&gt;Vout, Table2[[#This Row],[Total Sync Bu MOSFET Loss]]*ThetaJA_Q2, ThetaJA_Q3*Table2[[#This Row],[Total Sync Bo MOSFET Loss]])</f>
        <v>3.974067069103612</v>
      </c>
      <c r="BN15" s="9"/>
      <c r="BO15" s="4">
        <f>Table2[[#This Row],[EFF, h]]*100</f>
        <v>78.542339931254261</v>
      </c>
      <c r="BP15" s="354">
        <f>Table2[[#This Row],[Total Inductor Loss]]</f>
        <v>0.59171934150047079</v>
      </c>
      <c r="BQ15" s="354">
        <f>Table2[[#This Row],[Total Control Bu MOSFET Loss]]+Table2[[#This Row],[Total Sync Bu MOSFET Loss]]+Table2[[#This Row],[Total Control Bo MOSFET Loss]]+Table2[[#This Row],[Total Sync Bo MOSFET Loss]]+Table2[[#This Row],[Reverse Recovery Loss MOSFET D BUCK]]+Table2[[#This Row],[Reverse Recovery Loss MOSFET D BOOST]]</f>
        <v>0.313547543933616</v>
      </c>
      <c r="BR15" s="354">
        <f xml:space="preserve"> Table2[[#This Row],[Total Control Bu MOSFET Loss]]+Table2[[#This Row],[Reverse Recovery Loss MOSFET D BUCK]]*0.66</f>
        <v>0.21151370237569167</v>
      </c>
      <c r="BS15" s="354">
        <f>Table2[[#This Row],[Total Sync Bu MOSFET Loss]]+Table2[[#This Row],[Reverse Recovery Loss MOSFET D BUCK]]*0.33</f>
        <v>7.1841092649326865E-2</v>
      </c>
      <c r="BT15" s="354">
        <f xml:space="preserve"> Table2[[#This Row],[Total Control Bo MOSFET Loss]]+Table2[[#This Row],[Reverse Recovery Loss MOSFET D BOOST]]*0.66</f>
        <v>1.7729796975898729E-2</v>
      </c>
      <c r="BU15" s="354">
        <f xml:space="preserve"> Table2[[#This Row],[Total Sync Bo MOSFET Loss]]+Table2[[#This Row],[Reverse Recovery Loss MOSFET D BOOST]]*0.33</f>
        <v>1.2123155478298727E-2</v>
      </c>
      <c r="BV15" s="354">
        <f>Table2[[#This Row],[Isense Shunt Loss]]</f>
        <v>3.8728204202443444E-3</v>
      </c>
      <c r="BZ15" t="s">
        <v>138</v>
      </c>
      <c r="CA15" s="18">
        <v>20</v>
      </c>
      <c r="CB15" s="18">
        <v>20</v>
      </c>
      <c r="CC15" s="18">
        <v>20</v>
      </c>
      <c r="CD15" s="19">
        <f>1000000*(5-Vdd)*CC15/1000000000+((1000000*CC9/1000000000*Vdd)*2.5/(2*4))</f>
        <v>0.1140625</v>
      </c>
      <c r="CE15">
        <f t="shared" si="2"/>
        <v>9.125</v>
      </c>
      <c r="CF15">
        <f t="shared" si="2"/>
        <v>11.40625</v>
      </c>
      <c r="CG15">
        <f t="shared" si="2"/>
        <v>13.6875</v>
      </c>
      <c r="CH15">
        <f t="shared" si="2"/>
        <v>15.96875</v>
      </c>
      <c r="CI15">
        <f t="shared" si="2"/>
        <v>18.25</v>
      </c>
      <c r="CJ15">
        <f t="shared" si="2"/>
        <v>20.53125</v>
      </c>
      <c r="CK15">
        <f t="shared" si="2"/>
        <v>2.28125</v>
      </c>
      <c r="CL15">
        <f t="shared" si="2"/>
        <v>3.421875</v>
      </c>
      <c r="CM15">
        <f t="shared" si="2"/>
        <v>4.5625</v>
      </c>
      <c r="CN15">
        <f t="shared" si="2"/>
        <v>5.703125</v>
      </c>
    </row>
    <row r="16" spans="1:92" x14ac:dyDescent="0.2">
      <c r="A16" s="448" t="s">
        <v>648</v>
      </c>
      <c r="B16" s="5">
        <f>Vdd</f>
        <v>7.5</v>
      </c>
      <c r="C16" s="440" t="s">
        <v>0</v>
      </c>
      <c r="D16" s="440" t="s">
        <v>647</v>
      </c>
      <c r="G16">
        <v>7</v>
      </c>
      <c r="H16" s="555">
        <f t="shared" si="0"/>
        <v>23.6</v>
      </c>
      <c r="I16" s="4" t="str">
        <f>IF(Mode = 2,IF(Table2[[#This Row],[Vin]]&gt;Vout, "BUCK","BOOST"),IF(Table2[[#This Row],[Vin]]&gt;VIN_BB_to_buck, "BUCK", IF(Table2[[#This Row],[Vin]]&lt;=VIN_boost_to_BB,"BOOST","BUCK-BST")))</f>
        <v>BUCK</v>
      </c>
      <c r="J16">
        <f>IF(Table2[[#This Row],[Mode]]="BOOST",2, IF(Table2[[#This Row],[Mode]]="BUCK", 1,3))</f>
        <v>1</v>
      </c>
      <c r="K16" s="354">
        <f t="shared" si="3"/>
        <v>0.84</v>
      </c>
      <c r="L16" s="4">
        <f>Vout*Table2[[#This Row],[Iout]]/(Table2[[#This Row],[Vin]]*Efficiency)</f>
        <v>0.54701159678858158</v>
      </c>
      <c r="M16" s="711">
        <f>MIN(1/Fsw,CHOOSE(Table2[[#This Row],[Mode Digit]],(Vout+(Rdson2+Rs+Rdcr)*Table2[[#This Row],[Iout]])/(Table2[[#This Row],[Vin]]+(Rs+Rdson2-Rdson1)*Table2[[#This Row],[Iout]])/Fsw,(Vout+(Rdson3+Rdcr)*Table2[[#This Row],[Iin]]-Table2[[#This Row],[Vin]])/(Vout+(Rdson3-Rdson4-Rs)*Table2[[#This Row],[Iin]])/Fsw,t1_Ph_II))</f>
        <v>1.0317231658764827E-6</v>
      </c>
      <c r="N16" s="602">
        <f>CHOOSE(Table2[[#This Row],[Mode Digit]],1/Fsw-Table2[[#This Row],[t1_Ph_II]],1/Fsw-Table2[[#This Row],[t1_Ph_II]],(Vout/Fsw-Table2[[#This Row],[Vin]]*t1_Ph_II)/(Table2[[#This Row],[Vin]]+Vout))</f>
        <v>6.34943500790184E-7</v>
      </c>
      <c r="O16" s="602">
        <f>1/Fsw-(Table2[[#This Row],[t1_Ph_II]]+Table2[[#This Row],[t2_Ph_I]])</f>
        <v>0</v>
      </c>
      <c r="P1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-0.9186190327440048</v>
      </c>
      <c r="Q16" s="4">
        <f>CHOOSE(Table2[[#This Row],[Mode Digit]],Table2[[#This Row],[I_0]]+1/Lf*(Table2[[#This Row],[Vin]]-Vout)*Table2[[#This Row],[t1_Ph_II]],Table2[[#This Row],[I_0]]+1/Lf*Table2[[#This Row],[Vin]]*Table2[[#This Row],[t1_Ph_II]],Table2[[#This Row],[I_0]]+(Table2[[#This Row],[Vin]]-Vout)/L*Table2[[#This Row],[t1_Ph_II]])</f>
        <v>2.5986190327440046</v>
      </c>
      <c r="R16" s="4">
        <f>CHOOSE(Table2[[#This Row],[Mode Digit]],0,0,Table2[[#This Row],[I_1]]+Table2[[#This Row],[Vin]]/L*Table2[[#This Row],[t2_Ph_I]])</f>
        <v>0</v>
      </c>
      <c r="S16" s="409">
        <f>Fsw*(Table2[[#This Row],[I_0]]*Table2[[#This Row],[t1_Ph_II]]+Table2[[#This Row],[I_1]]*Table2[[#This Row],[t2_Ph_I]]+Table2[[#This Row],[I_2]]*Table2[[#This Row],[t3_Ph_III]])</f>
        <v>0.42132943750406593</v>
      </c>
      <c r="T16" s="354">
        <f>MIN(1,CHOOSE(Table2[[#This Row],[Mode Digit]],(Vout+(Rdson2+Rs+Rdcr)*Table2[[#This Row],[Iout]])/(Table2[[#This Row],[Vin]]+(Rs+Rdson2-Rdson1)*Table2[[#This Row],[Iout]]),1,Fsw*Table2[[#This Row],[t2_Ph_I]]+Table2[[#This Row],[t1_Ph_II]]))</f>
        <v>0.61903389952588961</v>
      </c>
      <c r="U16" s="354">
        <f>MIN(1,CHOOSE(Table2[[#This Row],[Mode Digit]],0,(Vout+(Rdson3+Rdcr)*Table2[[#This Row],[Iin]]-Table2[[#This Row],[Vin]])/(Vout+(Rdson3-Rdson4-Rs)*Table2[[#This Row],[Iin]]),Fsw*Table2[[#This Row],[t1_Ph_II]]+Table2[[#This Row],[t3_Ph_III]]))</f>
        <v>0</v>
      </c>
      <c r="V16" s="4">
        <f>MAX(Table2[[#This Row],[I_0]:[I_2]])-MIN(Table2[[#This Row],[I_0]:[I_1]])</f>
        <v>3.5172380654880095</v>
      </c>
      <c r="W1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1.3177684296225265</v>
      </c>
      <c r="X16" s="354">
        <f>(Table2[[#This Row],[Irms Lf]]^2*Rdcr*(1+Ltc*Ta-Ltc*25))/(1-Table2[[#This Row],[Irms Lf]]^2*Rdcr*Ltc*ThetaCa)</f>
        <v>1.0079900880620642E-2</v>
      </c>
      <c r="Y16" s="354">
        <f>ABS(7.759*10^-3*Fsw^0.9458*(0.00787*Table2[[#This Row],[Ripple Current pk-pk]])^2.304)</f>
        <v>0.58284872888803263</v>
      </c>
      <c r="Z16" s="354">
        <f>Table2[[#This Row],[DCR    Loss]]+Table2[[#This Row],[Core Loss]]</f>
        <v>0.59292862976865324</v>
      </c>
      <c r="AA16" s="4">
        <f>IF(Table2[[#This Row],[Vin]]&gt;Vout, Table2[[#This Row],[Ripple Current pk-pk]]/SQRT(12), SQRT(Table2[[#This Row],[Duty Cycle BOOST Leg]]/(1-Table2[[#This Row],[Duty Cycle BOOST Leg]]))*SQRT(Table2[[#This Row],[Iout]]^2+(Table2[[#This Row],[Ripple Current pk-pk]]^2)/12))</f>
        <v>1.0153391719567506</v>
      </c>
      <c r="AB16" s="354">
        <f>RCoutEsr*Table2[[#This Row],[Irms Cout]]^2</f>
        <v>5.1545681705491E-3</v>
      </c>
      <c r="AC16" s="354">
        <f>Table2[[#This Row],[Cout ESR Loss]]</f>
        <v>5.1545681705491E-3</v>
      </c>
      <c r="AD16" s="4">
        <f>IF(Table2[[#This Row],[Vin]]&gt;Vout, SQRT(Table2[[#This Row],[Duty Cycle BUCK Leg]]*(1-Table2[[#This Row],[Duty Cycle BUCK Leg]]))*SQRT(Table2[[#This Row],[Iout]]^2+(Table2[[#This Row],[Ripple Current pk-pk]]^2)/12), Table2[[#This Row],[Ripple Current pk-pk]]/SQRT(12))</f>
        <v>0.63994033051207611</v>
      </c>
      <c r="AE16" s="354">
        <f>RCinEsr*Table2[[#This Row],[Irms Cin]]^2</f>
        <v>8.1904725323181035E-4</v>
      </c>
      <c r="AF16" s="549">
        <f>Table2[[#This Row],[Cin ESR Loss]]</f>
        <v>8.1904725323181035E-4</v>
      </c>
      <c r="AG16" s="354">
        <f>Table2[[#This Row],[Irms Lf]]</f>
        <v>1.3177684296225265</v>
      </c>
      <c r="AH16" s="354">
        <f>Rdson1*Table2[[#This Row],[Irms BuCtrl]]^2</f>
        <v>7.293357263261243E-3</v>
      </c>
      <c r="AI16" s="354">
        <f>CHOOSE(Table2[[#This Row],[Mode Digit]], (Table2[[#This Row],[Vin]]*Table2[[#This Row],[Iout]]/2)*(Fsw)*(Tr_buck+Tf_buck), 0, (Table2[[#This Row],[Vin]]*Table2[[#This Row],[Avg IL]]/2)*(Fsw/1)*(Tr_buck+Tf_buck))</f>
        <v>0.19658205827439892</v>
      </c>
      <c r="AJ16">
        <f>IF(Table2[[#This Row],[Vin]]&gt;Vout, IF(Table2[[#This Row],[Iout]]&gt;Table2[[#This Row],[Ripple Current pk-pk]]/2,0,ABS(Table2[[#This Row],[Iout]]-Table2[[#This Row],[Ripple Current pk-pk]]/2)*Vsd_Q1*Deadtime*Fsw),0)</f>
        <v>2.2099349302012912E-2</v>
      </c>
      <c r="AK16" s="354">
        <f>(Table2[[#This Row],[Dead Time Loss BuCtrl]]+Table2[[#This Row],[Transition Loss BuCtrl]]+Table2[[#This Row],[RDS(on) Loss BuCtrl]]*(1+RdsonTopTc*Ta-RdsonTopTc*25))/(1-Table2[[#This Row],[RDS(on) Loss BuCtrl]]*RdsonTopTc*ThetaJA_Q1)</f>
        <v>0.22637100594857551</v>
      </c>
      <c r="AL16" s="354">
        <f>Table2[[#This Row],[Irms Lf]]</f>
        <v>1.3177684296225265</v>
      </c>
      <c r="AM16" s="354">
        <f>Rdson2*Table2[[#This Row],[Irms BuSync]]^2</f>
        <v>7.293357263261243E-3</v>
      </c>
      <c r="AN1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6.2515349302012913E-2</v>
      </c>
      <c r="AO16" s="354">
        <f>(Table2[[#This Row],[Deadtime Loss BuSync]]+Table2[[#This Row],[RDS(on) Loss BuSync]]*(1+RdsonBotTc*Ta-RdsonBotTc*25))/(1-Table2[[#This Row],[RDS(on) Loss BuSync]]*RdsonBotTc*ThetaJA_Q2)</f>
        <v>6.9931114389528759E-2</v>
      </c>
      <c r="AP16" s="354">
        <f>Table2[[#This Row],[Irms Lf]]</f>
        <v>1.3177684296225265</v>
      </c>
      <c r="AQ16" s="354">
        <f>Rdson4*Table2[[#This Row],[Irms BoCtlr]]^2</f>
        <v>7.293357263261243E-3</v>
      </c>
      <c r="AR16" s="354">
        <f>CHOOSE(Table2[[#This Row],[Mode Digit]], 0, (Vout*Table2[[#This Row],[Iin]]/2)*(Fsw)*(Tr_boost+Tf_boost), (Vout*Iout/2)*(Fsw/1)*(Tr_boost+Tf_boost))</f>
        <v>0</v>
      </c>
      <c r="AS16" s="354">
        <f>IF(Table2[[#This Row],[Vin]]&gt;Vout, 0, IF(Table2[[#This Row],[Iin]]&gt;Table2[[#This Row],[Ripple Current pk-pk]]/2,0,ABS(Table2[[#This Row],[Iin]]-Table2[[#This Row],[Ripple Current pk-pk]]/2)*Vsd_Q4*Deadtime*Fsw))</f>
        <v>0</v>
      </c>
      <c r="AT16" s="354">
        <f>(Table2[[#This Row],[Dead Time Loss BoCtlr]]+Table2[[#This Row],[Transition Loss BoCtlr]]+Table2[[#This Row],[RDS(on) Loss BoCtlr]]*(1+RdsonTopTc*Ta-RdsonTopTc*25))/(1-Table2[[#This Row],[RDS(on) Loss BoCtlr]]*RdsonTopTc*ThetaJA_Q4)</f>
        <v>7.3061459831506815E-3</v>
      </c>
      <c r="AU16" s="354">
        <f>Table2[[#This Row],[Irms Lf]]</f>
        <v>1.3177684296225265</v>
      </c>
      <c r="AV16" s="354">
        <f>Rdson3*Table2[[#This Row],[Irms BoSync]]^2</f>
        <v>7.293357263261243E-3</v>
      </c>
      <c r="AW1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6" s="354">
        <f>(Table2[[#This Row],[Deadtime Loss BoSync]]+Table2[[#This Row],[RDS(on) Loss BoSync]]*(1+RdsonBotTc*Ta-RdsonBotTc*25))/(1-Table2[[#This Row],[RDS(on) Loss BoSync]]*RdsonBotTc*ThetaJA_Q3)</f>
        <v>7.3061459831506815E-3</v>
      </c>
      <c r="AY16" s="354">
        <f>CHOOSE(Table2[[#This Row],[Mode Digit]], Rdson3*Table2[[#This Row],[Irms Lf]]^2, Rdson1*Table2[[#This Row],[Irms Lf]]^2, 0)</f>
        <v>7.293357263261243E-3</v>
      </c>
      <c r="AZ16" s="354">
        <f>CHOOSE(Table2[[#This Row],[Mode Digit]], 2*Deadtime*Fsw*IF(VfdSky_Q2&gt;0,VfdSky_Q2,0)*Table2[[#This Row],[Iout]], 2*Deadtime*Fsw*IF(VfdSky_Q3&gt;0,VfdSky_Q3,0)*Table2[[#This Row],[Iin]], 2*Deadtime*Fsw*IF(VfdSky_Q2&gt;0,VfdSky_Q2,0)*Table2[[#This Row],[Iout]]+2*Deadtime*Fsw*IF(VfdSky_Q3&gt;0,VfdSky_Q3,0)*Table2[[#This Row],[Iin]])</f>
        <v>0</v>
      </c>
      <c r="BA1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1.9821036480000002E-2</v>
      </c>
      <c r="BB1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1.9821036480000002E-2</v>
      </c>
      <c r="BC16" s="354">
        <f>CHOOSE(Table2[[#This Row],[Mode Digit]], Rs*Table2[[#This Row],[Irms BuSync]]^2, Rs*Table2[[#This Row],[Irms BoCtlr]]^2, Rs*(Table2[[#This Row],[Irms BuSync]]^2+Table2[[#This Row],[Irms BoCtlr]]^2))</f>
        <v>4.3412840852745486E-3</v>
      </c>
      <c r="BD16" s="354">
        <f t="shared" si="1"/>
        <v>1.44</v>
      </c>
      <c r="BE16" s="354">
        <f>IF(Vout&gt;8, Iq*Vout, Iq*Table2[[#This Row],[Vin]])</f>
        <v>4.3799999999999999E-2</v>
      </c>
      <c r="BF16" s="354">
        <f>CHOOSE(Table2[[#This Row],[Mode Digit]], (Qg_Q1+Qg_Q2)*Fsw, (Qg_Q3+Qg_Q4)*Fsw, (Qg_Q1+Qg_Q2+Qg_Q3+Qg_Q4)*Fsw)*IF(Vout&gt;8, Vout, Table2[[#This Row],[Vin]])</f>
        <v>0.47303999999999996</v>
      </c>
      <c r="BG16" s="354">
        <f t="shared" si="4"/>
        <v>0.57269042016806726</v>
      </c>
      <c r="BH16" s="354">
        <f>Table2[[#This Row],[IQ Loss]]+Table2[[#This Row],[Switching Current Loss]]</f>
        <v>0.51683999999999997</v>
      </c>
      <c r="BI1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2.9106400145421141</v>
      </c>
      <c r="BJ16">
        <f>Vout*Table2[[#This Row],[Iout]]</f>
        <v>12.263999999999999</v>
      </c>
      <c r="BK16" s="550">
        <f>Table2[[#This Row],[Pout]]/(Table2[[#This Row],[Pout]]+Table2[[#This Row],[Total Loss]])</f>
        <v>0.80819050654560509</v>
      </c>
      <c r="BL16" s="559">
        <f>IF(Table2[[#This Row],[Vin]]&gt;Vout,ThetaJA_Q1*(Table2[[#This Row],[Total Control Bu MOSFET Loss]]+Table2[[#This Row],[Reverse Recovery Loss MOSFET D BUCK]]),ThetaJA_Q4*(Table2[[#This Row],[Total Control Bo MOSFET Loss]]+Table2[[#This Row],[Reverse Recovery Loss MOSFET D BOOST]]))</f>
        <v>14.77152254571453</v>
      </c>
      <c r="BM16" s="559">
        <f>IF(Table2[[#This Row],[Vin]]&gt;Vout, Table2[[#This Row],[Total Sync Bu MOSFET Loss]]*ThetaJA_Q2, ThetaJA_Q3*Table2[[#This Row],[Total Sync Bo MOSFET Loss]])</f>
        <v>4.1958668633717258</v>
      </c>
      <c r="BN16" s="9"/>
      <c r="BO16" s="4">
        <f>Table2[[#This Row],[EFF, h]]*100</f>
        <v>80.819050654560513</v>
      </c>
      <c r="BP16" s="354">
        <f>Table2[[#This Row],[Total Inductor Loss]]</f>
        <v>0.59292862976865324</v>
      </c>
      <c r="BQ16" s="354">
        <f>Table2[[#This Row],[Total Control Bu MOSFET Loss]]+Table2[[#This Row],[Total Sync Bu MOSFET Loss]]+Table2[[#This Row],[Total Control Bo MOSFET Loss]]+Table2[[#This Row],[Total Sync Bo MOSFET Loss]]+Table2[[#This Row],[Reverse Recovery Loss MOSFET D BUCK]]+Table2[[#This Row],[Reverse Recovery Loss MOSFET D BOOST]]</f>
        <v>0.35055648526440558</v>
      </c>
      <c r="BR16" s="354">
        <f xml:space="preserve"> Table2[[#This Row],[Total Control Bu MOSFET Loss]]+Table2[[#This Row],[Reverse Recovery Loss MOSFET D BUCK]]*0.66</f>
        <v>0.23945289002537551</v>
      </c>
      <c r="BS16" s="354">
        <f>Table2[[#This Row],[Total Sync Bu MOSFET Loss]]+Table2[[#This Row],[Reverse Recovery Loss MOSFET D BUCK]]*0.33</f>
        <v>7.6472056427928758E-2</v>
      </c>
      <c r="BT16" s="354">
        <f xml:space="preserve"> Table2[[#This Row],[Total Control Bo MOSFET Loss]]+Table2[[#This Row],[Reverse Recovery Loss MOSFET D BOOST]]*0.66</f>
        <v>2.0388030059950685E-2</v>
      </c>
      <c r="BU16" s="354">
        <f xml:space="preserve"> Table2[[#This Row],[Total Sync Bo MOSFET Loss]]+Table2[[#This Row],[Reverse Recovery Loss MOSFET D BOOST]]*0.33</f>
        <v>1.3847088021550682E-2</v>
      </c>
      <c r="BV16" s="354">
        <f>Table2[[#This Row],[Isense Shunt Loss]]</f>
        <v>4.3412840852745486E-3</v>
      </c>
      <c r="BZ16" t="s">
        <v>139</v>
      </c>
      <c r="CA16" s="18">
        <v>25</v>
      </c>
      <c r="CB16" s="18">
        <v>25</v>
      </c>
      <c r="CC16" s="18">
        <v>25</v>
      </c>
      <c r="CD16" s="19">
        <f>1000000*(12-Vdd)*CC16/1000000000+((1000000*CC9/1000000000*Vdd)*2.5/(2*4))</f>
        <v>0.27656249999999999</v>
      </c>
      <c r="CE16">
        <f t="shared" si="2"/>
        <v>22.125</v>
      </c>
      <c r="CF16">
        <f t="shared" si="2"/>
        <v>27.65625</v>
      </c>
      <c r="CG16">
        <f t="shared" si="2"/>
        <v>33.1875</v>
      </c>
      <c r="CH16">
        <f t="shared" si="2"/>
        <v>38.71875</v>
      </c>
      <c r="CI16">
        <f t="shared" si="2"/>
        <v>44.25</v>
      </c>
      <c r="CJ16">
        <f t="shared" si="2"/>
        <v>49.78125</v>
      </c>
      <c r="CK16">
        <f t="shared" si="2"/>
        <v>5.53125</v>
      </c>
      <c r="CL16">
        <f t="shared" si="2"/>
        <v>8.296875</v>
      </c>
      <c r="CM16">
        <f t="shared" si="2"/>
        <v>11.0625</v>
      </c>
      <c r="CN16">
        <f t="shared" si="2"/>
        <v>13.828125</v>
      </c>
    </row>
    <row r="17" spans="1:92" x14ac:dyDescent="0.2">
      <c r="A17" s="24" t="s">
        <v>62</v>
      </c>
      <c r="B17" s="16" t="s">
        <v>113</v>
      </c>
      <c r="C17" s="24" t="s">
        <v>80</v>
      </c>
      <c r="D17" s="17" t="s">
        <v>109</v>
      </c>
      <c r="G17">
        <v>8</v>
      </c>
      <c r="H17" s="555">
        <f t="shared" si="0"/>
        <v>23.6</v>
      </c>
      <c r="I17" s="4" t="str">
        <f>IF(Mode = 2,IF(Table2[[#This Row],[Vin]]&gt;Vout, "BUCK","BOOST"),IF(Table2[[#This Row],[Vin]]&gt;VIN_BB_to_buck, "BUCK", IF(Table2[[#This Row],[Vin]]&lt;=VIN_boost_to_BB,"BOOST","BUCK-BST")))</f>
        <v>BUCK</v>
      </c>
      <c r="J17">
        <f>IF(Table2[[#This Row],[Mode]]="BOOST",2, IF(Table2[[#This Row],[Mode]]="BUCK", 1,3))</f>
        <v>1</v>
      </c>
      <c r="K17" s="354">
        <f t="shared" si="3"/>
        <v>0.96</v>
      </c>
      <c r="L17" s="4">
        <f>Vout*Table2[[#This Row],[Iout]]/(Table2[[#This Row],[Vin]]*Efficiency)</f>
        <v>0.62515611061552179</v>
      </c>
      <c r="M17" s="711">
        <f>MIN(1/Fsw,CHOOSE(Table2[[#This Row],[Mode Digit]],(Vout+(Rdson2+Rs+Rdcr)*Table2[[#This Row],[Iout]])/(Table2[[#This Row],[Vin]]+(Rs+Rdson2-Rdson1)*Table2[[#This Row],[Iout]])/Fsw,(Vout+(Rdson3+Rdcr)*Table2[[#This Row],[Iin]]-Table2[[#This Row],[Vin]])/(Vout+(Rdson3-Rdson4-Rs)*Table2[[#This Row],[Iin]])/Fsw,t1_Ph_II))</f>
        <v>1.0318159735168174E-6</v>
      </c>
      <c r="N17" s="602">
        <f>CHOOSE(Table2[[#This Row],[Mode Digit]],1/Fsw-Table2[[#This Row],[t1_Ph_II]],1/Fsw-Table2[[#This Row],[t1_Ph_II]],(Vout/Fsw-Table2[[#This Row],[Vin]]*t1_Ph_II)/(Table2[[#This Row],[Vin]]+Vout))</f>
        <v>6.3485069314984926E-7</v>
      </c>
      <c r="O17" s="602">
        <f>1/Fsw-(Table2[[#This Row],[t1_Ph_II]]+Table2[[#This Row],[t2_Ph_I]])</f>
        <v>0</v>
      </c>
      <c r="P1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-0.79877722758548453</v>
      </c>
      <c r="Q17" s="4">
        <f>CHOOSE(Table2[[#This Row],[Mode Digit]],Table2[[#This Row],[I_0]]+1/Lf*(Table2[[#This Row],[Vin]]-Vout)*Table2[[#This Row],[t1_Ph_II]],Table2[[#This Row],[I_0]]+1/Lf*Table2[[#This Row],[Vin]]*Table2[[#This Row],[t1_Ph_II]],Table2[[#This Row],[I_0]]+(Table2[[#This Row],[Vin]]-Vout)/L*Table2[[#This Row],[t1_Ph_II]])</f>
        <v>2.7187772275854845</v>
      </c>
      <c r="R17" s="4">
        <f>CHOOSE(Table2[[#This Row],[Mode Digit]],0,0,Table2[[#This Row],[I_1]]+Table2[[#This Row],[Vin]]/L*Table2[[#This Row],[t2_Ph_I]])</f>
        <v>0</v>
      </c>
      <c r="S17" s="409">
        <f>Fsw*(Table2[[#This Row],[I_0]]*Table2[[#This Row],[t1_Ph_II]]+Table2[[#This Row],[I_1]]*Table2[[#This Row],[t2_Ph_I]]+Table2[[#This Row],[I_2]]*Table2[[#This Row],[t3_Ph_III]])</f>
        <v>0.54109590284909337</v>
      </c>
      <c r="T17" s="354">
        <f>MIN(1,CHOOSE(Table2[[#This Row],[Mode Digit]],(Vout+(Rdson2+Rs+Rdcr)*Table2[[#This Row],[Iout]])/(Table2[[#This Row],[Vin]]+(Rs+Rdson2-Rdson1)*Table2[[#This Row],[Iout]]),1,Fsw*Table2[[#This Row],[t2_Ph_I]]+Table2[[#This Row],[t1_Ph_II]]))</f>
        <v>0.61908958411009041</v>
      </c>
      <c r="U17" s="354">
        <f>MIN(1,CHOOSE(Table2[[#This Row],[Mode Digit]],0,(Vout+(Rdson3+Rdcr)*Table2[[#This Row],[Iin]]-Table2[[#This Row],[Vin]])/(Vout+(Rdson3-Rdson4-Rs)*Table2[[#This Row],[Iin]]),Fsw*Table2[[#This Row],[t1_Ph_II]]+Table2[[#This Row],[t3_Ph_III]]))</f>
        <v>0</v>
      </c>
      <c r="V17" s="4">
        <f>MAX(Table2[[#This Row],[I_0]:[I_2]])-MIN(Table2[[#This Row],[I_0]:[I_1]])</f>
        <v>3.517554455170969</v>
      </c>
      <c r="W1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1.3973901073397845</v>
      </c>
      <c r="X17" s="354">
        <f>(Table2[[#This Row],[Irms Lf]]^2*Rdcr*(1+Ltc*Ta-Ltc*25))/(1-Table2[[#This Row],[Irms Lf]]^2*Rdcr*Ltc*ThetaCa)</f>
        <v>1.1335925792763187E-2</v>
      </c>
      <c r="Y17" s="354">
        <f>ABS(7.759*10^-3*Fsw^0.9458*(0.00787*Table2[[#This Row],[Ripple Current pk-pk]])^2.304)</f>
        <v>0.58296953373176708</v>
      </c>
      <c r="Z17" s="354">
        <f>Table2[[#This Row],[DCR    Loss]]+Table2[[#This Row],[Core Loss]]</f>
        <v>0.59430545952453029</v>
      </c>
      <c r="AA17" s="4">
        <f>IF(Table2[[#This Row],[Vin]]&gt;Vout, Table2[[#This Row],[Ripple Current pk-pk]]/SQRT(12), SQRT(Table2[[#This Row],[Duty Cycle BOOST Leg]]/(1-Table2[[#This Row],[Duty Cycle BOOST Leg]]))*SQRT(Table2[[#This Row],[Iout]]^2+(Table2[[#This Row],[Ripple Current pk-pk]]^2)/12))</f>
        <v>1.0154305057910633</v>
      </c>
      <c r="AB17" s="354">
        <f>RCoutEsr*Table2[[#This Row],[Irms Cout]]^2</f>
        <v>5.1554955604554732E-3</v>
      </c>
      <c r="AC17" s="354">
        <f>Table2[[#This Row],[Cout ESR Loss]]</f>
        <v>5.1554955604554732E-3</v>
      </c>
      <c r="AD17" s="4">
        <f>IF(Table2[[#This Row],[Vin]]&gt;Vout, SQRT(Table2[[#This Row],[Duty Cycle BUCK Leg]]*(1-Table2[[#This Row],[Duty Cycle BUCK Leg]]))*SQRT(Table2[[#This Row],[Iout]]^2+(Table2[[#This Row],[Ripple Current pk-pk]]^2)/12), Table2[[#This Row],[Ripple Current pk-pk]]/SQRT(12))</f>
        <v>0.67858747165867972</v>
      </c>
      <c r="AE17" s="354">
        <f>RCinEsr*Table2[[#This Row],[Irms Cin]]^2</f>
        <v>9.2096191338423899E-4</v>
      </c>
      <c r="AF17" s="549">
        <f>Table2[[#This Row],[Cin ESR Loss]]</f>
        <v>9.2096191338423899E-4</v>
      </c>
      <c r="AG17" s="354">
        <f>Table2[[#This Row],[Irms Lf]]</f>
        <v>1.3973901073397845</v>
      </c>
      <c r="AH17" s="354">
        <f>Rdson1*Table2[[#This Row],[Irms BuCtrl]]^2</f>
        <v>8.2013362707825978E-3</v>
      </c>
      <c r="AI17" s="354">
        <f>CHOOSE(Table2[[#This Row],[Mode Digit]], (Table2[[#This Row],[Vin]]*Table2[[#This Row],[Iout]]/2)*(Fsw)*(Tr_buck+Tf_buck), 0, (Table2[[#This Row],[Vin]]*Table2[[#This Row],[Avg IL]]/2)*(Fsw/1)*(Tr_buck+Tf_buck))</f>
        <v>0.22466520945645588</v>
      </c>
      <c r="AJ17">
        <f>IF(Table2[[#This Row],[Vin]]&gt;Vout, IF(Table2[[#This Row],[Iout]]&gt;Table2[[#This Row],[Ripple Current pk-pk]]/2,0,ABS(Table2[[#This Row],[Iout]]-Table2[[#This Row],[Ripple Current pk-pk]]/2)*Vsd_Q1*Deadtime*Fsw),0)</f>
        <v>1.9216297875056514E-2</v>
      </c>
      <c r="AK17" s="354">
        <f>(Table2[[#This Row],[Dead Time Loss BuCtrl]]+Table2[[#This Row],[Transition Loss BuCtrl]]+Table2[[#This Row],[RDS(on) Loss BuCtrl]]*(1+RdsonTopTc*Ta-RdsonTopTc*25))/(1-Table2[[#This Row],[RDS(on) Loss BuCtrl]]*RdsonTopTc*ThetaJA_Q1)</f>
        <v>0.25258000204999587</v>
      </c>
      <c r="AL17" s="354">
        <f>Table2[[#This Row],[Irms Lf]]</f>
        <v>1.3973901073397845</v>
      </c>
      <c r="AM17" s="354">
        <f>Rdson2*Table2[[#This Row],[Irms BuSync]]^2</f>
        <v>8.2013362707825978E-3</v>
      </c>
      <c r="AN1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6.5406012160770799E-2</v>
      </c>
      <c r="AO17" s="354">
        <f>(Table2[[#This Row],[Deadtime Loss BuSync]]+Table2[[#This Row],[RDS(on) Loss BuSync]]*(1+RdsonBotTc*Ta-RdsonBotTc*25))/(1-Table2[[#This Row],[RDS(on) Loss BuSync]]*RdsonBotTc*ThetaJA_Q2)</f>
        <v>7.3752517037884033E-2</v>
      </c>
      <c r="AP17" s="354">
        <f>Table2[[#This Row],[Irms Lf]]</f>
        <v>1.3973901073397845</v>
      </c>
      <c r="AQ17" s="354">
        <f>Rdson4*Table2[[#This Row],[Irms BoCtlr]]^2</f>
        <v>8.2013362707825978E-3</v>
      </c>
      <c r="AR17" s="354">
        <f>CHOOSE(Table2[[#This Row],[Mode Digit]], 0, (Vout*Table2[[#This Row],[Iin]]/2)*(Fsw)*(Tr_boost+Tf_boost), (Vout*Iout/2)*(Fsw/1)*(Tr_boost+Tf_boost))</f>
        <v>0</v>
      </c>
      <c r="AS17" s="354">
        <f>IF(Table2[[#This Row],[Vin]]&gt;Vout, 0, IF(Table2[[#This Row],[Iin]]&gt;Table2[[#This Row],[Ripple Current pk-pk]]/2,0,ABS(Table2[[#This Row],[Iin]]-Table2[[#This Row],[Ripple Current pk-pk]]/2)*Vsd_Q4*Deadtime*Fsw))</f>
        <v>0</v>
      </c>
      <c r="AT17" s="354">
        <f>(Table2[[#This Row],[Dead Time Loss BoCtlr]]+Table2[[#This Row],[Transition Loss BoCtlr]]+Table2[[#This Row],[RDS(on) Loss BoCtlr]]*(1+RdsonTopTc*Ta-RdsonTopTc*25))/(1-Table2[[#This Row],[RDS(on) Loss BoCtlr]]*RdsonTopTc*ThetaJA_Q4)</f>
        <v>8.2175109677639132E-3</v>
      </c>
      <c r="AU17" s="354">
        <f>Table2[[#This Row],[Irms Lf]]</f>
        <v>1.3973901073397845</v>
      </c>
      <c r="AV17" s="354">
        <f>Rdson3*Table2[[#This Row],[Irms BoSync]]^2</f>
        <v>8.2013362707825978E-3</v>
      </c>
      <c r="AW1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7" s="354">
        <f>(Table2[[#This Row],[Deadtime Loss BoSync]]+Table2[[#This Row],[RDS(on) Loss BoSync]]*(1+RdsonBotTc*Ta-RdsonBotTc*25))/(1-Table2[[#This Row],[RDS(on) Loss BoSync]]*RdsonBotTc*ThetaJA_Q3)</f>
        <v>8.2175109677639132E-3</v>
      </c>
      <c r="AY17" s="354">
        <f>CHOOSE(Table2[[#This Row],[Mode Digit]], Rdson3*Table2[[#This Row],[Irms Lf]]^2, Rdson1*Table2[[#This Row],[Irms Lf]]^2, 0)</f>
        <v>8.2013362707825978E-3</v>
      </c>
      <c r="AZ17" s="354">
        <f>CHOOSE(Table2[[#This Row],[Mode Digit]], 2*Deadtime*Fsw*IF(VfdSky_Q2&gt;0,VfdSky_Q2,0)*Table2[[#This Row],[Iout]], 2*Deadtime*Fsw*IF(VfdSky_Q3&gt;0,VfdSky_Q3,0)*Table2[[#This Row],[Iin]], 2*Deadtime*Fsw*IF(VfdSky_Q2&gt;0,VfdSky_Q2,0)*Table2[[#This Row],[Iout]]+2*Deadtime*Fsw*IF(VfdSky_Q3&gt;0,VfdSky_Q3,0)*Table2[[#This Row],[Iin]])</f>
        <v>0</v>
      </c>
      <c r="BA1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2.2652129280000002E-2</v>
      </c>
      <c r="BB1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2.2652129280000002E-2</v>
      </c>
      <c r="BC17" s="354">
        <f>CHOOSE(Table2[[#This Row],[Mode Digit]], Rs*Table2[[#This Row],[Irms BuSync]]^2, Rs*Table2[[#This Row],[Irms BoCtlr]]^2, Rs*(Table2[[#This Row],[Irms BuSync]]^2+Table2[[#This Row],[Irms BoCtlr]]^2))</f>
        <v>4.8817477802277362E-3</v>
      </c>
      <c r="BD17" s="354">
        <f t="shared" si="1"/>
        <v>1.44</v>
      </c>
      <c r="BE17" s="354">
        <f>IF(Vout&gt;8, Iq*Vout, Iq*Table2[[#This Row],[Vin]])</f>
        <v>4.3799999999999999E-2</v>
      </c>
      <c r="BF17" s="354">
        <f>CHOOSE(Table2[[#This Row],[Mode Digit]], (Qg_Q1+Qg_Q2)*Fsw, (Qg_Q3+Qg_Q4)*Fsw, (Qg_Q1+Qg_Q2+Qg_Q3+Qg_Q4)*Fsw)*IF(Vout&gt;8, Vout, Table2[[#This Row],[Vin]])</f>
        <v>0.47303999999999996</v>
      </c>
      <c r="BG17" s="354">
        <f t="shared" si="4"/>
        <v>0.57269042016806726</v>
      </c>
      <c r="BH17" s="354">
        <f>Table2[[#This Row],[IQ Loss]]+Table2[[#This Row],[Switching Current Loss]]</f>
        <v>0.51683999999999997</v>
      </c>
      <c r="BI1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2.9501754643620055</v>
      </c>
      <c r="BJ17">
        <f>Vout*Table2[[#This Row],[Iout]]</f>
        <v>14.016</v>
      </c>
      <c r="BK17" s="550">
        <f>Table2[[#This Row],[Pout]]/(Table2[[#This Row],[Pout]]+Table2[[#This Row],[Total Loss]])</f>
        <v>0.82611429013221371</v>
      </c>
      <c r="BL17" s="559">
        <f>IF(Table2[[#This Row],[Vin]]&gt;Vout,ThetaJA_Q1*(Table2[[#This Row],[Total Control Bu MOSFET Loss]]+Table2[[#This Row],[Reverse Recovery Loss MOSFET D BUCK]]),ThetaJA_Q4*(Table2[[#This Row],[Total Control Bo MOSFET Loss]]+Table2[[#This Row],[Reverse Recovery Loss MOSFET D BOOST]]))</f>
        <v>16.513927879799752</v>
      </c>
      <c r="BM17" s="559">
        <f>IF(Table2[[#This Row],[Vin]]&gt;Vout, Table2[[#This Row],[Total Sync Bu MOSFET Loss]]*ThetaJA_Q2, ThetaJA_Q3*Table2[[#This Row],[Total Sync Bo MOSFET Loss]])</f>
        <v>4.4251510222730417</v>
      </c>
      <c r="BN17" s="9"/>
      <c r="BO17" s="4">
        <f>Table2[[#This Row],[EFF, h]]*100</f>
        <v>82.611429013221368</v>
      </c>
      <c r="BP17" s="354">
        <f>Table2[[#This Row],[Total Inductor Loss]]</f>
        <v>0.59430545952453029</v>
      </c>
      <c r="BQ17" s="354">
        <f>Table2[[#This Row],[Total Control Bu MOSFET Loss]]+Table2[[#This Row],[Total Sync Bu MOSFET Loss]]+Table2[[#This Row],[Total Control Bo MOSFET Loss]]+Table2[[#This Row],[Total Sync Bo MOSFET Loss]]+Table2[[#This Row],[Reverse Recovery Loss MOSFET D BUCK]]+Table2[[#This Row],[Reverse Recovery Loss MOSFET D BOOST]]</f>
        <v>0.38807179958340771</v>
      </c>
      <c r="BR17" s="354">
        <f xml:space="preserve"> Table2[[#This Row],[Total Control Bu MOSFET Loss]]+Table2[[#This Row],[Reverse Recovery Loss MOSFET D BUCK]]*0.66</f>
        <v>0.26753040737479589</v>
      </c>
      <c r="BS17" s="354">
        <f>Table2[[#This Row],[Total Sync Bu MOSFET Loss]]+Table2[[#This Row],[Reverse Recovery Loss MOSFET D BUCK]]*0.33</f>
        <v>8.1227719700284029E-2</v>
      </c>
      <c r="BT17" s="354">
        <f xml:space="preserve"> Table2[[#This Row],[Total Control Bo MOSFET Loss]]+Table2[[#This Row],[Reverse Recovery Loss MOSFET D BOOST]]*0.66</f>
        <v>2.3167916292563914E-2</v>
      </c>
      <c r="BU17" s="354">
        <f xml:space="preserve"> Table2[[#This Row],[Total Sync Bo MOSFET Loss]]+Table2[[#This Row],[Reverse Recovery Loss MOSFET D BOOST]]*0.33</f>
        <v>1.5692713630163915E-2</v>
      </c>
      <c r="BV17" s="354">
        <f>Table2[[#This Row],[Isense Shunt Loss]]</f>
        <v>4.8817477802277362E-3</v>
      </c>
      <c r="BZ17" t="s">
        <v>142</v>
      </c>
      <c r="CA17" s="18">
        <v>50</v>
      </c>
      <c r="CB17" s="18">
        <v>50</v>
      </c>
      <c r="CC17" s="18">
        <v>50</v>
      </c>
      <c r="CD17" s="19">
        <f>500000*(18-Vdd)*CC17/1000000000+((500000*CC15/1000000000*Vdd)*2.5/(2*4))</f>
        <v>0.28593750000000001</v>
      </c>
      <c r="CE17">
        <f t="shared" si="2"/>
        <v>22.875</v>
      </c>
      <c r="CF17">
        <f t="shared" si="2"/>
        <v>28.59375</v>
      </c>
      <c r="CG17">
        <f t="shared" si="2"/>
        <v>34.3125</v>
      </c>
      <c r="CH17">
        <f t="shared" si="2"/>
        <v>40.03125</v>
      </c>
      <c r="CI17">
        <f t="shared" si="2"/>
        <v>45.75</v>
      </c>
      <c r="CJ17">
        <f t="shared" si="2"/>
        <v>51.46875</v>
      </c>
      <c r="CK17">
        <f t="shared" si="2"/>
        <v>5.71875</v>
      </c>
      <c r="CL17">
        <f t="shared" si="2"/>
        <v>8.578125</v>
      </c>
      <c r="CM17">
        <f t="shared" si="2"/>
        <v>11.4375</v>
      </c>
      <c r="CN17">
        <f t="shared" si="2"/>
        <v>14.296875</v>
      </c>
    </row>
    <row r="18" spans="1:92" x14ac:dyDescent="0.2">
      <c r="A18" s="35" t="s">
        <v>60</v>
      </c>
      <c r="B18" s="38">
        <f>Lf*1000000</f>
        <v>2.64</v>
      </c>
      <c r="C18" s="441" t="s">
        <v>11</v>
      </c>
      <c r="D18" s="440" t="s">
        <v>640</v>
      </c>
      <c r="G18">
        <v>9</v>
      </c>
      <c r="H18" s="555">
        <f t="shared" si="0"/>
        <v>23.6</v>
      </c>
      <c r="I18" s="4" t="str">
        <f>IF(Mode = 2,IF(Table2[[#This Row],[Vin]]&gt;Vout, "BUCK","BOOST"),IF(Table2[[#This Row],[Vin]]&gt;VIN_BB_to_buck, "BUCK", IF(Table2[[#This Row],[Vin]]&lt;=VIN_boost_to_BB,"BOOST","BUCK-BST")))</f>
        <v>BUCK</v>
      </c>
      <c r="J18">
        <f>IF(Table2[[#This Row],[Mode]]="BOOST",2, IF(Table2[[#This Row],[Mode]]="BUCK", 1,3))</f>
        <v>1</v>
      </c>
      <c r="K18" s="354">
        <f t="shared" si="3"/>
        <v>1.08</v>
      </c>
      <c r="L18" s="4">
        <f>Vout*Table2[[#This Row],[Iout]]/(Table2[[#This Row],[Vin]]*Efficiency)</f>
        <v>0.70330062444246211</v>
      </c>
      <c r="M18" s="711">
        <f>MIN(1/Fsw,CHOOSE(Table2[[#This Row],[Mode Digit]],(Vout+(Rdson2+Rs+Rdcr)*Table2[[#This Row],[Iout]])/(Table2[[#This Row],[Vin]]+(Rs+Rdson2-Rdson1)*Table2[[#This Row],[Iout]])/Fsw,(Vout+(Rdson3+Rdcr)*Table2[[#This Row],[Iin]]-Table2[[#This Row],[Vin]])/(Vout+(Rdson3-Rdson4-Rs)*Table2[[#This Row],[Iin]])/Fsw,t1_Ph_II))</f>
        <v>1.031908778797906E-6</v>
      </c>
      <c r="N18" s="602">
        <f>CHOOSE(Table2[[#This Row],[Mode Digit]],1/Fsw-Table2[[#This Row],[t1_Ph_II]],1/Fsw-Table2[[#This Row],[t1_Ph_II]],(Vout/Fsw-Table2[[#This Row],[Vin]]*t1_Ph_II)/(Table2[[#This Row],[Vin]]+Vout))</f>
        <v>6.3475788786876068E-7</v>
      </c>
      <c r="O18" s="602">
        <f>1/Fsw-(Table2[[#This Row],[t1_Ph_II]]+Table2[[#This Row],[t2_Ph_I]])</f>
        <v>0</v>
      </c>
      <c r="P1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-0.67893541840552185</v>
      </c>
      <c r="Q18" s="4">
        <f>CHOOSE(Table2[[#This Row],[Mode Digit]],Table2[[#This Row],[I_0]]+1/Lf*(Table2[[#This Row],[Vin]]-Vout)*Table2[[#This Row],[t1_Ph_II]],Table2[[#This Row],[I_0]]+1/Lf*Table2[[#This Row],[Vin]]*Table2[[#This Row],[t1_Ph_II]],Table2[[#This Row],[I_0]]+(Table2[[#This Row],[Vin]]-Vout)/L*Table2[[#This Row],[t1_Ph_II]])</f>
        <v>2.838935418405522</v>
      </c>
      <c r="R18" s="4">
        <f>CHOOSE(Table2[[#This Row],[Mode Digit]],0,0,Table2[[#This Row],[I_1]]+Table2[[#This Row],[Vin]]/L*Table2[[#This Row],[t2_Ph_I]])</f>
        <v>0</v>
      </c>
      <c r="S18" s="409">
        <f>Fsw*(Table2[[#This Row],[I_0]]*Table2[[#This Row],[t1_Ph_II]]+Table2[[#This Row],[I_1]]*Table2[[#This Row],[t2_Ph_I]]+Table2[[#This Row],[I_2]]*Table2[[#This Row],[t3_Ph_III]])</f>
        <v>0.66086233889605084</v>
      </c>
      <c r="T18" s="354">
        <f>MIN(1,CHOOSE(Table2[[#This Row],[Mode Digit]],(Vout+(Rdson2+Rs+Rdcr)*Table2[[#This Row],[Iout]])/(Table2[[#This Row],[Vin]]+(Rs+Rdson2-Rdson1)*Table2[[#This Row],[Iout]]),1,Fsw*Table2[[#This Row],[t2_Ph_I]]+Table2[[#This Row],[t1_Ph_II]]))</f>
        <v>0.61914526727874353</v>
      </c>
      <c r="U18" s="354">
        <f>MIN(1,CHOOSE(Table2[[#This Row],[Mode Digit]],0,(Vout+(Rdson3+Rdcr)*Table2[[#This Row],[Iin]]-Table2[[#This Row],[Vin]])/(Vout+(Rdson3-Rdson4-Rs)*Table2[[#This Row],[Iin]]),Fsw*Table2[[#This Row],[t1_Ph_II]]+Table2[[#This Row],[t3_Ph_III]]))</f>
        <v>0</v>
      </c>
      <c r="V18" s="4">
        <f>MAX(Table2[[#This Row],[I_0]:[I_2]])-MIN(Table2[[#This Row],[I_0]:[I_1]])</f>
        <v>3.5178708368110438</v>
      </c>
      <c r="W1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1.482458971452657</v>
      </c>
      <c r="X18" s="354">
        <f>(Table2[[#This Row],[Irms Lf]]^2*Rdcr*(1+Ltc*Ta-Ltc*25))/(1-Table2[[#This Row],[Irms Lf]]^2*Rdcr*Ltc*ThetaCa)</f>
        <v>1.2759581964915849E-2</v>
      </c>
      <c r="Y18" s="354">
        <f>ABS(7.759*10^-3*Fsw^0.9458*(0.00787*Table2[[#This Row],[Ripple Current pk-pk]])^2.304)</f>
        <v>0.58309034967397111</v>
      </c>
      <c r="Z18" s="354">
        <f>Table2[[#This Row],[DCR    Loss]]+Table2[[#This Row],[Core Loss]]</f>
        <v>0.595849931638887</v>
      </c>
      <c r="AA18" s="4">
        <f>IF(Table2[[#This Row],[Vin]]&gt;Vout, Table2[[#This Row],[Ripple Current pk-pk]]/SQRT(12), SQRT(Table2[[#This Row],[Duty Cycle BOOST Leg]]/(1-Table2[[#This Row],[Duty Cycle BOOST Leg]]))*SQRT(Table2[[#This Row],[Iout]]^2+(Table2[[#This Row],[Ripple Current pk-pk]]^2)/12))</f>
        <v>1.0155218373035952</v>
      </c>
      <c r="AB18" s="354">
        <f>RCoutEsr*Table2[[#This Row],[Irms Cout]]^2</f>
        <v>5.1564230102023488E-3</v>
      </c>
      <c r="AC18" s="354">
        <f>Table2[[#This Row],[Cout ESR Loss]]</f>
        <v>5.1564230102023488E-3</v>
      </c>
      <c r="AD18" s="4">
        <f>IF(Table2[[#This Row],[Vin]]&gt;Vout, SQRT(Table2[[#This Row],[Duty Cycle BUCK Leg]]*(1-Table2[[#This Row],[Duty Cycle BUCK Leg]]))*SQRT(Table2[[#This Row],[Iout]]^2+(Table2[[#This Row],[Ripple Current pk-pk]]^2)/12), Table2[[#This Row],[Ripple Current pk-pk]]/SQRT(12))</f>
        <v>0.71987756638773204</v>
      </c>
      <c r="AE18" s="354">
        <f>RCinEsr*Table2[[#This Row],[Irms Cin]]^2</f>
        <v>1.036447421176647E-3</v>
      </c>
      <c r="AF18" s="549">
        <f>Table2[[#This Row],[Cin ESR Loss]]</f>
        <v>1.036447421176647E-3</v>
      </c>
      <c r="AG18" s="354">
        <f>Table2[[#This Row],[Irms Lf]]</f>
        <v>1.482458971452657</v>
      </c>
      <c r="AH18" s="354">
        <f>Rdson1*Table2[[#This Row],[Irms BuCtrl]]^2</f>
        <v>9.2302753285699746E-3</v>
      </c>
      <c r="AI18" s="354">
        <f>CHOOSE(Table2[[#This Row],[Mode Digit]], (Table2[[#This Row],[Vin]]*Table2[[#This Row],[Iout]]/2)*(Fsw)*(Tr_buck+Tf_buck), 0, (Table2[[#This Row],[Vin]]*Table2[[#This Row],[Avg IL]]/2)*(Fsw/1)*(Tr_buck+Tf_buck))</f>
        <v>0.25274836063851291</v>
      </c>
      <c r="AJ18">
        <f>IF(Table2[[#This Row],[Vin]]&gt;Vout, IF(Table2[[#This Row],[Iout]]&gt;Table2[[#This Row],[Ripple Current pk-pk]]/2,0,ABS(Table2[[#This Row],[Iout]]-Table2[[#This Row],[Ripple Current pk-pk]]/2)*Vsd_Q1*Deadtime*Fsw),0)</f>
        <v>1.6333246351355697E-2</v>
      </c>
      <c r="AK18" s="354">
        <f>(Table2[[#This Row],[Dead Time Loss BuCtrl]]+Table2[[#This Row],[Transition Loss BuCtrl]]+Table2[[#This Row],[RDS(on) Loss BuCtrl]]*(1+RdsonTopTc*Ta-RdsonTopTc*25))/(1-Table2[[#This Row],[RDS(on) Loss BuCtrl]]*RdsonTopTc*ThetaJA_Q1)</f>
        <v>0.27892978601177321</v>
      </c>
      <c r="AL18" s="354">
        <f>Table2[[#This Row],[Irms Lf]]</f>
        <v>1.482458971452657</v>
      </c>
      <c r="AM18" s="354">
        <f>Rdson2*Table2[[#This Row],[Irms BuSync]]^2</f>
        <v>9.2302753285699746E-3</v>
      </c>
      <c r="AN1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6.8296674922784267E-2</v>
      </c>
      <c r="AO18" s="354">
        <f>(Table2[[#This Row],[Deadtime Loss BuSync]]+Table2[[#This Row],[RDS(on) Loss BuSync]]*(1+RdsonBotTc*Ta-RdsonBotTc*25))/(1-Table2[[#This Row],[RDS(on) Loss BuSync]]*RdsonBotTc*ThetaJA_Q2)</f>
        <v>7.7699074375176133E-2</v>
      </c>
      <c r="AP18" s="354">
        <f>Table2[[#This Row],[Irms Lf]]</f>
        <v>1.482458971452657</v>
      </c>
      <c r="AQ18" s="354">
        <f>Rdson4*Table2[[#This Row],[Irms BoCtlr]]^2</f>
        <v>9.2302753285699746E-3</v>
      </c>
      <c r="AR18" s="354">
        <f>CHOOSE(Table2[[#This Row],[Mode Digit]], 0, (Vout*Table2[[#This Row],[Iin]]/2)*(Fsw)*(Tr_boost+Tf_boost), (Vout*Iout/2)*(Fsw/1)*(Tr_boost+Tf_boost))</f>
        <v>0</v>
      </c>
      <c r="AS18" s="354">
        <f>IF(Table2[[#This Row],[Vin]]&gt;Vout, 0, IF(Table2[[#This Row],[Iin]]&gt;Table2[[#This Row],[Ripple Current pk-pk]]/2,0,ABS(Table2[[#This Row],[Iin]]-Table2[[#This Row],[Ripple Current pk-pk]]/2)*Vsd_Q4*Deadtime*Fsw))</f>
        <v>0</v>
      </c>
      <c r="AT18" s="354">
        <f>(Table2[[#This Row],[Dead Time Loss BoCtlr]]+Table2[[#This Row],[Transition Loss BoCtlr]]+Table2[[#This Row],[RDS(on) Loss BoCtlr]]*(1+RdsonTopTc*Ta-RdsonTopTc*25))/(1-Table2[[#This Row],[RDS(on) Loss BoCtlr]]*RdsonTopTc*ThetaJA_Q4)</f>
        <v>9.2507682416590881E-3</v>
      </c>
      <c r="AU18" s="354">
        <f>Table2[[#This Row],[Irms Lf]]</f>
        <v>1.482458971452657</v>
      </c>
      <c r="AV18" s="354">
        <f>Rdson3*Table2[[#This Row],[Irms BoSync]]^2</f>
        <v>9.2302753285699746E-3</v>
      </c>
      <c r="AW1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8" s="354">
        <f>(Table2[[#This Row],[Deadtime Loss BoSync]]+Table2[[#This Row],[RDS(on) Loss BoSync]]*(1+RdsonBotTc*Ta-RdsonBotTc*25))/(1-Table2[[#This Row],[RDS(on) Loss BoSync]]*RdsonBotTc*ThetaJA_Q3)</f>
        <v>9.2507682416590881E-3</v>
      </c>
      <c r="AY18" s="354">
        <f>CHOOSE(Table2[[#This Row],[Mode Digit]], Rdson3*Table2[[#This Row],[Irms Lf]]^2, Rdson1*Table2[[#This Row],[Irms Lf]]^2, 0)</f>
        <v>9.2302753285699746E-3</v>
      </c>
      <c r="AZ18" s="354">
        <f>CHOOSE(Table2[[#This Row],[Mode Digit]], 2*Deadtime*Fsw*IF(VfdSky_Q2&gt;0,VfdSky_Q2,0)*Table2[[#This Row],[Iout]], 2*Deadtime*Fsw*IF(VfdSky_Q3&gt;0,VfdSky_Q3,0)*Table2[[#This Row],[Iin]], 2*Deadtime*Fsw*IF(VfdSky_Q2&gt;0,VfdSky_Q2,0)*Table2[[#This Row],[Iout]]+2*Deadtime*Fsw*IF(VfdSky_Q3&gt;0,VfdSky_Q3,0)*Table2[[#This Row],[Iin]])</f>
        <v>0</v>
      </c>
      <c r="BA1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2.5483101120000001E-2</v>
      </c>
      <c r="BB1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2.5483101120000001E-2</v>
      </c>
      <c r="BC18" s="354">
        <f>CHOOSE(Table2[[#This Row],[Mode Digit]], Rs*Table2[[#This Row],[Irms BuSync]]^2, Rs*Table2[[#This Row],[Irms BoCtlr]]^2, Rs*(Table2[[#This Row],[Irms BuSync]]^2+Table2[[#This Row],[Irms BoCtlr]]^2))</f>
        <v>5.4942115051011741E-3</v>
      </c>
      <c r="BD18" s="354">
        <f t="shared" si="1"/>
        <v>1.44</v>
      </c>
      <c r="BE18" s="354">
        <f>IF(Vout&gt;8, Iq*Vout, Iq*Table2[[#This Row],[Vin]])</f>
        <v>4.3799999999999999E-2</v>
      </c>
      <c r="BF18" s="354">
        <f>CHOOSE(Table2[[#This Row],[Mode Digit]], (Qg_Q1+Qg_Q2)*Fsw, (Qg_Q3+Qg_Q4)*Fsw, (Qg_Q1+Qg_Q2+Qg_Q3+Qg_Q4)*Fsw)*IF(Vout&gt;8, Vout, Table2[[#This Row],[Vin]])</f>
        <v>0.47303999999999996</v>
      </c>
      <c r="BG18" s="354">
        <f t="shared" si="4"/>
        <v>0.57269042016806726</v>
      </c>
      <c r="BH18" s="354">
        <f>Table2[[#This Row],[IQ Loss]]+Table2[[#This Row],[Switching Current Loss]]</f>
        <v>0.51683999999999997</v>
      </c>
      <c r="BI1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2.9904736126856344</v>
      </c>
      <c r="BJ18">
        <f>Vout*Table2[[#This Row],[Iout]]</f>
        <v>15.768000000000001</v>
      </c>
      <c r="BK18" s="550">
        <f>Table2[[#This Row],[Pout]]/(Table2[[#This Row],[Pout]]+Table2[[#This Row],[Total Loss]])</f>
        <v>0.84058011998037563</v>
      </c>
      <c r="BL18" s="559">
        <f>IF(Table2[[#This Row],[Vin]]&gt;Vout,ThetaJA_Q1*(Table2[[#This Row],[Total Control Bu MOSFET Loss]]+Table2[[#This Row],[Reverse Recovery Loss MOSFET D BUCK]]),ThetaJA_Q4*(Table2[[#This Row],[Total Control Bo MOSFET Loss]]+Table2[[#This Row],[Reverse Recovery Loss MOSFET D BOOST]]))</f>
        <v>18.264773227906392</v>
      </c>
      <c r="BM18" s="559">
        <f>IF(Table2[[#This Row],[Vin]]&gt;Vout, Table2[[#This Row],[Total Sync Bu MOSFET Loss]]*ThetaJA_Q2, ThetaJA_Q3*Table2[[#This Row],[Total Sync Bo MOSFET Loss]])</f>
        <v>4.6619444625105677</v>
      </c>
      <c r="BN18" s="9"/>
      <c r="BO18" s="4">
        <f>Table2[[#This Row],[EFF, h]]*100</f>
        <v>84.058011998037557</v>
      </c>
      <c r="BP18" s="354">
        <f>Table2[[#This Row],[Total Inductor Loss]]</f>
        <v>0.595849931638887</v>
      </c>
      <c r="BQ18" s="354">
        <f>Table2[[#This Row],[Total Control Bu MOSFET Loss]]+Table2[[#This Row],[Total Sync Bu MOSFET Loss]]+Table2[[#This Row],[Total Control Bo MOSFET Loss]]+Table2[[#This Row],[Total Sync Bo MOSFET Loss]]+Table2[[#This Row],[Reverse Recovery Loss MOSFET D BUCK]]+Table2[[#This Row],[Reverse Recovery Loss MOSFET D BOOST]]</f>
        <v>0.42609659911026759</v>
      </c>
      <c r="BR18" s="354">
        <f xml:space="preserve"> Table2[[#This Row],[Total Control Bu MOSFET Loss]]+Table2[[#This Row],[Reverse Recovery Loss MOSFET D BUCK]]*0.66</f>
        <v>0.29574863275097318</v>
      </c>
      <c r="BS18" s="354">
        <f>Table2[[#This Row],[Total Sync Bu MOSFET Loss]]+Table2[[#This Row],[Reverse Recovery Loss MOSFET D BUCK]]*0.33</f>
        <v>8.6108497744776136E-2</v>
      </c>
      <c r="BT18" s="354">
        <f xml:space="preserve"> Table2[[#This Row],[Total Control Bo MOSFET Loss]]+Table2[[#This Row],[Reverse Recovery Loss MOSFET D BOOST]]*0.66</f>
        <v>2.606961498085909E-2</v>
      </c>
      <c r="BU18" s="354">
        <f xml:space="preserve"> Table2[[#This Row],[Total Sync Bo MOSFET Loss]]+Table2[[#This Row],[Reverse Recovery Loss MOSFET D BOOST]]*0.33</f>
        <v>1.7660191611259091E-2</v>
      </c>
      <c r="BV18" s="354">
        <f>Table2[[#This Row],[Isense Shunt Loss]]</f>
        <v>5.4942115051011741E-3</v>
      </c>
      <c r="BZ18" t="s">
        <v>143</v>
      </c>
      <c r="CB18" s="18"/>
      <c r="CC18" s="19"/>
    </row>
    <row r="19" spans="1:92" x14ac:dyDescent="0.2">
      <c r="A19" s="35" t="s">
        <v>12</v>
      </c>
      <c r="B19" s="39">
        <f>Rdcr*1000</f>
        <v>5.8</v>
      </c>
      <c r="C19" s="442" t="s">
        <v>638</v>
      </c>
      <c r="D19" s="440" t="s">
        <v>641</v>
      </c>
      <c r="G19">
        <v>10</v>
      </c>
      <c r="H19" s="555">
        <f t="shared" si="0"/>
        <v>23.6</v>
      </c>
      <c r="I19" s="4" t="str">
        <f>IF(Mode = 2,IF(Table2[[#This Row],[Vin]]&gt;Vout, "BUCK","BOOST"),IF(Table2[[#This Row],[Vin]]&gt;VIN_BB_to_buck, "BUCK", IF(Table2[[#This Row],[Vin]]&lt;=VIN_boost_to_BB,"BOOST","BUCK-BST")))</f>
        <v>BUCK</v>
      </c>
      <c r="J19">
        <f>IF(Table2[[#This Row],[Mode]]="BOOST",2, IF(Table2[[#This Row],[Mode]]="BUCK", 1,3))</f>
        <v>1</v>
      </c>
      <c r="K19" s="354">
        <f t="shared" si="3"/>
        <v>1.2</v>
      </c>
      <c r="L19" s="4">
        <f>Vout*Table2[[#This Row],[Iout]]/(Table2[[#This Row],[Vin]]*Efficiency)</f>
        <v>0.78144513826940221</v>
      </c>
      <c r="M19" s="711">
        <f>MIN(1/Fsw,CHOOSE(Table2[[#This Row],[Mode Digit]],(Vout+(Rdson2+Rs+Rdcr)*Table2[[#This Row],[Iout]])/(Table2[[#This Row],[Vin]]+(Rs+Rdson2-Rdson1)*Table2[[#This Row],[Iout]])/Fsw,(Vout+(Rdson3+Rdcr)*Table2[[#This Row],[Iin]]-Table2[[#This Row],[Vin]])/(Vout+(Rdson3-Rdson4-Rs)*Table2[[#This Row],[Iin]])/Fsw,t1_Ph_II))</f>
        <v>1.0320015817198378E-6</v>
      </c>
      <c r="N19" s="602">
        <f>CHOOSE(Table2[[#This Row],[Mode Digit]],1/Fsw-Table2[[#This Row],[t1_Ph_II]],1/Fsw-Table2[[#This Row],[t1_Ph_II]],(Vout/Fsw-Table2[[#This Row],[Vin]]*t1_Ph_II)/(Table2[[#This Row],[Vin]]+Vout))</f>
        <v>6.346650849468289E-7</v>
      </c>
      <c r="O19" s="602">
        <f>1/Fsw-(Table2[[#This Row],[t1_Ph_II]]+Table2[[#This Row],[t2_Ph_I]])</f>
        <v>0</v>
      </c>
      <c r="P1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-0.55909360520426921</v>
      </c>
      <c r="Q19" s="4">
        <f>CHOOSE(Table2[[#This Row],[Mode Digit]],Table2[[#This Row],[I_0]]+1/Lf*(Table2[[#This Row],[Vin]]-Vout)*Table2[[#This Row],[t1_Ph_II]],Table2[[#This Row],[I_0]]+1/Lf*Table2[[#This Row],[Vin]]*Table2[[#This Row],[t1_Ph_II]],Table2[[#This Row],[I_0]]+(Table2[[#This Row],[Vin]]-Vout)/L*Table2[[#This Row],[t1_Ph_II]])</f>
        <v>2.9590936052042691</v>
      </c>
      <c r="R19" s="4">
        <f>CHOOSE(Table2[[#This Row],[Mode Digit]],0,0,Table2[[#This Row],[I_1]]+Table2[[#This Row],[Vin]]/L*Table2[[#This Row],[t2_Ph_I]])</f>
        <v>0</v>
      </c>
      <c r="S19" s="409">
        <f>Fsw*(Table2[[#This Row],[I_0]]*Table2[[#This Row],[t1_Ph_II]]+Table2[[#This Row],[I_1]]*Table2[[#This Row],[t2_Ph_I]]+Table2[[#This Row],[I_2]]*Table2[[#This Row],[t3_Ph_III]])</f>
        <v>0.78062874564740004</v>
      </c>
      <c r="T19" s="354">
        <f>MIN(1,CHOOSE(Table2[[#This Row],[Mode Digit]],(Vout+(Rdson2+Rs+Rdcr)*Table2[[#This Row],[Iout]])/(Table2[[#This Row],[Vin]]+(Rs+Rdson2-Rdson1)*Table2[[#This Row],[Iout]]),1,Fsw*Table2[[#This Row],[t2_Ph_I]]+Table2[[#This Row],[t1_Ph_II]]))</f>
        <v>0.6192009490319027</v>
      </c>
      <c r="U19" s="354">
        <f>MIN(1,CHOOSE(Table2[[#This Row],[Mode Digit]],0,(Vout+(Rdson3+Rdcr)*Table2[[#This Row],[Iin]]-Table2[[#This Row],[Vin]])/(Vout+(Rdson3-Rdson4-Rs)*Table2[[#This Row],[Iin]]),Fsw*Table2[[#This Row],[t1_Ph_II]]+Table2[[#This Row],[t3_Ph_III]]))</f>
        <v>0</v>
      </c>
      <c r="V19" s="4">
        <f>MAX(Table2[[#This Row],[I_0]:[I_2]])-MIN(Table2[[#This Row],[I_0]:[I_1]])</f>
        <v>3.5181872104085383</v>
      </c>
      <c r="W1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1.572090997352523</v>
      </c>
      <c r="X19" s="354">
        <f>(Table2[[#This Row],[Irms Lf]]^2*Rdcr*(1+Ltc*Ta-Ltc*25))/(1-Table2[[#This Row],[Irms Lf]]^2*Rdcr*Ltc*ThetaCa)</f>
        <v>1.4350983767637385E-2</v>
      </c>
      <c r="Y19" s="354">
        <f>ABS(7.759*10^-3*Fsw^0.9458*(0.00787*Table2[[#This Row],[Ripple Current pk-pk]])^2.304)</f>
        <v>0.58321117671406941</v>
      </c>
      <c r="Z19" s="354">
        <f>Table2[[#This Row],[DCR    Loss]]+Table2[[#This Row],[Core Loss]]</f>
        <v>0.59756216048170685</v>
      </c>
      <c r="AA19" s="4">
        <f>IF(Table2[[#This Row],[Vin]]&gt;Vout, Table2[[#This Row],[Ripple Current pk-pk]]/SQRT(12), SQRT(Table2[[#This Row],[Duty Cycle BOOST Leg]]/(1-Table2[[#This Row],[Duty Cycle BOOST Leg]]))*SQRT(Table2[[#This Row],[Iout]]^2+(Table2[[#This Row],[Ripple Current pk-pk]]^2)/12))</f>
        <v>1.0156131664944341</v>
      </c>
      <c r="AB19" s="354">
        <f>RCoutEsr*Table2[[#This Row],[Irms Cout]]^2</f>
        <v>5.1573505197842562E-3</v>
      </c>
      <c r="AC19" s="354">
        <f>Table2[[#This Row],[Cout ESR Loss]]</f>
        <v>5.1573505197842562E-3</v>
      </c>
      <c r="AD19" s="4">
        <f>IF(Table2[[#This Row],[Vin]]&gt;Vout, SQRT(Table2[[#This Row],[Duty Cycle BUCK Leg]]*(1-Table2[[#This Row],[Duty Cycle BUCK Leg]]))*SQRT(Table2[[#This Row],[Iout]]^2+(Table2[[#This Row],[Ripple Current pk-pk]]^2)/12), Table2[[#This Row],[Ripple Current pk-pk]]/SQRT(12))</f>
        <v>0.76338112227180055</v>
      </c>
      <c r="AE19" s="354">
        <f>RCinEsr*Table2[[#This Row],[Irms Cin]]^2</f>
        <v>1.1655014756819073E-3</v>
      </c>
      <c r="AF19" s="549">
        <f>Table2[[#This Row],[Cin ESR Loss]]</f>
        <v>1.1655014756819073E-3</v>
      </c>
      <c r="AG19" s="354">
        <f>Table2[[#This Row],[Irms Lf]]</f>
        <v>1.572090997352523</v>
      </c>
      <c r="AH19" s="354">
        <f>Rdson1*Table2[[#This Row],[Irms BuCtrl]]^2</f>
        <v>1.0380174436618773E-2</v>
      </c>
      <c r="AI19" s="354">
        <f>CHOOSE(Table2[[#This Row],[Mode Digit]], (Table2[[#This Row],[Vin]]*Table2[[#This Row],[Iout]]/2)*(Fsw)*(Tr_buck+Tf_buck), 0, (Table2[[#This Row],[Vin]]*Table2[[#This Row],[Avg IL]]/2)*(Fsw/1)*(Tr_buck+Tf_buck))</f>
        <v>0.28083151182056987</v>
      </c>
      <c r="AJ19">
        <f>IF(Table2[[#This Row],[Vin]]&gt;Vout, IF(Table2[[#This Row],[Iout]]&gt;Table2[[#This Row],[Ripple Current pk-pk]]/2,0,ABS(Table2[[#This Row],[Iout]]-Table2[[#This Row],[Ripple Current pk-pk]]/2)*Vsd_Q1*Deadtime*Fsw),0)</f>
        <v>1.3450194730914133E-2</v>
      </c>
      <c r="AK19" s="354">
        <f>(Table2[[#This Row],[Dead Time Loss BuCtrl]]+Table2[[#This Row],[Transition Loss BuCtrl]]+Table2[[#This Row],[RDS(on) Loss BuCtrl]]*(1+RdsonTopTc*Ta-RdsonTopTc*25))/(1-Table2[[#This Row],[RDS(on) Loss BuCtrl]]*RdsonTopTc*ThetaJA_Q1)</f>
        <v>0.30542276296165222</v>
      </c>
      <c r="AL19" s="354">
        <f>Table2[[#This Row],[Irms Lf]]</f>
        <v>1.572090997352523</v>
      </c>
      <c r="AM19" s="354">
        <f>Rdson2*Table2[[#This Row],[Irms BuSync]]^2</f>
        <v>1.0380174436618773E-2</v>
      </c>
      <c r="AN1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7.1187337588056981E-2</v>
      </c>
      <c r="AO19" s="354">
        <f>(Table2[[#This Row],[Deadtime Loss BuSync]]+Table2[[#This Row],[RDS(on) Loss BuSync]]*(1+RdsonBotTc*Ta-RdsonBotTc*25))/(1-Table2[[#This Row],[RDS(on) Loss BuSync]]*RdsonBotTc*ThetaJA_Q2)</f>
        <v>8.1771223921042857E-2</v>
      </c>
      <c r="AP19" s="354">
        <f>Table2[[#This Row],[Irms Lf]]</f>
        <v>1.572090997352523</v>
      </c>
      <c r="AQ19" s="354">
        <f>Rdson4*Table2[[#This Row],[Irms BoCtlr]]^2</f>
        <v>1.0380174436618773E-2</v>
      </c>
      <c r="AR19" s="354">
        <f>CHOOSE(Table2[[#This Row],[Mode Digit]], 0, (Vout*Table2[[#This Row],[Iin]]/2)*(Fsw)*(Tr_boost+Tf_boost), (Vout*Iout/2)*(Fsw/1)*(Tr_boost+Tf_boost))</f>
        <v>0</v>
      </c>
      <c r="AS19" s="354">
        <f>IF(Table2[[#This Row],[Vin]]&gt;Vout, 0, IF(Table2[[#This Row],[Iin]]&gt;Table2[[#This Row],[Ripple Current pk-pk]]/2,0,ABS(Table2[[#This Row],[Iin]]-Table2[[#This Row],[Ripple Current pk-pk]]/2)*Vsd_Q4*Deadtime*Fsw))</f>
        <v>0</v>
      </c>
      <c r="AT19" s="354">
        <f>(Table2[[#This Row],[Dead Time Loss BoCtlr]]+Table2[[#This Row],[Transition Loss BoCtlr]]+Table2[[#This Row],[RDS(on) Loss BoCtlr]]*(1+RdsonTopTc*Ta-RdsonTopTc*25))/(1-Table2[[#This Row],[RDS(on) Loss BoCtlr]]*RdsonTopTc*ThetaJA_Q4)</f>
        <v>1.04060985449631E-2</v>
      </c>
      <c r="AU19" s="354">
        <f>Table2[[#This Row],[Irms Lf]]</f>
        <v>1.572090997352523</v>
      </c>
      <c r="AV19" s="354">
        <f>Rdson3*Table2[[#This Row],[Irms BoSync]]^2</f>
        <v>1.0380174436618773E-2</v>
      </c>
      <c r="AW1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9" s="354">
        <f>(Table2[[#This Row],[Deadtime Loss BoSync]]+Table2[[#This Row],[RDS(on) Loss BoSync]]*(1+RdsonBotTc*Ta-RdsonBotTc*25))/(1-Table2[[#This Row],[RDS(on) Loss BoSync]]*RdsonBotTc*ThetaJA_Q3)</f>
        <v>1.04060985449631E-2</v>
      </c>
      <c r="AY19" s="354">
        <f>CHOOSE(Table2[[#This Row],[Mode Digit]], Rdson3*Table2[[#This Row],[Irms Lf]]^2, Rdson1*Table2[[#This Row],[Irms Lf]]^2, 0)</f>
        <v>1.0380174436618773E-2</v>
      </c>
      <c r="AZ19" s="354">
        <f>CHOOSE(Table2[[#This Row],[Mode Digit]], 2*Deadtime*Fsw*IF(VfdSky_Q2&gt;0,VfdSky_Q2,0)*Table2[[#This Row],[Iout]], 2*Deadtime*Fsw*IF(VfdSky_Q3&gt;0,VfdSky_Q3,0)*Table2[[#This Row],[Iin]], 2*Deadtime*Fsw*IF(VfdSky_Q2&gt;0,VfdSky_Q2,0)*Table2[[#This Row],[Iout]]+2*Deadtime*Fsw*IF(VfdSky_Q3&gt;0,VfdSky_Q3,0)*Table2[[#This Row],[Iin]])</f>
        <v>0</v>
      </c>
      <c r="BA1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2.8313952000000003E-2</v>
      </c>
      <c r="BB1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2.8313952000000003E-2</v>
      </c>
      <c r="BC19" s="354">
        <f>CHOOSE(Table2[[#This Row],[Mode Digit]], Rs*Table2[[#This Row],[Irms BuSync]]^2, Rs*Table2[[#This Row],[Irms BoCtlr]]^2, Rs*(Table2[[#This Row],[Irms BuSync]]^2+Table2[[#This Row],[Irms BoCtlr]]^2))</f>
        <v>6.1786752598921258E-3</v>
      </c>
      <c r="BD19" s="354">
        <f t="shared" si="1"/>
        <v>1.44</v>
      </c>
      <c r="BE19" s="354">
        <f>IF(Vout&gt;8, Iq*Vout, Iq*Table2[[#This Row],[Vin]])</f>
        <v>4.3799999999999999E-2</v>
      </c>
      <c r="BF19" s="354">
        <f>CHOOSE(Table2[[#This Row],[Mode Digit]], (Qg_Q1+Qg_Q2)*Fsw, (Qg_Q3+Qg_Q4)*Fsw, (Qg_Q1+Qg_Q2+Qg_Q3+Qg_Q4)*Fsw)*IF(Vout&gt;8, Vout, Table2[[#This Row],[Vin]])</f>
        <v>0.47303999999999996</v>
      </c>
      <c r="BG19" s="354">
        <f t="shared" si="4"/>
        <v>0.57269042016806726</v>
      </c>
      <c r="BH19" s="354">
        <f>Table2[[#This Row],[IQ Loss]]+Table2[[#This Row],[Switching Current Loss]]</f>
        <v>0.51683999999999997</v>
      </c>
      <c r="BI1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3.031537775709686</v>
      </c>
      <c r="BJ19">
        <f>Vout*Table2[[#This Row],[Iout]]</f>
        <v>17.52</v>
      </c>
      <c r="BK19" s="550">
        <f>Table2[[#This Row],[Pout]]/(Table2[[#This Row],[Pout]]+Table2[[#This Row],[Total Loss]])</f>
        <v>0.8524909518307322</v>
      </c>
      <c r="BL19" s="559">
        <f>IF(Table2[[#This Row],[Vin]]&gt;Vout,ThetaJA_Q1*(Table2[[#This Row],[Total Control Bu MOSFET Loss]]+Table2[[#This Row],[Reverse Recovery Loss MOSFET D BUCK]]),ThetaJA_Q4*(Table2[[#This Row],[Total Control Bo MOSFET Loss]]+Table2[[#This Row],[Reverse Recovery Loss MOSFET D BOOST]]))</f>
        <v>20.024202897699134</v>
      </c>
      <c r="BM19" s="559">
        <f>IF(Table2[[#This Row],[Vin]]&gt;Vout, Table2[[#This Row],[Total Sync Bu MOSFET Loss]]*ThetaJA_Q2, ThetaJA_Q3*Table2[[#This Row],[Total Sync Bo MOSFET Loss]])</f>
        <v>4.9062734352625714</v>
      </c>
      <c r="BN19" s="9"/>
      <c r="BO19" s="4">
        <f>Table2[[#This Row],[EFF, h]]*100</f>
        <v>85.249095183073223</v>
      </c>
      <c r="BP19" s="354">
        <f>Table2[[#This Row],[Total Inductor Loss]]</f>
        <v>0.59756216048170685</v>
      </c>
      <c r="BQ19" s="354">
        <f>Table2[[#This Row],[Total Control Bu MOSFET Loss]]+Table2[[#This Row],[Total Sync Bu MOSFET Loss]]+Table2[[#This Row],[Total Control Bo MOSFET Loss]]+Table2[[#This Row],[Total Sync Bo MOSFET Loss]]+Table2[[#This Row],[Reverse Recovery Loss MOSFET D BUCK]]+Table2[[#This Row],[Reverse Recovery Loss MOSFET D BOOST]]</f>
        <v>0.46463408797262129</v>
      </c>
      <c r="BR19" s="354">
        <f xml:space="preserve"> Table2[[#This Row],[Total Control Bu MOSFET Loss]]+Table2[[#This Row],[Reverse Recovery Loss MOSFET D BUCK]]*0.66</f>
        <v>0.3241099712816522</v>
      </c>
      <c r="BS19" s="354">
        <f>Table2[[#This Row],[Total Sync Bu MOSFET Loss]]+Table2[[#This Row],[Reverse Recovery Loss MOSFET D BUCK]]*0.33</f>
        <v>9.1114828081042862E-2</v>
      </c>
      <c r="BT19" s="354">
        <f xml:space="preserve"> Table2[[#This Row],[Total Control Bo MOSFET Loss]]+Table2[[#This Row],[Reverse Recovery Loss MOSFET D BOOST]]*0.66</f>
        <v>2.90933068649631E-2</v>
      </c>
      <c r="BU19" s="354">
        <f xml:space="preserve"> Table2[[#This Row],[Total Sync Bo MOSFET Loss]]+Table2[[#This Row],[Reverse Recovery Loss MOSFET D BOOST]]*0.33</f>
        <v>1.9749702704963103E-2</v>
      </c>
      <c r="BV19" s="354">
        <f>Table2[[#This Row],[Isense Shunt Loss]]</f>
        <v>6.1786752598921258E-3</v>
      </c>
      <c r="BZ19" t="s">
        <v>144</v>
      </c>
      <c r="CB19" s="18"/>
      <c r="CC19" s="19"/>
    </row>
    <row r="20" spans="1:92" x14ac:dyDescent="0.2">
      <c r="A20" s="35" t="s">
        <v>86</v>
      </c>
      <c r="B20" s="39">
        <f>Ltc*1000000</f>
        <v>4000</v>
      </c>
      <c r="C20" s="441" t="s">
        <v>85</v>
      </c>
      <c r="D20" s="21" t="s">
        <v>99</v>
      </c>
      <c r="G20">
        <v>11</v>
      </c>
      <c r="H20" s="555">
        <f t="shared" si="0"/>
        <v>23.6</v>
      </c>
      <c r="I20" s="4" t="str">
        <f>IF(Mode = 2,IF(Table2[[#This Row],[Vin]]&gt;Vout, "BUCK","BOOST"),IF(Table2[[#This Row],[Vin]]&gt;VIN_BB_to_buck, "BUCK", IF(Table2[[#This Row],[Vin]]&lt;=VIN_boost_to_BB,"BOOST","BUCK-BST")))</f>
        <v>BUCK</v>
      </c>
      <c r="J20">
        <f>IF(Table2[[#This Row],[Mode]]="BOOST",2, IF(Table2[[#This Row],[Mode]]="BUCK", 1,3))</f>
        <v>1</v>
      </c>
      <c r="K20" s="354">
        <f t="shared" si="3"/>
        <v>1.32</v>
      </c>
      <c r="L20" s="4">
        <f>Vout*Table2[[#This Row],[Iout]]/(Table2[[#This Row],[Vin]]*Efficiency)</f>
        <v>0.85958965209634253</v>
      </c>
      <c r="M20" s="711">
        <f>MIN(1/Fsw,CHOOSE(Table2[[#This Row],[Mode Digit]],(Vout+(Rdson2+Rs+Rdcr)*Table2[[#This Row],[Iout]])/(Table2[[#This Row],[Vin]]+(Rs+Rdson2-Rdson1)*Table2[[#This Row],[Iout]])/Fsw,(Vout+(Rdson3+Rdcr)*Table2[[#This Row],[Iin]]-Table2[[#This Row],[Vin]])/(Vout+(Rdson3-Rdson4-Rs)*Table2[[#This Row],[Iin]])/Fsw,t1_Ph_II))</f>
        <v>1.0320943822827034E-6</v>
      </c>
      <c r="N20" s="602">
        <f>CHOOSE(Table2[[#This Row],[Mode Digit]],1/Fsw-Table2[[#This Row],[t1_Ph_II]],1/Fsw-Table2[[#This Row],[t1_Ph_II]],(Vout/Fsw-Table2[[#This Row],[Vin]]*t1_Ph_II)/(Table2[[#This Row],[Vin]]+Vout))</f>
        <v>6.3457228438396329E-7</v>
      </c>
      <c r="O20" s="602">
        <f>1/Fsw-(Table2[[#This Row],[t1_Ph_II]]+Table2[[#This Row],[t2_Ph_I]])</f>
        <v>0</v>
      </c>
      <c r="P2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-0.43925178798188091</v>
      </c>
      <c r="Q20" s="4">
        <f>CHOOSE(Table2[[#This Row],[Mode Digit]],Table2[[#This Row],[I_0]]+1/Lf*(Table2[[#This Row],[Vin]]-Vout)*Table2[[#This Row],[t1_Ph_II]],Table2[[#This Row],[I_0]]+1/Lf*Table2[[#This Row],[Vin]]*Table2[[#This Row],[t1_Ph_II]],Table2[[#This Row],[I_0]]+(Table2[[#This Row],[Vin]]-Vout)/L*Table2[[#This Row],[t1_Ph_II]])</f>
        <v>3.0792517879818808</v>
      </c>
      <c r="R20" s="4">
        <f>CHOOSE(Table2[[#This Row],[Mode Digit]],0,0,Table2[[#This Row],[I_1]]+Table2[[#This Row],[Vin]]/L*Table2[[#This Row],[t2_Ph_I]])</f>
        <v>0</v>
      </c>
      <c r="S20" s="409">
        <f>Fsw*(Table2[[#This Row],[I_0]]*Table2[[#This Row],[t1_Ph_II]]+Table2[[#This Row],[I_1]]*Table2[[#This Row],[t2_Ph_I]]+Table2[[#This Row],[I_2]]*Table2[[#This Row],[t3_Ph_III]])</f>
        <v>0.90039512310559999</v>
      </c>
      <c r="T20" s="354">
        <f>MIN(1,CHOOSE(Table2[[#This Row],[Mode Digit]],(Vout+(Rdson2+Rs+Rdcr)*Table2[[#This Row],[Iout]])/(Table2[[#This Row],[Vin]]+(Rs+Rdson2-Rdson1)*Table2[[#This Row],[Iout]]),1,Fsw*Table2[[#This Row],[t2_Ph_I]]+Table2[[#This Row],[t1_Ph_II]]))</f>
        <v>0.619256629369622</v>
      </c>
      <c r="U20" s="354">
        <f>MIN(1,CHOOSE(Table2[[#This Row],[Mode Digit]],0,(Vout+(Rdson3+Rdcr)*Table2[[#This Row],[Iin]]-Table2[[#This Row],[Vin]])/(Vout+(Rdson3-Rdson4-Rs)*Table2[[#This Row],[Iin]]),Fsw*Table2[[#This Row],[t1_Ph_II]]+Table2[[#This Row],[t3_Ph_III]]))</f>
        <v>0</v>
      </c>
      <c r="V20" s="4">
        <f>MAX(Table2[[#This Row],[I_0]:[I_2]])-MIN(Table2[[#This Row],[I_0]:[I_1]])</f>
        <v>3.518503575963762</v>
      </c>
      <c r="W2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1.6655496443634301</v>
      </c>
      <c r="X20" s="354">
        <f>(Table2[[#This Row],[Irms Lf]]^2*Rdcr*(1+Ltc*Ta-Ltc*25))/(1-Table2[[#This Row],[Irms Lf]]^2*Rdcr*Ltc*ThetaCa)</f>
        <v>1.6110259093668106E-2</v>
      </c>
      <c r="Y20" s="354">
        <f>ABS(7.759*10^-3*Fsw^0.9458*(0.00787*Table2[[#This Row],[Ripple Current pk-pk]])^2.304)</f>
        <v>0.58333201485148611</v>
      </c>
      <c r="Z20" s="354">
        <f>Table2[[#This Row],[DCR    Loss]]+Table2[[#This Row],[Core Loss]]</f>
        <v>0.59944227394515426</v>
      </c>
      <c r="AA20" s="4">
        <f>IF(Table2[[#This Row],[Vin]]&gt;Vout, Table2[[#This Row],[Ripple Current pk-pk]]/SQRT(12), SQRT(Table2[[#This Row],[Duty Cycle BOOST Leg]]/(1-Table2[[#This Row],[Duty Cycle BOOST Leg]]))*SQRT(Table2[[#This Row],[Iout]]^2+(Table2[[#This Row],[Ripple Current pk-pk]]^2)/12))</f>
        <v>1.0157044933636694</v>
      </c>
      <c r="AB20" s="354">
        <f>RCoutEsr*Table2[[#This Row],[Irms Cout]]^2</f>
        <v>5.1582780891957416E-3</v>
      </c>
      <c r="AC20" s="354">
        <f>Table2[[#This Row],[Cout ESR Loss]]</f>
        <v>5.1582780891957416E-3</v>
      </c>
      <c r="AD20" s="4">
        <f>IF(Table2[[#This Row],[Vin]]&gt;Vout, SQRT(Table2[[#This Row],[Duty Cycle BUCK Leg]]*(1-Table2[[#This Row],[Duty Cycle BUCK Leg]]))*SQRT(Table2[[#This Row],[Iout]]^2+(Table2[[#This Row],[Ripple Current pk-pk]]^2)/12), Table2[[#This Row],[Ripple Current pk-pk]]/SQRT(12))</f>
        <v>0.80874030873554437</v>
      </c>
      <c r="AE20" s="354">
        <f>RCinEsr*Table2[[#This Row],[Irms Cin]]^2</f>
        <v>1.3081217739473272E-3</v>
      </c>
      <c r="AF20" s="549">
        <f>Table2[[#This Row],[Cin ESR Loss]]</f>
        <v>1.3081217739473272E-3</v>
      </c>
      <c r="AG20" s="354">
        <f>Table2[[#This Row],[Irms Lf]]</f>
        <v>1.6655496443634301</v>
      </c>
      <c r="AH20" s="354">
        <f>Rdson1*Table2[[#This Row],[Irms BuCtrl]]^2</f>
        <v>1.1651033594924426E-2</v>
      </c>
      <c r="AI20" s="354">
        <f>CHOOSE(Table2[[#This Row],[Mode Digit]], (Table2[[#This Row],[Vin]]*Table2[[#This Row],[Iout]]/2)*(Fsw)*(Tr_buck+Tf_buck), 0, (Table2[[#This Row],[Vin]]*Table2[[#This Row],[Avg IL]]/2)*(Fsw/1)*(Tr_buck+Tf_buck))</f>
        <v>0.30891466300262693</v>
      </c>
      <c r="AJ20">
        <f>IF(Table2[[#This Row],[Vin]]&gt;Vout, IF(Table2[[#This Row],[Iout]]&gt;Table2[[#This Row],[Ripple Current pk-pk]]/2,0,ABS(Table2[[#This Row],[Iout]]-Table2[[#This Row],[Ripple Current pk-pk]]/2)*Vsd_Q1*Deadtime*Fsw),0)</f>
        <v>1.0567143013735536E-2</v>
      </c>
      <c r="AK20" s="354">
        <f>(Table2[[#This Row],[Dead Time Loss BuCtrl]]+Table2[[#This Row],[Transition Loss BuCtrl]]+Table2[[#This Row],[RDS(on) Loss BuCtrl]]*(1+RdsonTopTc*Ta-RdsonTopTc*25))/(1-Table2[[#This Row],[RDS(on) Loss BuCtrl]]*RdsonTopTc*ThetaJA_Q1)</f>
        <v>0.33206136556146282</v>
      </c>
      <c r="AL20" s="354">
        <f>Table2[[#This Row],[Irms Lf]]</f>
        <v>1.6655496443634301</v>
      </c>
      <c r="AM20" s="354">
        <f>Rdson2*Table2[[#This Row],[Irms BuSync]]^2</f>
        <v>1.1651033594924426E-2</v>
      </c>
      <c r="AN2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7.4078000156592674E-2</v>
      </c>
      <c r="AO20" s="354">
        <f>(Table2[[#This Row],[Deadtime Loss BuSync]]+Table2[[#This Row],[RDS(on) Loss BuSync]]*(1+RdsonBotTc*Ta-RdsonBotTc*25))/(1-Table2[[#This Row],[RDS(on) Loss BuSync]]*RdsonBotTc*ThetaJA_Q2)</f>
        <v>8.5969425591285203E-2</v>
      </c>
      <c r="AP20" s="354">
        <f>Table2[[#This Row],[Irms Lf]]</f>
        <v>1.6655496443634301</v>
      </c>
      <c r="AQ20" s="354">
        <f>Rdson4*Table2[[#This Row],[Irms BoCtlr]]^2</f>
        <v>1.1651033594924426E-2</v>
      </c>
      <c r="AR20" s="354">
        <f>CHOOSE(Table2[[#This Row],[Mode Digit]], 0, (Vout*Table2[[#This Row],[Iin]]/2)*(Fsw)*(Tr_boost+Tf_boost), (Vout*Iout/2)*(Fsw/1)*(Tr_boost+Tf_boost))</f>
        <v>0</v>
      </c>
      <c r="AS20" s="354">
        <f>IF(Table2[[#This Row],[Vin]]&gt;Vout, 0, IF(Table2[[#This Row],[Iin]]&gt;Table2[[#This Row],[Ripple Current pk-pk]]/2,0,ABS(Table2[[#This Row],[Iin]]-Table2[[#This Row],[Ripple Current pk-pk]]/2)*Vsd_Q4*Deadtime*Fsw))</f>
        <v>0</v>
      </c>
      <c r="AT20" s="354">
        <f>(Table2[[#This Row],[Dead Time Loss BoCtlr]]+Table2[[#This Row],[Transition Loss BoCtlr]]+Table2[[#This Row],[RDS(on) Loss BoCtlr]]*(1+RdsonTopTc*Ta-RdsonTopTc*25))/(1-Table2[[#This Row],[RDS(on) Loss BoCtlr]]*RdsonTopTc*ThetaJA_Q4)</f>
        <v>1.1683704129963954E-2</v>
      </c>
      <c r="AU20" s="354">
        <f>Table2[[#This Row],[Irms Lf]]</f>
        <v>1.6655496443634301</v>
      </c>
      <c r="AV20" s="354">
        <f>Rdson3*Table2[[#This Row],[Irms BoSync]]^2</f>
        <v>1.1651033594924426E-2</v>
      </c>
      <c r="AW2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0" s="354">
        <f>(Table2[[#This Row],[Deadtime Loss BoSync]]+Table2[[#This Row],[RDS(on) Loss BoSync]]*(1+RdsonBotTc*Ta-RdsonBotTc*25))/(1-Table2[[#This Row],[RDS(on) Loss BoSync]]*RdsonBotTc*ThetaJA_Q3)</f>
        <v>1.1683704129963954E-2</v>
      </c>
      <c r="AY20" s="354">
        <f>CHOOSE(Table2[[#This Row],[Mode Digit]], Rdson3*Table2[[#This Row],[Irms Lf]]^2, Rdson1*Table2[[#This Row],[Irms Lf]]^2, 0)</f>
        <v>1.1651033594924426E-2</v>
      </c>
      <c r="AZ20" s="354">
        <f>CHOOSE(Table2[[#This Row],[Mode Digit]], 2*Deadtime*Fsw*IF(VfdSky_Q2&gt;0,VfdSky_Q2,0)*Table2[[#This Row],[Iout]], 2*Deadtime*Fsw*IF(VfdSky_Q3&gt;0,VfdSky_Q3,0)*Table2[[#This Row],[Iin]], 2*Deadtime*Fsw*IF(VfdSky_Q2&gt;0,VfdSky_Q2,0)*Table2[[#This Row],[Iout]]+2*Deadtime*Fsw*IF(VfdSky_Q3&gt;0,VfdSky_Q3,0)*Table2[[#This Row],[Iin]])</f>
        <v>0</v>
      </c>
      <c r="BA2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3.1144681920000007E-2</v>
      </c>
      <c r="BB2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3.1144681920000007E-2</v>
      </c>
      <c r="BC20" s="354">
        <f>CHOOSE(Table2[[#This Row],[Mode Digit]], Rs*Table2[[#This Row],[Irms BuSync]]^2, Rs*Table2[[#This Row],[Irms BoCtlr]]^2, Rs*(Table2[[#This Row],[Irms BuSync]]^2+Table2[[#This Row],[Irms BoCtlr]]^2))</f>
        <v>6.9351390445978713E-3</v>
      </c>
      <c r="BD20" s="354">
        <f t="shared" si="1"/>
        <v>1.44</v>
      </c>
      <c r="BE20" s="354">
        <f>IF(Vout&gt;8, Iq*Vout, Iq*Table2[[#This Row],[Vin]])</f>
        <v>4.3799999999999999E-2</v>
      </c>
      <c r="BF20" s="354">
        <f>CHOOSE(Table2[[#This Row],[Mode Digit]], (Qg_Q1+Qg_Q2)*Fsw, (Qg_Q3+Qg_Q4)*Fsw, (Qg_Q1+Qg_Q2+Qg_Q3+Qg_Q4)*Fsw)*IF(Vout&gt;8, Vout, Table2[[#This Row],[Vin]])</f>
        <v>0.47303999999999996</v>
      </c>
      <c r="BG20" s="354">
        <f t="shared" si="4"/>
        <v>0.57269042016806726</v>
      </c>
      <c r="BH20" s="354">
        <f>Table2[[#This Row],[IQ Loss]]+Table2[[#This Row],[Switching Current Loss]]</f>
        <v>0.51683999999999997</v>
      </c>
      <c r="BI2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3.0733713761055714</v>
      </c>
      <c r="BJ20">
        <f>Vout*Table2[[#This Row],[Iout]]</f>
        <v>19.272000000000002</v>
      </c>
      <c r="BK20" s="550">
        <f>Table2[[#This Row],[Pout]]/(Table2[[#This Row],[Pout]]+Table2[[#This Row],[Total Loss]])</f>
        <v>0.86246049240461486</v>
      </c>
      <c r="BL20" s="559">
        <f>IF(Table2[[#This Row],[Vin]]&gt;Vout,ThetaJA_Q1*(Table2[[#This Row],[Total Control Bu MOSFET Loss]]+Table2[[#This Row],[Reverse Recovery Loss MOSFET D BUCK]]),ThetaJA_Q4*(Table2[[#This Row],[Total Control Bo MOSFET Loss]]+Table2[[#This Row],[Reverse Recovery Loss MOSFET D BOOST]]))</f>
        <v>21.79236284888777</v>
      </c>
      <c r="BM20" s="559">
        <f>IF(Table2[[#This Row],[Vin]]&gt;Vout, Table2[[#This Row],[Total Sync Bu MOSFET Loss]]*ThetaJA_Q2, ThetaJA_Q3*Table2[[#This Row],[Total Sync Bo MOSFET Loss]])</f>
        <v>5.1581655354771119</v>
      </c>
      <c r="BN20" s="9"/>
      <c r="BO20" s="4">
        <f>Table2[[#This Row],[EFF, h]]*100</f>
        <v>86.246049240461488</v>
      </c>
      <c r="BP20" s="354">
        <f>Table2[[#This Row],[Total Inductor Loss]]</f>
        <v>0.59944227394515426</v>
      </c>
      <c r="BQ20" s="354">
        <f>Table2[[#This Row],[Total Control Bu MOSFET Loss]]+Table2[[#This Row],[Total Sync Bu MOSFET Loss]]+Table2[[#This Row],[Total Control Bo MOSFET Loss]]+Table2[[#This Row],[Total Sync Bo MOSFET Loss]]+Table2[[#This Row],[Reverse Recovery Loss MOSFET D BUCK]]+Table2[[#This Row],[Reverse Recovery Loss MOSFET D BOOST]]</f>
        <v>0.50368756325267594</v>
      </c>
      <c r="BR20" s="354">
        <f xml:space="preserve"> Table2[[#This Row],[Total Control Bu MOSFET Loss]]+Table2[[#This Row],[Reverse Recovery Loss MOSFET D BUCK]]*0.66</f>
        <v>0.35261685562866285</v>
      </c>
      <c r="BS20" s="354">
        <f>Table2[[#This Row],[Total Sync Bu MOSFET Loss]]+Table2[[#This Row],[Reverse Recovery Loss MOSFET D BUCK]]*0.33</f>
        <v>9.6247170624885206E-2</v>
      </c>
      <c r="BT20" s="354">
        <f xml:space="preserve"> Table2[[#This Row],[Total Control Bo MOSFET Loss]]+Table2[[#This Row],[Reverse Recovery Loss MOSFET D BOOST]]*0.66</f>
        <v>3.2239194197163958E-2</v>
      </c>
      <c r="BU20" s="354">
        <f xml:space="preserve"> Table2[[#This Row],[Total Sync Bo MOSFET Loss]]+Table2[[#This Row],[Reverse Recovery Loss MOSFET D BOOST]]*0.33</f>
        <v>2.1961449163563955E-2</v>
      </c>
      <c r="BV20" s="354">
        <f>Table2[[#This Row],[Isense Shunt Loss]]</f>
        <v>6.9351390445978713E-3</v>
      </c>
      <c r="CB20" s="18"/>
      <c r="CC20" s="19"/>
    </row>
    <row r="21" spans="1:92" x14ac:dyDescent="0.2">
      <c r="A21" s="25" t="s">
        <v>157</v>
      </c>
      <c r="B21" s="39">
        <f>ThetaCa</f>
        <v>20</v>
      </c>
      <c r="C21" s="441" t="s">
        <v>237</v>
      </c>
      <c r="D21" s="26" t="s">
        <v>158</v>
      </c>
      <c r="G21">
        <v>12</v>
      </c>
      <c r="H21" s="555">
        <f t="shared" si="0"/>
        <v>23.6</v>
      </c>
      <c r="I21" s="4" t="str">
        <f>IF(Mode = 2,IF(Table2[[#This Row],[Vin]]&gt;Vout, "BUCK","BOOST"),IF(Table2[[#This Row],[Vin]]&gt;VIN_BB_to_buck, "BUCK", IF(Table2[[#This Row],[Vin]]&lt;=VIN_boost_to_BB,"BOOST","BUCK-BST")))</f>
        <v>BUCK</v>
      </c>
      <c r="J21">
        <f>IF(Table2[[#This Row],[Mode]]="BOOST",2, IF(Table2[[#This Row],[Mode]]="BUCK", 1,3))</f>
        <v>1</v>
      </c>
      <c r="K21" s="354">
        <f t="shared" si="3"/>
        <v>1.44</v>
      </c>
      <c r="L21" s="4">
        <f>Vout*Table2[[#This Row],[Iout]]/(Table2[[#This Row],[Vin]]*Efficiency)</f>
        <v>0.93773416592328263</v>
      </c>
      <c r="M21" s="711">
        <f>MIN(1/Fsw,CHOOSE(Table2[[#This Row],[Mode Digit]],(Vout+(Rdson2+Rs+Rdcr)*Table2[[#This Row],[Iout]])/(Table2[[#This Row],[Vin]]+(Rs+Rdson2-Rdson1)*Table2[[#This Row],[Iout]])/Fsw,(Vout+(Rdson3+Rdcr)*Table2[[#This Row],[Iin]]-Table2[[#This Row],[Vin]])/(Vout+(Rdson3-Rdson4-Rs)*Table2[[#This Row],[Iin]])/Fsw,t1_Ph_II))</f>
        <v>1.0321871804865924E-6</v>
      </c>
      <c r="N21" s="602">
        <f>CHOOSE(Table2[[#This Row],[Mode Digit]],1/Fsw-Table2[[#This Row],[t1_Ph_II]],1/Fsw-Table2[[#This Row],[t1_Ph_II]],(Vout/Fsw-Table2[[#This Row],[Vin]]*t1_Ph_II)/(Table2[[#This Row],[Vin]]+Vout))</f>
        <v>6.3447948618007427E-7</v>
      </c>
      <c r="O21" s="602">
        <f>1/Fsw-(Table2[[#This Row],[t1_Ph_II]]+Table2[[#This Row],[t2_Ph_I]])</f>
        <v>0</v>
      </c>
      <c r="P2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-0.31940996673851019</v>
      </c>
      <c r="Q21" s="4">
        <f>CHOOSE(Table2[[#This Row],[Mode Digit]],Table2[[#This Row],[I_0]]+1/Lf*(Table2[[#This Row],[Vin]]-Vout)*Table2[[#This Row],[t1_Ph_II]],Table2[[#This Row],[I_0]]+1/Lf*Table2[[#This Row],[Vin]]*Table2[[#This Row],[t1_Ph_II]],Table2[[#This Row],[I_0]]+(Table2[[#This Row],[Vin]]-Vout)/L*Table2[[#This Row],[t1_Ph_II]])</f>
        <v>3.1994099667385099</v>
      </c>
      <c r="R21" s="4">
        <f>CHOOSE(Table2[[#This Row],[Mode Digit]],0,0,Table2[[#This Row],[I_1]]+Table2[[#This Row],[Vin]]/L*Table2[[#This Row],[t2_Ph_I]])</f>
        <v>0</v>
      </c>
      <c r="S21" s="409">
        <f>Fsw*(Table2[[#This Row],[I_0]]*Table2[[#This Row],[t1_Ph_II]]+Table2[[#This Row],[I_1]]*Table2[[#This Row],[t2_Ph_I]]+Table2[[#This Row],[I_2]]*Table2[[#This Row],[t3_Ph_III]])</f>
        <v>1.0201614712731115</v>
      </c>
      <c r="T21" s="354">
        <f>MIN(1,CHOOSE(Table2[[#This Row],[Mode Digit]],(Vout+(Rdson2+Rs+Rdcr)*Table2[[#This Row],[Iout]])/(Table2[[#This Row],[Vin]]+(Rs+Rdson2-Rdson1)*Table2[[#This Row],[Iout]]),1,Fsw*Table2[[#This Row],[t2_Ph_I]]+Table2[[#This Row],[t1_Ph_II]]))</f>
        <v>0.61931230829195549</v>
      </c>
      <c r="U21" s="354">
        <f>MIN(1,CHOOSE(Table2[[#This Row],[Mode Digit]],0,(Vout+(Rdson3+Rdcr)*Table2[[#This Row],[Iin]]-Table2[[#This Row],[Vin]])/(Vout+(Rdson3-Rdson4-Rs)*Table2[[#This Row],[Iin]]),Fsw*Table2[[#This Row],[t1_Ph_II]]+Table2[[#This Row],[t3_Ph_III]]))</f>
        <v>0</v>
      </c>
      <c r="V21" s="4">
        <f>MAX(Table2[[#This Row],[I_0]:[I_2]])-MIN(Table2[[#This Row],[I_0]:[I_1]])</f>
        <v>3.5188199334770198</v>
      </c>
      <c r="W2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1.7622261897061533</v>
      </c>
      <c r="X21" s="354">
        <f>(Table2[[#This Row],[Irms Lf]]^2*Rdcr*(1+Ltc*Ta-Ltc*25))/(1-Table2[[#This Row],[Irms Lf]]^2*Rdcr*Ltc*ThetaCa)</f>
        <v>1.8037549383646434E-2</v>
      </c>
      <c r="Y21" s="354">
        <f>ABS(7.759*10^-3*Fsw^0.9458*(0.00787*Table2[[#This Row],[Ripple Current pk-pk]])^2.304)</f>
        <v>0.58345286408564423</v>
      </c>
      <c r="Z21" s="354">
        <f>Table2[[#This Row],[DCR    Loss]]+Table2[[#This Row],[Core Loss]]</f>
        <v>0.60149041346929066</v>
      </c>
      <c r="AA21" s="4">
        <f>IF(Table2[[#This Row],[Vin]]&gt;Vout, Table2[[#This Row],[Ripple Current pk-pk]]/SQRT(12), SQRT(Table2[[#This Row],[Duty Cycle BOOST Leg]]/(1-Table2[[#This Row],[Duty Cycle BOOST Leg]]))*SQRT(Table2[[#This Row],[Iout]]^2+(Table2[[#This Row],[Ripple Current pk-pk]]^2)/12))</f>
        <v>1.0157958179113893</v>
      </c>
      <c r="AB21" s="354">
        <f>RCoutEsr*Table2[[#This Row],[Irms Cout]]^2</f>
        <v>5.1592057184313422E-3</v>
      </c>
      <c r="AC21" s="354">
        <f>Table2[[#This Row],[Cout ESR Loss]]</f>
        <v>5.1592057184313422E-3</v>
      </c>
      <c r="AD21" s="4">
        <f>IF(Table2[[#This Row],[Vin]]&gt;Vout, SQRT(Table2[[#This Row],[Duty Cycle BUCK Leg]]*(1-Table2[[#This Row],[Duty Cycle BUCK Leg]]))*SQRT(Table2[[#This Row],[Iout]]^2+(Table2[[#This Row],[Ripple Current pk-pk]]^2)/12), Table2[[#This Row],[Ripple Current pk-pk]]/SQRT(12))</f>
        <v>0.85565939806529046</v>
      </c>
      <c r="AE21" s="354">
        <f>RCinEsr*Table2[[#This Row],[Irms Cin]]^2</f>
        <v>1.4643060109949103E-3</v>
      </c>
      <c r="AF21" s="549">
        <f>Table2[[#This Row],[Cin ESR Loss]]</f>
        <v>1.4643060109949103E-3</v>
      </c>
      <c r="AG21" s="354">
        <f>Table2[[#This Row],[Irms Lf]]</f>
        <v>1.7622261897061533</v>
      </c>
      <c r="AH21" s="354">
        <f>Rdson1*Table2[[#This Row],[Irms BuCtrl]]^2</f>
        <v>1.3042852803482325E-2</v>
      </c>
      <c r="AI21" s="354">
        <f>CHOOSE(Table2[[#This Row],[Mode Digit]], (Table2[[#This Row],[Vin]]*Table2[[#This Row],[Iout]]/2)*(Fsw)*(Tr_buck+Tf_buck), 0, (Table2[[#This Row],[Vin]]*Table2[[#This Row],[Avg IL]]/2)*(Fsw/1)*(Tr_buck+Tf_buck))</f>
        <v>0.33699781418468383</v>
      </c>
      <c r="AJ21">
        <f>IF(Table2[[#This Row],[Vin]]&gt;Vout, IF(Table2[[#This Row],[Iout]]&gt;Table2[[#This Row],[Ripple Current pk-pk]]/2,0,ABS(Table2[[#This Row],[Iout]]-Table2[[#This Row],[Ripple Current pk-pk]]/2)*Vsd_Q1*Deadtime*Fsw),0)</f>
        <v>7.6840911998235818E-3</v>
      </c>
      <c r="AK21" s="354">
        <f>(Table2[[#This Row],[Dead Time Loss BuCtrl]]+Table2[[#This Row],[Transition Loss BuCtrl]]+Table2[[#This Row],[RDS(on) Loss BuCtrl]]*(1+RdsonTopTc*Ta-RdsonTopTc*25))/(1-Table2[[#This Row],[RDS(on) Loss BuCtrl]]*RdsonTopTc*ThetaJA_Q1)</f>
        <v>0.35884805475366205</v>
      </c>
      <c r="AL21" s="354">
        <f>Table2[[#This Row],[Irms Lf]]</f>
        <v>1.7622261897061533</v>
      </c>
      <c r="AM21" s="354">
        <f>Rdson2*Table2[[#This Row],[Irms BuSync]]^2</f>
        <v>1.3042852803482325E-2</v>
      </c>
      <c r="AN2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7.696866262839501E-2</v>
      </c>
      <c r="AO21" s="354">
        <f>(Table2[[#This Row],[Deadtime Loss BuSync]]+Table2[[#This Row],[RDS(on) Loss BuSync]]*(1+RdsonBotTc*Ta-RdsonBotTc*25))/(1-Table2[[#This Row],[RDS(on) Loss BuSync]]*RdsonBotTc*ThetaJA_Q2)</f>
        <v>9.0294161862803021E-2</v>
      </c>
      <c r="AP21" s="354">
        <f>Table2[[#This Row],[Irms Lf]]</f>
        <v>1.7622261897061533</v>
      </c>
      <c r="AQ21" s="354">
        <f>Rdson4*Table2[[#This Row],[Irms BoCtlr]]^2</f>
        <v>1.3042852803482325E-2</v>
      </c>
      <c r="AR21" s="354">
        <f>CHOOSE(Table2[[#This Row],[Mode Digit]], 0, (Vout*Table2[[#This Row],[Iin]]/2)*(Fsw)*(Tr_boost+Tf_boost), (Vout*Iout/2)*(Fsw/1)*(Tr_boost+Tf_boost))</f>
        <v>0</v>
      </c>
      <c r="AS21" s="354">
        <f>IF(Table2[[#This Row],[Vin]]&gt;Vout, 0, IF(Table2[[#This Row],[Iin]]&gt;Table2[[#This Row],[Ripple Current pk-pk]]/2,0,ABS(Table2[[#This Row],[Iin]]-Table2[[#This Row],[Ripple Current pk-pk]]/2)*Vsd_Q4*Deadtime*Fsw))</f>
        <v>0</v>
      </c>
      <c r="AT21" s="354">
        <f>(Table2[[#This Row],[Dead Time Loss BoCtlr]]+Table2[[#This Row],[Transition Loss BoCtlr]]+Table2[[#This Row],[RDS(on) Loss BoCtlr]]*(1+RdsonTopTc*Ta-RdsonTopTc*25))/(1-Table2[[#This Row],[RDS(on) Loss BoCtlr]]*RdsonTopTc*ThetaJA_Q4)</f>
        <v>1.3083808849787125E-2</v>
      </c>
      <c r="AU21" s="354">
        <f>Table2[[#This Row],[Irms Lf]]</f>
        <v>1.7622261897061533</v>
      </c>
      <c r="AV21" s="354">
        <f>Rdson3*Table2[[#This Row],[Irms BoSync]]^2</f>
        <v>1.3042852803482325E-2</v>
      </c>
      <c r="AW2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1" s="354">
        <f>(Table2[[#This Row],[Deadtime Loss BoSync]]+Table2[[#This Row],[RDS(on) Loss BoSync]]*(1+RdsonBotTc*Ta-RdsonBotTc*25))/(1-Table2[[#This Row],[RDS(on) Loss BoSync]]*RdsonBotTc*ThetaJA_Q3)</f>
        <v>1.3083808849787125E-2</v>
      </c>
      <c r="AY21" s="354">
        <f>CHOOSE(Table2[[#This Row],[Mode Digit]], Rdson3*Table2[[#This Row],[Irms Lf]]^2, Rdson1*Table2[[#This Row],[Irms Lf]]^2, 0)</f>
        <v>1.3042852803482325E-2</v>
      </c>
      <c r="AZ21" s="354">
        <f>CHOOSE(Table2[[#This Row],[Mode Digit]], 2*Deadtime*Fsw*IF(VfdSky_Q2&gt;0,VfdSky_Q2,0)*Table2[[#This Row],[Iout]], 2*Deadtime*Fsw*IF(VfdSky_Q3&gt;0,VfdSky_Q3,0)*Table2[[#This Row],[Iin]], 2*Deadtime*Fsw*IF(VfdSky_Q2&gt;0,VfdSky_Q2,0)*Table2[[#This Row],[Iout]]+2*Deadtime*Fsw*IF(VfdSky_Q3&gt;0,VfdSky_Q3,0)*Table2[[#This Row],[Iin]])</f>
        <v>0</v>
      </c>
      <c r="BA2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3.3975290880000002E-2</v>
      </c>
      <c r="BB2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3.3975290880000002E-2</v>
      </c>
      <c r="BC21" s="354">
        <f>CHOOSE(Table2[[#This Row],[Mode Digit]], Rs*Table2[[#This Row],[Irms BuSync]]^2, Rs*Table2[[#This Row],[Irms BoCtlr]]^2, Rs*(Table2[[#This Row],[Irms BuSync]]^2+Table2[[#This Row],[Irms BoCtlr]]^2))</f>
        <v>7.7636028592156679E-3</v>
      </c>
      <c r="BD21" s="354">
        <f t="shared" si="1"/>
        <v>1.44</v>
      </c>
      <c r="BE21" s="354">
        <f>IF(Vout&gt;8, Iq*Vout, Iq*Table2[[#This Row],[Vin]])</f>
        <v>4.3799999999999999E-2</v>
      </c>
      <c r="BF21" s="354">
        <f>CHOOSE(Table2[[#This Row],[Mode Digit]], (Qg_Q1+Qg_Q2)*Fsw, (Qg_Q3+Qg_Q4)*Fsw, (Qg_Q1+Qg_Q2+Qg_Q3+Qg_Q4)*Fsw)*IF(Vout&gt;8, Vout, Table2[[#This Row],[Vin]])</f>
        <v>0.47303999999999996</v>
      </c>
      <c r="BG21" s="354">
        <f t="shared" si="4"/>
        <v>0.57269042016806726</v>
      </c>
      <c r="BH21" s="354">
        <f>Table2[[#This Row],[IQ Loss]]+Table2[[#This Row],[Switching Current Loss]]</f>
        <v>0.51683999999999997</v>
      </c>
      <c r="BI2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3.1159779441339719</v>
      </c>
      <c r="BJ21">
        <f>Vout*Table2[[#This Row],[Iout]]</f>
        <v>21.023999999999997</v>
      </c>
      <c r="BK21" s="550">
        <f>Table2[[#This Row],[Pout]]/(Table2[[#This Row],[Pout]]+Table2[[#This Row],[Total Loss]])</f>
        <v>0.87092043118907836</v>
      </c>
      <c r="BL21" s="559">
        <f>IF(Table2[[#This Row],[Vin]]&gt;Vout,ThetaJA_Q1*(Table2[[#This Row],[Total Control Bu MOSFET Loss]]+Table2[[#This Row],[Reverse Recovery Loss MOSFET D BUCK]]),ThetaJA_Q4*(Table2[[#This Row],[Total Control Bo MOSFET Loss]]+Table2[[#This Row],[Reverse Recovery Loss MOSFET D BOOST]]))</f>
        <v>23.569400738019723</v>
      </c>
      <c r="BM21" s="559">
        <f>IF(Table2[[#This Row],[Vin]]&gt;Vout, Table2[[#This Row],[Total Sync Bu MOSFET Loss]]*ThetaJA_Q2, ThetaJA_Q3*Table2[[#This Row],[Total Sync Bo MOSFET Loss]])</f>
        <v>5.4176497117681812</v>
      </c>
      <c r="BN21" s="9"/>
      <c r="BO21" s="4">
        <f>Table2[[#This Row],[EFF, h]]*100</f>
        <v>87.092043118907839</v>
      </c>
      <c r="BP21" s="354">
        <f>Table2[[#This Row],[Total Inductor Loss]]</f>
        <v>0.60149041346929066</v>
      </c>
      <c r="BQ21" s="354">
        <f>Table2[[#This Row],[Total Control Bu MOSFET Loss]]+Table2[[#This Row],[Total Sync Bu MOSFET Loss]]+Table2[[#This Row],[Total Control Bo MOSFET Loss]]+Table2[[#This Row],[Total Sync Bo MOSFET Loss]]+Table2[[#This Row],[Reverse Recovery Loss MOSFET D BUCK]]+Table2[[#This Row],[Reverse Recovery Loss MOSFET D BOOST]]</f>
        <v>0.54326041607603925</v>
      </c>
      <c r="BR21" s="354">
        <f xml:space="preserve"> Table2[[#This Row],[Total Control Bu MOSFET Loss]]+Table2[[#This Row],[Reverse Recovery Loss MOSFET D BUCK]]*0.66</f>
        <v>0.38127174673446207</v>
      </c>
      <c r="BS21" s="354">
        <f>Table2[[#This Row],[Total Sync Bu MOSFET Loss]]+Table2[[#This Row],[Reverse Recovery Loss MOSFET D BUCK]]*0.33</f>
        <v>0.10150600785320302</v>
      </c>
      <c r="BT21" s="354">
        <f xml:space="preserve"> Table2[[#This Row],[Total Control Bo MOSFET Loss]]+Table2[[#This Row],[Reverse Recovery Loss MOSFET D BOOST]]*0.66</f>
        <v>3.5507500830587124E-2</v>
      </c>
      <c r="BU21" s="354">
        <f xml:space="preserve"> Table2[[#This Row],[Total Sync Bo MOSFET Loss]]+Table2[[#This Row],[Reverse Recovery Loss MOSFET D BOOST]]*0.33</f>
        <v>2.4295654840187128E-2</v>
      </c>
      <c r="BV21" s="354">
        <f>Table2[[#This Row],[Isense Shunt Loss]]</f>
        <v>7.7636028592156679E-3</v>
      </c>
      <c r="CB21" s="18"/>
      <c r="CC21" s="19"/>
    </row>
    <row r="22" spans="1:92" x14ac:dyDescent="0.2">
      <c r="A22" s="36" t="s">
        <v>61</v>
      </c>
      <c r="B22" s="39">
        <f>Cin*1000000</f>
        <v>100</v>
      </c>
      <c r="C22" s="443" t="s">
        <v>639</v>
      </c>
      <c r="D22" s="440" t="s">
        <v>657</v>
      </c>
      <c r="G22">
        <v>13</v>
      </c>
      <c r="H22" s="555">
        <f t="shared" si="0"/>
        <v>23.6</v>
      </c>
      <c r="I22" s="4" t="str">
        <f>IF(Mode = 2,IF(Table2[[#This Row],[Vin]]&gt;Vout, "BUCK","BOOST"),IF(Table2[[#This Row],[Vin]]&gt;VIN_BB_to_buck, "BUCK", IF(Table2[[#This Row],[Vin]]&lt;=VIN_boost_to_BB,"BOOST","BUCK-BST")))</f>
        <v>BUCK</v>
      </c>
      <c r="J22">
        <f>IF(Table2[[#This Row],[Mode]]="BOOST",2, IF(Table2[[#This Row],[Mode]]="BUCK", 1,3))</f>
        <v>1</v>
      </c>
      <c r="K22" s="354">
        <f t="shared" si="3"/>
        <v>1.56</v>
      </c>
      <c r="L22" s="4">
        <f>Vout*Table2[[#This Row],[Iout]]/(Table2[[#This Row],[Vin]]*Efficiency)</f>
        <v>1.0158786797502228</v>
      </c>
      <c r="M22" s="711">
        <f>MIN(1/Fsw,CHOOSE(Table2[[#This Row],[Mode Digit]],(Vout+(Rdson2+Rs+Rdcr)*Table2[[#This Row],[Iout]])/(Table2[[#This Row],[Vin]]+(Rs+Rdson2-Rdson1)*Table2[[#This Row],[Iout]])/Fsw,(Vout+(Rdson3+Rdcr)*Table2[[#This Row],[Iin]]-Table2[[#This Row],[Vin]])/(Vout+(Rdson3-Rdson4-Rs)*Table2[[#This Row],[Iin]])/Fsw,t1_Ph_II))</f>
        <v>1.0322799763315948E-6</v>
      </c>
      <c r="N22" s="602">
        <f>CHOOSE(Table2[[#This Row],[Mode Digit]],1/Fsw-Table2[[#This Row],[t1_Ph_II]],1/Fsw-Table2[[#This Row],[t1_Ph_II]],(Vout/Fsw-Table2[[#This Row],[Vin]]*t1_Ph_II)/(Table2[[#This Row],[Vin]]+Vout))</f>
        <v>6.3438669033507185E-7</v>
      </c>
      <c r="O22" s="602">
        <f>1/Fsw-(Table2[[#This Row],[t1_Ph_II]]+Table2[[#This Row],[t2_Ph_I]])</f>
        <v>0</v>
      </c>
      <c r="P2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-0.19956814147430957</v>
      </c>
      <c r="Q22" s="4">
        <f>CHOOSE(Table2[[#This Row],[Mode Digit]],Table2[[#This Row],[I_0]]+1/Lf*(Table2[[#This Row],[Vin]]-Vout)*Table2[[#This Row],[t1_Ph_II]],Table2[[#This Row],[I_0]]+1/Lf*Table2[[#This Row],[Vin]]*Table2[[#This Row],[t1_Ph_II]],Table2[[#This Row],[I_0]]+(Table2[[#This Row],[Vin]]-Vout)/L*Table2[[#This Row],[t1_Ph_II]])</f>
        <v>3.3195681414743099</v>
      </c>
      <c r="R22" s="4">
        <f>CHOOSE(Table2[[#This Row],[Mode Digit]],0,0,Table2[[#This Row],[I_1]]+Table2[[#This Row],[Vin]]/L*Table2[[#This Row],[t2_Ph_I]])</f>
        <v>0</v>
      </c>
      <c r="S22" s="409">
        <f>Fsw*(Table2[[#This Row],[I_0]]*Table2[[#This Row],[t1_Ph_II]]+Table2[[#This Row],[I_1]]*Table2[[#This Row],[t2_Ph_I]]+Table2[[#This Row],[I_2]]*Table2[[#This Row],[t3_Ph_III]])</f>
        <v>1.1399277901523954</v>
      </c>
      <c r="T22" s="354">
        <f>MIN(1,CHOOSE(Table2[[#This Row],[Mode Digit]],(Vout+(Rdson2+Rs+Rdcr)*Table2[[#This Row],[Iout]])/(Table2[[#This Row],[Vin]]+(Rs+Rdson2-Rdson1)*Table2[[#This Row],[Iout]]),1,Fsw*Table2[[#This Row],[t2_Ph_I]]+Table2[[#This Row],[t1_Ph_II]]))</f>
        <v>0.61936798579895691</v>
      </c>
      <c r="U22" s="354">
        <f>MIN(1,CHOOSE(Table2[[#This Row],[Mode Digit]],0,(Vout+(Rdson3+Rdcr)*Table2[[#This Row],[Iin]]-Table2[[#This Row],[Vin]])/(Vout+(Rdson3-Rdson4-Rs)*Table2[[#This Row],[Iin]]),Fsw*Table2[[#This Row],[t1_Ph_II]]+Table2[[#This Row],[t3_Ph_III]]))</f>
        <v>0</v>
      </c>
      <c r="V22" s="4">
        <f>MAX(Table2[[#This Row],[I_0]:[I_2]])-MIN(Table2[[#This Row],[I_0]:[I_1]])</f>
        <v>3.5191362829486197</v>
      </c>
      <c r="W2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1.8616193707353608</v>
      </c>
      <c r="X22" s="354">
        <f>(Table2[[#This Row],[Irms Lf]]^2*Rdcr*(1+Ltc*Ta-Ltc*25))/(1-Table2[[#This Row],[Irms Lf]]^2*Rdcr*Ltc*ThetaCa)</f>
        <v>2.0133009654566391E-2</v>
      </c>
      <c r="Y22" s="354">
        <f>ABS(7.759*10^-3*Fsw^0.9458*(0.00787*Table2[[#This Row],[Ripple Current pk-pk]])^2.304)</f>
        <v>0.58357372441596911</v>
      </c>
      <c r="Z22" s="354">
        <f>Table2[[#This Row],[DCR    Loss]]+Table2[[#This Row],[Core Loss]]</f>
        <v>0.60370673407053554</v>
      </c>
      <c r="AA22" s="4">
        <f>IF(Table2[[#This Row],[Vin]]&gt;Vout, Table2[[#This Row],[Ripple Current pk-pk]]/SQRT(12), SQRT(Table2[[#This Row],[Duty Cycle BOOST Leg]]/(1-Table2[[#This Row],[Duty Cycle BOOST Leg]]))*SQRT(Table2[[#This Row],[Iout]]^2+(Table2[[#This Row],[Ripple Current pk-pk]]^2)/12))</f>
        <v>1.0158871401376823</v>
      </c>
      <c r="AB22" s="354">
        <f>RCoutEsr*Table2[[#This Row],[Irms Cout]]^2</f>
        <v>5.1601334074855955E-3</v>
      </c>
      <c r="AC22" s="354">
        <f>Table2[[#This Row],[Cout ESR Loss]]</f>
        <v>5.1601334074855955E-3</v>
      </c>
      <c r="AD22" s="4">
        <f>IF(Table2[[#This Row],[Vin]]&gt;Vout, SQRT(Table2[[#This Row],[Duty Cycle BUCK Leg]]*(1-Table2[[#This Row],[Duty Cycle BUCK Leg]]))*SQRT(Table2[[#This Row],[Iout]]^2+(Table2[[#This Row],[Ripple Current pk-pk]]^2)/12), Table2[[#This Row],[Ripple Current pk-pk]]/SQRT(12))</f>
        <v>0.90389487215649889</v>
      </c>
      <c r="AE22" s="354">
        <f>RCinEsr*Table2[[#This Row],[Irms Cin]]^2</f>
        <v>1.6340518798216271E-3</v>
      </c>
      <c r="AF22" s="549">
        <f>Table2[[#This Row],[Cin ESR Loss]]</f>
        <v>1.6340518798216271E-3</v>
      </c>
      <c r="AG22" s="354">
        <f>Table2[[#This Row],[Irms Lf]]</f>
        <v>1.8616193707353608</v>
      </c>
      <c r="AH22" s="354">
        <f>Rdson1*Table2[[#This Row],[Irms BuCtrl]]^2</f>
        <v>1.4555632062287908E-2</v>
      </c>
      <c r="AI22" s="354">
        <f>CHOOSE(Table2[[#This Row],[Mode Digit]], (Table2[[#This Row],[Vin]]*Table2[[#This Row],[Iout]]/2)*(Fsw)*(Tr_buck+Tf_buck), 0, (Table2[[#This Row],[Vin]]*Table2[[#This Row],[Avg IL]]/2)*(Fsw/1)*(Tr_buck+Tf_buck))</f>
        <v>0.36508096536674084</v>
      </c>
      <c r="AJ22">
        <f>IF(Table2[[#This Row],[Vin]]&gt;Vout, IF(Table2[[#This Row],[Iout]]&gt;Table2[[#This Row],[Ripple Current pk-pk]]/2,0,ABS(Table2[[#This Row],[Iout]]-Table2[[#This Row],[Ripple Current pk-pk]]/2)*Vsd_Q1*Deadtime*Fsw),0)</f>
        <v>4.8010392891819674E-3</v>
      </c>
      <c r="AK22" s="354">
        <f>(Table2[[#This Row],[Dead Time Loss BuCtrl]]+Table2[[#This Row],[Transition Loss BuCtrl]]+Table2[[#This Row],[RDS(on) Loss BuCtrl]]*(1+RdsonTopTc*Ta-RdsonTopTc*25))/(1-Table2[[#This Row],[RDS(on) Loss BuCtrl]]*RdsonTopTc*ThetaJA_Q1)</f>
        <v>0.38578532052154113</v>
      </c>
      <c r="AL22" s="354">
        <f>Table2[[#This Row],[Irms Lf]]</f>
        <v>1.8616193707353608</v>
      </c>
      <c r="AM22" s="354">
        <f>Rdson2*Table2[[#This Row],[Irms BuSync]]^2</f>
        <v>1.4555632062287908E-2</v>
      </c>
      <c r="AN2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7.9859325003467679E-2</v>
      </c>
      <c r="AO22" s="354">
        <f>(Table2[[#This Row],[Deadtime Loss BuSync]]+Table2[[#This Row],[RDS(on) Loss BuSync]]*(1+RdsonBotTc*Ta-RdsonBotTc*25))/(1-Table2[[#This Row],[RDS(on) Loss BuSync]]*RdsonBotTc*ThetaJA_Q2)</f>
        <v>9.4745937948678152E-2</v>
      </c>
      <c r="AP22" s="354">
        <f>Table2[[#This Row],[Irms Lf]]</f>
        <v>1.8616193707353608</v>
      </c>
      <c r="AQ22" s="354">
        <f>Rdson4*Table2[[#This Row],[Irms BoCtlr]]^2</f>
        <v>1.4555632062287908E-2</v>
      </c>
      <c r="AR22" s="354">
        <f>CHOOSE(Table2[[#This Row],[Mode Digit]], 0, (Vout*Table2[[#This Row],[Iin]]/2)*(Fsw)*(Tr_boost+Tf_boost), (Vout*Iout/2)*(Fsw/1)*(Tr_boost+Tf_boost))</f>
        <v>0</v>
      </c>
      <c r="AS22" s="354">
        <f>IF(Table2[[#This Row],[Vin]]&gt;Vout, 0, IF(Table2[[#This Row],[Iin]]&gt;Table2[[#This Row],[Ripple Current pk-pk]]/2,0,ABS(Table2[[#This Row],[Iin]]-Table2[[#This Row],[Ripple Current pk-pk]]/2)*Vsd_Q4*Deadtime*Fsw))</f>
        <v>0</v>
      </c>
      <c r="AT22" s="354">
        <f>(Table2[[#This Row],[Dead Time Loss BoCtlr]]+Table2[[#This Row],[Transition Loss BoCtlr]]+Table2[[#This Row],[RDS(on) Loss BoCtlr]]*(1+RdsonTopTc*Ta-RdsonTopTc*25))/(1-Table2[[#This Row],[RDS(on) Loss BoCtlr]]*RdsonTopTc*ThetaJA_Q4)</f>
        <v>1.4606658256666377E-2</v>
      </c>
      <c r="AU22" s="354">
        <f>Table2[[#This Row],[Irms Lf]]</f>
        <v>1.8616193707353608</v>
      </c>
      <c r="AV22" s="354">
        <f>Rdson3*Table2[[#This Row],[Irms BoSync]]^2</f>
        <v>1.4555632062287908E-2</v>
      </c>
      <c r="AW2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2" s="354">
        <f>(Table2[[#This Row],[Deadtime Loss BoSync]]+Table2[[#This Row],[RDS(on) Loss BoSync]]*(1+RdsonBotTc*Ta-RdsonBotTc*25))/(1-Table2[[#This Row],[RDS(on) Loss BoSync]]*RdsonBotTc*ThetaJA_Q3)</f>
        <v>1.4606658256666377E-2</v>
      </c>
      <c r="AY22" s="354">
        <f>CHOOSE(Table2[[#This Row],[Mode Digit]], Rdson3*Table2[[#This Row],[Irms Lf]]^2, Rdson1*Table2[[#This Row],[Irms Lf]]^2, 0)</f>
        <v>1.4555632062287908E-2</v>
      </c>
      <c r="AZ22" s="354">
        <f>CHOOSE(Table2[[#This Row],[Mode Digit]], 2*Deadtime*Fsw*IF(VfdSky_Q2&gt;0,VfdSky_Q2,0)*Table2[[#This Row],[Iout]], 2*Deadtime*Fsw*IF(VfdSky_Q3&gt;0,VfdSky_Q3,0)*Table2[[#This Row],[Iin]], 2*Deadtime*Fsw*IF(VfdSky_Q2&gt;0,VfdSky_Q2,0)*Table2[[#This Row],[Iout]]+2*Deadtime*Fsw*IF(VfdSky_Q3&gt;0,VfdSky_Q3,0)*Table2[[#This Row],[Iin]])</f>
        <v>0</v>
      </c>
      <c r="BA2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3.6805778880000001E-2</v>
      </c>
      <c r="BB2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3.6805778880000001E-2</v>
      </c>
      <c r="BC22" s="354">
        <f>CHOOSE(Table2[[#This Row],[Mode Digit]], Rs*Table2[[#This Row],[Irms BuSync]]^2, Rs*Table2[[#This Row],[Irms BoCtlr]]^2, Rs*(Table2[[#This Row],[Irms BuSync]]^2+Table2[[#This Row],[Irms BoCtlr]]^2))</f>
        <v>8.6640667037428017E-3</v>
      </c>
      <c r="BD22" s="354">
        <f t="shared" si="1"/>
        <v>1.44</v>
      </c>
      <c r="BE22" s="354">
        <f>IF(Vout&gt;8, Iq*Vout, Iq*Table2[[#This Row],[Vin]])</f>
        <v>4.3799999999999999E-2</v>
      </c>
      <c r="BF22" s="354">
        <f>CHOOSE(Table2[[#This Row],[Mode Digit]], (Qg_Q1+Qg_Q2)*Fsw, (Qg_Q3+Qg_Q4)*Fsw, (Qg_Q1+Qg_Q2+Qg_Q3+Qg_Q4)*Fsw)*IF(Vout&gt;8, Vout, Table2[[#This Row],[Vin]])</f>
        <v>0.47303999999999996</v>
      </c>
      <c r="BG22" s="354">
        <f t="shared" si="4"/>
        <v>0.57269042016806726</v>
      </c>
      <c r="BH22" s="354">
        <f>Table2[[#This Row],[IQ Loss]]+Table2[[#This Row],[Switching Current Loss]]</f>
        <v>0.51683999999999997</v>
      </c>
      <c r="BI2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3.1593611188051378</v>
      </c>
      <c r="BJ22">
        <f>Vout*Table2[[#This Row],[Iout]]</f>
        <v>22.776</v>
      </c>
      <c r="BK22" s="550">
        <f>Table2[[#This Row],[Pout]]/(Table2[[#This Row],[Pout]]+Table2[[#This Row],[Total Loss]])</f>
        <v>0.87818326090264631</v>
      </c>
      <c r="BL22" s="559">
        <f>IF(Table2[[#This Row],[Vin]]&gt;Vout,ThetaJA_Q1*(Table2[[#This Row],[Total Control Bu MOSFET Loss]]+Table2[[#This Row],[Reverse Recovery Loss MOSFET D BUCK]]),ThetaJA_Q4*(Table2[[#This Row],[Total Control Bo MOSFET Loss]]+Table2[[#This Row],[Reverse Recovery Loss MOSFET D BOOST]]))</f>
        <v>25.35546596409247</v>
      </c>
      <c r="BM22" s="559">
        <f>IF(Table2[[#This Row],[Vin]]&gt;Vout, Table2[[#This Row],[Total Sync Bu MOSFET Loss]]*ThetaJA_Q2, ThetaJA_Q3*Table2[[#This Row],[Total Sync Bo MOSFET Loss]])</f>
        <v>5.6847562769206892</v>
      </c>
      <c r="BN22" s="9"/>
      <c r="BO22" s="4">
        <f>Table2[[#This Row],[EFF, h]]*100</f>
        <v>87.818326090264634</v>
      </c>
      <c r="BP22" s="354">
        <f>Table2[[#This Row],[Total Inductor Loss]]</f>
        <v>0.60370673407053554</v>
      </c>
      <c r="BQ22" s="354">
        <f>Table2[[#This Row],[Total Control Bu MOSFET Loss]]+Table2[[#This Row],[Total Sync Bu MOSFET Loss]]+Table2[[#This Row],[Total Control Bo MOSFET Loss]]+Table2[[#This Row],[Total Sync Bo MOSFET Loss]]+Table2[[#This Row],[Reverse Recovery Loss MOSFET D BUCK]]+Table2[[#This Row],[Reverse Recovery Loss MOSFET D BOOST]]</f>
        <v>0.58335613274355214</v>
      </c>
      <c r="BR22" s="354">
        <f xml:space="preserve"> Table2[[#This Row],[Total Control Bu MOSFET Loss]]+Table2[[#This Row],[Reverse Recovery Loss MOSFET D BUCK]]*0.66</f>
        <v>0.41007713458234113</v>
      </c>
      <c r="BS22" s="354">
        <f>Table2[[#This Row],[Total Sync Bu MOSFET Loss]]+Table2[[#This Row],[Reverse Recovery Loss MOSFET D BUCK]]*0.33</f>
        <v>0.10689184497907815</v>
      </c>
      <c r="BT22" s="354">
        <f xml:space="preserve"> Table2[[#This Row],[Total Control Bo MOSFET Loss]]+Table2[[#This Row],[Reverse Recovery Loss MOSFET D BOOST]]*0.66</f>
        <v>3.8898472317466376E-2</v>
      </c>
      <c r="BU22" s="354">
        <f xml:space="preserve"> Table2[[#This Row],[Total Sync Bo MOSFET Loss]]+Table2[[#This Row],[Reverse Recovery Loss MOSFET D BOOST]]*0.33</f>
        <v>2.6752565287066377E-2</v>
      </c>
      <c r="BV22" s="354">
        <f>Table2[[#This Row],[Isense Shunt Loss]]</f>
        <v>8.6640667037428017E-3</v>
      </c>
      <c r="CB22" s="18"/>
      <c r="CC22" s="19"/>
    </row>
    <row r="23" spans="1:92" x14ac:dyDescent="0.2">
      <c r="A23" s="36" t="s">
        <v>89</v>
      </c>
      <c r="B23" s="39">
        <f>RCinEsr*1000</f>
        <v>2</v>
      </c>
      <c r="C23" s="442" t="s">
        <v>638</v>
      </c>
      <c r="D23" s="440" t="s">
        <v>653</v>
      </c>
      <c r="G23">
        <v>14</v>
      </c>
      <c r="H23" s="555">
        <f t="shared" si="0"/>
        <v>23.6</v>
      </c>
      <c r="I23" s="4" t="str">
        <f>IF(Mode = 2,IF(Table2[[#This Row],[Vin]]&gt;Vout, "BUCK","BOOST"),IF(Table2[[#This Row],[Vin]]&gt;VIN_BB_to_buck, "BUCK", IF(Table2[[#This Row],[Vin]]&lt;=VIN_boost_to_BB,"BOOST","BUCK-BST")))</f>
        <v>BUCK</v>
      </c>
      <c r="J23">
        <f>IF(Table2[[#This Row],[Mode]]="BOOST",2, IF(Table2[[#This Row],[Mode]]="BUCK", 1,3))</f>
        <v>1</v>
      </c>
      <c r="K23" s="354">
        <f t="shared" si="3"/>
        <v>1.68</v>
      </c>
      <c r="L23" s="4">
        <f>Vout*Table2[[#This Row],[Iout]]/(Table2[[#This Row],[Vin]]*Efficiency)</f>
        <v>1.0940231935771632</v>
      </c>
      <c r="M23" s="711">
        <f>MIN(1/Fsw,CHOOSE(Table2[[#This Row],[Mode Digit]],(Vout+(Rdson2+Rs+Rdcr)*Table2[[#This Row],[Iout]])/(Table2[[#This Row],[Vin]]+(Rs+Rdson2-Rdson1)*Table2[[#This Row],[Iout]])/Fsw,(Vout+(Rdson3+Rdcr)*Table2[[#This Row],[Iin]]-Table2[[#This Row],[Vin]])/(Vout+(Rdson3-Rdson4-Rs)*Table2[[#This Row],[Iin]])/Fsw,t1_Ph_II))</f>
        <v>1.0323727698178006E-6</v>
      </c>
      <c r="N23" s="602">
        <f>CHOOSE(Table2[[#This Row],[Mode Digit]],1/Fsw-Table2[[#This Row],[t1_Ph_II]],1/Fsw-Table2[[#This Row],[t1_Ph_II]],(Vout/Fsw-Table2[[#This Row],[Vin]]*t1_Ph_II)/(Table2[[#This Row],[Vin]]+Vout))</f>
        <v>6.3429389684886603E-7</v>
      </c>
      <c r="O23" s="602">
        <f>1/Fsw-(Table2[[#This Row],[t1_Ph_II]]+Table2[[#This Row],[t2_Ph_I]])</f>
        <v>0</v>
      </c>
      <c r="P2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-7.9726312189433157E-2</v>
      </c>
      <c r="Q23" s="4">
        <f>CHOOSE(Table2[[#This Row],[Mode Digit]],Table2[[#This Row],[I_0]]+1/Lf*(Table2[[#This Row],[Vin]]-Vout)*Table2[[#This Row],[t1_Ph_II]],Table2[[#This Row],[I_0]]+1/Lf*Table2[[#This Row],[Vin]]*Table2[[#This Row],[t1_Ph_II]],Table2[[#This Row],[I_0]]+(Table2[[#This Row],[Vin]]-Vout)/L*Table2[[#This Row],[t1_Ph_II]])</f>
        <v>3.4397263121894328</v>
      </c>
      <c r="R23" s="4">
        <f>CHOOSE(Table2[[#This Row],[Mode Digit]],0,0,Table2[[#This Row],[I_1]]+Table2[[#This Row],[Vin]]/L*Table2[[#This Row],[t2_Ph_I]])</f>
        <v>0</v>
      </c>
      <c r="S23" s="409">
        <f>Fsw*(Table2[[#This Row],[I_0]]*Table2[[#This Row],[t1_Ph_II]]+Table2[[#This Row],[I_1]]*Table2[[#This Row],[t2_Ph_I]]+Table2[[#This Row],[I_2]]*Table2[[#This Row],[t3_Ph_III]])</f>
        <v>1.2596940797459102</v>
      </c>
      <c r="T23" s="354">
        <f>MIN(1,CHOOSE(Table2[[#This Row],[Mode Digit]],(Vout+(Rdson2+Rs+Rdcr)*Table2[[#This Row],[Iout]])/(Table2[[#This Row],[Vin]]+(Rs+Rdson2-Rdson1)*Table2[[#This Row],[Iout]]),1,Fsw*Table2[[#This Row],[t2_Ph_I]]+Table2[[#This Row],[t1_Ph_II]]))</f>
        <v>0.61942366189068043</v>
      </c>
      <c r="U23" s="354">
        <f>MIN(1,CHOOSE(Table2[[#This Row],[Mode Digit]],0,(Vout+(Rdson3+Rdcr)*Table2[[#This Row],[Iin]]-Table2[[#This Row],[Vin]])/(Vout+(Rdson3-Rdson4-Rs)*Table2[[#This Row],[Iin]]),Fsw*Table2[[#This Row],[t1_Ph_II]]+Table2[[#This Row],[t3_Ph_III]]))</f>
        <v>0</v>
      </c>
      <c r="V23" s="4">
        <f>MAX(Table2[[#This Row],[I_0]:[I_2]])-MIN(Table2[[#This Row],[I_0]:[I_1]])</f>
        <v>3.5194526243788662</v>
      </c>
      <c r="W2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1.9633166406034985</v>
      </c>
      <c r="X23" s="354">
        <f>(Table2[[#This Row],[Irms Lf]]^2*Rdcr*(1+Ltc*Ta-Ltc*25))/(1-Table2[[#This Row],[Irms Lf]]^2*Rdcr*Ltc*ThetaCa)</f>
        <v>2.2396808530986224E-2</v>
      </c>
      <c r="Y23" s="354">
        <f>ABS(7.759*10^-3*Fsw^0.9458*(0.00787*Table2[[#This Row],[Ripple Current pk-pk]])^2.304)</f>
        <v>0.58369459584188221</v>
      </c>
      <c r="Z23" s="354">
        <f>Table2[[#This Row],[DCR    Loss]]+Table2[[#This Row],[Core Loss]]</f>
        <v>0.60609140437286846</v>
      </c>
      <c r="AA23" s="4">
        <f>IF(Table2[[#This Row],[Vin]]&gt;Vout, Table2[[#This Row],[Ripple Current pk-pk]]/SQRT(12), SQRT(Table2[[#This Row],[Duty Cycle BOOST Leg]]/(1-Table2[[#This Row],[Duty Cycle BOOST Leg]]))*SQRT(Table2[[#This Row],[Iout]]^2+(Table2[[#This Row],[Ripple Current pk-pk]]^2)/12))</f>
        <v>1.0159784600426367</v>
      </c>
      <c r="AB23" s="354">
        <f>RCoutEsr*Table2[[#This Row],[Irms Cout]]^2</f>
        <v>5.1610611563530371E-3</v>
      </c>
      <c r="AC23" s="354">
        <f>Table2[[#This Row],[Cout ESR Loss]]</f>
        <v>5.1610611563530371E-3</v>
      </c>
      <c r="AD23" s="4">
        <f>IF(Table2[[#This Row],[Vin]]&gt;Vout, SQRT(Table2[[#This Row],[Duty Cycle BUCK Leg]]*(1-Table2[[#This Row],[Duty Cycle BUCK Leg]]))*SQRT(Table2[[#This Row],[Iout]]^2+(Table2[[#This Row],[Ripple Current pk-pk]]^2)/12), Table2[[#This Row],[Ripple Current pk-pk]]/SQRT(12))</f>
        <v>0.9532463142859956</v>
      </c>
      <c r="AE23" s="354">
        <f>RCinEsr*Table2[[#This Row],[Irms Cin]]^2</f>
        <v>1.8173570713996704E-3</v>
      </c>
      <c r="AF23" s="549">
        <f>Table2[[#This Row],[Cin ESR Loss]]</f>
        <v>1.8173570713996704E-3</v>
      </c>
      <c r="AG23" s="354">
        <f>Table2[[#This Row],[Irms Lf]]</f>
        <v>1.9633166406034985</v>
      </c>
      <c r="AH23" s="354">
        <f>Rdson1*Table2[[#This Row],[Irms BuCtrl]]^2</f>
        <v>1.6189371371336553E-2</v>
      </c>
      <c r="AI23" s="354">
        <f>CHOOSE(Table2[[#This Row],[Mode Digit]], (Table2[[#This Row],[Vin]]*Table2[[#This Row],[Iout]]/2)*(Fsw)*(Tr_buck+Tf_buck), 0, (Table2[[#This Row],[Vin]]*Table2[[#This Row],[Avg IL]]/2)*(Fsw/1)*(Tr_buck+Tf_buck))</f>
        <v>0.39316411654879785</v>
      </c>
      <c r="AJ23">
        <f>IF(Table2[[#This Row],[Vin]]&gt;Vout, IF(Table2[[#This Row],[Iout]]&gt;Table2[[#This Row],[Ripple Current pk-pk]]/2,0,ABS(Table2[[#This Row],[Iout]]-Table2[[#This Row],[Ripple Current pk-pk]]/2)*Vsd_Q1*Deadtime*Fsw),0)</f>
        <v>1.9179872818143632E-3</v>
      </c>
      <c r="AK23" s="354">
        <f>(Table2[[#This Row],[Dead Time Loss BuCtrl]]+Table2[[#This Row],[Transition Loss BuCtrl]]+Table2[[#This Row],[RDS(on) Loss BuCtrl]]*(1+RdsonTopTc*Ta-RdsonTopTc*25))/(1-Table2[[#This Row],[RDS(on) Loss BuCtrl]]*RdsonTopTc*ThetaJA_Q1)</f>
        <v>0.41287568266358915</v>
      </c>
      <c r="AL23" s="354">
        <f>Table2[[#This Row],[Irms Lf]]</f>
        <v>1.9633166406034985</v>
      </c>
      <c r="AM23" s="354">
        <f>Rdson2*Table2[[#This Row],[Irms BuSync]]^2</f>
        <v>1.6189371371336553E-2</v>
      </c>
      <c r="AN2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8.2749987281814361E-2</v>
      </c>
      <c r="AO23" s="354">
        <f>(Table2[[#This Row],[Deadtime Loss BuSync]]+Table2[[#This Row],[RDS(on) Loss BuSync]]*(1+RdsonBotTc*Ta-RdsonBotTc*25))/(1-Table2[[#This Row],[RDS(on) Loss BuSync]]*RdsonBotTc*ThetaJA_Q2)</f>
        <v>9.9325281983533506E-2</v>
      </c>
      <c r="AP23" s="354">
        <f>Table2[[#This Row],[Irms Lf]]</f>
        <v>1.9633166406034985</v>
      </c>
      <c r="AQ23" s="354">
        <f>Rdson4*Table2[[#This Row],[Irms BoCtlr]]^2</f>
        <v>1.6189371371336553E-2</v>
      </c>
      <c r="AR23" s="354">
        <f>CHOOSE(Table2[[#This Row],[Mode Digit]], 0, (Vout*Table2[[#This Row],[Iin]]/2)*(Fsw)*(Tr_boost+Tf_boost), (Vout*Iout/2)*(Fsw/1)*(Tr_boost+Tf_boost))</f>
        <v>0</v>
      </c>
      <c r="AS23" s="354">
        <f>IF(Table2[[#This Row],[Vin]]&gt;Vout, 0, IF(Table2[[#This Row],[Iin]]&gt;Table2[[#This Row],[Ripple Current pk-pk]]/2,0,ABS(Table2[[#This Row],[Iin]]-Table2[[#This Row],[Ripple Current pk-pk]]/2)*Vsd_Q4*Deadtime*Fsw))</f>
        <v>0</v>
      </c>
      <c r="AT23" s="354">
        <f>(Table2[[#This Row],[Dead Time Loss BoCtlr]]+Table2[[#This Row],[Transition Loss BoCtlr]]+Table2[[#This Row],[RDS(on) Loss BoCtlr]]*(1+RdsonTopTc*Ta-RdsonTopTc*25))/(1-Table2[[#This Row],[RDS(on) Loss BoCtlr]]*RdsonTopTc*ThetaJA_Q4)</f>
        <v>1.6252519709889363E-2</v>
      </c>
      <c r="AU23" s="354">
        <f>Table2[[#This Row],[Irms Lf]]</f>
        <v>1.9633166406034985</v>
      </c>
      <c r="AV23" s="354">
        <f>Rdson3*Table2[[#This Row],[Irms BoSync]]^2</f>
        <v>1.6189371371336553E-2</v>
      </c>
      <c r="AW2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3" s="354">
        <f>(Table2[[#This Row],[Deadtime Loss BoSync]]+Table2[[#This Row],[RDS(on) Loss BoSync]]*(1+RdsonBotTc*Ta-RdsonBotTc*25))/(1-Table2[[#This Row],[RDS(on) Loss BoSync]]*RdsonBotTc*ThetaJA_Q3)</f>
        <v>1.6252519709889363E-2</v>
      </c>
      <c r="AY23" s="354">
        <f>CHOOSE(Table2[[#This Row],[Mode Digit]], Rdson3*Table2[[#This Row],[Irms Lf]]^2, Rdson1*Table2[[#This Row],[Irms Lf]]^2, 0)</f>
        <v>1.6189371371336553E-2</v>
      </c>
      <c r="AZ23" s="354">
        <f>CHOOSE(Table2[[#This Row],[Mode Digit]], 2*Deadtime*Fsw*IF(VfdSky_Q2&gt;0,VfdSky_Q2,0)*Table2[[#This Row],[Iout]], 2*Deadtime*Fsw*IF(VfdSky_Q3&gt;0,VfdSky_Q3,0)*Table2[[#This Row],[Iin]], 2*Deadtime*Fsw*IF(VfdSky_Q2&gt;0,VfdSky_Q2,0)*Table2[[#This Row],[Iout]]+2*Deadtime*Fsw*IF(VfdSky_Q3&gt;0,VfdSky_Q3,0)*Table2[[#This Row],[Iin]])</f>
        <v>0</v>
      </c>
      <c r="BA2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3.9636145920000004E-2</v>
      </c>
      <c r="BB2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3.9636145920000004E-2</v>
      </c>
      <c r="BC23" s="354">
        <f>CHOOSE(Table2[[#This Row],[Mode Digit]], Rs*Table2[[#This Row],[Irms BuSync]]^2, Rs*Table2[[#This Row],[Irms BoCtlr]]^2, Rs*(Table2[[#This Row],[Irms BuSync]]^2+Table2[[#This Row],[Irms BoCtlr]]^2))</f>
        <v>9.6365305781765179E-3</v>
      </c>
      <c r="BD23" s="354">
        <f t="shared" si="1"/>
        <v>1.44</v>
      </c>
      <c r="BE23" s="354">
        <f>IF(Vout&gt;8, Iq*Vout, Iq*Table2[[#This Row],[Vin]])</f>
        <v>4.3799999999999999E-2</v>
      </c>
      <c r="BF23" s="354">
        <f>CHOOSE(Table2[[#This Row],[Mode Digit]], (Qg_Q1+Qg_Q2)*Fsw, (Qg_Q3+Qg_Q4)*Fsw, (Qg_Q1+Qg_Q2+Qg_Q3+Qg_Q4)*Fsw)*IF(Vout&gt;8, Vout, Table2[[#This Row],[Vin]])</f>
        <v>0.47303999999999996</v>
      </c>
      <c r="BG23" s="354">
        <f t="shared" si="4"/>
        <v>0.57269042016806726</v>
      </c>
      <c r="BH23" s="354">
        <f>Table2[[#This Row],[IQ Loss]]+Table2[[#This Row],[Switching Current Loss]]</f>
        <v>0.51683999999999997</v>
      </c>
      <c r="BI2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3.2035246490856988</v>
      </c>
      <c r="BJ23">
        <f>Vout*Table2[[#This Row],[Iout]]</f>
        <v>24.527999999999999</v>
      </c>
      <c r="BK23" s="550">
        <f>Table2[[#This Row],[Pout]]/(Table2[[#This Row],[Pout]]+Table2[[#This Row],[Total Loss]])</f>
        <v>0.88448076008719123</v>
      </c>
      <c r="BL23" s="559">
        <f>IF(Table2[[#This Row],[Vin]]&gt;Vout,ThetaJA_Q1*(Table2[[#This Row],[Total Control Bu MOSFET Loss]]+Table2[[#This Row],[Reverse Recovery Loss MOSFET D BUCK]]),ThetaJA_Q4*(Table2[[#This Row],[Total Control Bo MOSFET Loss]]+Table2[[#This Row],[Reverse Recovery Loss MOSFET D BOOST]]))</f>
        <v>27.150709715015353</v>
      </c>
      <c r="BM23" s="559">
        <f>IF(Table2[[#This Row],[Vin]]&gt;Vout, Table2[[#This Row],[Total Sync Bu MOSFET Loss]]*ThetaJA_Q2, ThetaJA_Q3*Table2[[#This Row],[Total Sync Bo MOSFET Loss]])</f>
        <v>5.9595169190120103</v>
      </c>
      <c r="BN23" s="9"/>
      <c r="BO23" s="4">
        <f>Table2[[#This Row],[EFF, h]]*100</f>
        <v>88.448076008719127</v>
      </c>
      <c r="BP23" s="354">
        <f>Table2[[#This Row],[Total Inductor Loss]]</f>
        <v>0.60609140437286846</v>
      </c>
      <c r="BQ23" s="354">
        <f>Table2[[#This Row],[Total Control Bu MOSFET Loss]]+Table2[[#This Row],[Total Sync Bu MOSFET Loss]]+Table2[[#This Row],[Total Control Bo MOSFET Loss]]+Table2[[#This Row],[Total Sync Bo MOSFET Loss]]+Table2[[#This Row],[Reverse Recovery Loss MOSFET D BUCK]]+Table2[[#This Row],[Reverse Recovery Loss MOSFET D BOOST]]</f>
        <v>0.62397829590690135</v>
      </c>
      <c r="BR23" s="354">
        <f xml:space="preserve"> Table2[[#This Row],[Total Control Bu MOSFET Loss]]+Table2[[#This Row],[Reverse Recovery Loss MOSFET D BUCK]]*0.66</f>
        <v>0.43903553897078917</v>
      </c>
      <c r="BS23" s="354">
        <f>Table2[[#This Row],[Total Sync Bu MOSFET Loss]]+Table2[[#This Row],[Reverse Recovery Loss MOSFET D BUCK]]*0.33</f>
        <v>0.1124052101371335</v>
      </c>
      <c r="BT23" s="354">
        <f xml:space="preserve"> Table2[[#This Row],[Total Control Bo MOSFET Loss]]+Table2[[#This Row],[Reverse Recovery Loss MOSFET D BOOST]]*0.66</f>
        <v>4.2412376017089366E-2</v>
      </c>
      <c r="BU23" s="354">
        <f xml:space="preserve"> Table2[[#This Row],[Total Sync Bo MOSFET Loss]]+Table2[[#This Row],[Reverse Recovery Loss MOSFET D BOOST]]*0.33</f>
        <v>2.9332447863489364E-2</v>
      </c>
      <c r="BV23" s="354">
        <f>Table2[[#This Row],[Isense Shunt Loss]]</f>
        <v>9.6365305781765179E-3</v>
      </c>
      <c r="CB23" s="18"/>
      <c r="CC23" s="19"/>
    </row>
    <row r="24" spans="1:92" x14ac:dyDescent="0.2">
      <c r="A24" s="35" t="s">
        <v>27</v>
      </c>
      <c r="B24" s="39">
        <f>Cout*1000000</f>
        <v>100</v>
      </c>
      <c r="C24" s="441" t="s">
        <v>639</v>
      </c>
      <c r="D24" s="440" t="s">
        <v>656</v>
      </c>
      <c r="G24">
        <v>15</v>
      </c>
      <c r="H24" s="555">
        <f t="shared" si="0"/>
        <v>23.6</v>
      </c>
      <c r="I24" s="4" t="str">
        <f>IF(Mode = 2,IF(Table2[[#This Row],[Vin]]&gt;Vout, "BUCK","BOOST"),IF(Table2[[#This Row],[Vin]]&gt;VIN_BB_to_buck, "BUCK", IF(Table2[[#This Row],[Vin]]&lt;=VIN_boost_to_BB,"BOOST","BUCK-BST")))</f>
        <v>BUCK</v>
      </c>
      <c r="J24">
        <f>IF(Table2[[#This Row],[Mode]]="BOOST",2, IF(Table2[[#This Row],[Mode]]="BUCK", 1,3))</f>
        <v>1</v>
      </c>
      <c r="K24" s="354">
        <f t="shared" si="3"/>
        <v>1.8</v>
      </c>
      <c r="L24" s="4">
        <f>Vout*Table2[[#This Row],[Iout]]/(Table2[[#This Row],[Vin]]*Efficiency)</f>
        <v>1.1721677074041035</v>
      </c>
      <c r="M24" s="711">
        <f>MIN(1/Fsw,CHOOSE(Table2[[#This Row],[Mode Digit]],(Vout+(Rdson2+Rs+Rdcr)*Table2[[#This Row],[Iout]])/(Table2[[#This Row],[Vin]]+(Rs+Rdson2-Rdson1)*Table2[[#This Row],[Iout]])/Fsw,(Vout+(Rdson3+Rdcr)*Table2[[#This Row],[Iin]]-Table2[[#This Row],[Vin]])/(Vout+(Rdson3-Rdson4-Rs)*Table2[[#This Row],[Iin]])/Fsw,t1_Ph_II))</f>
        <v>1.0324655609453001E-6</v>
      </c>
      <c r="N24" s="602">
        <f>CHOOSE(Table2[[#This Row],[Mode Digit]],1/Fsw-Table2[[#This Row],[t1_Ph_II]],1/Fsw-Table2[[#This Row],[t1_Ph_II]],(Vout/Fsw-Table2[[#This Row],[Vin]]*t1_Ph_II)/(Table2[[#This Row],[Vin]]+Vout))</f>
        <v>6.342011057213666E-7</v>
      </c>
      <c r="O24" s="602">
        <f>1/Fsw-(Table2[[#This Row],[t1_Ph_II]]+Table2[[#This Row],[t2_Ph_I]])</f>
        <v>0</v>
      </c>
      <c r="P2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4.0115521115965613E-2</v>
      </c>
      <c r="Q24" s="4">
        <f>CHOOSE(Table2[[#This Row],[Mode Digit]],Table2[[#This Row],[I_0]]+1/Lf*(Table2[[#This Row],[Vin]]-Vout)*Table2[[#This Row],[t1_Ph_II]],Table2[[#This Row],[I_0]]+1/Lf*Table2[[#This Row],[Vin]]*Table2[[#This Row],[t1_Ph_II]],Table2[[#This Row],[I_0]]+(Table2[[#This Row],[Vin]]-Vout)/L*Table2[[#This Row],[t1_Ph_II]])</f>
        <v>3.5598844788840345</v>
      </c>
      <c r="R24" s="4">
        <f>CHOOSE(Table2[[#This Row],[Mode Digit]],0,0,Table2[[#This Row],[I_1]]+Table2[[#This Row],[Vin]]/L*Table2[[#This Row],[t2_Ph_I]])</f>
        <v>0</v>
      </c>
      <c r="S24" s="409">
        <f>Fsw*(Table2[[#This Row],[I_0]]*Table2[[#This Row],[t1_Ph_II]]+Table2[[#This Row],[I_1]]*Table2[[#This Row],[t2_Ph_I]]+Table2[[#This Row],[I_2]]*Table2[[#This Row],[t3_Ph_III]])</f>
        <v>1.3794603400561165</v>
      </c>
      <c r="T24" s="354">
        <f>MIN(1,CHOOSE(Table2[[#This Row],[Mode Digit]],(Vout+(Rdson2+Rs+Rdcr)*Table2[[#This Row],[Iout]])/(Table2[[#This Row],[Vin]]+(Rs+Rdson2-Rdson1)*Table2[[#This Row],[Iout]]),1,Fsw*Table2[[#This Row],[t2_Ph_I]]+Table2[[#This Row],[t1_Ph_II]]))</f>
        <v>0.61947933656718002</v>
      </c>
      <c r="U24" s="354">
        <f>MIN(1,CHOOSE(Table2[[#This Row],[Mode Digit]],0,(Vout+(Rdson3+Rdcr)*Table2[[#This Row],[Iin]]-Table2[[#This Row],[Vin]])/(Vout+(Rdson3-Rdson4-Rs)*Table2[[#This Row],[Iin]]),Fsw*Table2[[#This Row],[t1_Ph_II]]+Table2[[#This Row],[t3_Ph_III]]))</f>
        <v>0</v>
      </c>
      <c r="V24" s="4">
        <f>MAX(Table2[[#This Row],[I_0]:[I_2]])-MIN(Table2[[#This Row],[I_0]:[I_1]])</f>
        <v>3.5197689577680689</v>
      </c>
      <c r="W2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2.0669779372324331</v>
      </c>
      <c r="X24" s="354">
        <f>(Table2[[#This Row],[Irms Lf]]^2*Rdcr*(1+Ltc*Ta-Ltc*25))/(1-Table2[[#This Row],[Irms Lf]]^2*Rdcr*Ltc*ThetaCa)</f>
        <v>2.482912827900045E-2</v>
      </c>
      <c r="Y24" s="354">
        <f>ABS(7.759*10^-3*Fsw^0.9458*(0.00787*Table2[[#This Row],[Ripple Current pk-pk]])^2.304)</f>
        <v>0.58381547836281056</v>
      </c>
      <c r="Z24" s="354">
        <f>Table2[[#This Row],[DCR    Loss]]+Table2[[#This Row],[Core Loss]]</f>
        <v>0.60864460664181097</v>
      </c>
      <c r="AA24" s="4">
        <f>IF(Table2[[#This Row],[Vin]]&gt;Vout, Table2[[#This Row],[Ripple Current pk-pk]]/SQRT(12), SQRT(Table2[[#This Row],[Duty Cycle BOOST Leg]]/(1-Table2[[#This Row],[Duty Cycle BOOST Leg]]))*SQRT(Table2[[#This Row],[Iout]]^2+(Table2[[#This Row],[Ripple Current pk-pk]]^2)/12))</f>
        <v>1.0160697776263417</v>
      </c>
      <c r="AB24" s="354">
        <f>RCoutEsr*Table2[[#This Row],[Irms Cout]]^2</f>
        <v>5.1619889650282172E-3</v>
      </c>
      <c r="AC24" s="354">
        <f>Table2[[#This Row],[Cout ESR Loss]]</f>
        <v>5.1619889650282172E-3</v>
      </c>
      <c r="AD24" s="4">
        <f>IF(Table2[[#This Row],[Vin]]&gt;Vout, SQRT(Table2[[#This Row],[Duty Cycle BUCK Leg]]*(1-Table2[[#This Row],[Duty Cycle BUCK Leg]]))*SQRT(Table2[[#This Row],[Iout]]^2+(Table2[[#This Row],[Ripple Current pk-pk]]^2)/12), Table2[[#This Row],[Ripple Current pk-pk]]/SQRT(12))</f>
        <v>1.0035485226626395</v>
      </c>
      <c r="AE24" s="354">
        <f>RCinEsr*Table2[[#This Row],[Irms Cin]]^2</f>
        <v>2.0142192746767326E-3</v>
      </c>
      <c r="AF24" s="549">
        <f>Table2[[#This Row],[Cin ESR Loss]]</f>
        <v>2.0142192746767326E-3</v>
      </c>
      <c r="AG24" s="354">
        <f>Table2[[#This Row],[Irms Lf]]</f>
        <v>2.0669779372324331</v>
      </c>
      <c r="AH24" s="354">
        <f>Rdson1*Table2[[#This Row],[Irms BuCtrl]]^2</f>
        <v>1.7944070730623707E-2</v>
      </c>
      <c r="AI24" s="354">
        <f>CHOOSE(Table2[[#This Row],[Mode Digit]], (Table2[[#This Row],[Vin]]*Table2[[#This Row],[Iout]]/2)*(Fsw)*(Tr_buck+Tf_buck), 0, (Table2[[#This Row],[Vin]]*Table2[[#This Row],[Avg IL]]/2)*(Fsw/1)*(Tr_buck+Tf_buck))</f>
        <v>0.42124726773085486</v>
      </c>
      <c r="AJ24">
        <f>IF(Table2[[#This Row],[Vin]]&gt;Vout, IF(Table2[[#This Row],[Iout]]&gt;Table2[[#This Row],[Ripple Current pk-pk]]/2,0,ABS(Table2[[#This Row],[Iout]]-Table2[[#This Row],[Ripple Current pk-pk]]/2)*Vsd_Q1*Deadtime*Fsw),0)</f>
        <v>0</v>
      </c>
      <c r="AK24" s="354">
        <f>(Table2[[#This Row],[Dead Time Loss BuCtrl]]+Table2[[#This Row],[Transition Loss BuCtrl]]+Table2[[#This Row],[RDS(on) Loss BuCtrl]]*(1+RdsonTopTc*Ta-RdsonTopTc*25))/(1-Table2[[#This Row],[RDS(on) Loss BuCtrl]]*RdsonTopTc*ThetaJA_Q1)</f>
        <v>0.44109093050683484</v>
      </c>
      <c r="AL24" s="354">
        <f>Table2[[#This Row],[Irms Lf]]</f>
        <v>2.0669779372324331</v>
      </c>
      <c r="AM24" s="354">
        <f>Rdson2*Table2[[#This Row],[Irms BuSync]]^2</f>
        <v>1.7944070730623707E-2</v>
      </c>
      <c r="AN2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8.6605714285714286E-2</v>
      </c>
      <c r="AO24" s="354">
        <f>(Table2[[#This Row],[Deadtime Loss BuSync]]+Table2[[#This Row],[RDS(on) Loss BuSync]]*(1+RdsonBotTc*Ta-RdsonBotTc*25))/(1-Table2[[#This Row],[RDS(on) Loss BuSync]]*RdsonBotTc*ThetaJA_Q2)</f>
        <v>0.10500198414361692</v>
      </c>
      <c r="AP24" s="354">
        <f>Table2[[#This Row],[Irms Lf]]</f>
        <v>2.0669779372324331</v>
      </c>
      <c r="AQ24" s="354">
        <f>Rdson4*Table2[[#This Row],[Irms BoCtlr]]^2</f>
        <v>1.7944070730623707E-2</v>
      </c>
      <c r="AR24" s="354">
        <f>CHOOSE(Table2[[#This Row],[Mode Digit]], 0, (Vout*Table2[[#This Row],[Iin]]/2)*(Fsw)*(Tr_boost+Tf_boost), (Vout*Iout/2)*(Fsw/1)*(Tr_boost+Tf_boost))</f>
        <v>0</v>
      </c>
      <c r="AS24" s="354">
        <f>IF(Table2[[#This Row],[Vin]]&gt;Vout, 0, IF(Table2[[#This Row],[Iin]]&gt;Table2[[#This Row],[Ripple Current pk-pk]]/2,0,ABS(Table2[[#This Row],[Iin]]-Table2[[#This Row],[Ripple Current pk-pk]]/2)*Vsd_Q4*Deadtime*Fsw))</f>
        <v>0</v>
      </c>
      <c r="AT24" s="354">
        <f>(Table2[[#This Row],[Dead Time Loss BoCtlr]]+Table2[[#This Row],[Transition Loss BoCtlr]]+Table2[[#This Row],[RDS(on) Loss BoCtlr]]*(1+RdsonTopTc*Ta-RdsonTopTc*25))/(1-Table2[[#This Row],[RDS(on) Loss BoCtlr]]*RdsonTopTc*ThetaJA_Q4)</f>
        <v>1.8021682493507309E-2</v>
      </c>
      <c r="AU24" s="354">
        <f>Table2[[#This Row],[Irms Lf]]</f>
        <v>2.0669779372324331</v>
      </c>
      <c r="AV24" s="354">
        <f>Rdson3*Table2[[#This Row],[Irms BoSync]]^2</f>
        <v>1.7944070730623707E-2</v>
      </c>
      <c r="AW2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4" s="354">
        <f>(Table2[[#This Row],[Deadtime Loss BoSync]]+Table2[[#This Row],[RDS(on) Loss BoSync]]*(1+RdsonBotTc*Ta-RdsonBotTc*25))/(1-Table2[[#This Row],[RDS(on) Loss BoSync]]*RdsonBotTc*ThetaJA_Q3)</f>
        <v>1.8021682493507309E-2</v>
      </c>
      <c r="AY24" s="354">
        <f>CHOOSE(Table2[[#This Row],[Mode Digit]], Rdson3*Table2[[#This Row],[Irms Lf]]^2, Rdson1*Table2[[#This Row],[Irms Lf]]^2, 0)</f>
        <v>1.7944070730623707E-2</v>
      </c>
      <c r="AZ24" s="354">
        <f>CHOOSE(Table2[[#This Row],[Mode Digit]], 2*Deadtime*Fsw*IF(VfdSky_Q2&gt;0,VfdSky_Q2,0)*Table2[[#This Row],[Iout]], 2*Deadtime*Fsw*IF(VfdSky_Q3&gt;0,VfdSky_Q3,0)*Table2[[#This Row],[Iin]], 2*Deadtime*Fsw*IF(VfdSky_Q2&gt;0,VfdSky_Q2,0)*Table2[[#This Row],[Iout]]+2*Deadtime*Fsw*IF(VfdSky_Q3&gt;0,VfdSky_Q3,0)*Table2[[#This Row],[Iin]])</f>
        <v>0</v>
      </c>
      <c r="BA2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4.2466392000000006E-2</v>
      </c>
      <c r="BB2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4.2466392000000006E-2</v>
      </c>
      <c r="BC24" s="354">
        <f>CHOOSE(Table2[[#This Row],[Mode Digit]], Rs*Table2[[#This Row],[Irms BuSync]]^2, Rs*Table2[[#This Row],[Irms BoCtlr]]^2, Rs*(Table2[[#This Row],[Irms BuSync]]^2+Table2[[#This Row],[Irms BoCtlr]]^2))</f>
        <v>1.0680994482514109E-2</v>
      </c>
      <c r="BD24" s="354">
        <f t="shared" si="1"/>
        <v>1.44</v>
      </c>
      <c r="BE24" s="354">
        <f>IF(Vout&gt;8, Iq*Vout, Iq*Table2[[#This Row],[Vin]])</f>
        <v>4.3799999999999999E-2</v>
      </c>
      <c r="BF24" s="354">
        <f>CHOOSE(Table2[[#This Row],[Mode Digit]], (Qg_Q1+Qg_Q2)*Fsw, (Qg_Q3+Qg_Q4)*Fsw, (Qg_Q1+Qg_Q2+Qg_Q3+Qg_Q4)*Fsw)*IF(Vout&gt;8, Vout, Table2[[#This Row],[Vin]])</f>
        <v>0.47303999999999996</v>
      </c>
      <c r="BG24" s="354">
        <f t="shared" si="4"/>
        <v>0.57269042016806726</v>
      </c>
      <c r="BH24" s="354">
        <f>Table2[[#This Row],[IQ Loss]]+Table2[[#This Row],[Switching Current Loss]]</f>
        <v>0.51683999999999997</v>
      </c>
      <c r="BI2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3.2504108730014964</v>
      </c>
      <c r="BJ24">
        <f>Vout*Table2[[#This Row],[Iout]]</f>
        <v>26.28</v>
      </c>
      <c r="BK24" s="550">
        <f>Table2[[#This Row],[Pout]]/(Table2[[#This Row],[Pout]]+Table2[[#This Row],[Total Loss]])</f>
        <v>0.88993004916253238</v>
      </c>
      <c r="BL24" s="559">
        <f>IF(Table2[[#This Row],[Vin]]&gt;Vout,ThetaJA_Q1*(Table2[[#This Row],[Total Control Bu MOSFET Loss]]+Table2[[#This Row],[Reverse Recovery Loss MOSFET D BUCK]]),ThetaJA_Q4*(Table2[[#This Row],[Total Control Bo MOSFET Loss]]+Table2[[#This Row],[Reverse Recovery Loss MOSFET D BOOST]]))</f>
        <v>29.013439350410092</v>
      </c>
      <c r="BM24" s="559">
        <f>IF(Table2[[#This Row],[Vin]]&gt;Vout, Table2[[#This Row],[Total Sync Bu MOSFET Loss]]*ThetaJA_Q2, ThetaJA_Q3*Table2[[#This Row],[Total Sync Bo MOSFET Loss]])</f>
        <v>6.3001190486170149</v>
      </c>
      <c r="BN24" s="9"/>
      <c r="BO24" s="4">
        <f>Table2[[#This Row],[EFF, h]]*100</f>
        <v>88.993004916253241</v>
      </c>
      <c r="BP24" s="354">
        <f>Table2[[#This Row],[Total Inductor Loss]]</f>
        <v>0.60864460664181097</v>
      </c>
      <c r="BQ24" s="354">
        <f>Table2[[#This Row],[Total Control Bu MOSFET Loss]]+Table2[[#This Row],[Total Sync Bu MOSFET Loss]]+Table2[[#This Row],[Total Control Bo MOSFET Loss]]+Table2[[#This Row],[Total Sync Bo MOSFET Loss]]+Table2[[#This Row],[Reverse Recovery Loss MOSFET D BUCK]]+Table2[[#This Row],[Reverse Recovery Loss MOSFET D BOOST]]</f>
        <v>0.66706906363746643</v>
      </c>
      <c r="BR24" s="354">
        <f xml:space="preserve"> Table2[[#This Row],[Total Control Bu MOSFET Loss]]+Table2[[#This Row],[Reverse Recovery Loss MOSFET D BUCK]]*0.66</f>
        <v>0.46911874922683483</v>
      </c>
      <c r="BS24" s="354">
        <f>Table2[[#This Row],[Total Sync Bu MOSFET Loss]]+Table2[[#This Row],[Reverse Recovery Loss MOSFET D BUCK]]*0.33</f>
        <v>0.11901589350361692</v>
      </c>
      <c r="BT24" s="354">
        <f xml:space="preserve"> Table2[[#This Row],[Total Control Bo MOSFET Loss]]+Table2[[#This Row],[Reverse Recovery Loss MOSFET D BOOST]]*0.66</f>
        <v>4.6049501213507316E-2</v>
      </c>
      <c r="BU24" s="354">
        <f xml:space="preserve"> Table2[[#This Row],[Total Sync Bo MOSFET Loss]]+Table2[[#This Row],[Reverse Recovery Loss MOSFET D BOOST]]*0.33</f>
        <v>3.2035591853507309E-2</v>
      </c>
      <c r="BV24" s="354">
        <f>Table2[[#This Row],[Isense Shunt Loss]]</f>
        <v>1.0680994482514109E-2</v>
      </c>
      <c r="CB24" s="18"/>
      <c r="CC24" s="19"/>
    </row>
    <row r="25" spans="1:92" x14ac:dyDescent="0.2">
      <c r="A25" s="35" t="s">
        <v>88</v>
      </c>
      <c r="B25" s="40">
        <f>CoutEsr*1000</f>
        <v>5</v>
      </c>
      <c r="C25" s="442" t="s">
        <v>638</v>
      </c>
      <c r="D25" s="440" t="s">
        <v>655</v>
      </c>
      <c r="G25">
        <v>16</v>
      </c>
      <c r="H25" s="555">
        <f t="shared" si="0"/>
        <v>23.6</v>
      </c>
      <c r="I25" s="4" t="str">
        <f>IF(Mode = 2,IF(Table2[[#This Row],[Vin]]&gt;Vout, "BUCK","BOOST"),IF(Table2[[#This Row],[Vin]]&gt;VIN_BB_to_buck, "BUCK", IF(Table2[[#This Row],[Vin]]&lt;=VIN_boost_to_BB,"BOOST","BUCK-BST")))</f>
        <v>BUCK</v>
      </c>
      <c r="J25">
        <f>IF(Table2[[#This Row],[Mode]]="BOOST",2, IF(Table2[[#This Row],[Mode]]="BUCK", 1,3))</f>
        <v>1</v>
      </c>
      <c r="K25" s="354">
        <f t="shared" si="3"/>
        <v>1.92</v>
      </c>
      <c r="L25" s="4">
        <f>Vout*Table2[[#This Row],[Iout]]/(Table2[[#This Row],[Vin]]*Efficiency)</f>
        <v>1.2503122212310436</v>
      </c>
      <c r="M25" s="711">
        <f>MIN(1/Fsw,CHOOSE(Table2[[#This Row],[Mode Digit]],(Vout+(Rdson2+Rs+Rdcr)*Table2[[#This Row],[Iout]])/(Table2[[#This Row],[Vin]]+(Rs+Rdson2-Rdson1)*Table2[[#This Row],[Iout]])/Fsw,(Vout+(Rdson3+Rdcr)*Table2[[#This Row],[Iin]]-Table2[[#This Row],[Vin]])/(Vout+(Rdson3-Rdson4-Rs)*Table2[[#This Row],[Iin]])/Fsw,t1_Ph_II))</f>
        <v>1.0325583497141823E-6</v>
      </c>
      <c r="N25" s="602">
        <f>CHOOSE(Table2[[#This Row],[Mode Digit]],1/Fsw-Table2[[#This Row],[t1_Ph_II]],1/Fsw-Table2[[#This Row],[t1_Ph_II]],(Vout/Fsw-Table2[[#This Row],[Vin]]*t1_Ph_II)/(Table2[[#This Row],[Vin]]+Vout))</f>
        <v>6.341083169524844E-7</v>
      </c>
      <c r="O25" s="602">
        <f>1/Fsw-(Table2[[#This Row],[t1_Ph_II]]+Table2[[#This Row],[t2_Ph_I]])</f>
        <v>0</v>
      </c>
      <c r="P2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0.15995735844173442</v>
      </c>
      <c r="Q25" s="4">
        <f>CHOOSE(Table2[[#This Row],[Mode Digit]],Table2[[#This Row],[I_0]]+1/Lf*(Table2[[#This Row],[Vin]]-Vout)*Table2[[#This Row],[t1_Ph_II]],Table2[[#This Row],[I_0]]+1/Lf*Table2[[#This Row],[Vin]]*Table2[[#This Row],[t1_Ph_II]],Table2[[#This Row],[I_0]]+(Table2[[#This Row],[Vin]]-Vout)/L*Table2[[#This Row],[t1_Ph_II]])</f>
        <v>3.6800426415582654</v>
      </c>
      <c r="R25" s="4">
        <f>CHOOSE(Table2[[#This Row],[Mode Digit]],0,0,Table2[[#This Row],[I_1]]+Table2[[#This Row],[Vin]]/L*Table2[[#This Row],[t2_Ph_I]])</f>
        <v>0</v>
      </c>
      <c r="S25" s="409">
        <f>Fsw*(Table2[[#This Row],[I_0]]*Table2[[#This Row],[t1_Ph_II]]+Table2[[#This Row],[I_1]]*Table2[[#This Row],[t2_Ph_I]]+Table2[[#This Row],[I_2]]*Table2[[#This Row],[t3_Ph_III]])</f>
        <v>1.4992265710854744</v>
      </c>
      <c r="T25" s="354">
        <f>MIN(1,CHOOSE(Table2[[#This Row],[Mode Digit]],(Vout+(Rdson2+Rs+Rdcr)*Table2[[#This Row],[Iout]])/(Table2[[#This Row],[Vin]]+(Rs+Rdson2-Rdson1)*Table2[[#This Row],[Iout]]),1,Fsw*Table2[[#This Row],[t2_Ph_I]]+Table2[[#This Row],[t1_Ph_II]]))</f>
        <v>0.6195350098285094</v>
      </c>
      <c r="U25" s="354">
        <f>MIN(1,CHOOSE(Table2[[#This Row],[Mode Digit]],0,(Vout+(Rdson3+Rdcr)*Table2[[#This Row],[Iin]]-Table2[[#This Row],[Vin]])/(Vout+(Rdson3-Rdson4-Rs)*Table2[[#This Row],[Iin]]),Fsw*Table2[[#This Row],[t1_Ph_II]]+Table2[[#This Row],[t3_Ph_III]]))</f>
        <v>0</v>
      </c>
      <c r="V25" s="4">
        <f>MAX(Table2[[#This Row],[I_0]:[I_2]])-MIN(Table2[[#This Row],[I_0]:[I_1]])</f>
        <v>3.520085283116531</v>
      </c>
      <c r="W2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2.1723221139373261</v>
      </c>
      <c r="X25" s="354">
        <f>(Table2[[#This Row],[Irms Lf]]^2*Rdcr*(1+Ltc*Ta-Ltc*25))/(1-Table2[[#This Row],[Irms Lf]]^2*Rdcr*Ltc*ThetaCa)</f>
        <v>2.7430164842987496E-2</v>
      </c>
      <c r="Y25" s="354">
        <f>ABS(7.759*10^-3*Fsw^0.9458*(0.00787*Table2[[#This Row],[Ripple Current pk-pk]])^2.304)</f>
        <v>0.58393637197817461</v>
      </c>
      <c r="Z25" s="354">
        <f>Table2[[#This Row],[DCR    Loss]]+Table2[[#This Row],[Core Loss]]</f>
        <v>0.61136653682116215</v>
      </c>
      <c r="AA25" s="4">
        <f>IF(Table2[[#This Row],[Vin]]&gt;Vout, Table2[[#This Row],[Ripple Current pk-pk]]/SQRT(12), SQRT(Table2[[#This Row],[Duty Cycle BOOST Leg]]/(1-Table2[[#This Row],[Duty Cycle BOOST Leg]]))*SQRT(Table2[[#This Row],[Iout]]^2+(Table2[[#This Row],[Ripple Current pk-pk]]^2)/12))</f>
        <v>1.0161610928888847</v>
      </c>
      <c r="AB25" s="354">
        <f>RCoutEsr*Table2[[#This Row],[Irms Cout]]^2</f>
        <v>5.162916833505663E-3</v>
      </c>
      <c r="AC25" s="354">
        <f>Table2[[#This Row],[Cout ESR Loss]]</f>
        <v>5.162916833505663E-3</v>
      </c>
      <c r="AD25" s="4">
        <f>IF(Table2[[#This Row],[Vin]]&gt;Vout, SQRT(Table2[[#This Row],[Duty Cycle BUCK Leg]]*(1-Table2[[#This Row],[Duty Cycle BUCK Leg]]))*SQRT(Table2[[#This Row],[Iout]]^2+(Table2[[#This Row],[Ripple Current pk-pk]]^2)/12), Table2[[#This Row],[Ripple Current pk-pk]]/SQRT(12))</f>
        <v>1.0546649175392764</v>
      </c>
      <c r="AE25" s="354">
        <f>RCinEsr*Table2[[#This Row],[Irms Cin]]^2</f>
        <v>2.2246361765762574E-3</v>
      </c>
      <c r="AF25" s="549">
        <f>Table2[[#This Row],[Cin ESR Loss]]</f>
        <v>2.2246361765762574E-3</v>
      </c>
      <c r="AG25" s="354">
        <f>Table2[[#This Row],[Irms Lf]]</f>
        <v>2.1723221139373261</v>
      </c>
      <c r="AH25" s="354">
        <f>Rdson1*Table2[[#This Row],[Irms BuCtrl]]^2</f>
        <v>1.9819730140144761E-2</v>
      </c>
      <c r="AI25" s="354">
        <f>CHOOSE(Table2[[#This Row],[Mode Digit]], (Table2[[#This Row],[Vin]]*Table2[[#This Row],[Iout]]/2)*(Fsw)*(Tr_buck+Tf_buck), 0, (Table2[[#This Row],[Vin]]*Table2[[#This Row],[Avg IL]]/2)*(Fsw/1)*(Tr_buck+Tf_buck))</f>
        <v>0.44933041891291176</v>
      </c>
      <c r="AJ25">
        <f>IF(Table2[[#This Row],[Vin]]&gt;Vout, IF(Table2[[#This Row],[Iout]]&gt;Table2[[#This Row],[Ripple Current pk-pk]]/2,0,ABS(Table2[[#This Row],[Iout]]-Table2[[#This Row],[Ripple Current pk-pk]]/2)*Vsd_Q1*Deadtime*Fsw),0)</f>
        <v>0</v>
      </c>
      <c r="AK25" s="354">
        <f>(Table2[[#This Row],[Dead Time Loss BuCtrl]]+Table2[[#This Row],[Transition Loss BuCtrl]]+Table2[[#This Row],[RDS(on) Loss BuCtrl]]*(1+RdsonTopTc*Ta-RdsonTopTc*25))/(1-Table2[[#This Row],[RDS(on) Loss BuCtrl]]*RdsonTopTc*ThetaJA_Q1)</f>
        <v>0.47139243807210307</v>
      </c>
      <c r="AL25" s="354">
        <f>Table2[[#This Row],[Irms Lf]]</f>
        <v>2.1723221139373261</v>
      </c>
      <c r="AM25" s="354">
        <f>Rdson2*Table2[[#This Row],[Irms BuSync]]^2</f>
        <v>1.9819730140144761E-2</v>
      </c>
      <c r="AN2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9.2379428571428571E-2</v>
      </c>
      <c r="AO25" s="354">
        <f>(Table2[[#This Row],[Deadtime Loss BuSync]]+Table2[[#This Row],[RDS(on) Loss BuSync]]*(1+RdsonBotTc*Ta-RdsonBotTc*25))/(1-Table2[[#This Row],[RDS(on) Loss BuSync]]*RdsonBotTc*ThetaJA_Q2)</f>
        <v>0.1127354112141741</v>
      </c>
      <c r="AP25" s="354">
        <f>Table2[[#This Row],[Irms Lf]]</f>
        <v>2.1723221139373261</v>
      </c>
      <c r="AQ25" s="354">
        <f>Rdson4*Table2[[#This Row],[Irms BoCtlr]]^2</f>
        <v>1.9819730140144761E-2</v>
      </c>
      <c r="AR25" s="354">
        <f>CHOOSE(Table2[[#This Row],[Mode Digit]], 0, (Vout*Table2[[#This Row],[Iin]]/2)*(Fsw)*(Tr_boost+Tf_boost), (Vout*Iout/2)*(Fsw/1)*(Tr_boost+Tf_boost))</f>
        <v>0</v>
      </c>
      <c r="AS25" s="354">
        <f>IF(Table2[[#This Row],[Vin]]&gt;Vout, 0, IF(Table2[[#This Row],[Iin]]&gt;Table2[[#This Row],[Ripple Current pk-pk]]/2,0,ABS(Table2[[#This Row],[Iin]]-Table2[[#This Row],[Ripple Current pk-pk]]/2)*Vsd_Q4*Deadtime*Fsw))</f>
        <v>0</v>
      </c>
      <c r="AT25" s="354">
        <f>(Table2[[#This Row],[Dead Time Loss BoCtlr]]+Table2[[#This Row],[Transition Loss BoCtlr]]+Table2[[#This Row],[RDS(on) Loss BoCtlr]]*(1+RdsonTopTc*Ta-RdsonTopTc*25))/(1-Table2[[#This Row],[RDS(on) Loss BoCtlr]]*RdsonTopTc*ThetaJA_Q4)</f>
        <v>1.9914457943905273E-2</v>
      </c>
      <c r="AU25" s="354">
        <f>Table2[[#This Row],[Irms Lf]]</f>
        <v>2.1723221139373261</v>
      </c>
      <c r="AV25" s="354">
        <f>Rdson3*Table2[[#This Row],[Irms BoSync]]^2</f>
        <v>1.9819730140144761E-2</v>
      </c>
      <c r="AW2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5" s="354">
        <f>(Table2[[#This Row],[Deadtime Loss BoSync]]+Table2[[#This Row],[RDS(on) Loss BoSync]]*(1+RdsonBotTc*Ta-RdsonBotTc*25))/(1-Table2[[#This Row],[RDS(on) Loss BoSync]]*RdsonBotTc*ThetaJA_Q3)</f>
        <v>1.9914457943905273E-2</v>
      </c>
      <c r="AY25" s="354">
        <f>CHOOSE(Table2[[#This Row],[Mode Digit]], Rdson3*Table2[[#This Row],[Irms Lf]]^2, Rdson1*Table2[[#This Row],[Irms Lf]]^2, 0)</f>
        <v>1.9819730140144761E-2</v>
      </c>
      <c r="AZ25" s="354">
        <f>CHOOSE(Table2[[#This Row],[Mode Digit]], 2*Deadtime*Fsw*IF(VfdSky_Q2&gt;0,VfdSky_Q2,0)*Table2[[#This Row],[Iout]], 2*Deadtime*Fsw*IF(VfdSky_Q3&gt;0,VfdSky_Q3,0)*Table2[[#This Row],[Iin]], 2*Deadtime*Fsw*IF(VfdSky_Q2&gt;0,VfdSky_Q2,0)*Table2[[#This Row],[Iout]]+2*Deadtime*Fsw*IF(VfdSky_Q3&gt;0,VfdSky_Q3,0)*Table2[[#This Row],[Iin]])</f>
        <v>0</v>
      </c>
      <c r="BA2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4.5296517120000004E-2</v>
      </c>
      <c r="BB2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4.5296517120000004E-2</v>
      </c>
      <c r="BC25" s="354">
        <f>CHOOSE(Table2[[#This Row],[Mode Digit]], Rs*Table2[[#This Row],[Irms BuSync]]^2, Rs*Table2[[#This Row],[Irms BoCtlr]]^2, Rs*(Table2[[#This Row],[Irms BuSync]]^2+Table2[[#This Row],[Irms BoCtlr]]^2))</f>
        <v>1.1797458416752834E-2</v>
      </c>
      <c r="BD25" s="354">
        <f t="shared" si="1"/>
        <v>1.44</v>
      </c>
      <c r="BE25" s="354">
        <f>IF(Vout&gt;8, Iq*Vout, Iq*Table2[[#This Row],[Vin]])</f>
        <v>4.3799999999999999E-2</v>
      </c>
      <c r="BF25" s="354">
        <f>CHOOSE(Table2[[#This Row],[Mode Digit]], (Qg_Q1+Qg_Q2)*Fsw, (Qg_Q3+Qg_Q4)*Fsw, (Qg_Q1+Qg_Q2+Qg_Q3+Qg_Q4)*Fsw)*IF(Vout&gt;8, Vout, Table2[[#This Row],[Vin]])</f>
        <v>0.47303999999999996</v>
      </c>
      <c r="BG25" s="354">
        <f t="shared" si="4"/>
        <v>0.57269042016806726</v>
      </c>
      <c r="BH25" s="354">
        <f>Table2[[#This Row],[IQ Loss]]+Table2[[#This Row],[Switching Current Loss]]</f>
        <v>0.51683999999999997</v>
      </c>
      <c r="BI2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3.3019413476620842</v>
      </c>
      <c r="BJ25">
        <f>Vout*Table2[[#This Row],[Iout]]</f>
        <v>28.032</v>
      </c>
      <c r="BK25" s="550">
        <f>Table2[[#This Row],[Pout]]/(Table2[[#This Row],[Pout]]+Table2[[#This Row],[Total Loss]])</f>
        <v>0.89462093801013476</v>
      </c>
      <c r="BL25" s="559">
        <f>IF(Table2[[#This Row],[Vin]]&gt;Vout,ThetaJA_Q1*(Table2[[#This Row],[Total Control Bu MOSFET Loss]]+Table2[[#This Row],[Reverse Recovery Loss MOSFET D BUCK]]),ThetaJA_Q4*(Table2[[#This Row],[Total Control Bo MOSFET Loss]]+Table2[[#This Row],[Reverse Recovery Loss MOSFET D BOOST]]))</f>
        <v>31.001337311526186</v>
      </c>
      <c r="BM25" s="559">
        <f>IF(Table2[[#This Row],[Vin]]&gt;Vout, Table2[[#This Row],[Total Sync Bu MOSFET Loss]]*ThetaJA_Q2, ThetaJA_Q3*Table2[[#This Row],[Total Sync Bo MOSFET Loss]])</f>
        <v>6.7641246728504463</v>
      </c>
      <c r="BN25" s="9"/>
      <c r="BO25" s="4">
        <f>Table2[[#This Row],[EFF, h]]*100</f>
        <v>89.462093801013481</v>
      </c>
      <c r="BP25" s="354">
        <f>Table2[[#This Row],[Total Inductor Loss]]</f>
        <v>0.61136653682116215</v>
      </c>
      <c r="BQ25" s="354">
        <f>Table2[[#This Row],[Total Control Bu MOSFET Loss]]+Table2[[#This Row],[Total Sync Bu MOSFET Loss]]+Table2[[#This Row],[Total Control Bo MOSFET Loss]]+Table2[[#This Row],[Total Sync Bo MOSFET Loss]]+Table2[[#This Row],[Reverse Recovery Loss MOSFET D BUCK]]+Table2[[#This Row],[Reverse Recovery Loss MOSFET D BOOST]]</f>
        <v>0.71454979941408769</v>
      </c>
      <c r="BR25" s="354">
        <f xml:space="preserve"> Table2[[#This Row],[Total Control Bu MOSFET Loss]]+Table2[[#This Row],[Reverse Recovery Loss MOSFET D BUCK]]*0.66</f>
        <v>0.50128813937130312</v>
      </c>
      <c r="BS25" s="354">
        <f>Table2[[#This Row],[Total Sync Bu MOSFET Loss]]+Table2[[#This Row],[Reverse Recovery Loss MOSFET D BUCK]]*0.33</f>
        <v>0.1276832618637741</v>
      </c>
      <c r="BT25" s="354">
        <f xml:space="preserve"> Table2[[#This Row],[Total Control Bo MOSFET Loss]]+Table2[[#This Row],[Reverse Recovery Loss MOSFET D BOOST]]*0.66</f>
        <v>4.9810159243105279E-2</v>
      </c>
      <c r="BU25" s="354">
        <f xml:space="preserve"> Table2[[#This Row],[Total Sync Bo MOSFET Loss]]+Table2[[#This Row],[Reverse Recovery Loss MOSFET D BOOST]]*0.33</f>
        <v>3.4862308593505274E-2</v>
      </c>
      <c r="BV25" s="354">
        <f>Table2[[#This Row],[Isense Shunt Loss]]</f>
        <v>1.1797458416752834E-2</v>
      </c>
      <c r="BZ25" t="s">
        <v>149</v>
      </c>
      <c r="CA25" t="s">
        <v>4</v>
      </c>
      <c r="CB25" t="s">
        <v>6</v>
      </c>
      <c r="CC25" t="s">
        <v>5</v>
      </c>
      <c r="CD25" t="s">
        <v>150</v>
      </c>
      <c r="CE25" t="s">
        <v>151</v>
      </c>
    </row>
    <row r="26" spans="1:92" x14ac:dyDescent="0.2">
      <c r="A26" s="24" t="s">
        <v>114</v>
      </c>
      <c r="B26" s="37" t="s">
        <v>113</v>
      </c>
      <c r="C26" s="24" t="s">
        <v>80</v>
      </c>
      <c r="D26" s="17" t="s">
        <v>109</v>
      </c>
      <c r="G26">
        <v>17</v>
      </c>
      <c r="H26" s="555">
        <f t="shared" si="0"/>
        <v>23.6</v>
      </c>
      <c r="I26" s="4" t="str">
        <f>IF(Mode = 2,IF(Table2[[#This Row],[Vin]]&gt;Vout, "BUCK","BOOST"),IF(Table2[[#This Row],[Vin]]&gt;VIN_BB_to_buck, "BUCK", IF(Table2[[#This Row],[Vin]]&lt;=VIN_boost_to_BB,"BOOST","BUCK-BST")))</f>
        <v>BUCK</v>
      </c>
      <c r="J26">
        <f>IF(Table2[[#This Row],[Mode]]="BOOST",2, IF(Table2[[#This Row],[Mode]]="BUCK", 1,3))</f>
        <v>1</v>
      </c>
      <c r="K26" s="354">
        <f t="shared" si="3"/>
        <v>2.04</v>
      </c>
      <c r="L26" s="4">
        <f>Vout*Table2[[#This Row],[Iout]]/(Table2[[#This Row],[Vin]]*Efficiency)</f>
        <v>1.3284567350579839</v>
      </c>
      <c r="M26" s="711">
        <f>MIN(1/Fsw,CHOOSE(Table2[[#This Row],[Mode Digit]],(Vout+(Rdson2+Rs+Rdcr)*Table2[[#This Row],[Iout]])/(Table2[[#This Row],[Vin]]+(Rs+Rdson2-Rdson1)*Table2[[#This Row],[Iout]])/Fsw,(Vout+(Rdson3+Rdcr)*Table2[[#This Row],[Iin]]-Table2[[#This Row],[Vin]])/(Vout+(Rdson3-Rdson4-Rs)*Table2[[#This Row],[Iin]])/Fsw,t1_Ph_II))</f>
        <v>1.0326511361245378E-6</v>
      </c>
      <c r="N26" s="602">
        <f>CHOOSE(Table2[[#This Row],[Mode Digit]],1/Fsw-Table2[[#This Row],[t1_Ph_II]],1/Fsw-Table2[[#This Row],[t1_Ph_II]],(Vout/Fsw-Table2[[#This Row],[Vin]]*t1_Ph_II)/(Table2[[#This Row],[Vin]]+Vout))</f>
        <v>6.3401553054212882E-7</v>
      </c>
      <c r="O26" s="602">
        <f>1/Fsw-(Table2[[#This Row],[t1_Ph_II]]+Table2[[#This Row],[t2_Ph_I]])</f>
        <v>0</v>
      </c>
      <c r="P2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0.27979919978771939</v>
      </c>
      <c r="Q26" s="4">
        <f>CHOOSE(Table2[[#This Row],[Mode Digit]],Table2[[#This Row],[I_0]]+1/Lf*(Table2[[#This Row],[Vin]]-Vout)*Table2[[#This Row],[t1_Ph_II]],Table2[[#This Row],[I_0]]+1/Lf*Table2[[#This Row],[Vin]]*Table2[[#This Row],[t1_Ph_II]],Table2[[#This Row],[I_0]]+(Table2[[#This Row],[Vin]]-Vout)/L*Table2[[#This Row],[t1_Ph_II]])</f>
        <v>3.8002008002122807</v>
      </c>
      <c r="R26" s="4">
        <f>CHOOSE(Table2[[#This Row],[Mode Digit]],0,0,Table2[[#This Row],[I_1]]+Table2[[#This Row],[Vin]]/L*Table2[[#This Row],[t2_Ph_I]])</f>
        <v>0</v>
      </c>
      <c r="S26" s="409">
        <f>Fsw*(Table2[[#This Row],[I_0]]*Table2[[#This Row],[t1_Ph_II]]+Table2[[#This Row],[I_1]]*Table2[[#This Row],[t2_Ph_I]]+Table2[[#This Row],[I_2]]*Table2[[#This Row],[t3_Ph_III]])</f>
        <v>1.6189927728364419</v>
      </c>
      <c r="T26" s="354">
        <f>MIN(1,CHOOSE(Table2[[#This Row],[Mode Digit]],(Vout+(Rdson2+Rs+Rdcr)*Table2[[#This Row],[Iout]])/(Table2[[#This Row],[Vin]]+(Rs+Rdson2-Rdson1)*Table2[[#This Row],[Iout]]),1,Fsw*Table2[[#This Row],[t2_Ph_I]]+Table2[[#This Row],[t1_Ph_II]]))</f>
        <v>0.61959068167472275</v>
      </c>
      <c r="U26" s="354">
        <f>MIN(1,CHOOSE(Table2[[#This Row],[Mode Digit]],0,(Vout+(Rdson3+Rdcr)*Table2[[#This Row],[Iin]]-Table2[[#This Row],[Vin]])/(Vout+(Rdson3-Rdson4-Rs)*Table2[[#This Row],[Iin]]),Fsw*Table2[[#This Row],[t1_Ph_II]]+Table2[[#This Row],[t3_Ph_III]]))</f>
        <v>0</v>
      </c>
      <c r="V26" s="4">
        <f>MAX(Table2[[#This Row],[I_0]:[I_2]])-MIN(Table2[[#This Row],[I_0]:[I_1]])</f>
        <v>3.5204016004245613</v>
      </c>
      <c r="W2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2.2791158268846243</v>
      </c>
      <c r="X26" s="354">
        <f>(Table2[[#This Row],[Irms Lf]]^2*Rdcr*(1+Ltc*Ta-Ltc*25))/(1-Table2[[#This Row],[Irms Lf]]^2*Rdcr*Ltc*ThetaCa)</f>
        <v>3.0200127885147428E-2</v>
      </c>
      <c r="Y26" s="354">
        <f>ABS(7.759*10^-3*Fsw^0.9458*(0.00787*Table2[[#This Row],[Ripple Current pk-pk]])^2.304)</f>
        <v>0.58405727668740082</v>
      </c>
      <c r="Z26" s="354">
        <f>Table2[[#This Row],[DCR    Loss]]+Table2[[#This Row],[Core Loss]]</f>
        <v>0.61425740457254829</v>
      </c>
      <c r="AA26" s="4">
        <f>IF(Table2[[#This Row],[Vin]]&gt;Vout, Table2[[#This Row],[Ripple Current pk-pk]]/SQRT(12), SQRT(Table2[[#This Row],[Duty Cycle BOOST Leg]]/(1-Table2[[#This Row],[Duty Cycle BOOST Leg]]))*SQRT(Table2[[#This Row],[Iout]]^2+(Table2[[#This Row],[Ripple Current pk-pk]]^2)/12))</f>
        <v>1.016252405830355</v>
      </c>
      <c r="AB26" s="354">
        <f>RCoutEsr*Table2[[#This Row],[Irms Cout]]^2</f>
        <v>5.1638447617799238E-3</v>
      </c>
      <c r="AC26" s="354">
        <f>Table2[[#This Row],[Cout ESR Loss]]</f>
        <v>5.1638447617799238E-3</v>
      </c>
      <c r="AD26" s="4">
        <f>IF(Table2[[#This Row],[Vin]]&gt;Vout, SQRT(Table2[[#This Row],[Duty Cycle BUCK Leg]]*(1-Table2[[#This Row],[Duty Cycle BUCK Leg]]))*SQRT(Table2[[#This Row],[Iout]]^2+(Table2[[#This Row],[Ripple Current pk-pk]]^2)/12), Table2[[#This Row],[Ripple Current pk-pk]]/SQRT(12))</f>
        <v>1.106482142196094</v>
      </c>
      <c r="AE26" s="354">
        <f>RCinEsr*Table2[[#This Row],[Irms Cin]]^2</f>
        <v>2.4486054619977144E-3</v>
      </c>
      <c r="AF26" s="549">
        <f>Table2[[#This Row],[Cin ESR Loss]]</f>
        <v>2.4486054619977144E-3</v>
      </c>
      <c r="AG26" s="354">
        <f>Table2[[#This Row],[Irms Lf]]</f>
        <v>2.2791158268846243</v>
      </c>
      <c r="AH26" s="354">
        <f>Rdson1*Table2[[#This Row],[Irms BuCtrl]]^2</f>
        <v>2.1816349599895139E-2</v>
      </c>
      <c r="AI26" s="354">
        <f>CHOOSE(Table2[[#This Row],[Mode Digit]], (Table2[[#This Row],[Vin]]*Table2[[#This Row],[Iout]]/2)*(Fsw)*(Tr_buck+Tf_buck), 0, (Table2[[#This Row],[Vin]]*Table2[[#This Row],[Avg IL]]/2)*(Fsw/1)*(Tr_buck+Tf_buck))</f>
        <v>0.47741357009496882</v>
      </c>
      <c r="AJ26">
        <f>IF(Table2[[#This Row],[Vin]]&gt;Vout, IF(Table2[[#This Row],[Iout]]&gt;Table2[[#This Row],[Ripple Current pk-pk]]/2,0,ABS(Table2[[#This Row],[Iout]]-Table2[[#This Row],[Ripple Current pk-pk]]/2)*Vsd_Q1*Deadtime*Fsw),0)</f>
        <v>0</v>
      </c>
      <c r="AK26" s="354">
        <f>(Table2[[#This Row],[Dead Time Loss BuCtrl]]+Table2[[#This Row],[Transition Loss BuCtrl]]+Table2[[#This Row],[RDS(on) Loss BuCtrl]]*(1+RdsonTopTc*Ta-RdsonTopTc*25))/(1-Table2[[#This Row],[RDS(on) Loss BuCtrl]]*RdsonTopTc*ThetaJA_Q1)</f>
        <v>0.50185760794067213</v>
      </c>
      <c r="AL26" s="354">
        <f>Table2[[#This Row],[Irms Lf]]</f>
        <v>2.2791158268846243</v>
      </c>
      <c r="AM26" s="354">
        <f>Rdson2*Table2[[#This Row],[Irms BuSync]]^2</f>
        <v>2.1816349599895139E-2</v>
      </c>
      <c r="AN2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9.8153142857142855E-2</v>
      </c>
      <c r="AO26" s="354">
        <f>(Table2[[#This Row],[Deadtime Loss BuSync]]+Table2[[#This Row],[RDS(on) Loss BuSync]]*(1+RdsonBotTc*Ta-RdsonBotTc*25))/(1-Table2[[#This Row],[RDS(on) Loss BuSync]]*RdsonBotTc*ThetaJA_Q2)</f>
        <v>0.12060094985321654</v>
      </c>
      <c r="AP26" s="354">
        <f>Table2[[#This Row],[Irms Lf]]</f>
        <v>2.2791158268846243</v>
      </c>
      <c r="AQ26" s="354">
        <f>Rdson4*Table2[[#This Row],[Irms BoCtlr]]^2</f>
        <v>2.1816349599895139E-2</v>
      </c>
      <c r="AR26" s="354">
        <f>CHOOSE(Table2[[#This Row],[Mode Digit]], 0, (Vout*Table2[[#This Row],[Iin]]/2)*(Fsw)*(Tr_boost+Tf_boost), (Vout*Iout/2)*(Fsw/1)*(Tr_boost+Tf_boost))</f>
        <v>0</v>
      </c>
      <c r="AS26" s="354">
        <f>IF(Table2[[#This Row],[Vin]]&gt;Vout, 0, IF(Table2[[#This Row],[Iin]]&gt;Table2[[#This Row],[Ripple Current pk-pk]]/2,0,ABS(Table2[[#This Row],[Iin]]-Table2[[#This Row],[Ripple Current pk-pk]]/2)*Vsd_Q4*Deadtime*Fsw))</f>
        <v>0</v>
      </c>
      <c r="AT26" s="354">
        <f>(Table2[[#This Row],[Dead Time Loss BoCtlr]]+Table2[[#This Row],[Transition Loss BoCtlr]]+Table2[[#This Row],[RDS(on) Loss BoCtlr]]*(1+RdsonTopTc*Ta-RdsonTopTc*25))/(1-Table2[[#This Row],[RDS(on) Loss BoCtlr]]*RdsonTopTc*ThetaJA_Q4)</f>
        <v>2.1931179587338853E-2</v>
      </c>
      <c r="AU26" s="354">
        <f>Table2[[#This Row],[Irms Lf]]</f>
        <v>2.2791158268846243</v>
      </c>
      <c r="AV26" s="354">
        <f>Rdson3*Table2[[#This Row],[Irms BoSync]]^2</f>
        <v>2.1816349599895139E-2</v>
      </c>
      <c r="AW2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6" s="354">
        <f>(Table2[[#This Row],[Deadtime Loss BoSync]]+Table2[[#This Row],[RDS(on) Loss BoSync]]*(1+RdsonBotTc*Ta-RdsonBotTc*25))/(1-Table2[[#This Row],[RDS(on) Loss BoSync]]*RdsonBotTc*ThetaJA_Q3)</f>
        <v>2.1931179587338853E-2</v>
      </c>
      <c r="AY26" s="354">
        <f>CHOOSE(Table2[[#This Row],[Mode Digit]], Rdson3*Table2[[#This Row],[Irms Lf]]^2, Rdson1*Table2[[#This Row],[Irms Lf]]^2, 0)</f>
        <v>2.1816349599895139E-2</v>
      </c>
      <c r="AZ26" s="354">
        <f>CHOOSE(Table2[[#This Row],[Mode Digit]], 2*Deadtime*Fsw*IF(VfdSky_Q2&gt;0,VfdSky_Q2,0)*Table2[[#This Row],[Iout]], 2*Deadtime*Fsw*IF(VfdSky_Q3&gt;0,VfdSky_Q3,0)*Table2[[#This Row],[Iin]], 2*Deadtime*Fsw*IF(VfdSky_Q2&gt;0,VfdSky_Q2,0)*Table2[[#This Row],[Iout]]+2*Deadtime*Fsw*IF(VfdSky_Q3&gt;0,VfdSky_Q3,0)*Table2[[#This Row],[Iin]])</f>
        <v>0</v>
      </c>
      <c r="BA2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4.8126521280000008E-2</v>
      </c>
      <c r="BB2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4.8126521280000008E-2</v>
      </c>
      <c r="BC26" s="354">
        <f>CHOOSE(Table2[[#This Row],[Mode Digit]], Rs*Table2[[#This Row],[Irms BuSync]]^2, Rs*Table2[[#This Row],[Irms BoCtlr]]^2, Rs*(Table2[[#This Row],[Irms BuSync]]^2+Table2[[#This Row],[Irms BoCtlr]]^2))</f>
        <v>1.2985922380889962E-2</v>
      </c>
      <c r="BD26" s="354">
        <f t="shared" si="1"/>
        <v>1.44</v>
      </c>
      <c r="BE26" s="354">
        <f>IF(Vout&gt;8, Iq*Vout, Iq*Table2[[#This Row],[Vin]])</f>
        <v>4.3799999999999999E-2</v>
      </c>
      <c r="BF26" s="354">
        <f>CHOOSE(Table2[[#This Row],[Mode Digit]], (Qg_Q1+Qg_Q2)*Fsw, (Qg_Q3+Qg_Q4)*Fsw, (Qg_Q1+Qg_Q2+Qg_Q3+Qg_Q4)*Fsw)*IF(Vout&gt;8, Vout, Table2[[#This Row],[Vin]])</f>
        <v>0.47303999999999996</v>
      </c>
      <c r="BG26" s="354">
        <f t="shared" si="4"/>
        <v>0.57269042016806726</v>
      </c>
      <c r="BH26" s="354">
        <f>Table2[[#This Row],[IQ Loss]]+Table2[[#This Row],[Switching Current Loss]]</f>
        <v>0.51683999999999997</v>
      </c>
      <c r="BI2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3.3542697367057821</v>
      </c>
      <c r="BJ26">
        <f>Vout*Table2[[#This Row],[Iout]]</f>
        <v>29.783999999999999</v>
      </c>
      <c r="BK26" s="550">
        <f>Table2[[#This Row],[Pout]]/(Table2[[#This Row],[Pout]]+Table2[[#This Row],[Total Loss]])</f>
        <v>0.89877957529597852</v>
      </c>
      <c r="BL26" s="559">
        <f>IF(Table2[[#This Row],[Vin]]&gt;Vout,ThetaJA_Q1*(Table2[[#This Row],[Total Control Bu MOSFET Loss]]+Table2[[#This Row],[Reverse Recovery Loss MOSFET D BUCK]]),ThetaJA_Q4*(Table2[[#This Row],[Total Control Bo MOSFET Loss]]+Table2[[#This Row],[Reverse Recovery Loss MOSFET D BOOST]]))</f>
        <v>32.999047753240333</v>
      </c>
      <c r="BM26" s="559">
        <f>IF(Table2[[#This Row],[Vin]]&gt;Vout, Table2[[#This Row],[Total Sync Bu MOSFET Loss]]*ThetaJA_Q2, ThetaJA_Q3*Table2[[#This Row],[Total Sync Bo MOSFET Loss]])</f>
        <v>7.2360569911929922</v>
      </c>
      <c r="BN26" s="9"/>
      <c r="BO26" s="4">
        <f>Table2[[#This Row],[EFF, h]]*100</f>
        <v>89.87795752959785</v>
      </c>
      <c r="BP26" s="354">
        <f>Table2[[#This Row],[Total Inductor Loss]]</f>
        <v>0.61425740457254829</v>
      </c>
      <c r="BQ26" s="354">
        <f>Table2[[#This Row],[Total Control Bu MOSFET Loss]]+Table2[[#This Row],[Total Sync Bu MOSFET Loss]]+Table2[[#This Row],[Total Control Bo MOSFET Loss]]+Table2[[#This Row],[Total Sync Bo MOSFET Loss]]+Table2[[#This Row],[Reverse Recovery Loss MOSFET D BUCK]]+Table2[[#This Row],[Reverse Recovery Loss MOSFET D BOOST]]</f>
        <v>0.76257395952856644</v>
      </c>
      <c r="BR26" s="354">
        <f xml:space="preserve"> Table2[[#This Row],[Total Control Bu MOSFET Loss]]+Table2[[#This Row],[Reverse Recovery Loss MOSFET D BUCK]]*0.66</f>
        <v>0.53362111198547213</v>
      </c>
      <c r="BS26" s="354">
        <f>Table2[[#This Row],[Total Sync Bu MOSFET Loss]]+Table2[[#This Row],[Reverse Recovery Loss MOSFET D BUCK]]*0.33</f>
        <v>0.13648270187561654</v>
      </c>
      <c r="BT26" s="354">
        <f xml:space="preserve"> Table2[[#This Row],[Total Control Bo MOSFET Loss]]+Table2[[#This Row],[Reverse Recovery Loss MOSFET D BOOST]]*0.66</f>
        <v>5.3694683632138862E-2</v>
      </c>
      <c r="BU26" s="354">
        <f xml:space="preserve"> Table2[[#This Row],[Total Sync Bo MOSFET Loss]]+Table2[[#This Row],[Reverse Recovery Loss MOSFET D BOOST]]*0.33</f>
        <v>3.7812931609738858E-2</v>
      </c>
      <c r="BV26" s="354">
        <f>Table2[[#This Row],[Isense Shunt Loss]]</f>
        <v>1.2985922380889962E-2</v>
      </c>
      <c r="BZ26" t="s">
        <v>152</v>
      </c>
      <c r="CA26">
        <v>9.9989640000000009</v>
      </c>
      <c r="CB26">
        <v>0.1027</v>
      </c>
      <c r="CC26">
        <v>5.1211359999999999</v>
      </c>
      <c r="CD26">
        <v>61.870683235325004</v>
      </c>
      <c r="CE26">
        <v>324.12365701136014</v>
      </c>
    </row>
    <row r="27" spans="1:92" x14ac:dyDescent="0.2">
      <c r="A27" s="22" t="s">
        <v>65</v>
      </c>
      <c r="B27" s="5">
        <f>RdsonDRT</f>
        <v>1.5</v>
      </c>
      <c r="C27" s="444" t="s">
        <v>118</v>
      </c>
      <c r="D27" s="440" t="s">
        <v>680</v>
      </c>
      <c r="G27">
        <v>18</v>
      </c>
      <c r="H27" s="555">
        <f t="shared" si="0"/>
        <v>23.6</v>
      </c>
      <c r="I27" s="4" t="str">
        <f>IF(Mode = 2,IF(Table2[[#This Row],[Vin]]&gt;Vout, "BUCK","BOOST"),IF(Table2[[#This Row],[Vin]]&gt;VIN_BB_to_buck, "BUCK", IF(Table2[[#This Row],[Vin]]&lt;=VIN_boost_to_BB,"BOOST","BUCK-BST")))</f>
        <v>BUCK</v>
      </c>
      <c r="J27">
        <f>IF(Table2[[#This Row],[Mode]]="BOOST",2, IF(Table2[[#This Row],[Mode]]="BUCK", 1,3))</f>
        <v>1</v>
      </c>
      <c r="K27" s="354">
        <f t="shared" si="3"/>
        <v>2.16</v>
      </c>
      <c r="L27" s="4">
        <f>Vout*Table2[[#This Row],[Iout]]/(Table2[[#This Row],[Vin]]*Efficiency)</f>
        <v>1.4066012488849242</v>
      </c>
      <c r="M27" s="711">
        <f>MIN(1/Fsw,CHOOSE(Table2[[#This Row],[Mode Digit]],(Vout+(Rdson2+Rs+Rdcr)*Table2[[#This Row],[Iout]])/(Table2[[#This Row],[Vin]]+(Rs+Rdson2-Rdson1)*Table2[[#This Row],[Iout]])/Fsw,(Vout+(Rdson3+Rdcr)*Table2[[#This Row],[Iin]]-Table2[[#This Row],[Vin]])/(Vout+(Rdson3-Rdson4-Rs)*Table2[[#This Row],[Iin]])/Fsw,t1_Ph_II))</f>
        <v>1.0327439201764566E-6</v>
      </c>
      <c r="N27" s="602">
        <f>CHOOSE(Table2[[#This Row],[Mode Digit]],1/Fsw-Table2[[#This Row],[t1_Ph_II]],1/Fsw-Table2[[#This Row],[t1_Ph_II]],(Vout/Fsw-Table2[[#This Row],[Vin]]*t1_Ph_II)/(Table2[[#This Row],[Vin]]+Vout))</f>
        <v>6.3392274649021006E-7</v>
      </c>
      <c r="O27" s="602">
        <f>1/Fsw-(Table2[[#This Row],[t1_Ph_II]]+Table2[[#This Row],[t2_Ph_I]])</f>
        <v>0</v>
      </c>
      <c r="P2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0.39964104515376708</v>
      </c>
      <c r="Q27" s="4">
        <f>CHOOSE(Table2[[#This Row],[Mode Digit]],Table2[[#This Row],[I_0]]+1/Lf*(Table2[[#This Row],[Vin]]-Vout)*Table2[[#This Row],[t1_Ph_II]],Table2[[#This Row],[I_0]]+1/Lf*Table2[[#This Row],[Vin]]*Table2[[#This Row],[t1_Ph_II]],Table2[[#This Row],[I_0]]+(Table2[[#This Row],[Vin]]-Vout)/L*Table2[[#This Row],[t1_Ph_II]])</f>
        <v>3.9203589548462334</v>
      </c>
      <c r="R27" s="4">
        <f>CHOOSE(Table2[[#This Row],[Mode Digit]],0,0,Table2[[#This Row],[I_1]]+Table2[[#This Row],[Vin]]/L*Table2[[#This Row],[t2_Ph_I]])</f>
        <v>0</v>
      </c>
      <c r="S27" s="409">
        <f>Fsw*(Table2[[#This Row],[I_0]]*Table2[[#This Row],[t1_Ph_II]]+Table2[[#This Row],[I_1]]*Table2[[#This Row],[t2_Ph_I]]+Table2[[#This Row],[I_2]]*Table2[[#This Row],[t3_Ph_III]])</f>
        <v>1.7387589453114789</v>
      </c>
      <c r="T27" s="354">
        <f>MIN(1,CHOOSE(Table2[[#This Row],[Mode Digit]],(Vout+(Rdson2+Rs+Rdcr)*Table2[[#This Row],[Iout]])/(Table2[[#This Row],[Vin]]+(Rs+Rdson2-Rdson1)*Table2[[#This Row],[Iout]]),1,Fsw*Table2[[#This Row],[t2_Ph_I]]+Table2[[#This Row],[t1_Ph_II]]))</f>
        <v>0.61964635210587393</v>
      </c>
      <c r="U27" s="354">
        <f>MIN(1,CHOOSE(Table2[[#This Row],[Mode Digit]],0,(Vout+(Rdson3+Rdcr)*Table2[[#This Row],[Iin]]-Table2[[#This Row],[Vin]])/(Vout+(Rdson3-Rdson4-Rs)*Table2[[#This Row],[Iin]]),Fsw*Table2[[#This Row],[t1_Ph_II]]+Table2[[#This Row],[t3_Ph_III]]))</f>
        <v>0</v>
      </c>
      <c r="V27" s="4">
        <f>MAX(Table2[[#This Row],[I_0]:[I_2]])-MIN(Table2[[#This Row],[I_0]:[I_1]])</f>
        <v>3.5207179096924666</v>
      </c>
      <c r="W2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2.3871645418716132</v>
      </c>
      <c r="X27" s="354">
        <f>(Table2[[#This Row],[Irms Lf]]^2*Rdcr*(1+Ltc*Ta-Ltc*25))/(1-Table2[[#This Row],[Irms Lf]]^2*Rdcr*Ltc*ThetaCa)</f>
        <v>3.3139240827844169E-2</v>
      </c>
      <c r="Y27" s="354">
        <f>ABS(7.759*10^-3*Fsw^0.9458*(0.00787*Table2[[#This Row],[Ripple Current pk-pk]])^2.304)</f>
        <v>0.58417819248991332</v>
      </c>
      <c r="Z27" s="354">
        <f>Table2[[#This Row],[DCR    Loss]]+Table2[[#This Row],[Core Loss]]</f>
        <v>0.61731743331775746</v>
      </c>
      <c r="AA27" s="4">
        <f>IF(Table2[[#This Row],[Vin]]&gt;Vout, Table2[[#This Row],[Ripple Current pk-pk]]/SQRT(12), SQRT(Table2[[#This Row],[Duty Cycle BOOST Leg]]/(1-Table2[[#This Row],[Duty Cycle BOOST Leg]]))*SQRT(Table2[[#This Row],[Iout]]^2+(Table2[[#This Row],[Ripple Current pk-pk]]^2)/12))</f>
        <v>1.0163437164508411</v>
      </c>
      <c r="AB27" s="354">
        <f>RCoutEsr*Table2[[#This Row],[Irms Cout]]^2</f>
        <v>5.1647727498455387E-3</v>
      </c>
      <c r="AC27" s="354">
        <f>Table2[[#This Row],[Cout ESR Loss]]</f>
        <v>5.1647727498455387E-3</v>
      </c>
      <c r="AD27" s="4">
        <f>IF(Table2[[#This Row],[Vin]]&gt;Vout, SQRT(Table2[[#This Row],[Duty Cycle BUCK Leg]]*(1-Table2[[#This Row],[Duty Cycle BUCK Leg]]))*SQRT(Table2[[#This Row],[Iout]]^2+(Table2[[#This Row],[Ripple Current pk-pk]]^2)/12), Table2[[#This Row],[Ripple Current pk-pk]]/SQRT(12))</f>
        <v>1.1589056937078315</v>
      </c>
      <c r="AE27" s="354">
        <f>RCinEsr*Table2[[#This Row],[Irms Cin]]^2</f>
        <v>2.6861248138168601E-3</v>
      </c>
      <c r="AF27" s="549">
        <f>Table2[[#This Row],[Cin ESR Loss]]</f>
        <v>2.6861248138168601E-3</v>
      </c>
      <c r="AG27" s="354">
        <f>Table2[[#This Row],[Irms Lf]]</f>
        <v>2.3871645418716132</v>
      </c>
      <c r="AH27" s="354">
        <f>Rdson1*Table2[[#This Row],[Irms BuCtrl]]^2</f>
        <v>2.3933929109870262E-2</v>
      </c>
      <c r="AI27" s="354">
        <f>CHOOSE(Table2[[#This Row],[Mode Digit]], (Table2[[#This Row],[Vin]]*Table2[[#This Row],[Iout]]/2)*(Fsw)*(Tr_buck+Tf_buck), 0, (Table2[[#This Row],[Vin]]*Table2[[#This Row],[Avg IL]]/2)*(Fsw/1)*(Tr_buck+Tf_buck))</f>
        <v>0.50549672127702583</v>
      </c>
      <c r="AJ27">
        <f>IF(Table2[[#This Row],[Vin]]&gt;Vout, IF(Table2[[#This Row],[Iout]]&gt;Table2[[#This Row],[Ripple Current pk-pk]]/2,0,ABS(Table2[[#This Row],[Iout]]-Table2[[#This Row],[Ripple Current pk-pk]]/2)*Vsd_Q1*Deadtime*Fsw),0)</f>
        <v>0</v>
      </c>
      <c r="AK27" s="354">
        <f>(Table2[[#This Row],[Dead Time Loss BuCtrl]]+Table2[[#This Row],[Transition Loss BuCtrl]]+Table2[[#This Row],[RDS(on) Loss BuCtrl]]*(1+RdsonTopTc*Ta-RdsonTopTc*25))/(1-Table2[[#This Row],[RDS(on) Loss BuCtrl]]*RdsonTopTc*ThetaJA_Q1)</f>
        <v>0.53248934532516168</v>
      </c>
      <c r="AL27" s="354">
        <f>Table2[[#This Row],[Irms Lf]]</f>
        <v>2.3871645418716132</v>
      </c>
      <c r="AM27" s="354">
        <f>Rdson2*Table2[[#This Row],[Irms BuSync]]^2</f>
        <v>2.3933929109870262E-2</v>
      </c>
      <c r="AN2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0.10392685714285715</v>
      </c>
      <c r="AO27" s="354">
        <f>(Table2[[#This Row],[Deadtime Loss BuSync]]+Table2[[#This Row],[RDS(on) Loss BuSync]]*(1+RdsonBotTc*Ta-RdsonBotTc*25))/(1-Table2[[#This Row],[RDS(on) Loss BuSync]]*RdsonBotTc*ThetaJA_Q2)</f>
        <v>0.12859948005413105</v>
      </c>
      <c r="AP27" s="354">
        <f>Table2[[#This Row],[Irms Lf]]</f>
        <v>2.3871645418716132</v>
      </c>
      <c r="AQ27" s="354">
        <f>Rdson4*Table2[[#This Row],[Irms BoCtlr]]^2</f>
        <v>2.3933929109870262E-2</v>
      </c>
      <c r="AR27" s="354">
        <f>CHOOSE(Table2[[#This Row],[Mode Digit]], 0, (Vout*Table2[[#This Row],[Iin]]/2)*(Fsw)*(Tr_boost+Tf_boost), (Vout*Iout/2)*(Fsw/1)*(Tr_boost+Tf_boost))</f>
        <v>0</v>
      </c>
      <c r="AS27" s="354">
        <f>IF(Table2[[#This Row],[Vin]]&gt;Vout, 0, IF(Table2[[#This Row],[Iin]]&gt;Table2[[#This Row],[Ripple Current pk-pk]]/2,0,ABS(Table2[[#This Row],[Iin]]-Table2[[#This Row],[Ripple Current pk-pk]]/2)*Vsd_Q4*Deadtime*Fsw))</f>
        <v>0</v>
      </c>
      <c r="AT27" s="354">
        <f>(Table2[[#This Row],[Dead Time Loss BoCtlr]]+Table2[[#This Row],[Transition Loss BoCtlr]]+Table2[[#This Row],[RDS(on) Loss BoCtlr]]*(1+RdsonTopTc*Ta-RdsonTopTc*25))/(1-Table2[[#This Row],[RDS(on) Loss BoCtlr]]*RdsonTopTc*ThetaJA_Q4)</f>
        <v>2.4072203287550893E-2</v>
      </c>
      <c r="AU27" s="354">
        <f>Table2[[#This Row],[Irms Lf]]</f>
        <v>2.3871645418716132</v>
      </c>
      <c r="AV27" s="354">
        <f>Rdson3*Table2[[#This Row],[Irms BoSync]]^2</f>
        <v>2.3933929109870262E-2</v>
      </c>
      <c r="AW2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7" s="354">
        <f>(Table2[[#This Row],[Deadtime Loss BoSync]]+Table2[[#This Row],[RDS(on) Loss BoSync]]*(1+RdsonBotTc*Ta-RdsonBotTc*25))/(1-Table2[[#This Row],[RDS(on) Loss BoSync]]*RdsonBotTc*ThetaJA_Q3)</f>
        <v>2.4072203287550893E-2</v>
      </c>
      <c r="AY27" s="354">
        <f>CHOOSE(Table2[[#This Row],[Mode Digit]], Rdson3*Table2[[#This Row],[Irms Lf]]^2, Rdson1*Table2[[#This Row],[Irms Lf]]^2, 0)</f>
        <v>2.3933929109870262E-2</v>
      </c>
      <c r="AZ27" s="354">
        <f>CHOOSE(Table2[[#This Row],[Mode Digit]], 2*Deadtime*Fsw*IF(VfdSky_Q2&gt;0,VfdSky_Q2,0)*Table2[[#This Row],[Iout]], 2*Deadtime*Fsw*IF(VfdSky_Q3&gt;0,VfdSky_Q3,0)*Table2[[#This Row],[Iin]], 2*Deadtime*Fsw*IF(VfdSky_Q2&gt;0,VfdSky_Q2,0)*Table2[[#This Row],[Iout]]+2*Deadtime*Fsw*IF(VfdSky_Q3&gt;0,VfdSky_Q3,0)*Table2[[#This Row],[Iin]])</f>
        <v>0</v>
      </c>
      <c r="BA2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5.0956404480000002E-2</v>
      </c>
      <c r="BB2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5.0956404480000002E-2</v>
      </c>
      <c r="BC27" s="354">
        <f>CHOOSE(Table2[[#This Row],[Mode Digit]], Rs*Table2[[#This Row],[Irms BuSync]]^2, Rs*Table2[[#This Row],[Irms BoCtlr]]^2, Rs*(Table2[[#This Row],[Irms BuSync]]^2+Table2[[#This Row],[Irms BoCtlr]]^2))</f>
        <v>1.4246386374922773E-2</v>
      </c>
      <c r="BD27" s="354">
        <f t="shared" si="1"/>
        <v>1.44</v>
      </c>
      <c r="BE27" s="354">
        <f>IF(Vout&gt;8, Iq*Vout, Iq*Table2[[#This Row],[Vin]])</f>
        <v>4.3799999999999999E-2</v>
      </c>
      <c r="BF27" s="354">
        <f>CHOOSE(Table2[[#This Row],[Mode Digit]], (Qg_Q1+Qg_Q2)*Fsw, (Qg_Q3+Qg_Q4)*Fsw, (Qg_Q1+Qg_Q2+Qg_Q3+Qg_Q4)*Fsw)*IF(Vout&gt;8, Vout, Table2[[#This Row],[Vin]])</f>
        <v>0.47303999999999996</v>
      </c>
      <c r="BG27" s="354">
        <f t="shared" si="4"/>
        <v>0.57269042016806726</v>
      </c>
      <c r="BH27" s="354">
        <f>Table2[[#This Row],[IQ Loss]]+Table2[[#This Row],[Switching Current Loss]]</f>
        <v>0.51683999999999997</v>
      </c>
      <c r="BI2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3.4074007581707368</v>
      </c>
      <c r="BJ27">
        <f>Vout*Table2[[#This Row],[Iout]]</f>
        <v>31.536000000000001</v>
      </c>
      <c r="BK27" s="550">
        <f>Table2[[#This Row],[Pout]]/(Table2[[#This Row],[Pout]]+Table2[[#This Row],[Total Loss]])</f>
        <v>0.9024880039080343</v>
      </c>
      <c r="BL27" s="559">
        <f>IF(Table2[[#This Row],[Vin]]&gt;Vout,ThetaJA_Q1*(Table2[[#This Row],[Total Control Bu MOSFET Loss]]+Table2[[#This Row],[Reverse Recovery Loss MOSFET D BUCK]]),ThetaJA_Q4*(Table2[[#This Row],[Total Control Bo MOSFET Loss]]+Table2[[#This Row],[Reverse Recovery Loss MOSFET D BOOST]]))</f>
        <v>35.006744988309705</v>
      </c>
      <c r="BM27" s="559">
        <f>IF(Table2[[#This Row],[Vin]]&gt;Vout, Table2[[#This Row],[Total Sync Bu MOSFET Loss]]*ThetaJA_Q2, ThetaJA_Q3*Table2[[#This Row],[Total Sync Bo MOSFET Loss]])</f>
        <v>7.7159688032478631</v>
      </c>
      <c r="BN27" s="9"/>
      <c r="BO27" s="4">
        <f>Table2[[#This Row],[EFF, h]]*100</f>
        <v>90.248800390803424</v>
      </c>
      <c r="BP27" s="354">
        <f>Table2[[#This Row],[Total Inductor Loss]]</f>
        <v>0.61731743331775746</v>
      </c>
      <c r="BQ27" s="354">
        <f>Table2[[#This Row],[Total Control Bu MOSFET Loss]]+Table2[[#This Row],[Total Sync Bu MOSFET Loss]]+Table2[[#This Row],[Total Control Bo MOSFET Loss]]+Table2[[#This Row],[Total Sync Bo MOSFET Loss]]+Table2[[#This Row],[Reverse Recovery Loss MOSFET D BUCK]]+Table2[[#This Row],[Reverse Recovery Loss MOSFET D BOOST]]</f>
        <v>0.81114604091439457</v>
      </c>
      <c r="BR27" s="354">
        <f xml:space="preserve"> Table2[[#This Row],[Total Control Bu MOSFET Loss]]+Table2[[#This Row],[Reverse Recovery Loss MOSFET D BUCK]]*0.66</f>
        <v>0.56612057228196166</v>
      </c>
      <c r="BS27" s="354">
        <f>Table2[[#This Row],[Total Sync Bu MOSFET Loss]]+Table2[[#This Row],[Reverse Recovery Loss MOSFET D BUCK]]*0.33</f>
        <v>0.14541509353253104</v>
      </c>
      <c r="BT27" s="354">
        <f xml:space="preserve"> Table2[[#This Row],[Total Control Bo MOSFET Loss]]+Table2[[#This Row],[Reverse Recovery Loss MOSFET D BOOST]]*0.66</f>
        <v>5.7703430244350894E-2</v>
      </c>
      <c r="BU27" s="354">
        <f xml:space="preserve"> Table2[[#This Row],[Total Sync Bo MOSFET Loss]]+Table2[[#This Row],[Reverse Recovery Loss MOSFET D BOOST]]*0.33</f>
        <v>4.0887816765950893E-2</v>
      </c>
      <c r="BV27" s="354">
        <f>Table2[[#This Row],[Isense Shunt Loss]]</f>
        <v>1.4246386374922773E-2</v>
      </c>
      <c r="BZ27" t="s">
        <v>153</v>
      </c>
      <c r="CA27">
        <v>9.9986669999999993</v>
      </c>
      <c r="CB27">
        <v>0.1166</v>
      </c>
      <c r="CC27">
        <v>5.1212980000000003</v>
      </c>
      <c r="CD27">
        <v>64.729420570558148</v>
      </c>
      <c r="CE27">
        <v>325.37886459483997</v>
      </c>
    </row>
    <row r="28" spans="1:92" x14ac:dyDescent="0.2">
      <c r="A28" s="22" t="s">
        <v>148</v>
      </c>
      <c r="B28" s="5">
        <f>RdsonDRT2</f>
        <v>1</v>
      </c>
      <c r="C28" s="444" t="s">
        <v>118</v>
      </c>
      <c r="D28" s="440" t="s">
        <v>679</v>
      </c>
      <c r="G28">
        <v>19</v>
      </c>
      <c r="H28" s="555">
        <f t="shared" si="0"/>
        <v>23.6</v>
      </c>
      <c r="I28" s="4" t="str">
        <f>IF(Mode = 2,IF(Table2[[#This Row],[Vin]]&gt;Vout, "BUCK","BOOST"),IF(Table2[[#This Row],[Vin]]&gt;VIN_BB_to_buck, "BUCK", IF(Table2[[#This Row],[Vin]]&lt;=VIN_boost_to_BB,"BOOST","BUCK-BST")))</f>
        <v>BUCK</v>
      </c>
      <c r="J28">
        <f>IF(Table2[[#This Row],[Mode]]="BOOST",2, IF(Table2[[#This Row],[Mode]]="BUCK", 1,3))</f>
        <v>1</v>
      </c>
      <c r="K28" s="354">
        <f t="shared" si="3"/>
        <v>2.2799999999999998</v>
      </c>
      <c r="L28" s="4">
        <f>Vout*Table2[[#This Row],[Iout]]/(Table2[[#This Row],[Vin]]*Efficiency)</f>
        <v>1.4847457627118641</v>
      </c>
      <c r="M28" s="711">
        <f>MIN(1/Fsw,CHOOSE(Table2[[#This Row],[Mode Digit]],(Vout+(Rdson2+Rs+Rdcr)*Table2[[#This Row],[Iout]])/(Table2[[#This Row],[Vin]]+(Rs+Rdson2-Rdson1)*Table2[[#This Row],[Iout]])/Fsw,(Vout+(Rdson3+Rdcr)*Table2[[#This Row],[Iin]]-Table2[[#This Row],[Vin]])/(Vout+(Rdson3-Rdson4-Rs)*Table2[[#This Row],[Iin]])/Fsw,t1_Ph_II))</f>
        <v>1.0328367018700283E-6</v>
      </c>
      <c r="N28" s="602">
        <f>CHOOSE(Table2[[#This Row],[Mode Digit]],1/Fsw-Table2[[#This Row],[t1_Ph_II]],1/Fsw-Table2[[#This Row],[t1_Ph_II]],(Vout/Fsw-Table2[[#This Row],[Vin]]*t1_Ph_II)/(Table2[[#This Row],[Vin]]+Vout))</f>
        <v>6.3382996479663833E-7</v>
      </c>
      <c r="O28" s="602">
        <f>1/Fsw-(Table2[[#This Row],[t1_Ph_II]]+Table2[[#This Row],[t2_Ph_I]])</f>
        <v>0</v>
      </c>
      <c r="P2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0.51948289453972385</v>
      </c>
      <c r="Q28" s="4">
        <f>CHOOSE(Table2[[#This Row],[Mode Digit]],Table2[[#This Row],[I_0]]+1/Lf*(Table2[[#This Row],[Vin]]-Vout)*Table2[[#This Row],[t1_Ph_II]],Table2[[#This Row],[I_0]]+1/Lf*Table2[[#This Row],[Vin]]*Table2[[#This Row],[t1_Ph_II]],Table2[[#This Row],[I_0]]+(Table2[[#This Row],[Vin]]-Vout)/L*Table2[[#This Row],[t1_Ph_II]])</f>
        <v>4.0405171054602755</v>
      </c>
      <c r="R28" s="4">
        <f>CHOOSE(Table2[[#This Row],[Mode Digit]],0,0,Table2[[#This Row],[I_1]]+Table2[[#This Row],[Vin]]/L*Table2[[#This Row],[t2_Ph_I]])</f>
        <v>0</v>
      </c>
      <c r="S28" s="409">
        <f>Fsw*(Table2[[#This Row],[I_0]]*Table2[[#This Row],[t1_Ph_II]]+Table2[[#This Row],[I_1]]*Table2[[#This Row],[t2_Ph_I]]+Table2[[#This Row],[I_2]]*Table2[[#This Row],[t3_Ph_III]])</f>
        <v>1.8585250885130435</v>
      </c>
      <c r="T28" s="354">
        <f>MIN(1,CHOOSE(Table2[[#This Row],[Mode Digit]],(Vout+(Rdson2+Rs+Rdcr)*Table2[[#This Row],[Iout]])/(Table2[[#This Row],[Vin]]+(Rs+Rdson2-Rdson1)*Table2[[#This Row],[Iout]]),1,Fsw*Table2[[#This Row],[t2_Ph_I]]+Table2[[#This Row],[t1_Ph_II]]))</f>
        <v>0.619702021122017</v>
      </c>
      <c r="U28" s="354">
        <f>MIN(1,CHOOSE(Table2[[#This Row],[Mode Digit]],0,(Vout+(Rdson3+Rdcr)*Table2[[#This Row],[Iin]]-Table2[[#This Row],[Vin]])/(Vout+(Rdson3-Rdson4-Rs)*Table2[[#This Row],[Iin]]),Fsw*Table2[[#This Row],[t1_Ph_II]]+Table2[[#This Row],[t3_Ph_III]]))</f>
        <v>0</v>
      </c>
      <c r="V28" s="4">
        <f>MAX(Table2[[#This Row],[I_0]:[I_2]])-MIN(Table2[[#This Row],[I_0]:[I_1]])</f>
        <v>3.5210342109205515</v>
      </c>
      <c r="W2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2.4963053017488481</v>
      </c>
      <c r="X28" s="354">
        <f>(Table2[[#This Row],[Irms Lf]]^2*Rdcr*(1+Ltc*Ta-Ltc*25))/(1-Table2[[#This Row],[Irms Lf]]^2*Rdcr*Ltc*ThetaCa)</f>
        <v>3.624774089876847E-2</v>
      </c>
      <c r="Y28" s="354">
        <f>ABS(7.759*10^-3*Fsw^0.9458*(0.00787*Table2[[#This Row],[Ripple Current pk-pk]])^2.304)</f>
        <v>0.58429911938513435</v>
      </c>
      <c r="Z28" s="354">
        <f>Table2[[#This Row],[DCR    Loss]]+Table2[[#This Row],[Core Loss]]</f>
        <v>0.62054686028390282</v>
      </c>
      <c r="AA28" s="4">
        <f>IF(Table2[[#This Row],[Vin]]&gt;Vout, Table2[[#This Row],[Ripple Current pk-pk]]/SQRT(12), SQRT(Table2[[#This Row],[Duty Cycle BOOST Leg]]/(1-Table2[[#This Row],[Duty Cycle BOOST Leg]]))*SQRT(Table2[[#This Row],[Iout]]^2+(Table2[[#This Row],[Ripple Current pk-pk]]^2)/12))</f>
        <v>1.016435024750431</v>
      </c>
      <c r="AB28" s="354">
        <f>RCoutEsr*Table2[[#This Row],[Irms Cout]]^2</f>
        <v>5.1657007976970469E-3</v>
      </c>
      <c r="AC28" s="354">
        <f>Table2[[#This Row],[Cout ESR Loss]]</f>
        <v>5.1657007976970469E-3</v>
      </c>
      <c r="AD28" s="4">
        <f>IF(Table2[[#This Row],[Vin]]&gt;Vout, SQRT(Table2[[#This Row],[Duty Cycle BUCK Leg]]*(1-Table2[[#This Row],[Duty Cycle BUCK Leg]]))*SQRT(Table2[[#This Row],[Iout]]^2+(Table2[[#This Row],[Ripple Current pk-pk]]^2)/12), Table2[[#This Row],[Ripple Current pk-pk]]/SQRT(12))</f>
        <v>1.2118564091685944</v>
      </c>
      <c r="AE28" s="354">
        <f>RCinEsr*Table2[[#This Row],[Irms Cin]]^2</f>
        <v>2.937191912885999E-3</v>
      </c>
      <c r="AF28" s="549">
        <f>Table2[[#This Row],[Cin ESR Loss]]</f>
        <v>2.937191912885999E-3</v>
      </c>
      <c r="AG28" s="354">
        <f>Table2[[#This Row],[Irms Lf]]</f>
        <v>2.4963053017488481</v>
      </c>
      <c r="AH28" s="354">
        <f>Rdson1*Table2[[#This Row],[Irms BuCtrl]]^2</f>
        <v>2.6172468670065514E-2</v>
      </c>
      <c r="AI28" s="354">
        <f>CHOOSE(Table2[[#This Row],[Mode Digit]], (Table2[[#This Row],[Vin]]*Table2[[#This Row],[Iout]]/2)*(Fsw)*(Tr_buck+Tf_buck), 0, (Table2[[#This Row],[Vin]]*Table2[[#This Row],[Avg IL]]/2)*(Fsw/1)*(Tr_buck+Tf_buck))</f>
        <v>0.53357987245908278</v>
      </c>
      <c r="AJ28">
        <f>IF(Table2[[#This Row],[Vin]]&gt;Vout, IF(Table2[[#This Row],[Iout]]&gt;Table2[[#This Row],[Ripple Current pk-pk]]/2,0,ABS(Table2[[#This Row],[Iout]]-Table2[[#This Row],[Ripple Current pk-pk]]/2)*Vsd_Q1*Deadtime*Fsw),0)</f>
        <v>0</v>
      </c>
      <c r="AK28" s="354">
        <f>(Table2[[#This Row],[Dead Time Loss BuCtrl]]+Table2[[#This Row],[Transition Loss BuCtrl]]+Table2[[#This Row],[RDS(on) Loss BuCtrl]]*(1+RdsonTopTc*Ta-RdsonTopTc*25))/(1-Table2[[#This Row],[RDS(on) Loss BuCtrl]]*RdsonTopTc*ThetaJA_Q1)</f>
        <v>0.56329059040825291</v>
      </c>
      <c r="AL28" s="354">
        <f>Table2[[#This Row],[Irms Lf]]</f>
        <v>2.4963053017488481</v>
      </c>
      <c r="AM28" s="354">
        <f>Rdson2*Table2[[#This Row],[Irms BuSync]]^2</f>
        <v>2.6172468670065514E-2</v>
      </c>
      <c r="AN2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0.10970057142857141</v>
      </c>
      <c r="AO28" s="354">
        <f>(Table2[[#This Row],[Deadtime Loss BuSync]]+Table2[[#This Row],[RDS(on) Loss BuSync]]*(1+RdsonBotTc*Ta-RdsonBotTc*25))/(1-Table2[[#This Row],[RDS(on) Loss BuSync]]*RdsonBotTc*ThetaJA_Q2)</f>
        <v>0.13673190687033987</v>
      </c>
      <c r="AP28" s="354">
        <f>Table2[[#This Row],[Irms Lf]]</f>
        <v>2.4963053017488481</v>
      </c>
      <c r="AQ28" s="354">
        <f>Rdson4*Table2[[#This Row],[Irms BoCtlr]]^2</f>
        <v>2.6172468670065514E-2</v>
      </c>
      <c r="AR28" s="354">
        <f>CHOOSE(Table2[[#This Row],[Mode Digit]], 0, (Vout*Table2[[#This Row],[Iin]]/2)*(Fsw)*(Tr_boost+Tf_boost), (Vout*Iout/2)*(Fsw/1)*(Tr_boost+Tf_boost))</f>
        <v>0</v>
      </c>
      <c r="AS28" s="354">
        <f>IF(Table2[[#This Row],[Vin]]&gt;Vout, 0, IF(Table2[[#This Row],[Iin]]&gt;Table2[[#This Row],[Ripple Current pk-pk]]/2,0,ABS(Table2[[#This Row],[Iin]]-Table2[[#This Row],[Ripple Current pk-pk]]/2)*Vsd_Q4*Deadtime*Fsw))</f>
        <v>0</v>
      </c>
      <c r="AT28" s="354">
        <f>(Table2[[#This Row],[Dead Time Loss BoCtlr]]+Table2[[#This Row],[Transition Loss BoCtlr]]+Table2[[#This Row],[RDS(on) Loss BoCtlr]]*(1+RdsonTopTc*Ta-RdsonTopTc*25))/(1-Table2[[#This Row],[RDS(on) Loss BoCtlr]]*RdsonTopTc*ThetaJA_Q4)</f>
        <v>2.6337907403590849E-2</v>
      </c>
      <c r="AU28" s="354">
        <f>Table2[[#This Row],[Irms Lf]]</f>
        <v>2.4963053017488481</v>
      </c>
      <c r="AV28" s="354">
        <f>Rdson3*Table2[[#This Row],[Irms BoSync]]^2</f>
        <v>2.6172468670065514E-2</v>
      </c>
      <c r="AW2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8" s="354">
        <f>(Table2[[#This Row],[Deadtime Loss BoSync]]+Table2[[#This Row],[RDS(on) Loss BoSync]]*(1+RdsonBotTc*Ta-RdsonBotTc*25))/(1-Table2[[#This Row],[RDS(on) Loss BoSync]]*RdsonBotTc*ThetaJA_Q3)</f>
        <v>2.6337907403590849E-2</v>
      </c>
      <c r="AY28" s="354">
        <f>CHOOSE(Table2[[#This Row],[Mode Digit]], Rdson3*Table2[[#This Row],[Irms Lf]]^2, Rdson1*Table2[[#This Row],[Irms Lf]]^2, 0)</f>
        <v>2.6172468670065514E-2</v>
      </c>
      <c r="AZ28" s="354">
        <f>CHOOSE(Table2[[#This Row],[Mode Digit]], 2*Deadtime*Fsw*IF(VfdSky_Q2&gt;0,VfdSky_Q2,0)*Table2[[#This Row],[Iout]], 2*Deadtime*Fsw*IF(VfdSky_Q3&gt;0,VfdSky_Q3,0)*Table2[[#This Row],[Iin]], 2*Deadtime*Fsw*IF(VfdSky_Q2&gt;0,VfdSky_Q2,0)*Table2[[#This Row],[Iout]]+2*Deadtime*Fsw*IF(VfdSky_Q3&gt;0,VfdSky_Q3,0)*Table2[[#This Row],[Iin]])</f>
        <v>0</v>
      </c>
      <c r="BA2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5.378616672E-2</v>
      </c>
      <c r="BB2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5.378616672E-2</v>
      </c>
      <c r="BC28" s="354">
        <f>CHOOSE(Table2[[#This Row],[Mode Digit]], Rs*Table2[[#This Row],[Irms BuSync]]^2, Rs*Table2[[#This Row],[Irms BoCtlr]]^2, Rs*(Table2[[#This Row],[Irms BuSync]]^2+Table2[[#This Row],[Irms BoCtlr]]^2))</f>
        <v>1.5578850398848518E-2</v>
      </c>
      <c r="BD28" s="354">
        <f t="shared" si="1"/>
        <v>1.44</v>
      </c>
      <c r="BE28" s="354">
        <f>IF(Vout&gt;8, Iq*Vout, Iq*Table2[[#This Row],[Vin]])</f>
        <v>4.3799999999999999E-2</v>
      </c>
      <c r="BF28" s="354">
        <f>CHOOSE(Table2[[#This Row],[Mode Digit]], (Qg_Q1+Qg_Q2)*Fsw, (Qg_Q3+Qg_Q4)*Fsw, (Qg_Q1+Qg_Q2+Qg_Q3+Qg_Q4)*Fsw)*IF(Vout&gt;8, Vout, Table2[[#This Row],[Vin]])</f>
        <v>0.47303999999999996</v>
      </c>
      <c r="BG28" s="354">
        <f t="shared" si="4"/>
        <v>0.57269042016806726</v>
      </c>
      <c r="BH28" s="354">
        <f>Table2[[#This Row],[IQ Loss]]+Table2[[#This Row],[Switching Current Loss]]</f>
        <v>0.51683999999999997</v>
      </c>
      <c r="BI2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3.4613392489191082</v>
      </c>
      <c r="BJ28">
        <f>Vout*Table2[[#This Row],[Iout]]</f>
        <v>33.287999999999997</v>
      </c>
      <c r="BK28" s="550">
        <f>Table2[[#This Row],[Pout]]/(Table2[[#This Row],[Pout]]+Table2[[#This Row],[Total Loss]])</f>
        <v>0.90581220452770683</v>
      </c>
      <c r="BL28" s="559">
        <f>IF(Table2[[#This Row],[Vin]]&gt;Vout,ThetaJA_Q1*(Table2[[#This Row],[Total Control Bu MOSFET Loss]]+Table2[[#This Row],[Reverse Recovery Loss MOSFET D BUCK]]),ThetaJA_Q4*(Table2[[#This Row],[Total Control Bo MOSFET Loss]]+Table2[[#This Row],[Reverse Recovery Loss MOSFET D BOOST]]))</f>
        <v>37.024605427695178</v>
      </c>
      <c r="BM28" s="559">
        <f>IF(Table2[[#This Row],[Vin]]&gt;Vout, Table2[[#This Row],[Total Sync Bu MOSFET Loss]]*ThetaJA_Q2, ThetaJA_Q3*Table2[[#This Row],[Total Sync Bo MOSFET Loss]])</f>
        <v>8.2039144122203922</v>
      </c>
      <c r="BN28" s="9"/>
      <c r="BO28" s="4">
        <f>Table2[[#This Row],[EFF, h]]*100</f>
        <v>90.58122045277068</v>
      </c>
      <c r="BP28" s="354">
        <f>Table2[[#This Row],[Total Inductor Loss]]</f>
        <v>0.62054686028390282</v>
      </c>
      <c r="BQ28" s="354">
        <f>Table2[[#This Row],[Total Control Bu MOSFET Loss]]+Table2[[#This Row],[Total Sync Bu MOSFET Loss]]+Table2[[#This Row],[Total Control Bo MOSFET Loss]]+Table2[[#This Row],[Total Sync Bo MOSFET Loss]]+Table2[[#This Row],[Reverse Recovery Loss MOSFET D BUCK]]+Table2[[#This Row],[Reverse Recovery Loss MOSFET D BOOST]]</f>
        <v>0.86027064552577459</v>
      </c>
      <c r="BR28" s="354">
        <f xml:space="preserve"> Table2[[#This Row],[Total Control Bu MOSFET Loss]]+Table2[[#This Row],[Reverse Recovery Loss MOSFET D BUCK]]*0.66</f>
        <v>0.59878946044345294</v>
      </c>
      <c r="BS28" s="354">
        <f>Table2[[#This Row],[Total Sync Bu MOSFET Loss]]+Table2[[#This Row],[Reverse Recovery Loss MOSFET D BUCK]]*0.33</f>
        <v>0.15448134188793988</v>
      </c>
      <c r="BT28" s="354">
        <f xml:space="preserve"> Table2[[#This Row],[Total Control Bo MOSFET Loss]]+Table2[[#This Row],[Reverse Recovery Loss MOSFET D BOOST]]*0.66</f>
        <v>6.1836777438790853E-2</v>
      </c>
      <c r="BU28" s="354">
        <f xml:space="preserve"> Table2[[#This Row],[Total Sync Bo MOSFET Loss]]+Table2[[#This Row],[Reverse Recovery Loss MOSFET D BOOST]]*0.33</f>
        <v>4.4087342421190848E-2</v>
      </c>
      <c r="BV28" s="354">
        <f>Table2[[#This Row],[Isense Shunt Loss]]</f>
        <v>1.5578850398848518E-2</v>
      </c>
      <c r="BZ28" t="s">
        <v>154</v>
      </c>
      <c r="CA28">
        <v>9.9987659999999998</v>
      </c>
      <c r="CB28">
        <v>0.14660000000000001</v>
      </c>
      <c r="CC28">
        <v>5.1213230000000003</v>
      </c>
      <c r="CD28">
        <v>69.885376918691776</v>
      </c>
      <c r="CE28">
        <v>323.52446193379996</v>
      </c>
    </row>
    <row r="29" spans="1:92" x14ac:dyDescent="0.2">
      <c r="A29" s="24" t="s">
        <v>115</v>
      </c>
      <c r="B29" s="15" t="s">
        <v>113</v>
      </c>
      <c r="C29" s="24" t="s">
        <v>80</v>
      </c>
      <c r="D29" s="17" t="s">
        <v>109</v>
      </c>
      <c r="G29">
        <v>20</v>
      </c>
      <c r="H29" s="555">
        <f t="shared" si="0"/>
        <v>23.6</v>
      </c>
      <c r="I29" s="4" t="str">
        <f>IF(Mode = 2,IF(Table2[[#This Row],[Vin]]&gt;Vout, "BUCK","BOOST"),IF(Table2[[#This Row],[Vin]]&gt;VIN_BB_to_buck, "BUCK", IF(Table2[[#This Row],[Vin]]&lt;=VIN_boost_to_BB,"BOOST","BUCK-BST")))</f>
        <v>BUCK</v>
      </c>
      <c r="J29">
        <f>IF(Table2[[#This Row],[Mode]]="BOOST",2, IF(Table2[[#This Row],[Mode]]="BUCK", 1,3))</f>
        <v>1</v>
      </c>
      <c r="K29" s="354">
        <f t="shared" si="3"/>
        <v>2.4</v>
      </c>
      <c r="L29" s="4">
        <f>Vout*Table2[[#This Row],[Iout]]/(Table2[[#This Row],[Vin]]*Efficiency)</f>
        <v>1.5628902765388044</v>
      </c>
      <c r="M29" s="711">
        <f>MIN(1/Fsw,CHOOSE(Table2[[#This Row],[Mode Digit]],(Vout+(Rdson2+Rs+Rdcr)*Table2[[#This Row],[Iout]])/(Table2[[#This Row],[Vin]]+(Rs+Rdson2-Rdson1)*Table2[[#This Row],[Iout]])/Fsw,(Vout+(Rdson3+Rdcr)*Table2[[#This Row],[Iin]]-Table2[[#This Row],[Vin]])/(Vout+(Rdson3-Rdson4-Rs)*Table2[[#This Row],[Iin]])/Fsw,t1_Ph_II))</f>
        <v>1.0329294812053432E-6</v>
      </c>
      <c r="N29" s="602">
        <f>CHOOSE(Table2[[#This Row],[Mode Digit]],1/Fsw-Table2[[#This Row],[t1_Ph_II]],1/Fsw-Table2[[#This Row],[t1_Ph_II]],(Vout/Fsw-Table2[[#This Row],[Vin]]*t1_Ph_II)/(Table2[[#This Row],[Vin]]+Vout))</f>
        <v>6.3373718546132343E-7</v>
      </c>
      <c r="O29" s="602">
        <f>1/Fsw-(Table2[[#This Row],[t1_Ph_II]]+Table2[[#This Row],[t2_Ph_I]])</f>
        <v>0</v>
      </c>
      <c r="P2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0.63932474794543737</v>
      </c>
      <c r="Q29" s="4">
        <f>CHOOSE(Table2[[#This Row],[Mode Digit]],Table2[[#This Row],[I_0]]+1/Lf*(Table2[[#This Row],[Vin]]-Vout)*Table2[[#This Row],[t1_Ph_II]],Table2[[#This Row],[I_0]]+1/Lf*Table2[[#This Row],[Vin]]*Table2[[#This Row],[t1_Ph_II]],Table2[[#This Row],[I_0]]+(Table2[[#This Row],[Vin]]-Vout)/L*Table2[[#This Row],[t1_Ph_II]])</f>
        <v>4.1606752520545625</v>
      </c>
      <c r="R29" s="4">
        <f>CHOOSE(Table2[[#This Row],[Mode Digit]],0,0,Table2[[#This Row],[I_1]]+Table2[[#This Row],[Vin]]/L*Table2[[#This Row],[t2_Ph_I]])</f>
        <v>0</v>
      </c>
      <c r="S29" s="409">
        <f>Fsw*(Table2[[#This Row],[I_0]]*Table2[[#This Row],[t1_Ph_II]]+Table2[[#This Row],[I_1]]*Table2[[#This Row],[t2_Ph_I]]+Table2[[#This Row],[I_2]]*Table2[[#This Row],[t3_Ph_III]])</f>
        <v>1.9782912024435948</v>
      </c>
      <c r="T29" s="354">
        <f>MIN(1,CHOOSE(Table2[[#This Row],[Mode Digit]],(Vout+(Rdson2+Rs+Rdcr)*Table2[[#This Row],[Iout]])/(Table2[[#This Row],[Vin]]+(Rs+Rdson2-Rdson1)*Table2[[#This Row],[Iout]]),1,Fsw*Table2[[#This Row],[t2_Ph_I]]+Table2[[#This Row],[t1_Ph_II]]))</f>
        <v>0.61975768872320591</v>
      </c>
      <c r="U29" s="354">
        <f>MIN(1,CHOOSE(Table2[[#This Row],[Mode Digit]],0,(Vout+(Rdson3+Rdcr)*Table2[[#This Row],[Iin]]-Table2[[#This Row],[Vin]])/(Vout+(Rdson3-Rdson4-Rs)*Table2[[#This Row],[Iin]]),Fsw*Table2[[#This Row],[t1_Ph_II]]+Table2[[#This Row],[t3_Ph_III]]))</f>
        <v>0</v>
      </c>
      <c r="V29" s="4">
        <f>MAX(Table2[[#This Row],[I_0]:[I_2]])-MIN(Table2[[#This Row],[I_0]:[I_1]])</f>
        <v>3.5213505041091251</v>
      </c>
      <c r="W2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2.6064009248513167</v>
      </c>
      <c r="X29" s="354">
        <f>(Table2[[#This Row],[Irms Lf]]^2*Rdcr*(1+Ltc*Ta-Ltc*25))/(1-Table2[[#This Row],[Irms Lf]]^2*Rdcr*Ltc*ThetaCa)</f>
        <v>3.952587917893878E-2</v>
      </c>
      <c r="Y29" s="354">
        <f>ABS(7.759*10^-3*Fsw^0.9458*(0.00787*Table2[[#This Row],[Ripple Current pk-pk]])^2.304)</f>
        <v>0.58442005737248781</v>
      </c>
      <c r="Z29" s="354">
        <f>Table2[[#This Row],[DCR    Loss]]+Table2[[#This Row],[Core Loss]]</f>
        <v>0.62394593655142661</v>
      </c>
      <c r="AA29" s="4">
        <f>IF(Table2[[#This Row],[Vin]]&gt;Vout, Table2[[#This Row],[Ripple Current pk-pk]]/SQRT(12), SQRT(Table2[[#This Row],[Duty Cycle BOOST Leg]]/(1-Table2[[#This Row],[Duty Cycle BOOST Leg]]))*SQRT(Table2[[#This Row],[Iout]]^2+(Table2[[#This Row],[Ripple Current pk-pk]]^2)/12))</f>
        <v>1.0165263307292138</v>
      </c>
      <c r="AB29" s="354">
        <f>RCoutEsr*Table2[[#This Row],[Irms Cout]]^2</f>
        <v>5.1666289053289953E-3</v>
      </c>
      <c r="AC29" s="354">
        <f>Table2[[#This Row],[Cout ESR Loss]]</f>
        <v>5.1666289053289953E-3</v>
      </c>
      <c r="AD29" s="4">
        <f>IF(Table2[[#This Row],[Vin]]&gt;Vout, SQRT(Table2[[#This Row],[Duty Cycle BUCK Leg]]*(1-Table2[[#This Row],[Duty Cycle BUCK Leg]]))*SQRT(Table2[[#This Row],[Iout]]^2+(Table2[[#This Row],[Ripple Current pk-pk]]^2)/12), Table2[[#This Row],[Ripple Current pk-pk]]/SQRT(12))</f>
        <v>1.265267647186606</v>
      </c>
      <c r="AE29" s="354">
        <f>RCinEsr*Table2[[#This Row],[Irms Cin]]^2</f>
        <v>3.2018044380342594E-3</v>
      </c>
      <c r="AF29" s="549">
        <f>Table2[[#This Row],[Cin ESR Loss]]</f>
        <v>3.2018044380342594E-3</v>
      </c>
      <c r="AG29" s="354">
        <f>Table2[[#This Row],[Irms Lf]]</f>
        <v>2.6064009248513167</v>
      </c>
      <c r="AH29" s="354">
        <f>Rdson1*Table2[[#This Row],[Irms BuCtrl]]^2</f>
        <v>2.8531968280476359E-2</v>
      </c>
      <c r="AI29" s="354">
        <f>CHOOSE(Table2[[#This Row],[Mode Digit]], (Table2[[#This Row],[Vin]]*Table2[[#This Row],[Iout]]/2)*(Fsw)*(Tr_buck+Tf_buck), 0, (Table2[[#This Row],[Vin]]*Table2[[#This Row],[Avg IL]]/2)*(Fsw/1)*(Tr_buck+Tf_buck))</f>
        <v>0.56166302364113974</v>
      </c>
      <c r="AJ29">
        <f>IF(Table2[[#This Row],[Vin]]&gt;Vout, IF(Table2[[#This Row],[Iout]]&gt;Table2[[#This Row],[Ripple Current pk-pk]]/2,0,ABS(Table2[[#This Row],[Iout]]-Table2[[#This Row],[Ripple Current pk-pk]]/2)*Vsd_Q1*Deadtime*Fsw),0)</f>
        <v>0</v>
      </c>
      <c r="AK29" s="354">
        <f>(Table2[[#This Row],[Dead Time Loss BuCtrl]]+Table2[[#This Row],[Transition Loss BuCtrl]]+Table2[[#This Row],[RDS(on) Loss BuCtrl]]*(1+RdsonTopTc*Ta-RdsonTopTc*25))/(1-Table2[[#This Row],[RDS(on) Loss BuCtrl]]*RdsonTopTc*ThetaJA_Q1)</f>
        <v>0.59426431929159529</v>
      </c>
      <c r="AL29" s="354">
        <f>Table2[[#This Row],[Irms Lf]]</f>
        <v>2.6064009248513167</v>
      </c>
      <c r="AM29" s="354">
        <f>Rdson2*Table2[[#This Row],[Irms BuSync]]^2</f>
        <v>2.8531968280476359E-2</v>
      </c>
      <c r="AN2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0.11547428571428571</v>
      </c>
      <c r="AO29" s="354">
        <f>(Table2[[#This Row],[Deadtime Loss BuSync]]+Table2[[#This Row],[RDS(on) Loss BuSync]]*(1+RdsonBotTc*Ta-RdsonBotTc*25))/(1-Table2[[#This Row],[RDS(on) Loss BuSync]]*RdsonBotTc*ThetaJA_Q2)</f>
        <v>0.14499916074397232</v>
      </c>
      <c r="AP29" s="354">
        <f>Table2[[#This Row],[Irms Lf]]</f>
        <v>2.6064009248513167</v>
      </c>
      <c r="AQ29" s="354">
        <f>Rdson4*Table2[[#This Row],[Irms BoCtlr]]^2</f>
        <v>2.8531968280476359E-2</v>
      </c>
      <c r="AR29" s="354">
        <f>CHOOSE(Table2[[#This Row],[Mode Digit]], 0, (Vout*Table2[[#This Row],[Iin]]/2)*(Fsw)*(Tr_boost+Tf_boost), (Vout*Iout/2)*(Fsw/1)*(Tr_boost+Tf_boost))</f>
        <v>0</v>
      </c>
      <c r="AS29" s="354">
        <f>IF(Table2[[#This Row],[Vin]]&gt;Vout, 0, IF(Table2[[#This Row],[Iin]]&gt;Table2[[#This Row],[Ripple Current pk-pk]]/2,0,ABS(Table2[[#This Row],[Iin]]-Table2[[#This Row],[Ripple Current pk-pk]]/2)*Vsd_Q4*Deadtime*Fsw))</f>
        <v>0</v>
      </c>
      <c r="AT29" s="354">
        <f>(Table2[[#This Row],[Dead Time Loss BoCtlr]]+Table2[[#This Row],[Transition Loss BoCtlr]]+Table2[[#This Row],[RDS(on) Loss BoCtlr]]*(1+RdsonTopTc*Ta-RdsonTopTc*25))/(1-Table2[[#This Row],[RDS(on) Loss BoCtlr]]*RdsonTopTc*ThetaJA_Q4)</f>
        <v>2.8728692957968271E-2</v>
      </c>
      <c r="AU29" s="354">
        <f>Table2[[#This Row],[Irms Lf]]</f>
        <v>2.6064009248513167</v>
      </c>
      <c r="AV29" s="354">
        <f>Rdson3*Table2[[#This Row],[Irms BoSync]]^2</f>
        <v>2.8531968280476359E-2</v>
      </c>
      <c r="AW2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29" s="354">
        <f>(Table2[[#This Row],[Deadtime Loss BoSync]]+Table2[[#This Row],[RDS(on) Loss BoSync]]*(1+RdsonBotTc*Ta-RdsonBotTc*25))/(1-Table2[[#This Row],[RDS(on) Loss BoSync]]*RdsonBotTc*ThetaJA_Q3)</f>
        <v>2.8728692957968271E-2</v>
      </c>
      <c r="AY29" s="354">
        <f>CHOOSE(Table2[[#This Row],[Mode Digit]], Rdson3*Table2[[#This Row],[Irms Lf]]^2, Rdson1*Table2[[#This Row],[Irms Lf]]^2, 0)</f>
        <v>2.8531968280476359E-2</v>
      </c>
      <c r="AZ29" s="354">
        <f>CHOOSE(Table2[[#This Row],[Mode Digit]], 2*Deadtime*Fsw*IF(VfdSky_Q2&gt;0,VfdSky_Q2,0)*Table2[[#This Row],[Iout]], 2*Deadtime*Fsw*IF(VfdSky_Q3&gt;0,VfdSky_Q3,0)*Table2[[#This Row],[Iin]], 2*Deadtime*Fsw*IF(VfdSky_Q2&gt;0,VfdSky_Q2,0)*Table2[[#This Row],[Iout]]+2*Deadtime*Fsw*IF(VfdSky_Q3&gt;0,VfdSky_Q3,0)*Table2[[#This Row],[Iin]])</f>
        <v>0</v>
      </c>
      <c r="BA2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5.6615808000000011E-2</v>
      </c>
      <c r="BB2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5.6615808000000011E-2</v>
      </c>
      <c r="BC29" s="354">
        <f>CHOOSE(Table2[[#This Row],[Mode Digit]], Rs*Table2[[#This Row],[Irms BuSync]]^2, Rs*Table2[[#This Row],[Irms BoCtlr]]^2, Rs*(Table2[[#This Row],[Irms BuSync]]^2+Table2[[#This Row],[Irms BoCtlr]]^2))</f>
        <v>1.6983314452664499E-2</v>
      </c>
      <c r="BD29" s="354">
        <f t="shared" si="1"/>
        <v>1.44</v>
      </c>
      <c r="BE29" s="354">
        <f>IF(Vout&gt;8, Iq*Vout, Iq*Table2[[#This Row],[Vin]])</f>
        <v>4.3799999999999999E-2</v>
      </c>
      <c r="BF29" s="354">
        <f>CHOOSE(Table2[[#This Row],[Mode Digit]], (Qg_Q1+Qg_Q2)*Fsw, (Qg_Q3+Qg_Q4)*Fsw, (Qg_Q1+Qg_Q2+Qg_Q3+Qg_Q4)*Fsw)*IF(Vout&gt;8, Vout, Table2[[#This Row],[Vin]])</f>
        <v>0.47303999999999996</v>
      </c>
      <c r="BG29" s="354">
        <f t="shared" si="4"/>
        <v>0.57269042016806726</v>
      </c>
      <c r="BH29" s="354">
        <f>Table2[[#This Row],[IQ Loss]]+Table2[[#This Row],[Switching Current Loss]]</f>
        <v>0.51683999999999997</v>
      </c>
      <c r="BI2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3.5160901662989583</v>
      </c>
      <c r="BJ29">
        <f>Vout*Table2[[#This Row],[Iout]]</f>
        <v>35.04</v>
      </c>
      <c r="BK29" s="550">
        <f>Table2[[#This Row],[Pout]]/(Table2[[#This Row],[Pout]]+Table2[[#This Row],[Total Loss]])</f>
        <v>0.90880584231613049</v>
      </c>
      <c r="BL29" s="559">
        <f>IF(Table2[[#This Row],[Vin]]&gt;Vout,ThetaJA_Q1*(Table2[[#This Row],[Total Control Bu MOSFET Loss]]+Table2[[#This Row],[Reverse Recovery Loss MOSFET D BUCK]]),ThetaJA_Q4*(Table2[[#This Row],[Total Control Bo MOSFET Loss]]+Table2[[#This Row],[Reverse Recovery Loss MOSFET D BOOST]]))</f>
        <v>39.052807637495718</v>
      </c>
      <c r="BM29" s="559">
        <f>IF(Table2[[#This Row],[Vin]]&gt;Vout, Table2[[#This Row],[Total Sync Bu MOSFET Loss]]*ThetaJA_Q2, ThetaJA_Q3*Table2[[#This Row],[Total Sync Bo MOSFET Loss]])</f>
        <v>8.6999496446383393</v>
      </c>
      <c r="BN29" s="9"/>
      <c r="BO29" s="4">
        <f>Table2[[#This Row],[EFF, h]]*100</f>
        <v>90.880584231613042</v>
      </c>
      <c r="BP29" s="354">
        <f>Table2[[#This Row],[Total Inductor Loss]]</f>
        <v>0.62394593655142661</v>
      </c>
      <c r="BQ29" s="354">
        <f>Table2[[#This Row],[Total Control Bu MOSFET Loss]]+Table2[[#This Row],[Total Sync Bu MOSFET Loss]]+Table2[[#This Row],[Total Control Bo MOSFET Loss]]+Table2[[#This Row],[Total Sync Bo MOSFET Loss]]+Table2[[#This Row],[Reverse Recovery Loss MOSFET D BUCK]]+Table2[[#This Row],[Reverse Recovery Loss MOSFET D BOOST]]</f>
        <v>0.90995248195150424</v>
      </c>
      <c r="BR29" s="354">
        <f xml:space="preserve"> Table2[[#This Row],[Total Control Bu MOSFET Loss]]+Table2[[#This Row],[Reverse Recovery Loss MOSFET D BUCK]]*0.66</f>
        <v>0.63163075257159529</v>
      </c>
      <c r="BS29" s="354">
        <f>Table2[[#This Row],[Total Sync Bu MOSFET Loss]]+Table2[[#This Row],[Reverse Recovery Loss MOSFET D BUCK]]*0.33</f>
        <v>0.16368237738397232</v>
      </c>
      <c r="BT29" s="354">
        <f xml:space="preserve"> Table2[[#This Row],[Total Control Bo MOSFET Loss]]+Table2[[#This Row],[Reverse Recovery Loss MOSFET D BOOST]]*0.66</f>
        <v>6.6095126237968274E-2</v>
      </c>
      <c r="BU29" s="354">
        <f xml:space="preserve"> Table2[[#This Row],[Total Sync Bo MOSFET Loss]]+Table2[[#This Row],[Reverse Recovery Loss MOSFET D BOOST]]*0.33</f>
        <v>4.7411909597968274E-2</v>
      </c>
      <c r="BV29" s="354">
        <f>Table2[[#This Row],[Isense Shunt Loss]]</f>
        <v>1.6983314452664499E-2</v>
      </c>
      <c r="BZ29" t="s">
        <v>155</v>
      </c>
      <c r="CA29">
        <v>9.9987899999999996</v>
      </c>
      <c r="CB29">
        <v>0.1958</v>
      </c>
      <c r="CC29">
        <v>5.1217600000000001</v>
      </c>
      <c r="CD29">
        <v>75.662516566515876</v>
      </c>
      <c r="CE29">
        <v>322.57199766699983</v>
      </c>
    </row>
    <row r="30" spans="1:92" x14ac:dyDescent="0.2">
      <c r="A30" s="22" t="s">
        <v>64</v>
      </c>
      <c r="B30" s="27">
        <f>RdsonDRB</f>
        <v>1.5</v>
      </c>
      <c r="C30" s="444" t="s">
        <v>118</v>
      </c>
      <c r="D30" s="440" t="s">
        <v>678</v>
      </c>
      <c r="G30">
        <v>21</v>
      </c>
      <c r="H30" s="555">
        <f t="shared" si="0"/>
        <v>23.6</v>
      </c>
      <c r="I30" s="4" t="str">
        <f>IF(Mode = 2,IF(Table2[[#This Row],[Vin]]&gt;Vout, "BUCK","BOOST"),IF(Table2[[#This Row],[Vin]]&gt;VIN_BB_to_buck, "BUCK", IF(Table2[[#This Row],[Vin]]&lt;=VIN_boost_to_BB,"BOOST","BUCK-BST")))</f>
        <v>BUCK</v>
      </c>
      <c r="J30">
        <f>IF(Table2[[#This Row],[Mode]]="BOOST",2, IF(Table2[[#This Row],[Mode]]="BUCK", 1,3))</f>
        <v>1</v>
      </c>
      <c r="K30" s="354">
        <f t="shared" si="3"/>
        <v>2.52</v>
      </c>
      <c r="L30" s="4">
        <f>Vout*Table2[[#This Row],[Iout]]/(Table2[[#This Row],[Vin]]*Efficiency)</f>
        <v>1.6410347903657447</v>
      </c>
      <c r="M30" s="711">
        <f>MIN(1/Fsw,CHOOSE(Table2[[#This Row],[Mode Digit]],(Vout+(Rdson2+Rs+Rdcr)*Table2[[#This Row],[Iout]])/(Table2[[#This Row],[Vin]]+(Rs+Rdson2-Rdson1)*Table2[[#This Row],[Iout]])/Fsw,(Vout+(Rdson3+Rdcr)*Table2[[#This Row],[Iin]]-Table2[[#This Row],[Vin]])/(Vout+(Rdson3-Rdson4-Rs)*Table2[[#This Row],[Iin]])/Fsw,t1_Ph_II))</f>
        <v>1.0330222581824907E-6</v>
      </c>
      <c r="N30" s="602">
        <f>CHOOSE(Table2[[#This Row],[Mode Digit]],1/Fsw-Table2[[#This Row],[t1_Ph_II]],1/Fsw-Table2[[#This Row],[t1_Ph_II]],(Vout/Fsw-Table2[[#This Row],[Vin]]*t1_Ph_II)/(Table2[[#This Row],[Vin]]+Vout))</f>
        <v>6.33644408484176E-7</v>
      </c>
      <c r="O30" s="602">
        <f>1/Fsw-(Table2[[#This Row],[t1_Ph_II]]+Table2[[#This Row],[t2_Ph_I]])</f>
        <v>0</v>
      </c>
      <c r="P3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0.7591666053707542</v>
      </c>
      <c r="Q30" s="4">
        <f>CHOOSE(Table2[[#This Row],[Mode Digit]],Table2[[#This Row],[I_0]]+1/Lf*(Table2[[#This Row],[Vin]]-Vout)*Table2[[#This Row],[t1_Ph_II]],Table2[[#This Row],[I_0]]+1/Lf*Table2[[#This Row],[Vin]]*Table2[[#This Row],[t1_Ph_II]],Table2[[#This Row],[I_0]]+(Table2[[#This Row],[Vin]]-Vout)/L*Table2[[#This Row],[t1_Ph_II]])</f>
        <v>4.2808333946292461</v>
      </c>
      <c r="R30" s="4">
        <f>CHOOSE(Table2[[#This Row],[Mode Digit]],0,0,Table2[[#This Row],[I_1]]+Table2[[#This Row],[Vin]]/L*Table2[[#This Row],[t2_Ph_I]])</f>
        <v>0</v>
      </c>
      <c r="S30" s="409">
        <f>Fsw*(Table2[[#This Row],[I_0]]*Table2[[#This Row],[t1_Ph_II]]+Table2[[#This Row],[I_1]]*Table2[[#This Row],[t2_Ph_I]]+Table2[[#This Row],[I_2]]*Table2[[#This Row],[t3_Ph_III]])</f>
        <v>2.0980572871055929</v>
      </c>
      <c r="T30" s="354">
        <f>MIN(1,CHOOSE(Table2[[#This Row],[Mode Digit]],(Vout+(Rdson2+Rs+Rdcr)*Table2[[#This Row],[Iout]])/(Table2[[#This Row],[Vin]]+(Rs+Rdson2-Rdson1)*Table2[[#This Row],[Iout]]),1,Fsw*Table2[[#This Row],[t2_Ph_I]]+Table2[[#This Row],[t1_Ph_II]]))</f>
        <v>0.61981335490949441</v>
      </c>
      <c r="U30" s="354">
        <f>MIN(1,CHOOSE(Table2[[#This Row],[Mode Digit]],0,(Vout+(Rdson3+Rdcr)*Table2[[#This Row],[Iin]]-Table2[[#This Row],[Vin]])/(Vout+(Rdson3-Rdson4-Rs)*Table2[[#This Row],[Iin]]),Fsw*Table2[[#This Row],[t1_Ph_II]]+Table2[[#This Row],[t3_Ph_III]]))</f>
        <v>0</v>
      </c>
      <c r="V30" s="4">
        <f>MAX(Table2[[#This Row],[I_0]:[I_2]])-MIN(Table2[[#This Row],[I_0]:[I_1]])</f>
        <v>3.5216667892584921</v>
      </c>
      <c r="W3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2.7173353518745502</v>
      </c>
      <c r="X30" s="354">
        <f>(Table2[[#This Row],[Irms Lf]]^2*Rdcr*(1+Ltc*Ta-Ltc*25))/(1-Table2[[#This Row],[Irms Lf]]^2*Rdcr*Ltc*ThetaCa)</f>
        <v>4.2973920653557797E-2</v>
      </c>
      <c r="Y30" s="354">
        <f>ABS(7.759*10^-3*Fsw^0.9458*(0.00787*Table2[[#This Row],[Ripple Current pk-pk]])^2.304)</f>
        <v>0.58454100645139873</v>
      </c>
      <c r="Z30" s="354">
        <f>Table2[[#This Row],[DCR    Loss]]+Table2[[#This Row],[Core Loss]]</f>
        <v>0.62751492710495649</v>
      </c>
      <c r="AA30" s="4">
        <f>IF(Table2[[#This Row],[Vin]]&gt;Vout, Table2[[#This Row],[Ripple Current pk-pk]]/SQRT(12), SQRT(Table2[[#This Row],[Duty Cycle BOOST Leg]]/(1-Table2[[#This Row],[Duty Cycle BOOST Leg]]))*SQRT(Table2[[#This Row],[Iout]]^2+(Table2[[#This Row],[Ripple Current pk-pk]]^2)/12))</f>
        <v>1.0166176343872777</v>
      </c>
      <c r="AB30" s="354">
        <f>RCoutEsr*Table2[[#This Row],[Irms Cout]]^2</f>
        <v>5.1675570727359238E-3</v>
      </c>
      <c r="AC30" s="354">
        <f>Table2[[#This Row],[Cout ESR Loss]]</f>
        <v>5.1675570727359238E-3</v>
      </c>
      <c r="AD30" s="4">
        <f>IF(Table2[[#This Row],[Vin]]&gt;Vout, SQRT(Table2[[#This Row],[Duty Cycle BUCK Leg]]*(1-Table2[[#This Row],[Duty Cycle BUCK Leg]]))*SQRT(Table2[[#This Row],[Iout]]^2+(Table2[[#This Row],[Ripple Current pk-pk]]^2)/12), Table2[[#This Row],[Ripple Current pk-pk]]/SQRT(12))</f>
        <v>1.319083027346619</v>
      </c>
      <c r="AE30" s="354">
        <f>RCinEsr*Table2[[#This Row],[Irms Cin]]^2</f>
        <v>3.4799600660678424E-3</v>
      </c>
      <c r="AF30" s="549">
        <f>Table2[[#This Row],[Cin ESR Loss]]</f>
        <v>3.4799600660678424E-3</v>
      </c>
      <c r="AG30" s="354">
        <f>Table2[[#This Row],[Irms Lf]]</f>
        <v>2.7173353518745502</v>
      </c>
      <c r="AH30" s="354">
        <f>Rdson1*Table2[[#This Row],[Irms BuCtrl]]^2</f>
        <v>3.1012427941098184E-2</v>
      </c>
      <c r="AI30" s="354">
        <f>CHOOSE(Table2[[#This Row],[Mode Digit]], (Table2[[#This Row],[Vin]]*Table2[[#This Row],[Iout]]/2)*(Fsw)*(Tr_buck+Tf_buck), 0, (Table2[[#This Row],[Vin]]*Table2[[#This Row],[Avg IL]]/2)*(Fsw/1)*(Tr_buck+Tf_buck))</f>
        <v>0.58974617482319669</v>
      </c>
      <c r="AJ30">
        <f>IF(Table2[[#This Row],[Vin]]&gt;Vout, IF(Table2[[#This Row],[Iout]]&gt;Table2[[#This Row],[Ripple Current pk-pk]]/2,0,ABS(Table2[[#This Row],[Iout]]-Table2[[#This Row],[Ripple Current pk-pk]]/2)*Vsd_Q1*Deadtime*Fsw),0)</f>
        <v>0</v>
      </c>
      <c r="AK30" s="354">
        <f>(Table2[[#This Row],[Dead Time Loss BuCtrl]]+Table2[[#This Row],[Transition Loss BuCtrl]]+Table2[[#This Row],[RDS(on) Loss BuCtrl]]*(1+RdsonTopTc*Ta-RdsonTopTc*25))/(1-Table2[[#This Row],[RDS(on) Loss BuCtrl]]*RdsonTopTc*ThetaJA_Q1)</f>
        <v>0.62541354496347079</v>
      </c>
      <c r="AL30" s="354">
        <f>Table2[[#This Row],[Irms Lf]]</f>
        <v>2.7173353518745502</v>
      </c>
      <c r="AM30" s="354">
        <f>Rdson2*Table2[[#This Row],[Irms BuSync]]^2</f>
        <v>3.1012427941098184E-2</v>
      </c>
      <c r="AN3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0.12124799999999999</v>
      </c>
      <c r="AO30" s="354">
        <f>(Table2[[#This Row],[Deadtime Loss BuSync]]+Table2[[#This Row],[RDS(on) Loss BuSync]]*(1+RdsonBotTc*Ta-RdsonBotTc*25))/(1-Table2[[#This Row],[RDS(on) Loss BuSync]]*RdsonBotTc*ThetaJA_Q2)</f>
        <v>0.15340219784671272</v>
      </c>
      <c r="AP30" s="354">
        <f>Table2[[#This Row],[Irms Lf]]</f>
        <v>2.7173353518745502</v>
      </c>
      <c r="AQ30" s="354">
        <f>Rdson4*Table2[[#This Row],[Irms BoCtlr]]^2</f>
        <v>3.1012427941098184E-2</v>
      </c>
      <c r="AR30" s="354">
        <f>CHOOSE(Table2[[#This Row],[Mode Digit]], 0, (Vout*Table2[[#This Row],[Iin]]/2)*(Fsw)*(Tr_boost+Tf_boost), (Vout*Iout/2)*(Fsw/1)*(Tr_boost+Tf_boost))</f>
        <v>0</v>
      </c>
      <c r="AS30" s="354">
        <f>IF(Table2[[#This Row],[Vin]]&gt;Vout, 0, IF(Table2[[#This Row],[Iin]]&gt;Table2[[#This Row],[Ripple Current pk-pk]]/2,0,ABS(Table2[[#This Row],[Iin]]-Table2[[#This Row],[Ripple Current pk-pk]]/2)*Vsd_Q4*Deadtime*Fsw))</f>
        <v>0</v>
      </c>
      <c r="AT30" s="354">
        <f>(Table2[[#This Row],[Dead Time Loss BoCtlr]]+Table2[[#This Row],[Transition Loss BoCtlr]]+Table2[[#This Row],[RDS(on) Loss BoCtlr]]*(1+RdsonTopTc*Ta-RdsonTopTc*25))/(1-Table2[[#This Row],[RDS(on) Loss BoCtlr]]*RdsonTopTc*ThetaJA_Q4)</f>
        <v>3.1244983815280302E-2</v>
      </c>
      <c r="AU30" s="354">
        <f>Table2[[#This Row],[Irms Lf]]</f>
        <v>2.7173353518745502</v>
      </c>
      <c r="AV30" s="354">
        <f>Rdson3*Table2[[#This Row],[Irms BoSync]]^2</f>
        <v>3.1012427941098184E-2</v>
      </c>
      <c r="AW3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0" s="354">
        <f>(Table2[[#This Row],[Deadtime Loss BoSync]]+Table2[[#This Row],[RDS(on) Loss BoSync]]*(1+RdsonBotTc*Ta-RdsonBotTc*25))/(1-Table2[[#This Row],[RDS(on) Loss BoSync]]*RdsonBotTc*ThetaJA_Q3)</f>
        <v>3.1244983815280302E-2</v>
      </c>
      <c r="AY30" s="354">
        <f>CHOOSE(Table2[[#This Row],[Mode Digit]], Rdson3*Table2[[#This Row],[Irms Lf]]^2, Rdson1*Table2[[#This Row],[Irms Lf]]^2, 0)</f>
        <v>3.1012427941098184E-2</v>
      </c>
      <c r="AZ30" s="354">
        <f>CHOOSE(Table2[[#This Row],[Mode Digit]], 2*Deadtime*Fsw*IF(VfdSky_Q2&gt;0,VfdSky_Q2,0)*Table2[[#This Row],[Iout]], 2*Deadtime*Fsw*IF(VfdSky_Q3&gt;0,VfdSky_Q3,0)*Table2[[#This Row],[Iin]], 2*Deadtime*Fsw*IF(VfdSky_Q2&gt;0,VfdSky_Q2,0)*Table2[[#This Row],[Iout]]+2*Deadtime*Fsw*IF(VfdSky_Q3&gt;0,VfdSky_Q3,0)*Table2[[#This Row],[Iin]])</f>
        <v>0</v>
      </c>
      <c r="BA3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5.9445328320000004E-2</v>
      </c>
      <c r="BB3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5.9445328320000004E-2</v>
      </c>
      <c r="BC30" s="354">
        <f>CHOOSE(Table2[[#This Row],[Mode Digit]], Rs*Table2[[#This Row],[Irms BuSync]]^2, Rs*Table2[[#This Row],[Irms BoCtlr]]^2, Rs*(Table2[[#This Row],[Irms BuSync]]^2+Table2[[#This Row],[Irms BoCtlr]]^2))</f>
        <v>1.8459778536367964E-2</v>
      </c>
      <c r="BD30" s="354">
        <f t="shared" si="1"/>
        <v>1.44</v>
      </c>
      <c r="BE30" s="354">
        <f>IF(Vout&gt;8, Iq*Vout, Iq*Table2[[#This Row],[Vin]])</f>
        <v>4.3799999999999999E-2</v>
      </c>
      <c r="BF30" s="354">
        <f>CHOOSE(Table2[[#This Row],[Mode Digit]], (Qg_Q1+Qg_Q2)*Fsw, (Qg_Q3+Qg_Q4)*Fsw, (Qg_Q1+Qg_Q2+Qg_Q3+Qg_Q4)*Fsw)*IF(Vout&gt;8, Vout, Table2[[#This Row],[Vin]])</f>
        <v>0.47303999999999996</v>
      </c>
      <c r="BG30" s="354">
        <f t="shared" si="4"/>
        <v>0.57269042016806726</v>
      </c>
      <c r="BH30" s="354">
        <f>Table2[[#This Row],[IQ Loss]]+Table2[[#This Row],[Switching Current Loss]]</f>
        <v>0.51683999999999997</v>
      </c>
      <c r="BI3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3.5716585898608728</v>
      </c>
      <c r="BJ30">
        <f>Vout*Table2[[#This Row],[Iout]]</f>
        <v>36.792000000000002</v>
      </c>
      <c r="BK30" s="550">
        <f>Table2[[#This Row],[Pout]]/(Table2[[#This Row],[Pout]]+Table2[[#This Row],[Total Loss]])</f>
        <v>0.91151301158914133</v>
      </c>
      <c r="BL30" s="559">
        <f>IF(Table2[[#This Row],[Vin]]&gt;Vout,ThetaJA_Q1*(Table2[[#This Row],[Total Control Bu MOSFET Loss]]+Table2[[#This Row],[Reverse Recovery Loss MOSFET D BUCK]]),ThetaJA_Q4*(Table2[[#This Row],[Total Control Bo MOSFET Loss]]+Table2[[#This Row],[Reverse Recovery Loss MOSFET D BOOST]]))</f>
        <v>41.091532397008251</v>
      </c>
      <c r="BM30" s="559">
        <f>IF(Table2[[#This Row],[Vin]]&gt;Vout, Table2[[#This Row],[Total Sync Bu MOSFET Loss]]*ThetaJA_Q2, ThetaJA_Q3*Table2[[#This Row],[Total Sync Bo MOSFET Loss]])</f>
        <v>9.2041318708027635</v>
      </c>
      <c r="BN30" s="9"/>
      <c r="BO30" s="4">
        <f>Table2[[#This Row],[EFF, h]]*100</f>
        <v>91.151301158914137</v>
      </c>
      <c r="BP30" s="354">
        <f>Table2[[#This Row],[Total Inductor Loss]]</f>
        <v>0.62751492710495649</v>
      </c>
      <c r="BQ30" s="354">
        <f>Table2[[#This Row],[Total Control Bu MOSFET Loss]]+Table2[[#This Row],[Total Sync Bu MOSFET Loss]]+Table2[[#This Row],[Total Control Bo MOSFET Loss]]+Table2[[#This Row],[Total Sync Bo MOSFET Loss]]+Table2[[#This Row],[Reverse Recovery Loss MOSFET D BUCK]]+Table2[[#This Row],[Reverse Recovery Loss MOSFET D BOOST]]</f>
        <v>0.96019636708074418</v>
      </c>
      <c r="BR30" s="354">
        <f xml:space="preserve"> Table2[[#This Row],[Total Control Bu MOSFET Loss]]+Table2[[#This Row],[Reverse Recovery Loss MOSFET D BUCK]]*0.66</f>
        <v>0.66464746165467081</v>
      </c>
      <c r="BS30" s="354">
        <f>Table2[[#This Row],[Total Sync Bu MOSFET Loss]]+Table2[[#This Row],[Reverse Recovery Loss MOSFET D BUCK]]*0.33</f>
        <v>0.17301915619231273</v>
      </c>
      <c r="BT30" s="354">
        <f xml:space="preserve"> Table2[[#This Row],[Total Control Bo MOSFET Loss]]+Table2[[#This Row],[Reverse Recovery Loss MOSFET D BOOST]]*0.66</f>
        <v>7.0478900506480313E-2</v>
      </c>
      <c r="BU30" s="354">
        <f xml:space="preserve"> Table2[[#This Row],[Total Sync Bo MOSFET Loss]]+Table2[[#This Row],[Reverse Recovery Loss MOSFET D BOOST]]*0.33</f>
        <v>5.0861942160880302E-2</v>
      </c>
      <c r="BV30" s="354">
        <f>Table2[[#This Row],[Isense Shunt Loss]]</f>
        <v>1.8459778536367964E-2</v>
      </c>
      <c r="CA30">
        <v>9.9987659999999998</v>
      </c>
      <c r="CB30">
        <v>0.2681</v>
      </c>
      <c r="CC30">
        <v>5.1224080000000001</v>
      </c>
      <c r="CD30">
        <v>80.957553445887683</v>
      </c>
      <c r="CE30">
        <v>323.02506068319997</v>
      </c>
    </row>
    <row r="31" spans="1:92" x14ac:dyDescent="0.2">
      <c r="A31" s="22" t="s">
        <v>147</v>
      </c>
      <c r="B31" s="27">
        <v>1</v>
      </c>
      <c r="C31" s="444" t="s">
        <v>118</v>
      </c>
      <c r="D31" s="440" t="s">
        <v>677</v>
      </c>
      <c r="G31">
        <v>22</v>
      </c>
      <c r="H31" s="555">
        <f t="shared" si="0"/>
        <v>23.6</v>
      </c>
      <c r="I31" s="4" t="str">
        <f>IF(Mode = 2,IF(Table2[[#This Row],[Vin]]&gt;Vout, "BUCK","BOOST"),IF(Table2[[#This Row],[Vin]]&gt;VIN_BB_to_buck, "BUCK", IF(Table2[[#This Row],[Vin]]&lt;=VIN_boost_to_BB,"BOOST","BUCK-BST")))</f>
        <v>BUCK</v>
      </c>
      <c r="J31">
        <f>IF(Table2[[#This Row],[Mode]]="BOOST",2, IF(Table2[[#This Row],[Mode]]="BUCK", 1,3))</f>
        <v>1</v>
      </c>
      <c r="K31" s="354">
        <f t="shared" si="3"/>
        <v>2.64</v>
      </c>
      <c r="L31" s="4">
        <f>Vout*Table2[[#This Row],[Iout]]/(Table2[[#This Row],[Vin]]*Efficiency)</f>
        <v>1.7191793041926851</v>
      </c>
      <c r="M31" s="711">
        <f>MIN(1/Fsw,CHOOSE(Table2[[#This Row],[Mode Digit]],(Vout+(Rdson2+Rs+Rdcr)*Table2[[#This Row],[Iout]])/(Table2[[#This Row],[Vin]]+(Rs+Rdson2-Rdson1)*Table2[[#This Row],[Iout]])/Fsw,(Vout+(Rdson3+Rdcr)*Table2[[#This Row],[Iin]]-Table2[[#This Row],[Vin]])/(Vout+(Rdson3-Rdson4-Rs)*Table2[[#This Row],[Iin]])/Fsw,t1_Ph_II))</f>
        <v>1.033115032801561E-6</v>
      </c>
      <c r="N31" s="602">
        <f>CHOOSE(Table2[[#This Row],[Mode Digit]],1/Fsw-Table2[[#This Row],[t1_Ph_II]],1/Fsw-Table2[[#This Row],[t1_Ph_II]],(Vout/Fsw-Table2[[#This Row],[Vin]]*t1_Ph_II)/(Table2[[#This Row],[Vin]]+Vout))</f>
        <v>6.3355163386510561E-7</v>
      </c>
      <c r="O31" s="602">
        <f>1/Fsw-(Table2[[#This Row],[t1_Ph_II]]+Table2[[#This Row],[t2_Ph_I]])</f>
        <v>0</v>
      </c>
      <c r="P3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0.87900846681552069</v>
      </c>
      <c r="Q31" s="4">
        <f>CHOOSE(Table2[[#This Row],[Mode Digit]],Table2[[#This Row],[I_0]]+1/Lf*(Table2[[#This Row],[Vin]]-Vout)*Table2[[#This Row],[t1_Ph_II]],Table2[[#This Row],[I_0]]+1/Lf*Table2[[#This Row],[Vin]]*Table2[[#This Row],[t1_Ph_II]],Table2[[#This Row],[I_0]]+(Table2[[#This Row],[Vin]]-Vout)/L*Table2[[#This Row],[t1_Ph_II]])</f>
        <v>4.4009915331844791</v>
      </c>
      <c r="R31" s="4">
        <f>CHOOSE(Table2[[#This Row],[Mode Digit]],0,0,Table2[[#This Row],[I_1]]+Table2[[#This Row],[Vin]]/L*Table2[[#This Row],[t2_Ph_I]])</f>
        <v>0</v>
      </c>
      <c r="S31" s="409">
        <f>Fsw*(Table2[[#This Row],[I_0]]*Table2[[#This Row],[t1_Ph_II]]+Table2[[#This Row],[I_1]]*Table2[[#This Row],[t2_Ph_I]]+Table2[[#This Row],[I_2]]*Table2[[#This Row],[t3_Ph_III]])</f>
        <v>2.2178233425014935</v>
      </c>
      <c r="T31" s="354">
        <f>MIN(1,CHOOSE(Table2[[#This Row],[Mode Digit]],(Vout+(Rdson2+Rs+Rdcr)*Table2[[#This Row],[Iout]])/(Table2[[#This Row],[Vin]]+(Rs+Rdson2-Rdson1)*Table2[[#This Row],[Iout]]),1,Fsw*Table2[[#This Row],[t2_Ph_I]]+Table2[[#This Row],[t1_Ph_II]]))</f>
        <v>0.61986901968093666</v>
      </c>
      <c r="U31" s="354">
        <f>MIN(1,CHOOSE(Table2[[#This Row],[Mode Digit]],0,(Vout+(Rdson3+Rdcr)*Table2[[#This Row],[Iin]]-Table2[[#This Row],[Vin]])/(Vout+(Rdson3-Rdson4-Rs)*Table2[[#This Row],[Iin]]),Fsw*Table2[[#This Row],[t1_Ph_II]]+Table2[[#This Row],[t3_Ph_III]]))</f>
        <v>0</v>
      </c>
      <c r="V31" s="4">
        <f>MAX(Table2[[#This Row],[I_0]:[I_2]])-MIN(Table2[[#This Row],[I_0]:[I_1]])</f>
        <v>3.5219830663689584</v>
      </c>
      <c r="W3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2.8290099080742848</v>
      </c>
      <c r="X31" s="354">
        <f>(Table2[[#This Row],[Irms Lf]]^2*Rdcr*(1+Ltc*Ta-Ltc*25))/(1-Table2[[#This Row],[Irms Lf]]^2*Rdcr*Ltc*ThetaCa)</f>
        <v>4.6592144265744567E-2</v>
      </c>
      <c r="Y31" s="354">
        <f>ABS(7.759*10^-3*Fsw^0.9458*(0.00787*Table2[[#This Row],[Ripple Current pk-pk]])^2.304)</f>
        <v>0.58466196662128955</v>
      </c>
      <c r="Z31" s="354">
        <f>Table2[[#This Row],[DCR    Loss]]+Table2[[#This Row],[Core Loss]]</f>
        <v>0.63125411088703409</v>
      </c>
      <c r="AA31" s="4">
        <f>IF(Table2[[#This Row],[Vin]]&gt;Vout, Table2[[#This Row],[Ripple Current pk-pk]]/SQRT(12), SQRT(Table2[[#This Row],[Duty Cycle BOOST Leg]]/(1-Table2[[#This Row],[Duty Cycle BOOST Leg]]))*SQRT(Table2[[#This Row],[Iout]]^2+(Table2[[#This Row],[Ripple Current pk-pk]]^2)/12))</f>
        <v>1.016708935724711</v>
      </c>
      <c r="AB31" s="354">
        <f>RCoutEsr*Table2[[#This Row],[Irms Cout]]^2</f>
        <v>5.1684852999123723E-3</v>
      </c>
      <c r="AC31" s="354">
        <f>Table2[[#This Row],[Cout ESR Loss]]</f>
        <v>5.1684852999123723E-3</v>
      </c>
      <c r="AD31" s="4">
        <f>IF(Table2[[#This Row],[Vin]]&gt;Vout, SQRT(Table2[[#This Row],[Duty Cycle BUCK Leg]]*(1-Table2[[#This Row],[Duty Cycle BUCK Leg]]))*SQRT(Table2[[#This Row],[Iout]]^2+(Table2[[#This Row],[Ripple Current pk-pk]]^2)/12), Table2[[#This Row],[Ripple Current pk-pk]]/SQRT(12))</f>
        <v>1.3732546143687812</v>
      </c>
      <c r="AE31" s="354">
        <f>RCinEsr*Table2[[#This Row],[Irms Cin]]^2</f>
        <v>3.7716564717702999E-3</v>
      </c>
      <c r="AF31" s="549">
        <f>Table2[[#This Row],[Cin ESR Loss]]</f>
        <v>3.7716564717702999E-3</v>
      </c>
      <c r="AG31" s="354">
        <f>Table2[[#This Row],[Irms Lf]]</f>
        <v>2.8290099080742848</v>
      </c>
      <c r="AH31" s="354">
        <f>Rdson1*Table2[[#This Row],[Irms BuCtrl]]^2</f>
        <v>3.3613847651926397E-2</v>
      </c>
      <c r="AI31" s="354">
        <f>CHOOSE(Table2[[#This Row],[Mode Digit]], (Table2[[#This Row],[Vin]]*Table2[[#This Row],[Iout]]/2)*(Fsw)*(Tr_buck+Tf_buck), 0, (Table2[[#This Row],[Vin]]*Table2[[#This Row],[Avg IL]]/2)*(Fsw/1)*(Tr_buck+Tf_buck))</f>
        <v>0.61782932600525386</v>
      </c>
      <c r="AJ31">
        <f>IF(Table2[[#This Row],[Vin]]&gt;Vout, IF(Table2[[#This Row],[Iout]]&gt;Table2[[#This Row],[Ripple Current pk-pk]]/2,0,ABS(Table2[[#This Row],[Iout]]-Table2[[#This Row],[Ripple Current pk-pk]]/2)*Vsd_Q1*Deadtime*Fsw),0)</f>
        <v>0</v>
      </c>
      <c r="AK31" s="354">
        <f>(Table2[[#This Row],[Dead Time Loss BuCtrl]]+Table2[[#This Row],[Transition Loss BuCtrl]]+Table2[[#This Row],[RDS(on) Loss BuCtrl]]*(1+RdsonTopTc*Ta-RdsonTopTc*25))/(1-Table2[[#This Row],[RDS(on) Loss BuCtrl]]*RdsonTopTc*ThetaJA_Q1)</f>
        <v>0.65674131828588111</v>
      </c>
      <c r="AL31" s="354">
        <f>Table2[[#This Row],[Irms Lf]]</f>
        <v>2.8290099080742848</v>
      </c>
      <c r="AM31" s="354">
        <f>Rdson2*Table2[[#This Row],[Irms BuSync]]^2</f>
        <v>3.3613847651926397E-2</v>
      </c>
      <c r="AN3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0.12702171428571429</v>
      </c>
      <c r="AO31" s="354">
        <f>(Table2[[#This Row],[Deadtime Loss BuSync]]+Table2[[#This Row],[RDS(on) Loss BuSync]]*(1+RdsonBotTc*Ta-RdsonBotTc*25))/(1-Table2[[#This Row],[RDS(on) Loss BuSync]]*RdsonBotTc*ThetaJA_Q2)</f>
        <v>0.1619420004330821</v>
      </c>
      <c r="AP31" s="354">
        <f>Table2[[#This Row],[Irms Lf]]</f>
        <v>2.8290099080742848</v>
      </c>
      <c r="AQ31" s="354">
        <f>Rdson4*Table2[[#This Row],[Irms BoCtlr]]^2</f>
        <v>3.3613847651926397E-2</v>
      </c>
      <c r="AR31" s="354">
        <f>CHOOSE(Table2[[#This Row],[Mode Digit]], 0, (Vout*Table2[[#This Row],[Iin]]/2)*(Fsw)*(Tr_boost+Tf_boost), (Vout*Iout/2)*(Fsw/1)*(Tr_boost+Tf_boost))</f>
        <v>0</v>
      </c>
      <c r="AS31" s="354">
        <f>IF(Table2[[#This Row],[Vin]]&gt;Vout, 0, IF(Table2[[#This Row],[Iin]]&gt;Table2[[#This Row],[Ripple Current pk-pk]]/2,0,ABS(Table2[[#This Row],[Iin]]-Table2[[#This Row],[Ripple Current pk-pk]]/2)*Vsd_Q4*Deadtime*Fsw))</f>
        <v>0</v>
      </c>
      <c r="AT31" s="354">
        <f>(Table2[[#This Row],[Dead Time Loss BoCtlr]]+Table2[[#This Row],[Transition Loss BoCtlr]]+Table2[[#This Row],[RDS(on) Loss BoCtlr]]*(1+RdsonTopTc*Ta-RdsonTopTc*25))/(1-Table2[[#This Row],[RDS(on) Loss BoCtlr]]*RdsonTopTc*ThetaJA_Q4)</f>
        <v>3.3887226871463269E-2</v>
      </c>
      <c r="AU31" s="354">
        <f>Table2[[#This Row],[Irms Lf]]</f>
        <v>2.8290099080742848</v>
      </c>
      <c r="AV31" s="354">
        <f>Rdson3*Table2[[#This Row],[Irms BoSync]]^2</f>
        <v>3.3613847651926397E-2</v>
      </c>
      <c r="AW3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1" s="354">
        <f>(Table2[[#This Row],[Deadtime Loss BoSync]]+Table2[[#This Row],[RDS(on) Loss BoSync]]*(1+RdsonBotTc*Ta-RdsonBotTc*25))/(1-Table2[[#This Row],[RDS(on) Loss BoSync]]*RdsonBotTc*ThetaJA_Q3)</f>
        <v>3.3887226871463269E-2</v>
      </c>
      <c r="AY31" s="354">
        <f>CHOOSE(Table2[[#This Row],[Mode Digit]], Rdson3*Table2[[#This Row],[Irms Lf]]^2, Rdson1*Table2[[#This Row],[Irms Lf]]^2, 0)</f>
        <v>3.3613847651926397E-2</v>
      </c>
      <c r="AZ31" s="354">
        <f>CHOOSE(Table2[[#This Row],[Mode Digit]], 2*Deadtime*Fsw*IF(VfdSky_Q2&gt;0,VfdSky_Q2,0)*Table2[[#This Row],[Iout]], 2*Deadtime*Fsw*IF(VfdSky_Q3&gt;0,VfdSky_Q3,0)*Table2[[#This Row],[Iin]], 2*Deadtime*Fsw*IF(VfdSky_Q2&gt;0,VfdSky_Q2,0)*Table2[[#This Row],[Iout]]+2*Deadtime*Fsw*IF(VfdSky_Q3&gt;0,VfdSky_Q3,0)*Table2[[#This Row],[Iin]])</f>
        <v>0</v>
      </c>
      <c r="BA3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6.227472768000001E-2</v>
      </c>
      <c r="BB3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6.227472768000001E-2</v>
      </c>
      <c r="BC31" s="354">
        <f>CHOOSE(Table2[[#This Row],[Mode Digit]], Rs*Table2[[#This Row],[Irms BuSync]]^2, Rs*Table2[[#This Row],[Irms BoCtlr]]^2, Rs*(Table2[[#This Row],[Irms BuSync]]^2+Table2[[#This Row],[Irms BoCtlr]]^2))</f>
        <v>2.0008242649956185E-2</v>
      </c>
      <c r="BD31" s="354">
        <f t="shared" si="1"/>
        <v>1.44</v>
      </c>
      <c r="BE31" s="354">
        <f>IF(Vout&gt;8, Iq*Vout, Iq*Table2[[#This Row],[Vin]])</f>
        <v>4.3799999999999999E-2</v>
      </c>
      <c r="BF31" s="354">
        <f>CHOOSE(Table2[[#This Row],[Mode Digit]], (Qg_Q1+Qg_Q2)*Fsw, (Qg_Q3+Qg_Q4)*Fsw, (Qg_Q1+Qg_Q2+Qg_Q3+Qg_Q4)*Fsw)*IF(Vout&gt;8, Vout, Table2[[#This Row],[Vin]])</f>
        <v>0.47303999999999996</v>
      </c>
      <c r="BG31" s="354">
        <f t="shared" si="4"/>
        <v>0.57269042016806726</v>
      </c>
      <c r="BH31" s="354">
        <f>Table2[[#This Row],[IQ Loss]]+Table2[[#This Row],[Switching Current Loss]]</f>
        <v>0.51683999999999997</v>
      </c>
      <c r="BI3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3.6280497231305624</v>
      </c>
      <c r="BJ31">
        <f>Vout*Table2[[#This Row],[Iout]]</f>
        <v>38.544000000000004</v>
      </c>
      <c r="BK31" s="550">
        <f>Table2[[#This Row],[Pout]]/(Table2[[#This Row],[Pout]]+Table2[[#This Row],[Total Loss]])</f>
        <v>0.91397027777996165</v>
      </c>
      <c r="BL31" s="559">
        <f>IF(Table2[[#This Row],[Vin]]&gt;Vout,ThetaJA_Q1*(Table2[[#This Row],[Total Control Bu MOSFET Loss]]+Table2[[#This Row],[Reverse Recovery Loss MOSFET D BUCK]]),ThetaJA_Q4*(Table2[[#This Row],[Total Control Bo MOSFET Loss]]+Table2[[#This Row],[Reverse Recovery Loss MOSFET D BOOST]]))</f>
        <v>43.140962757952863</v>
      </c>
      <c r="BM31" s="559">
        <f>IF(Table2[[#This Row],[Vin]]&gt;Vout, Table2[[#This Row],[Total Sync Bu MOSFET Loss]]*ThetaJA_Q2, ThetaJA_Q3*Table2[[#This Row],[Total Sync Bo MOSFET Loss]])</f>
        <v>9.7165200259849254</v>
      </c>
      <c r="BN31" s="9"/>
      <c r="BO31" s="4">
        <f>Table2[[#This Row],[EFF, h]]*100</f>
        <v>91.397027777996158</v>
      </c>
      <c r="BP31" s="354">
        <f>Table2[[#This Row],[Total Inductor Loss]]</f>
        <v>0.63125411088703409</v>
      </c>
      <c r="BQ31" s="354">
        <f>Table2[[#This Row],[Total Control Bu MOSFET Loss]]+Table2[[#This Row],[Total Sync Bu MOSFET Loss]]+Table2[[#This Row],[Total Control Bo MOSFET Loss]]+Table2[[#This Row],[Total Sync Bo MOSFET Loss]]+Table2[[#This Row],[Reverse Recovery Loss MOSFET D BUCK]]+Table2[[#This Row],[Reverse Recovery Loss MOSFET D BOOST]]</f>
        <v>1.0110072278218898</v>
      </c>
      <c r="BR31" s="354">
        <f xml:space="preserve"> Table2[[#This Row],[Total Control Bu MOSFET Loss]]+Table2[[#This Row],[Reverse Recovery Loss MOSFET D BUCK]]*0.66</f>
        <v>0.69784263855468109</v>
      </c>
      <c r="BS31" s="354">
        <f>Table2[[#This Row],[Total Sync Bu MOSFET Loss]]+Table2[[#This Row],[Reverse Recovery Loss MOSFET D BUCK]]*0.33</f>
        <v>0.18249266056748209</v>
      </c>
      <c r="BT31" s="354">
        <f xml:space="preserve"> Table2[[#This Row],[Total Control Bo MOSFET Loss]]+Table2[[#This Row],[Reverse Recovery Loss MOSFET D BOOST]]*0.66</f>
        <v>7.4988547140263276E-2</v>
      </c>
      <c r="BU31" s="354">
        <f xml:space="preserve"> Table2[[#This Row],[Total Sync Bo MOSFET Loss]]+Table2[[#This Row],[Reverse Recovery Loss MOSFET D BOOST]]*0.33</f>
        <v>5.4437887005863272E-2</v>
      </c>
      <c r="BV31" s="354">
        <f>Table2[[#This Row],[Isense Shunt Loss]]</f>
        <v>2.0008242649956185E-2</v>
      </c>
      <c r="CA31">
        <v>9.998704</v>
      </c>
      <c r="CB31">
        <v>0.36549999999999999</v>
      </c>
      <c r="CC31">
        <v>5.123094</v>
      </c>
      <c r="CD31">
        <v>85.419022273213088</v>
      </c>
      <c r="CE31">
        <v>319.63300692320018</v>
      </c>
    </row>
    <row r="32" spans="1:92" x14ac:dyDescent="0.2">
      <c r="A32" s="24" t="s">
        <v>66</v>
      </c>
      <c r="B32" s="15" t="s">
        <v>113</v>
      </c>
      <c r="C32" s="24" t="s">
        <v>80</v>
      </c>
      <c r="D32" s="17" t="s">
        <v>109</v>
      </c>
      <c r="G32">
        <v>23</v>
      </c>
      <c r="H32" s="555">
        <f t="shared" si="0"/>
        <v>23.6</v>
      </c>
      <c r="I32" s="4" t="str">
        <f>IF(Mode = 2,IF(Table2[[#This Row],[Vin]]&gt;Vout, "BUCK","BOOST"),IF(Table2[[#This Row],[Vin]]&gt;VIN_BB_to_buck, "BUCK", IF(Table2[[#This Row],[Vin]]&lt;=VIN_boost_to_BB,"BOOST","BUCK-BST")))</f>
        <v>BUCK</v>
      </c>
      <c r="J32">
        <f>IF(Table2[[#This Row],[Mode]]="BOOST",2, IF(Table2[[#This Row],[Mode]]="BUCK", 1,3))</f>
        <v>1</v>
      </c>
      <c r="K32" s="354">
        <f t="shared" si="3"/>
        <v>2.76</v>
      </c>
      <c r="L32" s="4">
        <f>Vout*Table2[[#This Row],[Iout]]/(Table2[[#This Row],[Vin]]*Efficiency)</f>
        <v>1.7973238180196252</v>
      </c>
      <c r="M32" s="711">
        <f>MIN(1/Fsw,CHOOSE(Table2[[#This Row],[Mode Digit]],(Vout+(Rdson2+Rs+Rdcr)*Table2[[#This Row],[Iout]])/(Table2[[#This Row],[Vin]]+(Rs+Rdson2-Rdson1)*Table2[[#This Row],[Iout]])/Fsw,(Vout+(Rdson3+Rdcr)*Table2[[#This Row],[Iin]]-Table2[[#This Row],[Vin]])/(Vout+(Rdson3-Rdson4-Rs)*Table2[[#This Row],[Iin]])/Fsw,t1_Ph_II))</f>
        <v>1.0332078050626438E-6</v>
      </c>
      <c r="N32" s="602">
        <f>CHOOSE(Table2[[#This Row],[Mode Digit]],1/Fsw-Table2[[#This Row],[t1_Ph_II]],1/Fsw-Table2[[#This Row],[t1_Ph_II]],(Vout/Fsw-Table2[[#This Row],[Vin]]*t1_Ph_II)/(Table2[[#This Row],[Vin]]+Vout))</f>
        <v>6.3345886160402291E-7</v>
      </c>
      <c r="O32" s="602">
        <f>1/Fsw-(Table2[[#This Row],[t1_Ph_II]]+Table2[[#This Row],[t2_Ph_I]])</f>
        <v>0</v>
      </c>
      <c r="P3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0.99885033227958409</v>
      </c>
      <c r="Q32" s="4">
        <f>CHOOSE(Table2[[#This Row],[Mode Digit]],Table2[[#This Row],[I_0]]+1/Lf*(Table2[[#This Row],[Vin]]-Vout)*Table2[[#This Row],[t1_Ph_II]],Table2[[#This Row],[I_0]]+1/Lf*Table2[[#This Row],[Vin]]*Table2[[#This Row],[t1_Ph_II]],Table2[[#This Row],[I_0]]+(Table2[[#This Row],[Vin]]-Vout)/L*Table2[[#This Row],[t1_Ph_II]])</f>
        <v>4.5211496677204153</v>
      </c>
      <c r="R32" s="4">
        <f>CHOOSE(Table2[[#This Row],[Mode Digit]],0,0,Table2[[#This Row],[I_1]]+Table2[[#This Row],[Vin]]/L*Table2[[#This Row],[t2_Ph_I]])</f>
        <v>0</v>
      </c>
      <c r="S32" s="409">
        <f>Fsw*(Table2[[#This Row],[I_0]]*Table2[[#This Row],[t1_Ph_II]]+Table2[[#This Row],[I_1]]*Table2[[#This Row],[t2_Ph_I]]+Table2[[#This Row],[I_2]]*Table2[[#This Row],[t3_Ph_III]])</f>
        <v>2.3375893686337577</v>
      </c>
      <c r="T32" s="354">
        <f>MIN(1,CHOOSE(Table2[[#This Row],[Mode Digit]],(Vout+(Rdson2+Rs+Rdcr)*Table2[[#This Row],[Iout]])/(Table2[[#This Row],[Vin]]+(Rs+Rdson2-Rdson1)*Table2[[#This Row],[Iout]]),1,Fsw*Table2[[#This Row],[t2_Ph_I]]+Table2[[#This Row],[t1_Ph_II]]))</f>
        <v>0.6199246830375863</v>
      </c>
      <c r="U32" s="354">
        <f>MIN(1,CHOOSE(Table2[[#This Row],[Mode Digit]],0,(Vout+(Rdson3+Rdcr)*Table2[[#This Row],[Iin]]-Table2[[#This Row],[Vin]])/(Vout+(Rdson3-Rdson4-Rs)*Table2[[#This Row],[Iin]]),Fsw*Table2[[#This Row],[t1_Ph_II]]+Table2[[#This Row],[t3_Ph_III]]))</f>
        <v>0</v>
      </c>
      <c r="V32" s="4">
        <f>MAX(Table2[[#This Row],[I_0]:[I_2]])-MIN(Table2[[#This Row],[I_0]:[I_1]])</f>
        <v>3.522299335440831</v>
      </c>
      <c r="W3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2.9413402926847101</v>
      </c>
      <c r="X32" s="354">
        <f>(Table2[[#This Row],[Irms Lf]]^2*Rdcr*(1+Ltc*Ta-Ltc*25))/(1-Table2[[#This Row],[Irms Lf]]^2*Rdcr*Ltc*ThetaCa)</f>
        <v>5.0380842973162095E-2</v>
      </c>
      <c r="Y32" s="354">
        <f>ABS(7.759*10^-3*Fsw^0.9458*(0.00787*Table2[[#This Row],[Ripple Current pk-pk]])^2.304)</f>
        <v>0.58478293788158497</v>
      </c>
      <c r="Z32" s="354">
        <f>Table2[[#This Row],[DCR    Loss]]+Table2[[#This Row],[Core Loss]]</f>
        <v>0.63516378085474712</v>
      </c>
      <c r="AA32" s="4">
        <f>IF(Table2[[#This Row],[Vin]]&gt;Vout, Table2[[#This Row],[Ripple Current pk-pk]]/SQRT(12), SQRT(Table2[[#This Row],[Duty Cycle BOOST Leg]]/(1-Table2[[#This Row],[Duty Cycle BOOST Leg]]))*SQRT(Table2[[#This Row],[Iout]]^2+(Table2[[#This Row],[Ripple Current pk-pk]]^2)/12))</f>
        <v>1.0168002347416019</v>
      </c>
      <c r="AB32" s="354">
        <f>RCoutEsr*Table2[[#This Row],[Irms Cout]]^2</f>
        <v>5.1694135868528834E-3</v>
      </c>
      <c r="AC32" s="354">
        <f>Table2[[#This Row],[Cout ESR Loss]]</f>
        <v>5.1694135868528834E-3</v>
      </c>
      <c r="AD32" s="4">
        <f>IF(Table2[[#This Row],[Vin]]&gt;Vout, SQRT(Table2[[#This Row],[Duty Cycle BUCK Leg]]*(1-Table2[[#This Row],[Duty Cycle BUCK Leg]]))*SQRT(Table2[[#This Row],[Iout]]^2+(Table2[[#This Row],[Ripple Current pk-pk]]^2)/12), Table2[[#This Row],[Ripple Current pk-pk]]/SQRT(12))</f>
        <v>1.4277414555693879</v>
      </c>
      <c r="AE32" s="354">
        <f>RCinEsr*Table2[[#This Row],[Irms Cin]]^2</f>
        <v>4.0768913279027891E-3</v>
      </c>
      <c r="AF32" s="549">
        <f>Table2[[#This Row],[Cin ESR Loss]]</f>
        <v>4.0768913279027891E-3</v>
      </c>
      <c r="AG32" s="354">
        <f>Table2[[#This Row],[Irms Lf]]</f>
        <v>2.9413402926847101</v>
      </c>
      <c r="AH32" s="354">
        <f>Rdson1*Table2[[#This Row],[Irms BuCtrl]]^2</f>
        <v>3.6336227412956425E-2</v>
      </c>
      <c r="AI32" s="354">
        <f>CHOOSE(Table2[[#This Row],[Mode Digit]], (Table2[[#This Row],[Vin]]*Table2[[#This Row],[Iout]]/2)*(Fsw)*(Tr_buck+Tf_buck), 0, (Table2[[#This Row],[Vin]]*Table2[[#This Row],[Avg IL]]/2)*(Fsw/1)*(Tr_buck+Tf_buck))</f>
        <v>0.64591247718731071</v>
      </c>
      <c r="AJ32">
        <f>IF(Table2[[#This Row],[Vin]]&gt;Vout, IF(Table2[[#This Row],[Iout]]&gt;Table2[[#This Row],[Ripple Current pk-pk]]/2,0,ABS(Table2[[#This Row],[Iout]]-Table2[[#This Row],[Ripple Current pk-pk]]/2)*Vsd_Q1*Deadtime*Fsw),0)</f>
        <v>0</v>
      </c>
      <c r="AK32" s="354">
        <f>(Table2[[#This Row],[Dead Time Loss BuCtrl]]+Table2[[#This Row],[Transition Loss BuCtrl]]+Table2[[#This Row],[RDS(on) Loss BuCtrl]]*(1+RdsonTopTc*Ta-RdsonTopTc*25))/(1-Table2[[#This Row],[RDS(on) Loss BuCtrl]]*RdsonTopTc*ThetaJA_Q1)</f>
        <v>0.68825072900174078</v>
      </c>
      <c r="AL32" s="354">
        <f>Table2[[#This Row],[Irms Lf]]</f>
        <v>2.9413402926847101</v>
      </c>
      <c r="AM32" s="354">
        <f>Rdson2*Table2[[#This Row],[Irms BuSync]]^2</f>
        <v>3.6336227412956425E-2</v>
      </c>
      <c r="AN3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0.13279542857142856</v>
      </c>
      <c r="AO32" s="354">
        <f>(Table2[[#This Row],[Deadtime Loss BuSync]]+Table2[[#This Row],[RDS(on) Loss BuSync]]*(1+RdsonBotTc*Ta-RdsonBotTc*25))/(1-Table2[[#This Row],[RDS(on) Loss BuSync]]*RdsonBotTc*ThetaJA_Q2)</f>
        <v>0.17061957720641896</v>
      </c>
      <c r="AP32" s="354">
        <f>Table2[[#This Row],[Irms Lf]]</f>
        <v>2.9413402926847101</v>
      </c>
      <c r="AQ32" s="354">
        <f>Rdson4*Table2[[#This Row],[Irms BoCtlr]]^2</f>
        <v>3.6336227412956425E-2</v>
      </c>
      <c r="AR32" s="354">
        <f>CHOOSE(Table2[[#This Row],[Mode Digit]], 0, (Vout*Table2[[#This Row],[Iin]]/2)*(Fsw)*(Tr_boost+Tf_boost), (Vout*Iout/2)*(Fsw/1)*(Tr_boost+Tf_boost))</f>
        <v>0</v>
      </c>
      <c r="AS32" s="354">
        <f>IF(Table2[[#This Row],[Vin]]&gt;Vout, 0, IF(Table2[[#This Row],[Iin]]&gt;Table2[[#This Row],[Ripple Current pk-pk]]/2,0,ABS(Table2[[#This Row],[Iin]]-Table2[[#This Row],[Ripple Current pk-pk]]/2)*Vsd_Q4*Deadtime*Fsw))</f>
        <v>0</v>
      </c>
      <c r="AT32" s="354">
        <f>(Table2[[#This Row],[Dead Time Loss BoCtlr]]+Table2[[#This Row],[Transition Loss BoCtlr]]+Table2[[#This Row],[RDS(on) Loss BoCtlr]]*(1+RdsonTopTc*Ta-RdsonTopTc*25))/(1-Table2[[#This Row],[RDS(on) Loss BoCtlr]]*RdsonTopTc*ThetaJA_Q4)</f>
        <v>3.6655892253826795E-2</v>
      </c>
      <c r="AU32" s="354">
        <f>Table2[[#This Row],[Irms Lf]]</f>
        <v>2.9413402926847101</v>
      </c>
      <c r="AV32" s="354">
        <f>Rdson3*Table2[[#This Row],[Irms BoSync]]^2</f>
        <v>3.6336227412956425E-2</v>
      </c>
      <c r="AW3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2" s="354">
        <f>(Table2[[#This Row],[Deadtime Loss BoSync]]+Table2[[#This Row],[RDS(on) Loss BoSync]]*(1+RdsonBotTc*Ta-RdsonBotTc*25))/(1-Table2[[#This Row],[RDS(on) Loss BoSync]]*RdsonBotTc*ThetaJA_Q3)</f>
        <v>3.6655892253826795E-2</v>
      </c>
      <c r="AY32" s="354">
        <f>CHOOSE(Table2[[#This Row],[Mode Digit]], Rdson3*Table2[[#This Row],[Irms Lf]]^2, Rdson1*Table2[[#This Row],[Irms Lf]]^2, 0)</f>
        <v>3.6336227412956425E-2</v>
      </c>
      <c r="AZ32" s="354">
        <f>CHOOSE(Table2[[#This Row],[Mode Digit]], 2*Deadtime*Fsw*IF(VfdSky_Q2&gt;0,VfdSky_Q2,0)*Table2[[#This Row],[Iout]], 2*Deadtime*Fsw*IF(VfdSky_Q3&gt;0,VfdSky_Q3,0)*Table2[[#This Row],[Iin]], 2*Deadtime*Fsw*IF(VfdSky_Q2&gt;0,VfdSky_Q2,0)*Table2[[#This Row],[Iout]]+2*Deadtime*Fsw*IF(VfdSky_Q3&gt;0,VfdSky_Q3,0)*Table2[[#This Row],[Iin]])</f>
        <v>0</v>
      </c>
      <c r="BA3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6.5104006079999999E-2</v>
      </c>
      <c r="BB3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6.5104006079999999E-2</v>
      </c>
      <c r="BC32" s="354">
        <f>CHOOSE(Table2[[#This Row],[Mode Digit]], Rs*Table2[[#This Row],[Irms BuSync]]^2, Rs*Table2[[#This Row],[Irms BoCtlr]]^2, Rs*(Table2[[#This Row],[Irms BuSync]]^2+Table2[[#This Row],[Irms BoCtlr]]^2))</f>
        <v>2.1628706793426444E-2</v>
      </c>
      <c r="BD32" s="354">
        <f t="shared" si="1"/>
        <v>1.44</v>
      </c>
      <c r="BE32" s="354">
        <f>IF(Vout&gt;8, Iq*Vout, Iq*Table2[[#This Row],[Vin]])</f>
        <v>4.3799999999999999E-2</v>
      </c>
      <c r="BF32" s="354">
        <f>CHOOSE(Table2[[#This Row],[Mode Digit]], (Qg_Q1+Qg_Q2)*Fsw, (Qg_Q3+Qg_Q4)*Fsw, (Qg_Q1+Qg_Q2+Qg_Q3+Qg_Q4)*Fsw)*IF(Vout&gt;8, Vout, Table2[[#This Row],[Vin]])</f>
        <v>0.47303999999999996</v>
      </c>
      <c r="BG32" s="354">
        <f t="shared" si="4"/>
        <v>0.57269042016806726</v>
      </c>
      <c r="BH32" s="354">
        <f>Table2[[#This Row],[IQ Loss]]+Table2[[#This Row],[Switching Current Loss]]</f>
        <v>0.51683999999999997</v>
      </c>
      <c r="BI3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3.6852688954387425</v>
      </c>
      <c r="BJ32">
        <f>Vout*Table2[[#This Row],[Iout]]</f>
        <v>40.295999999999999</v>
      </c>
      <c r="BK32" s="550">
        <f>Table2[[#This Row],[Pout]]/(Table2[[#This Row],[Pout]]+Table2[[#This Row],[Total Loss]])</f>
        <v>0.91620821799843655</v>
      </c>
      <c r="BL32" s="559">
        <f>IF(Table2[[#This Row],[Vin]]&gt;Vout,ThetaJA_Q1*(Table2[[#This Row],[Total Control Bu MOSFET Loss]]+Table2[[#This Row],[Reverse Recovery Loss MOSFET D BUCK]]),ThetaJA_Q4*(Table2[[#This Row],[Total Control Bo MOSFET Loss]]+Table2[[#This Row],[Reverse Recovery Loss MOSFET D BOOST]]))</f>
        <v>45.201284104904445</v>
      </c>
      <c r="BM32" s="559">
        <f>IF(Table2[[#This Row],[Vin]]&gt;Vout, Table2[[#This Row],[Total Sync Bu MOSFET Loss]]*ThetaJA_Q2, ThetaJA_Q3*Table2[[#This Row],[Total Sync Bo MOSFET Loss]])</f>
        <v>10.237174632385138</v>
      </c>
      <c r="BN32" s="9"/>
      <c r="BO32" s="4">
        <f>Table2[[#This Row],[EFF, h]]*100</f>
        <v>91.620821799843654</v>
      </c>
      <c r="BP32" s="354">
        <f>Table2[[#This Row],[Total Inductor Loss]]</f>
        <v>0.63516378085474712</v>
      </c>
      <c r="BQ32" s="354">
        <f>Table2[[#This Row],[Total Control Bu MOSFET Loss]]+Table2[[#This Row],[Total Sync Bu MOSFET Loss]]+Table2[[#This Row],[Total Control Bo MOSFET Loss]]+Table2[[#This Row],[Total Sync Bo MOSFET Loss]]+Table2[[#This Row],[Reverse Recovery Loss MOSFET D BUCK]]+Table2[[#This Row],[Reverse Recovery Loss MOSFET D BOOST]]</f>
        <v>1.0623901028758134</v>
      </c>
      <c r="BR32" s="354">
        <f xml:space="preserve"> Table2[[#This Row],[Total Control Bu MOSFET Loss]]+Table2[[#This Row],[Reverse Recovery Loss MOSFET D BUCK]]*0.66</f>
        <v>0.73121937301454076</v>
      </c>
      <c r="BS32" s="354">
        <f>Table2[[#This Row],[Total Sync Bu MOSFET Loss]]+Table2[[#This Row],[Reverse Recovery Loss MOSFET D BUCK]]*0.33</f>
        <v>0.19210389921281895</v>
      </c>
      <c r="BT32" s="354">
        <f xml:space="preserve"> Table2[[#This Row],[Total Control Bo MOSFET Loss]]+Table2[[#This Row],[Reverse Recovery Loss MOSFET D BOOST]]*0.66</f>
        <v>7.96245362666268E-2</v>
      </c>
      <c r="BU32" s="354">
        <f xml:space="preserve"> Table2[[#This Row],[Total Sync Bo MOSFET Loss]]+Table2[[#This Row],[Reverse Recovery Loss MOSFET D BOOST]]*0.33</f>
        <v>5.8140214260226794E-2</v>
      </c>
      <c r="BV32" s="354">
        <f>Table2[[#This Row],[Isense Shunt Loss]]</f>
        <v>2.1628706793426444E-2</v>
      </c>
      <c r="CA32">
        <v>9.9987290000000009</v>
      </c>
      <c r="CB32">
        <v>0.49059999999999998</v>
      </c>
      <c r="CC32">
        <v>5.1238169999999998</v>
      </c>
      <c r="CD32">
        <v>88.551850267052174</v>
      </c>
      <c r="CE32">
        <v>324.98153184230057</v>
      </c>
    </row>
    <row r="33" spans="1:83" x14ac:dyDescent="0.2">
      <c r="A33" s="22" t="s">
        <v>66</v>
      </c>
      <c r="B33" s="5">
        <f>Deadtime*1000000000</f>
        <v>40.095238095238095</v>
      </c>
      <c r="C33" s="440" t="s">
        <v>79</v>
      </c>
      <c r="D33" s="21" t="s">
        <v>100</v>
      </c>
      <c r="G33">
        <v>24</v>
      </c>
      <c r="H33" s="555">
        <f t="shared" si="0"/>
        <v>23.6</v>
      </c>
      <c r="I33" s="4" t="str">
        <f>IF(Mode = 2,IF(Table2[[#This Row],[Vin]]&gt;Vout, "BUCK","BOOST"),IF(Table2[[#This Row],[Vin]]&gt;VIN_BB_to_buck, "BUCK", IF(Table2[[#This Row],[Vin]]&lt;=VIN_boost_to_BB,"BOOST","BUCK-BST")))</f>
        <v>BUCK</v>
      </c>
      <c r="J33">
        <f>IF(Table2[[#This Row],[Mode]]="BOOST",2, IF(Table2[[#This Row],[Mode]]="BUCK", 1,3))</f>
        <v>1</v>
      </c>
      <c r="K33" s="354">
        <f t="shared" si="3"/>
        <v>2.88</v>
      </c>
      <c r="L33" s="4">
        <f>Vout*Table2[[#This Row],[Iout]]/(Table2[[#This Row],[Vin]]*Efficiency)</f>
        <v>1.8754683318465653</v>
      </c>
      <c r="M33" s="711">
        <f>MIN(1/Fsw,CHOOSE(Table2[[#This Row],[Mode Digit]],(Vout+(Rdson2+Rs+Rdcr)*Table2[[#This Row],[Iout]])/(Table2[[#This Row],[Vin]]+(Rs+Rdson2-Rdson1)*Table2[[#This Row],[Iout]])/Fsw,(Vout+(Rdson3+Rdcr)*Table2[[#This Row],[Iin]]-Table2[[#This Row],[Vin]])/(Vout+(Rdson3-Rdson4-Rs)*Table2[[#This Row],[Iin]])/Fsw,t1_Ph_II))</f>
        <v>1.0333005749658296E-6</v>
      </c>
      <c r="N33" s="602">
        <f>CHOOSE(Table2[[#This Row],[Mode Digit]],1/Fsw-Table2[[#This Row],[t1_Ph_II]],1/Fsw-Table2[[#This Row],[t1_Ph_II]],(Vout/Fsw-Table2[[#This Row],[Vin]]*t1_Ph_II)/(Table2[[#This Row],[Vin]]+Vout))</f>
        <v>6.3336609170083704E-7</v>
      </c>
      <c r="O33" s="602">
        <f>1/Fsw-(Table2[[#This Row],[t1_Ph_II]]+Table2[[#This Row],[t2_Ph_I]])</f>
        <v>0</v>
      </c>
      <c r="P3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1.1186922017627901</v>
      </c>
      <c r="Q33" s="4">
        <f>CHOOSE(Table2[[#This Row],[Mode Digit]],Table2[[#This Row],[I_0]]+1/Lf*(Table2[[#This Row],[Vin]]-Vout)*Table2[[#This Row],[t1_Ph_II]],Table2[[#This Row],[I_0]]+1/Lf*Table2[[#This Row],[Vin]]*Table2[[#This Row],[t1_Ph_II]],Table2[[#This Row],[I_0]]+(Table2[[#This Row],[Vin]]-Vout)/L*Table2[[#This Row],[t1_Ph_II]])</f>
        <v>4.64130779823721</v>
      </c>
      <c r="R33" s="4">
        <f>CHOOSE(Table2[[#This Row],[Mode Digit]],0,0,Table2[[#This Row],[I_1]]+Table2[[#This Row],[Vin]]/L*Table2[[#This Row],[t2_Ph_I]])</f>
        <v>0</v>
      </c>
      <c r="S33" s="409">
        <f>Fsw*(Table2[[#This Row],[I_0]]*Table2[[#This Row],[t1_Ph_II]]+Table2[[#This Row],[I_1]]*Table2[[#This Row],[t2_Ph_I]]+Table2[[#This Row],[I_2]]*Table2[[#This Row],[t3_Ph_III]])</f>
        <v>2.4573553655048399</v>
      </c>
      <c r="T33" s="354">
        <f>MIN(1,CHOOSE(Table2[[#This Row],[Mode Digit]],(Vout+(Rdson2+Rs+Rdcr)*Table2[[#This Row],[Iout]])/(Table2[[#This Row],[Vin]]+(Rs+Rdson2-Rdson1)*Table2[[#This Row],[Iout]]),1,Fsw*Table2[[#This Row],[t2_Ph_I]]+Table2[[#This Row],[t1_Ph_II]]))</f>
        <v>0.61998034497949772</v>
      </c>
      <c r="U33" s="354">
        <f>MIN(1,CHOOSE(Table2[[#This Row],[Mode Digit]],0,(Vout+(Rdson3+Rdcr)*Table2[[#This Row],[Iin]]-Table2[[#This Row],[Vin]])/(Vout+(Rdson3-Rdson4-Rs)*Table2[[#This Row],[Iin]]),Fsw*Table2[[#This Row],[t1_Ph_II]]+Table2[[#This Row],[t3_Ph_III]]))</f>
        <v>0</v>
      </c>
      <c r="V33" s="4">
        <f>MAX(Table2[[#This Row],[I_0]:[I_2]])-MIN(Table2[[#This Row],[I_0]:[I_1]])</f>
        <v>3.5226155964744201</v>
      </c>
      <c r="W3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3.0542541457302477</v>
      </c>
      <c r="X33" s="354">
        <f>(Table2[[#This Row],[Irms Lf]]^2*Rdcr*(1+Ltc*Ta-Ltc*25))/(1-Table2[[#This Row],[Irms Lf]]^2*Rdcr*Ltc*ThetaCa)</f>
        <v>5.4340323807562124E-2</v>
      </c>
      <c r="Y33" s="354">
        <f>ABS(7.759*10^-3*Fsw^0.9458*(0.00787*Table2[[#This Row],[Ripple Current pk-pk]])^2.304)</f>
        <v>0.58490392023171045</v>
      </c>
      <c r="Z33" s="354">
        <f>Table2[[#This Row],[DCR    Loss]]+Table2[[#This Row],[Core Loss]]</f>
        <v>0.6392442440392726</v>
      </c>
      <c r="AA33" s="4">
        <f>IF(Table2[[#This Row],[Vin]]&gt;Vout, Table2[[#This Row],[Ripple Current pk-pk]]/SQRT(12), SQRT(Table2[[#This Row],[Duty Cycle BOOST Leg]]/(1-Table2[[#This Row],[Duty Cycle BOOST Leg]]))*SQRT(Table2[[#This Row],[Iout]]^2+(Table2[[#This Row],[Ripple Current pk-pk]]^2)/12))</f>
        <v>1.0168915314380405</v>
      </c>
      <c r="AB33" s="354">
        <f>RCoutEsr*Table2[[#This Row],[Irms Cout]]^2</f>
        <v>5.1703419335520162E-3</v>
      </c>
      <c r="AC33" s="354">
        <f>Table2[[#This Row],[Cout ESR Loss]]</f>
        <v>5.1703419335520162E-3</v>
      </c>
      <c r="AD33" s="4">
        <f>IF(Table2[[#This Row],[Vin]]&gt;Vout, SQRT(Table2[[#This Row],[Duty Cycle BUCK Leg]]*(1-Table2[[#This Row],[Duty Cycle BUCK Leg]]))*SQRT(Table2[[#This Row],[Iout]]^2+(Table2[[#This Row],[Ripple Current pk-pk]]^2)/12), Table2[[#This Row],[Ripple Current pk-pk]]/SQRT(12))</f>
        <v>1.4825083988302303</v>
      </c>
      <c r="AE33" s="354">
        <f>RCinEsr*Table2[[#This Row],[Irms Cin]]^2</f>
        <v>4.3956623052043469E-3</v>
      </c>
      <c r="AF33" s="549">
        <f>Table2[[#This Row],[Cin ESR Loss]]</f>
        <v>4.3956623052043469E-3</v>
      </c>
      <c r="AG33" s="354">
        <f>Table2[[#This Row],[Irms Lf]]</f>
        <v>3.0542541457302477</v>
      </c>
      <c r="AH33" s="354">
        <f>Rdson1*Table2[[#This Row],[Irms BuCtrl]]^2</f>
        <v>3.9179567224183705E-2</v>
      </c>
      <c r="AI33" s="354">
        <f>CHOOSE(Table2[[#This Row],[Mode Digit]], (Table2[[#This Row],[Vin]]*Table2[[#This Row],[Iout]]/2)*(Fsw)*(Tr_buck+Tf_buck), 0, (Table2[[#This Row],[Vin]]*Table2[[#This Row],[Avg IL]]/2)*(Fsw/1)*(Tr_buck+Tf_buck))</f>
        <v>0.67399562836936766</v>
      </c>
      <c r="AJ33">
        <f>IF(Table2[[#This Row],[Vin]]&gt;Vout, IF(Table2[[#This Row],[Iout]]&gt;Table2[[#This Row],[Ripple Current pk-pk]]/2,0,ABS(Table2[[#This Row],[Iout]]-Table2[[#This Row],[Ripple Current pk-pk]]/2)*Vsd_Q1*Deadtime*Fsw),0)</f>
        <v>0</v>
      </c>
      <c r="AK33" s="354">
        <f>(Table2[[#This Row],[Dead Time Loss BuCtrl]]+Table2[[#This Row],[Transition Loss BuCtrl]]+Table2[[#This Row],[RDS(on) Loss BuCtrl]]*(1+RdsonTopTc*Ta-RdsonTopTc*25))/(1-Table2[[#This Row],[RDS(on) Loss BuCtrl]]*RdsonTopTc*ThetaJA_Q1)</f>
        <v>0.71994490676288536</v>
      </c>
      <c r="AL33" s="354">
        <f>Table2[[#This Row],[Irms Lf]]</f>
        <v>3.0542541457302477</v>
      </c>
      <c r="AM33" s="354">
        <f>Rdson2*Table2[[#This Row],[Irms BuSync]]^2</f>
        <v>3.9179567224183705E-2</v>
      </c>
      <c r="AN3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0.13856914285714286</v>
      </c>
      <c r="AO33" s="354">
        <f>(Table2[[#This Row],[Deadtime Loss BuSync]]+Table2[[#This Row],[RDS(on) Loss BuSync]]*(1+RdsonBotTc*Ta-RdsonBotTc*25))/(1-Table2[[#This Row],[RDS(on) Loss BuSync]]*RdsonBotTc*ThetaJA_Q2)</f>
        <v>0.17943596369783912</v>
      </c>
      <c r="AP33" s="354">
        <f>Table2[[#This Row],[Irms Lf]]</f>
        <v>3.0542541457302477</v>
      </c>
      <c r="AQ33" s="354">
        <f>Rdson4*Table2[[#This Row],[Irms BoCtlr]]^2</f>
        <v>3.9179567224183705E-2</v>
      </c>
      <c r="AR33" s="354">
        <f>CHOOSE(Table2[[#This Row],[Mode Digit]], 0, (Vout*Table2[[#This Row],[Iin]]/2)*(Fsw)*(Tr_boost+Tf_boost), (Vout*Iout/2)*(Fsw/1)*(Tr_boost+Tf_boost))</f>
        <v>0</v>
      </c>
      <c r="AS33" s="354">
        <f>IF(Table2[[#This Row],[Vin]]&gt;Vout, 0, IF(Table2[[#This Row],[Iin]]&gt;Table2[[#This Row],[Ripple Current pk-pk]]/2,0,ABS(Table2[[#This Row],[Iin]]-Table2[[#This Row],[Ripple Current pk-pk]]/2)*Vsd_Q4*Deadtime*Fsw))</f>
        <v>0</v>
      </c>
      <c r="AT33" s="354">
        <f>(Table2[[#This Row],[Dead Time Loss BoCtlr]]+Table2[[#This Row],[Transition Loss BoCtlr]]+Table2[[#This Row],[RDS(on) Loss BoCtlr]]*(1+RdsonTopTc*Ta-RdsonTopTc*25))/(1-Table2[[#This Row],[RDS(on) Loss BoCtlr]]*RdsonTopTc*ThetaJA_Q4)</f>
        <v>3.9551473532039076E-2</v>
      </c>
      <c r="AU33" s="354">
        <f>Table2[[#This Row],[Irms Lf]]</f>
        <v>3.0542541457302477</v>
      </c>
      <c r="AV33" s="354">
        <f>Rdson3*Table2[[#This Row],[Irms BoSync]]^2</f>
        <v>3.9179567224183705E-2</v>
      </c>
      <c r="AW3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3" s="354">
        <f>(Table2[[#This Row],[Deadtime Loss BoSync]]+Table2[[#This Row],[RDS(on) Loss BoSync]]*(1+RdsonBotTc*Ta-RdsonBotTc*25))/(1-Table2[[#This Row],[RDS(on) Loss BoSync]]*RdsonBotTc*ThetaJA_Q3)</f>
        <v>3.9551473532039076E-2</v>
      </c>
      <c r="AY33" s="354">
        <f>CHOOSE(Table2[[#This Row],[Mode Digit]], Rdson3*Table2[[#This Row],[Irms Lf]]^2, Rdson1*Table2[[#This Row],[Irms Lf]]^2, 0)</f>
        <v>3.9179567224183705E-2</v>
      </c>
      <c r="AZ33" s="354">
        <f>CHOOSE(Table2[[#This Row],[Mode Digit]], 2*Deadtime*Fsw*IF(VfdSky_Q2&gt;0,VfdSky_Q2,0)*Table2[[#This Row],[Iout]], 2*Deadtime*Fsw*IF(VfdSky_Q3&gt;0,VfdSky_Q3,0)*Table2[[#This Row],[Iin]], 2*Deadtime*Fsw*IF(VfdSky_Q2&gt;0,VfdSky_Q2,0)*Table2[[#This Row],[Iout]]+2*Deadtime*Fsw*IF(VfdSky_Q3&gt;0,VfdSky_Q3,0)*Table2[[#This Row],[Iin]])</f>
        <v>0</v>
      </c>
      <c r="BA3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6.7933163520000006E-2</v>
      </c>
      <c r="BB3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6.7933163520000006E-2</v>
      </c>
      <c r="BC33" s="354">
        <f>CHOOSE(Table2[[#This Row],[Mode Digit]], Rs*Table2[[#This Row],[Irms BuSync]]^2, Rs*Table2[[#This Row],[Irms BoCtlr]]^2, Rs*(Table2[[#This Row],[Irms BuSync]]^2+Table2[[#This Row],[Irms BoCtlr]]^2))</f>
        <v>2.3321170966776012E-2</v>
      </c>
      <c r="BD33" s="354">
        <f t="shared" si="1"/>
        <v>1.44</v>
      </c>
      <c r="BE33" s="354">
        <f>IF(Vout&gt;8, Iq*Vout, Iq*Table2[[#This Row],[Vin]])</f>
        <v>4.3799999999999999E-2</v>
      </c>
      <c r="BF33" s="354">
        <f>CHOOSE(Table2[[#This Row],[Mode Digit]], (Qg_Q1+Qg_Q2)*Fsw, (Qg_Q3+Qg_Q4)*Fsw, (Qg_Q1+Qg_Q2+Qg_Q3+Qg_Q4)*Fsw)*IF(Vout&gt;8, Vout, Table2[[#This Row],[Vin]])</f>
        <v>0.47303999999999996</v>
      </c>
      <c r="BG33" s="354">
        <f t="shared" si="4"/>
        <v>0.57269042016806726</v>
      </c>
      <c r="BH33" s="354">
        <f>Table2[[#This Row],[IQ Loss]]+Table2[[#This Row],[Switching Current Loss]]</f>
        <v>0.51683999999999997</v>
      </c>
      <c r="BI3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3.7433215638096073</v>
      </c>
      <c r="BJ33">
        <f>Vout*Table2[[#This Row],[Iout]]</f>
        <v>42.047999999999995</v>
      </c>
      <c r="BK33" s="550">
        <f>Table2[[#This Row],[Pout]]/(Table2[[#This Row],[Pout]]+Table2[[#This Row],[Total Loss]])</f>
        <v>0.91825259817860161</v>
      </c>
      <c r="BL33" s="559">
        <f>IF(Table2[[#This Row],[Vin]]&gt;Vout,ThetaJA_Q1*(Table2[[#This Row],[Total Control Bu MOSFET Loss]]+Table2[[#This Row],[Reverse Recovery Loss MOSFET D BUCK]]),ThetaJA_Q4*(Table2[[#This Row],[Total Control Bo MOSFET Loss]]+Table2[[#This Row],[Reverse Recovery Loss MOSFET D BOOST]]))</f>
        <v>47.272684216973119</v>
      </c>
      <c r="BM33" s="559">
        <f>IF(Table2[[#This Row],[Vin]]&gt;Vout, Table2[[#This Row],[Total Sync Bu MOSFET Loss]]*ThetaJA_Q2, ThetaJA_Q3*Table2[[#This Row],[Total Sync Bo MOSFET Loss]])</f>
        <v>10.766157821870348</v>
      </c>
      <c r="BN33" s="9"/>
      <c r="BO33" s="4">
        <f>Table2[[#This Row],[EFF, h]]*100</f>
        <v>91.825259817860157</v>
      </c>
      <c r="BP33" s="354">
        <f>Table2[[#This Row],[Total Inductor Loss]]</f>
        <v>0.6392442440392726</v>
      </c>
      <c r="BQ33" s="354">
        <f>Table2[[#This Row],[Total Control Bu MOSFET Loss]]+Table2[[#This Row],[Total Sync Bu MOSFET Loss]]+Table2[[#This Row],[Total Control Bo MOSFET Loss]]+Table2[[#This Row],[Total Sync Bo MOSFET Loss]]+Table2[[#This Row],[Reverse Recovery Loss MOSFET D BUCK]]+Table2[[#This Row],[Reverse Recovery Loss MOSFET D BOOST]]</f>
        <v>1.1143501445648025</v>
      </c>
      <c r="BR33" s="354">
        <f xml:space="preserve"> Table2[[#This Row],[Total Control Bu MOSFET Loss]]+Table2[[#This Row],[Reverse Recovery Loss MOSFET D BUCK]]*0.66</f>
        <v>0.7647807946860854</v>
      </c>
      <c r="BS33" s="354">
        <f>Table2[[#This Row],[Total Sync Bu MOSFET Loss]]+Table2[[#This Row],[Reverse Recovery Loss MOSFET D BUCK]]*0.33</f>
        <v>0.20185390765943911</v>
      </c>
      <c r="BT33" s="354">
        <f xml:space="preserve"> Table2[[#This Row],[Total Control Bo MOSFET Loss]]+Table2[[#This Row],[Reverse Recovery Loss MOSFET D BOOST]]*0.66</f>
        <v>8.438736145523909E-2</v>
      </c>
      <c r="BU33" s="354">
        <f xml:space="preserve"> Table2[[#This Row],[Total Sync Bo MOSFET Loss]]+Table2[[#This Row],[Reverse Recovery Loss MOSFET D BOOST]]*0.33</f>
        <v>6.196941749363908E-2</v>
      </c>
      <c r="BV33" s="354">
        <f>Table2[[#This Row],[Isense Shunt Loss]]</f>
        <v>2.3321170966776012E-2</v>
      </c>
      <c r="CA33">
        <v>9.9986420000000003</v>
      </c>
      <c r="CB33">
        <v>0.64549999999999996</v>
      </c>
      <c r="CC33">
        <v>5.1237300000000001</v>
      </c>
      <c r="CD33">
        <v>90.41893857119905</v>
      </c>
      <c r="CE33">
        <v>350.45848473660021</v>
      </c>
    </row>
    <row r="34" spans="1:83" x14ac:dyDescent="0.2">
      <c r="A34" s="24" t="s">
        <v>56</v>
      </c>
      <c r="B34" s="15" t="s">
        <v>113</v>
      </c>
      <c r="C34" s="24" t="s">
        <v>80</v>
      </c>
      <c r="D34" s="17" t="s">
        <v>109</v>
      </c>
      <c r="G34">
        <v>25</v>
      </c>
      <c r="H34" s="555">
        <f t="shared" si="0"/>
        <v>23.6</v>
      </c>
      <c r="I34" s="4" t="str">
        <f>IF(Mode = 2,IF(Table2[[#This Row],[Vin]]&gt;Vout, "BUCK","BOOST"),IF(Table2[[#This Row],[Vin]]&gt;VIN_BB_to_buck, "BUCK", IF(Table2[[#This Row],[Vin]]&lt;=VIN_boost_to_BB,"BOOST","BUCK-BST")))</f>
        <v>BUCK</v>
      </c>
      <c r="J34">
        <f>IF(Table2[[#This Row],[Mode]]="BOOST",2, IF(Table2[[#This Row],[Mode]]="BUCK", 1,3))</f>
        <v>1</v>
      </c>
      <c r="K34" s="354">
        <f t="shared" si="3"/>
        <v>3</v>
      </c>
      <c r="L34" s="4">
        <f>Vout*Table2[[#This Row],[Iout]]/(Table2[[#This Row],[Vin]]*Efficiency)</f>
        <v>1.9536128456735056</v>
      </c>
      <c r="M34" s="711">
        <f>MIN(1/Fsw,CHOOSE(Table2[[#This Row],[Mode Digit]],(Vout+(Rdson2+Rs+Rdcr)*Table2[[#This Row],[Iout]])/(Table2[[#This Row],[Vin]]+(Rs+Rdson2-Rdson1)*Table2[[#This Row],[Iout]])/Fsw,(Vout+(Rdson3+Rdcr)*Table2[[#This Row],[Iin]]-Table2[[#This Row],[Vin]])/(Vout+(Rdson3-Rdson4-Rs)*Table2[[#This Row],[Iin]])/Fsw,t1_Ph_II))</f>
        <v>1.0333933425112074E-6</v>
      </c>
      <c r="N34" s="602">
        <f>CHOOSE(Table2[[#This Row],[Mode Digit]],1/Fsw-Table2[[#This Row],[t1_Ph_II]],1/Fsw-Table2[[#This Row],[t1_Ph_II]],(Vout/Fsw-Table2[[#This Row],[Vin]]*t1_Ph_II)/(Table2[[#This Row],[Vin]]+Vout))</f>
        <v>6.3327332415545928E-7</v>
      </c>
      <c r="O34" s="602">
        <f>1/Fsw-(Table2[[#This Row],[t1_Ph_II]]+Table2[[#This Row],[t2_Ph_I]])</f>
        <v>0</v>
      </c>
      <c r="P3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1.2385340752649872</v>
      </c>
      <c r="Q34" s="4">
        <f>CHOOSE(Table2[[#This Row],[Mode Digit]],Table2[[#This Row],[I_0]]+1/Lf*(Table2[[#This Row],[Vin]]-Vout)*Table2[[#This Row],[t1_Ph_II]],Table2[[#This Row],[I_0]]+1/Lf*Table2[[#This Row],[Vin]]*Table2[[#This Row],[t1_Ph_II]],Table2[[#This Row],[I_0]]+(Table2[[#This Row],[Vin]]-Vout)/L*Table2[[#This Row],[t1_Ph_II]])</f>
        <v>4.7614659247350133</v>
      </c>
      <c r="R34" s="4">
        <f>CHOOSE(Table2[[#This Row],[Mode Digit]],0,0,Table2[[#This Row],[I_1]]+Table2[[#This Row],[Vin]]/L*Table2[[#This Row],[t2_Ph_I]])</f>
        <v>0</v>
      </c>
      <c r="S34" s="409">
        <f>Fsw*(Table2[[#This Row],[I_0]]*Table2[[#This Row],[t1_Ph_II]]+Table2[[#This Row],[I_1]]*Table2[[#This Row],[t2_Ph_I]]+Table2[[#This Row],[I_2]]*Table2[[#This Row],[t3_Ph_III]])</f>
        <v>2.5771213331172014</v>
      </c>
      <c r="T34" s="354">
        <f>MIN(1,CHOOSE(Table2[[#This Row],[Mode Digit]],(Vout+(Rdson2+Rs+Rdcr)*Table2[[#This Row],[Iout]])/(Table2[[#This Row],[Vin]]+(Rs+Rdson2-Rdson1)*Table2[[#This Row],[Iout]]),1,Fsw*Table2[[#This Row],[t2_Ph_I]]+Table2[[#This Row],[t1_Ph_II]]))</f>
        <v>0.62003600550672444</v>
      </c>
      <c r="U34" s="354">
        <f>MIN(1,CHOOSE(Table2[[#This Row],[Mode Digit]],0,(Vout+(Rdson3+Rdcr)*Table2[[#This Row],[Iin]]-Table2[[#This Row],[Vin]])/(Vout+(Rdson3-Rdson4-Rs)*Table2[[#This Row],[Iin]]),Fsw*Table2[[#This Row],[t1_Ph_II]]+Table2[[#This Row],[t3_Ph_III]]))</f>
        <v>0</v>
      </c>
      <c r="V34" s="4">
        <f>MAX(Table2[[#This Row],[I_0]:[I_2]])-MIN(Table2[[#This Row],[I_0]:[I_1]])</f>
        <v>3.5229318494700261</v>
      </c>
      <c r="W3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3.1676890737572174</v>
      </c>
      <c r="X34" s="354">
        <f>(Table2[[#This Row],[Irms Lf]]^2*Rdcr*(1+Ltc*Ta-Ltc*25))/(1-Table2[[#This Row],[Irms Lf]]^2*Rdcr*Ltc*ThetaCa)</f>
        <v>5.8470907937269744E-2</v>
      </c>
      <c r="Y34" s="354">
        <f>ABS(7.759*10^-3*Fsw^0.9458*(0.00787*Table2[[#This Row],[Ripple Current pk-pk]])^2.304)</f>
        <v>0.585024913671087</v>
      </c>
      <c r="Z34" s="354">
        <f>Table2[[#This Row],[DCR    Loss]]+Table2[[#This Row],[Core Loss]]</f>
        <v>0.64349582160835672</v>
      </c>
      <c r="AA34" s="4">
        <f>IF(Table2[[#This Row],[Vin]]&gt;Vout, Table2[[#This Row],[Ripple Current pk-pk]]/SQRT(12), SQRT(Table2[[#This Row],[Duty Cycle BOOST Leg]]/(1-Table2[[#This Row],[Duty Cycle BOOST Leg]]))*SQRT(Table2[[#This Row],[Iout]]^2+(Table2[[#This Row],[Ripple Current pk-pk]]^2)/12))</f>
        <v>1.0169828258141129</v>
      </c>
      <c r="AB34" s="354">
        <f>RCoutEsr*Table2[[#This Row],[Irms Cout]]^2</f>
        <v>5.1712703400042916E-3</v>
      </c>
      <c r="AC34" s="354">
        <f>Table2[[#This Row],[Cout ESR Loss]]</f>
        <v>5.1712703400042916E-3</v>
      </c>
      <c r="AD34" s="4">
        <f>IF(Table2[[#This Row],[Vin]]&gt;Vout, SQRT(Table2[[#This Row],[Duty Cycle BUCK Leg]]*(1-Table2[[#This Row],[Duty Cycle BUCK Leg]]))*SQRT(Table2[[#This Row],[Iout]]^2+(Table2[[#This Row],[Ripple Current pk-pk]]^2)/12), Table2[[#This Row],[Ripple Current pk-pk]]/SQRT(12))</f>
        <v>1.5375251335168714</v>
      </c>
      <c r="AE34" s="354">
        <f>RCinEsr*Table2[[#This Row],[Irms Cin]]^2</f>
        <v>4.7279670723921466E-3</v>
      </c>
      <c r="AF34" s="549">
        <f>Table2[[#This Row],[Cin ESR Loss]]</f>
        <v>4.7279670723921466E-3</v>
      </c>
      <c r="AG34" s="354">
        <f>Table2[[#This Row],[Irms Lf]]</f>
        <v>3.1676890737572174</v>
      </c>
      <c r="AH34" s="354">
        <f>Rdson1*Table2[[#This Row],[Irms BuCtrl]]^2</f>
        <v>4.2143867085603609E-2</v>
      </c>
      <c r="AI34" s="354">
        <f>CHOOSE(Table2[[#This Row],[Mode Digit]], (Table2[[#This Row],[Vin]]*Table2[[#This Row],[Iout]]/2)*(Fsw)*(Tr_buck+Tf_buck), 0, (Table2[[#This Row],[Vin]]*Table2[[#This Row],[Avg IL]]/2)*(Fsw/1)*(Tr_buck+Tf_buck))</f>
        <v>0.70207877955142473</v>
      </c>
      <c r="AJ34">
        <f>IF(Table2[[#This Row],[Vin]]&gt;Vout, IF(Table2[[#This Row],[Iout]]&gt;Table2[[#This Row],[Ripple Current pk-pk]]/2,0,ABS(Table2[[#This Row],[Iout]]-Table2[[#This Row],[Ripple Current pk-pk]]/2)*Vsd_Q1*Deadtime*Fsw),0)</f>
        <v>0</v>
      </c>
      <c r="AK34" s="354">
        <f>(Table2[[#This Row],[Dead Time Loss BuCtrl]]+Table2[[#This Row],[Transition Loss BuCtrl]]+Table2[[#This Row],[RDS(on) Loss BuCtrl]]*(1+RdsonTopTc*Ta-RdsonTopTc*25))/(1-Table2[[#This Row],[RDS(on) Loss BuCtrl]]*RdsonTopTc*ThetaJA_Q1)</f>
        <v>0.75182702217961306</v>
      </c>
      <c r="AL34" s="354">
        <f>Table2[[#This Row],[Irms Lf]]</f>
        <v>3.1676890737572174</v>
      </c>
      <c r="AM34" s="354">
        <f>Rdson2*Table2[[#This Row],[Irms BuSync]]^2</f>
        <v>4.2143867085603609E-2</v>
      </c>
      <c r="AN3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0.14434285714285713</v>
      </c>
      <c r="AO34" s="354">
        <f>(Table2[[#This Row],[Deadtime Loss BuSync]]+Table2[[#This Row],[RDS(on) Loss BuSync]]*(1+RdsonBotTc*Ta-RdsonBotTc*25))/(1-Table2[[#This Row],[RDS(on) Loss BuSync]]*RdsonBotTc*ThetaJA_Q2)</f>
        <v>0.18839222265846389</v>
      </c>
      <c r="AP34" s="354">
        <f>Table2[[#This Row],[Irms Lf]]</f>
        <v>3.1676890737572174</v>
      </c>
      <c r="AQ34" s="354">
        <f>Rdson4*Table2[[#This Row],[Irms BoCtlr]]^2</f>
        <v>4.2143867085603609E-2</v>
      </c>
      <c r="AR34" s="354">
        <f>CHOOSE(Table2[[#This Row],[Mode Digit]], 0, (Vout*Table2[[#This Row],[Iin]]/2)*(Fsw)*(Tr_boost+Tf_boost), (Vout*Iout/2)*(Fsw/1)*(Tr_boost+Tf_boost))</f>
        <v>0</v>
      </c>
      <c r="AS34" s="354">
        <f>IF(Table2[[#This Row],[Vin]]&gt;Vout, 0, IF(Table2[[#This Row],[Iin]]&gt;Table2[[#This Row],[Ripple Current pk-pk]]/2,0,ABS(Table2[[#This Row],[Iin]]-Table2[[#This Row],[Ripple Current pk-pk]]/2)*Vsd_Q4*Deadtime*Fsw))</f>
        <v>0</v>
      </c>
      <c r="AT34" s="354">
        <f>(Table2[[#This Row],[Dead Time Loss BoCtlr]]+Table2[[#This Row],[Transition Loss BoCtlr]]+Table2[[#This Row],[RDS(on) Loss BoCtlr]]*(1+RdsonTopTc*Ta-RdsonTopTc*25))/(1-Table2[[#This Row],[RDS(on) Loss BoCtlr]]*RdsonTopTc*ThetaJA_Q4)</f>
        <v>4.257448794024149E-2</v>
      </c>
      <c r="AU34" s="354">
        <f>Table2[[#This Row],[Irms Lf]]</f>
        <v>3.1676890737572174</v>
      </c>
      <c r="AV34" s="354">
        <f>Rdson3*Table2[[#This Row],[Irms BoSync]]^2</f>
        <v>4.2143867085603609E-2</v>
      </c>
      <c r="AW3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4" s="354">
        <f>(Table2[[#This Row],[Deadtime Loss BoSync]]+Table2[[#This Row],[RDS(on) Loss BoSync]]*(1+RdsonBotTc*Ta-RdsonBotTc*25))/(1-Table2[[#This Row],[RDS(on) Loss BoSync]]*RdsonBotTc*ThetaJA_Q3)</f>
        <v>4.257448794024149E-2</v>
      </c>
      <c r="AY34" s="354">
        <f>CHOOSE(Table2[[#This Row],[Mode Digit]], Rdson3*Table2[[#This Row],[Irms Lf]]^2, Rdson1*Table2[[#This Row],[Irms Lf]]^2, 0)</f>
        <v>4.2143867085603609E-2</v>
      </c>
      <c r="AZ34" s="354">
        <f>CHOOSE(Table2[[#This Row],[Mode Digit]], 2*Deadtime*Fsw*IF(VfdSky_Q2&gt;0,VfdSky_Q2,0)*Table2[[#This Row],[Iout]], 2*Deadtime*Fsw*IF(VfdSky_Q3&gt;0,VfdSky_Q3,0)*Table2[[#This Row],[Iin]], 2*Deadtime*Fsw*IF(VfdSky_Q2&gt;0,VfdSky_Q2,0)*Table2[[#This Row],[Iout]]+2*Deadtime*Fsw*IF(VfdSky_Q3&gt;0,VfdSky_Q3,0)*Table2[[#This Row],[Iin]])</f>
        <v>0</v>
      </c>
      <c r="BA3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7.0762200000000025E-2</v>
      </c>
      <c r="BB3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7.0762200000000025E-2</v>
      </c>
      <c r="BC34" s="354">
        <f>CHOOSE(Table2[[#This Row],[Mode Digit]], Rs*Table2[[#This Row],[Irms BuSync]]^2, Rs*Table2[[#This Row],[Irms BoCtlr]]^2, Rs*(Table2[[#This Row],[Irms BuSync]]^2+Table2[[#This Row],[Irms BoCtlr]]^2))</f>
        <v>2.5085635170002143E-2</v>
      </c>
      <c r="BD34" s="354">
        <f t="shared" si="1"/>
        <v>1.44</v>
      </c>
      <c r="BE34" s="354">
        <f>IF(Vout&gt;8, Iq*Vout, Iq*Table2[[#This Row],[Vin]])</f>
        <v>4.3799999999999999E-2</v>
      </c>
      <c r="BF34" s="354">
        <f>CHOOSE(Table2[[#This Row],[Mode Digit]], (Qg_Q1+Qg_Q2)*Fsw, (Qg_Q3+Qg_Q4)*Fsw, (Qg_Q1+Qg_Q2+Qg_Q3+Qg_Q4)*Fsw)*IF(Vout&gt;8, Vout, Table2[[#This Row],[Vin]])</f>
        <v>0.47303999999999996</v>
      </c>
      <c r="BG34" s="354">
        <f t="shared" si="4"/>
        <v>0.57269042016806726</v>
      </c>
      <c r="BH34" s="354">
        <f>Table2[[#This Row],[IQ Loss]]+Table2[[#This Row],[Switching Current Loss]]</f>
        <v>0.51683999999999997</v>
      </c>
      <c r="BI3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3.8022133149093156</v>
      </c>
      <c r="BJ34">
        <f>Vout*Table2[[#This Row],[Iout]]</f>
        <v>43.8</v>
      </c>
      <c r="BK34" s="550">
        <f>Table2[[#This Row],[Pout]]/(Table2[[#This Row],[Pout]]+Table2[[#This Row],[Total Loss]])</f>
        <v>0.92012528304606289</v>
      </c>
      <c r="BL34" s="559">
        <f>IF(Table2[[#This Row],[Vin]]&gt;Vout,ThetaJA_Q1*(Table2[[#This Row],[Total Control Bu MOSFET Loss]]+Table2[[#This Row],[Reverse Recovery Loss MOSFET D BUCK]]),ThetaJA_Q4*(Table2[[#This Row],[Total Control Bo MOSFET Loss]]+Table2[[#This Row],[Reverse Recovery Loss MOSFET D BOOST]]))</f>
        <v>49.355353330776786</v>
      </c>
      <c r="BM34" s="559">
        <f>IF(Table2[[#This Row],[Vin]]&gt;Vout, Table2[[#This Row],[Total Sync Bu MOSFET Loss]]*ThetaJA_Q2, ThetaJA_Q3*Table2[[#This Row],[Total Sync Bo MOSFET Loss]])</f>
        <v>11.303533359507833</v>
      </c>
      <c r="BN34" s="9"/>
      <c r="BO34" s="4">
        <f>Table2[[#This Row],[EFF, h]]*100</f>
        <v>92.012528304606292</v>
      </c>
      <c r="BP34" s="354">
        <f>Table2[[#This Row],[Total Inductor Loss]]</f>
        <v>0.64349582160835672</v>
      </c>
      <c r="BQ34" s="354">
        <f>Table2[[#This Row],[Total Control Bu MOSFET Loss]]+Table2[[#This Row],[Total Sync Bu MOSFET Loss]]+Table2[[#This Row],[Total Control Bo MOSFET Loss]]+Table2[[#This Row],[Total Sync Bo MOSFET Loss]]+Table2[[#This Row],[Reverse Recovery Loss MOSFET D BUCK]]+Table2[[#This Row],[Reverse Recovery Loss MOSFET D BOOST]]</f>
        <v>1.1668926207185601</v>
      </c>
      <c r="BR34" s="354">
        <f xml:space="preserve"> Table2[[#This Row],[Total Control Bu MOSFET Loss]]+Table2[[#This Row],[Reverse Recovery Loss MOSFET D BUCK]]*0.66</f>
        <v>0.79853007417961308</v>
      </c>
      <c r="BS34" s="354">
        <f>Table2[[#This Row],[Total Sync Bu MOSFET Loss]]+Table2[[#This Row],[Reverse Recovery Loss MOSFET D BUCK]]*0.33</f>
        <v>0.2117437486584639</v>
      </c>
      <c r="BT34" s="354">
        <f xml:space="preserve"> Table2[[#This Row],[Total Control Bo MOSFET Loss]]+Table2[[#This Row],[Reverse Recovery Loss MOSFET D BOOST]]*0.66</f>
        <v>8.9277539940241513E-2</v>
      </c>
      <c r="BU34" s="354">
        <f xml:space="preserve"> Table2[[#This Row],[Total Sync Bo MOSFET Loss]]+Table2[[#This Row],[Reverse Recovery Loss MOSFET D BOOST]]*0.33</f>
        <v>6.5926013940241501E-2</v>
      </c>
      <c r="BV34" s="354">
        <f>Table2[[#This Row],[Isense Shunt Loss]]</f>
        <v>2.5085635170002143E-2</v>
      </c>
      <c r="CA34">
        <v>9.9986049999999995</v>
      </c>
      <c r="CB34">
        <v>0.83240000000000003</v>
      </c>
      <c r="CC34">
        <v>5.1231559999999998</v>
      </c>
      <c r="CD34">
        <v>91.678946361105133</v>
      </c>
      <c r="CE34">
        <v>387.05996035199956</v>
      </c>
    </row>
    <row r="35" spans="1:83" x14ac:dyDescent="0.2">
      <c r="A35" s="22" t="s">
        <v>156</v>
      </c>
      <c r="B35" s="5">
        <f>Iq*1000</f>
        <v>3</v>
      </c>
      <c r="C35" s="440" t="s">
        <v>68</v>
      </c>
      <c r="D35" s="21" t="s">
        <v>159</v>
      </c>
      <c r="G35">
        <v>26</v>
      </c>
      <c r="H35" s="555">
        <f t="shared" si="0"/>
        <v>23.6</v>
      </c>
      <c r="I35" s="4" t="str">
        <f>IF(Mode = 2,IF(Table2[[#This Row],[Vin]]&gt;Vout, "BUCK","BOOST"),IF(Table2[[#This Row],[Vin]]&gt;VIN_BB_to_buck, "BUCK", IF(Table2[[#This Row],[Vin]]&lt;=VIN_boost_to_BB,"BOOST","BUCK-BST")))</f>
        <v>BUCK</v>
      </c>
      <c r="J35">
        <f>IF(Table2[[#This Row],[Mode]]="BOOST",2, IF(Table2[[#This Row],[Mode]]="BUCK", 1,3))</f>
        <v>1</v>
      </c>
      <c r="K35" s="354">
        <f t="shared" si="3"/>
        <v>3.12</v>
      </c>
      <c r="L35" s="4">
        <f>Vout*Table2[[#This Row],[Iout]]/(Table2[[#This Row],[Vin]]*Efficiency)</f>
        <v>2.0317573595004457</v>
      </c>
      <c r="M35" s="711">
        <f>MIN(1/Fsw,CHOOSE(Table2[[#This Row],[Mode Digit]],(Vout+(Rdson2+Rs+Rdcr)*Table2[[#This Row],[Iout]])/(Table2[[#This Row],[Vin]]+(Rs+Rdson2-Rdson1)*Table2[[#This Row],[Iout]])/Fsw,(Vout+(Rdson3+Rdcr)*Table2[[#This Row],[Iin]]-Table2[[#This Row],[Vin]])/(Vout+(Rdson3-Rdson4-Rs)*Table2[[#This Row],[Iin]])/Fsw,t1_Ph_II))</f>
        <v>1.0334861076988677E-6</v>
      </c>
      <c r="N35" s="602">
        <f>CHOOSE(Table2[[#This Row],[Mode Digit]],1/Fsw-Table2[[#This Row],[t1_Ph_II]],1/Fsw-Table2[[#This Row],[t1_Ph_II]],(Vout/Fsw-Table2[[#This Row],[Vin]]*t1_Ph_II)/(Table2[[#This Row],[Vin]]+Vout))</f>
        <v>6.3318055896779901E-7</v>
      </c>
      <c r="O35" s="602">
        <f>1/Fsw-(Table2[[#This Row],[t1_Ph_II]]+Table2[[#This Row],[t2_Ph_I]])</f>
        <v>0</v>
      </c>
      <c r="P3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1.3583759527860209</v>
      </c>
      <c r="Q35" s="4">
        <f>CHOOSE(Table2[[#This Row],[Mode Digit]],Table2[[#This Row],[I_0]]+1/Lf*(Table2[[#This Row],[Vin]]-Vout)*Table2[[#This Row],[t1_Ph_II]],Table2[[#This Row],[I_0]]+1/Lf*Table2[[#This Row],[Vin]]*Table2[[#This Row],[t1_Ph_II]],Table2[[#This Row],[I_0]]+(Table2[[#This Row],[Vin]]-Vout)/L*Table2[[#This Row],[t1_Ph_II]])</f>
        <v>4.8816240472139789</v>
      </c>
      <c r="R35" s="4">
        <f>CHOOSE(Table2[[#This Row],[Mode Digit]],0,0,Table2[[#This Row],[I_1]]+Table2[[#This Row],[Vin]]/L*Table2[[#This Row],[t2_Ph_I]])</f>
        <v>0</v>
      </c>
      <c r="S35" s="409">
        <f>Fsw*(Table2[[#This Row],[I_0]]*Table2[[#This Row],[t1_Ph_II]]+Table2[[#This Row],[I_1]]*Table2[[#This Row],[t2_Ph_I]]+Table2[[#This Row],[I_2]]*Table2[[#This Row],[t3_Ph_III]])</f>
        <v>2.696887271473297</v>
      </c>
      <c r="T35" s="354">
        <f>MIN(1,CHOOSE(Table2[[#This Row],[Mode Digit]],(Vout+(Rdson2+Rs+Rdcr)*Table2[[#This Row],[Iout]])/(Table2[[#This Row],[Vin]]+(Rs+Rdson2-Rdson1)*Table2[[#This Row],[Iout]]),1,Fsw*Table2[[#This Row],[t2_Ph_I]]+Table2[[#This Row],[t1_Ph_II]]))</f>
        <v>0.62009166461932064</v>
      </c>
      <c r="U35" s="354">
        <f>MIN(1,CHOOSE(Table2[[#This Row],[Mode Digit]],0,(Vout+(Rdson3+Rdcr)*Table2[[#This Row],[Iin]]-Table2[[#This Row],[Vin]])/(Vout+(Rdson3-Rdson4-Rs)*Table2[[#This Row],[Iin]]),Fsw*Table2[[#This Row],[t1_Ph_II]]+Table2[[#This Row],[t3_Ph_III]]))</f>
        <v>0</v>
      </c>
      <c r="V35" s="4">
        <f>MAX(Table2[[#This Row],[I_0]:[I_2]])-MIN(Table2[[#This Row],[I_0]:[I_1]])</f>
        <v>3.5232480944279581</v>
      </c>
      <c r="W3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3.2815910411324642</v>
      </c>
      <c r="X35" s="354">
        <f>(Table2[[#This Row],[Irms Lf]]^2*Rdcr*(1+Ltc*Ta-Ltc*25))/(1-Table2[[#This Row],[Irms Lf]]^2*Rdcr*Ltc*ThetaCa)</f>
        <v>6.2772930732632001E-2</v>
      </c>
      <c r="Y35" s="354">
        <f>ABS(7.759*10^-3*Fsw^0.9458*(0.00787*Table2[[#This Row],[Ripple Current pk-pk]])^2.304)</f>
        <v>0.58514591819913875</v>
      </c>
      <c r="Z35" s="354">
        <f>Table2[[#This Row],[DCR    Loss]]+Table2[[#This Row],[Core Loss]]</f>
        <v>0.64791884893177076</v>
      </c>
      <c r="AA35" s="4">
        <f>IF(Table2[[#This Row],[Vin]]&gt;Vout, Table2[[#This Row],[Ripple Current pk-pk]]/SQRT(12), SQRT(Table2[[#This Row],[Duty Cycle BOOST Leg]]/(1-Table2[[#This Row],[Duty Cycle BOOST Leg]]))*SQRT(Table2[[#This Row],[Iout]]^2+(Table2[[#This Row],[Ripple Current pk-pk]]^2)/12))</f>
        <v>1.0170741178699088</v>
      </c>
      <c r="AB35" s="354">
        <f>RCoutEsr*Table2[[#This Row],[Irms Cout]]^2</f>
        <v>5.1721988062042659E-3</v>
      </c>
      <c r="AC35" s="354">
        <f>Table2[[#This Row],[Cout ESR Loss]]</f>
        <v>5.1721988062042659E-3</v>
      </c>
      <c r="AD35" s="4">
        <f>IF(Table2[[#This Row],[Vin]]&gt;Vout, SQRT(Table2[[#This Row],[Duty Cycle BUCK Leg]]*(1-Table2[[#This Row],[Duty Cycle BUCK Leg]]))*SQRT(Table2[[#This Row],[Iout]]^2+(Table2[[#This Row],[Ripple Current pk-pk]]^2)/12), Table2[[#This Row],[Ripple Current pk-pk]]/SQRT(12))</f>
        <v>1.5927654089918208</v>
      </c>
      <c r="AE35" s="354">
        <f>RCinEsr*Table2[[#This Row],[Irms Cin]]^2</f>
        <v>5.0738032961617644E-3</v>
      </c>
      <c r="AF35" s="549">
        <f>Table2[[#This Row],[Cin ESR Loss]]</f>
        <v>5.0738032961617644E-3</v>
      </c>
      <c r="AG35" s="354">
        <f>Table2[[#This Row],[Irms Lf]]</f>
        <v>3.2815910411324642</v>
      </c>
      <c r="AH35" s="354">
        <f>Rdson1*Table2[[#This Row],[Irms BuCtrl]]^2</f>
        <v>4.5229126997211586E-2</v>
      </c>
      <c r="AI35" s="354">
        <f>CHOOSE(Table2[[#This Row],[Mode Digit]], (Table2[[#This Row],[Vin]]*Table2[[#This Row],[Iout]]/2)*(Fsw)*(Tr_buck+Tf_buck), 0, (Table2[[#This Row],[Vin]]*Table2[[#This Row],[Avg IL]]/2)*(Fsw/1)*(Tr_buck+Tf_buck))</f>
        <v>0.73016193073348168</v>
      </c>
      <c r="AJ35">
        <f>IF(Table2[[#This Row],[Vin]]&gt;Vout, IF(Table2[[#This Row],[Iout]]&gt;Table2[[#This Row],[Ripple Current pk-pk]]/2,0,ABS(Table2[[#This Row],[Iout]]-Table2[[#This Row],[Ripple Current pk-pk]]/2)*Vsd_Q1*Deadtime*Fsw),0)</f>
        <v>0</v>
      </c>
      <c r="AK35" s="354">
        <f>(Table2[[#This Row],[Dead Time Loss BuCtrl]]+Table2[[#This Row],[Transition Loss BuCtrl]]+Table2[[#This Row],[RDS(on) Loss BuCtrl]]*(1+RdsonTopTc*Ta-RdsonTopTc*25))/(1-Table2[[#This Row],[RDS(on) Loss BuCtrl]]*RdsonTopTc*ThetaJA_Q1)</f>
        <v>0.78390028789251121</v>
      </c>
      <c r="AL35" s="354">
        <f>Table2[[#This Row],[Irms Lf]]</f>
        <v>3.2815910411324642</v>
      </c>
      <c r="AM35" s="354">
        <f>Rdson2*Table2[[#This Row],[Irms BuSync]]^2</f>
        <v>4.5229126997211586E-2</v>
      </c>
      <c r="AN3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0.15011657142857143</v>
      </c>
      <c r="AO35" s="354">
        <f>(Table2[[#This Row],[Deadtime Loss BuSync]]+Table2[[#This Row],[RDS(on) Loss BuSync]]*(1+RdsonBotTc*Ta-RdsonBotTc*25))/(1-Table2[[#This Row],[RDS(on) Loss BuSync]]*RdsonBotTc*ThetaJA_Q2)</f>
        <v>0.19748944446522135</v>
      </c>
      <c r="AP35" s="354">
        <f>Table2[[#This Row],[Irms Lf]]</f>
        <v>3.2815910411324642</v>
      </c>
      <c r="AQ35" s="354">
        <f>Rdson4*Table2[[#This Row],[Irms BoCtlr]]^2</f>
        <v>4.5229126997211586E-2</v>
      </c>
      <c r="AR35" s="354">
        <f>CHOOSE(Table2[[#This Row],[Mode Digit]], 0, (Vout*Table2[[#This Row],[Iin]]/2)*(Fsw)*(Tr_boost+Tf_boost), (Vout*Iout/2)*(Fsw/1)*(Tr_boost+Tf_boost))</f>
        <v>0</v>
      </c>
      <c r="AS35" s="354">
        <f>IF(Table2[[#This Row],[Vin]]&gt;Vout, 0, IF(Table2[[#This Row],[Iin]]&gt;Table2[[#This Row],[Ripple Current pk-pk]]/2,0,ABS(Table2[[#This Row],[Iin]]-Table2[[#This Row],[Ripple Current pk-pk]]/2)*Vsd_Q4*Deadtime*Fsw))</f>
        <v>0</v>
      </c>
      <c r="AT35" s="354">
        <f>(Table2[[#This Row],[Dead Time Loss BoCtlr]]+Table2[[#This Row],[Transition Loss BoCtlr]]+Table2[[#This Row],[RDS(on) Loss BoCtlr]]*(1+RdsonTopTc*Ta-RdsonTopTc*25))/(1-Table2[[#This Row],[RDS(on) Loss BoCtlr]]*RdsonTopTc*ThetaJA_Q4)</f>
        <v>4.5725476610481222E-2</v>
      </c>
      <c r="AU35" s="354">
        <f>Table2[[#This Row],[Irms Lf]]</f>
        <v>3.2815910411324642</v>
      </c>
      <c r="AV35" s="354">
        <f>Rdson3*Table2[[#This Row],[Irms BoSync]]^2</f>
        <v>4.5229126997211586E-2</v>
      </c>
      <c r="AW3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5" s="354">
        <f>(Table2[[#This Row],[Deadtime Loss BoSync]]+Table2[[#This Row],[RDS(on) Loss BoSync]]*(1+RdsonBotTc*Ta-RdsonBotTc*25))/(1-Table2[[#This Row],[RDS(on) Loss BoSync]]*RdsonBotTc*ThetaJA_Q3)</f>
        <v>4.5725476610481222E-2</v>
      </c>
      <c r="AY35" s="354">
        <f>CHOOSE(Table2[[#This Row],[Mode Digit]], Rdson3*Table2[[#This Row],[Irms Lf]]^2, Rdson1*Table2[[#This Row],[Irms Lf]]^2, 0)</f>
        <v>4.5229126997211586E-2</v>
      </c>
      <c r="AZ35" s="354">
        <f>CHOOSE(Table2[[#This Row],[Mode Digit]], 2*Deadtime*Fsw*IF(VfdSky_Q2&gt;0,VfdSky_Q2,0)*Table2[[#This Row],[Iout]], 2*Deadtime*Fsw*IF(VfdSky_Q3&gt;0,VfdSky_Q3,0)*Table2[[#This Row],[Iin]], 2*Deadtime*Fsw*IF(VfdSky_Q2&gt;0,VfdSky_Q2,0)*Table2[[#This Row],[Iout]]+2*Deadtime*Fsw*IF(VfdSky_Q3&gt;0,VfdSky_Q3,0)*Table2[[#This Row],[Iin]])</f>
        <v>0</v>
      </c>
      <c r="BA3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7.3591115520000014E-2</v>
      </c>
      <c r="BB3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7.3591115520000014E-2</v>
      </c>
      <c r="BC35" s="354">
        <f>CHOOSE(Table2[[#This Row],[Mode Digit]], Rs*Table2[[#This Row],[Irms BuSync]]^2, Rs*Table2[[#This Row],[Irms BoCtlr]]^2, Rs*(Table2[[#This Row],[Irms BuSync]]^2+Table2[[#This Row],[Irms BoCtlr]]^2))</f>
        <v>2.6922099403102129E-2</v>
      </c>
      <c r="BD35" s="354">
        <f t="shared" si="1"/>
        <v>1.44</v>
      </c>
      <c r="BE35" s="354">
        <f>IF(Vout&gt;8, Iq*Vout, Iq*Table2[[#This Row],[Vin]])</f>
        <v>4.3799999999999999E-2</v>
      </c>
      <c r="BF35" s="354">
        <f>CHOOSE(Table2[[#This Row],[Mode Digit]], (Qg_Q1+Qg_Q2)*Fsw, (Qg_Q3+Qg_Q4)*Fsw, (Qg_Q1+Qg_Q2+Qg_Q3+Qg_Q4)*Fsw)*IF(Vout&gt;8, Vout, Table2[[#This Row],[Vin]])</f>
        <v>0.47303999999999996</v>
      </c>
      <c r="BG35" s="354">
        <f t="shared" si="4"/>
        <v>0.57269042016806726</v>
      </c>
      <c r="BH35" s="354">
        <f>Table2[[#This Row],[IQ Loss]]+Table2[[#This Row],[Switching Current Loss]]</f>
        <v>0.51683999999999997</v>
      </c>
      <c r="BI3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3.8619498670559338</v>
      </c>
      <c r="BJ35">
        <f>Vout*Table2[[#This Row],[Iout]]</f>
        <v>45.552</v>
      </c>
      <c r="BK35" s="550">
        <f>Table2[[#This Row],[Pout]]/(Table2[[#This Row],[Pout]]+Table2[[#This Row],[Total Loss]])</f>
        <v>0.92184494707575115</v>
      </c>
      <c r="BL35" s="559">
        <f>IF(Table2[[#This Row],[Vin]]&gt;Vout,ThetaJA_Q1*(Table2[[#This Row],[Total Control Bu MOSFET Loss]]+Table2[[#This Row],[Reverse Recovery Loss MOSFET D BUCK]]),ThetaJA_Q4*(Table2[[#This Row],[Total Control Bo MOSFET Loss]]+Table2[[#This Row],[Reverse Recovery Loss MOSFET D BOOST]]))</f>
        <v>51.449484204750668</v>
      </c>
      <c r="BM35" s="559">
        <f>IF(Table2[[#This Row],[Vin]]&gt;Vout, Table2[[#This Row],[Total Sync Bu MOSFET Loss]]*ThetaJA_Q2, ThetaJA_Q3*Table2[[#This Row],[Total Sync Bo MOSFET Loss]])</f>
        <v>11.84936666791328</v>
      </c>
      <c r="BN35" s="9"/>
      <c r="BO35" s="4">
        <f>Table2[[#This Row],[EFF, h]]*100</f>
        <v>92.184494707575112</v>
      </c>
      <c r="BP35" s="354">
        <f>Table2[[#This Row],[Total Inductor Loss]]</f>
        <v>0.64791884893177076</v>
      </c>
      <c r="BQ35" s="354">
        <f>Table2[[#This Row],[Total Control Bu MOSFET Loss]]+Table2[[#This Row],[Total Sync Bu MOSFET Loss]]+Table2[[#This Row],[Total Control Bo MOSFET Loss]]+Table2[[#This Row],[Total Sync Bo MOSFET Loss]]+Table2[[#This Row],[Reverse Recovery Loss MOSFET D BUCK]]+Table2[[#This Row],[Reverse Recovery Loss MOSFET D BOOST]]</f>
        <v>1.2200229166186951</v>
      </c>
      <c r="BR35" s="354">
        <f xml:space="preserve"> Table2[[#This Row],[Total Control Bu MOSFET Loss]]+Table2[[#This Row],[Reverse Recovery Loss MOSFET D BUCK]]*0.66</f>
        <v>0.83247042413571126</v>
      </c>
      <c r="BS35" s="354">
        <f>Table2[[#This Row],[Total Sync Bu MOSFET Loss]]+Table2[[#This Row],[Reverse Recovery Loss MOSFET D BUCK]]*0.33</f>
        <v>0.22177451258682135</v>
      </c>
      <c r="BT35" s="354">
        <f xml:space="preserve"> Table2[[#This Row],[Total Control Bo MOSFET Loss]]+Table2[[#This Row],[Reverse Recovery Loss MOSFET D BOOST]]*0.66</f>
        <v>9.4295612853681238E-2</v>
      </c>
      <c r="BU35" s="354">
        <f xml:space="preserve"> Table2[[#This Row],[Total Sync Bo MOSFET Loss]]+Table2[[#This Row],[Reverse Recovery Loss MOSFET D BOOST]]*0.33</f>
        <v>7.0010544732081223E-2</v>
      </c>
      <c r="BV35" s="354">
        <f>Table2[[#This Row],[Isense Shunt Loss]]</f>
        <v>2.6922099403102129E-2</v>
      </c>
      <c r="CA35">
        <v>9.9986049999999995</v>
      </c>
      <c r="CB35">
        <v>1.0528999999999999</v>
      </c>
      <c r="CC35">
        <v>5.1218219999999999</v>
      </c>
      <c r="CD35">
        <v>92.889938966292178</v>
      </c>
      <c r="CE35">
        <v>412.77762981700039</v>
      </c>
    </row>
    <row r="36" spans="1:83" x14ac:dyDescent="0.2">
      <c r="A36" s="24" t="s">
        <v>725</v>
      </c>
      <c r="B36" s="15" t="s">
        <v>113</v>
      </c>
      <c r="C36" s="24" t="s">
        <v>80</v>
      </c>
      <c r="D36" s="17" t="s">
        <v>109</v>
      </c>
      <c r="G36">
        <v>27</v>
      </c>
      <c r="H36" s="555">
        <f t="shared" si="0"/>
        <v>23.6</v>
      </c>
      <c r="I36" s="4" t="str">
        <f>IF(Mode = 2,IF(Table2[[#This Row],[Vin]]&gt;Vout, "BUCK","BOOST"),IF(Table2[[#This Row],[Vin]]&gt;VIN_BB_to_buck, "BUCK", IF(Table2[[#This Row],[Vin]]&lt;=VIN_boost_to_BB,"BOOST","BUCK-BST")))</f>
        <v>BUCK</v>
      </c>
      <c r="J36">
        <f>IF(Table2[[#This Row],[Mode]]="BOOST",2, IF(Table2[[#This Row],[Mode]]="BUCK", 1,3))</f>
        <v>1</v>
      </c>
      <c r="K36" s="354">
        <f t="shared" si="3"/>
        <v>3.24</v>
      </c>
      <c r="L36" s="4">
        <f>Vout*Table2[[#This Row],[Iout]]/(Table2[[#This Row],[Vin]]*Efficiency)</f>
        <v>2.1099018733273862</v>
      </c>
      <c r="M36" s="711">
        <f>MIN(1/Fsw,CHOOSE(Table2[[#This Row],[Mode Digit]],(Vout+(Rdson2+Rs+Rdcr)*Table2[[#This Row],[Iout]])/(Table2[[#This Row],[Vin]]+(Rs+Rdson2-Rdson1)*Table2[[#This Row],[Iout]])/Fsw,(Vout+(Rdson3+Rdcr)*Table2[[#This Row],[Iin]]-Table2[[#This Row],[Vin]])/(Vout+(Rdson3-Rdson4-Rs)*Table2[[#This Row],[Iin]])/Fsw,t1_Ph_II))</f>
        <v>1.0335788705289002E-6</v>
      </c>
      <c r="N36" s="602">
        <f>CHOOSE(Table2[[#This Row],[Mode Digit]],1/Fsw-Table2[[#This Row],[t1_Ph_II]],1/Fsw-Table2[[#This Row],[t1_Ph_II]],(Vout/Fsw-Table2[[#This Row],[Vin]]*t1_Ph_II)/(Table2[[#This Row],[Vin]]+Vout))</f>
        <v>6.3308779613776643E-7</v>
      </c>
      <c r="O36" s="602">
        <f>1/Fsw-(Table2[[#This Row],[t1_Ph_II]]+Table2[[#This Row],[t2_Ph_I]])</f>
        <v>0</v>
      </c>
      <c r="P3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1.4782178343257382</v>
      </c>
      <c r="Q36" s="4">
        <f>CHOOSE(Table2[[#This Row],[Mode Digit]],Table2[[#This Row],[I_0]]+1/Lf*(Table2[[#This Row],[Vin]]-Vout)*Table2[[#This Row],[t1_Ph_II]],Table2[[#This Row],[I_0]]+1/Lf*Table2[[#This Row],[Vin]]*Table2[[#This Row],[t1_Ph_II]],Table2[[#This Row],[I_0]]+(Table2[[#This Row],[Vin]]-Vout)/L*Table2[[#This Row],[t1_Ph_II]])</f>
        <v>5.0017821656742623</v>
      </c>
      <c r="R36" s="4">
        <f>CHOOSE(Table2[[#This Row],[Mode Digit]],0,0,Table2[[#This Row],[I_1]]+Table2[[#This Row],[Vin]]/L*Table2[[#This Row],[t2_Ph_I]])</f>
        <v>0</v>
      </c>
      <c r="S36" s="409">
        <f>Fsw*(Table2[[#This Row],[I_0]]*Table2[[#This Row],[t1_Ph_II]]+Table2[[#This Row],[I_1]]*Table2[[#This Row],[t2_Ph_I]]+Table2[[#This Row],[I_2]]*Table2[[#This Row],[t3_Ph_III]])</f>
        <v>2.8166531805755857</v>
      </c>
      <c r="T36" s="354">
        <f>MIN(1,CHOOSE(Table2[[#This Row],[Mode Digit]],(Vout+(Rdson2+Rs+Rdcr)*Table2[[#This Row],[Iout]])/(Table2[[#This Row],[Vin]]+(Rs+Rdson2-Rdson1)*Table2[[#This Row],[Iout]]),1,Fsw*Table2[[#This Row],[t2_Ph_I]]+Table2[[#This Row],[t1_Ph_II]]))</f>
        <v>0.62014732231734015</v>
      </c>
      <c r="U36" s="354">
        <f>MIN(1,CHOOSE(Table2[[#This Row],[Mode Digit]],0,(Vout+(Rdson3+Rdcr)*Table2[[#This Row],[Iin]]-Table2[[#This Row],[Vin]])/(Vout+(Rdson3-Rdson4-Rs)*Table2[[#This Row],[Iin]]),Fsw*Table2[[#This Row],[t1_Ph_II]]+Table2[[#This Row],[t3_Ph_III]]))</f>
        <v>0</v>
      </c>
      <c r="V36" s="4">
        <f>MAX(Table2[[#This Row],[I_0]:[I_2]])-MIN(Table2[[#This Row],[I_0]:[I_1]])</f>
        <v>3.5235643313485241</v>
      </c>
      <c r="W3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3.3959130534260296</v>
      </c>
      <c r="X36" s="354">
        <f>(Table2[[#This Row],[Irms Lf]]^2*Rdcr*(1+Ltc*Ta-Ltc*25))/(1-Table2[[#This Row],[Irms Lf]]^2*Rdcr*Ltc*ThetaCa)</f>
        <v>6.7246741834454948E-2</v>
      </c>
      <c r="Y36" s="354">
        <f>ABS(7.759*10^-3*Fsw^0.9458*(0.00787*Table2[[#This Row],[Ripple Current pk-pk]])^2.304)</f>
        <v>0.58526693381529082</v>
      </c>
      <c r="Z36" s="354">
        <f>Table2[[#This Row],[DCR    Loss]]+Table2[[#This Row],[Core Loss]]</f>
        <v>0.65251367564974583</v>
      </c>
      <c r="AA36" s="4">
        <f>IF(Table2[[#This Row],[Vin]]&gt;Vout, Table2[[#This Row],[Ripple Current pk-pk]]/SQRT(12), SQRT(Table2[[#This Row],[Duty Cycle BOOST Leg]]/(1-Table2[[#This Row],[Duty Cycle BOOST Leg]]))*SQRT(Table2[[#This Row],[Iout]]^2+(Table2[[#This Row],[Ripple Current pk-pk]]^2)/12))</f>
        <v>1.0171654076055172</v>
      </c>
      <c r="AB36" s="354">
        <f>RCoutEsr*Table2[[#This Row],[Irms Cout]]^2</f>
        <v>5.1731273321464896E-3</v>
      </c>
      <c r="AC36" s="354">
        <f>Table2[[#This Row],[Cout ESR Loss]]</f>
        <v>5.1731273321464896E-3</v>
      </c>
      <c r="AD36" s="4">
        <f>IF(Table2[[#This Row],[Vin]]&gt;Vout, SQRT(Table2[[#This Row],[Duty Cycle BUCK Leg]]*(1-Table2[[#This Row],[Duty Cycle BUCK Leg]]))*SQRT(Table2[[#This Row],[Iout]]^2+(Table2[[#This Row],[Ripple Current pk-pk]]^2)/12), Table2[[#This Row],[Ripple Current pk-pk]]/SQRT(12))</f>
        <v>1.6482063950226997</v>
      </c>
      <c r="AE36" s="354">
        <f>RCinEsr*Table2[[#This Row],[Irms Cin]]^2</f>
        <v>5.4331686411874473E-3</v>
      </c>
      <c r="AF36" s="549">
        <f>Table2[[#This Row],[Cin ESR Loss]]</f>
        <v>5.4331686411874473E-3</v>
      </c>
      <c r="AG36" s="354">
        <f>Table2[[#This Row],[Irms Lf]]</f>
        <v>3.3959130534260296</v>
      </c>
      <c r="AH36" s="354">
        <f>Rdson1*Table2[[#This Row],[Irms BuCtrl]]^2</f>
        <v>4.8435346959003062E-2</v>
      </c>
      <c r="AI36" s="354">
        <f>CHOOSE(Table2[[#This Row],[Mode Digit]], (Table2[[#This Row],[Vin]]*Table2[[#This Row],[Iout]]/2)*(Fsw)*(Tr_buck+Tf_buck), 0, (Table2[[#This Row],[Vin]]*Table2[[#This Row],[Avg IL]]/2)*(Fsw/1)*(Tr_buck+Tf_buck))</f>
        <v>0.75824508191553874</v>
      </c>
      <c r="AJ36">
        <f>IF(Table2[[#This Row],[Vin]]&gt;Vout, IF(Table2[[#This Row],[Iout]]&gt;Table2[[#This Row],[Ripple Current pk-pk]]/2,0,ABS(Table2[[#This Row],[Iout]]-Table2[[#This Row],[Ripple Current pk-pk]]/2)*Vsd_Q1*Deadtime*Fsw),0)</f>
        <v>0</v>
      </c>
      <c r="AK36" s="354">
        <f>(Table2[[#This Row],[Dead Time Loss BuCtrl]]+Table2[[#This Row],[Transition Loss BuCtrl]]+Table2[[#This Row],[RDS(on) Loss BuCtrl]]*(1+RdsonTopTc*Ta-RdsonTopTc*25))/(1-Table2[[#This Row],[RDS(on) Loss BuCtrl]]*RdsonTopTc*ThetaJA_Q1)</f>
        <v>0.81616795966733602</v>
      </c>
      <c r="AL36" s="354">
        <f>Table2[[#This Row],[Irms Lf]]</f>
        <v>3.3959130534260296</v>
      </c>
      <c r="AM36" s="354">
        <f>Rdson2*Table2[[#This Row],[Irms BuSync]]^2</f>
        <v>4.8435346959003062E-2</v>
      </c>
      <c r="AN3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0.15589028571428573</v>
      </c>
      <c r="AO36" s="354">
        <f>(Table2[[#This Row],[Deadtime Loss BuSync]]+Table2[[#This Row],[RDS(on) Loss BuSync]]*(1+RdsonBotTc*Ta-RdsonBotTc*25))/(1-Table2[[#This Row],[RDS(on) Loss BuSync]]*RdsonBotTc*ThetaJA_Q2)</f>
        <v>0.20672874754053502</v>
      </c>
      <c r="AP36" s="354">
        <f>Table2[[#This Row],[Irms Lf]]</f>
        <v>3.3959130534260296</v>
      </c>
      <c r="AQ36" s="354">
        <f>Rdson4*Table2[[#This Row],[Irms BoCtlr]]^2</f>
        <v>4.8435346959003062E-2</v>
      </c>
      <c r="AR36" s="354">
        <f>CHOOSE(Table2[[#This Row],[Mode Digit]], 0, (Vout*Table2[[#This Row],[Iin]]/2)*(Fsw)*(Tr_boost+Tf_boost), (Vout*Iout/2)*(Fsw/1)*(Tr_boost+Tf_boost))</f>
        <v>0</v>
      </c>
      <c r="AS36" s="354">
        <f>IF(Table2[[#This Row],[Vin]]&gt;Vout, 0, IF(Table2[[#This Row],[Iin]]&gt;Table2[[#This Row],[Ripple Current pk-pk]]/2,0,ABS(Table2[[#This Row],[Iin]]-Table2[[#This Row],[Ripple Current pk-pk]]/2)*Vsd_Q4*Deadtime*Fsw))</f>
        <v>0</v>
      </c>
      <c r="AT36" s="354">
        <f>(Table2[[#This Row],[Dead Time Loss BoCtlr]]+Table2[[#This Row],[Transition Loss BoCtlr]]+Table2[[#This Row],[RDS(on) Loss BoCtlr]]*(1+RdsonTopTc*Ta-RdsonTopTc*25))/(1-Table2[[#This Row],[RDS(on) Loss BoCtlr]]*RdsonTopTc*ThetaJA_Q4)</f>
        <v>4.9005004817660097E-2</v>
      </c>
      <c r="AU36" s="354">
        <f>Table2[[#This Row],[Irms Lf]]</f>
        <v>3.3959130534260296</v>
      </c>
      <c r="AV36" s="354">
        <f>Rdson3*Table2[[#This Row],[Irms BoSync]]^2</f>
        <v>4.8435346959003062E-2</v>
      </c>
      <c r="AW3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6" s="354">
        <f>(Table2[[#This Row],[Deadtime Loss BoSync]]+Table2[[#This Row],[RDS(on) Loss BoSync]]*(1+RdsonBotTc*Ta-RdsonBotTc*25))/(1-Table2[[#This Row],[RDS(on) Loss BoSync]]*RdsonBotTc*ThetaJA_Q3)</f>
        <v>4.9005004817660097E-2</v>
      </c>
      <c r="AY36" s="354">
        <f>CHOOSE(Table2[[#This Row],[Mode Digit]], Rdson3*Table2[[#This Row],[Irms Lf]]^2, Rdson1*Table2[[#This Row],[Irms Lf]]^2, 0)</f>
        <v>4.8435346959003062E-2</v>
      </c>
      <c r="AZ36" s="354">
        <f>CHOOSE(Table2[[#This Row],[Mode Digit]], 2*Deadtime*Fsw*IF(VfdSky_Q2&gt;0,VfdSky_Q2,0)*Table2[[#This Row],[Iout]], 2*Deadtime*Fsw*IF(VfdSky_Q3&gt;0,VfdSky_Q3,0)*Table2[[#This Row],[Iin]], 2*Deadtime*Fsw*IF(VfdSky_Q2&gt;0,VfdSky_Q2,0)*Table2[[#This Row],[Iout]]+2*Deadtime*Fsw*IF(VfdSky_Q3&gt;0,VfdSky_Q3,0)*Table2[[#This Row],[Iin]])</f>
        <v>0</v>
      </c>
      <c r="BA3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7.6419910080000014E-2</v>
      </c>
      <c r="BB3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7.6419910080000014E-2</v>
      </c>
      <c r="BC36" s="354">
        <f>CHOOSE(Table2[[#This Row],[Mode Digit]], Rs*Table2[[#This Row],[Irms BuSync]]^2, Rs*Table2[[#This Row],[Irms BoCtlr]]^2, Rs*(Table2[[#This Row],[Irms BuSync]]^2+Table2[[#This Row],[Irms BoCtlr]]^2))</f>
        <v>2.8830563666073249E-2</v>
      </c>
      <c r="BD36" s="354">
        <f t="shared" si="1"/>
        <v>1.44</v>
      </c>
      <c r="BE36" s="354">
        <f>IF(Vout&gt;8, Iq*Vout, Iq*Table2[[#This Row],[Vin]])</f>
        <v>4.3799999999999999E-2</v>
      </c>
      <c r="BF36" s="354">
        <f>CHOOSE(Table2[[#This Row],[Mode Digit]], (Qg_Q1+Qg_Q2)*Fsw, (Qg_Q3+Qg_Q4)*Fsw, (Qg_Q1+Qg_Q2+Qg_Q3+Qg_Q4)*Fsw)*IF(Vout&gt;8, Vout, Table2[[#This Row],[Vin]])</f>
        <v>0.47303999999999996</v>
      </c>
      <c r="BG36" s="354">
        <f t="shared" si="4"/>
        <v>0.57269042016806726</v>
      </c>
      <c r="BH36" s="354">
        <f>Table2[[#This Row],[IQ Loss]]+Table2[[#This Row],[Switching Current Loss]]</f>
        <v>0.51683999999999997</v>
      </c>
      <c r="BI3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3.9225370722923438</v>
      </c>
      <c r="BJ36">
        <f>Vout*Table2[[#This Row],[Iout]]</f>
        <v>47.304000000000002</v>
      </c>
      <c r="BK36" s="550">
        <f>Table2[[#This Row],[Pout]]/(Table2[[#This Row],[Pout]]+Table2[[#This Row],[Total Loss]])</f>
        <v>0.92342763543128537</v>
      </c>
      <c r="BL36" s="559">
        <f>IF(Table2[[#This Row],[Vin]]&gt;Vout,ThetaJA_Q1*(Table2[[#This Row],[Total Control Bu MOSFET Loss]]+Table2[[#This Row],[Reverse Recovery Loss MOSFET D BUCK]]),ThetaJA_Q4*(Table2[[#This Row],[Total Control Bo MOSFET Loss]]+Table2[[#This Row],[Reverse Recovery Loss MOSFET D BOOST]]))</f>
        <v>53.555272184840163</v>
      </c>
      <c r="BM36" s="559">
        <f>IF(Table2[[#This Row],[Vin]]&gt;Vout, Table2[[#This Row],[Total Sync Bu MOSFET Loss]]*ThetaJA_Q2, ThetaJA_Q3*Table2[[#This Row],[Total Sync Bo MOSFET Loss]])</f>
        <v>12.403724852432102</v>
      </c>
      <c r="BN36" s="9"/>
      <c r="BO36" s="4">
        <f>Table2[[#This Row],[EFF, h]]*100</f>
        <v>92.342763543128541</v>
      </c>
      <c r="BP36" s="354">
        <f>Table2[[#This Row],[Total Inductor Loss]]</f>
        <v>0.65251367564974583</v>
      </c>
      <c r="BQ36" s="354">
        <f>Table2[[#This Row],[Total Control Bu MOSFET Loss]]+Table2[[#This Row],[Total Sync Bu MOSFET Loss]]+Table2[[#This Row],[Total Control Bo MOSFET Loss]]+Table2[[#This Row],[Total Sync Bo MOSFET Loss]]+Table2[[#This Row],[Reverse Recovery Loss MOSFET D BUCK]]+Table2[[#This Row],[Reverse Recovery Loss MOSFET D BOOST]]</f>
        <v>1.2737465370031911</v>
      </c>
      <c r="BR36" s="354">
        <f xml:space="preserve"> Table2[[#This Row],[Total Control Bu MOSFET Loss]]+Table2[[#This Row],[Reverse Recovery Loss MOSFET D BUCK]]*0.66</f>
        <v>0.86660510032013605</v>
      </c>
      <c r="BS36" s="354">
        <f>Table2[[#This Row],[Total Sync Bu MOSFET Loss]]+Table2[[#This Row],[Reverse Recovery Loss MOSFET D BUCK]]*0.33</f>
        <v>0.23194731786693504</v>
      </c>
      <c r="BT36" s="354">
        <f xml:space="preserve"> Table2[[#This Row],[Total Control Bo MOSFET Loss]]+Table2[[#This Row],[Reverse Recovery Loss MOSFET D BOOST]]*0.66</f>
        <v>9.9442145470460111E-2</v>
      </c>
      <c r="BU36" s="354">
        <f xml:space="preserve"> Table2[[#This Row],[Total Sync Bo MOSFET Loss]]+Table2[[#This Row],[Reverse Recovery Loss MOSFET D BOOST]]*0.33</f>
        <v>7.4223575144060111E-2</v>
      </c>
      <c r="BV36" s="354">
        <f>Table2[[#This Row],[Isense Shunt Loss]]</f>
        <v>2.8830563666073249E-2</v>
      </c>
      <c r="CA36">
        <v>9.9986669999999993</v>
      </c>
      <c r="CB36">
        <v>1.3092999999999999</v>
      </c>
      <c r="CC36">
        <v>5.1195649999999997</v>
      </c>
      <c r="CD36">
        <v>93.690364214923264</v>
      </c>
      <c r="CE36">
        <v>451.42072788069993</v>
      </c>
    </row>
    <row r="37" spans="1:83" x14ac:dyDescent="0.2">
      <c r="A37" s="23" t="s">
        <v>75</v>
      </c>
      <c r="B37" s="5">
        <f>Rdson1*1000</f>
        <v>4.2</v>
      </c>
      <c r="C37" s="442" t="s">
        <v>638</v>
      </c>
      <c r="D37" s="440" t="s">
        <v>728</v>
      </c>
      <c r="G37">
        <v>28</v>
      </c>
      <c r="H37" s="555">
        <f t="shared" si="0"/>
        <v>23.6</v>
      </c>
      <c r="I37" s="4" t="str">
        <f>IF(Mode = 2,IF(Table2[[#This Row],[Vin]]&gt;Vout, "BUCK","BOOST"),IF(Table2[[#This Row],[Vin]]&gt;VIN_BB_to_buck, "BUCK", IF(Table2[[#This Row],[Vin]]&lt;=VIN_boost_to_BB,"BOOST","BUCK-BST")))</f>
        <v>BUCK</v>
      </c>
      <c r="J37">
        <f>IF(Table2[[#This Row],[Mode]]="BOOST",2, IF(Table2[[#This Row],[Mode]]="BUCK", 1,3))</f>
        <v>1</v>
      </c>
      <c r="K37" s="354">
        <f t="shared" si="3"/>
        <v>3.36</v>
      </c>
      <c r="L37" s="4">
        <f>Vout*Table2[[#This Row],[Iout]]/(Table2[[#This Row],[Vin]]*Efficiency)</f>
        <v>2.1880463871543263</v>
      </c>
      <c r="M37" s="711">
        <f>MIN(1/Fsw,CHOOSE(Table2[[#This Row],[Mode Digit]],(Vout+(Rdson2+Rs+Rdcr)*Table2[[#This Row],[Iout]])/(Table2[[#This Row],[Vin]]+(Rs+Rdson2-Rdson1)*Table2[[#This Row],[Iout]])/Fsw,(Vout+(Rdson3+Rdcr)*Table2[[#This Row],[Iin]]-Table2[[#This Row],[Vin]])/(Vout+(Rdson3-Rdson4-Rs)*Table2[[#This Row],[Iin]])/Fsw,t1_Ph_II))</f>
        <v>1.0336716310013947E-6</v>
      </c>
      <c r="N37" s="602">
        <f>CHOOSE(Table2[[#This Row],[Mode Digit]],1/Fsw-Table2[[#This Row],[t1_Ph_II]],1/Fsw-Table2[[#This Row],[t1_Ph_II]],(Vout/Fsw-Table2[[#This Row],[Vin]]*t1_Ph_II)/(Table2[[#This Row],[Vin]]+Vout))</f>
        <v>6.3299503566527196E-7</v>
      </c>
      <c r="O37" s="602">
        <f>1/Fsw-(Table2[[#This Row],[t1_Ph_II]]+Table2[[#This Row],[t2_Ph_I]])</f>
        <v>0</v>
      </c>
      <c r="P3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1.5980597198839859</v>
      </c>
      <c r="Q37" s="4">
        <f>CHOOSE(Table2[[#This Row],[Mode Digit]],Table2[[#This Row],[I_0]]+1/Lf*(Table2[[#This Row],[Vin]]-Vout)*Table2[[#This Row],[t1_Ph_II]],Table2[[#This Row],[I_0]]+1/Lf*Table2[[#This Row],[Vin]]*Table2[[#This Row],[t1_Ph_II]],Table2[[#This Row],[I_0]]+(Table2[[#This Row],[Vin]]-Vout)/L*Table2[[#This Row],[t1_Ph_II]])</f>
        <v>5.1219402801160143</v>
      </c>
      <c r="R37" s="4">
        <f>CHOOSE(Table2[[#This Row],[Mode Digit]],0,0,Table2[[#This Row],[I_1]]+Table2[[#This Row],[Vin]]/L*Table2[[#This Row],[t2_Ph_I]])</f>
        <v>0</v>
      </c>
      <c r="S37" s="409">
        <f>Fsw*(Table2[[#This Row],[I_0]]*Table2[[#This Row],[t1_Ph_II]]+Table2[[#This Row],[I_1]]*Table2[[#This Row],[t2_Ph_I]]+Table2[[#This Row],[I_2]]*Table2[[#This Row],[t3_Ph_III]])</f>
        <v>2.9364190604265246</v>
      </c>
      <c r="T37" s="354">
        <f>MIN(1,CHOOSE(Table2[[#This Row],[Mode Digit]],(Vout+(Rdson2+Rs+Rdcr)*Table2[[#This Row],[Iout]])/(Table2[[#This Row],[Vin]]+(Rs+Rdson2-Rdson1)*Table2[[#This Row],[Iout]]),1,Fsw*Table2[[#This Row],[t2_Ph_I]]+Table2[[#This Row],[t1_Ph_II]]))</f>
        <v>0.62020297860083684</v>
      </c>
      <c r="U37" s="354">
        <f>MIN(1,CHOOSE(Table2[[#This Row],[Mode Digit]],0,(Vout+(Rdson3+Rdcr)*Table2[[#This Row],[Iin]]-Table2[[#This Row],[Vin]])/(Vout+(Rdson3-Rdson4-Rs)*Table2[[#This Row],[Iin]]),Fsw*Table2[[#This Row],[t1_Ph_II]]+Table2[[#This Row],[t3_Ph_III]]))</f>
        <v>0</v>
      </c>
      <c r="V37" s="4">
        <f>MAX(Table2[[#This Row],[I_0]:[I_2]])-MIN(Table2[[#This Row],[I_0]:[I_1]])</f>
        <v>3.5238805602320284</v>
      </c>
      <c r="W3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3.5106140749967234</v>
      </c>
      <c r="X37" s="354">
        <f>(Table2[[#This Row],[Irms Lf]]^2*Rdcr*(1+Ltc*Ta-Ltc*25))/(1-Table2[[#This Row],[Irms Lf]]^2*Rdcr*Ltc*ThetaCa)</f>
        <v>7.1892705225455544E-2</v>
      </c>
      <c r="Y37" s="354">
        <f>ABS(7.759*10^-3*Fsw^0.9458*(0.00787*Table2[[#This Row],[Ripple Current pk-pk]])^2.304)</f>
        <v>0.58538796051896602</v>
      </c>
      <c r="Z37" s="354">
        <f>Table2[[#This Row],[DCR    Loss]]+Table2[[#This Row],[Core Loss]]</f>
        <v>0.65728066574442157</v>
      </c>
      <c r="AA37" s="4">
        <f>IF(Table2[[#This Row],[Vin]]&gt;Vout, Table2[[#This Row],[Ripple Current pk-pk]]/SQRT(12), SQRT(Table2[[#This Row],[Duty Cycle BOOST Leg]]/(1-Table2[[#This Row],[Duty Cycle BOOST Leg]]))*SQRT(Table2[[#This Row],[Iout]]^2+(Table2[[#This Row],[Ripple Current pk-pk]]^2)/12))</f>
        <v>1.0172566950210256</v>
      </c>
      <c r="AB37" s="354">
        <f>RCoutEsr*Table2[[#This Row],[Irms Cout]]^2</f>
        <v>5.1740559178254991E-3</v>
      </c>
      <c r="AC37" s="354">
        <f>Table2[[#This Row],[Cout ESR Loss]]</f>
        <v>5.1740559178254991E-3</v>
      </c>
      <c r="AD37" s="4">
        <f>IF(Table2[[#This Row],[Vin]]&gt;Vout, SQRT(Table2[[#This Row],[Duty Cycle BUCK Leg]]*(1-Table2[[#This Row],[Duty Cycle BUCK Leg]]))*SQRT(Table2[[#This Row],[Iout]]^2+(Table2[[#This Row],[Ripple Current pk-pk]]^2)/12), Table2[[#This Row],[Ripple Current pk-pk]]/SQRT(12))</f>
        <v>1.7038281559656137</v>
      </c>
      <c r="AE37" s="354">
        <f>RCinEsr*Table2[[#This Row],[Irms Cin]]^2</f>
        <v>5.806060770122367E-3</v>
      </c>
      <c r="AF37" s="549">
        <f>Table2[[#This Row],[Cin ESR Loss]]</f>
        <v>5.806060770122367E-3</v>
      </c>
      <c r="AG37" s="354">
        <f>Table2[[#This Row],[Irms Lf]]</f>
        <v>3.5106140749967234</v>
      </c>
      <c r="AH37" s="354">
        <f>Rdson1*Table2[[#This Row],[Irms BuCtrl]]^2</f>
        <v>5.176252697097343E-2</v>
      </c>
      <c r="AI37" s="354">
        <f>CHOOSE(Table2[[#This Row],[Mode Digit]], (Table2[[#This Row],[Vin]]*Table2[[#This Row],[Iout]]/2)*(Fsw)*(Tr_buck+Tf_buck), 0, (Table2[[#This Row],[Vin]]*Table2[[#This Row],[Avg IL]]/2)*(Fsw/1)*(Tr_buck+Tf_buck))</f>
        <v>0.7863282330975957</v>
      </c>
      <c r="AJ37">
        <f>IF(Table2[[#This Row],[Vin]]&gt;Vout, IF(Table2[[#This Row],[Iout]]&gt;Table2[[#This Row],[Ripple Current pk-pk]]/2,0,ABS(Table2[[#This Row],[Iout]]-Table2[[#This Row],[Ripple Current pk-pk]]/2)*Vsd_Q1*Deadtime*Fsw),0)</f>
        <v>0</v>
      </c>
      <c r="AK37" s="354">
        <f>(Table2[[#This Row],[Dead Time Loss BuCtrl]]+Table2[[#This Row],[Transition Loss BuCtrl]]+Table2[[#This Row],[RDS(on) Loss BuCtrl]]*(1+RdsonTopTc*Ta-RdsonTopTc*25))/(1-Table2[[#This Row],[RDS(on) Loss BuCtrl]]*RdsonTopTc*ThetaJA_Q1)</f>
        <v>0.84863333751373438</v>
      </c>
      <c r="AL37" s="354">
        <f>Table2[[#This Row],[Irms Lf]]</f>
        <v>3.5106140749967234</v>
      </c>
      <c r="AM37" s="354">
        <f>Rdson2*Table2[[#This Row],[Irms BuSync]]^2</f>
        <v>5.176252697097343E-2</v>
      </c>
      <c r="AN3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0.161664</v>
      </c>
      <c r="AO37" s="354">
        <f>(Table2[[#This Row],[Deadtime Loss BuSync]]+Table2[[#This Row],[RDS(on) Loss BuSync]]*(1+RdsonBotTc*Ta-RdsonBotTc*25))/(1-Table2[[#This Row],[RDS(on) Loss BuSync]]*RdsonBotTc*ThetaJA_Q2)</f>
        <v>0.21611127878623032</v>
      </c>
      <c r="AP37" s="354">
        <f>Table2[[#This Row],[Irms Lf]]</f>
        <v>3.5106140749967234</v>
      </c>
      <c r="AQ37" s="354">
        <f>Rdson4*Table2[[#This Row],[Irms BoCtlr]]^2</f>
        <v>5.176252697097343E-2</v>
      </c>
      <c r="AR37" s="354">
        <f>CHOOSE(Table2[[#This Row],[Mode Digit]], 0, (Vout*Table2[[#This Row],[Iin]]/2)*(Fsw)*(Tr_boost+Tf_boost), (Vout*Iout/2)*(Fsw/1)*(Tr_boost+Tf_boost))</f>
        <v>0</v>
      </c>
      <c r="AS37" s="354">
        <f>IF(Table2[[#This Row],[Vin]]&gt;Vout, 0, IF(Table2[[#This Row],[Iin]]&gt;Table2[[#This Row],[Ripple Current pk-pk]]/2,0,ABS(Table2[[#This Row],[Iin]]-Table2[[#This Row],[Ripple Current pk-pk]]/2)*Vsd_Q4*Deadtime*Fsw))</f>
        <v>0</v>
      </c>
      <c r="AT37" s="354">
        <f>(Table2[[#This Row],[Dead Time Loss BoCtlr]]+Table2[[#This Row],[Transition Loss BoCtlr]]+Table2[[#This Row],[RDS(on) Loss BoCtlr]]*(1+RdsonTopTc*Ta-RdsonTopTc*25))/(1-Table2[[#This Row],[RDS(on) Loss BoCtlr]]*RdsonTopTc*ThetaJA_Q4)</f>
        <v>5.2413662236209253E-2</v>
      </c>
      <c r="AU37" s="354">
        <f>Table2[[#This Row],[Irms Lf]]</f>
        <v>3.5106140749967234</v>
      </c>
      <c r="AV37" s="354">
        <f>Rdson3*Table2[[#This Row],[Irms BoSync]]^2</f>
        <v>5.176252697097343E-2</v>
      </c>
      <c r="AW3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7" s="354">
        <f>(Table2[[#This Row],[Deadtime Loss BoSync]]+Table2[[#This Row],[RDS(on) Loss BoSync]]*(1+RdsonBotTc*Ta-RdsonBotTc*25))/(1-Table2[[#This Row],[RDS(on) Loss BoSync]]*RdsonBotTc*ThetaJA_Q3)</f>
        <v>5.2413662236209253E-2</v>
      </c>
      <c r="AY37" s="354">
        <f>CHOOSE(Table2[[#This Row],[Mode Digit]], Rdson3*Table2[[#This Row],[Irms Lf]]^2, Rdson1*Table2[[#This Row],[Irms Lf]]^2, 0)</f>
        <v>5.176252697097343E-2</v>
      </c>
      <c r="AZ37" s="354">
        <f>CHOOSE(Table2[[#This Row],[Mode Digit]], 2*Deadtime*Fsw*IF(VfdSky_Q2&gt;0,VfdSky_Q2,0)*Table2[[#This Row],[Iout]], 2*Deadtime*Fsw*IF(VfdSky_Q3&gt;0,VfdSky_Q3,0)*Table2[[#This Row],[Iin]], 2*Deadtime*Fsw*IF(VfdSky_Q2&gt;0,VfdSky_Q2,0)*Table2[[#This Row],[Iout]]+2*Deadtime*Fsw*IF(VfdSky_Q3&gt;0,VfdSky_Q3,0)*Table2[[#This Row],[Iin]])</f>
        <v>0</v>
      </c>
      <c r="BA3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7.9248583679999998E-2</v>
      </c>
      <c r="BB3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7.9248583679999998E-2</v>
      </c>
      <c r="BC37" s="354">
        <f>CHOOSE(Table2[[#This Row],[Mode Digit]], Rs*Table2[[#This Row],[Irms BuSync]]^2, Rs*Table2[[#This Row],[Irms BoCtlr]]^2, Rs*(Table2[[#This Row],[Irms BuSync]]^2+Table2[[#This Row],[Irms BoCtlr]]^2))</f>
        <v>3.0811027958912753E-2</v>
      </c>
      <c r="BD37" s="354">
        <f t="shared" si="1"/>
        <v>1.44</v>
      </c>
      <c r="BE37" s="354">
        <f>IF(Vout&gt;8, Iq*Vout, Iq*Table2[[#This Row],[Vin]])</f>
        <v>4.3799999999999999E-2</v>
      </c>
      <c r="BF37" s="354">
        <f>CHOOSE(Table2[[#This Row],[Mode Digit]], (Qg_Q1+Qg_Q2)*Fsw, (Qg_Q3+Qg_Q4)*Fsw, (Qg_Q1+Qg_Q2+Qg_Q3+Qg_Q4)*Fsw)*IF(Vout&gt;8, Vout, Table2[[#This Row],[Vin]])</f>
        <v>0.47303999999999996</v>
      </c>
      <c r="BG37" s="354">
        <f t="shared" si="4"/>
        <v>0.57269042016806726</v>
      </c>
      <c r="BH37" s="354">
        <f>Table2[[#This Row],[IQ Loss]]+Table2[[#This Row],[Switching Current Loss]]</f>
        <v>0.51683999999999997</v>
      </c>
      <c r="BI3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3.9839809185236659</v>
      </c>
      <c r="BJ37">
        <f>Vout*Table2[[#This Row],[Iout]]</f>
        <v>49.055999999999997</v>
      </c>
      <c r="BK37" s="550">
        <f>Table2[[#This Row],[Pout]]/(Table2[[#This Row],[Pout]]+Table2[[#This Row],[Total Loss]])</f>
        <v>0.92488721056209322</v>
      </c>
      <c r="BL37" s="559">
        <f>IF(Table2[[#This Row],[Vin]]&gt;Vout,ThetaJA_Q1*(Table2[[#This Row],[Total Control Bu MOSFET Loss]]+Table2[[#This Row],[Reverse Recovery Loss MOSFET D BUCK]]),ThetaJA_Q4*(Table2[[#This Row],[Total Control Bo MOSFET Loss]]+Table2[[#This Row],[Reverse Recovery Loss MOSFET D BOOST]]))</f>
        <v>55.672915271624063</v>
      </c>
      <c r="BM37" s="559">
        <f>IF(Table2[[#This Row],[Vin]]&gt;Vout, Table2[[#This Row],[Total Sync Bu MOSFET Loss]]*ThetaJA_Q2, ThetaJA_Q3*Table2[[#This Row],[Total Sync Bo MOSFET Loss]])</f>
        <v>12.966676727173819</v>
      </c>
      <c r="BN37" s="9"/>
      <c r="BO37" s="4">
        <f>Table2[[#This Row],[EFF, h]]*100</f>
        <v>92.488721056209329</v>
      </c>
      <c r="BP37" s="354">
        <f>Table2[[#This Row],[Total Inductor Loss]]</f>
        <v>0.65728066574442157</v>
      </c>
      <c r="BQ37" s="354">
        <f>Table2[[#This Row],[Total Control Bu MOSFET Loss]]+Table2[[#This Row],[Total Sync Bu MOSFET Loss]]+Table2[[#This Row],[Total Control Bo MOSFET Loss]]+Table2[[#This Row],[Total Sync Bo MOSFET Loss]]+Table2[[#This Row],[Reverse Recovery Loss MOSFET D BUCK]]+Table2[[#This Row],[Reverse Recovery Loss MOSFET D BOOST]]</f>
        <v>1.3280691081323834</v>
      </c>
      <c r="BR37" s="354">
        <f xml:space="preserve"> Table2[[#This Row],[Total Control Bu MOSFET Loss]]+Table2[[#This Row],[Reverse Recovery Loss MOSFET D BUCK]]*0.66</f>
        <v>0.90093740274253442</v>
      </c>
      <c r="BS37" s="354">
        <f>Table2[[#This Row],[Total Sync Bu MOSFET Loss]]+Table2[[#This Row],[Reverse Recovery Loss MOSFET D BUCK]]*0.33</f>
        <v>0.24226331140063032</v>
      </c>
      <c r="BT37" s="354">
        <f xml:space="preserve"> Table2[[#This Row],[Total Control Bo MOSFET Loss]]+Table2[[#This Row],[Reverse Recovery Loss MOSFET D BOOST]]*0.66</f>
        <v>0.10471772746500926</v>
      </c>
      <c r="BU37" s="354">
        <f xml:space="preserve"> Table2[[#This Row],[Total Sync Bo MOSFET Loss]]+Table2[[#This Row],[Reverse Recovery Loss MOSFET D BOOST]]*0.33</f>
        <v>7.8565694850609255E-2</v>
      </c>
      <c r="BV37" s="354">
        <f>Table2[[#This Row],[Isense Shunt Loss]]</f>
        <v>3.0811027958912753E-2</v>
      </c>
      <c r="CA37">
        <v>9.9985429999999997</v>
      </c>
      <c r="CB37">
        <v>1.6020000000000001</v>
      </c>
      <c r="CC37">
        <v>5.1182809999999996</v>
      </c>
      <c r="CD37">
        <v>93.864473327748414</v>
      </c>
      <c r="CE37">
        <v>535.96589716749952</v>
      </c>
    </row>
    <row r="38" spans="1:83" x14ac:dyDescent="0.2">
      <c r="A38" s="22" t="s">
        <v>83</v>
      </c>
      <c r="B38" s="5">
        <f>RdsonTopTc*1000000</f>
        <v>4000</v>
      </c>
      <c r="C38" s="440" t="s">
        <v>85</v>
      </c>
      <c r="D38" s="21" t="s">
        <v>111</v>
      </c>
      <c r="G38">
        <v>29</v>
      </c>
      <c r="H38" s="555">
        <f t="shared" si="0"/>
        <v>23.6</v>
      </c>
      <c r="I38" s="4" t="str">
        <f>IF(Mode = 2,IF(Table2[[#This Row],[Vin]]&gt;Vout, "BUCK","BOOST"),IF(Table2[[#This Row],[Vin]]&gt;VIN_BB_to_buck, "BUCK", IF(Table2[[#This Row],[Vin]]&lt;=VIN_boost_to_BB,"BOOST","BUCK-BST")))</f>
        <v>BUCK</v>
      </c>
      <c r="J38">
        <f>IF(Table2[[#This Row],[Mode]]="BOOST",2, IF(Table2[[#This Row],[Mode]]="BUCK", 1,3))</f>
        <v>1</v>
      </c>
      <c r="K38" s="354">
        <f t="shared" si="3"/>
        <v>3.48</v>
      </c>
      <c r="L38" s="4">
        <f>Vout*Table2[[#This Row],[Iout]]/(Table2[[#This Row],[Vin]]*Efficiency)</f>
        <v>2.2661909009812664</v>
      </c>
      <c r="M38" s="711">
        <f>MIN(1/Fsw,CHOOSE(Table2[[#This Row],[Mode Digit]],(Vout+(Rdson2+Rs+Rdcr)*Table2[[#This Row],[Iout]])/(Table2[[#This Row],[Vin]]+(Rs+Rdson2-Rdson1)*Table2[[#This Row],[Iout]])/Fsw,(Vout+(Rdson3+Rdcr)*Table2[[#This Row],[Iin]]-Table2[[#This Row],[Vin]])/(Vout+(Rdson3-Rdson4-Rs)*Table2[[#This Row],[Iin]])/Fsw,t1_Ph_II))</f>
        <v>1.0337643891164415E-6</v>
      </c>
      <c r="N38" s="602">
        <f>CHOOSE(Table2[[#This Row],[Mode Digit]],1/Fsw-Table2[[#This Row],[t1_Ph_II]],1/Fsw-Table2[[#This Row],[t1_Ph_II]],(Vout/Fsw-Table2[[#This Row],[Vin]]*t1_Ph_II)/(Table2[[#This Row],[Vin]]+Vout))</f>
        <v>6.329022775502252E-7</v>
      </c>
      <c r="O38" s="602">
        <f>1/Fsw-(Table2[[#This Row],[t1_Ph_II]]+Table2[[#This Row],[t2_Ph_I]])</f>
        <v>0</v>
      </c>
      <c r="P3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1.7179016094606108</v>
      </c>
      <c r="Q38" s="4">
        <f>CHOOSE(Table2[[#This Row],[Mode Digit]],Table2[[#This Row],[I_0]]+1/Lf*(Table2[[#This Row],[Vin]]-Vout)*Table2[[#This Row],[t1_Ph_II]],Table2[[#This Row],[I_0]]+1/Lf*Table2[[#This Row],[Vin]]*Table2[[#This Row],[t1_Ph_II]],Table2[[#This Row],[I_0]]+(Table2[[#This Row],[Vin]]-Vout)/L*Table2[[#This Row],[t1_Ph_II]])</f>
        <v>5.2420983905393896</v>
      </c>
      <c r="R38" s="4">
        <f>CHOOSE(Table2[[#This Row],[Mode Digit]],0,0,Table2[[#This Row],[I_1]]+Table2[[#This Row],[Vin]]/L*Table2[[#This Row],[t2_Ph_I]])</f>
        <v>0</v>
      </c>
      <c r="S38" s="409">
        <f>Fsw*(Table2[[#This Row],[I_0]]*Table2[[#This Row],[t1_Ph_II]]+Table2[[#This Row],[I_1]]*Table2[[#This Row],[t2_Ph_I]]+Table2[[#This Row],[I_2]]*Table2[[#This Row],[t3_Ph_III]])</f>
        <v>3.0561849110285699</v>
      </c>
      <c r="T38" s="354">
        <f>MIN(1,CHOOSE(Table2[[#This Row],[Mode Digit]],(Vout+(Rdson2+Rs+Rdcr)*Table2[[#This Row],[Iout]])/(Table2[[#This Row],[Vin]]+(Rs+Rdson2-Rdson1)*Table2[[#This Row],[Iout]]),1,Fsw*Table2[[#This Row],[t2_Ph_I]]+Table2[[#This Row],[t1_Ph_II]]))</f>
        <v>0.62025863346986487</v>
      </c>
      <c r="U38" s="354">
        <f>MIN(1,CHOOSE(Table2[[#This Row],[Mode Digit]],0,(Vout+(Rdson3+Rdcr)*Table2[[#This Row],[Iin]]-Table2[[#This Row],[Vin]])/(Vout+(Rdson3-Rdson4-Rs)*Table2[[#This Row],[Iin]]),Fsw*Table2[[#This Row],[t1_Ph_II]]+Table2[[#This Row],[t3_Ph_III]]))</f>
        <v>0</v>
      </c>
      <c r="V38" s="4">
        <f>MAX(Table2[[#This Row],[I_0]:[I_2]])-MIN(Table2[[#This Row],[I_0]:[I_1]])</f>
        <v>3.5241967810787789</v>
      </c>
      <c r="W3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3.6256581351041866</v>
      </c>
      <c r="X38" s="354">
        <f>(Table2[[#This Row],[Irms Lf]]^2*Rdcr*(1+Ltc*Ta-Ltc*25))/(1-Table2[[#This Row],[Irms Lf]]^2*Rdcr*Ltc*ThetaCa)</f>
        <v>7.671119930475645E-2</v>
      </c>
      <c r="Y38" s="354">
        <f>ABS(7.759*10^-3*Fsw^0.9458*(0.00787*Table2[[#This Row],[Ripple Current pk-pk]])^2.304)</f>
        <v>0.58550899830958991</v>
      </c>
      <c r="Z38" s="354">
        <f>Table2[[#This Row],[DCR    Loss]]+Table2[[#This Row],[Core Loss]]</f>
        <v>0.66222019761434636</v>
      </c>
      <c r="AA38" s="4">
        <f>IF(Table2[[#This Row],[Vin]]&gt;Vout, Table2[[#This Row],[Ripple Current pk-pk]]/SQRT(12), SQRT(Table2[[#This Row],[Duty Cycle BOOST Leg]]/(1-Table2[[#This Row],[Duty Cycle BOOST Leg]]))*SQRT(Table2[[#This Row],[Iout]]^2+(Table2[[#This Row],[Ripple Current pk-pk]]^2)/12))</f>
        <v>1.0173479801165228</v>
      </c>
      <c r="AB38" s="354">
        <f>RCoutEsr*Table2[[#This Row],[Irms Cout]]^2</f>
        <v>5.1749845632358448E-3</v>
      </c>
      <c r="AC38" s="354">
        <f>Table2[[#This Row],[Cout ESR Loss]]</f>
        <v>5.1749845632358448E-3</v>
      </c>
      <c r="AD38" s="4">
        <f>IF(Table2[[#This Row],[Vin]]&gt;Vout, SQRT(Table2[[#This Row],[Duty Cycle BUCK Leg]]*(1-Table2[[#This Row],[Duty Cycle BUCK Leg]]))*SQRT(Table2[[#This Row],[Iout]]^2+(Table2[[#This Row],[Ripple Current pk-pk]]^2)/12), Table2[[#This Row],[Ripple Current pk-pk]]/SQRT(12))</f>
        <v>1.759613216533523</v>
      </c>
      <c r="AE38" s="354">
        <f>RCinEsr*Table2[[#This Row],[Irms Cin]]^2</f>
        <v>6.192477343598902E-3</v>
      </c>
      <c r="AF38" s="549">
        <f>Table2[[#This Row],[Cin ESR Loss]]</f>
        <v>6.192477343598902E-3</v>
      </c>
      <c r="AG38" s="354">
        <f>Table2[[#This Row],[Irms Lf]]</f>
        <v>3.6256581351041866</v>
      </c>
      <c r="AH38" s="354">
        <f>Rdson1*Table2[[#This Row],[Irms BuCtrl]]^2</f>
        <v>5.5210667033118117E-2</v>
      </c>
      <c r="AI38" s="354">
        <f>CHOOSE(Table2[[#This Row],[Mode Digit]], (Table2[[#This Row],[Vin]]*Table2[[#This Row],[Iout]]/2)*(Fsw)*(Tr_buck+Tf_buck), 0, (Table2[[#This Row],[Vin]]*Table2[[#This Row],[Avg IL]]/2)*(Fsw/1)*(Tr_buck+Tf_buck))</f>
        <v>0.81441138427965265</v>
      </c>
      <c r="AJ38">
        <f>IF(Table2[[#This Row],[Vin]]&gt;Vout, IF(Table2[[#This Row],[Iout]]&gt;Table2[[#This Row],[Ripple Current pk-pk]]/2,0,ABS(Table2[[#This Row],[Iout]]-Table2[[#This Row],[Ripple Current pk-pk]]/2)*Vsd_Q1*Deadtime*Fsw),0)</f>
        <v>0</v>
      </c>
      <c r="AK38" s="354">
        <f>(Table2[[#This Row],[Dead Time Loss BuCtrl]]+Table2[[#This Row],[Transition Loss BuCtrl]]+Table2[[#This Row],[RDS(on) Loss BuCtrl]]*(1+RdsonTopTc*Ta-RdsonTopTc*25))/(1-Table2[[#This Row],[RDS(on) Loss BuCtrl]]*RdsonTopTc*ThetaJA_Q1)</f>
        <v>0.88129976682862843</v>
      </c>
      <c r="AL38" s="354">
        <f>Table2[[#This Row],[Irms Lf]]</f>
        <v>3.6256581351041866</v>
      </c>
      <c r="AM38" s="354">
        <f>Rdson2*Table2[[#This Row],[Irms BuSync]]^2</f>
        <v>5.5210667033118117E-2</v>
      </c>
      <c r="AN3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0.16743771428571427</v>
      </c>
      <c r="AO38" s="354">
        <f>(Table2[[#This Row],[Deadtime Loss BuSync]]+Table2[[#This Row],[RDS(on) Loss BuSync]]*(1+RdsonBotTc*Ta-RdsonBotTc*25))/(1-Table2[[#This Row],[RDS(on) Loss BuSync]]*RdsonBotTc*ThetaJA_Q2)</f>
        <v>0.22563821403200077</v>
      </c>
      <c r="AP38" s="354">
        <f>Table2[[#This Row],[Irms Lf]]</f>
        <v>3.6256581351041866</v>
      </c>
      <c r="AQ38" s="354">
        <f>Rdson4*Table2[[#This Row],[Irms BoCtlr]]^2</f>
        <v>5.5210667033118117E-2</v>
      </c>
      <c r="AR38" s="354">
        <f>CHOOSE(Table2[[#This Row],[Mode Digit]], 0, (Vout*Table2[[#This Row],[Iin]]/2)*(Fsw)*(Tr_boost+Tf_boost), (Vout*Iout/2)*(Fsw/1)*(Tr_boost+Tf_boost))</f>
        <v>0</v>
      </c>
      <c r="AS38" s="354">
        <f>IF(Table2[[#This Row],[Vin]]&gt;Vout, 0, IF(Table2[[#This Row],[Iin]]&gt;Table2[[#This Row],[Ripple Current pk-pk]]/2,0,ABS(Table2[[#This Row],[Iin]]-Table2[[#This Row],[Ripple Current pk-pk]]/2)*Vsd_Q4*Deadtime*Fsw))</f>
        <v>0</v>
      </c>
      <c r="AT38" s="354">
        <f>(Table2[[#This Row],[Dead Time Loss BoCtlr]]+Table2[[#This Row],[Transition Loss BoCtlr]]+Table2[[#This Row],[RDS(on) Loss BoCtlr]]*(1+RdsonTopTc*Ta-RdsonTopTc*25))/(1-Table2[[#This Row],[RDS(on) Loss BoCtlr]]*RdsonTopTc*ThetaJA_Q4)</f>
        <v>5.595206320870981E-2</v>
      </c>
      <c r="AU38" s="354">
        <f>Table2[[#This Row],[Irms Lf]]</f>
        <v>3.6256581351041866</v>
      </c>
      <c r="AV38" s="354">
        <f>Rdson3*Table2[[#This Row],[Irms BoSync]]^2</f>
        <v>5.5210667033118117E-2</v>
      </c>
      <c r="AW3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8" s="354">
        <f>(Table2[[#This Row],[Deadtime Loss BoSync]]+Table2[[#This Row],[RDS(on) Loss BoSync]]*(1+RdsonBotTc*Ta-RdsonBotTc*25))/(1-Table2[[#This Row],[RDS(on) Loss BoSync]]*RdsonBotTc*ThetaJA_Q3)</f>
        <v>5.595206320870981E-2</v>
      </c>
      <c r="AY38" s="354">
        <f>CHOOSE(Table2[[#This Row],[Mode Digit]], Rdson3*Table2[[#This Row],[Irms Lf]]^2, Rdson1*Table2[[#This Row],[Irms Lf]]^2, 0)</f>
        <v>5.5210667033118117E-2</v>
      </c>
      <c r="AZ38" s="354">
        <f>CHOOSE(Table2[[#This Row],[Mode Digit]], 2*Deadtime*Fsw*IF(VfdSky_Q2&gt;0,VfdSky_Q2,0)*Table2[[#This Row],[Iout]], 2*Deadtime*Fsw*IF(VfdSky_Q3&gt;0,VfdSky_Q3,0)*Table2[[#This Row],[Iin]], 2*Deadtime*Fsw*IF(VfdSky_Q2&gt;0,VfdSky_Q2,0)*Table2[[#This Row],[Iout]]+2*Deadtime*Fsw*IF(VfdSky_Q3&gt;0,VfdSky_Q3,0)*Table2[[#This Row],[Iin]])</f>
        <v>0</v>
      </c>
      <c r="BA3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8.2077136320000008E-2</v>
      </c>
      <c r="BB3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8.2077136320000008E-2</v>
      </c>
      <c r="BC38" s="354">
        <f>CHOOSE(Table2[[#This Row],[Mode Digit]], Rs*Table2[[#This Row],[Irms BuSync]]^2, Rs*Table2[[#This Row],[Irms BoCtlr]]^2, Rs*(Table2[[#This Row],[Irms BuSync]]^2+Table2[[#This Row],[Irms BoCtlr]]^2))</f>
        <v>3.2863492281617925E-2</v>
      </c>
      <c r="BD38" s="354">
        <f t="shared" si="1"/>
        <v>1.44</v>
      </c>
      <c r="BE38" s="354">
        <f>IF(Vout&gt;8, Iq*Vout, Iq*Table2[[#This Row],[Vin]])</f>
        <v>4.3799999999999999E-2</v>
      </c>
      <c r="BF38" s="354">
        <f>CHOOSE(Table2[[#This Row],[Mode Digit]], (Qg_Q1+Qg_Q2)*Fsw, (Qg_Q3+Qg_Q4)*Fsw, (Qg_Q1+Qg_Q2+Qg_Q3+Qg_Q4)*Fsw)*IF(Vout&gt;8, Vout, Table2[[#This Row],[Vin]])</f>
        <v>0.47303999999999996</v>
      </c>
      <c r="BG38" s="354">
        <f t="shared" si="4"/>
        <v>0.57269042016806726</v>
      </c>
      <c r="BH38" s="354">
        <f>Table2[[#This Row],[IQ Loss]]+Table2[[#This Row],[Switching Current Loss]]</f>
        <v>0.51683999999999997</v>
      </c>
      <c r="BI3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4.0462875317208482</v>
      </c>
      <c r="BJ38">
        <f>Vout*Table2[[#This Row],[Iout]]</f>
        <v>50.808</v>
      </c>
      <c r="BK38" s="550">
        <f>Table2[[#This Row],[Pout]]/(Table2[[#This Row],[Pout]]+Table2[[#This Row],[Total Loss]])</f>
        <v>0.92623571075677569</v>
      </c>
      <c r="BL38" s="559">
        <f>IF(Table2[[#This Row],[Vin]]&gt;Vout,ThetaJA_Q1*(Table2[[#This Row],[Total Control Bu MOSFET Loss]]+Table2[[#This Row],[Reverse Recovery Loss MOSFET D BUCK]]),ThetaJA_Q4*(Table2[[#This Row],[Total Control Bo MOSFET Loss]]+Table2[[#This Row],[Reverse Recovery Loss MOSFET D BOOST]]))</f>
        <v>57.802614188917708</v>
      </c>
      <c r="BM38" s="559">
        <f>IF(Table2[[#This Row],[Vin]]&gt;Vout, Table2[[#This Row],[Total Sync Bu MOSFET Loss]]*ThetaJA_Q2, ThetaJA_Q3*Table2[[#This Row],[Total Sync Bo MOSFET Loss]])</f>
        <v>13.538292841920047</v>
      </c>
      <c r="BN38" s="9"/>
      <c r="BO38" s="4">
        <f>Table2[[#This Row],[EFF, h]]*100</f>
        <v>92.623571075677575</v>
      </c>
      <c r="BP38" s="354">
        <f>Table2[[#This Row],[Total Inductor Loss]]</f>
        <v>0.66222019761434636</v>
      </c>
      <c r="BQ38" s="354">
        <f>Table2[[#This Row],[Total Control Bu MOSFET Loss]]+Table2[[#This Row],[Total Sync Bu MOSFET Loss]]+Table2[[#This Row],[Total Control Bo MOSFET Loss]]+Table2[[#This Row],[Total Sync Bo MOSFET Loss]]+Table2[[#This Row],[Reverse Recovery Loss MOSFET D BUCK]]+Table2[[#This Row],[Reverse Recovery Loss MOSFET D BOOST]]</f>
        <v>1.3829963799180487</v>
      </c>
      <c r="BR38" s="354">
        <f xml:space="preserve"> Table2[[#This Row],[Total Control Bu MOSFET Loss]]+Table2[[#This Row],[Reverse Recovery Loss MOSFET D BUCK]]*0.66</f>
        <v>0.93547067679982843</v>
      </c>
      <c r="BS38" s="354">
        <f>Table2[[#This Row],[Total Sync Bu MOSFET Loss]]+Table2[[#This Row],[Reverse Recovery Loss MOSFET D BUCK]]*0.33</f>
        <v>0.25272366901760079</v>
      </c>
      <c r="BT38" s="354">
        <f xml:space="preserve"> Table2[[#This Row],[Total Control Bo MOSFET Loss]]+Table2[[#This Row],[Reverse Recovery Loss MOSFET D BOOST]]*0.66</f>
        <v>0.11012297317990982</v>
      </c>
      <c r="BU38" s="354">
        <f xml:space="preserve"> Table2[[#This Row],[Total Sync Bo MOSFET Loss]]+Table2[[#This Row],[Reverse Recovery Loss MOSFET D BOOST]]*0.33</f>
        <v>8.3037518194309809E-2</v>
      </c>
      <c r="BV38" s="354">
        <f>Table2[[#This Row],[Isense Shunt Loss]]</f>
        <v>3.2863492281617925E-2</v>
      </c>
      <c r="CA38">
        <v>9.9985429999999997</v>
      </c>
      <c r="CB38">
        <v>1.9350000000000001</v>
      </c>
      <c r="CC38">
        <v>5.117146</v>
      </c>
      <c r="CD38">
        <v>94.224527198076927</v>
      </c>
      <c r="CE38">
        <v>606.92116405899924</v>
      </c>
    </row>
    <row r="39" spans="1:83" x14ac:dyDescent="0.2">
      <c r="A39" s="23" t="s">
        <v>74</v>
      </c>
      <c r="B39" s="5">
        <f>Qg_Q1*1000000000</f>
        <v>27</v>
      </c>
      <c r="C39" s="440" t="s">
        <v>69</v>
      </c>
      <c r="D39" s="21" t="s">
        <v>101</v>
      </c>
      <c r="G39">
        <v>30</v>
      </c>
      <c r="H39" s="555">
        <f t="shared" si="0"/>
        <v>23.6</v>
      </c>
      <c r="I39" s="4" t="str">
        <f>IF(Mode = 2,IF(Table2[[#This Row],[Vin]]&gt;Vout, "BUCK","BOOST"),IF(Table2[[#This Row],[Vin]]&gt;VIN_BB_to_buck, "BUCK", IF(Table2[[#This Row],[Vin]]&lt;=VIN_boost_to_BB,"BOOST","BUCK-BST")))</f>
        <v>BUCK</v>
      </c>
      <c r="J39">
        <f>IF(Table2[[#This Row],[Mode]]="BOOST",2, IF(Table2[[#This Row],[Mode]]="BUCK", 1,3))</f>
        <v>1</v>
      </c>
      <c r="K39" s="354">
        <f t="shared" si="3"/>
        <v>3.6</v>
      </c>
      <c r="L39" s="4">
        <f>Vout*Table2[[#This Row],[Iout]]/(Table2[[#This Row],[Vin]]*Efficiency)</f>
        <v>2.344335414808207</v>
      </c>
      <c r="M39" s="711">
        <f>MIN(1/Fsw,CHOOSE(Table2[[#This Row],[Mode Digit]],(Vout+(Rdson2+Rs+Rdcr)*Table2[[#This Row],[Iout]])/(Table2[[#This Row],[Vin]]+(Rs+Rdson2-Rdson1)*Table2[[#This Row],[Iout]])/Fsw,(Vout+(Rdson3+Rdcr)*Table2[[#This Row],[Iin]]-Table2[[#This Row],[Vin]])/(Vout+(Rdson3-Rdson4-Rs)*Table2[[#This Row],[Iin]])/Fsw,t1_Ph_II))</f>
        <v>1.0338571448741299E-6</v>
      </c>
      <c r="N39" s="602">
        <f>CHOOSE(Table2[[#This Row],[Mode Digit]],1/Fsw-Table2[[#This Row],[t1_Ph_II]],1/Fsw-Table2[[#This Row],[t1_Ph_II]],(Vout/Fsw-Table2[[#This Row],[Vin]]*t1_Ph_II)/(Table2[[#This Row],[Vin]]+Vout))</f>
        <v>6.3280952179253678E-7</v>
      </c>
      <c r="O39" s="602">
        <f>1/Fsw-(Table2[[#This Row],[t1_Ph_II]]+Table2[[#This Row],[t2_Ph_I]])</f>
        <v>0</v>
      </c>
      <c r="P3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1.8377435030554603</v>
      </c>
      <c r="Q39" s="4">
        <f>CHOOSE(Table2[[#This Row],[Mode Digit]],Table2[[#This Row],[I_0]]+1/Lf*(Table2[[#This Row],[Vin]]-Vout)*Table2[[#This Row],[t1_Ph_II]],Table2[[#This Row],[I_0]]+1/Lf*Table2[[#This Row],[Vin]]*Table2[[#This Row],[t1_Ph_II]],Table2[[#This Row],[I_0]]+(Table2[[#This Row],[Vin]]-Vout)/L*Table2[[#This Row],[t1_Ph_II]])</f>
        <v>5.3622564969445401</v>
      </c>
      <c r="R39" s="4">
        <f>CHOOSE(Table2[[#This Row],[Mode Digit]],0,0,Table2[[#This Row],[I_1]]+Table2[[#This Row],[Vin]]/L*Table2[[#This Row],[t2_Ph_I]])</f>
        <v>0</v>
      </c>
      <c r="S39" s="409">
        <f>Fsw*(Table2[[#This Row],[I_0]]*Table2[[#This Row],[t1_Ph_II]]+Table2[[#This Row],[I_1]]*Table2[[#This Row],[t2_Ph_I]]+Table2[[#This Row],[I_2]]*Table2[[#This Row],[t3_Ph_III]])</f>
        <v>3.1759507323841789</v>
      </c>
      <c r="T39" s="354">
        <f>MIN(1,CHOOSE(Table2[[#This Row],[Mode Digit]],(Vout+(Rdson2+Rs+Rdcr)*Table2[[#This Row],[Iout]])/(Table2[[#This Row],[Vin]]+(Rs+Rdson2-Rdson1)*Table2[[#This Row],[Iout]]),1,Fsw*Table2[[#This Row],[t2_Ph_I]]+Table2[[#This Row],[t1_Ph_II]]))</f>
        <v>0.62031428692447788</v>
      </c>
      <c r="U39" s="354">
        <f>MIN(1,CHOOSE(Table2[[#This Row],[Mode Digit]],0,(Vout+(Rdson3+Rdcr)*Table2[[#This Row],[Iin]]-Table2[[#This Row],[Vin]])/(Vout+(Rdson3-Rdson4-Rs)*Table2[[#This Row],[Iin]]),Fsw*Table2[[#This Row],[t1_Ph_II]]+Table2[[#This Row],[t3_Ph_III]]))</f>
        <v>0</v>
      </c>
      <c r="V39" s="4">
        <f>MAX(Table2[[#This Row],[I_0]:[I_2]])-MIN(Table2[[#This Row],[I_0]:[I_1]])</f>
        <v>3.52451299388908</v>
      </c>
      <c r="W3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3.7410135864060177</v>
      </c>
      <c r="X39" s="354">
        <f>(Table2[[#This Row],[Irms Lf]]^2*Rdcr*(1+Ltc*Ta-Ltc*25))/(1-Table2[[#This Row],[Irms Lf]]^2*Rdcr*Ltc*ThetaCa)</f>
        <v>8.1702616965451211E-2</v>
      </c>
      <c r="Y39" s="354">
        <f>ABS(7.759*10^-3*Fsw^0.9458*(0.00787*Table2[[#This Row],[Ripple Current pk-pk]])^2.304)</f>
        <v>0.58563004718658374</v>
      </c>
      <c r="Z39" s="354">
        <f>Table2[[#This Row],[DCR    Loss]]+Table2[[#This Row],[Core Loss]]</f>
        <v>0.66733266415203496</v>
      </c>
      <c r="AA39" s="4">
        <f>IF(Table2[[#This Row],[Vin]]&gt;Vout, Table2[[#This Row],[Ripple Current pk-pk]]/SQRT(12), SQRT(Table2[[#This Row],[Duty Cycle BOOST Leg]]/(1-Table2[[#This Row],[Duty Cycle BOOST Leg]]))*SQRT(Table2[[#This Row],[Iout]]^2+(Table2[[#This Row],[Ripple Current pk-pk]]^2)/12))</f>
        <v>1.0174392628920972</v>
      </c>
      <c r="AB39" s="354">
        <f>RCoutEsr*Table2[[#This Row],[Irms Cout]]^2</f>
        <v>5.1759132683720701E-3</v>
      </c>
      <c r="AC39" s="354">
        <f>Table2[[#This Row],[Cout ESR Loss]]</f>
        <v>5.1759132683720701E-3</v>
      </c>
      <c r="AD39" s="4">
        <f>IF(Table2[[#This Row],[Vin]]&gt;Vout, SQRT(Table2[[#This Row],[Duty Cycle BUCK Leg]]*(1-Table2[[#This Row],[Duty Cycle BUCK Leg]]))*SQRT(Table2[[#This Row],[Iout]]^2+(Table2[[#This Row],[Ripple Current pk-pk]]^2)/12), Table2[[#This Row],[Ripple Current pk-pk]]/SQRT(12))</f>
        <v>1.8155462015918085</v>
      </c>
      <c r="AE39" s="354">
        <f>RCinEsr*Table2[[#This Row],[Irms Cin]]^2</f>
        <v>6.5924160202288874E-3</v>
      </c>
      <c r="AF39" s="549">
        <f>Table2[[#This Row],[Cin ESR Loss]]</f>
        <v>6.5924160202288874E-3</v>
      </c>
      <c r="AG39" s="354">
        <f>Table2[[#This Row],[Irms Lf]]</f>
        <v>3.7410135864060177</v>
      </c>
      <c r="AH39" s="354">
        <f>Rdson1*Table2[[#This Row],[Irms BuCtrl]]^2</f>
        <v>5.8779767145432545E-2</v>
      </c>
      <c r="AI39" s="354">
        <f>CHOOSE(Table2[[#This Row],[Mode Digit]], (Table2[[#This Row],[Vin]]*Table2[[#This Row],[Iout]]/2)*(Fsw)*(Tr_buck+Tf_buck), 0, (Table2[[#This Row],[Vin]]*Table2[[#This Row],[Avg IL]]/2)*(Fsw/1)*(Tr_buck+Tf_buck))</f>
        <v>0.84249453546170971</v>
      </c>
      <c r="AJ39">
        <f>IF(Table2[[#This Row],[Vin]]&gt;Vout, IF(Table2[[#This Row],[Iout]]&gt;Table2[[#This Row],[Ripple Current pk-pk]]/2,0,ABS(Table2[[#This Row],[Iout]]-Table2[[#This Row],[Ripple Current pk-pk]]/2)*Vsd_Q1*Deadtime*Fsw),0)</f>
        <v>0</v>
      </c>
      <c r="AK39" s="354">
        <f>(Table2[[#This Row],[Dead Time Loss BuCtrl]]+Table2[[#This Row],[Transition Loss BuCtrl]]+Table2[[#This Row],[RDS(on) Loss BuCtrl]]*(1+RdsonTopTc*Ta-RdsonTopTc*25))/(1-Table2[[#This Row],[RDS(on) Loss BuCtrl]]*RdsonTopTc*ThetaJA_Q1)</f>
        <v>0.91417063956510092</v>
      </c>
      <c r="AL39" s="354">
        <f>Table2[[#This Row],[Irms Lf]]</f>
        <v>3.7410135864060177</v>
      </c>
      <c r="AM39" s="354">
        <f>Rdson2*Table2[[#This Row],[Irms BuSync]]^2</f>
        <v>5.8779767145432545E-2</v>
      </c>
      <c r="AN3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0.17321142857142857</v>
      </c>
      <c r="AO39" s="354">
        <f>(Table2[[#This Row],[Deadtime Loss BuSync]]+Table2[[#This Row],[RDS(on) Loss BuSync]]*(1+RdsonBotTc*Ta-RdsonBotTc*25))/(1-Table2[[#This Row],[RDS(on) Loss BuSync]]*RdsonBotTc*ThetaJA_Q2)</f>
        <v>0.23531075849879088</v>
      </c>
      <c r="AP39" s="354">
        <f>Table2[[#This Row],[Irms Lf]]</f>
        <v>3.7410135864060177</v>
      </c>
      <c r="AQ39" s="354">
        <f>Rdson4*Table2[[#This Row],[Irms BoCtlr]]^2</f>
        <v>5.8779767145432545E-2</v>
      </c>
      <c r="AR39" s="354">
        <f>CHOOSE(Table2[[#This Row],[Mode Digit]], 0, (Vout*Table2[[#This Row],[Iin]]/2)*(Fsw)*(Tr_boost+Tf_boost), (Vout*Iout/2)*(Fsw/1)*(Tr_boost+Tf_boost))</f>
        <v>0</v>
      </c>
      <c r="AS39" s="354">
        <f>IF(Table2[[#This Row],[Vin]]&gt;Vout, 0, IF(Table2[[#This Row],[Iin]]&gt;Table2[[#This Row],[Ripple Current pk-pk]]/2,0,ABS(Table2[[#This Row],[Iin]]-Table2[[#This Row],[Ripple Current pk-pk]]/2)*Vsd_Q4*Deadtime*Fsw))</f>
        <v>0</v>
      </c>
      <c r="AT39" s="354">
        <f>(Table2[[#This Row],[Dead Time Loss BoCtlr]]+Table2[[#This Row],[Transition Loss BoCtlr]]+Table2[[#This Row],[RDS(on) Loss BoCtlr]]*(1+RdsonTopTc*Ta-RdsonTopTc*25))/(1-Table2[[#This Row],[RDS(on) Loss BoCtlr]]*RdsonTopTc*ThetaJA_Q4)</f>
        <v>5.9620847026690703E-2</v>
      </c>
      <c r="AU39" s="354">
        <f>Table2[[#This Row],[Irms Lf]]</f>
        <v>3.7410135864060177</v>
      </c>
      <c r="AV39" s="354">
        <f>Rdson3*Table2[[#This Row],[Irms BoSync]]^2</f>
        <v>5.8779767145432545E-2</v>
      </c>
      <c r="AW3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39" s="354">
        <f>(Table2[[#This Row],[Deadtime Loss BoSync]]+Table2[[#This Row],[RDS(on) Loss BoSync]]*(1+RdsonBotTc*Ta-RdsonBotTc*25))/(1-Table2[[#This Row],[RDS(on) Loss BoSync]]*RdsonBotTc*ThetaJA_Q3)</f>
        <v>5.9620847026690703E-2</v>
      </c>
      <c r="AY39" s="354">
        <f>CHOOSE(Table2[[#This Row],[Mode Digit]], Rdson3*Table2[[#This Row],[Irms Lf]]^2, Rdson1*Table2[[#This Row],[Irms Lf]]^2, 0)</f>
        <v>5.8779767145432545E-2</v>
      </c>
      <c r="AZ39" s="354">
        <f>CHOOSE(Table2[[#This Row],[Mode Digit]], 2*Deadtime*Fsw*IF(VfdSky_Q2&gt;0,VfdSky_Q2,0)*Table2[[#This Row],[Iout]], 2*Deadtime*Fsw*IF(VfdSky_Q3&gt;0,VfdSky_Q3,0)*Table2[[#This Row],[Iin]], 2*Deadtime*Fsw*IF(VfdSky_Q2&gt;0,VfdSky_Q2,0)*Table2[[#This Row],[Iout]]+2*Deadtime*Fsw*IF(VfdSky_Q3&gt;0,VfdSky_Q3,0)*Table2[[#This Row],[Iin]])</f>
        <v>0</v>
      </c>
      <c r="BA3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8.4905568000000015E-2</v>
      </c>
      <c r="BB3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8.4905568000000015E-2</v>
      </c>
      <c r="BC39" s="354">
        <f>CHOOSE(Table2[[#This Row],[Mode Digit]], Rs*Table2[[#This Row],[Irms BuSync]]^2, Rs*Table2[[#This Row],[Irms BoCtlr]]^2, Rs*(Table2[[#This Row],[Irms BuSync]]^2+Table2[[#This Row],[Irms BoCtlr]]^2))</f>
        <v>3.4987956634186038E-2</v>
      </c>
      <c r="BD39" s="354">
        <f t="shared" si="1"/>
        <v>1.44</v>
      </c>
      <c r="BE39" s="354">
        <f>IF(Vout&gt;8, Iq*Vout, Iq*Table2[[#This Row],[Vin]])</f>
        <v>4.3799999999999999E-2</v>
      </c>
      <c r="BF39" s="354">
        <f>CHOOSE(Table2[[#This Row],[Mode Digit]], (Qg_Q1+Qg_Q2)*Fsw, (Qg_Q3+Qg_Q4)*Fsw, (Qg_Q1+Qg_Q2+Qg_Q3+Qg_Q4)*Fsw)*IF(Vout&gt;8, Vout, Table2[[#This Row],[Vin]])</f>
        <v>0.47303999999999996</v>
      </c>
      <c r="BG39" s="354">
        <f t="shared" si="4"/>
        <v>0.57269042016806726</v>
      </c>
      <c r="BH39" s="354">
        <f>Table2[[#This Row],[IQ Loss]]+Table2[[#This Row],[Switching Current Loss]]</f>
        <v>0.51683999999999997</v>
      </c>
      <c r="BI3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4.1094631781920956</v>
      </c>
      <c r="BJ39">
        <f>Vout*Table2[[#This Row],[Iout]]</f>
        <v>52.56</v>
      </c>
      <c r="BK39" s="550">
        <f>Table2[[#This Row],[Pout]]/(Table2[[#This Row],[Pout]]+Table2[[#This Row],[Total Loss]])</f>
        <v>0.92748364025841834</v>
      </c>
      <c r="BL39" s="559">
        <f>IF(Table2[[#This Row],[Vin]]&gt;Vout,ThetaJA_Q1*(Table2[[#This Row],[Total Control Bu MOSFET Loss]]+Table2[[#This Row],[Reverse Recovery Loss MOSFET D BUCK]]),ThetaJA_Q4*(Table2[[#This Row],[Total Control Bo MOSFET Loss]]+Table2[[#This Row],[Reverse Recovery Loss MOSFET D BOOST]]))</f>
        <v>59.944572453906055</v>
      </c>
      <c r="BM39" s="559">
        <f>IF(Table2[[#This Row],[Vin]]&gt;Vout, Table2[[#This Row],[Total Sync Bu MOSFET Loss]]*ThetaJA_Q2, ThetaJA_Q3*Table2[[#This Row],[Total Sync Bo MOSFET Loss]])</f>
        <v>14.118645509927452</v>
      </c>
      <c r="BN39" s="9"/>
      <c r="BO39" s="4">
        <f>Table2[[#This Row],[EFF, h]]*100</f>
        <v>92.748364025841838</v>
      </c>
      <c r="BP39" s="354">
        <f>Table2[[#This Row],[Total Inductor Loss]]</f>
        <v>0.66733266415203496</v>
      </c>
      <c r="BQ39" s="354">
        <f>Table2[[#This Row],[Total Control Bu MOSFET Loss]]+Table2[[#This Row],[Total Sync Bu MOSFET Loss]]+Table2[[#This Row],[Total Control Bo MOSFET Loss]]+Table2[[#This Row],[Total Sync Bo MOSFET Loss]]+Table2[[#This Row],[Reverse Recovery Loss MOSFET D BUCK]]+Table2[[#This Row],[Reverse Recovery Loss MOSFET D BOOST]]</f>
        <v>1.4385342281172733</v>
      </c>
      <c r="BR39" s="354">
        <f xml:space="preserve"> Table2[[#This Row],[Total Control Bu MOSFET Loss]]+Table2[[#This Row],[Reverse Recovery Loss MOSFET D BUCK]]*0.66</f>
        <v>0.97020831444510092</v>
      </c>
      <c r="BS39" s="354">
        <f>Table2[[#This Row],[Total Sync Bu MOSFET Loss]]+Table2[[#This Row],[Reverse Recovery Loss MOSFET D BUCK]]*0.33</f>
        <v>0.26332959593879091</v>
      </c>
      <c r="BT39" s="354">
        <f xml:space="preserve"> Table2[[#This Row],[Total Control Bo MOSFET Loss]]+Table2[[#This Row],[Reverse Recovery Loss MOSFET D BOOST]]*0.66</f>
        <v>0.11565852190669071</v>
      </c>
      <c r="BU39" s="354">
        <f xml:space="preserve"> Table2[[#This Row],[Total Sync Bo MOSFET Loss]]+Table2[[#This Row],[Reverse Recovery Loss MOSFET D BOOST]]*0.33</f>
        <v>8.7639684466690709E-2</v>
      </c>
      <c r="BV39" s="354">
        <f>Table2[[#This Row],[Isense Shunt Loss]]</f>
        <v>3.4987956634186038E-2</v>
      </c>
      <c r="CA39">
        <v>9.9985060000000008</v>
      </c>
      <c r="CB39">
        <v>2.31</v>
      </c>
      <c r="CC39">
        <v>5.1166349999999996</v>
      </c>
      <c r="CD39">
        <v>94.492663502717292</v>
      </c>
      <c r="CE39">
        <v>688.87413060200208</v>
      </c>
    </row>
    <row r="40" spans="1:83" x14ac:dyDescent="0.2">
      <c r="A40" s="23" t="s">
        <v>128</v>
      </c>
      <c r="B40" s="5">
        <f>Qgd_Q1*1000000000</f>
        <v>6.2</v>
      </c>
      <c r="C40" s="440" t="s">
        <v>69</v>
      </c>
      <c r="D40" s="21" t="s">
        <v>129</v>
      </c>
      <c r="G40">
        <v>31</v>
      </c>
      <c r="H40" s="555">
        <f t="shared" si="0"/>
        <v>23.6</v>
      </c>
      <c r="I40" s="4" t="str">
        <f>IF(Mode = 2,IF(Table2[[#This Row],[Vin]]&gt;Vout, "BUCK","BOOST"),IF(Table2[[#This Row],[Vin]]&gt;VIN_BB_to_buck, "BUCK", IF(Table2[[#This Row],[Vin]]&lt;=VIN_boost_to_BB,"BOOST","BUCK-BST")))</f>
        <v>BUCK</v>
      </c>
      <c r="J40">
        <f>IF(Table2[[#This Row],[Mode]]="BOOST",2, IF(Table2[[#This Row],[Mode]]="BUCK", 1,3))</f>
        <v>1</v>
      </c>
      <c r="K40" s="354">
        <f t="shared" si="3"/>
        <v>3.72</v>
      </c>
      <c r="L40" s="4">
        <f>Vout*Table2[[#This Row],[Iout]]/(Table2[[#This Row],[Vin]]*Efficiency)</f>
        <v>2.4224799286351471</v>
      </c>
      <c r="M40" s="711">
        <f>MIN(1/Fsw,CHOOSE(Table2[[#This Row],[Mode Digit]],(Vout+(Rdson2+Rs+Rdcr)*Table2[[#This Row],[Iout]])/(Table2[[#This Row],[Vin]]+(Rs+Rdson2-Rdson1)*Table2[[#This Row],[Iout]])/Fsw,(Vout+(Rdson3+Rdcr)*Table2[[#This Row],[Iin]]-Table2[[#This Row],[Vin]])/(Vout+(Rdson3-Rdson4-Rs)*Table2[[#This Row],[Iin]])/Fsw,t1_Ph_II))</f>
        <v>1.0339498982745498E-6</v>
      </c>
      <c r="N40" s="602">
        <f>CHOOSE(Table2[[#This Row],[Mode Digit]],1/Fsw-Table2[[#This Row],[t1_Ph_II]],1/Fsw-Table2[[#This Row],[t1_Ph_II]],(Vout/Fsw-Table2[[#This Row],[Vin]]*t1_Ph_II)/(Table2[[#This Row],[Vin]]+Vout))</f>
        <v>6.327167683921169E-7</v>
      </c>
      <c r="O40" s="602">
        <f>1/Fsw-(Table2[[#This Row],[t1_Ph_II]]+Table2[[#This Row],[t2_Ph_I]])</f>
        <v>0</v>
      </c>
      <c r="P4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1.957585400668381</v>
      </c>
      <c r="Q40" s="4">
        <f>CHOOSE(Table2[[#This Row],[Mode Digit]],Table2[[#This Row],[I_0]]+1/Lf*(Table2[[#This Row],[Vin]]-Vout)*Table2[[#This Row],[t1_Ph_II]],Table2[[#This Row],[I_0]]+1/Lf*Table2[[#This Row],[Vin]]*Table2[[#This Row],[t1_Ph_II]],Table2[[#This Row],[I_0]]+(Table2[[#This Row],[Vin]]-Vout)/L*Table2[[#This Row],[t1_Ph_II]])</f>
        <v>5.4824145993316193</v>
      </c>
      <c r="R40" s="4">
        <f>CHOOSE(Table2[[#This Row],[Mode Digit]],0,0,Table2[[#This Row],[I_1]]+Table2[[#This Row],[Vin]]/L*Table2[[#This Row],[t2_Ph_I]])</f>
        <v>0</v>
      </c>
      <c r="S40" s="409">
        <f>Fsw*(Table2[[#This Row],[I_0]]*Table2[[#This Row],[t1_Ph_II]]+Table2[[#This Row],[I_1]]*Table2[[#This Row],[t2_Ph_I]]+Table2[[#This Row],[I_2]]*Table2[[#This Row],[t3_Ph_III]])</f>
        <v>3.2957165244958082</v>
      </c>
      <c r="T40" s="354">
        <f>MIN(1,CHOOSE(Table2[[#This Row],[Mode Digit]],(Vout+(Rdson2+Rs+Rdcr)*Table2[[#This Row],[Iout]])/(Table2[[#This Row],[Vin]]+(Rs+Rdson2-Rdson1)*Table2[[#This Row],[Iout]]),1,Fsw*Table2[[#This Row],[t2_Ph_I]]+Table2[[#This Row],[t1_Ph_II]]))</f>
        <v>0.62036993896472992</v>
      </c>
      <c r="U40" s="354">
        <f>MIN(1,CHOOSE(Table2[[#This Row],[Mode Digit]],0,(Vout+(Rdson3+Rdcr)*Table2[[#This Row],[Iin]]-Table2[[#This Row],[Vin]])/(Vout+(Rdson3-Rdson4-Rs)*Table2[[#This Row],[Iin]]),Fsw*Table2[[#This Row],[t1_Ph_II]]+Table2[[#This Row],[t3_Ph_III]]))</f>
        <v>0</v>
      </c>
      <c r="V40" s="4">
        <f>MAX(Table2[[#This Row],[I_0]:[I_2]])-MIN(Table2[[#This Row],[I_0]:[I_1]])</f>
        <v>3.5248291986632383</v>
      </c>
      <c r="W4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3.8566524871507082</v>
      </c>
      <c r="X40" s="354">
        <f>(Table2[[#This Row],[Irms Lf]]^2*Rdcr*(1+Ltc*Ta-Ltc*25))/(1-Table2[[#This Row],[Irms Lf]]^2*Rdcr*Ltc*ThetaCa)</f>
        <v>8.6867365675270619E-2</v>
      </c>
      <c r="Y40" s="354">
        <f>ABS(7.759*10^-3*Fsw^0.9458*(0.00787*Table2[[#This Row],[Ripple Current pk-pk]])^2.304)</f>
        <v>0.58575110714937328</v>
      </c>
      <c r="Z40" s="354">
        <f>Table2[[#This Row],[DCR    Loss]]+Table2[[#This Row],[Core Loss]]</f>
        <v>0.67261847282464393</v>
      </c>
      <c r="AA40" s="4">
        <f>IF(Table2[[#This Row],[Vin]]&gt;Vout, Table2[[#This Row],[Ripple Current pk-pk]]/SQRT(12), SQRT(Table2[[#This Row],[Duty Cycle BOOST Leg]]/(1-Table2[[#This Row],[Duty Cycle BOOST Leg]]))*SQRT(Table2[[#This Row],[Iout]]^2+(Table2[[#This Row],[Ripple Current pk-pk]]^2)/12))</f>
        <v>1.0175305433478368</v>
      </c>
      <c r="AB40" s="354">
        <f>RCoutEsr*Table2[[#This Row],[Irms Cout]]^2</f>
        <v>5.1768420332287202E-3</v>
      </c>
      <c r="AC40" s="354">
        <f>Table2[[#This Row],[Cout ESR Loss]]</f>
        <v>5.1768420332287202E-3</v>
      </c>
      <c r="AD40" s="4">
        <f>IF(Table2[[#This Row],[Vin]]&gt;Vout, SQRT(Table2[[#This Row],[Duty Cycle BUCK Leg]]*(1-Table2[[#This Row],[Duty Cycle BUCK Leg]]))*SQRT(Table2[[#This Row],[Iout]]^2+(Table2[[#This Row],[Ripple Current pk-pk]]^2)/12), Table2[[#This Row],[Ripple Current pk-pk]]/SQRT(12))</f>
        <v>1.8716135360436834</v>
      </c>
      <c r="AE40" s="354">
        <f>RCinEsr*Table2[[#This Row],[Irms Cin]]^2</f>
        <v>7.0058744566038802E-3</v>
      </c>
      <c r="AF40" s="549">
        <f>Table2[[#This Row],[Cin ESR Loss]]</f>
        <v>7.0058744566038802E-3</v>
      </c>
      <c r="AG40" s="354">
        <f>Table2[[#This Row],[Irms Lf]]</f>
        <v>3.8566524871507082</v>
      </c>
      <c r="AH40" s="354">
        <f>Rdson1*Table2[[#This Row],[Irms BuCtrl]]^2</f>
        <v>6.2469827307912132E-2</v>
      </c>
      <c r="AI40" s="354">
        <f>CHOOSE(Table2[[#This Row],[Mode Digit]], (Table2[[#This Row],[Vin]]*Table2[[#This Row],[Iout]]/2)*(Fsw)*(Tr_buck+Tf_buck), 0, (Table2[[#This Row],[Vin]]*Table2[[#This Row],[Avg IL]]/2)*(Fsw/1)*(Tr_buck+Tf_buck))</f>
        <v>0.87057768664376667</v>
      </c>
      <c r="AJ40">
        <f>IF(Table2[[#This Row],[Vin]]&gt;Vout, IF(Table2[[#This Row],[Iout]]&gt;Table2[[#This Row],[Ripple Current pk-pk]]/2,0,ABS(Table2[[#This Row],[Iout]]-Table2[[#This Row],[Ripple Current pk-pk]]/2)*Vsd_Q1*Deadtime*Fsw),0)</f>
        <v>0</v>
      </c>
      <c r="AK40" s="354">
        <f>(Table2[[#This Row],[Dead Time Loss BuCtrl]]+Table2[[#This Row],[Transition Loss BuCtrl]]+Table2[[#This Row],[RDS(on) Loss BuCtrl]]*(1+RdsonTopTc*Ta-RdsonTopTc*25))/(1-Table2[[#This Row],[RDS(on) Loss BuCtrl]]*RdsonTopTc*ThetaJA_Q1)</f>
        <v>0.94724939542765241</v>
      </c>
      <c r="AL40" s="354">
        <f>Table2[[#This Row],[Irms Lf]]</f>
        <v>3.8566524871507082</v>
      </c>
      <c r="AM40" s="354">
        <f>Rdson2*Table2[[#This Row],[Irms BuSync]]^2</f>
        <v>6.2469827307912132E-2</v>
      </c>
      <c r="AN4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0.17898514285714287</v>
      </c>
      <c r="AO40" s="354">
        <f>(Table2[[#This Row],[Deadtime Loss BuSync]]+Table2[[#This Row],[RDS(on) Loss BuSync]]*(1+RdsonBotTc*Ta-RdsonBotTc*25))/(1-Table2[[#This Row],[RDS(on) Loss BuSync]]*RdsonBotTc*ThetaJA_Q2)</f>
        <v>0.24513014727746776</v>
      </c>
      <c r="AP40" s="354">
        <f>Table2[[#This Row],[Irms Lf]]</f>
        <v>3.8566524871507082</v>
      </c>
      <c r="AQ40" s="354">
        <f>Rdson4*Table2[[#This Row],[Irms BoCtlr]]^2</f>
        <v>6.2469827307912132E-2</v>
      </c>
      <c r="AR40" s="354">
        <f>CHOOSE(Table2[[#This Row],[Mode Digit]], 0, (Vout*Table2[[#This Row],[Iin]]/2)*(Fsw)*(Tr_boost+Tf_boost), (Vout*Iout/2)*(Fsw/1)*(Tr_boost+Tf_boost))</f>
        <v>0</v>
      </c>
      <c r="AS40" s="354">
        <f>IF(Table2[[#This Row],[Vin]]&gt;Vout, 0, IF(Table2[[#This Row],[Iin]]&gt;Table2[[#This Row],[Ripple Current pk-pk]]/2,0,ABS(Table2[[#This Row],[Iin]]-Table2[[#This Row],[Ripple Current pk-pk]]/2)*Vsd_Q4*Deadtime*Fsw))</f>
        <v>0</v>
      </c>
      <c r="AT40" s="354">
        <f>(Table2[[#This Row],[Dead Time Loss BoCtlr]]+Table2[[#This Row],[Transition Loss BoCtlr]]+Table2[[#This Row],[RDS(on) Loss BoCtlr]]*(1+RdsonTopTc*Ta-RdsonTopTc*25))/(1-Table2[[#This Row],[RDS(on) Loss BoCtlr]]*RdsonTopTc*ThetaJA_Q4)</f>
        <v>6.3420678223846783E-2</v>
      </c>
      <c r="AU40" s="354">
        <f>Table2[[#This Row],[Irms Lf]]</f>
        <v>3.8566524871507082</v>
      </c>
      <c r="AV40" s="354">
        <f>Rdson3*Table2[[#This Row],[Irms BoSync]]^2</f>
        <v>6.2469827307912132E-2</v>
      </c>
      <c r="AW4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0" s="354">
        <f>(Table2[[#This Row],[Deadtime Loss BoSync]]+Table2[[#This Row],[RDS(on) Loss BoSync]]*(1+RdsonBotTc*Ta-RdsonBotTc*25))/(1-Table2[[#This Row],[RDS(on) Loss BoSync]]*RdsonBotTc*ThetaJA_Q3)</f>
        <v>6.3420678223846783E-2</v>
      </c>
      <c r="AY40" s="354">
        <f>CHOOSE(Table2[[#This Row],[Mode Digit]], Rdson3*Table2[[#This Row],[Irms Lf]]^2, Rdson1*Table2[[#This Row],[Irms Lf]]^2, 0)</f>
        <v>6.2469827307912132E-2</v>
      </c>
      <c r="AZ40" s="354">
        <f>CHOOSE(Table2[[#This Row],[Mode Digit]], 2*Deadtime*Fsw*IF(VfdSky_Q2&gt;0,VfdSky_Q2,0)*Table2[[#This Row],[Iout]], 2*Deadtime*Fsw*IF(VfdSky_Q3&gt;0,VfdSky_Q3,0)*Table2[[#This Row],[Iin]], 2*Deadtime*Fsw*IF(VfdSky_Q2&gt;0,VfdSky_Q2,0)*Table2[[#This Row],[Iout]]+2*Deadtime*Fsw*IF(VfdSky_Q3&gt;0,VfdSky_Q3,0)*Table2[[#This Row],[Iin]])</f>
        <v>0</v>
      </c>
      <c r="BA4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8.7733878720000019E-2</v>
      </c>
      <c r="BB4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8.7733878720000019E-2</v>
      </c>
      <c r="BC40" s="354">
        <f>CHOOSE(Table2[[#This Row],[Mode Digit]], Rs*Table2[[#This Row],[Irms BuSync]]^2, Rs*Table2[[#This Row],[Irms BoCtlr]]^2, Rs*(Table2[[#This Row],[Irms BuSync]]^2+Table2[[#This Row],[Irms BoCtlr]]^2))</f>
        <v>3.7184421016614358E-2</v>
      </c>
      <c r="BD40" s="354">
        <f t="shared" si="1"/>
        <v>1.44</v>
      </c>
      <c r="BE40" s="354">
        <f>IF(Vout&gt;8, Iq*Vout, Iq*Table2[[#This Row],[Vin]])</f>
        <v>4.3799999999999999E-2</v>
      </c>
      <c r="BF40" s="354">
        <f>CHOOSE(Table2[[#This Row],[Mode Digit]], (Qg_Q1+Qg_Q2)*Fsw, (Qg_Q3+Qg_Q4)*Fsw, (Qg_Q1+Qg_Q2+Qg_Q3+Qg_Q4)*Fsw)*IF(Vout&gt;8, Vout, Table2[[#This Row],[Vin]])</f>
        <v>0.47303999999999996</v>
      </c>
      <c r="BG40" s="354">
        <f t="shared" si="4"/>
        <v>0.57269042016806726</v>
      </c>
      <c r="BH40" s="354">
        <f>Table2[[#This Row],[IQ Loss]]+Table2[[#This Row],[Switching Current Loss]]</f>
        <v>0.51683999999999997</v>
      </c>
      <c r="BI4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4.1735142669239043</v>
      </c>
      <c r="BJ40">
        <f>Vout*Table2[[#This Row],[Iout]]</f>
        <v>54.312000000000005</v>
      </c>
      <c r="BK40" s="550">
        <f>Table2[[#This Row],[Pout]]/(Table2[[#This Row],[Pout]]+Table2[[#This Row],[Total Loss]])</f>
        <v>0.92864020571185768</v>
      </c>
      <c r="BL40" s="559">
        <f>IF(Table2[[#This Row],[Vin]]&gt;Vout,ThetaJA_Q1*(Table2[[#This Row],[Total Control Bu MOSFET Loss]]+Table2[[#This Row],[Reverse Recovery Loss MOSFET D BUCK]]),ThetaJA_Q4*(Table2[[#This Row],[Total Control Bo MOSFET Loss]]+Table2[[#This Row],[Reverse Recovery Loss MOSFET D BOOST]]))</f>
        <v>62.09899644885914</v>
      </c>
      <c r="BM40" s="559">
        <f>IF(Table2[[#This Row],[Vin]]&gt;Vout, Table2[[#This Row],[Total Sync Bu MOSFET Loss]]*ThetaJA_Q2, ThetaJA_Q3*Table2[[#This Row],[Total Sync Bo MOSFET Loss]])</f>
        <v>14.707808836648066</v>
      </c>
      <c r="BN40" s="9"/>
      <c r="BO40" s="4">
        <f>Table2[[#This Row],[EFF, h]]*100</f>
        <v>92.864020571185762</v>
      </c>
      <c r="BP40" s="354">
        <f>Table2[[#This Row],[Total Inductor Loss]]</f>
        <v>0.67261847282464393</v>
      </c>
      <c r="BQ40" s="354">
        <f>Table2[[#This Row],[Total Control Bu MOSFET Loss]]+Table2[[#This Row],[Total Sync Bu MOSFET Loss]]+Table2[[#This Row],[Total Control Bo MOSFET Loss]]+Table2[[#This Row],[Total Sync Bo MOSFET Loss]]+Table2[[#This Row],[Reverse Recovery Loss MOSFET D BUCK]]+Table2[[#This Row],[Reverse Recovery Loss MOSFET D BOOST]]</f>
        <v>1.4946886565928135</v>
      </c>
      <c r="BR40" s="354">
        <f xml:space="preserve"> Table2[[#This Row],[Total Control Bu MOSFET Loss]]+Table2[[#This Row],[Reverse Recovery Loss MOSFET D BUCK]]*0.66</f>
        <v>1.0051537553828525</v>
      </c>
      <c r="BS40" s="354">
        <f>Table2[[#This Row],[Total Sync Bu MOSFET Loss]]+Table2[[#This Row],[Reverse Recovery Loss MOSFET D BUCK]]*0.33</f>
        <v>0.27408232725506776</v>
      </c>
      <c r="BT40" s="354">
        <f xml:space="preserve"> Table2[[#This Row],[Total Control Bo MOSFET Loss]]+Table2[[#This Row],[Reverse Recovery Loss MOSFET D BOOST]]*0.66</f>
        <v>0.1213250381790468</v>
      </c>
      <c r="BU40" s="354">
        <f xml:space="preserve"> Table2[[#This Row],[Total Sync Bo MOSFET Loss]]+Table2[[#This Row],[Reverse Recovery Loss MOSFET D BOOST]]*0.33</f>
        <v>9.2372858201446792E-2</v>
      </c>
      <c r="BV40" s="354">
        <f>Table2[[#This Row],[Isense Shunt Loss]]</f>
        <v>3.7184421016614358E-2</v>
      </c>
      <c r="CA40">
        <v>9.9984319999999993</v>
      </c>
      <c r="CB40">
        <v>2.7269999999999999</v>
      </c>
      <c r="CC40">
        <v>5.115812</v>
      </c>
      <c r="CD40">
        <v>94.558770424517263</v>
      </c>
      <c r="CE40">
        <v>802.77694931200062</v>
      </c>
    </row>
    <row r="41" spans="1:83" x14ac:dyDescent="0.2">
      <c r="A41" s="23" t="s">
        <v>146</v>
      </c>
      <c r="B41" s="5">
        <f>Qgs_Q1*1000000000</f>
        <v>6.2</v>
      </c>
      <c r="C41" s="440" t="s">
        <v>69</v>
      </c>
      <c r="D41" s="21"/>
      <c r="G41">
        <v>32</v>
      </c>
      <c r="H41" s="555">
        <f t="shared" ref="H41:H72" si="5">Vin</f>
        <v>23.6</v>
      </c>
      <c r="I41" s="4" t="str">
        <f>IF(Mode = 2,IF(Table2[[#This Row],[Vin]]&gt;Vout, "BUCK","BOOST"),IF(Table2[[#This Row],[Vin]]&gt;VIN_BB_to_buck, "BUCK", IF(Table2[[#This Row],[Vin]]&lt;=VIN_boost_to_BB,"BOOST","BUCK-BST")))</f>
        <v>BUCK</v>
      </c>
      <c r="J41">
        <f>IF(Table2[[#This Row],[Mode]]="BOOST",2, IF(Table2[[#This Row],[Mode]]="BUCK", 1,3))</f>
        <v>1</v>
      </c>
      <c r="K41" s="354">
        <f t="shared" si="3"/>
        <v>3.84</v>
      </c>
      <c r="L41" s="4">
        <f>Vout*Table2[[#This Row],[Iout]]/(Table2[[#This Row],[Vin]]*Efficiency)</f>
        <v>2.5006244424620871</v>
      </c>
      <c r="M41" s="711">
        <f>MIN(1/Fsw,CHOOSE(Table2[[#This Row],[Mode Digit]],(Vout+(Rdson2+Rs+Rdcr)*Table2[[#This Row],[Iout]])/(Table2[[#This Row],[Vin]]+(Rs+Rdson2-Rdson1)*Table2[[#This Row],[Iout]])/Fsw,(Vout+(Rdson3+Rdcr)*Table2[[#This Row],[Iin]]-Table2[[#This Row],[Vin]])/(Vout+(Rdson3-Rdson4-Rs)*Table2[[#This Row],[Iin]])/Fsw,t1_Ph_II))</f>
        <v>1.0340426493177915E-6</v>
      </c>
      <c r="N41" s="602">
        <f>CHOOSE(Table2[[#This Row],[Mode Digit]],1/Fsw-Table2[[#This Row],[t1_Ph_II]],1/Fsw-Table2[[#This Row],[t1_Ph_II]],(Vout/Fsw-Table2[[#This Row],[Vin]]*t1_Ph_II)/(Table2[[#This Row],[Vin]]+Vout))</f>
        <v>6.3262401734887516E-7</v>
      </c>
      <c r="O41" s="602">
        <f>1/Fsw-(Table2[[#This Row],[t1_Ph_II]]+Table2[[#This Row],[t2_Ph_I]])</f>
        <v>0</v>
      </c>
      <c r="P4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2.0774273022992187</v>
      </c>
      <c r="Q41" s="4">
        <f>CHOOSE(Table2[[#This Row],[Mode Digit]],Table2[[#This Row],[I_0]]+1/Lf*(Table2[[#This Row],[Vin]]-Vout)*Table2[[#This Row],[t1_Ph_II]],Table2[[#This Row],[I_0]]+1/Lf*Table2[[#This Row],[Vin]]*Table2[[#This Row],[t1_Ph_II]],Table2[[#This Row],[I_0]]+(Table2[[#This Row],[Vin]]-Vout)/L*Table2[[#This Row],[t1_Ph_II]])</f>
        <v>5.602572697700781</v>
      </c>
      <c r="R41" s="4">
        <f>CHOOSE(Table2[[#This Row],[Mode Digit]],0,0,Table2[[#This Row],[I_1]]+Table2[[#This Row],[Vin]]/L*Table2[[#This Row],[t2_Ph_I]])</f>
        <v>0</v>
      </c>
      <c r="S41" s="409">
        <f>Fsw*(Table2[[#This Row],[I_0]]*Table2[[#This Row],[t1_Ph_II]]+Table2[[#This Row],[I_1]]*Table2[[#This Row],[t2_Ph_I]]+Table2[[#This Row],[I_2]]*Table2[[#This Row],[t3_Ph_III]])</f>
        <v>3.4154822873659141</v>
      </c>
      <c r="T41" s="354">
        <f>MIN(1,CHOOSE(Table2[[#This Row],[Mode Digit]],(Vout+(Rdson2+Rs+Rdcr)*Table2[[#This Row],[Iout]])/(Table2[[#This Row],[Vin]]+(Rs+Rdson2-Rdson1)*Table2[[#This Row],[Iout]]),1,Fsw*Table2[[#This Row],[t2_Ph_I]]+Table2[[#This Row],[t1_Ph_II]]))</f>
        <v>0.62042558959067495</v>
      </c>
      <c r="U41" s="354">
        <f>MIN(1,CHOOSE(Table2[[#This Row],[Mode Digit]],0,(Vout+(Rdson3+Rdcr)*Table2[[#This Row],[Iin]]-Table2[[#This Row],[Vin]])/(Vout+(Rdson3-Rdson4-Rs)*Table2[[#This Row],[Iin]]),Fsw*Table2[[#This Row],[t1_Ph_II]]+Table2[[#This Row],[t3_Ph_III]]))</f>
        <v>0</v>
      </c>
      <c r="V41" s="4">
        <f>MAX(Table2[[#This Row],[I_0]:[I_2]])-MIN(Table2[[#This Row],[I_0]:[I_1]])</f>
        <v>3.5251453954015624</v>
      </c>
      <c r="W4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3.9725500842104013</v>
      </c>
      <c r="X41" s="354">
        <f>(Table2[[#This Row],[Irms Lf]]^2*Rdcr*(1+Ltc*Ta-Ltc*25))/(1-Table2[[#This Row],[Irms Lf]]^2*Rdcr*Ltc*ThetaCa)</f>
        <v>9.2205867560381044E-2</v>
      </c>
      <c r="Y41" s="354">
        <f>ABS(7.759*10^-3*Fsw^0.9458*(0.00787*Table2[[#This Row],[Ripple Current pk-pk]])^2.304)</f>
        <v>0.58587217819738058</v>
      </c>
      <c r="Z41" s="354">
        <f>Table2[[#This Row],[DCR    Loss]]+Table2[[#This Row],[Core Loss]]</f>
        <v>0.67807804575776165</v>
      </c>
      <c r="AA41" s="4">
        <f>IF(Table2[[#This Row],[Vin]]&gt;Vout, Table2[[#This Row],[Ripple Current pk-pk]]/SQRT(12), SQRT(Table2[[#This Row],[Duty Cycle BOOST Leg]]/(1-Table2[[#This Row],[Duty Cycle BOOST Leg]]))*SQRT(Table2[[#This Row],[Iout]]^2+(Table2[[#This Row],[Ripple Current pk-pk]]^2)/12))</f>
        <v>1.0176218214838308</v>
      </c>
      <c r="AB41" s="354">
        <f>RCoutEsr*Table2[[#This Row],[Irms Cout]]^2</f>
        <v>5.1777708578003489E-3</v>
      </c>
      <c r="AC41" s="354">
        <f>Table2[[#This Row],[Cout ESR Loss]]</f>
        <v>5.1777708578003489E-3</v>
      </c>
      <c r="AD41" s="4">
        <f>IF(Table2[[#This Row],[Vin]]&gt;Vout, SQRT(Table2[[#This Row],[Duty Cycle BUCK Leg]]*(1-Table2[[#This Row],[Duty Cycle BUCK Leg]]))*SQRT(Table2[[#This Row],[Iout]]^2+(Table2[[#This Row],[Ripple Current pk-pk]]^2)/12), Table2[[#This Row],[Ripple Current pk-pk]]/SQRT(12))</f>
        <v>1.9278031937020219</v>
      </c>
      <c r="AE41" s="354">
        <f>RCinEsr*Table2[[#This Row],[Irms Cin]]^2</f>
        <v>7.4328503072954308E-3</v>
      </c>
      <c r="AF41" s="549">
        <f>Table2[[#This Row],[Cin ESR Loss]]</f>
        <v>7.4328503072954308E-3</v>
      </c>
      <c r="AG41" s="354">
        <f>Table2[[#This Row],[Irms Lf]]</f>
        <v>3.9725500842104013</v>
      </c>
      <c r="AH41" s="354">
        <f>Rdson1*Table2[[#This Row],[Irms BuCtrl]]^2</f>
        <v>6.6280847520552286E-2</v>
      </c>
      <c r="AI41" s="354">
        <f>CHOOSE(Table2[[#This Row],[Mode Digit]], (Table2[[#This Row],[Vin]]*Table2[[#This Row],[Iout]]/2)*(Fsw)*(Tr_buck+Tf_buck), 0, (Table2[[#This Row],[Vin]]*Table2[[#This Row],[Avg IL]]/2)*(Fsw/1)*(Tr_buck+Tf_buck))</f>
        <v>0.89866083782582351</v>
      </c>
      <c r="AJ41">
        <f>IF(Table2[[#This Row],[Vin]]&gt;Vout, IF(Table2[[#This Row],[Iout]]&gt;Table2[[#This Row],[Ripple Current pk-pk]]/2,0,ABS(Table2[[#This Row],[Iout]]-Table2[[#This Row],[Ripple Current pk-pk]]/2)*Vsd_Q1*Deadtime*Fsw),0)</f>
        <v>0</v>
      </c>
      <c r="AK41" s="354">
        <f>(Table2[[#This Row],[Dead Time Loss BuCtrl]]+Table2[[#This Row],[Transition Loss BuCtrl]]+Table2[[#This Row],[RDS(on) Loss BuCtrl]]*(1+RdsonTopTc*Ta-RdsonTopTc*25))/(1-Table2[[#This Row],[RDS(on) Loss BuCtrl]]*RdsonTopTc*ThetaJA_Q1)</f>
        <v>0.98053952309472381</v>
      </c>
      <c r="AL41" s="354">
        <f>Table2[[#This Row],[Irms Lf]]</f>
        <v>3.9725500842104013</v>
      </c>
      <c r="AM41" s="354">
        <f>Rdson2*Table2[[#This Row],[Irms BuSync]]^2</f>
        <v>6.6280847520552286E-2</v>
      </c>
      <c r="AN4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0.18475885714285714</v>
      </c>
      <c r="AO41" s="354">
        <f>(Table2[[#This Row],[Deadtime Loss BuSync]]+Table2[[#This Row],[RDS(on) Loss BuSync]]*(1+RdsonBotTc*Ta-RdsonBotTc*25))/(1-Table2[[#This Row],[RDS(on) Loss BuSync]]*RdsonBotTc*ThetaJA_Q2)</f>
        <v>0.25509764582316713</v>
      </c>
      <c r="AP41" s="354">
        <f>Table2[[#This Row],[Irms Lf]]</f>
        <v>3.9725500842104013</v>
      </c>
      <c r="AQ41" s="354">
        <f>Rdson4*Table2[[#This Row],[Irms BoCtlr]]^2</f>
        <v>6.6280847520552286E-2</v>
      </c>
      <c r="AR41" s="354">
        <f>CHOOSE(Table2[[#This Row],[Mode Digit]], 0, (Vout*Table2[[#This Row],[Iin]]/2)*(Fsw)*(Tr_boost+Tf_boost), (Vout*Iout/2)*(Fsw/1)*(Tr_boost+Tf_boost))</f>
        <v>0</v>
      </c>
      <c r="AS41" s="354">
        <f>IF(Table2[[#This Row],[Vin]]&gt;Vout, 0, IF(Table2[[#This Row],[Iin]]&gt;Table2[[#This Row],[Ripple Current pk-pk]]/2,0,ABS(Table2[[#This Row],[Iin]]-Table2[[#This Row],[Ripple Current pk-pk]]/2)*Vsd_Q4*Deadtime*Fsw))</f>
        <v>0</v>
      </c>
      <c r="AT41" s="354">
        <f>(Table2[[#This Row],[Dead Time Loss BoCtlr]]+Table2[[#This Row],[Transition Loss BoCtlr]]+Table2[[#This Row],[RDS(on) Loss BoCtlr]]*(1+RdsonTopTc*Ta-RdsonTopTc*25))/(1-Table2[[#This Row],[RDS(on) Loss BoCtlr]]*RdsonTopTc*ThetaJA_Q4)</f>
        <v>6.7352246881931782E-2</v>
      </c>
      <c r="AU41" s="354">
        <f>Table2[[#This Row],[Irms Lf]]</f>
        <v>3.9725500842104013</v>
      </c>
      <c r="AV41" s="354">
        <f>Rdson3*Table2[[#This Row],[Irms BoSync]]^2</f>
        <v>6.6280847520552286E-2</v>
      </c>
      <c r="AW4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1" s="354">
        <f>(Table2[[#This Row],[Deadtime Loss BoSync]]+Table2[[#This Row],[RDS(on) Loss BoSync]]*(1+RdsonBotTc*Ta-RdsonBotTc*25))/(1-Table2[[#This Row],[RDS(on) Loss BoSync]]*RdsonBotTc*ThetaJA_Q3)</f>
        <v>6.7352246881931782E-2</v>
      </c>
      <c r="AY41" s="354">
        <f>CHOOSE(Table2[[#This Row],[Mode Digit]], Rdson3*Table2[[#This Row],[Irms Lf]]^2, Rdson1*Table2[[#This Row],[Irms Lf]]^2, 0)</f>
        <v>6.6280847520552286E-2</v>
      </c>
      <c r="AZ41" s="354">
        <f>CHOOSE(Table2[[#This Row],[Mode Digit]], 2*Deadtime*Fsw*IF(VfdSky_Q2&gt;0,VfdSky_Q2,0)*Table2[[#This Row],[Iout]], 2*Deadtime*Fsw*IF(VfdSky_Q3&gt;0,VfdSky_Q3,0)*Table2[[#This Row],[Iin]], 2*Deadtime*Fsw*IF(VfdSky_Q2&gt;0,VfdSky_Q2,0)*Table2[[#This Row],[Iout]]+2*Deadtime*Fsw*IF(VfdSky_Q3&gt;0,VfdSky_Q3,0)*Table2[[#This Row],[Iin]])</f>
        <v>0</v>
      </c>
      <c r="BA4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9.0562068480000008E-2</v>
      </c>
      <c r="BB4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9.0562068480000008E-2</v>
      </c>
      <c r="BC41" s="354">
        <f>CHOOSE(Table2[[#This Row],[Mode Digit]], Rs*Table2[[#This Row],[Irms BuSync]]^2, Rs*Table2[[#This Row],[Irms BoCtlr]]^2, Rs*(Table2[[#This Row],[Irms BuSync]]^2+Table2[[#This Row],[Irms BoCtlr]]^2))</f>
        <v>3.9452885428900165E-2</v>
      </c>
      <c r="BD41" s="354">
        <f t="shared" ref="BD41:BD72" si="6">Rshunt/1000*Iout^2</f>
        <v>1.44</v>
      </c>
      <c r="BE41" s="354">
        <f>IF(Vout&gt;8, Iq*Vout, Iq*Table2[[#This Row],[Vin]])</f>
        <v>4.3799999999999999E-2</v>
      </c>
      <c r="BF41" s="354">
        <f>CHOOSE(Table2[[#This Row],[Mode Digit]], (Qg_Q1+Qg_Q2)*Fsw, (Qg_Q3+Qg_Q4)*Fsw, (Qg_Q1+Qg_Q2+Qg_Q3+Qg_Q4)*Fsw)*IF(Vout&gt;8, Vout, Table2[[#This Row],[Vin]])</f>
        <v>0.47303999999999996</v>
      </c>
      <c r="BG41" s="354">
        <f t="shared" si="4"/>
        <v>0.57269042016806726</v>
      </c>
      <c r="BH41" s="354">
        <f>Table2[[#This Row],[IQ Loss]]+Table2[[#This Row],[Switching Current Loss]]</f>
        <v>0.51683999999999997</v>
      </c>
      <c r="BI4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4.2384473519935124</v>
      </c>
      <c r="BJ41">
        <f>Vout*Table2[[#This Row],[Iout]]</f>
        <v>56.064</v>
      </c>
      <c r="BK41" s="550">
        <f>Table2[[#This Row],[Pout]]/(Table2[[#This Row],[Pout]]+Table2[[#This Row],[Total Loss]])</f>
        <v>0.92971351017889658</v>
      </c>
      <c r="BL41" s="559">
        <f>IF(Table2[[#This Row],[Vin]]&gt;Vout,ThetaJA_Q1*(Table2[[#This Row],[Total Control Bu MOSFET Loss]]+Table2[[#This Row],[Reverse Recovery Loss MOSFET D BUCK]]),ThetaJA_Q4*(Table2[[#This Row],[Total Control Bo MOSFET Loss]]+Table2[[#This Row],[Reverse Recovery Loss MOSFET D BOOST]]))</f>
        <v>64.266095494483423</v>
      </c>
      <c r="BM41" s="559">
        <f>IF(Table2[[#This Row],[Vin]]&gt;Vout, Table2[[#This Row],[Total Sync Bu MOSFET Loss]]*ThetaJA_Q2, ThetaJA_Q3*Table2[[#This Row],[Total Sync Bo MOSFET Loss]])</f>
        <v>15.305858749390028</v>
      </c>
      <c r="BN41" s="9"/>
      <c r="BO41" s="4">
        <f>Table2[[#This Row],[EFF, h]]*100</f>
        <v>92.97135101788966</v>
      </c>
      <c r="BP41" s="354">
        <f>Table2[[#This Row],[Total Inductor Loss]]</f>
        <v>0.67807804575776165</v>
      </c>
      <c r="BQ41" s="354">
        <f>Table2[[#This Row],[Total Control Bu MOSFET Loss]]+Table2[[#This Row],[Total Sync Bu MOSFET Loss]]+Table2[[#This Row],[Total Control Bo MOSFET Loss]]+Table2[[#This Row],[Total Sync Bo MOSFET Loss]]+Table2[[#This Row],[Reverse Recovery Loss MOSFET D BUCK]]+Table2[[#This Row],[Reverse Recovery Loss MOSFET D BOOST]]</f>
        <v>1.5514657996417545</v>
      </c>
      <c r="BR41" s="354">
        <f xml:space="preserve"> Table2[[#This Row],[Total Control Bu MOSFET Loss]]+Table2[[#This Row],[Reverse Recovery Loss MOSFET D BUCK]]*0.66</f>
        <v>1.0403104882915237</v>
      </c>
      <c r="BS41" s="354">
        <f>Table2[[#This Row],[Total Sync Bu MOSFET Loss]]+Table2[[#This Row],[Reverse Recovery Loss MOSFET D BUCK]]*0.33</f>
        <v>0.28498312842156714</v>
      </c>
      <c r="BT41" s="354">
        <f xml:space="preserve"> Table2[[#This Row],[Total Control Bo MOSFET Loss]]+Table2[[#This Row],[Reverse Recovery Loss MOSFET D BOOST]]*0.66</f>
        <v>0.12712321207873178</v>
      </c>
      <c r="BU41" s="354">
        <f xml:space="preserve"> Table2[[#This Row],[Total Sync Bo MOSFET Loss]]+Table2[[#This Row],[Reverse Recovery Loss MOSFET D BOOST]]*0.33</f>
        <v>9.7237729480331783E-2</v>
      </c>
      <c r="BV41" s="354">
        <f>Table2[[#This Row],[Isense Shunt Loss]]</f>
        <v>3.9452885428900165E-2</v>
      </c>
      <c r="CA41">
        <v>9.9985180000000007</v>
      </c>
      <c r="CB41">
        <v>3.1859999999999999</v>
      </c>
      <c r="CC41">
        <v>5.1148889999999998</v>
      </c>
      <c r="CD41">
        <v>94.58411932633652</v>
      </c>
      <c r="CE41">
        <v>933.10990806000302</v>
      </c>
    </row>
    <row r="42" spans="1:83" x14ac:dyDescent="0.2">
      <c r="A42" s="23" t="s">
        <v>93</v>
      </c>
      <c r="B42" s="5">
        <f>Rgate1</f>
        <v>4.7</v>
      </c>
      <c r="C42" s="444" t="s">
        <v>118</v>
      </c>
      <c r="D42" s="21" t="s">
        <v>102</v>
      </c>
      <c r="G42">
        <v>33</v>
      </c>
      <c r="H42" s="555">
        <f t="shared" si="5"/>
        <v>23.6</v>
      </c>
      <c r="I42" s="4" t="str">
        <f>IF(Mode = 2,IF(Table2[[#This Row],[Vin]]&gt;Vout, "BUCK","BOOST"),IF(Table2[[#This Row],[Vin]]&gt;VIN_BB_to_buck, "BUCK", IF(Table2[[#This Row],[Vin]]&lt;=VIN_boost_to_BB,"BOOST","BUCK-BST")))</f>
        <v>BUCK</v>
      </c>
      <c r="J42">
        <f>IF(Table2[[#This Row],[Mode]]="BOOST",2, IF(Table2[[#This Row],[Mode]]="BUCK", 1,3))</f>
        <v>1</v>
      </c>
      <c r="K42" s="354">
        <f t="shared" ref="K42:K73" si="7">Iout*G42/100</f>
        <v>3.96</v>
      </c>
      <c r="L42" s="4">
        <f>Vout*Table2[[#This Row],[Iout]]/(Table2[[#This Row],[Vin]]*Efficiency)</f>
        <v>2.5787689562890272</v>
      </c>
      <c r="M42" s="711">
        <f>MIN(1/Fsw,CHOOSE(Table2[[#This Row],[Mode Digit]],(Vout+(Rdson2+Rs+Rdcr)*Table2[[#This Row],[Iout]])/(Table2[[#This Row],[Vin]]+(Rs+Rdson2-Rdson1)*Table2[[#This Row],[Iout]])/Fsw,(Vout+(Rdson3+Rdcr)*Table2[[#This Row],[Iin]]-Table2[[#This Row],[Vin]])/(Vout+(Rdson3-Rdson4-Rs)*Table2[[#This Row],[Iin]])/Fsw,t1_Ph_II))</f>
        <v>1.0341353980039447E-6</v>
      </c>
      <c r="N42" s="602">
        <f>CHOOSE(Table2[[#This Row],[Mode Digit]],1/Fsw-Table2[[#This Row],[t1_Ph_II]],1/Fsw-Table2[[#This Row],[t1_Ph_II]],(Vout/Fsw-Table2[[#This Row],[Vin]]*t1_Ph_II)/(Table2[[#This Row],[Vin]]+Vout))</f>
        <v>6.3253126866272197E-7</v>
      </c>
      <c r="O42" s="602">
        <f>1/Fsw-(Table2[[#This Row],[t1_Ph_II]]+Table2[[#This Row],[t2_Ph_I]])</f>
        <v>0</v>
      </c>
      <c r="P4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2.1972692079478211</v>
      </c>
      <c r="Q42" s="4">
        <f>CHOOSE(Table2[[#This Row],[Mode Digit]],Table2[[#This Row],[I_0]]+1/Lf*(Table2[[#This Row],[Vin]]-Vout)*Table2[[#This Row],[t1_Ph_II]],Table2[[#This Row],[I_0]]+1/Lf*Table2[[#This Row],[Vin]]*Table2[[#This Row],[t1_Ph_II]],Table2[[#This Row],[I_0]]+(Table2[[#This Row],[Vin]]-Vout)/L*Table2[[#This Row],[t1_Ph_II]])</f>
        <v>5.7227307920521788</v>
      </c>
      <c r="R42" s="4">
        <f>CHOOSE(Table2[[#This Row],[Mode Digit]],0,0,Table2[[#This Row],[I_1]]+Table2[[#This Row],[Vin]]/L*Table2[[#This Row],[t2_Ph_I]])</f>
        <v>0</v>
      </c>
      <c r="S42" s="409">
        <f>Fsw*(Table2[[#This Row],[I_0]]*Table2[[#This Row],[t1_Ph_II]]+Table2[[#This Row],[I_1]]*Table2[[#This Row],[t2_Ph_I]]+Table2[[#This Row],[I_2]]*Table2[[#This Row],[t3_Ph_III]])</f>
        <v>3.5352480209969523</v>
      </c>
      <c r="T42" s="354">
        <f>MIN(1,CHOOSE(Table2[[#This Row],[Mode Digit]],(Vout+(Rdson2+Rs+Rdcr)*Table2[[#This Row],[Iout]])/(Table2[[#This Row],[Vin]]+(Rs+Rdson2-Rdson1)*Table2[[#This Row],[Iout]]),1,Fsw*Table2[[#This Row],[t2_Ph_I]]+Table2[[#This Row],[t1_Ph_II]]))</f>
        <v>0.62048123880236683</v>
      </c>
      <c r="U42" s="354">
        <f>MIN(1,CHOOSE(Table2[[#This Row],[Mode Digit]],0,(Vout+(Rdson3+Rdcr)*Table2[[#This Row],[Iin]]-Table2[[#This Row],[Vin]])/(Vout+(Rdson3-Rdson4-Rs)*Table2[[#This Row],[Iin]]),Fsw*Table2[[#This Row],[t1_Ph_II]]+Table2[[#This Row],[t3_Ph_III]]))</f>
        <v>0</v>
      </c>
      <c r="V42" s="4">
        <f>MAX(Table2[[#This Row],[I_0]:[I_2]])-MIN(Table2[[#This Row],[I_0]:[I_1]])</f>
        <v>3.5254615841043577</v>
      </c>
      <c r="W4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4.0886843786744294</v>
      </c>
      <c r="X42" s="354">
        <f>(Table2[[#This Row],[Irms Lf]]^2*Rdcr*(1+Ltc*Ta-Ltc*25))/(1-Table2[[#This Row],[Irms Lf]]^2*Rdcr*Ltc*ThetaCa)</f>
        <v>9.7718559492347201E-2</v>
      </c>
      <c r="Y42" s="354">
        <f>ABS(7.759*10^-3*Fsw^0.9458*(0.00787*Table2[[#This Row],[Ripple Current pk-pk]])^2.304)</f>
        <v>0.58599326033003163</v>
      </c>
      <c r="Z42" s="354">
        <f>Table2[[#This Row],[DCR    Loss]]+Table2[[#This Row],[Core Loss]]</f>
        <v>0.68371181982237883</v>
      </c>
      <c r="AA42" s="4">
        <f>IF(Table2[[#This Row],[Vin]]&gt;Vout, Table2[[#This Row],[Ripple Current pk-pk]]/SQRT(12), SQRT(Table2[[#This Row],[Duty Cycle BOOST Leg]]/(1-Table2[[#This Row],[Duty Cycle BOOST Leg]]))*SQRT(Table2[[#This Row],[Iout]]^2+(Table2[[#This Row],[Ripple Current pk-pk]]^2)/12))</f>
        <v>1.0177130973001678</v>
      </c>
      <c r="AB42" s="354">
        <f>RCoutEsr*Table2[[#This Row],[Irms Cout]]^2</f>
        <v>5.178699742081504E-3</v>
      </c>
      <c r="AC42" s="354">
        <f>Table2[[#This Row],[Cout ESR Loss]]</f>
        <v>5.178699742081504E-3</v>
      </c>
      <c r="AD42" s="4">
        <f>IF(Table2[[#This Row],[Vin]]&gt;Vout, SQRT(Table2[[#This Row],[Duty Cycle BUCK Leg]]*(1-Table2[[#This Row],[Duty Cycle BUCK Leg]]))*SQRT(Table2[[#This Row],[Iout]]^2+(Table2[[#This Row],[Ripple Current pk-pk]]^2)/12), Table2[[#This Row],[Ripple Current pk-pk]]/SQRT(12))</f>
        <v>1.9841044862677144</v>
      </c>
      <c r="AE42" s="354">
        <f>RCinEsr*Table2[[#This Row],[Irms Cin]]^2</f>
        <v>7.8733412248553417E-3</v>
      </c>
      <c r="AF42" s="549">
        <f>Table2[[#This Row],[Cin ESR Loss]]</f>
        <v>7.8733412248553417E-3</v>
      </c>
      <c r="AG42" s="354">
        <f>Table2[[#This Row],[Irms Lf]]</f>
        <v>4.0886843786744294</v>
      </c>
      <c r="AH42" s="354">
        <f>Rdson1*Table2[[#This Row],[Irms BuCtrl]]^2</f>
        <v>7.0212827783348489E-2</v>
      </c>
      <c r="AI42" s="354">
        <f>CHOOSE(Table2[[#This Row],[Mode Digit]], (Table2[[#This Row],[Vin]]*Table2[[#This Row],[Iout]]/2)*(Fsw)*(Tr_buck+Tf_buck), 0, (Table2[[#This Row],[Vin]]*Table2[[#This Row],[Avg IL]]/2)*(Fsw/1)*(Tr_buck+Tf_buck))</f>
        <v>0.92674398900788058</v>
      </c>
      <c r="AJ42">
        <f>IF(Table2[[#This Row],[Vin]]&gt;Vout, IF(Table2[[#This Row],[Iout]]&gt;Table2[[#This Row],[Ripple Current pk-pk]]/2,0,ABS(Table2[[#This Row],[Iout]]-Table2[[#This Row],[Ripple Current pk-pk]]/2)*Vsd_Q1*Deadtime*Fsw),0)</f>
        <v>0</v>
      </c>
      <c r="AK42" s="354">
        <f>(Table2[[#This Row],[Dead Time Loss BuCtrl]]+Table2[[#This Row],[Transition Loss BuCtrl]]+Table2[[#This Row],[RDS(on) Loss BuCtrl]]*(1+RdsonTopTc*Ta-RdsonTopTc*25))/(1-Table2[[#This Row],[RDS(on) Loss BuCtrl]]*RdsonTopTc*ThetaJA_Q1)</f>
        <v>1.0140445614694114</v>
      </c>
      <c r="AL42" s="354">
        <f>Table2[[#This Row],[Irms Lf]]</f>
        <v>4.0886843786744294</v>
      </c>
      <c r="AM42" s="354">
        <f>Rdson2*Table2[[#This Row],[Irms BuSync]]^2</f>
        <v>7.0212827783348489E-2</v>
      </c>
      <c r="AN4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0.19053257142857141</v>
      </c>
      <c r="AO42" s="354">
        <f>(Table2[[#This Row],[Deadtime Loss BuSync]]+Table2[[#This Row],[RDS(on) Loss BuSync]]*(1+RdsonBotTc*Ta-RdsonBotTc*25))/(1-Table2[[#This Row],[RDS(on) Loss BuSync]]*RdsonBotTc*ThetaJA_Q2)</f>
        <v>0.2652145504657169</v>
      </c>
      <c r="AP42" s="354">
        <f>Table2[[#This Row],[Irms Lf]]</f>
        <v>4.0886843786744294</v>
      </c>
      <c r="AQ42" s="354">
        <f>Rdson4*Table2[[#This Row],[Irms BoCtlr]]^2</f>
        <v>7.0212827783348489E-2</v>
      </c>
      <c r="AR42" s="354">
        <f>CHOOSE(Table2[[#This Row],[Mode Digit]], 0, (Vout*Table2[[#This Row],[Iin]]/2)*(Fsw)*(Tr_boost+Tf_boost), (Vout*Iout/2)*(Fsw/1)*(Tr_boost+Tf_boost))</f>
        <v>0</v>
      </c>
      <c r="AS42" s="354">
        <f>IF(Table2[[#This Row],[Vin]]&gt;Vout, 0, IF(Table2[[#This Row],[Iin]]&gt;Table2[[#This Row],[Ripple Current pk-pk]]/2,0,ABS(Table2[[#This Row],[Iin]]-Table2[[#This Row],[Ripple Current pk-pk]]/2)*Vsd_Q4*Deadtime*Fsw))</f>
        <v>0</v>
      </c>
      <c r="AT42" s="354">
        <f>(Table2[[#This Row],[Dead Time Loss BoCtlr]]+Table2[[#This Row],[Transition Loss BoCtlr]]+Table2[[#This Row],[RDS(on) Loss BoCtlr]]*(1+RdsonTopTc*Ta-RdsonTopTc*25))/(1-Table2[[#This Row],[RDS(on) Loss BoCtlr]]*RdsonTopTc*ThetaJA_Q4)</f>
        <v>7.1416268949593395E-2</v>
      </c>
      <c r="AU42" s="354">
        <f>Table2[[#This Row],[Irms Lf]]</f>
        <v>4.0886843786744294</v>
      </c>
      <c r="AV42" s="354">
        <f>Rdson3*Table2[[#This Row],[Irms BoSync]]^2</f>
        <v>7.0212827783348489E-2</v>
      </c>
      <c r="AW4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2" s="354">
        <f>(Table2[[#This Row],[Deadtime Loss BoSync]]+Table2[[#This Row],[RDS(on) Loss BoSync]]*(1+RdsonBotTc*Ta-RdsonBotTc*25))/(1-Table2[[#This Row],[RDS(on) Loss BoSync]]*RdsonBotTc*ThetaJA_Q3)</f>
        <v>7.1416268949593395E-2</v>
      </c>
      <c r="AY42" s="354">
        <f>CHOOSE(Table2[[#This Row],[Mode Digit]], Rdson3*Table2[[#This Row],[Irms Lf]]^2, Rdson1*Table2[[#This Row],[Irms Lf]]^2, 0)</f>
        <v>7.0212827783348489E-2</v>
      </c>
      <c r="AZ42" s="354">
        <f>CHOOSE(Table2[[#This Row],[Mode Digit]], 2*Deadtime*Fsw*IF(VfdSky_Q2&gt;0,VfdSky_Q2,0)*Table2[[#This Row],[Iout]], 2*Deadtime*Fsw*IF(VfdSky_Q3&gt;0,VfdSky_Q3,0)*Table2[[#This Row],[Iin]], 2*Deadtime*Fsw*IF(VfdSky_Q2&gt;0,VfdSky_Q2,0)*Table2[[#This Row],[Iout]]+2*Deadtime*Fsw*IF(VfdSky_Q3&gt;0,VfdSky_Q3,0)*Table2[[#This Row],[Iin]])</f>
        <v>0</v>
      </c>
      <c r="BA4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9.3390137279999993E-2</v>
      </c>
      <c r="BB4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9.3390137279999993E-2</v>
      </c>
      <c r="BC42" s="354">
        <f>CHOOSE(Table2[[#This Row],[Mode Digit]], Rs*Table2[[#This Row],[Irms BuSync]]^2, Rs*Table2[[#This Row],[Irms BoCtlr]]^2, Rs*(Table2[[#This Row],[Irms BuSync]]^2+Table2[[#This Row],[Irms BoCtlr]]^2))</f>
        <v>4.1793349871040761E-2</v>
      </c>
      <c r="BD42" s="354">
        <f t="shared" si="6"/>
        <v>1.44</v>
      </c>
      <c r="BE42" s="354">
        <f>IF(Vout&gt;8, Iq*Vout, Iq*Table2[[#This Row],[Vin]])</f>
        <v>4.3799999999999999E-2</v>
      </c>
      <c r="BF42" s="354">
        <f>CHOOSE(Table2[[#This Row],[Mode Digit]], (Qg_Q1+Qg_Q2)*Fsw, (Qg_Q3+Qg_Q4)*Fsw, (Qg_Q1+Qg_Q2+Qg_Q3+Qg_Q4)*Fsw)*IF(Vout&gt;8, Vout, Table2[[#This Row],[Vin]])</f>
        <v>0.47303999999999996</v>
      </c>
      <c r="BG42" s="354">
        <f t="shared" si="4"/>
        <v>0.57269042016806726</v>
      </c>
      <c r="BH42" s="354">
        <f>Table2[[#This Row],[IQ Loss]]+Table2[[#This Row],[Switching Current Loss]]</f>
        <v>0.51683999999999997</v>
      </c>
      <c r="BI4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4.3042691350546711</v>
      </c>
      <c r="BJ42">
        <f>Vout*Table2[[#This Row],[Iout]]</f>
        <v>57.815999999999995</v>
      </c>
      <c r="BK42" s="550">
        <f>Table2[[#This Row],[Pout]]/(Table2[[#This Row],[Pout]]+Table2[[#This Row],[Total Loss]])</f>
        <v>0.93071071334709077</v>
      </c>
      <c r="BL42" s="559">
        <f>IF(Table2[[#This Row],[Vin]]&gt;Vout,ThetaJA_Q1*(Table2[[#This Row],[Total Control Bu MOSFET Loss]]+Table2[[#This Row],[Reverse Recovery Loss MOSFET D BUCK]]),ThetaJA_Q4*(Table2[[#This Row],[Total Control Bo MOSFET Loss]]+Table2[[#This Row],[Reverse Recovery Loss MOSFET D BOOST]]))</f>
        <v>66.446081924964673</v>
      </c>
      <c r="BM42" s="559">
        <f>IF(Table2[[#This Row],[Vin]]&gt;Vout, Table2[[#This Row],[Total Sync Bu MOSFET Loss]]*ThetaJA_Q2, ThetaJA_Q3*Table2[[#This Row],[Total Sync Bo MOSFET Loss]])</f>
        <v>15.912873027943014</v>
      </c>
      <c r="BN42" s="9"/>
      <c r="BO42" s="4">
        <f>Table2[[#This Row],[EFF, h]]*100</f>
        <v>93.071071334709075</v>
      </c>
      <c r="BP42" s="354">
        <f>Table2[[#This Row],[Total Inductor Loss]]</f>
        <v>0.68371181982237883</v>
      </c>
      <c r="BQ42" s="354">
        <f>Table2[[#This Row],[Total Control Bu MOSFET Loss]]+Table2[[#This Row],[Total Sync Bu MOSFET Loss]]+Table2[[#This Row],[Total Control Bo MOSFET Loss]]+Table2[[#This Row],[Total Sync Bo MOSFET Loss]]+Table2[[#This Row],[Reverse Recovery Loss MOSFET D BUCK]]+Table2[[#This Row],[Reverse Recovery Loss MOSFET D BOOST]]</f>
        <v>1.6088719243943148</v>
      </c>
      <c r="BR42" s="354">
        <f xml:space="preserve"> Table2[[#This Row],[Total Control Bu MOSFET Loss]]+Table2[[#This Row],[Reverse Recovery Loss MOSFET D BUCK]]*0.66</f>
        <v>1.0756820520742114</v>
      </c>
      <c r="BS42" s="354">
        <f>Table2[[#This Row],[Total Sync Bu MOSFET Loss]]+Table2[[#This Row],[Reverse Recovery Loss MOSFET D BUCK]]*0.33</f>
        <v>0.29603329576811688</v>
      </c>
      <c r="BT42" s="354">
        <f xml:space="preserve"> Table2[[#This Row],[Total Control Bo MOSFET Loss]]+Table2[[#This Row],[Reverse Recovery Loss MOSFET D BOOST]]*0.66</f>
        <v>0.13305375955439339</v>
      </c>
      <c r="BU42" s="354">
        <f xml:space="preserve"> Table2[[#This Row],[Total Sync Bo MOSFET Loss]]+Table2[[#This Row],[Reverse Recovery Loss MOSFET D BOOST]]*0.33</f>
        <v>0.1022350142519934</v>
      </c>
      <c r="BV42" s="354">
        <f>Table2[[#This Row],[Isense Shunt Loss]]</f>
        <v>4.1793349871040761E-2</v>
      </c>
      <c r="CA42">
        <v>9.9984190000000002</v>
      </c>
      <c r="CB42">
        <v>3.6920000000000002</v>
      </c>
      <c r="CC42">
        <v>5.1137540000000001</v>
      </c>
      <c r="CD42">
        <v>94.441363374789603</v>
      </c>
      <c r="CE42">
        <v>1111.2391205219994</v>
      </c>
    </row>
    <row r="43" spans="1:83" x14ac:dyDescent="0.2">
      <c r="A43" s="23" t="s">
        <v>73</v>
      </c>
      <c r="B43" s="5">
        <f>Gfs_Q1</f>
        <v>80</v>
      </c>
      <c r="C43" s="440" t="s">
        <v>70</v>
      </c>
      <c r="D43" s="21" t="s">
        <v>103</v>
      </c>
      <c r="G43">
        <v>34</v>
      </c>
      <c r="H43" s="555">
        <f t="shared" si="5"/>
        <v>23.6</v>
      </c>
      <c r="I43" s="4" t="str">
        <f>IF(Mode = 2,IF(Table2[[#This Row],[Vin]]&gt;Vout, "BUCK","BOOST"),IF(Table2[[#This Row],[Vin]]&gt;VIN_BB_to_buck, "BUCK", IF(Table2[[#This Row],[Vin]]&lt;=VIN_boost_to_BB,"BOOST","BUCK-BST")))</f>
        <v>BUCK</v>
      </c>
      <c r="J43">
        <f>IF(Table2[[#This Row],[Mode]]="BOOST",2, IF(Table2[[#This Row],[Mode]]="BUCK", 1,3))</f>
        <v>1</v>
      </c>
      <c r="K43" s="354">
        <f t="shared" si="7"/>
        <v>4.08</v>
      </c>
      <c r="L43" s="4">
        <f>Vout*Table2[[#This Row],[Iout]]/(Table2[[#This Row],[Vin]]*Efficiency)</f>
        <v>2.6569134701159678</v>
      </c>
      <c r="M43" s="711">
        <f>MIN(1/Fsw,CHOOSE(Table2[[#This Row],[Mode Digit]],(Vout+(Rdson2+Rs+Rdcr)*Table2[[#This Row],[Iout]])/(Table2[[#This Row],[Vin]]+(Rs+Rdson2-Rdson1)*Table2[[#This Row],[Iout]])/Fsw,(Vout+(Rdson3+Rdcr)*Table2[[#This Row],[Iin]]-Table2[[#This Row],[Vin]])/(Vout+(Rdson3-Rdson4-Rs)*Table2[[#This Row],[Iin]])/Fsw,t1_Ph_II))</f>
        <v>1.0342281443330989E-6</v>
      </c>
      <c r="N43" s="602">
        <f>CHOOSE(Table2[[#This Row],[Mode Digit]],1/Fsw-Table2[[#This Row],[t1_Ph_II]],1/Fsw-Table2[[#This Row],[t1_Ph_II]],(Vout/Fsw-Table2[[#This Row],[Vin]]*t1_Ph_II)/(Table2[[#This Row],[Vin]]+Vout))</f>
        <v>6.3243852233356777E-7</v>
      </c>
      <c r="O43" s="602">
        <f>1/Fsw-(Table2[[#This Row],[t1_Ph_II]]+Table2[[#This Row],[t2_Ph_I]])</f>
        <v>0</v>
      </c>
      <c r="P4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2.3171111176140355</v>
      </c>
      <c r="Q43" s="4">
        <f>CHOOSE(Table2[[#This Row],[Mode Digit]],Table2[[#This Row],[I_0]]+1/Lf*(Table2[[#This Row],[Vin]]-Vout)*Table2[[#This Row],[t1_Ph_II]],Table2[[#This Row],[I_0]]+1/Lf*Table2[[#This Row],[Vin]]*Table2[[#This Row],[t1_Ph_II]],Table2[[#This Row],[I_0]]+(Table2[[#This Row],[Vin]]-Vout)/L*Table2[[#This Row],[t1_Ph_II]])</f>
        <v>5.8428888823859637</v>
      </c>
      <c r="R43" s="4">
        <f>CHOOSE(Table2[[#This Row],[Mode Digit]],0,0,Table2[[#This Row],[I_1]]+Table2[[#This Row],[Vin]]/L*Table2[[#This Row],[t2_Ph_I]])</f>
        <v>0</v>
      </c>
      <c r="S43" s="409">
        <f>Fsw*(Table2[[#This Row],[I_0]]*Table2[[#This Row],[t1_Ph_II]]+Table2[[#This Row],[I_1]]*Table2[[#This Row],[t2_Ph_I]]+Table2[[#This Row],[I_2]]*Table2[[#This Row],[t3_Ph_III]])</f>
        <v>3.6550137253913797</v>
      </c>
      <c r="T43" s="354">
        <f>MIN(1,CHOOSE(Table2[[#This Row],[Mode Digit]],(Vout+(Rdson2+Rs+Rdcr)*Table2[[#This Row],[Iout]])/(Table2[[#This Row],[Vin]]+(Rs+Rdson2-Rdson1)*Table2[[#This Row],[Iout]]),1,Fsw*Table2[[#This Row],[t2_Ph_I]]+Table2[[#This Row],[t1_Ph_II]]))</f>
        <v>0.62053688659985928</v>
      </c>
      <c r="U43" s="354">
        <f>MIN(1,CHOOSE(Table2[[#This Row],[Mode Digit]],0,(Vout+(Rdson3+Rdcr)*Table2[[#This Row],[Iin]]-Table2[[#This Row],[Vin]])/(Vout+(Rdson3-Rdson4-Rs)*Table2[[#This Row],[Iin]]),Fsw*Table2[[#This Row],[t1_Ph_II]]+Table2[[#This Row],[t3_Ph_III]]))</f>
        <v>0</v>
      </c>
      <c r="V43" s="4">
        <f>MAX(Table2[[#This Row],[I_0]:[I_2]])-MIN(Table2[[#This Row],[I_0]:[I_1]])</f>
        <v>3.5257777647719282</v>
      </c>
      <c r="W4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4.2050357593263517</v>
      </c>
      <c r="X43" s="354">
        <f>(Table2[[#This Row],[Irms Lf]]^2*Rdcr*(1+Ltc*Ta-Ltc*25))/(1-Table2[[#This Row],[Irms Lf]]^2*Rdcr*Ltc*ThetaCa)</f>
        <v>0.1034058931782927</v>
      </c>
      <c r="Y43" s="354">
        <f>ABS(7.759*10^-3*Fsw^0.9458*(0.00787*Table2[[#This Row],[Ripple Current pk-pk]])^2.304)</f>
        <v>0.58611435354674823</v>
      </c>
      <c r="Z43" s="354">
        <f>Table2[[#This Row],[DCR    Loss]]+Table2[[#This Row],[Core Loss]]</f>
        <v>0.68952024672504098</v>
      </c>
      <c r="AA43" s="4">
        <f>IF(Table2[[#This Row],[Vin]]&gt;Vout, Table2[[#This Row],[Ripple Current pk-pk]]/SQRT(12), SQRT(Table2[[#This Row],[Duty Cycle BOOST Leg]]/(1-Table2[[#This Row],[Duty Cycle BOOST Leg]]))*SQRT(Table2[[#This Row],[Iout]]^2+(Table2[[#This Row],[Ripple Current pk-pk]]^2)/12))</f>
        <v>1.0178043707969349</v>
      </c>
      <c r="AB43" s="354">
        <f>RCoutEsr*Table2[[#This Row],[Irms Cout]]^2</f>
        <v>5.1796286860667229E-3</v>
      </c>
      <c r="AC43" s="354">
        <f>Table2[[#This Row],[Cout ESR Loss]]</f>
        <v>5.1796286860667229E-3</v>
      </c>
      <c r="AD43" s="4">
        <f>IF(Table2[[#This Row],[Vin]]&gt;Vout, SQRT(Table2[[#This Row],[Duty Cycle BUCK Leg]]*(1-Table2[[#This Row],[Duty Cycle BUCK Leg]]))*SQRT(Table2[[#This Row],[Iout]]^2+(Table2[[#This Row],[Ripple Current pk-pk]]^2)/12), Table2[[#This Row],[Ripple Current pk-pk]]/SQRT(12))</f>
        <v>2.0405078852844385</v>
      </c>
      <c r="AE43" s="354">
        <f>RCinEsr*Table2[[#This Row],[Irms Cin]]^2</f>
        <v>8.3273448598159428E-3</v>
      </c>
      <c r="AF43" s="549">
        <f>Table2[[#This Row],[Cin ESR Loss]]</f>
        <v>8.3273448598159428E-3</v>
      </c>
      <c r="AG43" s="354">
        <f>Table2[[#This Row],[Irms Lf]]</f>
        <v>4.2050357593263517</v>
      </c>
      <c r="AH43" s="354">
        <f>Rdson1*Table2[[#This Row],[Irms BuCtrl]]^2</f>
        <v>7.4265768096296064E-2</v>
      </c>
      <c r="AI43" s="354">
        <f>CHOOSE(Table2[[#This Row],[Mode Digit]], (Table2[[#This Row],[Vin]]*Table2[[#This Row],[Iout]]/2)*(Fsw)*(Tr_buck+Tf_buck), 0, (Table2[[#This Row],[Vin]]*Table2[[#This Row],[Avg IL]]/2)*(Fsw/1)*(Tr_buck+Tf_buck))</f>
        <v>0.95482714018993764</v>
      </c>
      <c r="AJ43">
        <f>IF(Table2[[#This Row],[Vin]]&gt;Vout, IF(Table2[[#This Row],[Iout]]&gt;Table2[[#This Row],[Ripple Current pk-pk]]/2,0,ABS(Table2[[#This Row],[Iout]]-Table2[[#This Row],[Ripple Current pk-pk]]/2)*Vsd_Q1*Deadtime*Fsw),0)</f>
        <v>0</v>
      </c>
      <c r="AK43" s="354">
        <f>(Table2[[#This Row],[Dead Time Loss BuCtrl]]+Table2[[#This Row],[Transition Loss BuCtrl]]+Table2[[#This Row],[RDS(on) Loss BuCtrl]]*(1+RdsonTopTc*Ta-RdsonTopTc*25))/(1-Table2[[#This Row],[RDS(on) Loss BuCtrl]]*RdsonTopTc*ThetaJA_Q1)</f>
        <v>1.0477681009593236</v>
      </c>
      <c r="AL43" s="354">
        <f>Table2[[#This Row],[Irms Lf]]</f>
        <v>4.2050357593263517</v>
      </c>
      <c r="AM43" s="354">
        <f>Rdson2*Table2[[#This Row],[Irms BuSync]]^2</f>
        <v>7.4265768096296064E-2</v>
      </c>
      <c r="AN4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0.19630628571428571</v>
      </c>
      <c r="AO43" s="354">
        <f>(Table2[[#This Row],[Deadtime Loss BuSync]]+Table2[[#This Row],[RDS(on) Loss BuSync]]*(1+RdsonBotTc*Ta-RdsonBotTc*25))/(1-Table2[[#This Row],[RDS(on) Loss BuSync]]*RdsonBotTc*ThetaJA_Q2)</f>
        <v>0.27548218893655513</v>
      </c>
      <c r="AP43" s="354">
        <f>Table2[[#This Row],[Irms Lf]]</f>
        <v>4.2050357593263517</v>
      </c>
      <c r="AQ43" s="354">
        <f>Rdson4*Table2[[#This Row],[Irms BoCtlr]]^2</f>
        <v>7.4265768096296064E-2</v>
      </c>
      <c r="AR43" s="354">
        <f>CHOOSE(Table2[[#This Row],[Mode Digit]], 0, (Vout*Table2[[#This Row],[Iin]]/2)*(Fsw)*(Tr_boost+Tf_boost), (Vout*Iout/2)*(Fsw/1)*(Tr_boost+Tf_boost))</f>
        <v>0</v>
      </c>
      <c r="AS43" s="354">
        <f>IF(Table2[[#This Row],[Vin]]&gt;Vout, 0, IF(Table2[[#This Row],[Iin]]&gt;Table2[[#This Row],[Ripple Current pk-pk]]/2,0,ABS(Table2[[#This Row],[Iin]]-Table2[[#This Row],[Ripple Current pk-pk]]/2)*Vsd_Q4*Deadtime*Fsw))</f>
        <v>0</v>
      </c>
      <c r="AT43" s="354">
        <f>(Table2[[#This Row],[Dead Time Loss BoCtlr]]+Table2[[#This Row],[Transition Loss BoCtlr]]+Table2[[#This Row],[RDS(on) Loss BoCtlr]]*(1+RdsonTopTc*Ta-RdsonTopTc*25))/(1-Table2[[#This Row],[RDS(on) Loss BoCtlr]]*RdsonTopTc*ThetaJA_Q4)</f>
        <v>7.5613486574429414E-2</v>
      </c>
      <c r="AU43" s="354">
        <f>Table2[[#This Row],[Irms Lf]]</f>
        <v>4.2050357593263517</v>
      </c>
      <c r="AV43" s="354">
        <f>Rdson3*Table2[[#This Row],[Irms BoSync]]^2</f>
        <v>7.4265768096296064E-2</v>
      </c>
      <c r="AW4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3" s="354">
        <f>(Table2[[#This Row],[Deadtime Loss BoSync]]+Table2[[#This Row],[RDS(on) Loss BoSync]]*(1+RdsonBotTc*Ta-RdsonBotTc*25))/(1-Table2[[#This Row],[RDS(on) Loss BoSync]]*RdsonBotTc*ThetaJA_Q3)</f>
        <v>7.5613486574429414E-2</v>
      </c>
      <c r="AY43" s="354">
        <f>CHOOSE(Table2[[#This Row],[Mode Digit]], Rdson3*Table2[[#This Row],[Irms Lf]]^2, Rdson1*Table2[[#This Row],[Irms Lf]]^2, 0)</f>
        <v>7.4265768096296064E-2</v>
      </c>
      <c r="AZ43" s="354">
        <f>CHOOSE(Table2[[#This Row],[Mode Digit]], 2*Deadtime*Fsw*IF(VfdSky_Q2&gt;0,VfdSky_Q2,0)*Table2[[#This Row],[Iout]], 2*Deadtime*Fsw*IF(VfdSky_Q3&gt;0,VfdSky_Q3,0)*Table2[[#This Row],[Iin]], 2*Deadtime*Fsw*IF(VfdSky_Q2&gt;0,VfdSky_Q2,0)*Table2[[#This Row],[Iout]]+2*Deadtime*Fsw*IF(VfdSky_Q3&gt;0,VfdSky_Q3,0)*Table2[[#This Row],[Iin]])</f>
        <v>0</v>
      </c>
      <c r="BA4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9.6218085120000005E-2</v>
      </c>
      <c r="BB4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9.6218085120000005E-2</v>
      </c>
      <c r="BC43" s="354">
        <f>CHOOSE(Table2[[#This Row],[Mode Digit]], Rs*Table2[[#This Row],[Irms BuSync]]^2, Rs*Table2[[#This Row],[Irms BoCtlr]]^2, Rs*(Table2[[#This Row],[Irms BuSync]]^2+Table2[[#This Row],[Irms BoCtlr]]^2))</f>
        <v>4.4205814343033369E-2</v>
      </c>
      <c r="BD43" s="354">
        <f t="shared" si="6"/>
        <v>1.44</v>
      </c>
      <c r="BE43" s="354">
        <f>IF(Vout&gt;8, Iq*Vout, Iq*Table2[[#This Row],[Vin]])</f>
        <v>4.3799999999999999E-2</v>
      </c>
      <c r="BF43" s="354">
        <f>CHOOSE(Table2[[#This Row],[Mode Digit]], (Qg_Q1+Qg_Q2)*Fsw, (Qg_Q3+Qg_Q4)*Fsw, (Qg_Q1+Qg_Q2+Qg_Q3+Qg_Q4)*Fsw)*IF(Vout&gt;8, Vout, Table2[[#This Row],[Vin]])</f>
        <v>0.47303999999999996</v>
      </c>
      <c r="BG43" s="354">
        <f t="shared" si="4"/>
        <v>0.57269042016806726</v>
      </c>
      <c r="BH43" s="354">
        <f>Table2[[#This Row],[IQ Loss]]+Table2[[#This Row],[Switching Current Loss]]</f>
        <v>0.51683999999999997</v>
      </c>
      <c r="BI4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4.3709864678986943</v>
      </c>
      <c r="BJ43">
        <f>Vout*Table2[[#This Row],[Iout]]</f>
        <v>59.567999999999998</v>
      </c>
      <c r="BK43" s="550">
        <f>Table2[[#This Row],[Pout]]/(Table2[[#This Row],[Pout]]+Table2[[#This Row],[Total Loss]])</f>
        <v>0.93163816461036331</v>
      </c>
      <c r="BL43" s="559">
        <f>IF(Table2[[#This Row],[Vin]]&gt;Vout,ThetaJA_Q1*(Table2[[#This Row],[Total Control Bu MOSFET Loss]]+Table2[[#This Row],[Reverse Recovery Loss MOSFET D BUCK]]),ThetaJA_Q4*(Table2[[#This Row],[Total Control Bo MOSFET Loss]]+Table2[[#This Row],[Reverse Recovery Loss MOSFET D BOOST]]))</f>
        <v>68.639171164759418</v>
      </c>
      <c r="BM43" s="559">
        <f>IF(Table2[[#This Row],[Vin]]&gt;Vout, Table2[[#This Row],[Total Sync Bu MOSFET Loss]]*ThetaJA_Q2, ThetaJA_Q3*Table2[[#This Row],[Total Sync Bo MOSFET Loss]])</f>
        <v>16.528931336193306</v>
      </c>
      <c r="BN43" s="9"/>
      <c r="BO43" s="4">
        <f>Table2[[#This Row],[EFF, h]]*100</f>
        <v>93.163816461036333</v>
      </c>
      <c r="BP43" s="354">
        <f>Table2[[#This Row],[Total Inductor Loss]]</f>
        <v>0.68952024672504098</v>
      </c>
      <c r="BQ43" s="354">
        <f>Table2[[#This Row],[Total Control Bu MOSFET Loss]]+Table2[[#This Row],[Total Sync Bu MOSFET Loss]]+Table2[[#This Row],[Total Control Bo MOSFET Loss]]+Table2[[#This Row],[Total Sync Bo MOSFET Loss]]+Table2[[#This Row],[Reverse Recovery Loss MOSFET D BUCK]]+Table2[[#This Row],[Reverse Recovery Loss MOSFET D BOOST]]</f>
        <v>1.6669134332847375</v>
      </c>
      <c r="BR43" s="354">
        <f xml:space="preserve"> Table2[[#This Row],[Total Control Bu MOSFET Loss]]+Table2[[#This Row],[Reverse Recovery Loss MOSFET D BUCK]]*0.66</f>
        <v>1.1112720371385236</v>
      </c>
      <c r="BS43" s="354">
        <f>Table2[[#This Row],[Total Sync Bu MOSFET Loss]]+Table2[[#This Row],[Reverse Recovery Loss MOSFET D BUCK]]*0.33</f>
        <v>0.30723415702615514</v>
      </c>
      <c r="BT43" s="354">
        <f xml:space="preserve"> Table2[[#This Row],[Total Control Bo MOSFET Loss]]+Table2[[#This Row],[Reverse Recovery Loss MOSFET D BOOST]]*0.66</f>
        <v>0.13911742275362943</v>
      </c>
      <c r="BU43" s="354">
        <f xml:space="preserve"> Table2[[#This Row],[Total Sync Bo MOSFET Loss]]+Table2[[#This Row],[Reverse Recovery Loss MOSFET D BOOST]]*0.33</f>
        <v>0.10736545466402941</v>
      </c>
      <c r="BV43" s="354">
        <f>Table2[[#This Row],[Isense Shunt Loss]]</f>
        <v>4.4205814343033369E-2</v>
      </c>
      <c r="CA43">
        <v>9.998246</v>
      </c>
      <c r="CB43">
        <v>4.2430000000000003</v>
      </c>
      <c r="CC43">
        <v>5.1120590000000004</v>
      </c>
      <c r="CD43">
        <v>94.267178615859891</v>
      </c>
      <c r="CE43">
        <v>1319.0970775599953</v>
      </c>
    </row>
    <row r="44" spans="1:83" x14ac:dyDescent="0.2">
      <c r="A44" s="23" t="s">
        <v>95</v>
      </c>
      <c r="B44" s="5">
        <f>Vth_Q1</f>
        <v>2.2999999999999998</v>
      </c>
      <c r="C44" s="440" t="s">
        <v>0</v>
      </c>
      <c r="D44" s="21" t="s">
        <v>104</v>
      </c>
      <c r="G44">
        <v>35</v>
      </c>
      <c r="H44" s="555">
        <f t="shared" si="5"/>
        <v>23.6</v>
      </c>
      <c r="I44" s="4" t="str">
        <f>IF(Mode = 2,IF(Table2[[#This Row],[Vin]]&gt;Vout, "BUCK","BOOST"),IF(Table2[[#This Row],[Vin]]&gt;VIN_BB_to_buck, "BUCK", IF(Table2[[#This Row],[Vin]]&lt;=VIN_boost_to_BB,"BOOST","BUCK-BST")))</f>
        <v>BUCK</v>
      </c>
      <c r="J44">
        <f>IF(Table2[[#This Row],[Mode]]="BOOST",2, IF(Table2[[#This Row],[Mode]]="BUCK", 1,3))</f>
        <v>1</v>
      </c>
      <c r="K44" s="354">
        <f t="shared" si="7"/>
        <v>4.2</v>
      </c>
      <c r="L44" s="4">
        <f>Vout*Table2[[#This Row],[Iout]]/(Table2[[#This Row],[Vin]]*Efficiency)</f>
        <v>2.7350579839429079</v>
      </c>
      <c r="M44" s="711">
        <f>MIN(1/Fsw,CHOOSE(Table2[[#This Row],[Mode Digit]],(Vout+(Rdson2+Rs+Rdcr)*Table2[[#This Row],[Iout]])/(Table2[[#This Row],[Vin]]+(Rs+Rdson2-Rdson1)*Table2[[#This Row],[Iout]])/Fsw,(Vout+(Rdson3+Rdcr)*Table2[[#This Row],[Iin]]-Table2[[#This Row],[Vin]])/(Vout+(Rdson3-Rdson4-Rs)*Table2[[#This Row],[Iin]])/Fsw,t1_Ph_II))</f>
        <v>1.0343208883053443E-6</v>
      </c>
      <c r="N44" s="602">
        <f>CHOOSE(Table2[[#This Row],[Mode Digit]],1/Fsw-Table2[[#This Row],[t1_Ph_II]],1/Fsw-Table2[[#This Row],[t1_Ph_II]],(Vout/Fsw-Table2[[#This Row],[Vin]]*t1_Ph_II)/(Table2[[#This Row],[Vin]]+Vout))</f>
        <v>6.3234577836132234E-7</v>
      </c>
      <c r="O44" s="602">
        <f>1/Fsw-(Table2[[#This Row],[t1_Ph_II]]+Table2[[#This Row],[t2_Ph_I]])</f>
        <v>0</v>
      </c>
      <c r="P4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2.4369530312977083</v>
      </c>
      <c r="Q44" s="4">
        <f>CHOOSE(Table2[[#This Row],[Mode Digit]],Table2[[#This Row],[I_0]]+1/Lf*(Table2[[#This Row],[Vin]]-Vout)*Table2[[#This Row],[t1_Ph_II]],Table2[[#This Row],[I_0]]+1/Lf*Table2[[#This Row],[Vin]]*Table2[[#This Row],[t1_Ph_II]],Table2[[#This Row],[I_0]]+(Table2[[#This Row],[Vin]]-Vout)/L*Table2[[#This Row],[t1_Ph_II]])</f>
        <v>5.963046968702292</v>
      </c>
      <c r="R44" s="4">
        <f>CHOOSE(Table2[[#This Row],[Mode Digit]],0,0,Table2[[#This Row],[I_1]]+Table2[[#This Row],[Vin]]/L*Table2[[#This Row],[t2_Ph_I]])</f>
        <v>0</v>
      </c>
      <c r="S44" s="409">
        <f>Fsw*(Table2[[#This Row],[I_0]]*Table2[[#This Row],[t1_Ph_II]]+Table2[[#This Row],[I_1]]*Table2[[#This Row],[t2_Ph_I]]+Table2[[#This Row],[I_2]]*Table2[[#This Row],[t3_Ph_III]])</f>
        <v>3.7747794005516533</v>
      </c>
      <c r="T44" s="354">
        <f>MIN(1,CHOOSE(Table2[[#This Row],[Mode Digit]],(Vout+(Rdson2+Rs+Rdcr)*Table2[[#This Row],[Iout]])/(Table2[[#This Row],[Vin]]+(Rs+Rdson2-Rdson1)*Table2[[#This Row],[Iout]]),1,Fsw*Table2[[#This Row],[t2_Ph_I]]+Table2[[#This Row],[t1_Ph_II]]))</f>
        <v>0.6205925329832066</v>
      </c>
      <c r="U44" s="354">
        <f>MIN(1,CHOOSE(Table2[[#This Row],[Mode Digit]],0,(Vout+(Rdson3+Rdcr)*Table2[[#This Row],[Iin]]-Table2[[#This Row],[Vin]])/(Vout+(Rdson3-Rdson4-Rs)*Table2[[#This Row],[Iin]]),Fsw*Table2[[#This Row],[t1_Ph_II]]+Table2[[#This Row],[t3_Ph_III]]))</f>
        <v>0</v>
      </c>
      <c r="V44" s="4">
        <f>MAX(Table2[[#This Row],[I_0]:[I_2]])-MIN(Table2[[#This Row],[I_0]:[I_1]])</f>
        <v>3.5260939374045837</v>
      </c>
      <c r="W4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4.3215866921710724</v>
      </c>
      <c r="X44" s="354">
        <f>(Table2[[#This Row],[Irms Lf]]^2*Rdcr*(1+Ltc*Ta-Ltc*25))/(1-Table2[[#This Row],[Irms Lf]]^2*Rdcr*Ltc*ThetaCa)</f>
        <v>0.10926833525429439</v>
      </c>
      <c r="Y44" s="354">
        <f>ABS(7.759*10^-3*Fsw^0.9458*(0.00787*Table2[[#This Row],[Ripple Current pk-pk]])^2.304)</f>
        <v>0.5862354578469543</v>
      </c>
      <c r="Z44" s="354">
        <f>Table2[[#This Row],[DCR    Loss]]+Table2[[#This Row],[Core Loss]]</f>
        <v>0.69550379310124866</v>
      </c>
      <c r="AA44" s="4">
        <f>IF(Table2[[#This Row],[Vin]]&gt;Vout, Table2[[#This Row],[Ripple Current pk-pk]]/SQRT(12), SQRT(Table2[[#This Row],[Duty Cycle BOOST Leg]]/(1-Table2[[#This Row],[Duty Cycle BOOST Leg]]))*SQRT(Table2[[#This Row],[Iout]]^2+(Table2[[#This Row],[Ripple Current pk-pk]]^2)/12))</f>
        <v>1.017895641974222</v>
      </c>
      <c r="AB44" s="354">
        <f>RCoutEsr*Table2[[#This Row],[Irms Cout]]^2</f>
        <v>5.180557689750568E-3</v>
      </c>
      <c r="AC44" s="354">
        <f>Table2[[#This Row],[Cout ESR Loss]]</f>
        <v>5.180557689750568E-3</v>
      </c>
      <c r="AD44" s="4">
        <f>IF(Table2[[#This Row],[Vin]]&gt;Vout, SQRT(Table2[[#This Row],[Duty Cycle BUCK Leg]]*(1-Table2[[#This Row],[Duty Cycle BUCK Leg]]))*SQRT(Table2[[#This Row],[Iout]]^2+(Table2[[#This Row],[Ripple Current pk-pk]]^2)/12), Table2[[#This Row],[Ripple Current pk-pk]]/SQRT(12))</f>
        <v>2.0970048713212757</v>
      </c>
      <c r="AE44" s="354">
        <f>RCinEsr*Table2[[#This Row],[Irms Cin]]^2</f>
        <v>8.7948588606903202E-3</v>
      </c>
      <c r="AF44" s="549">
        <f>Table2[[#This Row],[Cin ESR Loss]]</f>
        <v>8.7948588606903202E-3</v>
      </c>
      <c r="AG44" s="354">
        <f>Table2[[#This Row],[Irms Lf]]</f>
        <v>4.3215866921710724</v>
      </c>
      <c r="AH44" s="354">
        <f>Rdson1*Table2[[#This Row],[Irms BuCtrl]]^2</f>
        <v>7.8439668459390474E-2</v>
      </c>
      <c r="AI44" s="354">
        <f>CHOOSE(Table2[[#This Row],[Mode Digit]], (Table2[[#This Row],[Vin]]*Table2[[#This Row],[Iout]]/2)*(Fsw)*(Tr_buck+Tf_buck), 0, (Table2[[#This Row],[Vin]]*Table2[[#This Row],[Avg IL]]/2)*(Fsw/1)*(Tr_buck+Tf_buck))</f>
        <v>0.98291029137199448</v>
      </c>
      <c r="AJ44">
        <f>IF(Table2[[#This Row],[Vin]]&gt;Vout, IF(Table2[[#This Row],[Iout]]&gt;Table2[[#This Row],[Ripple Current pk-pk]]/2,0,ABS(Table2[[#This Row],[Iout]]-Table2[[#This Row],[Ripple Current pk-pk]]/2)*Vsd_Q1*Deadtime*Fsw),0)</f>
        <v>0</v>
      </c>
      <c r="AK44" s="354">
        <f>(Table2[[#This Row],[Dead Time Loss BuCtrl]]+Table2[[#This Row],[Transition Loss BuCtrl]]+Table2[[#This Row],[RDS(on) Loss BuCtrl]]*(1+RdsonTopTc*Ta-RdsonTopTc*25))/(1-Table2[[#This Row],[RDS(on) Loss BuCtrl]]*RdsonTopTc*ThetaJA_Q1)</f>
        <v>1.0817137847865717</v>
      </c>
      <c r="AL44" s="354">
        <f>Table2[[#This Row],[Irms Lf]]</f>
        <v>4.3215866921710724</v>
      </c>
      <c r="AM44" s="354">
        <f>Rdson2*Table2[[#This Row],[Irms BuSync]]^2</f>
        <v>7.8439668459390474E-2</v>
      </c>
      <c r="AN4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0.20208000000000001</v>
      </c>
      <c r="AO44" s="354">
        <f>(Table2[[#This Row],[Deadtime Loss BuSync]]+Table2[[#This Row],[RDS(on) Loss BuSync]]*(1+RdsonBotTc*Ta-RdsonBotTc*25))/(1-Table2[[#This Row],[RDS(on) Loss BuSync]]*RdsonBotTc*ThetaJA_Q2)</f>
        <v>0.28590192091257904</v>
      </c>
      <c r="AP44" s="354">
        <f>Table2[[#This Row],[Irms Lf]]</f>
        <v>4.3215866921710724</v>
      </c>
      <c r="AQ44" s="354">
        <f>Rdson4*Table2[[#This Row],[Irms BoCtlr]]^2</f>
        <v>7.8439668459390474E-2</v>
      </c>
      <c r="AR44" s="354">
        <f>CHOOSE(Table2[[#This Row],[Mode Digit]], 0, (Vout*Table2[[#This Row],[Iin]]/2)*(Fsw)*(Tr_boost+Tf_boost), (Vout*Iout/2)*(Fsw/1)*(Tr_boost+Tf_boost))</f>
        <v>0</v>
      </c>
      <c r="AS44" s="354">
        <f>IF(Table2[[#This Row],[Vin]]&gt;Vout, 0, IF(Table2[[#This Row],[Iin]]&gt;Table2[[#This Row],[Ripple Current pk-pk]]/2,0,ABS(Table2[[#This Row],[Iin]]-Table2[[#This Row],[Ripple Current pk-pk]]/2)*Vsd_Q4*Deadtime*Fsw))</f>
        <v>0</v>
      </c>
      <c r="AT44" s="354">
        <f>(Table2[[#This Row],[Dead Time Loss BoCtlr]]+Table2[[#This Row],[Transition Loss BoCtlr]]+Table2[[#This Row],[RDS(on) Loss BoCtlr]]*(1+RdsonTopTc*Ta-RdsonTopTc*25))/(1-Table2[[#This Row],[RDS(on) Loss BoCtlr]]*RdsonTopTc*ThetaJA_Q4)</f>
        <v>7.9944668448558673E-2</v>
      </c>
      <c r="AU44" s="354">
        <f>Table2[[#This Row],[Irms Lf]]</f>
        <v>4.3215866921710724</v>
      </c>
      <c r="AV44" s="354">
        <f>Rdson3*Table2[[#This Row],[Irms BoSync]]^2</f>
        <v>7.8439668459390474E-2</v>
      </c>
      <c r="AW4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4" s="354">
        <f>(Table2[[#This Row],[Deadtime Loss BoSync]]+Table2[[#This Row],[RDS(on) Loss BoSync]]*(1+RdsonBotTc*Ta-RdsonBotTc*25))/(1-Table2[[#This Row],[RDS(on) Loss BoSync]]*RdsonBotTc*ThetaJA_Q3)</f>
        <v>7.9944668448558673E-2</v>
      </c>
      <c r="AY44" s="354">
        <f>CHOOSE(Table2[[#This Row],[Mode Digit]], Rdson3*Table2[[#This Row],[Irms Lf]]^2, Rdson1*Table2[[#This Row],[Irms Lf]]^2, 0)</f>
        <v>7.8439668459390474E-2</v>
      </c>
      <c r="AZ44" s="354">
        <f>CHOOSE(Table2[[#This Row],[Mode Digit]], 2*Deadtime*Fsw*IF(VfdSky_Q2&gt;0,VfdSky_Q2,0)*Table2[[#This Row],[Iout]], 2*Deadtime*Fsw*IF(VfdSky_Q3&gt;0,VfdSky_Q3,0)*Table2[[#This Row],[Iin]], 2*Deadtime*Fsw*IF(VfdSky_Q2&gt;0,VfdSky_Q2,0)*Table2[[#This Row],[Iout]]+2*Deadtime*Fsw*IF(VfdSky_Q3&gt;0,VfdSky_Q3,0)*Table2[[#This Row],[Iin]])</f>
        <v>0</v>
      </c>
      <c r="BA4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9.9045912000000014E-2</v>
      </c>
      <c r="BB4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9.9045912000000014E-2</v>
      </c>
      <c r="BC44" s="354">
        <f>CHOOSE(Table2[[#This Row],[Mode Digit]], Rs*Table2[[#This Row],[Irms BuSync]]^2, Rs*Table2[[#This Row],[Irms BoCtlr]]^2, Rs*(Table2[[#This Row],[Irms BuSync]]^2+Table2[[#This Row],[Irms BoCtlr]]^2))</f>
        <v>4.6690278844875276E-2</v>
      </c>
      <c r="BD44" s="354">
        <f t="shared" si="6"/>
        <v>1.44</v>
      </c>
      <c r="BE44" s="354">
        <f>IF(Vout&gt;8, Iq*Vout, Iq*Table2[[#This Row],[Vin]])</f>
        <v>4.3799999999999999E-2</v>
      </c>
      <c r="BF44" s="354">
        <f>CHOOSE(Table2[[#This Row],[Mode Digit]], (Qg_Q1+Qg_Q2)*Fsw, (Qg_Q3+Qg_Q4)*Fsw, (Qg_Q1+Qg_Q2+Qg_Q3+Qg_Q4)*Fsw)*IF(Vout&gt;8, Vout, Table2[[#This Row],[Vin]])</f>
        <v>0.47303999999999996</v>
      </c>
      <c r="BG44" s="354">
        <f t="shared" si="4"/>
        <v>0.57269042016806726</v>
      </c>
      <c r="BH44" s="354">
        <f>Table2[[#This Row],[IQ Loss]]+Table2[[#This Row],[Switching Current Loss]]</f>
        <v>0.51683999999999997</v>
      </c>
      <c r="BI4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4.4386063550928334</v>
      </c>
      <c r="BJ44">
        <f>Vout*Table2[[#This Row],[Iout]]</f>
        <v>61.32</v>
      </c>
      <c r="BK44" s="550">
        <f>Table2[[#This Row],[Pout]]/(Table2[[#This Row],[Pout]]+Table2[[#This Row],[Total Loss]])</f>
        <v>0.93250151423336725</v>
      </c>
      <c r="BL44" s="559">
        <f>IF(Table2[[#This Row],[Vin]]&gt;Vout,ThetaJA_Q1*(Table2[[#This Row],[Total Control Bu MOSFET Loss]]+Table2[[#This Row],[Reverse Recovery Loss MOSFET D BUCK]]),ThetaJA_Q4*(Table2[[#This Row],[Total Control Bo MOSFET Loss]]+Table2[[#This Row],[Reverse Recovery Loss MOSFET D BOOST]]))</f>
        <v>70.845581807194293</v>
      </c>
      <c r="BM44" s="559">
        <f>IF(Table2[[#This Row],[Vin]]&gt;Vout, Table2[[#This Row],[Total Sync Bu MOSFET Loss]]*ThetaJA_Q2, ThetaJA_Q3*Table2[[#This Row],[Total Sync Bo MOSFET Loss]])</f>
        <v>17.154115254754743</v>
      </c>
      <c r="BN44" s="9"/>
      <c r="BO44" s="4">
        <f>Table2[[#This Row],[EFF, h]]*100</f>
        <v>93.250151423336717</v>
      </c>
      <c r="BP44" s="354">
        <f>Table2[[#This Row],[Total Inductor Loss]]</f>
        <v>0.69550379310124866</v>
      </c>
      <c r="BQ44" s="354">
        <f>Table2[[#This Row],[Total Control Bu MOSFET Loss]]+Table2[[#This Row],[Total Sync Bu MOSFET Loss]]+Table2[[#This Row],[Total Control Bo MOSFET Loss]]+Table2[[#This Row],[Total Sync Bo MOSFET Loss]]+Table2[[#This Row],[Reverse Recovery Loss MOSFET D BUCK]]+Table2[[#This Row],[Reverse Recovery Loss MOSFET D BOOST]]</f>
        <v>1.7255968665962682</v>
      </c>
      <c r="BR44" s="354">
        <f xml:space="preserve"> Table2[[#This Row],[Total Control Bu MOSFET Loss]]+Table2[[#This Row],[Reverse Recovery Loss MOSFET D BUCK]]*0.66</f>
        <v>1.1470840867065717</v>
      </c>
      <c r="BS44" s="354">
        <f>Table2[[#This Row],[Total Sync Bu MOSFET Loss]]+Table2[[#This Row],[Reverse Recovery Loss MOSFET D BUCK]]*0.33</f>
        <v>0.31858707187257906</v>
      </c>
      <c r="BT44" s="354">
        <f xml:space="preserve"> Table2[[#This Row],[Total Control Bo MOSFET Loss]]+Table2[[#This Row],[Reverse Recovery Loss MOSFET D BOOST]]*0.66</f>
        <v>0.14531497036855867</v>
      </c>
      <c r="BU44" s="354">
        <f xml:space="preserve"> Table2[[#This Row],[Total Sync Bo MOSFET Loss]]+Table2[[#This Row],[Reverse Recovery Loss MOSFET D BOOST]]*0.33</f>
        <v>0.11262981940855868</v>
      </c>
      <c r="BV44" s="354">
        <f>Table2[[#This Row],[Isense Shunt Loss]]</f>
        <v>4.6690278844875276E-2</v>
      </c>
      <c r="CA44">
        <v>9.9981469999999995</v>
      </c>
      <c r="CB44">
        <v>4.8490000000000002</v>
      </c>
      <c r="CC44">
        <v>5.1107740000000002</v>
      </c>
      <c r="CD44">
        <v>93.953815994681278</v>
      </c>
      <c r="CE44">
        <v>1594.7983209009985</v>
      </c>
    </row>
    <row r="45" spans="1:83" x14ac:dyDescent="0.2">
      <c r="A45" s="28" t="s">
        <v>145</v>
      </c>
      <c r="B45" s="447">
        <f>Vsp_Q1</f>
        <v>2.4499999999999997</v>
      </c>
      <c r="C45" s="445" t="s">
        <v>0</v>
      </c>
      <c r="G45">
        <v>36</v>
      </c>
      <c r="H45" s="555">
        <f t="shared" si="5"/>
        <v>23.6</v>
      </c>
      <c r="I45" s="4" t="str">
        <f>IF(Mode = 2,IF(Table2[[#This Row],[Vin]]&gt;Vout, "BUCK","BOOST"),IF(Table2[[#This Row],[Vin]]&gt;VIN_BB_to_buck, "BUCK", IF(Table2[[#This Row],[Vin]]&lt;=VIN_boost_to_BB,"BOOST","BUCK-BST")))</f>
        <v>BUCK</v>
      </c>
      <c r="J45">
        <f>IF(Table2[[#This Row],[Mode]]="BOOST",2, IF(Table2[[#This Row],[Mode]]="BUCK", 1,3))</f>
        <v>1</v>
      </c>
      <c r="K45" s="354">
        <f t="shared" si="7"/>
        <v>4.32</v>
      </c>
      <c r="L45" s="4">
        <f>Vout*Table2[[#This Row],[Iout]]/(Table2[[#This Row],[Vin]]*Efficiency)</f>
        <v>2.8132024977698484</v>
      </c>
      <c r="M45" s="711">
        <f>MIN(1/Fsw,CHOOSE(Table2[[#This Row],[Mode Digit]],(Vout+(Rdson2+Rs+Rdcr)*Table2[[#This Row],[Iout]])/(Table2[[#This Row],[Vin]]+(Rs+Rdson2-Rdson1)*Table2[[#This Row],[Iout]])/Fsw,(Vout+(Rdson3+Rdcr)*Table2[[#This Row],[Iin]]-Table2[[#This Row],[Vin]])/(Vout+(Rdson3-Rdson4-Rs)*Table2[[#This Row],[Iin]])/Fsw,t1_Ph_II))</f>
        <v>1.0344136299207708E-6</v>
      </c>
      <c r="N45" s="602">
        <f>CHOOSE(Table2[[#This Row],[Mode Digit]],1/Fsw-Table2[[#This Row],[t1_Ph_II]],1/Fsw-Table2[[#This Row],[t1_Ph_II]],(Vout/Fsw-Table2[[#This Row],[Vin]]*t1_Ph_II)/(Table2[[#This Row],[Vin]]+Vout))</f>
        <v>6.322530367458959E-7</v>
      </c>
      <c r="O45" s="602">
        <f>1/Fsw-(Table2[[#This Row],[t1_Ph_II]]+Table2[[#This Row],[t2_Ph_I]])</f>
        <v>0</v>
      </c>
      <c r="P4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2.5567949489986863</v>
      </c>
      <c r="Q45" s="4">
        <f>CHOOSE(Table2[[#This Row],[Mode Digit]],Table2[[#This Row],[I_0]]+1/Lf*(Table2[[#This Row],[Vin]]-Vout)*Table2[[#This Row],[t1_Ph_II]],Table2[[#This Row],[I_0]]+1/Lf*Table2[[#This Row],[Vin]]*Table2[[#This Row],[t1_Ph_II]],Table2[[#This Row],[I_0]]+(Table2[[#This Row],[Vin]]-Vout)/L*Table2[[#This Row],[t1_Ph_II]])</f>
        <v>6.0832050510013147</v>
      </c>
      <c r="R45" s="4">
        <f>CHOOSE(Table2[[#This Row],[Mode Digit]],0,0,Table2[[#This Row],[I_1]]+Table2[[#This Row],[Vin]]/L*Table2[[#This Row],[t2_Ph_I]])</f>
        <v>0</v>
      </c>
      <c r="S45" s="409">
        <f>Fsw*(Table2[[#This Row],[I_0]]*Table2[[#This Row],[t1_Ph_II]]+Table2[[#This Row],[I_1]]*Table2[[#This Row],[t2_Ph_I]]+Table2[[#This Row],[I_2]]*Table2[[#This Row],[t3_Ph_III]])</f>
        <v>3.8945450464802263</v>
      </c>
      <c r="T45" s="354">
        <f>MIN(1,CHOOSE(Table2[[#This Row],[Mode Digit]],(Vout+(Rdson2+Rs+Rdcr)*Table2[[#This Row],[Iout]])/(Table2[[#This Row],[Vin]]+(Rs+Rdson2-Rdson1)*Table2[[#This Row],[Iout]]),1,Fsw*Table2[[#This Row],[t2_Ph_I]]+Table2[[#This Row],[t1_Ph_II]]))</f>
        <v>0.62064817795246241</v>
      </c>
      <c r="U45" s="354">
        <f>MIN(1,CHOOSE(Table2[[#This Row],[Mode Digit]],0,(Vout+(Rdson3+Rdcr)*Table2[[#This Row],[Iin]]-Table2[[#This Row],[Vin]])/(Vout+(Rdson3-Rdson4-Rs)*Table2[[#This Row],[Iin]]),Fsw*Table2[[#This Row],[t1_Ph_II]]+Table2[[#This Row],[t3_Ph_III]]))</f>
        <v>0</v>
      </c>
      <c r="V45" s="4">
        <f>MAX(Table2[[#This Row],[I_0]:[I_2]])-MIN(Table2[[#This Row],[I_0]:[I_1]])</f>
        <v>3.5264101020026284</v>
      </c>
      <c r="W4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4.4383214564320959</v>
      </c>
      <c r="X45" s="354">
        <f>(Table2[[#This Row],[Irms Lf]]^2*Rdcr*(1+Ltc*Ta-Ltc*25))/(1-Table2[[#This Row],[Irms Lf]]^2*Rdcr*Ltc*ThetaCa)</f>
        <v>0.11530636738204576</v>
      </c>
      <c r="Y45" s="354">
        <f>ABS(7.759*10^-3*Fsw^0.9458*(0.00787*Table2[[#This Row],[Ripple Current pk-pk]])^2.304)</f>
        <v>0.58635657323007562</v>
      </c>
      <c r="Z45" s="354">
        <f>Table2[[#This Row],[DCR    Loss]]+Table2[[#This Row],[Core Loss]]</f>
        <v>0.70166294061212142</v>
      </c>
      <c r="AA45" s="4">
        <f>IF(Table2[[#This Row],[Vin]]&gt;Vout, Table2[[#This Row],[Ripple Current pk-pk]]/SQRT(12), SQRT(Table2[[#This Row],[Duty Cycle BOOST Leg]]/(1-Table2[[#This Row],[Duty Cycle BOOST Leg]]))*SQRT(Table2[[#This Row],[Iout]]^2+(Table2[[#This Row],[Ripple Current pk-pk]]^2)/12))</f>
        <v>1.0179869108321167</v>
      </c>
      <c r="AB45" s="354">
        <f>RCoutEsr*Table2[[#This Row],[Irms Cout]]^2</f>
        <v>5.1814867531275802E-3</v>
      </c>
      <c r="AC45" s="354">
        <f>Table2[[#This Row],[Cout ESR Loss]]</f>
        <v>5.1814867531275802E-3</v>
      </c>
      <c r="AD45" s="4">
        <f>IF(Table2[[#This Row],[Vin]]&gt;Vout, SQRT(Table2[[#This Row],[Duty Cycle BUCK Leg]]*(1-Table2[[#This Row],[Duty Cycle BUCK Leg]]))*SQRT(Table2[[#This Row],[Iout]]^2+(Table2[[#This Row],[Ripple Current pk-pk]]^2)/12), Table2[[#This Row],[Ripple Current pk-pk]]/SQRT(12))</f>
        <v>2.153587805729388</v>
      </c>
      <c r="AE45" s="354">
        <f>RCinEsr*Table2[[#This Row],[Irms Cin]]^2</f>
        <v>9.275880873972641E-3</v>
      </c>
      <c r="AF45" s="549">
        <f>Table2[[#This Row],[Cin ESR Loss]]</f>
        <v>9.275880873972641E-3</v>
      </c>
      <c r="AG45" s="354">
        <f>Table2[[#This Row],[Irms Lf]]</f>
        <v>4.4383214564320959</v>
      </c>
      <c r="AH45" s="354">
        <f>Rdson1*Table2[[#This Row],[Irms BuCtrl]]^2</f>
        <v>8.2734528872627194E-2</v>
      </c>
      <c r="AI45" s="354">
        <f>CHOOSE(Table2[[#This Row],[Mode Digit]], (Table2[[#This Row],[Vin]]*Table2[[#This Row],[Iout]]/2)*(Fsw)*(Tr_buck+Tf_buck), 0, (Table2[[#This Row],[Vin]]*Table2[[#This Row],[Avg IL]]/2)*(Fsw/1)*(Tr_buck+Tf_buck))</f>
        <v>1.0109934425540517</v>
      </c>
      <c r="AJ45">
        <f>IF(Table2[[#This Row],[Vin]]&gt;Vout, IF(Table2[[#This Row],[Iout]]&gt;Table2[[#This Row],[Ripple Current pk-pk]]/2,0,ABS(Table2[[#This Row],[Iout]]-Table2[[#This Row],[Ripple Current pk-pk]]/2)*Vsd_Q1*Deadtime*Fsw),0)</f>
        <v>0</v>
      </c>
      <c r="AK45" s="354">
        <f>(Table2[[#This Row],[Dead Time Loss BuCtrl]]+Table2[[#This Row],[Transition Loss BuCtrl]]+Table2[[#This Row],[RDS(on) Loss BuCtrl]]*(1+RdsonTopTc*Ta-RdsonTopTc*25))/(1-Table2[[#This Row],[RDS(on) Loss BuCtrl]]*RdsonTopTc*ThetaJA_Q1)</f>
        <v>1.1158853103289061</v>
      </c>
      <c r="AL45" s="354">
        <f>Table2[[#This Row],[Irms Lf]]</f>
        <v>4.4383214564320959</v>
      </c>
      <c r="AM45" s="354">
        <f>Rdson2*Table2[[#This Row],[Irms BuSync]]^2</f>
        <v>8.2734528872627194E-2</v>
      </c>
      <c r="AN4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0.20785371428571431</v>
      </c>
      <c r="AO45" s="354">
        <f>(Table2[[#This Row],[Deadtime Loss BuSync]]+Table2[[#This Row],[RDS(on) Loss BuSync]]*(1+RdsonBotTc*Ta-RdsonBotTc*25))/(1-Table2[[#This Row],[RDS(on) Loss BuSync]]*RdsonBotTc*ThetaJA_Q2)</f>
        <v>0.29647513857737662</v>
      </c>
      <c r="AP45" s="354">
        <f>Table2[[#This Row],[Irms Lf]]</f>
        <v>4.4383214564320959</v>
      </c>
      <c r="AQ45" s="354">
        <f>Rdson4*Table2[[#This Row],[Irms BoCtlr]]^2</f>
        <v>8.2734528872627194E-2</v>
      </c>
      <c r="AR45" s="354">
        <f>CHOOSE(Table2[[#This Row],[Mode Digit]], 0, (Vout*Table2[[#This Row],[Iin]]/2)*(Fsw)*(Tr_boost+Tf_boost), (Vout*Iout/2)*(Fsw/1)*(Tr_boost+Tf_boost))</f>
        <v>0</v>
      </c>
      <c r="AS45" s="354">
        <f>IF(Table2[[#This Row],[Vin]]&gt;Vout, 0, IF(Table2[[#This Row],[Iin]]&gt;Table2[[#This Row],[Ripple Current pk-pk]]/2,0,ABS(Table2[[#This Row],[Iin]]-Table2[[#This Row],[Ripple Current pk-pk]]/2)*Vsd_Q4*Deadtime*Fsw))</f>
        <v>0</v>
      </c>
      <c r="AT45" s="354">
        <f>(Table2[[#This Row],[Dead Time Loss BoCtlr]]+Table2[[#This Row],[Transition Loss BoCtlr]]+Table2[[#This Row],[RDS(on) Loss BoCtlr]]*(1+RdsonTopTc*Ta-RdsonTopTc*25))/(1-Table2[[#This Row],[RDS(on) Loss BoCtlr]]*RdsonTopTc*ThetaJA_Q4)</f>
        <v>8.4410610168011532E-2</v>
      </c>
      <c r="AU45" s="354">
        <f>Table2[[#This Row],[Irms Lf]]</f>
        <v>4.4383214564320959</v>
      </c>
      <c r="AV45" s="354">
        <f>Rdson3*Table2[[#This Row],[Irms BoSync]]^2</f>
        <v>8.2734528872627194E-2</v>
      </c>
      <c r="AW4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5" s="354">
        <f>(Table2[[#This Row],[Deadtime Loss BoSync]]+Table2[[#This Row],[RDS(on) Loss BoSync]]*(1+RdsonBotTc*Ta-RdsonBotTc*25))/(1-Table2[[#This Row],[RDS(on) Loss BoSync]]*RdsonBotTc*ThetaJA_Q3)</f>
        <v>8.4410610168011532E-2</v>
      </c>
      <c r="AY45" s="354">
        <f>CHOOSE(Table2[[#This Row],[Mode Digit]], Rdson3*Table2[[#This Row],[Irms Lf]]^2, Rdson1*Table2[[#This Row],[Irms Lf]]^2, 0)</f>
        <v>8.2734528872627194E-2</v>
      </c>
      <c r="AZ45" s="354">
        <f>CHOOSE(Table2[[#This Row],[Mode Digit]], 2*Deadtime*Fsw*IF(VfdSky_Q2&gt;0,VfdSky_Q2,0)*Table2[[#This Row],[Iout]], 2*Deadtime*Fsw*IF(VfdSky_Q3&gt;0,VfdSky_Q3,0)*Table2[[#This Row],[Iin]], 2*Deadtime*Fsw*IF(VfdSky_Q2&gt;0,VfdSky_Q2,0)*Table2[[#This Row],[Iout]]+2*Deadtime*Fsw*IF(VfdSky_Q3&gt;0,VfdSky_Q3,0)*Table2[[#This Row],[Iin]])</f>
        <v>0</v>
      </c>
      <c r="BA4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0.10187361792000001</v>
      </c>
      <c r="BB4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0.10187361792000001</v>
      </c>
      <c r="BC45" s="354">
        <f>CHOOSE(Table2[[#This Row],[Mode Digit]], Rs*Table2[[#This Row],[Irms BuSync]]^2, Rs*Table2[[#This Row],[Irms BoCtlr]]^2, Rs*(Table2[[#This Row],[Irms BuSync]]^2+Table2[[#This Row],[Irms BoCtlr]]^2))</f>
        <v>4.9246743376563797E-2</v>
      </c>
      <c r="BD45" s="354">
        <f t="shared" si="6"/>
        <v>1.44</v>
      </c>
      <c r="BE45" s="354">
        <f>IF(Vout&gt;8, Iq*Vout, Iq*Table2[[#This Row],[Vin]])</f>
        <v>4.3799999999999999E-2</v>
      </c>
      <c r="BF45" s="354">
        <f>CHOOSE(Table2[[#This Row],[Mode Digit]], (Qg_Q1+Qg_Q2)*Fsw, (Qg_Q3+Qg_Q4)*Fsw, (Qg_Q1+Qg_Q2+Qg_Q3+Qg_Q4)*Fsw)*IF(Vout&gt;8, Vout, Table2[[#This Row],[Vin]])</f>
        <v>0.47303999999999996</v>
      </c>
      <c r="BG45" s="354">
        <f t="shared" si="4"/>
        <v>0.57269042016806726</v>
      </c>
      <c r="BH45" s="354">
        <f>Table2[[#This Row],[IQ Loss]]+Table2[[#This Row],[Switching Current Loss]]</f>
        <v>0.51683999999999997</v>
      </c>
      <c r="BI4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4.5071359566980913</v>
      </c>
      <c r="BJ45">
        <f>Vout*Table2[[#This Row],[Iout]]</f>
        <v>63.072000000000003</v>
      </c>
      <c r="BK45" s="550">
        <f>Table2[[#This Row],[Pout]]/(Table2[[#This Row],[Pout]]+Table2[[#This Row],[Total Loss]])</f>
        <v>0.93330580669770502</v>
      </c>
      <c r="BL45" s="559">
        <f>IF(Table2[[#This Row],[Vin]]&gt;Vout,ThetaJA_Q1*(Table2[[#This Row],[Total Control Bu MOSFET Loss]]+Table2[[#This Row],[Reverse Recovery Loss MOSFET D BUCK]]),ThetaJA_Q4*(Table2[[#This Row],[Total Control Bo MOSFET Loss]]+Table2[[#This Row],[Reverse Recovery Loss MOSFET D BOOST]]))</f>
        <v>73.065535694934368</v>
      </c>
      <c r="BM45" s="559">
        <f>IF(Table2[[#This Row],[Vin]]&gt;Vout, Table2[[#This Row],[Total Sync Bu MOSFET Loss]]*ThetaJA_Q2, ThetaJA_Q3*Table2[[#This Row],[Total Sync Bo MOSFET Loss]])</f>
        <v>17.788508314642598</v>
      </c>
      <c r="BN45" s="9"/>
      <c r="BO45" s="4">
        <f>Table2[[#This Row],[EFF, h]]*100</f>
        <v>93.330580669770498</v>
      </c>
      <c r="BP45" s="354">
        <f>Table2[[#This Row],[Total Inductor Loss]]</f>
        <v>0.70166294061212142</v>
      </c>
      <c r="BQ45" s="354">
        <f>Table2[[#This Row],[Total Control Bu MOSFET Loss]]+Table2[[#This Row],[Total Sync Bu MOSFET Loss]]+Table2[[#This Row],[Total Control Bo MOSFET Loss]]+Table2[[#This Row],[Total Sync Bo MOSFET Loss]]+Table2[[#This Row],[Reverse Recovery Loss MOSFET D BUCK]]+Table2[[#This Row],[Reverse Recovery Loss MOSFET D BOOST]]</f>
        <v>1.7849289050823058</v>
      </c>
      <c r="BR45" s="354">
        <f xml:space="preserve"> Table2[[#This Row],[Total Control Bu MOSFET Loss]]+Table2[[#This Row],[Reverse Recovery Loss MOSFET D BUCK]]*0.66</f>
        <v>1.1831218981561062</v>
      </c>
      <c r="BS45" s="354">
        <f>Table2[[#This Row],[Total Sync Bu MOSFET Loss]]+Table2[[#This Row],[Reverse Recovery Loss MOSFET D BUCK]]*0.33</f>
        <v>0.33009343249097661</v>
      </c>
      <c r="BT45" s="354">
        <f xml:space="preserve"> Table2[[#This Row],[Total Control Bo MOSFET Loss]]+Table2[[#This Row],[Reverse Recovery Loss MOSFET D BOOST]]*0.66</f>
        <v>0.15164719799521154</v>
      </c>
      <c r="BU45" s="354">
        <f xml:space="preserve"> Table2[[#This Row],[Total Sync Bo MOSFET Loss]]+Table2[[#This Row],[Reverse Recovery Loss MOSFET D BOOST]]*0.33</f>
        <v>0.11802890408161154</v>
      </c>
      <c r="BV45" s="354">
        <f>Table2[[#This Row],[Isense Shunt Loss]]</f>
        <v>4.9246743376563797E-2</v>
      </c>
      <c r="CA45">
        <v>9.9979859999999992</v>
      </c>
      <c r="CB45">
        <v>5.4960000000000004</v>
      </c>
      <c r="CC45">
        <v>5.1097890000000001</v>
      </c>
      <c r="CD45">
        <v>93.599771362833366</v>
      </c>
      <c r="CE45">
        <v>1920.3056923499939</v>
      </c>
    </row>
    <row r="46" spans="1:83" x14ac:dyDescent="0.2">
      <c r="A46" s="75" t="s">
        <v>235</v>
      </c>
      <c r="B46" s="5">
        <f>Vsd_Q1</f>
        <v>1</v>
      </c>
      <c r="C46" s="445" t="s">
        <v>0</v>
      </c>
      <c r="G46">
        <v>37</v>
      </c>
      <c r="H46" s="555">
        <f t="shared" si="5"/>
        <v>23.6</v>
      </c>
      <c r="I46" s="4" t="str">
        <f>IF(Mode = 2,IF(Table2[[#This Row],[Vin]]&gt;Vout, "BUCK","BOOST"),IF(Table2[[#This Row],[Vin]]&gt;VIN_BB_to_buck, "BUCK", IF(Table2[[#This Row],[Vin]]&lt;=VIN_boost_to_BB,"BOOST","BUCK-BST")))</f>
        <v>BUCK</v>
      </c>
      <c r="J46">
        <f>IF(Table2[[#This Row],[Mode]]="BOOST",2, IF(Table2[[#This Row],[Mode]]="BUCK", 1,3))</f>
        <v>1</v>
      </c>
      <c r="K46" s="354">
        <f t="shared" si="7"/>
        <v>4.4400000000000004</v>
      </c>
      <c r="L46" s="4">
        <f>Vout*Table2[[#This Row],[Iout]]/(Table2[[#This Row],[Vin]]*Efficiency)</f>
        <v>2.8913470115967881</v>
      </c>
      <c r="M46" s="711">
        <f>MIN(1/Fsw,CHOOSE(Table2[[#This Row],[Mode Digit]],(Vout+(Rdson2+Rs+Rdcr)*Table2[[#This Row],[Iout]])/(Table2[[#This Row],[Vin]]+(Rs+Rdson2-Rdson1)*Table2[[#This Row],[Iout]])/Fsw,(Vout+(Rdson3+Rdcr)*Table2[[#This Row],[Iin]]-Table2[[#This Row],[Vin]])/(Vout+(Rdson3-Rdson4-Rs)*Table2[[#This Row],[Iin]])/Fsw,t1_Ph_II))</f>
        <v>1.0345063691794678E-6</v>
      </c>
      <c r="N46" s="602">
        <f>CHOOSE(Table2[[#This Row],[Mode Digit]],1/Fsw-Table2[[#This Row],[t1_Ph_II]],1/Fsw-Table2[[#This Row],[t1_Ph_II]],(Vout/Fsw-Table2[[#This Row],[Vin]]*t1_Ph_II)/(Table2[[#This Row],[Vin]]+Vout))</f>
        <v>6.3216029748719888E-7</v>
      </c>
      <c r="O46" s="602">
        <f>1/Fsw-(Table2[[#This Row],[t1_Ph_II]]+Table2[[#This Row],[t2_Ph_I]])</f>
        <v>0</v>
      </c>
      <c r="P4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2.6766368707168162</v>
      </c>
      <c r="Q46" s="4">
        <f>CHOOSE(Table2[[#This Row],[Mode Digit]],Table2[[#This Row],[I_0]]+1/Lf*(Table2[[#This Row],[Vin]]-Vout)*Table2[[#This Row],[t1_Ph_II]],Table2[[#This Row],[I_0]]+1/Lf*Table2[[#This Row],[Vin]]*Table2[[#This Row],[t1_Ph_II]],Table2[[#This Row],[I_0]]+(Table2[[#This Row],[Vin]]-Vout)/L*Table2[[#This Row],[t1_Ph_II]])</f>
        <v>6.2033631292831846</v>
      </c>
      <c r="R46" s="4">
        <f>CHOOSE(Table2[[#This Row],[Mode Digit]],0,0,Table2[[#This Row],[I_1]]+Table2[[#This Row],[Vin]]/L*Table2[[#This Row],[t2_Ph_I]])</f>
        <v>0</v>
      </c>
      <c r="S46" s="409">
        <f>Fsw*(Table2[[#This Row],[I_0]]*Table2[[#This Row],[t1_Ph_II]]+Table2[[#This Row],[I_1]]*Table2[[#This Row],[t2_Ph_I]]+Table2[[#This Row],[I_2]]*Table2[[#This Row],[t3_Ph_III]])</f>
        <v>4.0143106631795549</v>
      </c>
      <c r="T46" s="354">
        <f>MIN(1,CHOOSE(Table2[[#This Row],[Mode Digit]],(Vout+(Rdson2+Rs+Rdcr)*Table2[[#This Row],[Iout]])/(Table2[[#This Row],[Vin]]+(Rs+Rdson2-Rdson1)*Table2[[#This Row],[Iout]]),1,Fsw*Table2[[#This Row],[t2_Ph_I]]+Table2[[#This Row],[t1_Ph_II]]))</f>
        <v>0.62070382150768066</v>
      </c>
      <c r="U46" s="354">
        <f>MIN(1,CHOOSE(Table2[[#This Row],[Mode Digit]],0,(Vout+(Rdson3+Rdcr)*Table2[[#This Row],[Iin]]-Table2[[#This Row],[Vin]])/(Vout+(Rdson3-Rdson4-Rs)*Table2[[#This Row],[Iin]]),Fsw*Table2[[#This Row],[t1_Ph_II]]+Table2[[#This Row],[t3_Ph_III]]))</f>
        <v>0</v>
      </c>
      <c r="V46" s="4">
        <f>MAX(Table2[[#This Row],[I_0]:[I_2]])-MIN(Table2[[#This Row],[I_0]:[I_1]])</f>
        <v>3.5267262585663683</v>
      </c>
      <c r="W4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4.5552259192314999</v>
      </c>
      <c r="X46" s="354">
        <f>(Table2[[#This Row],[Irms Lf]]^2*Rdcr*(1+Ltc*Ta-Ltc*25))/(1-Table2[[#This Row],[Irms Lf]]^2*Rdcr*Ltc*ThetaCa)</f>
        <v>0.12152048634882746</v>
      </c>
      <c r="Y46" s="354">
        <f>ABS(7.759*10^-3*Fsw^0.9458*(0.00787*Table2[[#This Row],[Ripple Current pk-pk]])^2.304)</f>
        <v>0.58647769969553298</v>
      </c>
      <c r="Z46" s="354">
        <f>Table2[[#This Row],[DCR    Loss]]+Table2[[#This Row],[Core Loss]]</f>
        <v>0.70799818604436049</v>
      </c>
      <c r="AA46" s="4">
        <f>IF(Table2[[#This Row],[Vin]]&gt;Vout, Table2[[#This Row],[Ripple Current pk-pk]]/SQRT(12), SQRT(Table2[[#This Row],[Duty Cycle BOOST Leg]]/(1-Table2[[#This Row],[Duty Cycle BOOST Leg]]))*SQRT(Table2[[#This Row],[Iout]]^2+(Table2[[#This Row],[Ripple Current pk-pk]]^2)/12))</f>
        <v>1.0180781773707073</v>
      </c>
      <c r="AB46" s="354">
        <f>RCoutEsr*Table2[[#This Row],[Irms Cout]]^2</f>
        <v>5.1824158761923072E-3</v>
      </c>
      <c r="AC46" s="354">
        <f>Table2[[#This Row],[Cout ESR Loss]]</f>
        <v>5.1824158761923072E-3</v>
      </c>
      <c r="AD46" s="4">
        <f>IF(Table2[[#This Row],[Vin]]&gt;Vout, SQRT(Table2[[#This Row],[Duty Cycle BUCK Leg]]*(1-Table2[[#This Row],[Duty Cycle BUCK Leg]]))*SQRT(Table2[[#This Row],[Iout]]^2+(Table2[[#This Row],[Ripple Current pk-pk]]^2)/12), Table2[[#This Row],[Ripple Current pk-pk]]/SQRT(12))</f>
        <v>2.2102498211897168</v>
      </c>
      <c r="AE46" s="354">
        <f>RCinEsr*Table2[[#This Row],[Irms Cin]]^2</f>
        <v>9.7704085441383502E-3</v>
      </c>
      <c r="AF46" s="549">
        <f>Table2[[#This Row],[Cin ESR Loss]]</f>
        <v>9.7704085441383502E-3</v>
      </c>
      <c r="AG46" s="354">
        <f>Table2[[#This Row],[Irms Lf]]</f>
        <v>4.5552259192314999</v>
      </c>
      <c r="AH46" s="354">
        <f>Rdson1*Table2[[#This Row],[Irms BuCtrl]]^2</f>
        <v>8.7150349336001548E-2</v>
      </c>
      <c r="AI46" s="354">
        <f>CHOOSE(Table2[[#This Row],[Mode Digit]], (Table2[[#This Row],[Vin]]*Table2[[#This Row],[Iout]]/2)*(Fsw)*(Tr_buck+Tf_buck), 0, (Table2[[#This Row],[Vin]]*Table2[[#This Row],[Avg IL]]/2)*(Fsw/1)*(Tr_buck+Tf_buck))</f>
        <v>1.0390765937361088</v>
      </c>
      <c r="AJ46">
        <f>IF(Table2[[#This Row],[Vin]]&gt;Vout, IF(Table2[[#This Row],[Iout]]&gt;Table2[[#This Row],[Ripple Current pk-pk]]/2,0,ABS(Table2[[#This Row],[Iout]]-Table2[[#This Row],[Ripple Current pk-pk]]/2)*Vsd_Q1*Deadtime*Fsw),0)</f>
        <v>0</v>
      </c>
      <c r="AK46" s="354">
        <f>(Table2[[#This Row],[Dead Time Loss BuCtrl]]+Table2[[#This Row],[Transition Loss BuCtrl]]+Table2[[#This Row],[RDS(on) Loss BuCtrl]]*(1+RdsonTopTc*Ta-RdsonTopTc*25))/(1-Table2[[#This Row],[RDS(on) Loss BuCtrl]]*RdsonTopTc*ThetaJA_Q1)</f>
        <v>1.150286430493054</v>
      </c>
      <c r="AL46" s="354">
        <f>Table2[[#This Row],[Irms Lf]]</f>
        <v>4.5552259192314999</v>
      </c>
      <c r="AM46" s="354">
        <f>Rdson2*Table2[[#This Row],[Irms BuSync]]^2</f>
        <v>8.7150349336001548E-2</v>
      </c>
      <c r="AN4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0.21362742857142858</v>
      </c>
      <c r="AO46" s="354">
        <f>(Table2[[#This Row],[Deadtime Loss BuSync]]+Table2[[#This Row],[RDS(on) Loss BuSync]]*(1+RdsonBotTc*Ta-RdsonBotTc*25))/(1-Table2[[#This Row],[RDS(on) Loss BuSync]]*RdsonBotTc*ThetaJA_Q2)</f>
        <v>0.30720326720031044</v>
      </c>
      <c r="AP46" s="354">
        <f>Table2[[#This Row],[Irms Lf]]</f>
        <v>4.5552259192314999</v>
      </c>
      <c r="AQ46" s="354">
        <f>Rdson4*Table2[[#This Row],[Irms BoCtlr]]^2</f>
        <v>8.7150349336001548E-2</v>
      </c>
      <c r="AR46" s="354">
        <f>CHOOSE(Table2[[#This Row],[Mode Digit]], 0, (Vout*Table2[[#This Row],[Iin]]/2)*(Fsw)*(Tr_boost+Tf_boost), (Vout*Iout/2)*(Fsw/1)*(Tr_boost+Tf_boost))</f>
        <v>0</v>
      </c>
      <c r="AS46" s="354">
        <f>IF(Table2[[#This Row],[Vin]]&gt;Vout, 0, IF(Table2[[#This Row],[Iin]]&gt;Table2[[#This Row],[Ripple Current pk-pk]]/2,0,ABS(Table2[[#This Row],[Iin]]-Table2[[#This Row],[Ripple Current pk-pk]]/2)*Vsd_Q4*Deadtime*Fsw))</f>
        <v>0</v>
      </c>
      <c r="AT46" s="354">
        <f>(Table2[[#This Row],[Dead Time Loss BoCtlr]]+Table2[[#This Row],[Transition Loss BoCtlr]]+Table2[[#This Row],[RDS(on) Loss BoCtlr]]*(1+RdsonTopTc*Ta-RdsonTopTc*25))/(1-Table2[[#This Row],[RDS(on) Loss BoCtlr]]*RdsonTopTc*ThetaJA_Q4)</f>
        <v>8.9012134606260451E-2</v>
      </c>
      <c r="AU46" s="354">
        <f>Table2[[#This Row],[Irms Lf]]</f>
        <v>4.5552259192314999</v>
      </c>
      <c r="AV46" s="354">
        <f>Rdson3*Table2[[#This Row],[Irms BoSync]]^2</f>
        <v>8.7150349336001548E-2</v>
      </c>
      <c r="AW4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6" s="354">
        <f>(Table2[[#This Row],[Deadtime Loss BoSync]]+Table2[[#This Row],[RDS(on) Loss BoSync]]*(1+RdsonBotTc*Ta-RdsonBotTc*25))/(1-Table2[[#This Row],[RDS(on) Loss BoSync]]*RdsonBotTc*ThetaJA_Q3)</f>
        <v>8.9012134606260451E-2</v>
      </c>
      <c r="AY46" s="354">
        <f>CHOOSE(Table2[[#This Row],[Mode Digit]], Rdson3*Table2[[#This Row],[Irms Lf]]^2, Rdson1*Table2[[#This Row],[Irms Lf]]^2, 0)</f>
        <v>8.7150349336001548E-2</v>
      </c>
      <c r="AZ46" s="354">
        <f>CHOOSE(Table2[[#This Row],[Mode Digit]], 2*Deadtime*Fsw*IF(VfdSky_Q2&gt;0,VfdSky_Q2,0)*Table2[[#This Row],[Iout]], 2*Deadtime*Fsw*IF(VfdSky_Q3&gt;0,VfdSky_Q3,0)*Table2[[#This Row],[Iin]], 2*Deadtime*Fsw*IF(VfdSky_Q2&gt;0,VfdSky_Q2,0)*Table2[[#This Row],[Iout]]+2*Deadtime*Fsw*IF(VfdSky_Q3&gt;0,VfdSky_Q3,0)*Table2[[#This Row],[Iin]])</f>
        <v>0</v>
      </c>
      <c r="BA4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0.10470120288000002</v>
      </c>
      <c r="BB4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0.10470120288000002</v>
      </c>
      <c r="BC46" s="354">
        <f>CHOOSE(Table2[[#This Row],[Mode Digit]], Rs*Table2[[#This Row],[Irms BuSync]]^2, Rs*Table2[[#This Row],[Irms BoCtlr]]^2, Rs*(Table2[[#This Row],[Irms BuSync]]^2+Table2[[#This Row],[Irms BoCtlr]]^2))</f>
        <v>5.1875207938096156E-2</v>
      </c>
      <c r="BD46" s="354">
        <f t="shared" si="6"/>
        <v>1.44</v>
      </c>
      <c r="BE46" s="354">
        <f>IF(Vout&gt;8, Iq*Vout, Iq*Table2[[#This Row],[Vin]])</f>
        <v>4.3799999999999999E-2</v>
      </c>
      <c r="BF46" s="354">
        <f>CHOOSE(Table2[[#This Row],[Mode Digit]], (Qg_Q1+Qg_Q2)*Fsw, (Qg_Q3+Qg_Q4)*Fsw, (Qg_Q1+Qg_Q2+Qg_Q3+Qg_Q4)*Fsw)*IF(Vout&gt;8, Vout, Table2[[#This Row],[Vin]])</f>
        <v>0.47303999999999996</v>
      </c>
      <c r="BG46" s="354">
        <f t="shared" si="4"/>
        <v>0.57269042016806726</v>
      </c>
      <c r="BH46" s="354">
        <f>Table2[[#This Row],[IQ Loss]]+Table2[[#This Row],[Switching Current Loss]]</f>
        <v>0.51683999999999997</v>
      </c>
      <c r="BI4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4.5765825910686733</v>
      </c>
      <c r="BJ46">
        <f>Vout*Table2[[#This Row],[Iout]]</f>
        <v>64.823999999999998</v>
      </c>
      <c r="BK46" s="550">
        <f>Table2[[#This Row],[Pout]]/(Table2[[#This Row],[Pout]]+Table2[[#This Row],[Total Loss]])</f>
        <v>0.93405555947512109</v>
      </c>
      <c r="BL46" s="559">
        <f>IF(Table2[[#This Row],[Vin]]&gt;Vout,ThetaJA_Q1*(Table2[[#This Row],[Total Control Bu MOSFET Loss]]+Table2[[#This Row],[Reverse Recovery Loss MOSFET D BUCK]]),ThetaJA_Q4*(Table2[[#This Row],[Total Control Bo MOSFET Loss]]+Table2[[#This Row],[Reverse Recovery Loss MOSFET D BOOST]]))</f>
        <v>75.29925800238324</v>
      </c>
      <c r="BM46" s="559">
        <f>IF(Table2[[#This Row],[Vin]]&gt;Vout, Table2[[#This Row],[Total Sync Bu MOSFET Loss]]*ThetaJA_Q2, ThetaJA_Q3*Table2[[#This Row],[Total Sync Bo MOSFET Loss]])</f>
        <v>18.432196032018627</v>
      </c>
      <c r="BN46" s="9"/>
      <c r="BO46" s="4">
        <f>Table2[[#This Row],[EFF, h]]*100</f>
        <v>93.405555947512113</v>
      </c>
      <c r="BP46" s="354">
        <f>Table2[[#This Row],[Total Inductor Loss]]</f>
        <v>0.70799818604436049</v>
      </c>
      <c r="BQ46" s="354">
        <f>Table2[[#This Row],[Total Control Bu MOSFET Loss]]+Table2[[#This Row],[Total Sync Bu MOSFET Loss]]+Table2[[#This Row],[Total Control Bo MOSFET Loss]]+Table2[[#This Row],[Total Sync Bo MOSFET Loss]]+Table2[[#This Row],[Reverse Recovery Loss MOSFET D BUCK]]+Table2[[#This Row],[Reverse Recovery Loss MOSFET D BOOST]]</f>
        <v>1.8449163726658855</v>
      </c>
      <c r="BR46" s="354">
        <f xml:space="preserve"> Table2[[#This Row],[Total Control Bu MOSFET Loss]]+Table2[[#This Row],[Reverse Recovery Loss MOSFET D BUCK]]*0.66</f>
        <v>1.219389224393854</v>
      </c>
      <c r="BS46" s="354">
        <f>Table2[[#This Row],[Total Sync Bu MOSFET Loss]]+Table2[[#This Row],[Reverse Recovery Loss MOSFET D BUCK]]*0.33</f>
        <v>0.34175466415071043</v>
      </c>
      <c r="BT46" s="354">
        <f xml:space="preserve"> Table2[[#This Row],[Total Control Bo MOSFET Loss]]+Table2[[#This Row],[Reverse Recovery Loss MOSFET D BOOST]]*0.66</f>
        <v>0.15811492850706046</v>
      </c>
      <c r="BU46" s="354">
        <f xml:space="preserve"> Table2[[#This Row],[Total Sync Bo MOSFET Loss]]+Table2[[#This Row],[Reverse Recovery Loss MOSFET D BOOST]]*0.33</f>
        <v>0.12356353155666046</v>
      </c>
      <c r="BV46" s="354">
        <f>Table2[[#This Row],[Isense Shunt Loss]]</f>
        <v>5.1875207938096156E-2</v>
      </c>
      <c r="CA46">
        <v>9.9978999999999996</v>
      </c>
      <c r="CB46">
        <v>6.1950000000000003</v>
      </c>
      <c r="CC46">
        <v>5.109191</v>
      </c>
      <c r="CD46">
        <v>93.156651672159526</v>
      </c>
      <c r="CE46">
        <v>2325.1351758999972</v>
      </c>
    </row>
    <row r="47" spans="1:83" ht="15.75" x14ac:dyDescent="0.3">
      <c r="A47" s="446" t="s">
        <v>644</v>
      </c>
      <c r="B47" s="5">
        <f>ThetaJA_Q1</f>
        <v>60</v>
      </c>
      <c r="C47" s="441" t="s">
        <v>237</v>
      </c>
      <c r="D47" s="21" t="s">
        <v>105</v>
      </c>
      <c r="G47">
        <v>38</v>
      </c>
      <c r="H47" s="555">
        <f t="shared" si="5"/>
        <v>23.6</v>
      </c>
      <c r="I47" s="4" t="str">
        <f>IF(Mode = 2,IF(Table2[[#This Row],[Vin]]&gt;Vout, "BUCK","BOOST"),IF(Table2[[#This Row],[Vin]]&gt;VIN_BB_to_buck, "BUCK", IF(Table2[[#This Row],[Vin]]&lt;=VIN_boost_to_BB,"BOOST","BUCK-BST")))</f>
        <v>BUCK</v>
      </c>
      <c r="J47">
        <f>IF(Table2[[#This Row],[Mode]]="BOOST",2, IF(Table2[[#This Row],[Mode]]="BUCK", 1,3))</f>
        <v>1</v>
      </c>
      <c r="K47" s="354">
        <f t="shared" si="7"/>
        <v>4.5599999999999996</v>
      </c>
      <c r="L47" s="4">
        <f>Vout*Table2[[#This Row],[Iout]]/(Table2[[#This Row],[Vin]]*Efficiency)</f>
        <v>2.9694915254237282</v>
      </c>
      <c r="M47" s="711">
        <f>MIN(1/Fsw,CHOOSE(Table2[[#This Row],[Mode Digit]],(Vout+(Rdson2+Rs+Rdcr)*Table2[[#This Row],[Iout]])/(Table2[[#This Row],[Vin]]+(Rs+Rdson2-Rdson1)*Table2[[#This Row],[Iout]])/Fsw,(Vout+(Rdson3+Rdcr)*Table2[[#This Row],[Iin]]-Table2[[#This Row],[Vin]])/(Vout+(Rdson3-Rdson4-Rs)*Table2[[#This Row],[Iin]])/Fsw,t1_Ph_II))</f>
        <v>1.0345991060815256E-6</v>
      </c>
      <c r="N47" s="602">
        <f>CHOOSE(Table2[[#This Row],[Mode Digit]],1/Fsw-Table2[[#This Row],[t1_Ph_II]],1/Fsw-Table2[[#This Row],[t1_Ph_II]],(Vout/Fsw-Table2[[#This Row],[Vin]]*t1_Ph_II)/(Table2[[#This Row],[Vin]]+Vout))</f>
        <v>6.3206756058514106E-7</v>
      </c>
      <c r="O47" s="602">
        <f>1/Fsw-(Table2[[#This Row],[t1_Ph_II]]+Table2[[#This Row],[t2_Ph_I]])</f>
        <v>0</v>
      </c>
      <c r="P4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2.7964787964519444</v>
      </c>
      <c r="Q47" s="4">
        <f>CHOOSE(Table2[[#This Row],[Mode Digit]],Table2[[#This Row],[I_0]]+1/Lf*(Table2[[#This Row],[Vin]]-Vout)*Table2[[#This Row],[t1_Ph_II]],Table2[[#This Row],[I_0]]+1/Lf*Table2[[#This Row],[Vin]]*Table2[[#This Row],[t1_Ph_II]],Table2[[#This Row],[I_0]]+(Table2[[#This Row],[Vin]]-Vout)/L*Table2[[#This Row],[t1_Ph_II]])</f>
        <v>6.3235212035480544</v>
      </c>
      <c r="R47" s="4">
        <f>CHOOSE(Table2[[#This Row],[Mode Digit]],0,0,Table2[[#This Row],[I_1]]+Table2[[#This Row],[Vin]]/L*Table2[[#This Row],[t2_Ph_I]])</f>
        <v>0</v>
      </c>
      <c r="S47" s="409">
        <f>Fsw*(Table2[[#This Row],[I_0]]*Table2[[#This Row],[t1_Ph_II]]+Table2[[#This Row],[I_1]]*Table2[[#This Row],[t2_Ph_I]]+Table2[[#This Row],[I_2]]*Table2[[#This Row],[t3_Ph_III]])</f>
        <v>4.1340762506520941</v>
      </c>
      <c r="T47" s="354">
        <f>MIN(1,CHOOSE(Table2[[#This Row],[Mode Digit]],(Vout+(Rdson2+Rs+Rdcr)*Table2[[#This Row],[Iout]])/(Table2[[#This Row],[Vin]]+(Rs+Rdson2-Rdson1)*Table2[[#This Row],[Iout]]),1,Fsw*Table2[[#This Row],[t2_Ph_I]]+Table2[[#This Row],[t1_Ph_II]]))</f>
        <v>0.62075946364891532</v>
      </c>
      <c r="U47" s="354">
        <f>MIN(1,CHOOSE(Table2[[#This Row],[Mode Digit]],0,(Vout+(Rdson3+Rdcr)*Table2[[#This Row],[Iin]]-Table2[[#This Row],[Vin]])/(Vout+(Rdson3-Rdson4-Rs)*Table2[[#This Row],[Iin]]),Fsw*Table2[[#This Row],[t1_Ph_II]]+Table2[[#This Row],[t3_Ph_III]]))</f>
        <v>0</v>
      </c>
      <c r="V47" s="4">
        <f>MAX(Table2[[#This Row],[I_0]:[I_2]])-MIN(Table2[[#This Row],[I_0]:[I_1]])</f>
        <v>3.5270424070961099</v>
      </c>
      <c r="W4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4.6722873425965421</v>
      </c>
      <c r="X47" s="354">
        <f>(Table2[[#This Row],[Irms Lf]]^2*Rdcr*(1+Ltc*Ta-Ltc*25))/(1-Table2[[#This Row],[Irms Lf]]^2*Rdcr*Ltc*ThetaCa)</f>
        <v>0.12791120417082483</v>
      </c>
      <c r="Y47" s="354">
        <f>ABS(7.759*10^-3*Fsw^0.9458*(0.00787*Table2[[#This Row],[Ripple Current pk-pk]])^2.304)</f>
        <v>0.58659883724275241</v>
      </c>
      <c r="Z47" s="354">
        <f>Table2[[#This Row],[DCR    Loss]]+Table2[[#This Row],[Core Loss]]</f>
        <v>0.71451004141357721</v>
      </c>
      <c r="AA47" s="4">
        <f>IF(Table2[[#This Row],[Vin]]&gt;Vout, Table2[[#This Row],[Ripple Current pk-pk]]/SQRT(12), SQRT(Table2[[#This Row],[Duty Cycle BOOST Leg]]/(1-Table2[[#This Row],[Duty Cycle BOOST Leg]]))*SQRT(Table2[[#This Row],[Iout]]^2+(Table2[[#This Row],[Ripple Current pk-pk]]^2)/12))</f>
        <v>1.0181694415900824</v>
      </c>
      <c r="AB47" s="354">
        <f>RCoutEsr*Table2[[#This Row],[Irms Cout]]^2</f>
        <v>5.1833450589393003E-3</v>
      </c>
      <c r="AC47" s="354">
        <f>Table2[[#This Row],[Cout ESR Loss]]</f>
        <v>5.1833450589393003E-3</v>
      </c>
      <c r="AD47" s="4">
        <f>IF(Table2[[#This Row],[Vin]]&gt;Vout, SQRT(Table2[[#This Row],[Duty Cycle BUCK Leg]]*(1-Table2[[#This Row],[Duty Cycle BUCK Leg]]))*SQRT(Table2[[#This Row],[Iout]]^2+(Table2[[#This Row],[Ripple Current pk-pk]]^2)/12), Table2[[#This Row],[Ripple Current pk-pk]]/SQRT(12))</f>
        <v>2.266984727964052</v>
      </c>
      <c r="AE47" s="354">
        <f>RCinEsr*Table2[[#This Row],[Irms Cin]]^2</f>
        <v>1.0278439513644495E-2</v>
      </c>
      <c r="AF47" s="549">
        <f>Table2[[#This Row],[Cin ESR Loss]]</f>
        <v>1.0278439513644495E-2</v>
      </c>
      <c r="AG47" s="354">
        <f>Table2[[#This Row],[Irms Lf]]</f>
        <v>4.6722873425965421</v>
      </c>
      <c r="AH47" s="354">
        <f>Rdson1*Table2[[#This Row],[Irms BuCtrl]]^2</f>
        <v>9.1687129849509011E-2</v>
      </c>
      <c r="AI47" s="354">
        <f>CHOOSE(Table2[[#This Row],[Mode Digit]], (Table2[[#This Row],[Vin]]*Table2[[#This Row],[Iout]]/2)*(Fsw)*(Tr_buck+Tf_buck), 0, (Table2[[#This Row],[Vin]]*Table2[[#This Row],[Avg IL]]/2)*(Fsw/1)*(Tr_buck+Tf_buck))</f>
        <v>1.0671597449181656</v>
      </c>
      <c r="AJ47">
        <f>IF(Table2[[#This Row],[Vin]]&gt;Vout, IF(Table2[[#This Row],[Iout]]&gt;Table2[[#This Row],[Ripple Current pk-pk]]/2,0,ABS(Table2[[#This Row],[Iout]]-Table2[[#This Row],[Ripple Current pk-pk]]/2)*Vsd_Q1*Deadtime*Fsw),0)</f>
        <v>0</v>
      </c>
      <c r="AK47" s="354">
        <f>(Table2[[#This Row],[Dead Time Loss BuCtrl]]+Table2[[#This Row],[Transition Loss BuCtrl]]+Table2[[#This Row],[RDS(on) Loss BuCtrl]]*(1+RdsonTopTc*Ta-RdsonTopTc*25))/(1-Table2[[#This Row],[RDS(on) Loss BuCtrl]]*RdsonTopTc*ThetaJA_Q1)</f>
        <v>1.184920955121342</v>
      </c>
      <c r="AL47" s="354">
        <f>Table2[[#This Row],[Irms Lf]]</f>
        <v>4.6722873425965421</v>
      </c>
      <c r="AM47" s="354">
        <f>Rdson2*Table2[[#This Row],[Irms BuSync]]^2</f>
        <v>9.1687129849509011E-2</v>
      </c>
      <c r="AN4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0.21940114285714282</v>
      </c>
      <c r="AO47" s="354">
        <f>(Table2[[#This Row],[Deadtime Loss BuSync]]+Table2[[#This Row],[RDS(on) Loss BuSync]]*(1+RdsonBotTc*Ta-RdsonBotTc*25))/(1-Table2[[#This Row],[RDS(on) Loss BuSync]]*RdsonBotTc*ThetaJA_Q2)</f>
        <v>0.31808776573394504</v>
      </c>
      <c r="AP47" s="354">
        <f>Table2[[#This Row],[Irms Lf]]</f>
        <v>4.6722873425965421</v>
      </c>
      <c r="AQ47" s="354">
        <f>Rdson4*Table2[[#This Row],[Irms BoCtlr]]^2</f>
        <v>9.1687129849509011E-2</v>
      </c>
      <c r="AR47" s="354">
        <f>CHOOSE(Table2[[#This Row],[Mode Digit]], 0, (Vout*Table2[[#This Row],[Iin]]/2)*(Fsw)*(Tr_boost+Tf_boost), (Vout*Iout/2)*(Fsw/1)*(Tr_boost+Tf_boost))</f>
        <v>0</v>
      </c>
      <c r="AS47" s="354">
        <f>IF(Table2[[#This Row],[Vin]]&gt;Vout, 0, IF(Table2[[#This Row],[Iin]]&gt;Table2[[#This Row],[Ripple Current pk-pk]]/2,0,ABS(Table2[[#This Row],[Iin]]-Table2[[#This Row],[Ripple Current pk-pk]]/2)*Vsd_Q4*Deadtime*Fsw))</f>
        <v>0</v>
      </c>
      <c r="AT47" s="354">
        <f>(Table2[[#This Row],[Dead Time Loss BoCtlr]]+Table2[[#This Row],[Transition Loss BoCtlr]]+Table2[[#This Row],[RDS(on) Loss BoCtlr]]*(1+RdsonTopTc*Ta-RdsonTopTc*25))/(1-Table2[[#This Row],[RDS(on) Loss BoCtlr]]*RdsonTopTc*ThetaJA_Q4)</f>
        <v>9.3750092302225224E-2</v>
      </c>
      <c r="AU47" s="354">
        <f>Table2[[#This Row],[Irms Lf]]</f>
        <v>4.6722873425965421</v>
      </c>
      <c r="AV47" s="354">
        <f>Rdson3*Table2[[#This Row],[Irms BoSync]]^2</f>
        <v>9.1687129849509011E-2</v>
      </c>
      <c r="AW4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7" s="354">
        <f>(Table2[[#This Row],[Deadtime Loss BoSync]]+Table2[[#This Row],[RDS(on) Loss BoSync]]*(1+RdsonBotTc*Ta-RdsonBotTc*25))/(1-Table2[[#This Row],[RDS(on) Loss BoSync]]*RdsonBotTc*ThetaJA_Q3)</f>
        <v>9.3750092302225224E-2</v>
      </c>
      <c r="AY47" s="354">
        <f>CHOOSE(Table2[[#This Row],[Mode Digit]], Rdson3*Table2[[#This Row],[Irms Lf]]^2, Rdson1*Table2[[#This Row],[Irms Lf]]^2, 0)</f>
        <v>9.1687129849509011E-2</v>
      </c>
      <c r="AZ47" s="354">
        <f>CHOOSE(Table2[[#This Row],[Mode Digit]], 2*Deadtime*Fsw*IF(VfdSky_Q2&gt;0,VfdSky_Q2,0)*Table2[[#This Row],[Iout]], 2*Deadtime*Fsw*IF(VfdSky_Q3&gt;0,VfdSky_Q3,0)*Table2[[#This Row],[Iin]], 2*Deadtime*Fsw*IF(VfdSky_Q2&gt;0,VfdSky_Q2,0)*Table2[[#This Row],[Iout]]+2*Deadtime*Fsw*IF(VfdSky_Q3&gt;0,VfdSky_Q3,0)*Table2[[#This Row],[Iin]])</f>
        <v>0</v>
      </c>
      <c r="BA4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0.10752866688000001</v>
      </c>
      <c r="BB4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0.10752866688000001</v>
      </c>
      <c r="BC47" s="354">
        <f>CHOOSE(Table2[[#This Row],[Mode Digit]], Rs*Table2[[#This Row],[Irms BuSync]]^2, Rs*Table2[[#This Row],[Irms BoCtlr]]^2, Rs*(Table2[[#This Row],[Irms BuSync]]^2+Table2[[#This Row],[Irms BoCtlr]]^2))</f>
        <v>5.457567252946964E-2</v>
      </c>
      <c r="BD47" s="354">
        <f t="shared" si="6"/>
        <v>1.44</v>
      </c>
      <c r="BE47" s="354">
        <f>IF(Vout&gt;8, Iq*Vout, Iq*Table2[[#This Row],[Vin]])</f>
        <v>4.3799999999999999E-2</v>
      </c>
      <c r="BF47" s="354">
        <f>CHOOSE(Table2[[#This Row],[Mode Digit]], (Qg_Q1+Qg_Q2)*Fsw, (Qg_Q3+Qg_Q4)*Fsw, (Qg_Q1+Qg_Q2+Qg_Q3+Qg_Q4)*Fsw)*IF(Vout&gt;8, Vout, Table2[[#This Row],[Vin]])</f>
        <v>0.47303999999999996</v>
      </c>
      <c r="BG47" s="354">
        <f t="shared" si="4"/>
        <v>0.57269042016806726</v>
      </c>
      <c r="BH47" s="354">
        <f>Table2[[#This Row],[IQ Loss]]+Table2[[#This Row],[Switching Current Loss]]</f>
        <v>0.51683999999999997</v>
      </c>
      <c r="BI4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4.6469537377353687</v>
      </c>
      <c r="BJ47">
        <f>Vout*Table2[[#This Row],[Iout]]</f>
        <v>66.575999999999993</v>
      </c>
      <c r="BK47" s="550">
        <f>Table2[[#This Row],[Pout]]/(Table2[[#This Row],[Pout]]+Table2[[#This Row],[Total Loss]])</f>
        <v>0.93475482981446023</v>
      </c>
      <c r="BL47" s="559">
        <f>IF(Table2[[#This Row],[Vin]]&gt;Vout,ThetaJA_Q1*(Table2[[#This Row],[Total Control Bu MOSFET Loss]]+Table2[[#This Row],[Reverse Recovery Loss MOSFET D BUCK]]),ThetaJA_Q4*(Table2[[#This Row],[Total Control Bo MOSFET Loss]]+Table2[[#This Row],[Reverse Recovery Loss MOSFET D BOOST]]))</f>
        <v>77.546977320080515</v>
      </c>
      <c r="BM47" s="559">
        <f>IF(Table2[[#This Row],[Vin]]&gt;Vout, Table2[[#This Row],[Total Sync Bu MOSFET Loss]]*ThetaJA_Q2, ThetaJA_Q3*Table2[[#This Row],[Total Sync Bo MOSFET Loss]])</f>
        <v>19.085265944036703</v>
      </c>
      <c r="BN47" s="9"/>
      <c r="BO47" s="4">
        <f>Table2[[#This Row],[EFF, h]]*100</f>
        <v>93.475482981446021</v>
      </c>
      <c r="BP47" s="354">
        <f>Table2[[#This Row],[Total Inductor Loss]]</f>
        <v>0.71451004141357721</v>
      </c>
      <c r="BQ47" s="354">
        <f>Table2[[#This Row],[Total Control Bu MOSFET Loss]]+Table2[[#This Row],[Total Sync Bu MOSFET Loss]]+Table2[[#This Row],[Total Control Bo MOSFET Loss]]+Table2[[#This Row],[Total Sync Bo MOSFET Loss]]+Table2[[#This Row],[Reverse Recovery Loss MOSFET D BUCK]]+Table2[[#This Row],[Reverse Recovery Loss MOSFET D BOOST]]</f>
        <v>1.9055662392197372</v>
      </c>
      <c r="BR47" s="354">
        <f xml:space="preserve"> Table2[[#This Row],[Total Control Bu MOSFET Loss]]+Table2[[#This Row],[Reverse Recovery Loss MOSFET D BUCK]]*0.66</f>
        <v>1.2558898752621419</v>
      </c>
      <c r="BS47" s="354">
        <f>Table2[[#This Row],[Total Sync Bu MOSFET Loss]]+Table2[[#This Row],[Reverse Recovery Loss MOSFET D BUCK]]*0.33</f>
        <v>0.35357222580434505</v>
      </c>
      <c r="BT47" s="354">
        <f xml:space="preserve"> Table2[[#This Row],[Total Control Bo MOSFET Loss]]+Table2[[#This Row],[Reverse Recovery Loss MOSFET D BOOST]]*0.66</f>
        <v>0.16471901244302523</v>
      </c>
      <c r="BU47" s="354">
        <f xml:space="preserve"> Table2[[#This Row],[Total Sync Bo MOSFET Loss]]+Table2[[#This Row],[Reverse Recovery Loss MOSFET D BOOST]]*0.33</f>
        <v>0.12923455237262524</v>
      </c>
      <c r="BV47" s="354">
        <f>Table2[[#This Row],[Isense Shunt Loss]]</f>
        <v>5.457567252946964E-2</v>
      </c>
      <c r="CA47">
        <v>9.9976269999999996</v>
      </c>
      <c r="CB47">
        <v>6.9470000000000001</v>
      </c>
      <c r="CC47">
        <v>5.1086669999999996</v>
      </c>
      <c r="CD47">
        <v>92.656807634751772</v>
      </c>
      <c r="CE47">
        <v>2812.6290012010018</v>
      </c>
    </row>
    <row r="48" spans="1:83" x14ac:dyDescent="0.2">
      <c r="A48" s="24" t="s">
        <v>726</v>
      </c>
      <c r="B48" s="15" t="s">
        <v>113</v>
      </c>
      <c r="C48" s="24" t="s">
        <v>80</v>
      </c>
      <c r="D48" s="17" t="s">
        <v>109</v>
      </c>
      <c r="G48">
        <v>39</v>
      </c>
      <c r="H48" s="555">
        <f t="shared" si="5"/>
        <v>23.6</v>
      </c>
      <c r="I48" s="4" t="str">
        <f>IF(Mode = 2,IF(Table2[[#This Row],[Vin]]&gt;Vout, "BUCK","BOOST"),IF(Table2[[#This Row],[Vin]]&gt;VIN_BB_to_buck, "BUCK", IF(Table2[[#This Row],[Vin]]&lt;=VIN_boost_to_BB,"BOOST","BUCK-BST")))</f>
        <v>BUCK</v>
      </c>
      <c r="J48">
        <f>IF(Table2[[#This Row],[Mode]]="BOOST",2, IF(Table2[[#This Row],[Mode]]="BUCK", 1,3))</f>
        <v>1</v>
      </c>
      <c r="K48" s="354">
        <f t="shared" si="7"/>
        <v>4.68</v>
      </c>
      <c r="L48" s="4">
        <f>Vout*Table2[[#This Row],[Iout]]/(Table2[[#This Row],[Vin]]*Efficiency)</f>
        <v>3.0476360392506683</v>
      </c>
      <c r="M48" s="711">
        <f>MIN(1/Fsw,CHOOSE(Table2[[#This Row],[Mode Digit]],(Vout+(Rdson2+Rs+Rdcr)*Table2[[#This Row],[Iout]])/(Table2[[#This Row],[Vin]]+(Rs+Rdson2-Rdson1)*Table2[[#This Row],[Iout]])/Fsw,(Vout+(Rdson3+Rdcr)*Table2[[#This Row],[Iin]]-Table2[[#This Row],[Vin]])/(Vout+(Rdson3-Rdson4-Rs)*Table2[[#This Row],[Iin]])/Fsw,t1_Ph_II))</f>
        <v>1.0346918406270338E-6</v>
      </c>
      <c r="N48" s="602">
        <f>CHOOSE(Table2[[#This Row],[Mode Digit]],1/Fsw-Table2[[#This Row],[t1_Ph_II]],1/Fsw-Table2[[#This Row],[t1_Ph_II]],(Vout/Fsw-Table2[[#This Row],[Vin]]*t1_Ph_II)/(Table2[[#This Row],[Vin]]+Vout))</f>
        <v>6.3197482603963288E-7</v>
      </c>
      <c r="O48" s="602">
        <f>1/Fsw-(Table2[[#This Row],[t1_Ph_II]]+Table2[[#This Row],[t2_Ph_I]])</f>
        <v>0</v>
      </c>
      <c r="P4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2.916320726203919</v>
      </c>
      <c r="Q48" s="4">
        <f>CHOOSE(Table2[[#This Row],[Mode Digit]],Table2[[#This Row],[I_0]]+1/Lf*(Table2[[#This Row],[Vin]]-Vout)*Table2[[#This Row],[t1_Ph_II]],Table2[[#This Row],[I_0]]+1/Lf*Table2[[#This Row],[Vin]]*Table2[[#This Row],[t1_Ph_II]],Table2[[#This Row],[I_0]]+(Table2[[#This Row],[Vin]]-Vout)/L*Table2[[#This Row],[t1_Ph_II]])</f>
        <v>6.4436792737960804</v>
      </c>
      <c r="R48" s="4">
        <f>CHOOSE(Table2[[#This Row],[Mode Digit]],0,0,Table2[[#This Row],[I_1]]+Table2[[#This Row],[Vin]]/L*Table2[[#This Row],[t2_Ph_I]])</f>
        <v>0</v>
      </c>
      <c r="S48" s="409">
        <f>Fsw*(Table2[[#This Row],[I_0]]*Table2[[#This Row],[t1_Ph_II]]+Table2[[#This Row],[I_1]]*Table2[[#This Row],[t2_Ph_I]]+Table2[[#This Row],[I_2]]*Table2[[#This Row],[t3_Ph_III]])</f>
        <v>4.2538418089003001</v>
      </c>
      <c r="T48" s="354">
        <f>MIN(1,CHOOSE(Table2[[#This Row],[Mode Digit]],(Vout+(Rdson2+Rs+Rdcr)*Table2[[#This Row],[Iout]])/(Table2[[#This Row],[Vin]]+(Rs+Rdson2-Rdson1)*Table2[[#This Row],[Iout]]),1,Fsw*Table2[[#This Row],[t2_Ph_I]]+Table2[[#This Row],[t1_Ph_II]]))</f>
        <v>0.62081510437622023</v>
      </c>
      <c r="U48" s="354">
        <f>MIN(1,CHOOSE(Table2[[#This Row],[Mode Digit]],0,(Vout+(Rdson3+Rdcr)*Table2[[#This Row],[Iin]]-Table2[[#This Row],[Vin]])/(Vout+(Rdson3-Rdson4-Rs)*Table2[[#This Row],[Iin]]),Fsw*Table2[[#This Row],[t1_Ph_II]]+Table2[[#This Row],[t3_Ph_III]]))</f>
        <v>0</v>
      </c>
      <c r="V48" s="4">
        <f>MAX(Table2[[#This Row],[I_0]:[I_2]])-MIN(Table2[[#This Row],[I_0]:[I_1]])</f>
        <v>3.5273585475921614</v>
      </c>
      <c r="W4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4.7894942175842141</v>
      </c>
      <c r="X48" s="354">
        <f>(Table2[[#This Row],[Irms Lf]]^2*Rdcr*(1+Ltc*Ta-Ltc*25))/(1-Table2[[#This Row],[Irms Lf]]^2*Rdcr*Ltc*ThetaCa)</f>
        <v>0.13447904819983181</v>
      </c>
      <c r="Y48" s="354">
        <f>ABS(7.759*10^-3*Fsw^0.9458*(0.00787*Table2[[#This Row],[Ripple Current pk-pk]])^2.304)</f>
        <v>0.5867199858711567</v>
      </c>
      <c r="Z48" s="354">
        <f>Table2[[#This Row],[DCR    Loss]]+Table2[[#This Row],[Core Loss]]</f>
        <v>0.72119903407098851</v>
      </c>
      <c r="AA48" s="4">
        <f>IF(Table2[[#This Row],[Vin]]&gt;Vout, Table2[[#This Row],[Ripple Current pk-pk]]/SQRT(12), SQRT(Table2[[#This Row],[Duty Cycle BOOST Leg]]/(1-Table2[[#This Row],[Duty Cycle BOOST Leg]]))*SQRT(Table2[[#This Row],[Iout]]^2+(Table2[[#This Row],[Ripple Current pk-pk]]^2)/12))</f>
        <v>1.0182607034903308</v>
      </c>
      <c r="AB48" s="354">
        <f>RCoutEsr*Table2[[#This Row],[Irms Cout]]^2</f>
        <v>5.1842743013631176E-3</v>
      </c>
      <c r="AC48" s="354">
        <f>Table2[[#This Row],[Cout ESR Loss]]</f>
        <v>5.1842743013631176E-3</v>
      </c>
      <c r="AD48" s="4">
        <f>IF(Table2[[#This Row],[Vin]]&gt;Vout, SQRT(Table2[[#This Row],[Duty Cycle BUCK Leg]]*(1-Table2[[#This Row],[Duty Cycle BUCK Leg]]))*SQRT(Table2[[#This Row],[Iout]]^2+(Table2[[#This Row],[Ripple Current pk-pk]]^2)/12), Table2[[#This Row],[Ripple Current pk-pk]]/SQRT(12))</f>
        <v>2.3237869333191825</v>
      </c>
      <c r="AE48" s="354">
        <f>RCinEsr*Table2[[#This Row],[Irms Cin]]^2</f>
        <v>1.0799971422929941E-2</v>
      </c>
      <c r="AF48" s="549">
        <f>Table2[[#This Row],[Cin ESR Loss]]</f>
        <v>1.0799971422929941E-2</v>
      </c>
      <c r="AG48" s="354">
        <f>Table2[[#This Row],[Irms Lf]]</f>
        <v>4.7894942175842141</v>
      </c>
      <c r="AH48" s="354">
        <f>Rdson1*Table2[[#This Row],[Irms BuCtrl]]^2</f>
        <v>9.6344870413145031E-2</v>
      </c>
      <c r="AI48" s="354">
        <f>CHOOSE(Table2[[#This Row],[Mode Digit]], (Table2[[#This Row],[Vin]]*Table2[[#This Row],[Iout]]/2)*(Fsw)*(Tr_buck+Tf_buck), 0, (Table2[[#This Row],[Vin]]*Table2[[#This Row],[Avg IL]]/2)*(Fsw/1)*(Tr_buck+Tf_buck))</f>
        <v>1.0952428961002223</v>
      </c>
      <c r="AJ48">
        <f>IF(Table2[[#This Row],[Vin]]&gt;Vout, IF(Table2[[#This Row],[Iout]]&gt;Table2[[#This Row],[Ripple Current pk-pk]]/2,0,ABS(Table2[[#This Row],[Iout]]-Table2[[#This Row],[Ripple Current pk-pk]]/2)*Vsd_Q1*Deadtime*Fsw),0)</f>
        <v>0</v>
      </c>
      <c r="AK48" s="354">
        <f>(Table2[[#This Row],[Dead Time Loss BuCtrl]]+Table2[[#This Row],[Transition Loss BuCtrl]]+Table2[[#This Row],[RDS(on) Loss BuCtrl]]*(1+RdsonTopTc*Ta-RdsonTopTc*25))/(1-Table2[[#This Row],[RDS(on) Loss BuCtrl]]*RdsonTopTc*ThetaJA_Q1)</f>
        <v>1.2197927524327334</v>
      </c>
      <c r="AL48" s="354">
        <f>Table2[[#This Row],[Irms Lf]]</f>
        <v>4.7894942175842141</v>
      </c>
      <c r="AM48" s="354">
        <f>Rdson2*Table2[[#This Row],[Irms BuSync]]^2</f>
        <v>9.6344870413145031E-2</v>
      </c>
      <c r="AN4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0.22517485714285712</v>
      </c>
      <c r="AO48" s="354">
        <f>(Table2[[#This Row],[Deadtime Loss BuSync]]+Table2[[#This Row],[RDS(on) Loss BuSync]]*(1+RdsonBotTc*Ta-RdsonBotTc*25))/(1-Table2[[#This Row],[RDS(on) Loss BuSync]]*RdsonBotTc*ThetaJA_Q2)</f>
        <v>0.32913012743032288</v>
      </c>
      <c r="AP48" s="354">
        <f>Table2[[#This Row],[Irms Lf]]</f>
        <v>4.7894942175842141</v>
      </c>
      <c r="AQ48" s="354">
        <f>Rdson4*Table2[[#This Row],[Irms BoCtlr]]^2</f>
        <v>9.6344870413145031E-2</v>
      </c>
      <c r="AR48" s="354">
        <f>CHOOSE(Table2[[#This Row],[Mode Digit]], 0, (Vout*Table2[[#This Row],[Iin]]/2)*(Fsw)*(Tr_boost+Tf_boost), (Vout*Iout/2)*(Fsw/1)*(Tr_boost+Tf_boost))</f>
        <v>0</v>
      </c>
      <c r="AS48" s="354">
        <f>IF(Table2[[#This Row],[Vin]]&gt;Vout, 0, IF(Table2[[#This Row],[Iin]]&gt;Table2[[#This Row],[Ripple Current pk-pk]]/2,0,ABS(Table2[[#This Row],[Iin]]-Table2[[#This Row],[Ripple Current pk-pk]]/2)*Vsd_Q4*Deadtime*Fsw))</f>
        <v>0</v>
      </c>
      <c r="AT48" s="354">
        <f>(Table2[[#This Row],[Dead Time Loss BoCtlr]]+Table2[[#This Row],[Transition Loss BoCtlr]]+Table2[[#This Row],[RDS(on) Loss BoCtlr]]*(1+RdsonTopTc*Ta-RdsonTopTc*25))/(1-Table2[[#This Row],[RDS(on) Loss BoCtlr]]*RdsonTopTc*ThetaJA_Q4)</f>
        <v>9.862536186310103E-2</v>
      </c>
      <c r="AU48" s="354">
        <f>Table2[[#This Row],[Irms Lf]]</f>
        <v>4.7894942175842141</v>
      </c>
      <c r="AV48" s="354">
        <f>Rdson3*Table2[[#This Row],[Irms BoSync]]^2</f>
        <v>9.6344870413145031E-2</v>
      </c>
      <c r="AW4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8" s="354">
        <f>(Table2[[#This Row],[Deadtime Loss BoSync]]+Table2[[#This Row],[RDS(on) Loss BoSync]]*(1+RdsonBotTc*Ta-RdsonBotTc*25))/(1-Table2[[#This Row],[RDS(on) Loss BoSync]]*RdsonBotTc*ThetaJA_Q3)</f>
        <v>9.862536186310103E-2</v>
      </c>
      <c r="AY48" s="354">
        <f>CHOOSE(Table2[[#This Row],[Mode Digit]], Rdson3*Table2[[#This Row],[Irms Lf]]^2, Rdson1*Table2[[#This Row],[Irms Lf]]^2, 0)</f>
        <v>9.6344870413145031E-2</v>
      </c>
      <c r="AZ48" s="354">
        <f>CHOOSE(Table2[[#This Row],[Mode Digit]], 2*Deadtime*Fsw*IF(VfdSky_Q2&gt;0,VfdSky_Q2,0)*Table2[[#This Row],[Iout]], 2*Deadtime*Fsw*IF(VfdSky_Q3&gt;0,VfdSky_Q3,0)*Table2[[#This Row],[Iin]], 2*Deadtime*Fsw*IF(VfdSky_Q2&gt;0,VfdSky_Q2,0)*Table2[[#This Row],[Iout]]+2*Deadtime*Fsw*IF(VfdSky_Q3&gt;0,VfdSky_Q3,0)*Table2[[#This Row],[Iin]])</f>
        <v>0</v>
      </c>
      <c r="BA4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0.11035600991999998</v>
      </c>
      <c r="BB4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0.11035600991999998</v>
      </c>
      <c r="BC48" s="354">
        <f>CHOOSE(Table2[[#This Row],[Mode Digit]], Rs*Table2[[#This Row],[Irms BuSync]]^2, Rs*Table2[[#This Row],[Irms BoCtlr]]^2, Rs*(Table2[[#This Row],[Irms BuSync]]^2+Table2[[#This Row],[Irms BoCtlr]]^2))</f>
        <v>5.7348137150681558E-2</v>
      </c>
      <c r="BD48" s="354">
        <f t="shared" si="6"/>
        <v>1.44</v>
      </c>
      <c r="BE48" s="354">
        <f>IF(Vout&gt;8, Iq*Vout, Iq*Table2[[#This Row],[Vin]])</f>
        <v>4.3799999999999999E-2</v>
      </c>
      <c r="BF48" s="354">
        <f>CHOOSE(Table2[[#This Row],[Mode Digit]], (Qg_Q1+Qg_Q2)*Fsw, (Qg_Q3+Qg_Q4)*Fsw, (Qg_Q1+Qg_Q2+Qg_Q3+Qg_Q4)*Fsw)*IF(Vout&gt;8, Vout, Table2[[#This Row],[Vin]])</f>
        <v>0.47303999999999996</v>
      </c>
      <c r="BG48" s="354">
        <f t="shared" si="4"/>
        <v>0.57269042016806726</v>
      </c>
      <c r="BH48" s="354">
        <f>Table2[[#This Row],[IQ Loss]]+Table2[[#This Row],[Switching Current Loss]]</f>
        <v>0.51683999999999997</v>
      </c>
      <c r="BI4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4.7182570403752209</v>
      </c>
      <c r="BJ48">
        <f>Vout*Table2[[#This Row],[Iout]]</f>
        <v>68.327999999999989</v>
      </c>
      <c r="BK48" s="550">
        <f>Table2[[#This Row],[Pout]]/(Table2[[#This Row],[Pout]]+Table2[[#This Row],[Total Loss]])</f>
        <v>0.93540727161739068</v>
      </c>
      <c r="BL48" s="559">
        <f>IF(Table2[[#This Row],[Vin]]&gt;Vout,ThetaJA_Q1*(Table2[[#This Row],[Total Control Bu MOSFET Loss]]+Table2[[#This Row],[Reverse Recovery Loss MOSFET D BUCK]]),ThetaJA_Q4*(Table2[[#This Row],[Total Control Bo MOSFET Loss]]+Table2[[#This Row],[Reverse Recovery Loss MOSFET D BOOST]]))</f>
        <v>79.808925741164003</v>
      </c>
      <c r="BM48" s="559">
        <f>IF(Table2[[#This Row],[Vin]]&gt;Vout, Table2[[#This Row],[Total Sync Bu MOSFET Loss]]*ThetaJA_Q2, ThetaJA_Q3*Table2[[#This Row],[Total Sync Bo MOSFET Loss]])</f>
        <v>19.747807645819371</v>
      </c>
      <c r="BN48" s="9"/>
      <c r="BO48" s="4">
        <f>Table2[[#This Row],[EFF, h]]*100</f>
        <v>93.540727161739071</v>
      </c>
      <c r="BP48" s="354">
        <f>Table2[[#This Row],[Total Inductor Loss]]</f>
        <v>0.72119903407098851</v>
      </c>
      <c r="BQ48" s="354">
        <f>Table2[[#This Row],[Total Control Bu MOSFET Loss]]+Table2[[#This Row],[Total Sync Bu MOSFET Loss]]+Table2[[#This Row],[Total Control Bo MOSFET Loss]]+Table2[[#This Row],[Total Sync Bo MOSFET Loss]]+Table2[[#This Row],[Reverse Recovery Loss MOSFET D BUCK]]+Table2[[#This Row],[Reverse Recovery Loss MOSFET D BOOST]]</f>
        <v>1.9668856234292584</v>
      </c>
      <c r="BR48" s="354">
        <f xml:space="preserve"> Table2[[#This Row],[Total Control Bu MOSFET Loss]]+Table2[[#This Row],[Reverse Recovery Loss MOSFET D BUCK]]*0.66</f>
        <v>1.2926277189799333</v>
      </c>
      <c r="BS48" s="354">
        <f>Table2[[#This Row],[Total Sync Bu MOSFET Loss]]+Table2[[#This Row],[Reverse Recovery Loss MOSFET D BUCK]]*0.33</f>
        <v>0.36554761070392289</v>
      </c>
      <c r="BT48" s="354">
        <f xml:space="preserve"> Table2[[#This Row],[Total Control Bo MOSFET Loss]]+Table2[[#This Row],[Reverse Recovery Loss MOSFET D BOOST]]*0.66</f>
        <v>0.17146032841030101</v>
      </c>
      <c r="BU48" s="354">
        <f xml:space="preserve"> Table2[[#This Row],[Total Sync Bo MOSFET Loss]]+Table2[[#This Row],[Reverse Recovery Loss MOSFET D BOOST]]*0.33</f>
        <v>0.13504284513670103</v>
      </c>
      <c r="BV48" s="354">
        <f>Table2[[#This Row],[Isense Shunt Loss]]</f>
        <v>5.7348137150681558E-2</v>
      </c>
      <c r="CA48">
        <v>9.9975280000000009</v>
      </c>
      <c r="CB48">
        <v>7.7530000000000001</v>
      </c>
      <c r="CC48">
        <v>5.10853</v>
      </c>
      <c r="CD48">
        <v>92.034336419785248</v>
      </c>
      <c r="CE48">
        <v>3427.976173640001</v>
      </c>
    </row>
    <row r="49" spans="1:83" x14ac:dyDescent="0.2">
      <c r="A49" s="23" t="s">
        <v>72</v>
      </c>
      <c r="B49" s="5">
        <f>Rdson2*1000</f>
        <v>4.2</v>
      </c>
      <c r="C49" s="442" t="s">
        <v>638</v>
      </c>
      <c r="D49" s="440" t="s">
        <v>727</v>
      </c>
      <c r="G49">
        <v>40</v>
      </c>
      <c r="H49" s="555">
        <f t="shared" si="5"/>
        <v>23.6</v>
      </c>
      <c r="I49" s="4" t="str">
        <f>IF(Mode = 2,IF(Table2[[#This Row],[Vin]]&gt;Vout, "BUCK","BOOST"),IF(Table2[[#This Row],[Vin]]&gt;VIN_BB_to_buck, "BUCK", IF(Table2[[#This Row],[Vin]]&lt;=VIN_boost_to_BB,"BOOST","BUCK-BST")))</f>
        <v>BUCK</v>
      </c>
      <c r="J49">
        <f>IF(Table2[[#This Row],[Mode]]="BOOST",2, IF(Table2[[#This Row],[Mode]]="BUCK", 1,3))</f>
        <v>1</v>
      </c>
      <c r="K49" s="354">
        <f t="shared" si="7"/>
        <v>4.8</v>
      </c>
      <c r="L49" s="4">
        <f>Vout*Table2[[#This Row],[Iout]]/(Table2[[#This Row],[Vin]]*Efficiency)</f>
        <v>3.1257805530776088</v>
      </c>
      <c r="M49" s="711">
        <f>MIN(1/Fsw,CHOOSE(Table2[[#This Row],[Mode Digit]],(Vout+(Rdson2+Rs+Rdcr)*Table2[[#This Row],[Iout]])/(Table2[[#This Row],[Vin]]+(Rs+Rdson2-Rdson1)*Table2[[#This Row],[Iout]])/Fsw,(Vout+(Rdson3+Rdcr)*Table2[[#This Row],[Iin]]-Table2[[#This Row],[Vin]])/(Vout+(Rdson3-Rdson4-Rs)*Table2[[#This Row],[Iin]])/Fsw,t1_Ph_II))</f>
        <v>1.0347845728160823E-6</v>
      </c>
      <c r="N49" s="602">
        <f>CHOOSE(Table2[[#This Row],[Mode Digit]],1/Fsw-Table2[[#This Row],[t1_Ph_II]],1/Fsw-Table2[[#This Row],[t1_Ph_II]],(Vout/Fsw-Table2[[#This Row],[Vin]]*t1_Ph_II)/(Table2[[#This Row],[Vin]]+Vout))</f>
        <v>6.3188209385058433E-7</v>
      </c>
      <c r="O49" s="602">
        <f>1/Fsw-(Table2[[#This Row],[t1_Ph_II]]+Table2[[#This Row],[t2_Ph_I]])</f>
        <v>0</v>
      </c>
      <c r="P4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3.0361626599725864</v>
      </c>
      <c r="Q49" s="4">
        <f>CHOOSE(Table2[[#This Row],[Mode Digit]],Table2[[#This Row],[I_0]]+1/Lf*(Table2[[#This Row],[Vin]]-Vout)*Table2[[#This Row],[t1_Ph_II]],Table2[[#This Row],[I_0]]+1/Lf*Table2[[#This Row],[Vin]]*Table2[[#This Row],[t1_Ph_II]],Table2[[#This Row],[I_0]]+(Table2[[#This Row],[Vin]]-Vout)/L*Table2[[#This Row],[t1_Ph_II]])</f>
        <v>6.5638373400274137</v>
      </c>
      <c r="R49" s="4">
        <f>CHOOSE(Table2[[#This Row],[Mode Digit]],0,0,Table2[[#This Row],[I_1]]+Table2[[#This Row],[Vin]]/L*Table2[[#This Row],[t2_Ph_I]])</f>
        <v>0</v>
      </c>
      <c r="S49" s="409">
        <f>Fsw*(Table2[[#This Row],[I_0]]*Table2[[#This Row],[t1_Ph_II]]+Table2[[#This Row],[I_1]]*Table2[[#This Row],[t2_Ph_I]]+Table2[[#This Row],[I_2]]*Table2[[#This Row],[t3_Ph_III]])</f>
        <v>4.3736073379266269</v>
      </c>
      <c r="T49" s="354">
        <f>MIN(1,CHOOSE(Table2[[#This Row],[Mode Digit]],(Vout+(Rdson2+Rs+Rdcr)*Table2[[#This Row],[Iout]])/(Table2[[#This Row],[Vin]]+(Rs+Rdson2-Rdson1)*Table2[[#This Row],[Iout]]),1,Fsw*Table2[[#This Row],[t2_Ph_I]]+Table2[[#This Row],[t1_Ph_II]]))</f>
        <v>0.62087074368964934</v>
      </c>
      <c r="U49" s="354">
        <f>MIN(1,CHOOSE(Table2[[#This Row],[Mode Digit]],0,(Vout+(Rdson3+Rdcr)*Table2[[#This Row],[Iin]]-Table2[[#This Row],[Vin]])/(Vout+(Rdson3-Rdson4-Rs)*Table2[[#This Row],[Iin]]),Fsw*Table2[[#This Row],[t1_Ph_II]]+Table2[[#This Row],[t3_Ph_III]]))</f>
        <v>0</v>
      </c>
      <c r="V49" s="4">
        <f>MAX(Table2[[#This Row],[I_0]:[I_2]])-MIN(Table2[[#This Row],[I_0]:[I_1]])</f>
        <v>3.5276746800548273</v>
      </c>
      <c r="W4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4.9068361212385794</v>
      </c>
      <c r="X49" s="354">
        <f>(Table2[[#This Row],[Irms Lf]]^2*Rdcr*(1+Ltc*Ta-Ltc*25))/(1-Table2[[#This Row],[Irms Lf]]^2*Rdcr*Ltc*ThetaCa)</f>
        <v>0.14122456123338387</v>
      </c>
      <c r="Y49" s="354">
        <f>ABS(7.759*10^-3*Fsw^0.9458*(0.00787*Table2[[#This Row],[Ripple Current pk-pk]])^2.304)</f>
        <v>0.58684114558016964</v>
      </c>
      <c r="Z49" s="354">
        <f>Table2[[#This Row],[DCR    Loss]]+Table2[[#This Row],[Core Loss]]</f>
        <v>0.72806570681355354</v>
      </c>
      <c r="AA49" s="4">
        <f>IF(Table2[[#This Row],[Vin]]&gt;Vout, Table2[[#This Row],[Ripple Current pk-pk]]/SQRT(12), SQRT(Table2[[#This Row],[Duty Cycle BOOST Leg]]/(1-Table2[[#This Row],[Duty Cycle BOOST Leg]]))*SQRT(Table2[[#This Row],[Iout]]^2+(Table2[[#This Row],[Ripple Current pk-pk]]^2)/12))</f>
        <v>1.0183519630715407</v>
      </c>
      <c r="AB49" s="354">
        <f>RCoutEsr*Table2[[#This Row],[Irms Cout]]^2</f>
        <v>5.1852036034583035E-3</v>
      </c>
      <c r="AC49" s="354">
        <f>Table2[[#This Row],[Cout ESR Loss]]</f>
        <v>5.1852036034583035E-3</v>
      </c>
      <c r="AD49" s="4">
        <f>IF(Table2[[#This Row],[Vin]]&gt;Vout, SQRT(Table2[[#This Row],[Duty Cycle BUCK Leg]]*(1-Table2[[#This Row],[Duty Cycle BUCK Leg]]))*SQRT(Table2[[#This Row],[Iout]]^2+(Table2[[#This Row],[Ripple Current pk-pk]]^2)/12), Table2[[#This Row],[Ripple Current pk-pk]]/SQRT(12))</f>
        <v>2.3806513720424989</v>
      </c>
      <c r="AE49" s="354">
        <f>RCinEsr*Table2[[#This Row],[Irms Cin]]^2</f>
        <v>1.1335001910415666E-2</v>
      </c>
      <c r="AF49" s="549">
        <f>Table2[[#This Row],[Cin ESR Loss]]</f>
        <v>1.1335001910415666E-2</v>
      </c>
      <c r="AG49" s="354">
        <f>Table2[[#This Row],[Irms Lf]]</f>
        <v>4.9068361212385794</v>
      </c>
      <c r="AH49" s="354">
        <f>Rdson1*Table2[[#This Row],[Irms BuCtrl]]^2</f>
        <v>0.10112357102690502</v>
      </c>
      <c r="AI49" s="354">
        <f>CHOOSE(Table2[[#This Row],[Mode Digit]], (Table2[[#This Row],[Vin]]*Table2[[#This Row],[Iout]]/2)*(Fsw)*(Tr_buck+Tf_buck), 0, (Table2[[#This Row],[Vin]]*Table2[[#This Row],[Avg IL]]/2)*(Fsw/1)*(Tr_buck+Tf_buck))</f>
        <v>1.1233260472822795</v>
      </c>
      <c r="AJ49">
        <f>IF(Table2[[#This Row],[Vin]]&gt;Vout, IF(Table2[[#This Row],[Iout]]&gt;Table2[[#This Row],[Ripple Current pk-pk]]/2,0,ABS(Table2[[#This Row],[Iout]]-Table2[[#This Row],[Ripple Current pk-pk]]/2)*Vsd_Q1*Deadtime*Fsw),0)</f>
        <v>0</v>
      </c>
      <c r="AK49" s="354">
        <f>(Table2[[#This Row],[Dead Time Loss BuCtrl]]+Table2[[#This Row],[Transition Loss BuCtrl]]+Table2[[#This Row],[RDS(on) Loss BuCtrl]]*(1+RdsonTopTc*Ta-RdsonTopTc*25))/(1-Table2[[#This Row],[RDS(on) Loss BuCtrl]]*RdsonTopTc*ThetaJA_Q1)</f>
        <v>1.2549057504994328</v>
      </c>
      <c r="AL49" s="354">
        <f>Table2[[#This Row],[Irms Lf]]</f>
        <v>4.9068361212385794</v>
      </c>
      <c r="AM49" s="354">
        <f>Rdson2*Table2[[#This Row],[Irms BuSync]]^2</f>
        <v>0.10112357102690502</v>
      </c>
      <c r="AN4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0.23094857142857142</v>
      </c>
      <c r="AO49" s="354">
        <f>(Table2[[#This Row],[Deadtime Loss BuSync]]+Table2[[#This Row],[RDS(on) Loss BuSync]]*(1+RdsonBotTc*Ta-RdsonBotTc*25))/(1-Table2[[#This Row],[RDS(on) Loss BuSync]]*RdsonBotTc*ThetaJA_Q2)</f>
        <v>0.34033188047661989</v>
      </c>
      <c r="AP49" s="354">
        <f>Table2[[#This Row],[Irms Lf]]</f>
        <v>4.9068361212385794</v>
      </c>
      <c r="AQ49" s="354">
        <f>Rdson4*Table2[[#This Row],[Irms BoCtlr]]^2</f>
        <v>0.10112357102690502</v>
      </c>
      <c r="AR49" s="354">
        <f>CHOOSE(Table2[[#This Row],[Mode Digit]], 0, (Vout*Table2[[#This Row],[Iin]]/2)*(Fsw)*(Tr_boost+Tf_boost), (Vout*Iout/2)*(Fsw/1)*(Tr_boost+Tf_boost))</f>
        <v>0</v>
      </c>
      <c r="AS49" s="354">
        <f>IF(Table2[[#This Row],[Vin]]&gt;Vout, 0, IF(Table2[[#This Row],[Iin]]&gt;Table2[[#This Row],[Ripple Current pk-pk]]/2,0,ABS(Table2[[#This Row],[Iin]]-Table2[[#This Row],[Ripple Current pk-pk]]/2)*Vsd_Q4*Deadtime*Fsw))</f>
        <v>0</v>
      </c>
      <c r="AT49" s="354">
        <f>(Table2[[#This Row],[Dead Time Loss BoCtlr]]+Table2[[#This Row],[Transition Loss BoCtlr]]+Table2[[#This Row],[RDS(on) Loss BoCtlr]]*(1+RdsonTopTc*Ta-RdsonTopTc*25))/(1-Table2[[#This Row],[RDS(on) Loss BoCtlr]]*RdsonTopTc*ThetaJA_Q4)</f>
        <v>0.10363885038237433</v>
      </c>
      <c r="AU49" s="354">
        <f>Table2[[#This Row],[Irms Lf]]</f>
        <v>4.9068361212385794</v>
      </c>
      <c r="AV49" s="354">
        <f>Rdson3*Table2[[#This Row],[Irms BoSync]]^2</f>
        <v>0.10112357102690502</v>
      </c>
      <c r="AW4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49" s="354">
        <f>(Table2[[#This Row],[Deadtime Loss BoSync]]+Table2[[#This Row],[RDS(on) Loss BoSync]]*(1+RdsonBotTc*Ta-RdsonBotTc*25))/(1-Table2[[#This Row],[RDS(on) Loss BoSync]]*RdsonBotTc*ThetaJA_Q3)</f>
        <v>0.10363885038237433</v>
      </c>
      <c r="AY49" s="354">
        <f>CHOOSE(Table2[[#This Row],[Mode Digit]], Rdson3*Table2[[#This Row],[Irms Lf]]^2, Rdson1*Table2[[#This Row],[Irms Lf]]^2, 0)</f>
        <v>0.10112357102690502</v>
      </c>
      <c r="AZ49" s="354">
        <f>CHOOSE(Table2[[#This Row],[Mode Digit]], 2*Deadtime*Fsw*IF(VfdSky_Q2&gt;0,VfdSky_Q2,0)*Table2[[#This Row],[Iout]], 2*Deadtime*Fsw*IF(VfdSky_Q3&gt;0,VfdSky_Q3,0)*Table2[[#This Row],[Iin]], 2*Deadtime*Fsw*IF(VfdSky_Q2&gt;0,VfdSky_Q2,0)*Table2[[#This Row],[Iout]]+2*Deadtime*Fsw*IF(VfdSky_Q3&gt;0,VfdSky_Q3,0)*Table2[[#This Row],[Iin]])</f>
        <v>0</v>
      </c>
      <c r="BA4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0.11318323200000001</v>
      </c>
      <c r="BB4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0.11318323200000001</v>
      </c>
      <c r="BC49" s="354">
        <f>CHOOSE(Table2[[#This Row],[Mode Digit]], Rs*Table2[[#This Row],[Irms BuSync]]^2, Rs*Table2[[#This Row],[Irms BoCtlr]]^2, Rs*(Table2[[#This Row],[Irms BuSync]]^2+Table2[[#This Row],[Irms BoCtlr]]^2))</f>
        <v>6.0192601801729168E-2</v>
      </c>
      <c r="BD49" s="354">
        <f t="shared" si="6"/>
        <v>1.44</v>
      </c>
      <c r="BE49" s="354">
        <f>IF(Vout&gt;8, Iq*Vout, Iq*Table2[[#This Row],[Vin]])</f>
        <v>4.3799999999999999E-2</v>
      </c>
      <c r="BF49" s="354">
        <f>CHOOSE(Table2[[#This Row],[Mode Digit]], (Qg_Q1+Qg_Q2)*Fsw, (Qg_Q3+Qg_Q4)*Fsw, (Qg_Q1+Qg_Q2+Qg_Q3+Qg_Q4)*Fsw)*IF(Vout&gt;8, Vout, Table2[[#This Row],[Vin]])</f>
        <v>0.47303999999999996</v>
      </c>
      <c r="BG49" s="354">
        <f t="shared" si="4"/>
        <v>0.57269042016806726</v>
      </c>
      <c r="BH49" s="354">
        <f>Table2[[#This Row],[IQ Loss]]+Table2[[#This Row],[Switching Current Loss]]</f>
        <v>0.51683999999999997</v>
      </c>
      <c r="BI4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4.7905003098699588</v>
      </c>
      <c r="BJ49">
        <f>Vout*Table2[[#This Row],[Iout]]</f>
        <v>70.08</v>
      </c>
      <c r="BK49" s="550">
        <f>Table2[[#This Row],[Pout]]/(Table2[[#This Row],[Pout]]+Table2[[#This Row],[Total Loss]])</f>
        <v>0.93601618407726284</v>
      </c>
      <c r="BL49" s="559">
        <f>IF(Table2[[#This Row],[Vin]]&gt;Vout,ThetaJA_Q1*(Table2[[#This Row],[Total Control Bu MOSFET Loss]]+Table2[[#This Row],[Reverse Recovery Loss MOSFET D BUCK]]),ThetaJA_Q4*(Table2[[#This Row],[Total Control Bo MOSFET Loss]]+Table2[[#This Row],[Reverse Recovery Loss MOSFET D BOOST]]))</f>
        <v>82.085338949965958</v>
      </c>
      <c r="BM49" s="559">
        <f>IF(Table2[[#This Row],[Vin]]&gt;Vout, Table2[[#This Row],[Total Sync Bu MOSFET Loss]]*ThetaJA_Q2, ThetaJA_Q3*Table2[[#This Row],[Total Sync Bo MOSFET Loss]])</f>
        <v>20.419912828597194</v>
      </c>
      <c r="BN49" s="9"/>
      <c r="BO49" s="4">
        <f>Table2[[#This Row],[EFF, h]]*100</f>
        <v>93.601618407726278</v>
      </c>
      <c r="BP49" s="354">
        <f>Table2[[#This Row],[Total Inductor Loss]]</f>
        <v>0.72806570681355354</v>
      </c>
      <c r="BQ49" s="354">
        <f>Table2[[#This Row],[Total Control Bu MOSFET Loss]]+Table2[[#This Row],[Total Sync Bu MOSFET Loss]]+Table2[[#This Row],[Total Control Bo MOSFET Loss]]+Table2[[#This Row],[Total Sync Bo MOSFET Loss]]+Table2[[#This Row],[Reverse Recovery Loss MOSFET D BUCK]]+Table2[[#This Row],[Reverse Recovery Loss MOSFET D BOOST]]</f>
        <v>2.0288817957408014</v>
      </c>
      <c r="BR49" s="354">
        <f xml:space="preserve"> Table2[[#This Row],[Total Control Bu MOSFET Loss]]+Table2[[#This Row],[Reverse Recovery Loss MOSFET D BUCK]]*0.66</f>
        <v>1.3296066836194327</v>
      </c>
      <c r="BS49" s="354">
        <f>Table2[[#This Row],[Total Sync Bu MOSFET Loss]]+Table2[[#This Row],[Reverse Recovery Loss MOSFET D BUCK]]*0.33</f>
        <v>0.3776823470366199</v>
      </c>
      <c r="BT49" s="354">
        <f xml:space="preserve"> Table2[[#This Row],[Total Control Bo MOSFET Loss]]+Table2[[#This Row],[Reverse Recovery Loss MOSFET D BOOST]]*0.66</f>
        <v>0.17833978350237434</v>
      </c>
      <c r="BU49" s="354">
        <f xml:space="preserve"> Table2[[#This Row],[Total Sync Bo MOSFET Loss]]+Table2[[#This Row],[Reverse Recovery Loss MOSFET D BOOST]]*0.33</f>
        <v>0.14098931694237432</v>
      </c>
      <c r="BV49" s="354">
        <f>Table2[[#This Row],[Isense Shunt Loss]]</f>
        <v>6.0192601801729168E-2</v>
      </c>
      <c r="CA49">
        <v>9.9970090000000003</v>
      </c>
      <c r="CB49">
        <v>8.6120000000000001</v>
      </c>
      <c r="CC49">
        <v>5.1085419999999999</v>
      </c>
      <c r="CD49">
        <v>91.346378256658895</v>
      </c>
      <c r="CE49">
        <v>4167.8065612820019</v>
      </c>
    </row>
    <row r="50" spans="1:83" x14ac:dyDescent="0.2">
      <c r="A50" s="23" t="s">
        <v>84</v>
      </c>
      <c r="B50" s="5">
        <f>RdsonBotTc*1000000</f>
        <v>4000</v>
      </c>
      <c r="C50" s="440" t="s">
        <v>85</v>
      </c>
      <c r="D50" s="21" t="s">
        <v>106</v>
      </c>
      <c r="G50">
        <v>41</v>
      </c>
      <c r="H50" s="555">
        <f t="shared" si="5"/>
        <v>23.6</v>
      </c>
      <c r="I50" s="4" t="str">
        <f>IF(Mode = 2,IF(Table2[[#This Row],[Vin]]&gt;Vout, "BUCK","BOOST"),IF(Table2[[#This Row],[Vin]]&gt;VIN_BB_to_buck, "BUCK", IF(Table2[[#This Row],[Vin]]&lt;=VIN_boost_to_BB,"BOOST","BUCK-BST")))</f>
        <v>BUCK</v>
      </c>
      <c r="J50">
        <f>IF(Table2[[#This Row],[Mode]]="BOOST",2, IF(Table2[[#This Row],[Mode]]="BUCK", 1,3))</f>
        <v>1</v>
      </c>
      <c r="K50" s="354">
        <f t="shared" si="7"/>
        <v>4.92</v>
      </c>
      <c r="L50" s="4">
        <f>Vout*Table2[[#This Row],[Iout]]/(Table2[[#This Row],[Vin]]*Efficiency)</f>
        <v>3.2039250669045489</v>
      </c>
      <c r="M50" s="711">
        <f>MIN(1/Fsw,CHOOSE(Table2[[#This Row],[Mode Digit]],(Vout+(Rdson2+Rs+Rdcr)*Table2[[#This Row],[Iout]])/(Table2[[#This Row],[Vin]]+(Rs+Rdson2-Rdson1)*Table2[[#This Row],[Iout]])/Fsw,(Vout+(Rdson3+Rdcr)*Table2[[#This Row],[Iin]]-Table2[[#This Row],[Vin]])/(Vout+(Rdson3-Rdson4-Rs)*Table2[[#This Row],[Iin]])/Fsw,t1_Ph_II))</f>
        <v>1.0348773026487606E-6</v>
      </c>
      <c r="N50" s="602">
        <f>CHOOSE(Table2[[#This Row],[Mode Digit]],1/Fsw-Table2[[#This Row],[t1_Ph_II]],1/Fsw-Table2[[#This Row],[t1_Ph_II]],(Vout/Fsw-Table2[[#This Row],[Vin]]*t1_Ph_II)/(Table2[[#This Row],[Vin]]+Vout))</f>
        <v>6.3178936401790606E-7</v>
      </c>
      <c r="O50" s="602">
        <f>1/Fsw-(Table2[[#This Row],[t1_Ph_II]]+Table2[[#This Row],[t2_Ph_I]])</f>
        <v>0</v>
      </c>
      <c r="P5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3.1560045977577937</v>
      </c>
      <c r="Q50" s="4">
        <f>CHOOSE(Table2[[#This Row],[Mode Digit]],Table2[[#This Row],[I_0]]+1/Lf*(Table2[[#This Row],[Vin]]-Vout)*Table2[[#This Row],[t1_Ph_II]],Table2[[#This Row],[I_0]]+1/Lf*Table2[[#This Row],[Vin]]*Table2[[#This Row],[t1_Ph_II]],Table2[[#This Row],[I_0]]+(Table2[[#This Row],[Vin]]-Vout)/L*Table2[[#This Row],[t1_Ph_II]])</f>
        <v>6.6839954022422052</v>
      </c>
      <c r="R50" s="4">
        <f>CHOOSE(Table2[[#This Row],[Mode Digit]],0,0,Table2[[#This Row],[I_1]]+Table2[[#This Row],[Vin]]/L*Table2[[#This Row],[t2_Ph_I]])</f>
        <v>0</v>
      </c>
      <c r="S50" s="409">
        <f>Fsw*(Table2[[#This Row],[I_0]]*Table2[[#This Row],[t1_Ph_II]]+Table2[[#This Row],[I_1]]*Table2[[#This Row],[t2_Ph_I]]+Table2[[#This Row],[I_2]]*Table2[[#This Row],[t3_Ph_III]])</f>
        <v>4.4933728377335296</v>
      </c>
      <c r="T50" s="354">
        <f>MIN(1,CHOOSE(Table2[[#This Row],[Mode Digit]],(Vout+(Rdson2+Rs+Rdcr)*Table2[[#This Row],[Iout]])/(Table2[[#This Row],[Vin]]+(Rs+Rdson2-Rdson1)*Table2[[#This Row],[Iout]]),1,Fsw*Table2[[#This Row],[t2_Ph_I]]+Table2[[#This Row],[t1_Ph_II]]))</f>
        <v>0.62092638158925639</v>
      </c>
      <c r="U50" s="354">
        <f>MIN(1,CHOOSE(Table2[[#This Row],[Mode Digit]],0,(Vout+(Rdson3+Rdcr)*Table2[[#This Row],[Iin]]-Table2[[#This Row],[Vin]])/(Vout+(Rdson3-Rdson4-Rs)*Table2[[#This Row],[Iin]]),Fsw*Table2[[#This Row],[t1_Ph_II]]+Table2[[#This Row],[t3_Ph_III]]))</f>
        <v>0</v>
      </c>
      <c r="V50" s="4">
        <f>MAX(Table2[[#This Row],[I_0]:[I_2]])-MIN(Table2[[#This Row],[I_0]:[I_1]])</f>
        <v>3.5279908044844115</v>
      </c>
      <c r="W5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5.0243035928418847</v>
      </c>
      <c r="X50" s="354">
        <f>(Table2[[#This Row],[Irms Lf]]^2*Rdcr*(1+Ltc*Ta-Ltc*25))/(1-Table2[[#This Row],[Irms Lf]]^2*Rdcr*Ltc*ThetaCa)</f>
        <v>0.14814830162836326</v>
      </c>
      <c r="Y50" s="354">
        <f>ABS(7.759*10^-3*Fsw^0.9458*(0.00787*Table2[[#This Row],[Ripple Current pk-pk]])^2.304)</f>
        <v>0.58696231636921337</v>
      </c>
      <c r="Z50" s="354">
        <f>Table2[[#This Row],[DCR    Loss]]+Table2[[#This Row],[Core Loss]]</f>
        <v>0.7351106179975766</v>
      </c>
      <c r="AA50" s="4">
        <f>IF(Table2[[#This Row],[Vin]]&gt;Vout, Table2[[#This Row],[Ripple Current pk-pk]]/SQRT(12), SQRT(Table2[[#This Row],[Duty Cycle BOOST Leg]]/(1-Table2[[#This Row],[Duty Cycle BOOST Leg]]))*SQRT(Table2[[#This Row],[Iout]]^2+(Table2[[#This Row],[Ripple Current pk-pk]]^2)/12))</f>
        <v>1.0184432203337996</v>
      </c>
      <c r="AB50" s="354">
        <f>RCoutEsr*Table2[[#This Row],[Irms Cout]]^2</f>
        <v>5.1861329652194022E-3</v>
      </c>
      <c r="AC50" s="354">
        <f>Table2[[#This Row],[Cout ESR Loss]]</f>
        <v>5.1861329652194022E-3</v>
      </c>
      <c r="AD50" s="4">
        <f>IF(Table2[[#This Row],[Vin]]&gt;Vout, SQRT(Table2[[#This Row],[Duty Cycle BUCK Leg]]*(1-Table2[[#This Row],[Duty Cycle BUCK Leg]]))*SQRT(Table2[[#This Row],[Iout]]^2+(Table2[[#This Row],[Ripple Current pk-pk]]^2)/12), Table2[[#This Row],[Ripple Current pk-pk]]/SQRT(12))</f>
        <v>2.4375734463298753</v>
      </c>
      <c r="AE50" s="354">
        <f>RCinEsr*Table2[[#This Row],[Irms Cin]]^2</f>
        <v>1.1883528612505011E-2</v>
      </c>
      <c r="AF50" s="549">
        <f>Table2[[#This Row],[Cin ESR Loss]]</f>
        <v>1.1883528612505011E-2</v>
      </c>
      <c r="AG50" s="354">
        <f>Table2[[#This Row],[Irms Lf]]</f>
        <v>5.0243035928418847</v>
      </c>
      <c r="AH50" s="354">
        <f>Rdson1*Table2[[#This Row],[Irms BuCtrl]]^2</f>
        <v>0.10602323169078427</v>
      </c>
      <c r="AI50" s="354">
        <f>CHOOSE(Table2[[#This Row],[Mode Digit]], (Table2[[#This Row],[Vin]]*Table2[[#This Row],[Iout]]/2)*(Fsw)*(Tr_buck+Tf_buck), 0, (Table2[[#This Row],[Vin]]*Table2[[#This Row],[Avg IL]]/2)*(Fsw/1)*(Tr_buck+Tf_buck))</f>
        <v>1.1514091984643364</v>
      </c>
      <c r="AJ50">
        <f>IF(Table2[[#This Row],[Vin]]&gt;Vout, IF(Table2[[#This Row],[Iout]]&gt;Table2[[#This Row],[Ripple Current pk-pk]]/2,0,ABS(Table2[[#This Row],[Iout]]-Table2[[#This Row],[Ripple Current pk-pk]]/2)*Vsd_Q1*Deadtime*Fsw),0)</f>
        <v>0</v>
      </c>
      <c r="AK50" s="354">
        <f>(Table2[[#This Row],[Dead Time Loss BuCtrl]]+Table2[[#This Row],[Transition Loss BuCtrl]]+Table2[[#This Row],[RDS(on) Loss BuCtrl]]*(1+RdsonTopTc*Ta-RdsonTopTc*25))/(1-Table2[[#This Row],[RDS(on) Loss BuCtrl]]*RdsonTopTc*ThetaJA_Q1)</f>
        <v>1.2902639387602672</v>
      </c>
      <c r="AL50" s="354">
        <f>Table2[[#This Row],[Irms Lf]]</f>
        <v>5.0243035928418847</v>
      </c>
      <c r="AM50" s="354">
        <f>Rdson2*Table2[[#This Row],[Irms BuSync]]^2</f>
        <v>0.10602323169078427</v>
      </c>
      <c r="AN5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0.23672228571428572</v>
      </c>
      <c r="AO50" s="354">
        <f>(Table2[[#This Row],[Deadtime Loss BuSync]]+Table2[[#This Row],[RDS(on) Loss BuSync]]*(1+RdsonBotTc*Ta-RdsonBotTc*25))/(1-Table2[[#This Row],[RDS(on) Loss BuSync]]*RdsonBotTc*ThetaJA_Q2)</f>
        <v>0.35169458865072867</v>
      </c>
      <c r="AP50" s="354">
        <f>Table2[[#This Row],[Irms Lf]]</f>
        <v>5.0243035928418847</v>
      </c>
      <c r="AQ50" s="354">
        <f>Rdson4*Table2[[#This Row],[Irms BoCtlr]]^2</f>
        <v>0.10602323169078427</v>
      </c>
      <c r="AR50" s="354">
        <f>CHOOSE(Table2[[#This Row],[Mode Digit]], 0, (Vout*Table2[[#This Row],[Iin]]/2)*(Fsw)*(Tr_boost+Tf_boost), (Vout*Iout/2)*(Fsw/1)*(Tr_boost+Tf_boost))</f>
        <v>0</v>
      </c>
      <c r="AS50" s="354">
        <f>IF(Table2[[#This Row],[Vin]]&gt;Vout, 0, IF(Table2[[#This Row],[Iin]]&gt;Table2[[#This Row],[Ripple Current pk-pk]]/2,0,ABS(Table2[[#This Row],[Iin]]-Table2[[#This Row],[Ripple Current pk-pk]]/2)*Vsd_Q4*Deadtime*Fsw))</f>
        <v>0</v>
      </c>
      <c r="AT50" s="354">
        <f>(Table2[[#This Row],[Dead Time Loss BoCtlr]]+Table2[[#This Row],[Transition Loss BoCtlr]]+Table2[[#This Row],[RDS(on) Loss BoCtlr]]*(1+RdsonTopTc*Ta-RdsonTopTc*25))/(1-Table2[[#This Row],[RDS(on) Loss BoCtlr]]*RdsonTopTc*ThetaJA_Q4)</f>
        <v>0.10879149387340668</v>
      </c>
      <c r="AU50" s="354">
        <f>Table2[[#This Row],[Irms Lf]]</f>
        <v>5.0243035928418847</v>
      </c>
      <c r="AV50" s="354">
        <f>Rdson3*Table2[[#This Row],[Irms BoSync]]^2</f>
        <v>0.10602323169078427</v>
      </c>
      <c r="AW5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0" s="354">
        <f>(Table2[[#This Row],[Deadtime Loss BoSync]]+Table2[[#This Row],[RDS(on) Loss BoSync]]*(1+RdsonBotTc*Ta-RdsonBotTc*25))/(1-Table2[[#This Row],[RDS(on) Loss BoSync]]*RdsonBotTc*ThetaJA_Q3)</f>
        <v>0.10879149387340668</v>
      </c>
      <c r="AY50" s="354">
        <f>CHOOSE(Table2[[#This Row],[Mode Digit]], Rdson3*Table2[[#This Row],[Irms Lf]]^2, Rdson1*Table2[[#This Row],[Irms Lf]]^2, 0)</f>
        <v>0.10602323169078427</v>
      </c>
      <c r="AZ50" s="354">
        <f>CHOOSE(Table2[[#This Row],[Mode Digit]], 2*Deadtime*Fsw*IF(VfdSky_Q2&gt;0,VfdSky_Q2,0)*Table2[[#This Row],[Iout]], 2*Deadtime*Fsw*IF(VfdSky_Q3&gt;0,VfdSky_Q3,0)*Table2[[#This Row],[Iin]], 2*Deadtime*Fsw*IF(VfdSky_Q2&gt;0,VfdSky_Q2,0)*Table2[[#This Row],[Iout]]+2*Deadtime*Fsw*IF(VfdSky_Q3&gt;0,VfdSky_Q3,0)*Table2[[#This Row],[Iin]])</f>
        <v>0</v>
      </c>
      <c r="BA5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0.11601033311999999</v>
      </c>
      <c r="BB5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0.11601033311999999</v>
      </c>
      <c r="BC50" s="354">
        <f>CHOOSE(Table2[[#This Row],[Mode Digit]], Rs*Table2[[#This Row],[Irms BuSync]]^2, Rs*Table2[[#This Row],[Irms BoCtlr]]^2, Rs*(Table2[[#This Row],[Irms BuSync]]^2+Table2[[#This Row],[Irms BoCtlr]]^2))</f>
        <v>6.310906648260968E-2</v>
      </c>
      <c r="BD50" s="354">
        <f t="shared" si="6"/>
        <v>1.44</v>
      </c>
      <c r="BE50" s="354">
        <f>IF(Vout&gt;8, Iq*Vout, Iq*Table2[[#This Row],[Vin]])</f>
        <v>4.3799999999999999E-2</v>
      </c>
      <c r="BF50" s="354">
        <f>CHOOSE(Table2[[#This Row],[Mode Digit]], (Qg_Q1+Qg_Q2)*Fsw, (Qg_Q3+Qg_Q4)*Fsw, (Qg_Q1+Qg_Q2+Qg_Q3+Qg_Q4)*Fsw)*IF(Vout&gt;8, Vout, Table2[[#This Row],[Vin]])</f>
        <v>0.47303999999999996</v>
      </c>
      <c r="BG50" s="354">
        <f t="shared" si="4"/>
        <v>0.57269042016806726</v>
      </c>
      <c r="BH50" s="354">
        <f>Table2[[#This Row],[IQ Loss]]+Table2[[#This Row],[Switching Current Loss]]</f>
        <v>0.51683999999999997</v>
      </c>
      <c r="BI5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4.8636915274557193</v>
      </c>
      <c r="BJ50">
        <f>Vout*Table2[[#This Row],[Iout]]</f>
        <v>71.831999999999994</v>
      </c>
      <c r="BK50" s="550">
        <f>Table2[[#This Row],[Pout]]/(Table2[[#This Row],[Pout]]+Table2[[#This Row],[Total Loss]])</f>
        <v>0.93658455343981617</v>
      </c>
      <c r="BL50" s="559">
        <f>IF(Table2[[#This Row],[Vin]]&gt;Vout,ThetaJA_Q1*(Table2[[#This Row],[Total Control Bu MOSFET Loss]]+Table2[[#This Row],[Reverse Recovery Loss MOSFET D BUCK]]),ThetaJA_Q4*(Table2[[#This Row],[Total Control Bo MOSFET Loss]]+Table2[[#This Row],[Reverse Recovery Loss MOSFET D BOOST]]))</f>
        <v>84.376456312816032</v>
      </c>
      <c r="BM50" s="559">
        <f>IF(Table2[[#This Row],[Vin]]&gt;Vout, Table2[[#This Row],[Total Sync Bu MOSFET Loss]]*ThetaJA_Q2, ThetaJA_Q3*Table2[[#This Row],[Total Sync Bo MOSFET Loss]])</f>
        <v>21.101675319043721</v>
      </c>
      <c r="BN50" s="9"/>
      <c r="BO50" s="4">
        <f>Table2[[#This Row],[EFF, h]]*100</f>
        <v>93.658455343981615</v>
      </c>
      <c r="BP50" s="354">
        <f>Table2[[#This Row],[Total Inductor Loss]]</f>
        <v>0.7351106179975766</v>
      </c>
      <c r="BQ50" s="354">
        <f>Table2[[#This Row],[Total Control Bu MOSFET Loss]]+Table2[[#This Row],[Total Sync Bu MOSFET Loss]]+Table2[[#This Row],[Total Control Bo MOSFET Loss]]+Table2[[#This Row],[Total Sync Bo MOSFET Loss]]+Table2[[#This Row],[Reverse Recovery Loss MOSFET D BUCK]]+Table2[[#This Row],[Reverse Recovery Loss MOSFET D BOOST]]</f>
        <v>2.0915621813978094</v>
      </c>
      <c r="BR50" s="354">
        <f xml:space="preserve"> Table2[[#This Row],[Total Control Bu MOSFET Loss]]+Table2[[#This Row],[Reverse Recovery Loss MOSFET D BUCK]]*0.66</f>
        <v>1.3668307586194672</v>
      </c>
      <c r="BS50" s="354">
        <f>Table2[[#This Row],[Total Sync Bu MOSFET Loss]]+Table2[[#This Row],[Reverse Recovery Loss MOSFET D BUCK]]*0.33</f>
        <v>0.38997799858032867</v>
      </c>
      <c r="BT50" s="354">
        <f xml:space="preserve"> Table2[[#This Row],[Total Control Bo MOSFET Loss]]+Table2[[#This Row],[Reverse Recovery Loss MOSFET D BOOST]]*0.66</f>
        <v>0.18535831373260669</v>
      </c>
      <c r="BU50" s="354">
        <f xml:space="preserve"> Table2[[#This Row],[Total Sync Bo MOSFET Loss]]+Table2[[#This Row],[Reverse Recovery Loss MOSFET D BOOST]]*0.33</f>
        <v>0.1470749038030067</v>
      </c>
      <c r="BV50" s="354">
        <f>Table2[[#This Row],[Isense Shunt Loss]]</f>
        <v>6.310906648260968E-2</v>
      </c>
      <c r="CA50">
        <v>9.9969590000000004</v>
      </c>
      <c r="CB50">
        <v>9.5229999999999997</v>
      </c>
      <c r="CC50">
        <v>5.1087540000000002</v>
      </c>
      <c r="CD50">
        <v>90.547826191651922</v>
      </c>
      <c r="CE50">
        <v>5078.5816240809982</v>
      </c>
    </row>
    <row r="51" spans="1:83" x14ac:dyDescent="0.2">
      <c r="A51" s="23" t="s">
        <v>71</v>
      </c>
      <c r="B51" s="5">
        <f>Qg_Q2*1000000000</f>
        <v>27</v>
      </c>
      <c r="C51" s="440" t="s">
        <v>69</v>
      </c>
      <c r="D51" s="21" t="s">
        <v>101</v>
      </c>
      <c r="G51">
        <v>42</v>
      </c>
      <c r="H51" s="555">
        <f t="shared" si="5"/>
        <v>23.6</v>
      </c>
      <c r="I51" s="4" t="str">
        <f>IF(Mode = 2,IF(Table2[[#This Row],[Vin]]&gt;Vout, "BUCK","BOOST"),IF(Table2[[#This Row],[Vin]]&gt;VIN_BB_to_buck, "BUCK", IF(Table2[[#This Row],[Vin]]&lt;=VIN_boost_to_BB,"BOOST","BUCK-BST")))</f>
        <v>BUCK</v>
      </c>
      <c r="J51">
        <f>IF(Table2[[#This Row],[Mode]]="BOOST",2, IF(Table2[[#This Row],[Mode]]="BUCK", 1,3))</f>
        <v>1</v>
      </c>
      <c r="K51" s="354">
        <f t="shared" si="7"/>
        <v>5.04</v>
      </c>
      <c r="L51" s="4">
        <f>Vout*Table2[[#This Row],[Iout]]/(Table2[[#This Row],[Vin]]*Efficiency)</f>
        <v>3.2820695807314895</v>
      </c>
      <c r="M51" s="711">
        <f>MIN(1/Fsw,CHOOSE(Table2[[#This Row],[Mode Digit]],(Vout+(Rdson2+Rs+Rdcr)*Table2[[#This Row],[Iout]])/(Table2[[#This Row],[Vin]]+(Rs+Rdson2-Rdson1)*Table2[[#This Row],[Iout]])/Fsw,(Vout+(Rdson3+Rdcr)*Table2[[#This Row],[Iin]]-Table2[[#This Row],[Vin]])/(Vout+(Rdson3-Rdson4-Rs)*Table2[[#This Row],[Iin]])/Fsw,t1_Ph_II))</f>
        <v>1.034970030125159E-6</v>
      </c>
      <c r="N51" s="602">
        <f>CHOOSE(Table2[[#This Row],[Mode Digit]],1/Fsw-Table2[[#This Row],[t1_Ph_II]],1/Fsw-Table2[[#This Row],[t1_Ph_II]],(Vout/Fsw-Table2[[#This Row],[Vin]]*t1_Ph_II)/(Table2[[#This Row],[Vin]]+Vout))</f>
        <v>6.3169663654150763E-7</v>
      </c>
      <c r="O51" s="602">
        <f>1/Fsw-(Table2[[#This Row],[t1_Ph_II]]+Table2[[#This Row],[t2_Ph_I]])</f>
        <v>0</v>
      </c>
      <c r="P5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3.2758465395593879</v>
      </c>
      <c r="Q51" s="4">
        <f>CHOOSE(Table2[[#This Row],[Mode Digit]],Table2[[#This Row],[I_0]]+1/Lf*(Table2[[#This Row],[Vin]]-Vout)*Table2[[#This Row],[t1_Ph_II]],Table2[[#This Row],[I_0]]+1/Lf*Table2[[#This Row],[Vin]]*Table2[[#This Row],[t1_Ph_II]],Table2[[#This Row],[I_0]]+(Table2[[#This Row],[Vin]]-Vout)/L*Table2[[#This Row],[t1_Ph_II]])</f>
        <v>6.8041534604406122</v>
      </c>
      <c r="R51" s="4">
        <f>CHOOSE(Table2[[#This Row],[Mode Digit]],0,0,Table2[[#This Row],[I_1]]+Table2[[#This Row],[Vin]]/L*Table2[[#This Row],[t2_Ph_I]])</f>
        <v>0</v>
      </c>
      <c r="S51" s="409">
        <f>Fsw*(Table2[[#This Row],[I_0]]*Table2[[#This Row],[t1_Ph_II]]+Table2[[#This Row],[I_1]]*Table2[[#This Row],[t2_Ph_I]]+Table2[[#This Row],[I_2]]*Table2[[#This Row],[t3_Ph_III]])</f>
        <v>4.6131383083234638</v>
      </c>
      <c r="T51" s="354">
        <f>MIN(1,CHOOSE(Table2[[#This Row],[Mode Digit]],(Vout+(Rdson2+Rs+Rdcr)*Table2[[#This Row],[Iout]])/(Table2[[#This Row],[Vin]]+(Rs+Rdson2-Rdson1)*Table2[[#This Row],[Iout]]),1,Fsw*Table2[[#This Row],[t2_Ph_I]]+Table2[[#This Row],[t1_Ph_II]]))</f>
        <v>0.62098201807509545</v>
      </c>
      <c r="U51" s="354">
        <f>MIN(1,CHOOSE(Table2[[#This Row],[Mode Digit]],0,(Vout+(Rdson3+Rdcr)*Table2[[#This Row],[Iin]]-Table2[[#This Row],[Vin]])/(Vout+(Rdson3-Rdson4-Rs)*Table2[[#This Row],[Iin]]),Fsw*Table2[[#This Row],[t1_Ph_II]]+Table2[[#This Row],[t3_Ph_III]]))</f>
        <v>0</v>
      </c>
      <c r="V51" s="4">
        <f>MAX(Table2[[#This Row],[I_0]:[I_2]])-MIN(Table2[[#This Row],[I_0]:[I_1]])</f>
        <v>3.5283069208812243</v>
      </c>
      <c r="W5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5.1418880265256846</v>
      </c>
      <c r="X51" s="354">
        <f>(Table2[[#This Row],[Irms Lf]]^2*Rdcr*(1+Ltc*Ta-Ltc*25))/(1-Table2[[#This Row],[Irms Lf]]^2*Rdcr*Ltc*ThetaCa)</f>
        <v>0.15525084341812237</v>
      </c>
      <c r="Y51" s="354">
        <f>ABS(7.759*10^-3*Fsw^0.9458*(0.00787*Table2[[#This Row],[Ripple Current pk-pk]])^2.304)</f>
        <v>0.58708349823771555</v>
      </c>
      <c r="Z51" s="354">
        <f>Table2[[#This Row],[DCR    Loss]]+Table2[[#This Row],[Core Loss]]</f>
        <v>0.74233434165583789</v>
      </c>
      <c r="AA51" s="4">
        <f>IF(Table2[[#This Row],[Vin]]&gt;Vout, Table2[[#This Row],[Ripple Current pk-pk]]/SQRT(12), SQRT(Table2[[#This Row],[Duty Cycle BOOST Leg]]/(1-Table2[[#This Row],[Duty Cycle BOOST Leg]]))*SQRT(Table2[[#This Row],[Iout]]^2+(Table2[[#This Row],[Ripple Current pk-pk]]^2)/12))</f>
        <v>1.0185344752771972</v>
      </c>
      <c r="AB51" s="354">
        <f>RCoutEsr*Table2[[#This Row],[Irms Cout]]^2</f>
        <v>5.1870623866409771E-3</v>
      </c>
      <c r="AC51" s="354">
        <f>Table2[[#This Row],[Cout ESR Loss]]</f>
        <v>5.1870623866409771E-3</v>
      </c>
      <c r="AD51" s="4">
        <f>IF(Table2[[#This Row],[Vin]]&gt;Vout, SQRT(Table2[[#This Row],[Duty Cycle BUCK Leg]]*(1-Table2[[#This Row],[Duty Cycle BUCK Leg]]))*SQRT(Table2[[#This Row],[Iout]]^2+(Table2[[#This Row],[Ripple Current pk-pk]]^2)/12), Table2[[#This Row],[Ripple Current pk-pk]]/SQRT(12))</f>
        <v>2.4945489736206778</v>
      </c>
      <c r="AE51" s="354">
        <f>RCinEsr*Table2[[#This Row],[Irms Cin]]^2</f>
        <v>1.2445549163583956E-2</v>
      </c>
      <c r="AF51" s="549">
        <f>Table2[[#This Row],[Cin ESR Loss]]</f>
        <v>1.2445549163583956E-2</v>
      </c>
      <c r="AG51" s="354">
        <f>Table2[[#This Row],[Irms Lf]]</f>
        <v>5.1418880265256846</v>
      </c>
      <c r="AH51" s="354">
        <f>Rdson1*Table2[[#This Row],[Irms BuCtrl]]^2</f>
        <v>0.11104385240477845</v>
      </c>
      <c r="AI51" s="354">
        <f>CHOOSE(Table2[[#This Row],[Mode Digit]], (Table2[[#This Row],[Vin]]*Table2[[#This Row],[Iout]]/2)*(Fsw)*(Tr_buck+Tf_buck), 0, (Table2[[#This Row],[Vin]]*Table2[[#This Row],[Avg IL]]/2)*(Fsw/1)*(Tr_buck+Tf_buck))</f>
        <v>1.1794923496463934</v>
      </c>
      <c r="AJ51">
        <f>IF(Table2[[#This Row],[Vin]]&gt;Vout, IF(Table2[[#This Row],[Iout]]&gt;Table2[[#This Row],[Ripple Current pk-pk]]/2,0,ABS(Table2[[#This Row],[Iout]]-Table2[[#This Row],[Ripple Current pk-pk]]/2)*Vsd_Q1*Deadtime*Fsw),0)</f>
        <v>0</v>
      </c>
      <c r="AK51" s="354">
        <f>(Table2[[#This Row],[Dead Time Loss BuCtrl]]+Table2[[#This Row],[Transition Loss BuCtrl]]+Table2[[#This Row],[RDS(on) Loss BuCtrl]]*(1+RdsonTopTc*Ta-RdsonTopTc*25))/(1-Table2[[#This Row],[RDS(on) Loss BuCtrl]]*RdsonTopTc*ThetaJA_Q1)</f>
        <v>1.3258713695720881</v>
      </c>
      <c r="AL51" s="354">
        <f>Table2[[#This Row],[Irms Lf]]</f>
        <v>5.1418880265256846</v>
      </c>
      <c r="AM51" s="354">
        <f>Rdson2*Table2[[#This Row],[Irms BuSync]]^2</f>
        <v>0.11104385240477845</v>
      </c>
      <c r="AN5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0.24249599999999999</v>
      </c>
      <c r="AO51" s="354">
        <f>(Table2[[#This Row],[Deadtime Loss BuSync]]+Table2[[#This Row],[RDS(on) Loss BuSync]]*(1+RdsonBotTc*Ta-RdsonBotTc*25))/(1-Table2[[#This Row],[RDS(on) Loss BuSync]]*RdsonBotTc*ThetaJA_Q2)</f>
        <v>0.36321985199734119</v>
      </c>
      <c r="AP51" s="354">
        <f>Table2[[#This Row],[Irms Lf]]</f>
        <v>5.1418880265256846</v>
      </c>
      <c r="AQ51" s="354">
        <f>Rdson4*Table2[[#This Row],[Irms BoCtlr]]^2</f>
        <v>0.11104385240477845</v>
      </c>
      <c r="AR51" s="354">
        <f>CHOOSE(Table2[[#This Row],[Mode Digit]], 0, (Vout*Table2[[#This Row],[Iin]]/2)*(Fsw)*(Tr_boost+Tf_boost), (Vout*Iout/2)*(Fsw/1)*(Tr_boost+Tf_boost))</f>
        <v>0</v>
      </c>
      <c r="AS51" s="354">
        <f>IF(Table2[[#This Row],[Vin]]&gt;Vout, 0, IF(Table2[[#This Row],[Iin]]&gt;Table2[[#This Row],[Ripple Current pk-pk]]/2,0,ABS(Table2[[#This Row],[Iin]]-Table2[[#This Row],[Ripple Current pk-pk]]/2)*Vsd_Q4*Deadtime*Fsw))</f>
        <v>0</v>
      </c>
      <c r="AT51" s="354">
        <f>(Table2[[#This Row],[Dead Time Loss BoCtlr]]+Table2[[#This Row],[Transition Loss BoCtlr]]+Table2[[#This Row],[RDS(on) Loss BoCtlr]]*(1+RdsonTopTc*Ta-RdsonTopTc*25))/(1-Table2[[#This Row],[RDS(on) Loss BoCtlr]]*RdsonTopTc*ThetaJA_Q4)</f>
        <v>0.11408425771898377</v>
      </c>
      <c r="AU51" s="354">
        <f>Table2[[#This Row],[Irms Lf]]</f>
        <v>5.1418880265256846</v>
      </c>
      <c r="AV51" s="354">
        <f>Rdson3*Table2[[#This Row],[Irms BoSync]]^2</f>
        <v>0.11104385240477845</v>
      </c>
      <c r="AW5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1" s="354">
        <f>(Table2[[#This Row],[Deadtime Loss BoSync]]+Table2[[#This Row],[RDS(on) Loss BoSync]]*(1+RdsonBotTc*Ta-RdsonBotTc*25))/(1-Table2[[#This Row],[RDS(on) Loss BoSync]]*RdsonBotTc*ThetaJA_Q3)</f>
        <v>0.11408425771898377</v>
      </c>
      <c r="AY51" s="354">
        <f>CHOOSE(Table2[[#This Row],[Mode Digit]], Rdson3*Table2[[#This Row],[Irms Lf]]^2, Rdson1*Table2[[#This Row],[Irms Lf]]^2, 0)</f>
        <v>0.11104385240477845</v>
      </c>
      <c r="AZ51" s="354">
        <f>CHOOSE(Table2[[#This Row],[Mode Digit]], 2*Deadtime*Fsw*IF(VfdSky_Q2&gt;0,VfdSky_Q2,0)*Table2[[#This Row],[Iout]], 2*Deadtime*Fsw*IF(VfdSky_Q3&gt;0,VfdSky_Q3,0)*Table2[[#This Row],[Iin]], 2*Deadtime*Fsw*IF(VfdSky_Q2&gt;0,VfdSky_Q2,0)*Table2[[#This Row],[Iout]]+2*Deadtime*Fsw*IF(VfdSky_Q3&gt;0,VfdSky_Q3,0)*Table2[[#This Row],[Iin]])</f>
        <v>0</v>
      </c>
      <c r="BA5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0.11883731328000001</v>
      </c>
      <c r="BB5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0.11883731328000001</v>
      </c>
      <c r="BC51" s="354">
        <f>CHOOSE(Table2[[#This Row],[Mode Digit]], Rs*Table2[[#This Row],[Irms BuSync]]^2, Rs*Table2[[#This Row],[Irms BoCtlr]]^2, Rs*(Table2[[#This Row],[Irms BuSync]]^2+Table2[[#This Row],[Irms BoCtlr]]^2))</f>
        <v>6.60975311933205E-2</v>
      </c>
      <c r="BD51" s="354">
        <f t="shared" si="6"/>
        <v>1.44</v>
      </c>
      <c r="BE51" s="354">
        <f>IF(Vout&gt;8, Iq*Vout, Iq*Table2[[#This Row],[Vin]])</f>
        <v>4.3799999999999999E-2</v>
      </c>
      <c r="BF51" s="354">
        <f>CHOOSE(Table2[[#This Row],[Mode Digit]], (Qg_Q1+Qg_Q2)*Fsw, (Qg_Q3+Qg_Q4)*Fsw, (Qg_Q1+Qg_Q2+Qg_Q3+Qg_Q4)*Fsw)*IF(Vout&gt;8, Vout, Table2[[#This Row],[Vin]])</f>
        <v>0.47303999999999996</v>
      </c>
      <c r="BG51" s="354">
        <f t="shared" si="4"/>
        <v>0.57269042016806726</v>
      </c>
      <c r="BH51" s="354">
        <f>Table2[[#This Row],[IQ Loss]]+Table2[[#This Row],[Switching Current Loss]]</f>
        <v>0.51683999999999997</v>
      </c>
      <c r="BI5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4.9378388479667787</v>
      </c>
      <c r="BJ51">
        <f>Vout*Table2[[#This Row],[Iout]]</f>
        <v>73.584000000000003</v>
      </c>
      <c r="BK51" s="550">
        <f>Table2[[#This Row],[Pout]]/(Table2[[#This Row],[Pout]]+Table2[[#This Row],[Total Loss]])</f>
        <v>0.93711508899419216</v>
      </c>
      <c r="BL51" s="559">
        <f>IF(Table2[[#This Row],[Vin]]&gt;Vout,ThetaJA_Q1*(Table2[[#This Row],[Total Control Bu MOSFET Loss]]+Table2[[#This Row],[Reverse Recovery Loss MOSFET D BUCK]]),ThetaJA_Q4*(Table2[[#This Row],[Total Control Bo MOSFET Loss]]+Table2[[#This Row],[Reverse Recovery Loss MOSFET D BOOST]]))</f>
        <v>86.682520971125285</v>
      </c>
      <c r="BM51" s="559">
        <f>IF(Table2[[#This Row],[Vin]]&gt;Vout, Table2[[#This Row],[Total Sync Bu MOSFET Loss]]*ThetaJA_Q2, ThetaJA_Q3*Table2[[#This Row],[Total Sync Bo MOSFET Loss]])</f>
        <v>21.793191119840472</v>
      </c>
      <c r="BN51" s="9"/>
      <c r="BO51" s="4">
        <f>Table2[[#This Row],[EFF, h]]*100</f>
        <v>93.711508899419215</v>
      </c>
      <c r="BP51" s="354">
        <f>Table2[[#This Row],[Total Inductor Loss]]</f>
        <v>0.74233434165583789</v>
      </c>
      <c r="BQ51" s="354">
        <f>Table2[[#This Row],[Total Control Bu MOSFET Loss]]+Table2[[#This Row],[Total Sync Bu MOSFET Loss]]+Table2[[#This Row],[Total Control Bo MOSFET Loss]]+Table2[[#This Row],[Total Sync Bo MOSFET Loss]]+Table2[[#This Row],[Reverse Recovery Loss MOSFET D BUCK]]+Table2[[#This Row],[Reverse Recovery Loss MOSFET D BOOST]]</f>
        <v>2.1549343635673965</v>
      </c>
      <c r="BR51" s="354">
        <f xml:space="preserve"> Table2[[#This Row],[Total Control Bu MOSFET Loss]]+Table2[[#This Row],[Reverse Recovery Loss MOSFET D BUCK]]*0.66</f>
        <v>1.4043039963368882</v>
      </c>
      <c r="BS51" s="354">
        <f>Table2[[#This Row],[Total Sync Bu MOSFET Loss]]+Table2[[#This Row],[Reverse Recovery Loss MOSFET D BUCK]]*0.33</f>
        <v>0.4024361653797412</v>
      </c>
      <c r="BT51" s="354">
        <f xml:space="preserve"> Table2[[#This Row],[Total Control Bo MOSFET Loss]]+Table2[[#This Row],[Reverse Recovery Loss MOSFET D BOOST]]*0.66</f>
        <v>0.19251688448378379</v>
      </c>
      <c r="BU51" s="354">
        <f xml:space="preserve"> Table2[[#This Row],[Total Sync Bo MOSFET Loss]]+Table2[[#This Row],[Reverse Recovery Loss MOSFET D BOOST]]*0.33</f>
        <v>0.15330057110138379</v>
      </c>
      <c r="BV51" s="354">
        <f>Table2[[#This Row],[Isense Shunt Loss]]</f>
        <v>6.60975311933205E-2</v>
      </c>
      <c r="CA51">
        <v>9.9964639999999996</v>
      </c>
      <c r="CB51">
        <v>10.493</v>
      </c>
      <c r="CC51">
        <v>5.1092279999999999</v>
      </c>
      <c r="CD51">
        <v>89.626660259106615</v>
      </c>
      <c r="CE51">
        <v>6204.9221585439973</v>
      </c>
    </row>
    <row r="52" spans="1:83" x14ac:dyDescent="0.2">
      <c r="A52" s="23" t="s">
        <v>94</v>
      </c>
      <c r="B52" s="5">
        <f>Rgate2</f>
        <v>4.7</v>
      </c>
      <c r="C52" s="444" t="s">
        <v>118</v>
      </c>
      <c r="D52" s="21" t="s">
        <v>102</v>
      </c>
      <c r="G52">
        <v>43</v>
      </c>
      <c r="H52" s="555">
        <f t="shared" si="5"/>
        <v>23.6</v>
      </c>
      <c r="I52" s="4" t="str">
        <f>IF(Mode = 2,IF(Table2[[#This Row],[Vin]]&gt;Vout, "BUCK","BOOST"),IF(Table2[[#This Row],[Vin]]&gt;VIN_BB_to_buck, "BUCK", IF(Table2[[#This Row],[Vin]]&lt;=VIN_boost_to_BB,"BOOST","BUCK-BST")))</f>
        <v>BUCK</v>
      </c>
      <c r="J52">
        <f>IF(Table2[[#This Row],[Mode]]="BOOST",2, IF(Table2[[#This Row],[Mode]]="BUCK", 1,3))</f>
        <v>1</v>
      </c>
      <c r="K52" s="354">
        <f t="shared" si="7"/>
        <v>5.16</v>
      </c>
      <c r="L52" s="4">
        <f>Vout*Table2[[#This Row],[Iout]]/(Table2[[#This Row],[Vin]]*Efficiency)</f>
        <v>3.3602140945584296</v>
      </c>
      <c r="M52" s="711">
        <f>MIN(1/Fsw,CHOOSE(Table2[[#This Row],[Mode Digit]],(Vout+(Rdson2+Rs+Rdcr)*Table2[[#This Row],[Iout]])/(Table2[[#This Row],[Vin]]+(Rs+Rdson2-Rdson1)*Table2[[#This Row],[Iout]])/Fsw,(Vout+(Rdson3+Rdcr)*Table2[[#This Row],[Iin]]-Table2[[#This Row],[Vin]])/(Vout+(Rdson3-Rdson4-Rs)*Table2[[#This Row],[Iin]])/Fsw,t1_Ph_II))</f>
        <v>1.0350627552453674E-6</v>
      </c>
      <c r="N52" s="602">
        <f>CHOOSE(Table2[[#This Row],[Mode Digit]],1/Fsw-Table2[[#This Row],[t1_Ph_II]],1/Fsw-Table2[[#This Row],[t1_Ph_II]],(Vout/Fsw-Table2[[#This Row],[Vin]]*t1_Ph_II)/(Table2[[#This Row],[Vin]]+Vout))</f>
        <v>6.3160391142129928E-7</v>
      </c>
      <c r="O52" s="602">
        <f>1/Fsw-(Table2[[#This Row],[t1_Ph_II]]+Table2[[#This Row],[t2_Ph_I]])</f>
        <v>0</v>
      </c>
      <c r="P5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3.3956884853772147</v>
      </c>
      <c r="Q52" s="4">
        <f>CHOOSE(Table2[[#This Row],[Mode Digit]],Table2[[#This Row],[I_0]]+1/Lf*(Table2[[#This Row],[Vin]]-Vout)*Table2[[#This Row],[t1_Ph_II]],Table2[[#This Row],[I_0]]+1/Lf*Table2[[#This Row],[Vin]]*Table2[[#This Row],[t1_Ph_II]],Table2[[#This Row],[I_0]]+(Table2[[#This Row],[Vin]]-Vout)/L*Table2[[#This Row],[t1_Ph_II]])</f>
        <v>6.9243115146227865</v>
      </c>
      <c r="R52" s="4">
        <f>CHOOSE(Table2[[#This Row],[Mode Digit]],0,0,Table2[[#This Row],[I_1]]+Table2[[#This Row],[Vin]]/L*Table2[[#This Row],[t2_Ph_I]])</f>
        <v>0</v>
      </c>
      <c r="S52" s="409">
        <f>Fsw*(Table2[[#This Row],[I_0]]*Table2[[#This Row],[t1_Ph_II]]+Table2[[#This Row],[I_1]]*Table2[[#This Row],[t2_Ph_I]]+Table2[[#This Row],[I_2]]*Table2[[#This Row],[t3_Ph_III]])</f>
        <v>4.7329037496988811</v>
      </c>
      <c r="T52" s="354">
        <f>MIN(1,CHOOSE(Table2[[#This Row],[Mode Digit]],(Vout+(Rdson2+Rs+Rdcr)*Table2[[#This Row],[Iout]])/(Table2[[#This Row],[Vin]]+(Rs+Rdson2-Rdson1)*Table2[[#This Row],[Iout]]),1,Fsw*Table2[[#This Row],[t2_Ph_I]]+Table2[[#This Row],[t1_Ph_II]]))</f>
        <v>0.62103765314722037</v>
      </c>
      <c r="U52" s="354">
        <f>MIN(1,CHOOSE(Table2[[#This Row],[Mode Digit]],0,(Vout+(Rdson3+Rdcr)*Table2[[#This Row],[Iin]]-Table2[[#This Row],[Vin]])/(Vout+(Rdson3-Rdson4-Rs)*Table2[[#This Row],[Iin]]),Fsw*Table2[[#This Row],[t1_Ph_II]]+Table2[[#This Row],[t3_Ph_III]]))</f>
        <v>0</v>
      </c>
      <c r="V52" s="4">
        <f>MAX(Table2[[#This Row],[I_0]:[I_2]])-MIN(Table2[[#This Row],[I_0]:[I_1]])</f>
        <v>3.5286230292455718</v>
      </c>
      <c r="W5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5.2595815778009873</v>
      </c>
      <c r="X52" s="354">
        <f>(Table2[[#This Row],[Irms Lf]]^2*Rdcr*(1+Ltc*Ta-Ltc*25))/(1-Table2[[#This Row],[Irms Lf]]^2*Rdcr*Ltc*ThetaCa)</f>
        <v>0.16253277643316894</v>
      </c>
      <c r="Y52" s="354">
        <f>ABS(7.759*10^-3*Fsw^0.9458*(0.00787*Table2[[#This Row],[Ripple Current pk-pk]])^2.304)</f>
        <v>0.58720469118509655</v>
      </c>
      <c r="Z52" s="354">
        <f>Table2[[#This Row],[DCR    Loss]]+Table2[[#This Row],[Core Loss]]</f>
        <v>0.74973746761826554</v>
      </c>
      <c r="AA52" s="4">
        <f>IF(Table2[[#This Row],[Vin]]&gt;Vout, Table2[[#This Row],[Ripple Current pk-pk]]/SQRT(12), SQRT(Table2[[#This Row],[Duty Cycle BOOST Leg]]/(1-Table2[[#This Row],[Duty Cycle BOOST Leg]]))*SQRT(Table2[[#This Row],[Iout]]^2+(Table2[[#This Row],[Ripple Current pk-pk]]^2)/12))</f>
        <v>1.0186257279018218</v>
      </c>
      <c r="AB52" s="354">
        <f>RCoutEsr*Table2[[#This Row],[Irms Cout]]^2</f>
        <v>5.1879918677175821E-3</v>
      </c>
      <c r="AC52" s="354">
        <f>Table2[[#This Row],[Cout ESR Loss]]</f>
        <v>5.1879918677175821E-3</v>
      </c>
      <c r="AD52" s="4">
        <f>IF(Table2[[#This Row],[Vin]]&gt;Vout, SQRT(Table2[[#This Row],[Duty Cycle BUCK Leg]]*(1-Table2[[#This Row],[Duty Cycle BUCK Leg]]))*SQRT(Table2[[#This Row],[Iout]]^2+(Table2[[#This Row],[Ripple Current pk-pk]]^2)/12), Table2[[#This Row],[Ripple Current pk-pk]]/SQRT(12))</f>
        <v>2.5515741411941528</v>
      </c>
      <c r="AE52" s="354">
        <f>RCinEsr*Table2[[#This Row],[Irms Cin]]^2</f>
        <v>1.3021061196021358E-2</v>
      </c>
      <c r="AF52" s="549">
        <f>Table2[[#This Row],[Cin ESR Loss]]</f>
        <v>1.3021061196021358E-2</v>
      </c>
      <c r="AG52" s="354">
        <f>Table2[[#This Row],[Irms Lf]]</f>
        <v>5.2595815778009873</v>
      </c>
      <c r="AH52" s="354">
        <f>Rdson1*Table2[[#This Row],[Irms BuCtrl]]^2</f>
        <v>0.11618543316888282</v>
      </c>
      <c r="AI52" s="354">
        <f>CHOOSE(Table2[[#This Row],[Mode Digit]], (Table2[[#This Row],[Vin]]*Table2[[#This Row],[Iout]]/2)*(Fsw)*(Tr_buck+Tf_buck), 0, (Table2[[#This Row],[Vin]]*Table2[[#This Row],[Avg IL]]/2)*(Fsw/1)*(Tr_buck+Tf_buck))</f>
        <v>1.2075755008284503</v>
      </c>
      <c r="AJ52">
        <f>IF(Table2[[#This Row],[Vin]]&gt;Vout, IF(Table2[[#This Row],[Iout]]&gt;Table2[[#This Row],[Ripple Current pk-pk]]/2,0,ABS(Table2[[#This Row],[Iout]]-Table2[[#This Row],[Ripple Current pk-pk]]/2)*Vsd_Q1*Deadtime*Fsw),0)</f>
        <v>0</v>
      </c>
      <c r="AK52" s="354">
        <f>(Table2[[#This Row],[Dead Time Loss BuCtrl]]+Table2[[#This Row],[Transition Loss BuCtrl]]+Table2[[#This Row],[RDS(on) Loss BuCtrl]]*(1+RdsonTopTc*Ta-RdsonTopTc*25))/(1-Table2[[#This Row],[RDS(on) Loss BuCtrl]]*RdsonTopTc*ThetaJA_Q1)</f>
        <v>1.361732159800473</v>
      </c>
      <c r="AL52" s="354">
        <f>Table2[[#This Row],[Irms Lf]]</f>
        <v>5.2595815778009873</v>
      </c>
      <c r="AM52" s="354">
        <f>Rdson2*Table2[[#This Row],[Irms BuSync]]^2</f>
        <v>0.11618543316888282</v>
      </c>
      <c r="AN5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0.24826971428571429</v>
      </c>
      <c r="AO52" s="354">
        <f>(Table2[[#This Row],[Deadtime Loss BuSync]]+Table2[[#This Row],[RDS(on) Loss BuSync]]*(1+RdsonBotTc*Ta-RdsonBotTc*25))/(1-Table2[[#This Row],[RDS(on) Loss BuSync]]*RdsonBotTc*ThetaJA_Q2)</f>
        <v>0.37490930752512164</v>
      </c>
      <c r="AP52" s="354">
        <f>Table2[[#This Row],[Irms Lf]]</f>
        <v>5.2595815778009873</v>
      </c>
      <c r="AQ52" s="354">
        <f>Rdson4*Table2[[#This Row],[Irms BoCtlr]]^2</f>
        <v>0.11618543316888282</v>
      </c>
      <c r="AR52" s="354">
        <f>CHOOSE(Table2[[#This Row],[Mode Digit]], 0, (Vout*Table2[[#This Row],[Iin]]/2)*(Fsw)*(Tr_boost+Tf_boost), (Vout*Iout/2)*(Fsw/1)*(Tr_boost+Tf_boost))</f>
        <v>0</v>
      </c>
      <c r="AS52" s="354">
        <f>IF(Table2[[#This Row],[Vin]]&gt;Vout, 0, IF(Table2[[#This Row],[Iin]]&gt;Table2[[#This Row],[Ripple Current pk-pk]]/2,0,ABS(Table2[[#This Row],[Iin]]-Table2[[#This Row],[Ripple Current pk-pk]]/2)*Vsd_Q4*Deadtime*Fsw))</f>
        <v>0</v>
      </c>
      <c r="AT52" s="354">
        <f>(Table2[[#This Row],[Dead Time Loss BoCtlr]]+Table2[[#This Row],[Transition Loss BoCtlr]]+Table2[[#This Row],[RDS(on) Loss BoCtlr]]*(1+RdsonTopTc*Ta-RdsonTopTc*25))/(1-Table2[[#This Row],[RDS(on) Loss BoCtlr]]*RdsonTopTc*ThetaJA_Q4)</f>
        <v>0.11951813713724162</v>
      </c>
      <c r="AU52" s="354">
        <f>Table2[[#This Row],[Irms Lf]]</f>
        <v>5.2595815778009873</v>
      </c>
      <c r="AV52" s="354">
        <f>Rdson3*Table2[[#This Row],[Irms BoSync]]^2</f>
        <v>0.11618543316888282</v>
      </c>
      <c r="AW5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2" s="354">
        <f>(Table2[[#This Row],[Deadtime Loss BoSync]]+Table2[[#This Row],[RDS(on) Loss BoSync]]*(1+RdsonBotTc*Ta-RdsonBotTc*25))/(1-Table2[[#This Row],[RDS(on) Loss BoSync]]*RdsonBotTc*ThetaJA_Q3)</f>
        <v>0.11951813713724162</v>
      </c>
      <c r="AY52" s="354">
        <f>CHOOSE(Table2[[#This Row],[Mode Digit]], Rdson3*Table2[[#This Row],[Irms Lf]]^2, Rdson1*Table2[[#This Row],[Irms Lf]]^2, 0)</f>
        <v>0.11618543316888282</v>
      </c>
      <c r="AZ52" s="354">
        <f>CHOOSE(Table2[[#This Row],[Mode Digit]], 2*Deadtime*Fsw*IF(VfdSky_Q2&gt;0,VfdSky_Q2,0)*Table2[[#This Row],[Iout]], 2*Deadtime*Fsw*IF(VfdSky_Q3&gt;0,VfdSky_Q3,0)*Table2[[#This Row],[Iin]], 2*Deadtime*Fsw*IF(VfdSky_Q2&gt;0,VfdSky_Q2,0)*Table2[[#This Row],[Iout]]+2*Deadtime*Fsw*IF(VfdSky_Q3&gt;0,VfdSky_Q3,0)*Table2[[#This Row],[Iin]])</f>
        <v>0</v>
      </c>
      <c r="BA5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0.12166417248000003</v>
      </c>
      <c r="BB5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0.12166417248000003</v>
      </c>
      <c r="BC52" s="354">
        <f>CHOOSE(Table2[[#This Row],[Mode Digit]], Rs*Table2[[#This Row],[Irms BuSync]]^2, Rs*Table2[[#This Row],[Irms BoCtlr]]^2, Rs*(Table2[[#This Row],[Irms BuSync]]^2+Table2[[#This Row],[Irms BoCtlr]]^2))</f>
        <v>6.915799593385881E-2</v>
      </c>
      <c r="BD52" s="354">
        <f t="shared" si="6"/>
        <v>1.44</v>
      </c>
      <c r="BE52" s="354">
        <f>IF(Vout&gt;8, Iq*Vout, Iq*Table2[[#This Row],[Vin]])</f>
        <v>4.3799999999999999E-2</v>
      </c>
      <c r="BF52" s="354">
        <f>CHOOSE(Table2[[#This Row],[Mode Digit]], (Qg_Q1+Qg_Q2)*Fsw, (Qg_Q3+Qg_Q4)*Fsw, (Qg_Q1+Qg_Q2+Qg_Q3+Qg_Q4)*Fsw)*IF(Vout&gt;8, Vout, Table2[[#This Row],[Vin]])</f>
        <v>0.47303999999999996</v>
      </c>
      <c r="BG52" s="354">
        <f t="shared" si="4"/>
        <v>0.57269042016806726</v>
      </c>
      <c r="BH52" s="354">
        <f>Table2[[#This Row],[IQ Loss]]+Table2[[#This Row],[Switching Current Loss]]</f>
        <v>0.51683999999999997</v>
      </c>
      <c r="BI5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5.0129506031759412</v>
      </c>
      <c r="BJ52">
        <f>Vout*Table2[[#This Row],[Iout]]</f>
        <v>75.335999999999999</v>
      </c>
      <c r="BK52" s="550">
        <f>Table2[[#This Row],[Pout]]/(Table2[[#This Row],[Pout]]+Table2[[#This Row],[Total Loss]])</f>
        <v>0.93761025420314836</v>
      </c>
      <c r="BL52" s="559">
        <f>IF(Table2[[#This Row],[Vin]]&gt;Vout,ThetaJA_Q1*(Table2[[#This Row],[Total Control Bu MOSFET Loss]]+Table2[[#This Row],[Reverse Recovery Loss MOSFET D BUCK]]),ThetaJA_Q4*(Table2[[#This Row],[Total Control Bo MOSFET Loss]]+Table2[[#This Row],[Reverse Recovery Loss MOSFET D BOOST]]))</f>
        <v>89.00377993682838</v>
      </c>
      <c r="BM52" s="559">
        <f>IF(Table2[[#This Row],[Vin]]&gt;Vout, Table2[[#This Row],[Total Sync Bu MOSFET Loss]]*ThetaJA_Q2, ThetaJA_Q3*Table2[[#This Row],[Total Sync Bo MOSFET Loss]])</f>
        <v>22.494558451507299</v>
      </c>
      <c r="BN52" s="9"/>
      <c r="BO52" s="4">
        <f>Table2[[#This Row],[EFF, h]]*100</f>
        <v>93.761025420314837</v>
      </c>
      <c r="BP52" s="354">
        <f>Table2[[#This Row],[Total Inductor Loss]]</f>
        <v>0.74973746761826554</v>
      </c>
      <c r="BQ52" s="354">
        <f>Table2[[#This Row],[Total Control Bu MOSFET Loss]]+Table2[[#This Row],[Total Sync Bu MOSFET Loss]]+Table2[[#This Row],[Total Control Bo MOSFET Loss]]+Table2[[#This Row],[Total Sync Bo MOSFET Loss]]+Table2[[#This Row],[Reverse Recovery Loss MOSFET D BUCK]]+Table2[[#This Row],[Reverse Recovery Loss MOSFET D BOOST]]</f>
        <v>2.219006086560078</v>
      </c>
      <c r="BR52" s="354">
        <f xml:space="preserve"> Table2[[#This Row],[Total Control Bu MOSFET Loss]]+Table2[[#This Row],[Reverse Recovery Loss MOSFET D BUCK]]*0.66</f>
        <v>1.4420305136372731</v>
      </c>
      <c r="BS52" s="354">
        <f>Table2[[#This Row],[Total Sync Bu MOSFET Loss]]+Table2[[#This Row],[Reverse Recovery Loss MOSFET D BUCK]]*0.33</f>
        <v>0.41505848444352167</v>
      </c>
      <c r="BT52" s="354">
        <f xml:space="preserve"> Table2[[#This Row],[Total Control Bo MOSFET Loss]]+Table2[[#This Row],[Reverse Recovery Loss MOSFET D BOOST]]*0.66</f>
        <v>0.19981649097404164</v>
      </c>
      <c r="BU52" s="354">
        <f xml:space="preserve"> Table2[[#This Row],[Total Sync Bo MOSFET Loss]]+Table2[[#This Row],[Reverse Recovery Loss MOSFET D BOOST]]*0.33</f>
        <v>0.15966731405564163</v>
      </c>
      <c r="BV52" s="354">
        <f>Table2[[#This Row],[Isense Shunt Loss]]</f>
        <v>6.915799593385881E-2</v>
      </c>
      <c r="CA52">
        <v>9.9959819999999997</v>
      </c>
      <c r="CB52">
        <v>11.519</v>
      </c>
      <c r="CC52">
        <v>5.1101260000000002</v>
      </c>
      <c r="CD52">
        <v>88.591390420220321</v>
      </c>
      <c r="CE52">
        <v>7580.3207309739973</v>
      </c>
    </row>
    <row r="53" spans="1:83" x14ac:dyDescent="0.2">
      <c r="A53" s="23" t="s">
        <v>76</v>
      </c>
      <c r="B53" s="5">
        <f>Vsd_Q2</f>
        <v>1</v>
      </c>
      <c r="C53" s="440" t="s">
        <v>0</v>
      </c>
      <c r="D53" s="21" t="s">
        <v>107</v>
      </c>
      <c r="G53">
        <v>44</v>
      </c>
      <c r="H53" s="555">
        <f t="shared" si="5"/>
        <v>23.6</v>
      </c>
      <c r="I53" s="4" t="str">
        <f>IF(Mode = 2,IF(Table2[[#This Row],[Vin]]&gt;Vout, "BUCK","BOOST"),IF(Table2[[#This Row],[Vin]]&gt;VIN_BB_to_buck, "BUCK", IF(Table2[[#This Row],[Vin]]&lt;=VIN_boost_to_BB,"BOOST","BUCK-BST")))</f>
        <v>BUCK</v>
      </c>
      <c r="J53">
        <f>IF(Table2[[#This Row],[Mode]]="BOOST",2, IF(Table2[[#This Row],[Mode]]="BUCK", 1,3))</f>
        <v>1</v>
      </c>
      <c r="K53" s="354">
        <f t="shared" si="7"/>
        <v>5.28</v>
      </c>
      <c r="L53" s="4">
        <f>Vout*Table2[[#This Row],[Iout]]/(Table2[[#This Row],[Vin]]*Efficiency)</f>
        <v>3.4383586083853701</v>
      </c>
      <c r="M53" s="711">
        <f>MIN(1/Fsw,CHOOSE(Table2[[#This Row],[Mode Digit]],(Vout+(Rdson2+Rs+Rdcr)*Table2[[#This Row],[Iout]])/(Table2[[#This Row],[Vin]]+(Rs+Rdson2-Rdson1)*Table2[[#This Row],[Iout]])/Fsw,(Vout+(Rdson3+Rdcr)*Table2[[#This Row],[Iin]]-Table2[[#This Row],[Vin]])/(Vout+(Rdson3-Rdson4-Rs)*Table2[[#This Row],[Iin]])/Fsw,t1_Ph_II))</f>
        <v>1.0351554780094748E-6</v>
      </c>
      <c r="N53" s="602">
        <f>CHOOSE(Table2[[#This Row],[Mode Digit]],1/Fsw-Table2[[#This Row],[t1_Ph_II]],1/Fsw-Table2[[#This Row],[t1_Ph_II]],(Vout/Fsw-Table2[[#This Row],[Vin]]*t1_Ph_II)/(Table2[[#This Row],[Vin]]+Vout))</f>
        <v>6.3151118865719184E-7</v>
      </c>
      <c r="O53" s="602">
        <f>1/Fsw-(Table2[[#This Row],[t1_Ph_II]]+Table2[[#This Row],[t2_Ph_I]])</f>
        <v>0</v>
      </c>
      <c r="P5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3.5155304352111223</v>
      </c>
      <c r="Q53" s="4">
        <f>CHOOSE(Table2[[#This Row],[Mode Digit]],Table2[[#This Row],[I_0]]+1/Lf*(Table2[[#This Row],[Vin]]-Vout)*Table2[[#This Row],[t1_Ph_II]],Table2[[#This Row],[I_0]]+1/Lf*Table2[[#This Row],[Vin]]*Table2[[#This Row],[t1_Ph_II]],Table2[[#This Row],[I_0]]+(Table2[[#This Row],[Vin]]-Vout)/L*Table2[[#This Row],[t1_Ph_II]])</f>
        <v>7.0444695647888782</v>
      </c>
      <c r="R53" s="4">
        <f>CHOOSE(Table2[[#This Row],[Mode Digit]],0,0,Table2[[#This Row],[I_1]]+Table2[[#This Row],[Vin]]/L*Table2[[#This Row],[t2_Ph_I]])</f>
        <v>0</v>
      </c>
      <c r="S53" s="409">
        <f>Fsw*(Table2[[#This Row],[I_0]]*Table2[[#This Row],[t1_Ph_II]]+Table2[[#This Row],[I_1]]*Table2[[#This Row],[t2_Ph_I]]+Table2[[#This Row],[I_2]]*Table2[[#This Row],[t3_Ph_III]])</f>
        <v>4.8526691618622371</v>
      </c>
      <c r="T53" s="354">
        <f>MIN(1,CHOOSE(Table2[[#This Row],[Mode Digit]],(Vout+(Rdson2+Rs+Rdcr)*Table2[[#This Row],[Iout]])/(Table2[[#This Row],[Vin]]+(Rs+Rdson2-Rdson1)*Table2[[#This Row],[Iout]]),1,Fsw*Table2[[#This Row],[t2_Ph_I]]+Table2[[#This Row],[t1_Ph_II]]))</f>
        <v>0.62109328680568487</v>
      </c>
      <c r="U53" s="354">
        <f>MIN(1,CHOOSE(Table2[[#This Row],[Mode Digit]],0,(Vout+(Rdson3+Rdcr)*Table2[[#This Row],[Iin]]-Table2[[#This Row],[Vin]])/(Vout+(Rdson3-Rdson4-Rs)*Table2[[#This Row],[Iin]]),Fsw*Table2[[#This Row],[t1_Ph_II]]+Table2[[#This Row],[t3_Ph_III]]))</f>
        <v>0</v>
      </c>
      <c r="V53" s="4">
        <f>MAX(Table2[[#This Row],[I_0]:[I_2]])-MIN(Table2[[#This Row],[I_0]:[I_1]])</f>
        <v>3.5289391295777559</v>
      </c>
      <c r="W5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5.3773770819693087</v>
      </c>
      <c r="X53" s="354">
        <f>(Table2[[#This Row],[Irms Lf]]^2*Rdcr*(1+Ltc*Ta-Ltc*25))/(1-Table2[[#This Row],[Irms Lf]]^2*Rdcr*Ltc*ThetaCa)</f>
        <v>0.16999470642546516</v>
      </c>
      <c r="Y53" s="354">
        <f>ABS(7.759*10^-3*Fsw^0.9458*(0.00787*Table2[[#This Row],[Ripple Current pk-pk]])^2.304)</f>
        <v>0.58732589521078082</v>
      </c>
      <c r="Z53" s="354">
        <f>Table2[[#This Row],[DCR    Loss]]+Table2[[#This Row],[Core Loss]]</f>
        <v>0.75732060163624593</v>
      </c>
      <c r="AA53" s="4">
        <f>IF(Table2[[#This Row],[Vin]]&gt;Vout, Table2[[#This Row],[Ripple Current pk-pk]]/SQRT(12), SQRT(Table2[[#This Row],[Duty Cycle BOOST Leg]]/(1-Table2[[#This Row],[Duty Cycle BOOST Leg]]))*SQRT(Table2[[#This Row],[Iout]]^2+(Table2[[#This Row],[Ripple Current pk-pk]]^2)/12))</f>
        <v>1.0187169782077605</v>
      </c>
      <c r="AB53" s="354">
        <f>RCoutEsr*Table2[[#This Row],[Irms Cout]]^2</f>
        <v>5.1889214084437545E-3</v>
      </c>
      <c r="AC53" s="354">
        <f>Table2[[#This Row],[Cout ESR Loss]]</f>
        <v>5.1889214084437545E-3</v>
      </c>
      <c r="AD53" s="4">
        <f>IF(Table2[[#This Row],[Vin]]&gt;Vout, SQRT(Table2[[#This Row],[Duty Cycle BUCK Leg]]*(1-Table2[[#This Row],[Duty Cycle BUCK Leg]]))*SQRT(Table2[[#This Row],[Iout]]^2+(Table2[[#This Row],[Ripple Current pk-pk]]^2)/12), Table2[[#This Row],[Ripple Current pk-pk]]/SQRT(12))</f>
        <v>2.6086454665371117</v>
      </c>
      <c r="AE53" s="354">
        <f>RCinEsr*Table2[[#This Row],[Irms Cin]]^2</f>
        <v>1.3610062340169251E-2</v>
      </c>
      <c r="AF53" s="549">
        <f>Table2[[#This Row],[Cin ESR Loss]]</f>
        <v>1.3610062340169251E-2</v>
      </c>
      <c r="AG53" s="354">
        <f>Table2[[#This Row],[Irms Lf]]</f>
        <v>5.3773770819693087</v>
      </c>
      <c r="AH53" s="354">
        <f>Rdson1*Table2[[#This Row],[Irms BuCtrl]]^2</f>
        <v>0.1214479739830928</v>
      </c>
      <c r="AI53" s="354">
        <f>CHOOSE(Table2[[#This Row],[Mode Digit]], (Table2[[#This Row],[Vin]]*Table2[[#This Row],[Iout]]/2)*(Fsw)*(Tr_buck+Tf_buck), 0, (Table2[[#This Row],[Vin]]*Table2[[#This Row],[Avg IL]]/2)*(Fsw/1)*(Tr_buck+Tf_buck))</f>
        <v>1.2356586520105077</v>
      </c>
      <c r="AJ53">
        <f>IF(Table2[[#This Row],[Vin]]&gt;Vout, IF(Table2[[#This Row],[Iout]]&gt;Table2[[#This Row],[Ripple Current pk-pk]]/2,0,ABS(Table2[[#This Row],[Iout]]-Table2[[#This Row],[Ripple Current pk-pk]]/2)*Vsd_Q1*Deadtime*Fsw),0)</f>
        <v>0</v>
      </c>
      <c r="AK53" s="354">
        <f>(Table2[[#This Row],[Dead Time Loss BuCtrl]]+Table2[[#This Row],[Transition Loss BuCtrl]]+Table2[[#This Row],[RDS(on) Loss BuCtrl]]*(1+RdsonTopTc*Ta-RdsonTopTc*25))/(1-Table2[[#This Row],[RDS(on) Loss BuCtrl]]*RdsonTopTc*ThetaJA_Q1)</f>
        <v>1.3978504924510686</v>
      </c>
      <c r="AL53" s="354">
        <f>Table2[[#This Row],[Irms Lf]]</f>
        <v>5.3773770819693087</v>
      </c>
      <c r="AM53" s="354">
        <f>Rdson2*Table2[[#This Row],[Irms BuSync]]^2</f>
        <v>0.1214479739830928</v>
      </c>
      <c r="AN5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0.25404342857142859</v>
      </c>
      <c r="AO53" s="354">
        <f>(Table2[[#This Row],[Deadtime Loss BuSync]]+Table2[[#This Row],[RDS(on) Loss BuSync]]*(1+RdsonBotTc*Ta-RdsonBotTc*25))/(1-Table2[[#This Row],[RDS(on) Loss BuSync]]*RdsonBotTc*ThetaJA_Q2)</f>
        <v>0.38676462992558946</v>
      </c>
      <c r="AP53" s="354">
        <f>Table2[[#This Row],[Irms Lf]]</f>
        <v>5.3773770819693087</v>
      </c>
      <c r="AQ53" s="354">
        <f>Rdson4*Table2[[#This Row],[Irms BoCtlr]]^2</f>
        <v>0.1214479739830928</v>
      </c>
      <c r="AR53" s="354">
        <f>CHOOSE(Table2[[#This Row],[Mode Digit]], 0, (Vout*Table2[[#This Row],[Iin]]/2)*(Fsw)*(Tr_boost+Tf_boost), (Vout*Iout/2)*(Fsw/1)*(Tr_boost+Tf_boost))</f>
        <v>0</v>
      </c>
      <c r="AS53" s="354">
        <f>IF(Table2[[#This Row],[Vin]]&gt;Vout, 0, IF(Table2[[#This Row],[Iin]]&gt;Table2[[#This Row],[Ripple Current pk-pk]]/2,0,ABS(Table2[[#This Row],[Iin]]-Table2[[#This Row],[Ripple Current pk-pk]]/2)*Vsd_Q4*Deadtime*Fsw))</f>
        <v>0</v>
      </c>
      <c r="AT53" s="354">
        <f>(Table2[[#This Row],[Dead Time Loss BoCtlr]]+Table2[[#This Row],[Transition Loss BoCtlr]]+Table2[[#This Row],[RDS(on) Loss BoCtlr]]*(1+RdsonTopTc*Ta-RdsonTopTc*25))/(1-Table2[[#This Row],[RDS(on) Loss BoCtlr]]*RdsonTopTc*ThetaJA_Q4)</f>
        <v>0.12509415766440404</v>
      </c>
      <c r="AU53" s="354">
        <f>Table2[[#This Row],[Irms Lf]]</f>
        <v>5.3773770819693087</v>
      </c>
      <c r="AV53" s="354">
        <f>Rdson3*Table2[[#This Row],[Irms BoSync]]^2</f>
        <v>0.1214479739830928</v>
      </c>
      <c r="AW5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3" s="354">
        <f>(Table2[[#This Row],[Deadtime Loss BoSync]]+Table2[[#This Row],[RDS(on) Loss BoSync]]*(1+RdsonBotTc*Ta-RdsonBotTc*25))/(1-Table2[[#This Row],[RDS(on) Loss BoSync]]*RdsonBotTc*ThetaJA_Q3)</f>
        <v>0.12509415766440404</v>
      </c>
      <c r="AY53" s="354">
        <f>CHOOSE(Table2[[#This Row],[Mode Digit]], Rdson3*Table2[[#This Row],[Irms Lf]]^2, Rdson1*Table2[[#This Row],[Irms Lf]]^2, 0)</f>
        <v>0.1214479739830928</v>
      </c>
      <c r="AZ53" s="354">
        <f>CHOOSE(Table2[[#This Row],[Mode Digit]], 2*Deadtime*Fsw*IF(VfdSky_Q2&gt;0,VfdSky_Q2,0)*Table2[[#This Row],[Iout]], 2*Deadtime*Fsw*IF(VfdSky_Q3&gt;0,VfdSky_Q3,0)*Table2[[#This Row],[Iin]], 2*Deadtime*Fsw*IF(VfdSky_Q2&gt;0,VfdSky_Q2,0)*Table2[[#This Row],[Iout]]+2*Deadtime*Fsw*IF(VfdSky_Q3&gt;0,VfdSky_Q3,0)*Table2[[#This Row],[Iin]])</f>
        <v>0</v>
      </c>
      <c r="BA5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0.12449091072000001</v>
      </c>
      <c r="BB5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0.12449091072000001</v>
      </c>
      <c r="BC53" s="354">
        <f>CHOOSE(Table2[[#This Row],[Mode Digit]], Rs*Table2[[#This Row],[Irms BuSync]]^2, Rs*Table2[[#This Row],[Irms BoCtlr]]^2, Rs*(Table2[[#This Row],[Irms BuSync]]^2+Table2[[#This Row],[Irms BoCtlr]]^2))</f>
        <v>7.229046070422189E-2</v>
      </c>
      <c r="BD53" s="354">
        <f t="shared" si="6"/>
        <v>1.44</v>
      </c>
      <c r="BE53" s="354">
        <f>IF(Vout&gt;8, Iq*Vout, Iq*Table2[[#This Row],[Vin]])</f>
        <v>4.3799999999999999E-2</v>
      </c>
      <c r="BF53" s="354">
        <f>CHOOSE(Table2[[#This Row],[Mode Digit]], (Qg_Q1+Qg_Q2)*Fsw, (Qg_Q3+Qg_Q4)*Fsw, (Qg_Q1+Qg_Q2+Qg_Q3+Qg_Q4)*Fsw)*IF(Vout&gt;8, Vout, Table2[[#This Row],[Vin]])</f>
        <v>0.47303999999999996</v>
      </c>
      <c r="BG53" s="354">
        <f t="shared" si="4"/>
        <v>0.57269042016806726</v>
      </c>
      <c r="BH53" s="354">
        <f>Table2[[#This Row],[IQ Loss]]+Table2[[#This Row],[Switching Current Loss]]</f>
        <v>0.51683999999999997</v>
      </c>
      <c r="BI5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5.0890353052345478</v>
      </c>
      <c r="BJ53">
        <f>Vout*Table2[[#This Row],[Iout]]</f>
        <v>77.088000000000008</v>
      </c>
      <c r="BK53" s="550">
        <f>Table2[[#This Row],[Pout]]/(Table2[[#This Row],[Pout]]+Table2[[#This Row],[Total Loss]])</f>
        <v>0.93807229372132894</v>
      </c>
      <c r="BL53" s="559">
        <f>IF(Table2[[#This Row],[Vin]]&gt;Vout,ThetaJA_Q1*(Table2[[#This Row],[Total Control Bu MOSFET Loss]]+Table2[[#This Row],[Reverse Recovery Loss MOSFET D BUCK]]),ThetaJA_Q4*(Table2[[#This Row],[Total Control Bo MOSFET Loss]]+Table2[[#This Row],[Reverse Recovery Loss MOSFET D BOOST]]))</f>
        <v>91.340484190264121</v>
      </c>
      <c r="BM53" s="559">
        <f>IF(Table2[[#This Row],[Vin]]&gt;Vout, Table2[[#This Row],[Total Sync Bu MOSFET Loss]]*ThetaJA_Q2, ThetaJA_Q3*Table2[[#This Row],[Total Sync Bo MOSFET Loss]])</f>
        <v>23.205877795535368</v>
      </c>
      <c r="BN53" s="9"/>
      <c r="BO53" s="4">
        <f>Table2[[#This Row],[EFF, h]]*100</f>
        <v>93.807229372132895</v>
      </c>
      <c r="BP53" s="354">
        <f>Table2[[#This Row],[Total Inductor Loss]]</f>
        <v>0.75732060163624593</v>
      </c>
      <c r="BQ53" s="354">
        <f>Table2[[#This Row],[Total Control Bu MOSFET Loss]]+Table2[[#This Row],[Total Sync Bu MOSFET Loss]]+Table2[[#This Row],[Total Control Bo MOSFET Loss]]+Table2[[#This Row],[Total Sync Bo MOSFET Loss]]+Table2[[#This Row],[Reverse Recovery Loss MOSFET D BUCK]]+Table2[[#This Row],[Reverse Recovery Loss MOSFET D BOOST]]</f>
        <v>2.2837852591454664</v>
      </c>
      <c r="BR53" s="354">
        <f xml:space="preserve"> Table2[[#This Row],[Total Control Bu MOSFET Loss]]+Table2[[#This Row],[Reverse Recovery Loss MOSFET D BUCK]]*0.66</f>
        <v>1.4800144935262687</v>
      </c>
      <c r="BS53" s="354">
        <f>Table2[[#This Row],[Total Sync Bu MOSFET Loss]]+Table2[[#This Row],[Reverse Recovery Loss MOSFET D BUCK]]*0.33</f>
        <v>0.42784663046318949</v>
      </c>
      <c r="BT53" s="354">
        <f xml:space="preserve"> Table2[[#This Row],[Total Control Bo MOSFET Loss]]+Table2[[#This Row],[Reverse Recovery Loss MOSFET D BOOST]]*0.66</f>
        <v>0.20725815873960407</v>
      </c>
      <c r="BU53" s="354">
        <f xml:space="preserve"> Table2[[#This Row],[Total Sync Bo MOSFET Loss]]+Table2[[#This Row],[Reverse Recovery Loss MOSFET D BOOST]]*0.33</f>
        <v>0.16617615820200404</v>
      </c>
      <c r="BV53" s="354">
        <f>Table2[[#This Row],[Isense Shunt Loss]]</f>
        <v>7.229046070422189E-2</v>
      </c>
      <c r="CA53">
        <v>9.9955739999999995</v>
      </c>
      <c r="CB53">
        <v>12.605</v>
      </c>
      <c r="CC53">
        <v>5.1111979999999999</v>
      </c>
      <c r="CD53">
        <v>87.386508098290477</v>
      </c>
      <c r="CE53">
        <v>9299.4335961019988</v>
      </c>
    </row>
    <row r="54" spans="1:83" x14ac:dyDescent="0.2">
      <c r="A54" s="23" t="s">
        <v>77</v>
      </c>
      <c r="B54" s="5">
        <f>Qrr_Q2*1000000000</f>
        <v>20</v>
      </c>
      <c r="C54" s="440" t="s">
        <v>69</v>
      </c>
      <c r="D54" s="21" t="s">
        <v>112</v>
      </c>
      <c r="G54">
        <v>45</v>
      </c>
      <c r="H54" s="555">
        <f t="shared" si="5"/>
        <v>23.6</v>
      </c>
      <c r="I54" s="4" t="str">
        <f>IF(Mode = 2,IF(Table2[[#This Row],[Vin]]&gt;Vout, "BUCK","BOOST"),IF(Table2[[#This Row],[Vin]]&gt;VIN_BB_to_buck, "BUCK", IF(Table2[[#This Row],[Vin]]&lt;=VIN_boost_to_BB,"BOOST","BUCK-BST")))</f>
        <v>BUCK</v>
      </c>
      <c r="J54">
        <f>IF(Table2[[#This Row],[Mode]]="BOOST",2, IF(Table2[[#This Row],[Mode]]="BUCK", 1,3))</f>
        <v>1</v>
      </c>
      <c r="K54" s="354">
        <f t="shared" si="7"/>
        <v>5.4</v>
      </c>
      <c r="L54" s="4">
        <f>Vout*Table2[[#This Row],[Iout]]/(Table2[[#This Row],[Vin]]*Efficiency)</f>
        <v>3.5165031222123102</v>
      </c>
      <c r="M54" s="711">
        <f>MIN(1/Fsw,CHOOSE(Table2[[#This Row],[Mode Digit]],(Vout+(Rdson2+Rs+Rdcr)*Table2[[#This Row],[Iout]])/(Table2[[#This Row],[Vin]]+(Rs+Rdson2-Rdson1)*Table2[[#This Row],[Iout]])/Fsw,(Vout+(Rdson3+Rdcr)*Table2[[#This Row],[Iin]]-Table2[[#This Row],[Vin]])/(Vout+(Rdson3-Rdson4-Rs)*Table2[[#This Row],[Iin]])/Fsw,t1_Ph_II))</f>
        <v>1.0352481984175718E-6</v>
      </c>
      <c r="N54" s="602">
        <f>CHOOSE(Table2[[#This Row],[Mode Digit]],1/Fsw-Table2[[#This Row],[t1_Ph_II]],1/Fsw-Table2[[#This Row],[t1_Ph_II]],(Vout/Fsw-Table2[[#This Row],[Vin]]*t1_Ph_II)/(Table2[[#This Row],[Vin]]+Vout))</f>
        <v>6.3141846824909489E-7</v>
      </c>
      <c r="O54" s="602">
        <f>1/Fsw-(Table2[[#This Row],[t1_Ph_II]]+Table2[[#This Row],[t2_Ph_I]])</f>
        <v>0</v>
      </c>
      <c r="P5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3.6353723890609571</v>
      </c>
      <c r="Q54" s="4">
        <f>CHOOSE(Table2[[#This Row],[Mode Digit]],Table2[[#This Row],[I_0]]+1/Lf*(Table2[[#This Row],[Vin]]-Vout)*Table2[[#This Row],[t1_Ph_II]],Table2[[#This Row],[I_0]]+1/Lf*Table2[[#This Row],[Vin]]*Table2[[#This Row],[t1_Ph_II]],Table2[[#This Row],[I_0]]+(Table2[[#This Row],[Vin]]-Vout)/L*Table2[[#This Row],[t1_Ph_II]])</f>
        <v>7.1646276109390428</v>
      </c>
      <c r="R54" s="4">
        <f>CHOOSE(Table2[[#This Row],[Mode Digit]],0,0,Table2[[#This Row],[I_1]]+Table2[[#This Row],[Vin]]/L*Table2[[#This Row],[t2_Ph_I]])</f>
        <v>0</v>
      </c>
      <c r="S54" s="409">
        <f>Fsw*(Table2[[#This Row],[I_0]]*Table2[[#This Row],[t1_Ph_II]]+Table2[[#This Row],[I_1]]*Table2[[#This Row],[t2_Ph_I]]+Table2[[#This Row],[I_2]]*Table2[[#This Row],[t3_Ph_III]])</f>
        <v>4.972434544815985</v>
      </c>
      <c r="T54" s="354">
        <f>MIN(1,CHOOSE(Table2[[#This Row],[Mode Digit]],(Vout+(Rdson2+Rs+Rdcr)*Table2[[#This Row],[Iout]])/(Table2[[#This Row],[Vin]]+(Rs+Rdson2-Rdson1)*Table2[[#This Row],[Iout]]),1,Fsw*Table2[[#This Row],[t2_Ph_I]]+Table2[[#This Row],[t1_Ph_II]]))</f>
        <v>0.62114891905054304</v>
      </c>
      <c r="U54" s="354">
        <f>MIN(1,CHOOSE(Table2[[#This Row],[Mode Digit]],0,(Vout+(Rdson3+Rdcr)*Table2[[#This Row],[Iin]]-Table2[[#This Row],[Vin]])/(Vout+(Rdson3-Rdson4-Rs)*Table2[[#This Row],[Iin]]),Fsw*Table2[[#This Row],[t1_Ph_II]]+Table2[[#This Row],[t3_Ph_III]]))</f>
        <v>0</v>
      </c>
      <c r="V54" s="4">
        <f>MAX(Table2[[#This Row],[I_0]:[I_2]])-MIN(Table2[[#This Row],[I_0]:[I_1]])</f>
        <v>3.5292552218780857</v>
      </c>
      <c r="W5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5.4952679827068316</v>
      </c>
      <c r="X54" s="354">
        <f>(Table2[[#This Row],[Irms Lf]]^2*Rdcr*(1+Ltc*Ta-Ltc*25))/(1-Table2[[#This Row],[Irms Lf]]^2*Rdcr*Ltc*ThetaCa)</f>
        <v>0.17763725519638685</v>
      </c>
      <c r="Y54" s="354">
        <f>ABS(7.759*10^-3*Fsw^0.9458*(0.00787*Table2[[#This Row],[Ripple Current pk-pk]])^2.304)</f>
        <v>0.58744711031419261</v>
      </c>
      <c r="Z54" s="354">
        <f>Table2[[#This Row],[DCR    Loss]]+Table2[[#This Row],[Core Loss]]</f>
        <v>0.76508436551057946</v>
      </c>
      <c r="AA54" s="4">
        <f>IF(Table2[[#This Row],[Vin]]&gt;Vout, Table2[[#This Row],[Ripple Current pk-pk]]/SQRT(12), SQRT(Table2[[#This Row],[Duty Cycle BOOST Leg]]/(1-Table2[[#This Row],[Duty Cycle BOOST Leg]]))*SQRT(Table2[[#This Row],[Iout]]^2+(Table2[[#This Row],[Ripple Current pk-pk]]^2)/12))</f>
        <v>1.0188082261951026</v>
      </c>
      <c r="AB54" s="354">
        <f>RCoutEsr*Table2[[#This Row],[Irms Cout]]^2</f>
        <v>5.1898510088140568E-3</v>
      </c>
      <c r="AC54" s="354">
        <f>Table2[[#This Row],[Cout ESR Loss]]</f>
        <v>5.1898510088140568E-3</v>
      </c>
      <c r="AD54" s="4">
        <f>IF(Table2[[#This Row],[Vin]]&gt;Vout, SQRT(Table2[[#This Row],[Duty Cycle BUCK Leg]]*(1-Table2[[#This Row],[Duty Cycle BUCK Leg]]))*SQRT(Table2[[#This Row],[Iout]]^2+(Table2[[#This Row],[Ripple Current pk-pk]]^2)/12), Table2[[#This Row],[Ripple Current pk-pk]]/SQRT(12))</f>
        <v>2.6657597626533294</v>
      </c>
      <c r="AE54" s="354">
        <f>RCinEsr*Table2[[#This Row],[Irms Cin]]^2</f>
        <v>1.4212550224363071E-2</v>
      </c>
      <c r="AF54" s="549">
        <f>Table2[[#This Row],[Cin ESR Loss]]</f>
        <v>1.4212550224363071E-2</v>
      </c>
      <c r="AG54" s="354">
        <f>Table2[[#This Row],[Irms Lf]]</f>
        <v>5.4952679827068316</v>
      </c>
      <c r="AH54" s="354">
        <f>Rdson1*Table2[[#This Row],[Irms BuCtrl]]^2</f>
        <v>0.12683147484740381</v>
      </c>
      <c r="AI54" s="354">
        <f>CHOOSE(Table2[[#This Row],[Mode Digit]], (Table2[[#This Row],[Vin]]*Table2[[#This Row],[Iout]]/2)*(Fsw)*(Tr_buck+Tf_buck), 0, (Table2[[#This Row],[Vin]]*Table2[[#This Row],[Avg IL]]/2)*(Fsw/1)*(Tr_buck+Tf_buck))</f>
        <v>1.2637418031925645</v>
      </c>
      <c r="AJ54">
        <f>IF(Table2[[#This Row],[Vin]]&gt;Vout, IF(Table2[[#This Row],[Iout]]&gt;Table2[[#This Row],[Ripple Current pk-pk]]/2,0,ABS(Table2[[#This Row],[Iout]]-Table2[[#This Row],[Ripple Current pk-pk]]/2)*Vsd_Q1*Deadtime*Fsw),0)</f>
        <v>0</v>
      </c>
      <c r="AK54" s="354">
        <f>(Table2[[#This Row],[Dead Time Loss BuCtrl]]+Table2[[#This Row],[Transition Loss BuCtrl]]+Table2[[#This Row],[RDS(on) Loss BuCtrl]]*(1+RdsonTopTc*Ta-RdsonTopTc*25))/(1-Table2[[#This Row],[RDS(on) Loss BuCtrl]]*RdsonTopTc*ThetaJA_Q1)</f>
        <v>1.4342306183429459</v>
      </c>
      <c r="AL54" s="354">
        <f>Table2[[#This Row],[Irms Lf]]</f>
        <v>5.4952679827068316</v>
      </c>
      <c r="AM54" s="354">
        <f>Rdson2*Table2[[#This Row],[Irms BuSync]]^2</f>
        <v>0.12683147484740381</v>
      </c>
      <c r="AN5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0.25981714285714286</v>
      </c>
      <c r="AO54" s="354">
        <f>(Table2[[#This Row],[Deadtime Loss BuSync]]+Table2[[#This Row],[RDS(on) Loss BuSync]]*(1+RdsonBotTc*Ta-RdsonBotTc*25))/(1-Table2[[#This Row],[RDS(on) Loss BuSync]]*RdsonBotTc*ThetaJA_Q2)</f>
        <v>0.39878753231435127</v>
      </c>
      <c r="AP54" s="354">
        <f>Table2[[#This Row],[Irms Lf]]</f>
        <v>5.4952679827068316</v>
      </c>
      <c r="AQ54" s="354">
        <f>Rdson4*Table2[[#This Row],[Irms BoCtlr]]^2</f>
        <v>0.12683147484740381</v>
      </c>
      <c r="AR54" s="354">
        <f>CHOOSE(Table2[[#This Row],[Mode Digit]], 0, (Vout*Table2[[#This Row],[Iin]]/2)*(Fsw)*(Tr_boost+Tf_boost), (Vout*Iout/2)*(Fsw/1)*(Tr_boost+Tf_boost))</f>
        <v>0</v>
      </c>
      <c r="AS54" s="354">
        <f>IF(Table2[[#This Row],[Vin]]&gt;Vout, 0, IF(Table2[[#This Row],[Iin]]&gt;Table2[[#This Row],[Ripple Current pk-pk]]/2,0,ABS(Table2[[#This Row],[Iin]]-Table2[[#This Row],[Ripple Current pk-pk]]/2)*Vsd_Q4*Deadtime*Fsw))</f>
        <v>0</v>
      </c>
      <c r="AT54" s="354">
        <f>(Table2[[#This Row],[Dead Time Loss BoCtlr]]+Table2[[#This Row],[Transition Loss BoCtlr]]+Table2[[#This Row],[RDS(on) Loss BoCtlr]]*(1+RdsonTopTc*Ta-RdsonTopTc*25))/(1-Table2[[#This Row],[RDS(on) Loss BoCtlr]]*RdsonTopTc*ThetaJA_Q4)</f>
        <v>0.13081337565477896</v>
      </c>
      <c r="AU54" s="354">
        <f>Table2[[#This Row],[Irms Lf]]</f>
        <v>5.4952679827068316</v>
      </c>
      <c r="AV54" s="354">
        <f>Rdson3*Table2[[#This Row],[Irms BoSync]]^2</f>
        <v>0.12683147484740381</v>
      </c>
      <c r="AW5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4" s="354">
        <f>(Table2[[#This Row],[Deadtime Loss BoSync]]+Table2[[#This Row],[RDS(on) Loss BoSync]]*(1+RdsonBotTc*Ta-RdsonBotTc*25))/(1-Table2[[#This Row],[RDS(on) Loss BoSync]]*RdsonBotTc*ThetaJA_Q3)</f>
        <v>0.13081337565477896</v>
      </c>
      <c r="AY54" s="354">
        <f>CHOOSE(Table2[[#This Row],[Mode Digit]], Rdson3*Table2[[#This Row],[Irms Lf]]^2, Rdson1*Table2[[#This Row],[Irms Lf]]^2, 0)</f>
        <v>0.12683147484740381</v>
      </c>
      <c r="AZ54" s="354">
        <f>CHOOSE(Table2[[#This Row],[Mode Digit]], 2*Deadtime*Fsw*IF(VfdSky_Q2&gt;0,VfdSky_Q2,0)*Table2[[#This Row],[Iout]], 2*Deadtime*Fsw*IF(VfdSky_Q3&gt;0,VfdSky_Q3,0)*Table2[[#This Row],[Iin]], 2*Deadtime*Fsw*IF(VfdSky_Q2&gt;0,VfdSky_Q2,0)*Table2[[#This Row],[Iout]]+2*Deadtime*Fsw*IF(VfdSky_Q3&gt;0,VfdSky_Q3,0)*Table2[[#This Row],[Iin]])</f>
        <v>0</v>
      </c>
      <c r="BA5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0.12731752800000001</v>
      </c>
      <c r="BB5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0.12731752800000001</v>
      </c>
      <c r="BC54" s="354">
        <f>CHOOSE(Table2[[#This Row],[Mode Digit]], Rs*Table2[[#This Row],[Irms BuSync]]^2, Rs*Table2[[#This Row],[Irms BoCtlr]]^2, Rs*(Table2[[#This Row],[Irms BuSync]]^2+Table2[[#This Row],[Irms BoCtlr]]^2))</f>
        <v>7.5494925504407034E-2</v>
      </c>
      <c r="BD54" s="354">
        <f t="shared" si="6"/>
        <v>1.44</v>
      </c>
      <c r="BE54" s="354">
        <f>IF(Vout&gt;8, Iq*Vout, Iq*Table2[[#This Row],[Vin]])</f>
        <v>4.3799999999999999E-2</v>
      </c>
      <c r="BF54" s="354">
        <f>CHOOSE(Table2[[#This Row],[Mode Digit]], (Qg_Q1+Qg_Q2)*Fsw, (Qg_Q3+Qg_Q4)*Fsw, (Qg_Q1+Qg_Q2+Qg_Q3+Qg_Q4)*Fsw)*IF(Vout&gt;8, Vout, Table2[[#This Row],[Vin]])</f>
        <v>0.47303999999999996</v>
      </c>
      <c r="BG54" s="354">
        <f t="shared" si="4"/>
        <v>0.57269042016806726</v>
      </c>
      <c r="BH54" s="354">
        <f>Table2[[#This Row],[IQ Loss]]+Table2[[#This Row],[Switching Current Loss]]</f>
        <v>0.51683999999999997</v>
      </c>
      <c r="BI5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5.1661016502150181</v>
      </c>
      <c r="BJ54">
        <f>Vout*Table2[[#This Row],[Iout]]</f>
        <v>78.84</v>
      </c>
      <c r="BK54" s="550">
        <f>Table2[[#This Row],[Pout]]/(Table2[[#This Row],[Pout]]+Table2[[#This Row],[Total Loss]])</f>
        <v>0.93850325692143588</v>
      </c>
      <c r="BL54" s="559">
        <f>IF(Table2[[#This Row],[Vin]]&gt;Vout,ThetaJA_Q1*(Table2[[#This Row],[Total Control Bu MOSFET Loss]]+Table2[[#This Row],[Reverse Recovery Loss MOSFET D BUCK]]),ThetaJA_Q4*(Table2[[#This Row],[Total Control Bo MOSFET Loss]]+Table2[[#This Row],[Reverse Recovery Loss MOSFET D BOOST]]))</f>
        <v>93.692888780576752</v>
      </c>
      <c r="BM54" s="559">
        <f>IF(Table2[[#This Row],[Vin]]&gt;Vout, Table2[[#This Row],[Total Sync Bu MOSFET Loss]]*ThetaJA_Q2, ThetaJA_Q3*Table2[[#This Row],[Total Sync Bo MOSFET Loss]])</f>
        <v>23.927251938861076</v>
      </c>
      <c r="BN54" s="9"/>
      <c r="BO54" s="4">
        <f>Table2[[#This Row],[EFF, h]]*100</f>
        <v>93.850325692143585</v>
      </c>
      <c r="BP54" s="354">
        <f>Table2[[#This Row],[Total Inductor Loss]]</f>
        <v>0.76508436551057946</v>
      </c>
      <c r="BQ54" s="354">
        <f>Table2[[#This Row],[Total Control Bu MOSFET Loss]]+Table2[[#This Row],[Total Sync Bu MOSFET Loss]]+Table2[[#This Row],[Total Control Bo MOSFET Loss]]+Table2[[#This Row],[Total Sync Bo MOSFET Loss]]+Table2[[#This Row],[Reverse Recovery Loss MOSFET D BUCK]]+Table2[[#This Row],[Reverse Recovery Loss MOSFET D BOOST]]</f>
        <v>2.3492799579668548</v>
      </c>
      <c r="BR54" s="354">
        <f xml:space="preserve"> Table2[[#This Row],[Total Control Bu MOSFET Loss]]+Table2[[#This Row],[Reverse Recovery Loss MOSFET D BUCK]]*0.66</f>
        <v>1.5182601868229459</v>
      </c>
      <c r="BS54" s="354">
        <f>Table2[[#This Row],[Total Sync Bu MOSFET Loss]]+Table2[[#This Row],[Reverse Recovery Loss MOSFET D BUCK]]*0.33</f>
        <v>0.44080231655435126</v>
      </c>
      <c r="BT54" s="354">
        <f xml:space="preserve"> Table2[[#This Row],[Total Control Bo MOSFET Loss]]+Table2[[#This Row],[Reverse Recovery Loss MOSFET D BOOST]]*0.66</f>
        <v>0.21484294413477897</v>
      </c>
      <c r="BU54" s="354">
        <f xml:space="preserve"> Table2[[#This Row],[Total Sync Bo MOSFET Loss]]+Table2[[#This Row],[Reverse Recovery Loss MOSFET D BOOST]]*0.33</f>
        <v>0.17282815989477895</v>
      </c>
      <c r="BV54" s="354">
        <f>Table2[[#This Row],[Isense Shunt Loss]]</f>
        <v>7.5494925504407034E-2</v>
      </c>
      <c r="CA54">
        <v>9.9949670000000008</v>
      </c>
      <c r="CB54">
        <v>13.75</v>
      </c>
      <c r="CC54">
        <v>5.1122329999999998</v>
      </c>
      <c r="CD54">
        <v>85.985113444924963</v>
      </c>
      <c r="CE54">
        <v>11457.230537720005</v>
      </c>
    </row>
    <row r="55" spans="1:83" x14ac:dyDescent="0.2">
      <c r="A55" s="23" t="s">
        <v>78</v>
      </c>
      <c r="B55" s="5">
        <f>Trr_Q2*1000000000</f>
        <v>40</v>
      </c>
      <c r="C55" s="440" t="s">
        <v>79</v>
      </c>
      <c r="D55" s="74" t="s">
        <v>108</v>
      </c>
      <c r="G55">
        <v>46</v>
      </c>
      <c r="H55" s="555">
        <f t="shared" si="5"/>
        <v>23.6</v>
      </c>
      <c r="I55" s="4" t="str">
        <f>IF(Mode = 2,IF(Table2[[#This Row],[Vin]]&gt;Vout, "BUCK","BOOST"),IF(Table2[[#This Row],[Vin]]&gt;VIN_BB_to_buck, "BUCK", IF(Table2[[#This Row],[Vin]]&lt;=VIN_boost_to_BB,"BOOST","BUCK-BST")))</f>
        <v>BUCK</v>
      </c>
      <c r="J55">
        <f>IF(Table2[[#This Row],[Mode]]="BOOST",2, IF(Table2[[#This Row],[Mode]]="BUCK", 1,3))</f>
        <v>1</v>
      </c>
      <c r="K55" s="354">
        <f t="shared" si="7"/>
        <v>5.52</v>
      </c>
      <c r="L55" s="4">
        <f>Vout*Table2[[#This Row],[Iout]]/(Table2[[#This Row],[Vin]]*Efficiency)</f>
        <v>3.5946476360392503</v>
      </c>
      <c r="M55" s="711">
        <f>MIN(1/Fsw,CHOOSE(Table2[[#This Row],[Mode Digit]],(Vout+(Rdson2+Rs+Rdcr)*Table2[[#This Row],[Iout]])/(Table2[[#This Row],[Vin]]+(Rs+Rdson2-Rdson1)*Table2[[#This Row],[Iout]])/Fsw,(Vout+(Rdson3+Rdcr)*Table2[[#This Row],[Iin]]-Table2[[#This Row],[Vin]])/(Vout+(Rdson3-Rdson4-Rs)*Table2[[#This Row],[Iin]])/Fsw,t1_Ph_II))</f>
        <v>1.0353409164697478E-6</v>
      </c>
      <c r="N55" s="602">
        <f>CHOOSE(Table2[[#This Row],[Mode Digit]],1/Fsw-Table2[[#This Row],[t1_Ph_II]],1/Fsw-Table2[[#This Row],[t1_Ph_II]],(Vout/Fsw-Table2[[#This Row],[Vin]]*t1_Ph_II)/(Table2[[#This Row],[Vin]]+Vout))</f>
        <v>6.3132575019691887E-7</v>
      </c>
      <c r="O55" s="602">
        <f>1/Fsw-(Table2[[#This Row],[t1_Ph_II]]+Table2[[#This Row],[t2_Ph_I]])</f>
        <v>0</v>
      </c>
      <c r="P5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3.7552143469265653</v>
      </c>
      <c r="Q55" s="4">
        <f>CHOOSE(Table2[[#This Row],[Mode Digit]],Table2[[#This Row],[I_0]]+1/Lf*(Table2[[#This Row],[Vin]]-Vout)*Table2[[#This Row],[t1_Ph_II]],Table2[[#This Row],[I_0]]+1/Lf*Table2[[#This Row],[Vin]]*Table2[[#This Row],[t1_Ph_II]],Table2[[#This Row],[I_0]]+(Table2[[#This Row],[Vin]]-Vout)/L*Table2[[#This Row],[t1_Ph_II]])</f>
        <v>7.284785653073433</v>
      </c>
      <c r="R55" s="4">
        <f>CHOOSE(Table2[[#This Row],[Mode Digit]],0,0,Table2[[#This Row],[I_1]]+Table2[[#This Row],[Vin]]/L*Table2[[#This Row],[t2_Ph_I]])</f>
        <v>0</v>
      </c>
      <c r="S55" s="409">
        <f>Fsw*(Table2[[#This Row],[I_0]]*Table2[[#This Row],[t1_Ph_II]]+Table2[[#This Row],[I_1]]*Table2[[#This Row],[t2_Ph_I]]+Table2[[#This Row],[I_2]]*Table2[[#This Row],[t3_Ph_III]])</f>
        <v>5.0921998985625798</v>
      </c>
      <c r="T55" s="354">
        <f>MIN(1,CHOOSE(Table2[[#This Row],[Mode Digit]],(Vout+(Rdson2+Rs+Rdcr)*Table2[[#This Row],[Iout]])/(Table2[[#This Row],[Vin]]+(Rs+Rdson2-Rdson1)*Table2[[#This Row],[Iout]]),1,Fsw*Table2[[#This Row],[t2_Ph_I]]+Table2[[#This Row],[t1_Ph_II]]))</f>
        <v>0.6212045498818487</v>
      </c>
      <c r="U55" s="354">
        <f>MIN(1,CHOOSE(Table2[[#This Row],[Mode Digit]],0,(Vout+(Rdson3+Rdcr)*Table2[[#This Row],[Iin]]-Table2[[#This Row],[Vin]])/(Vout+(Rdson3-Rdson4-Rs)*Table2[[#This Row],[Iin]]),Fsw*Table2[[#This Row],[t1_Ph_II]]+Table2[[#This Row],[t3_Ph_III]]))</f>
        <v>0</v>
      </c>
      <c r="V55" s="4">
        <f>MAX(Table2[[#This Row],[I_0]:[I_2]])-MIN(Table2[[#This Row],[I_0]:[I_1]])</f>
        <v>3.5295713061468676</v>
      </c>
      <c r="W5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5.6132482693859709</v>
      </c>
      <c r="X55" s="354">
        <f>(Table2[[#This Row],[Irms Lf]]^2*Rdcr*(1+Ltc*Ta-Ltc*25))/(1-Table2[[#This Row],[Irms Lf]]^2*Rdcr*Ltc*ThetaCa)</f>
        <v>0.18546106072839558</v>
      </c>
      <c r="Y55" s="354">
        <f>ABS(7.759*10^-3*Fsw^0.9458*(0.00787*Table2[[#This Row],[Ripple Current pk-pk]])^2.304)</f>
        <v>0.58756833649475482</v>
      </c>
      <c r="Z55" s="354">
        <f>Table2[[#This Row],[DCR    Loss]]+Table2[[#This Row],[Core Loss]]</f>
        <v>0.77302939722315034</v>
      </c>
      <c r="AA55" s="4">
        <f>IF(Table2[[#This Row],[Vin]]&gt;Vout, Table2[[#This Row],[Ripple Current pk-pk]]/SQRT(12), SQRT(Table2[[#This Row],[Duty Cycle BOOST Leg]]/(1-Table2[[#This Row],[Duty Cycle BOOST Leg]]))*SQRT(Table2[[#This Row],[Iout]]^2+(Table2[[#This Row],[Ripple Current pk-pk]]^2)/12))</f>
        <v>1.0188994718639366</v>
      </c>
      <c r="AB55" s="354">
        <f>RCoutEsr*Table2[[#This Row],[Irms Cout]]^2</f>
        <v>5.1907806688230437E-3</v>
      </c>
      <c r="AC55" s="354">
        <f>Table2[[#This Row],[Cout ESR Loss]]</f>
        <v>5.1907806688230437E-3</v>
      </c>
      <c r="AD55" s="4">
        <f>IF(Table2[[#This Row],[Vin]]&gt;Vout, SQRT(Table2[[#This Row],[Duty Cycle BUCK Leg]]*(1-Table2[[#This Row],[Duty Cycle BUCK Leg]]))*SQRT(Table2[[#This Row],[Iout]]^2+(Table2[[#This Row],[Ripple Current pk-pk]]^2)/12), Table2[[#This Row],[Ripple Current pk-pk]]/SQRT(12))</f>
        <v>2.7229141076172385</v>
      </c>
      <c r="AE55" s="354">
        <f>RCinEsr*Table2[[#This Row],[Irms Cin]]^2</f>
        <v>1.4828522474921965E-2</v>
      </c>
      <c r="AF55" s="549">
        <f>Table2[[#This Row],[Cin ESR Loss]]</f>
        <v>1.4828522474921965E-2</v>
      </c>
      <c r="AG55" s="354">
        <f>Table2[[#This Row],[Irms Lf]]</f>
        <v>5.6132482693859709</v>
      </c>
      <c r="AH55" s="354">
        <f>Rdson1*Table2[[#This Row],[Irms BuCtrl]]^2</f>
        <v>0.13233593576181132</v>
      </c>
      <c r="AI55" s="354">
        <f>CHOOSE(Table2[[#This Row],[Mode Digit]], (Table2[[#This Row],[Vin]]*Table2[[#This Row],[Iout]]/2)*(Fsw)*(Tr_buck+Tf_buck), 0, (Table2[[#This Row],[Vin]]*Table2[[#This Row],[Avg IL]]/2)*(Fsw/1)*(Tr_buck+Tf_buck))</f>
        <v>1.2918249543746214</v>
      </c>
      <c r="AJ55">
        <f>IF(Table2[[#This Row],[Vin]]&gt;Vout, IF(Table2[[#This Row],[Iout]]&gt;Table2[[#This Row],[Ripple Current pk-pk]]/2,0,ABS(Table2[[#This Row],[Iout]]-Table2[[#This Row],[Ripple Current pk-pk]]/2)*Vsd_Q1*Deadtime*Fsw),0)</f>
        <v>0</v>
      </c>
      <c r="AK55" s="354">
        <f>(Table2[[#This Row],[Dead Time Loss BuCtrl]]+Table2[[#This Row],[Transition Loss BuCtrl]]+Table2[[#This Row],[RDS(on) Loss BuCtrl]]*(1+RdsonTopTc*Ta-RdsonTopTc*25))/(1-Table2[[#This Row],[RDS(on) Loss BuCtrl]]*RdsonTopTc*ThetaJA_Q1)</f>
        <v>1.4708768578254048</v>
      </c>
      <c r="AL55" s="354">
        <f>Table2[[#This Row],[Irms Lf]]</f>
        <v>5.6132482693859709</v>
      </c>
      <c r="AM55" s="354">
        <f>Rdson2*Table2[[#This Row],[Irms BuSync]]^2</f>
        <v>0.13233593576181132</v>
      </c>
      <c r="AN5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0.26559085714285713</v>
      </c>
      <c r="AO55" s="354">
        <f>(Table2[[#This Row],[Deadtime Loss BuSync]]+Table2[[#This Row],[RDS(on) Loss BuSync]]*(1+RdsonBotTc*Ta-RdsonBotTc*25))/(1-Table2[[#This Row],[RDS(on) Loss BuSync]]*RdsonBotTc*ThetaJA_Q2)</f>
        <v>0.41097976699534861</v>
      </c>
      <c r="AP55" s="354">
        <f>Table2[[#This Row],[Irms Lf]]</f>
        <v>5.6132482693859709</v>
      </c>
      <c r="AQ55" s="354">
        <f>Rdson4*Table2[[#This Row],[Irms BoCtlr]]^2</f>
        <v>0.13233593576181132</v>
      </c>
      <c r="AR55" s="354">
        <f>CHOOSE(Table2[[#This Row],[Mode Digit]], 0, (Vout*Table2[[#This Row],[Iin]]/2)*(Fsw)*(Tr_boost+Tf_boost), (Vout*Iout/2)*(Fsw/1)*(Tr_boost+Tf_boost))</f>
        <v>0</v>
      </c>
      <c r="AS55" s="354">
        <f>IF(Table2[[#This Row],[Vin]]&gt;Vout, 0, IF(Table2[[#This Row],[Iin]]&gt;Table2[[#This Row],[Ripple Current pk-pk]]/2,0,ABS(Table2[[#This Row],[Iin]]-Table2[[#This Row],[Ripple Current pk-pk]]/2)*Vsd_Q4*Deadtime*Fsw))</f>
        <v>0</v>
      </c>
      <c r="AT55" s="354">
        <f>(Table2[[#This Row],[Dead Time Loss BoCtlr]]+Table2[[#This Row],[Transition Loss BoCtlr]]+Table2[[#This Row],[RDS(on) Loss BoCtlr]]*(1+RdsonTopTc*Ta-RdsonTopTc*25))/(1-Table2[[#This Row],[RDS(on) Loss BoCtlr]]*RdsonTopTc*ThetaJA_Q4)</f>
        <v>0.13667687879848356</v>
      </c>
      <c r="AU55" s="354">
        <f>Table2[[#This Row],[Irms Lf]]</f>
        <v>5.6132482693859709</v>
      </c>
      <c r="AV55" s="354">
        <f>Rdson3*Table2[[#This Row],[Irms BoSync]]^2</f>
        <v>0.13233593576181132</v>
      </c>
      <c r="AW5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5" s="354">
        <f>(Table2[[#This Row],[Deadtime Loss BoSync]]+Table2[[#This Row],[RDS(on) Loss BoSync]]*(1+RdsonBotTc*Ta-RdsonBotTc*25))/(1-Table2[[#This Row],[RDS(on) Loss BoSync]]*RdsonBotTc*ThetaJA_Q3)</f>
        <v>0.13667687879848356</v>
      </c>
      <c r="AY55" s="354">
        <f>CHOOSE(Table2[[#This Row],[Mode Digit]], Rdson3*Table2[[#This Row],[Irms Lf]]^2, Rdson1*Table2[[#This Row],[Irms Lf]]^2, 0)</f>
        <v>0.13233593576181132</v>
      </c>
      <c r="AZ55" s="354">
        <f>CHOOSE(Table2[[#This Row],[Mode Digit]], 2*Deadtime*Fsw*IF(VfdSky_Q2&gt;0,VfdSky_Q2,0)*Table2[[#This Row],[Iout]], 2*Deadtime*Fsw*IF(VfdSky_Q3&gt;0,VfdSky_Q3,0)*Table2[[#This Row],[Iin]], 2*Deadtime*Fsw*IF(VfdSky_Q2&gt;0,VfdSky_Q2,0)*Table2[[#This Row],[Iout]]+2*Deadtime*Fsw*IF(VfdSky_Q3&gt;0,VfdSky_Q3,0)*Table2[[#This Row],[Iin]])</f>
        <v>0</v>
      </c>
      <c r="BA5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0.13014402432</v>
      </c>
      <c r="BB5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0.13014402432</v>
      </c>
      <c r="BC55" s="354">
        <f>CHOOSE(Table2[[#This Row],[Mode Digit]], Rs*Table2[[#This Row],[Irms BuSync]]^2, Rs*Table2[[#This Row],[Irms BoCtlr]]^2, Rs*(Table2[[#This Row],[Irms BuSync]]^2+Table2[[#This Row],[Irms BoCtlr]]^2))</f>
        <v>7.8771390334411495E-2</v>
      </c>
      <c r="BD55" s="354">
        <f t="shared" si="6"/>
        <v>1.44</v>
      </c>
      <c r="BE55" s="354">
        <f>IF(Vout&gt;8, Iq*Vout, Iq*Table2[[#This Row],[Vin]])</f>
        <v>4.3799999999999999E-2</v>
      </c>
      <c r="BF55" s="354">
        <f>CHOOSE(Table2[[#This Row],[Mode Digit]], (Qg_Q1+Qg_Q2)*Fsw, (Qg_Q3+Qg_Q4)*Fsw, (Qg_Q1+Qg_Q2+Qg_Q3+Qg_Q4)*Fsw)*IF(Vout&gt;8, Vout, Table2[[#This Row],[Vin]])</f>
        <v>0.47303999999999996</v>
      </c>
      <c r="BG55" s="354">
        <f t="shared" si="4"/>
        <v>0.57269042016806726</v>
      </c>
      <c r="BH55" s="354">
        <f>Table2[[#This Row],[IQ Loss]]+Table2[[#This Row],[Switching Current Loss]]</f>
        <v>0.51683999999999997</v>
      </c>
      <c r="BI5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5.2441585217590276</v>
      </c>
      <c r="BJ55">
        <f>Vout*Table2[[#This Row],[Iout]]</f>
        <v>80.591999999999999</v>
      </c>
      <c r="BK55" s="550">
        <f>Table2[[#This Row],[Pout]]/(Table2[[#This Row],[Pout]]+Table2[[#This Row],[Total Loss]])</f>
        <v>0.93890501844360075</v>
      </c>
      <c r="BL55" s="559">
        <f>IF(Table2[[#This Row],[Vin]]&gt;Vout,ThetaJA_Q1*(Table2[[#This Row],[Total Control Bu MOSFET Loss]]+Table2[[#This Row],[Reverse Recovery Loss MOSFET D BUCK]]),ThetaJA_Q4*(Table2[[#This Row],[Total Control Bo MOSFET Loss]]+Table2[[#This Row],[Reverse Recovery Loss MOSFET D BOOST]]))</f>
        <v>96.061252928724286</v>
      </c>
      <c r="BM55" s="559">
        <f>IF(Table2[[#This Row],[Vin]]&gt;Vout, Table2[[#This Row],[Total Sync Bu MOSFET Loss]]*ThetaJA_Q2, ThetaJA_Q3*Table2[[#This Row],[Total Sync Bo MOSFET Loss]])</f>
        <v>24.658786019720917</v>
      </c>
      <c r="BN55" s="9"/>
      <c r="BO55" s="4">
        <f>Table2[[#This Row],[EFF, h]]*100</f>
        <v>93.890501844360074</v>
      </c>
      <c r="BP55" s="354">
        <f>Table2[[#This Row],[Total Inductor Loss]]</f>
        <v>0.77302939722315034</v>
      </c>
      <c r="BQ55" s="354">
        <f>Table2[[#This Row],[Total Control Bu MOSFET Loss]]+Table2[[#This Row],[Total Sync Bu MOSFET Loss]]+Table2[[#This Row],[Total Control Bo MOSFET Loss]]+Table2[[#This Row],[Total Sync Bo MOSFET Loss]]+Table2[[#This Row],[Reverse Recovery Loss MOSFET D BUCK]]+Table2[[#This Row],[Reverse Recovery Loss MOSFET D BOOST]]</f>
        <v>2.4154984310577197</v>
      </c>
      <c r="BR55" s="354">
        <f xml:space="preserve"> Table2[[#This Row],[Total Control Bu MOSFET Loss]]+Table2[[#This Row],[Reverse Recovery Loss MOSFET D BUCK]]*0.66</f>
        <v>1.5567719138766047</v>
      </c>
      <c r="BS55" s="354">
        <f>Table2[[#This Row],[Total Sync Bu MOSFET Loss]]+Table2[[#This Row],[Reverse Recovery Loss MOSFET D BUCK]]*0.33</f>
        <v>0.45392729502094858</v>
      </c>
      <c r="BT55" s="354">
        <f xml:space="preserve"> Table2[[#This Row],[Total Control Bo MOSFET Loss]]+Table2[[#This Row],[Reverse Recovery Loss MOSFET D BOOST]]*0.66</f>
        <v>0.22257193484968357</v>
      </c>
      <c r="BU55" s="354">
        <f xml:space="preserve"> Table2[[#This Row],[Total Sync Bo MOSFET Loss]]+Table2[[#This Row],[Reverse Recovery Loss MOSFET D BOOST]]*0.33</f>
        <v>0.17962440682408357</v>
      </c>
      <c r="BV55" s="354">
        <f>Table2[[#This Row],[Isense Shunt Loss]]</f>
        <v>7.8771390334411495E-2</v>
      </c>
      <c r="CA55">
        <v>9.9943860000000004</v>
      </c>
      <c r="CB55">
        <v>14.954000000000001</v>
      </c>
      <c r="CC55">
        <v>5.1130310000000003</v>
      </c>
      <c r="CD55">
        <v>84.352650264578628</v>
      </c>
      <c r="CE55">
        <v>14183.318533699994</v>
      </c>
    </row>
    <row r="56" spans="1:83" ht="15.75" x14ac:dyDescent="0.3">
      <c r="A56" s="446" t="s">
        <v>643</v>
      </c>
      <c r="B56" s="5">
        <f>ThetaJA_Q2</f>
        <v>60</v>
      </c>
      <c r="C56" s="441" t="s">
        <v>237</v>
      </c>
      <c r="D56" s="74" t="s">
        <v>105</v>
      </c>
      <c r="E56" s="2"/>
      <c r="G56">
        <v>47</v>
      </c>
      <c r="H56" s="555">
        <f t="shared" si="5"/>
        <v>23.6</v>
      </c>
      <c r="I56" s="4" t="str">
        <f>IF(Mode = 2,IF(Table2[[#This Row],[Vin]]&gt;Vout, "BUCK","BOOST"),IF(Table2[[#This Row],[Vin]]&gt;VIN_BB_to_buck, "BUCK", IF(Table2[[#This Row],[Vin]]&lt;=VIN_boost_to_BB,"BOOST","BUCK-BST")))</f>
        <v>BUCK</v>
      </c>
      <c r="J56">
        <f>IF(Table2[[#This Row],[Mode]]="BOOST",2, IF(Table2[[#This Row],[Mode]]="BUCK", 1,3))</f>
        <v>1</v>
      </c>
      <c r="K56" s="354">
        <f t="shared" si="7"/>
        <v>5.64</v>
      </c>
      <c r="L56" s="4">
        <f>Vout*Table2[[#This Row],[Iout]]/(Table2[[#This Row],[Vin]]*Efficiency)</f>
        <v>3.6727921498661904</v>
      </c>
      <c r="M56" s="711">
        <f>MIN(1/Fsw,CHOOSE(Table2[[#This Row],[Mode Digit]],(Vout+(Rdson2+Rs+Rdcr)*Table2[[#This Row],[Iout]])/(Table2[[#This Row],[Vin]]+(Rs+Rdson2-Rdson1)*Table2[[#This Row],[Iout]])/Fsw,(Vout+(Rdson3+Rdcr)*Table2[[#This Row],[Iin]]-Table2[[#This Row],[Vin]])/(Vout+(Rdson3-Rdson4-Rs)*Table2[[#This Row],[Iin]])/Fsw,t1_Ph_II))</f>
        <v>1.0354336321660927E-6</v>
      </c>
      <c r="N56" s="602">
        <f>CHOOSE(Table2[[#This Row],[Mode Digit]],1/Fsw-Table2[[#This Row],[t1_Ph_II]],1/Fsw-Table2[[#This Row],[t1_Ph_II]],(Vout/Fsw-Table2[[#This Row],[Vin]]*t1_Ph_II)/(Table2[[#This Row],[Vin]]+Vout))</f>
        <v>6.3123303450057399E-7</v>
      </c>
      <c r="O56" s="602">
        <f>1/Fsw-(Table2[[#This Row],[t1_Ph_II]]+Table2[[#This Row],[t2_Ph_I]])</f>
        <v>0</v>
      </c>
      <c r="P5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3.8750563088077961</v>
      </c>
      <c r="Q56" s="4">
        <f>CHOOSE(Table2[[#This Row],[Mode Digit]],Table2[[#This Row],[I_0]]+1/Lf*(Table2[[#This Row],[Vin]]-Vout)*Table2[[#This Row],[t1_Ph_II]],Table2[[#This Row],[I_0]]+1/Lf*Table2[[#This Row],[Vin]]*Table2[[#This Row],[t1_Ph_II]],Table2[[#This Row],[I_0]]+(Table2[[#This Row],[Vin]]-Vout)/L*Table2[[#This Row],[t1_Ph_II]])</f>
        <v>7.4049436911922033</v>
      </c>
      <c r="R56" s="4">
        <f>CHOOSE(Table2[[#This Row],[Mode Digit]],0,0,Table2[[#This Row],[I_1]]+Table2[[#This Row],[Vin]]/L*Table2[[#This Row],[t2_Ph_I]])</f>
        <v>0</v>
      </c>
      <c r="S56" s="409">
        <f>Fsw*(Table2[[#This Row],[I_0]]*Table2[[#This Row],[t1_Ph_II]]+Table2[[#This Row],[I_1]]*Table2[[#This Row],[t2_Ph_I]]+Table2[[#This Row],[I_2]]*Table2[[#This Row],[t3_Ph_III]])</f>
        <v>5.2119652231044737</v>
      </c>
      <c r="T56" s="354">
        <f>MIN(1,CHOOSE(Table2[[#This Row],[Mode Digit]],(Vout+(Rdson2+Rs+Rdcr)*Table2[[#This Row],[Iout]])/(Table2[[#This Row],[Vin]]+(Rs+Rdson2-Rdson1)*Table2[[#This Row],[Iout]]),1,Fsw*Table2[[#This Row],[t2_Ph_I]]+Table2[[#This Row],[t1_Ph_II]]))</f>
        <v>0.6212601792996556</v>
      </c>
      <c r="U56" s="354">
        <f>MIN(1,CHOOSE(Table2[[#This Row],[Mode Digit]],0,(Vout+(Rdson3+Rdcr)*Table2[[#This Row],[Iin]]-Table2[[#This Row],[Vin]])/(Vout+(Rdson3-Rdson4-Rs)*Table2[[#This Row],[Iin]]),Fsw*Table2[[#This Row],[t1_Ph_II]]+Table2[[#This Row],[t3_Ph_III]]))</f>
        <v>0</v>
      </c>
      <c r="V56" s="4">
        <f>MAX(Table2[[#This Row],[I_0]:[I_2]])-MIN(Table2[[#This Row],[I_0]:[I_1]])</f>
        <v>3.5298873823844072</v>
      </c>
      <c r="W5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5.7313124219233629</v>
      </c>
      <c r="X56" s="354">
        <f>(Table2[[#This Row],[Irms Lf]]^2*Rdcr*(1+Ltc*Ta-Ltc*25))/(1-Table2[[#This Row],[Irms Lf]]^2*Rdcr*Ltc*ThetaCa)</f>
        <v>0.1934667773204764</v>
      </c>
      <c r="Y56" s="354">
        <f>ABS(7.759*10^-3*Fsw^0.9458*(0.00787*Table2[[#This Row],[Ripple Current pk-pk]])^2.304)</f>
        <v>0.58768957375189257</v>
      </c>
      <c r="Z56" s="354">
        <f>Table2[[#This Row],[DCR    Loss]]+Table2[[#This Row],[Core Loss]]</f>
        <v>0.78115635107236892</v>
      </c>
      <c r="AA56" s="4">
        <f>IF(Table2[[#This Row],[Vin]]&gt;Vout, Table2[[#This Row],[Ripple Current pk-pk]]/SQRT(12), SQRT(Table2[[#This Row],[Duty Cycle BOOST Leg]]/(1-Table2[[#This Row],[Duty Cycle BOOST Leg]]))*SQRT(Table2[[#This Row],[Iout]]^2+(Table2[[#This Row],[Ripple Current pk-pk]]^2)/12))</f>
        <v>1.0189907152143505</v>
      </c>
      <c r="AB56" s="354">
        <f>RCoutEsr*Table2[[#This Row],[Irms Cout]]^2</f>
        <v>5.1917103884652673E-3</v>
      </c>
      <c r="AC56" s="354">
        <f>Table2[[#This Row],[Cout ESR Loss]]</f>
        <v>5.1917103884652673E-3</v>
      </c>
      <c r="AD56" s="4">
        <f>IF(Table2[[#This Row],[Vin]]&gt;Vout, SQRT(Table2[[#This Row],[Duty Cycle BUCK Leg]]*(1-Table2[[#This Row],[Duty Cycle BUCK Leg]]))*SQRT(Table2[[#This Row],[Iout]]^2+(Table2[[#This Row],[Ripple Current pk-pk]]^2)/12), Table2[[#This Row],[Ripple Current pk-pk]]/SQRT(12))</f>
        <v>2.7801058177836513</v>
      </c>
      <c r="AE56" s="354">
        <f>RCinEsr*Table2[[#This Row],[Irms Cin]]^2</f>
        <v>1.545797671614901E-2</v>
      </c>
      <c r="AF56" s="549">
        <f>Table2[[#This Row],[Cin ESR Loss]]</f>
        <v>1.545797671614901E-2</v>
      </c>
      <c r="AG56" s="354">
        <f>Table2[[#This Row],[Irms Lf]]</f>
        <v>5.7313124219233629</v>
      </c>
      <c r="AH56" s="354">
        <f>Rdson1*Table2[[#This Row],[Irms BuCtrl]]^2</f>
        <v>0.1379613567263108</v>
      </c>
      <c r="AI56" s="354">
        <f>CHOOSE(Table2[[#This Row],[Mode Digit]], (Table2[[#This Row],[Vin]]*Table2[[#This Row],[Iout]]/2)*(Fsw)*(Tr_buck+Tf_buck), 0, (Table2[[#This Row],[Vin]]*Table2[[#This Row],[Avg IL]]/2)*(Fsw/1)*(Tr_buck+Tf_buck))</f>
        <v>1.3199081055566786</v>
      </c>
      <c r="AJ56">
        <f>IF(Table2[[#This Row],[Vin]]&gt;Vout, IF(Table2[[#This Row],[Iout]]&gt;Table2[[#This Row],[Ripple Current pk-pk]]/2,0,ABS(Table2[[#This Row],[Iout]]-Table2[[#This Row],[Ripple Current pk-pk]]/2)*Vsd_Q1*Deadtime*Fsw),0)</f>
        <v>0</v>
      </c>
      <c r="AK56" s="354">
        <f>(Table2[[#This Row],[Dead Time Loss BuCtrl]]+Table2[[#This Row],[Transition Loss BuCtrl]]+Table2[[#This Row],[RDS(on) Loss BuCtrl]]*(1+RdsonTopTc*Ta-RdsonTopTc*25))/(1-Table2[[#This Row],[RDS(on) Loss BuCtrl]]*RdsonTopTc*ThetaJA_Q1)</f>
        <v>1.5077936025397003</v>
      </c>
      <c r="AL56" s="354">
        <f>Table2[[#This Row],[Irms Lf]]</f>
        <v>5.7313124219233629</v>
      </c>
      <c r="AM56" s="354">
        <f>Rdson2*Table2[[#This Row],[Irms BuSync]]^2</f>
        <v>0.1379613567263108</v>
      </c>
      <c r="AN5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0.2713645714285714</v>
      </c>
      <c r="AO56" s="354">
        <f>(Table2[[#This Row],[Deadtime Loss BuSync]]+Table2[[#This Row],[RDS(on) Loss BuSync]]*(1+RdsonBotTc*Ta-RdsonBotTc*25))/(1-Table2[[#This Row],[RDS(on) Loss BuSync]]*RdsonBotTc*ThetaJA_Q2)</f>
        <v>0.42334312624881282</v>
      </c>
      <c r="AP56" s="354">
        <f>Table2[[#This Row],[Irms Lf]]</f>
        <v>5.7313124219233629</v>
      </c>
      <c r="AQ56" s="354">
        <f>Rdson4*Table2[[#This Row],[Irms BoCtlr]]^2</f>
        <v>0.1379613567263108</v>
      </c>
      <c r="AR56" s="354">
        <f>CHOOSE(Table2[[#This Row],[Mode Digit]], 0, (Vout*Table2[[#This Row],[Iin]]/2)*(Fsw)*(Tr_boost+Tf_boost), (Vout*Iout/2)*(Fsw/1)*(Tr_boost+Tf_boost))</f>
        <v>0</v>
      </c>
      <c r="AS56" s="354">
        <f>IF(Table2[[#This Row],[Vin]]&gt;Vout, 0, IF(Table2[[#This Row],[Iin]]&gt;Table2[[#This Row],[Ripple Current pk-pk]]/2,0,ABS(Table2[[#This Row],[Iin]]-Table2[[#This Row],[Ripple Current pk-pk]]/2)*Vsd_Q4*Deadtime*Fsw))</f>
        <v>0</v>
      </c>
      <c r="AT56" s="354">
        <f>(Table2[[#This Row],[Dead Time Loss BoCtlr]]+Table2[[#This Row],[Transition Loss BoCtlr]]+Table2[[#This Row],[RDS(on) Loss BoCtlr]]*(1+RdsonTopTc*Ta-RdsonTopTc*25))/(1-Table2[[#This Row],[RDS(on) Loss BoCtlr]]*RdsonTopTc*ThetaJA_Q4)</f>
        <v>0.14268578665738615</v>
      </c>
      <c r="AU56" s="354">
        <f>Table2[[#This Row],[Irms Lf]]</f>
        <v>5.7313124219233629</v>
      </c>
      <c r="AV56" s="354">
        <f>Rdson3*Table2[[#This Row],[Irms BoSync]]^2</f>
        <v>0.1379613567263108</v>
      </c>
      <c r="AW5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6" s="354">
        <f>(Table2[[#This Row],[Deadtime Loss BoSync]]+Table2[[#This Row],[RDS(on) Loss BoSync]]*(1+RdsonBotTc*Ta-RdsonBotTc*25))/(1-Table2[[#This Row],[RDS(on) Loss BoSync]]*RdsonBotTc*ThetaJA_Q3)</f>
        <v>0.14268578665738615</v>
      </c>
      <c r="AY56" s="354">
        <f>CHOOSE(Table2[[#This Row],[Mode Digit]], Rdson3*Table2[[#This Row],[Irms Lf]]^2, Rdson1*Table2[[#This Row],[Irms Lf]]^2, 0)</f>
        <v>0.1379613567263108</v>
      </c>
      <c r="AZ56" s="354">
        <f>CHOOSE(Table2[[#This Row],[Mode Digit]], 2*Deadtime*Fsw*IF(VfdSky_Q2&gt;0,VfdSky_Q2,0)*Table2[[#This Row],[Iout]], 2*Deadtime*Fsw*IF(VfdSky_Q3&gt;0,VfdSky_Q3,0)*Table2[[#This Row],[Iin]], 2*Deadtime*Fsw*IF(VfdSky_Q2&gt;0,VfdSky_Q2,0)*Table2[[#This Row],[Iout]]+2*Deadtime*Fsw*IF(VfdSky_Q3&gt;0,VfdSky_Q3,0)*Table2[[#This Row],[Iin]])</f>
        <v>0</v>
      </c>
      <c r="BA5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0.13297039968000002</v>
      </c>
      <c r="BB5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0.13297039968000002</v>
      </c>
      <c r="BC56" s="354">
        <f>CHOOSE(Table2[[#This Row],[Mode Digit]], Rs*Table2[[#This Row],[Irms BuSync]]^2, Rs*Table2[[#This Row],[Irms BoCtlr]]^2, Rs*(Table2[[#This Row],[Irms BuSync]]^2+Table2[[#This Row],[Irms BoCtlr]]^2))</f>
        <v>8.2119855194232608E-2</v>
      </c>
      <c r="BD56" s="354">
        <f t="shared" si="6"/>
        <v>1.44</v>
      </c>
      <c r="BE56" s="354">
        <f>IF(Vout&gt;8, Iq*Vout, Iq*Table2[[#This Row],[Vin]])</f>
        <v>4.3799999999999999E-2</v>
      </c>
      <c r="BF56" s="354">
        <f>CHOOSE(Table2[[#This Row],[Mode Digit]], (Qg_Q1+Qg_Q2)*Fsw, (Qg_Q3+Qg_Q4)*Fsw, (Qg_Q1+Qg_Q2+Qg_Q3+Qg_Q4)*Fsw)*IF(Vout&gt;8, Vout, Table2[[#This Row],[Vin]])</f>
        <v>0.47303999999999996</v>
      </c>
      <c r="BG56" s="354">
        <f t="shared" si="4"/>
        <v>0.57269042016806726</v>
      </c>
      <c r="BH56" s="354">
        <f>Table2[[#This Row],[IQ Loss]]+Table2[[#This Row],[Switching Current Loss]]</f>
        <v>0.51683999999999997</v>
      </c>
      <c r="BI5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5.3232149948345011</v>
      </c>
      <c r="BJ56">
        <f>Vout*Table2[[#This Row],[Iout]]</f>
        <v>82.343999999999994</v>
      </c>
      <c r="BK56" s="550">
        <f>Table2[[#This Row],[Pout]]/(Table2[[#This Row],[Pout]]+Table2[[#This Row],[Total Loss]])</f>
        <v>0.93927929619814943</v>
      </c>
      <c r="BL56" s="559">
        <f>IF(Table2[[#This Row],[Vin]]&gt;Vout,ThetaJA_Q1*(Table2[[#This Row],[Total Control Bu MOSFET Loss]]+Table2[[#This Row],[Reverse Recovery Loss MOSFET D BUCK]]),ThetaJA_Q4*(Table2[[#This Row],[Total Control Bo MOSFET Loss]]+Table2[[#This Row],[Reverse Recovery Loss MOSFET D BOOST]]))</f>
        <v>98.445840133182017</v>
      </c>
      <c r="BM56" s="559">
        <f>IF(Table2[[#This Row],[Vin]]&gt;Vout, Table2[[#This Row],[Total Sync Bu MOSFET Loss]]*ThetaJA_Q2, ThetaJA_Q3*Table2[[#This Row],[Total Sync Bo MOSFET Loss]])</f>
        <v>25.400587574928768</v>
      </c>
      <c r="BN56" s="9"/>
      <c r="BO56" s="4">
        <f>Table2[[#This Row],[EFF, h]]*100</f>
        <v>93.927929619814947</v>
      </c>
      <c r="BP56" s="354">
        <f>Table2[[#This Row],[Total Inductor Loss]]</f>
        <v>0.78115635107236892</v>
      </c>
      <c r="BQ56" s="354">
        <f>Table2[[#This Row],[Total Control Bu MOSFET Loss]]+Table2[[#This Row],[Total Sync Bu MOSFET Loss]]+Table2[[#This Row],[Total Control Bo MOSFET Loss]]+Table2[[#This Row],[Total Sync Bo MOSFET Loss]]+Table2[[#This Row],[Reverse Recovery Loss MOSFET D BUCK]]+Table2[[#This Row],[Reverse Recovery Loss MOSFET D BOOST]]</f>
        <v>2.4824491014632852</v>
      </c>
      <c r="BR56" s="354">
        <f xml:space="preserve"> Table2[[#This Row],[Total Control Bu MOSFET Loss]]+Table2[[#This Row],[Reverse Recovery Loss MOSFET D BUCK]]*0.66</f>
        <v>1.5955540663285004</v>
      </c>
      <c r="BS56" s="354">
        <f>Table2[[#This Row],[Total Sync Bu MOSFET Loss]]+Table2[[#This Row],[Reverse Recovery Loss MOSFET D BUCK]]*0.33</f>
        <v>0.46722335814321281</v>
      </c>
      <c r="BT56" s="354">
        <f xml:space="preserve"> Table2[[#This Row],[Total Control Bo MOSFET Loss]]+Table2[[#This Row],[Reverse Recovery Loss MOSFET D BOOST]]*0.66</f>
        <v>0.23044625044618616</v>
      </c>
      <c r="BU56" s="354">
        <f xml:space="preserve"> Table2[[#This Row],[Total Sync Bo MOSFET Loss]]+Table2[[#This Row],[Reverse Recovery Loss MOSFET D BOOST]]*0.33</f>
        <v>0.18656601855178617</v>
      </c>
      <c r="BV56" s="354">
        <f>Table2[[#This Row],[Isense Shunt Loss]]</f>
        <v>8.2119855194232608E-2</v>
      </c>
      <c r="CB56" s="18"/>
      <c r="CC56" s="19"/>
    </row>
    <row r="57" spans="1:83" x14ac:dyDescent="0.2">
      <c r="A57" s="24" t="s">
        <v>275</v>
      </c>
      <c r="B57" s="15" t="s">
        <v>113</v>
      </c>
      <c r="C57" s="24" t="s">
        <v>80</v>
      </c>
      <c r="D57" s="24" t="s">
        <v>245</v>
      </c>
      <c r="G57">
        <v>48</v>
      </c>
      <c r="H57" s="555">
        <f t="shared" si="5"/>
        <v>23.6</v>
      </c>
      <c r="I57" s="4" t="str">
        <f>IF(Mode = 2,IF(Table2[[#This Row],[Vin]]&gt;Vout, "BUCK","BOOST"),IF(Table2[[#This Row],[Vin]]&gt;VIN_BB_to_buck, "BUCK", IF(Table2[[#This Row],[Vin]]&lt;=VIN_boost_to_BB,"BOOST","BUCK-BST")))</f>
        <v>BUCK</v>
      </c>
      <c r="J57">
        <f>IF(Table2[[#This Row],[Mode]]="BOOST",2, IF(Table2[[#This Row],[Mode]]="BUCK", 1,3))</f>
        <v>1</v>
      </c>
      <c r="K57" s="354">
        <f t="shared" si="7"/>
        <v>5.76</v>
      </c>
      <c r="L57" s="4">
        <f>Vout*Table2[[#This Row],[Iout]]/(Table2[[#This Row],[Vin]]*Efficiency)</f>
        <v>3.7509366636931305</v>
      </c>
      <c r="M57" s="711">
        <f>MIN(1/Fsw,CHOOSE(Table2[[#This Row],[Mode Digit]],(Vout+(Rdson2+Rs+Rdcr)*Table2[[#This Row],[Iout]])/(Table2[[#This Row],[Vin]]+(Rs+Rdson2-Rdson1)*Table2[[#This Row],[Iout]])/Fsw,(Vout+(Rdson3+Rdcr)*Table2[[#This Row],[Iin]]-Table2[[#This Row],[Vin]])/(Vout+(Rdson3-Rdson4-Rs)*Table2[[#This Row],[Iin]])/Fsw,t1_Ph_II))</f>
        <v>1.0355263455066964E-6</v>
      </c>
      <c r="N57" s="602">
        <f>CHOOSE(Table2[[#This Row],[Mode Digit]],1/Fsw-Table2[[#This Row],[t1_Ph_II]],1/Fsw-Table2[[#This Row],[t1_Ph_II]],(Vout/Fsw-Table2[[#This Row],[Vin]]*t1_Ph_II)/(Table2[[#This Row],[Vin]]+Vout))</f>
        <v>6.3114032115997024E-7</v>
      </c>
      <c r="O57" s="602">
        <f>1/Fsw-(Table2[[#This Row],[t1_Ph_II]]+Table2[[#This Row],[t2_Ph_I]])</f>
        <v>0</v>
      </c>
      <c r="P5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3.9948982747044943</v>
      </c>
      <c r="Q57" s="4">
        <f>CHOOSE(Table2[[#This Row],[Mode Digit]],Table2[[#This Row],[I_0]]+1/Lf*(Table2[[#This Row],[Vin]]-Vout)*Table2[[#This Row],[t1_Ph_II]],Table2[[#This Row],[I_0]]+1/Lf*Table2[[#This Row],[Vin]]*Table2[[#This Row],[t1_Ph_II]],Table2[[#This Row],[I_0]]+(Table2[[#This Row],[Vin]]-Vout)/L*Table2[[#This Row],[t1_Ph_II]])</f>
        <v>7.5251017252955048</v>
      </c>
      <c r="R57" s="4">
        <f>CHOOSE(Table2[[#This Row],[Mode Digit]],0,0,Table2[[#This Row],[I_1]]+Table2[[#This Row],[Vin]]/L*Table2[[#This Row],[t2_Ph_I]])</f>
        <v>0</v>
      </c>
      <c r="S57" s="409">
        <f>Fsw*(Table2[[#This Row],[I_0]]*Table2[[#This Row],[t1_Ph_II]]+Table2[[#This Row],[I_1]]*Table2[[#This Row],[t2_Ph_I]]+Table2[[#This Row],[I_2]]*Table2[[#This Row],[t3_Ph_III]])</f>
        <v>5.3317305184441217</v>
      </c>
      <c r="T57" s="354">
        <f>MIN(1,CHOOSE(Table2[[#This Row],[Mode Digit]],(Vout+(Rdson2+Rs+Rdcr)*Table2[[#This Row],[Iout]])/(Table2[[#This Row],[Vin]]+(Rs+Rdson2-Rdson1)*Table2[[#This Row],[Iout]]),1,Fsw*Table2[[#This Row],[t2_Ph_I]]+Table2[[#This Row],[t1_Ph_II]]))</f>
        <v>0.62131580730401781</v>
      </c>
      <c r="U57" s="354">
        <f>MIN(1,CHOOSE(Table2[[#This Row],[Mode Digit]],0,(Vout+(Rdson3+Rdcr)*Table2[[#This Row],[Iin]]-Table2[[#This Row],[Vin]])/(Vout+(Rdson3-Rdson4-Rs)*Table2[[#This Row],[Iin]]),Fsw*Table2[[#This Row],[t1_Ph_II]]+Table2[[#This Row],[t3_Ph_III]]))</f>
        <v>0</v>
      </c>
      <c r="V57" s="4">
        <f>MAX(Table2[[#This Row],[I_0]:[I_2]])-MIN(Table2[[#This Row],[I_0]:[I_1]])</f>
        <v>3.5302034505910105</v>
      </c>
      <c r="W5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5.8494553621296275</v>
      </c>
      <c r="X57" s="354">
        <f>(Table2[[#This Row],[Irms Lf]]^2*Rdcr*(1+Ltc*Ta-Ltc*25))/(1-Table2[[#This Row],[Irms Lf]]^2*Rdcr*Ltc*ThetaCa)</f>
        <v>0.20165507572739516</v>
      </c>
      <c r="Y57" s="354">
        <f>ABS(7.759*10^-3*Fsw^0.9458*(0.00787*Table2[[#This Row],[Ripple Current pk-pk]])^2.304)</f>
        <v>0.58781082208502744</v>
      </c>
      <c r="Z57" s="354">
        <f>Table2[[#This Row],[DCR    Loss]]+Table2[[#This Row],[Core Loss]]</f>
        <v>0.7894658978124226</v>
      </c>
      <c r="AA57" s="4">
        <f>IF(Table2[[#This Row],[Vin]]&gt;Vout, Table2[[#This Row],[Ripple Current pk-pk]]/SQRT(12), SQRT(Table2[[#This Row],[Duty Cycle BOOST Leg]]/(1-Table2[[#This Row],[Duty Cycle BOOST Leg]]))*SQRT(Table2[[#This Row],[Iout]]^2+(Table2[[#This Row],[Ripple Current pk-pk]]^2)/12))</f>
        <v>1.0190819562464328</v>
      </c>
      <c r="AB57" s="354">
        <f>RCoutEsr*Table2[[#This Row],[Irms Cout]]^2</f>
        <v>5.1926401677352815E-3</v>
      </c>
      <c r="AC57" s="354">
        <f>Table2[[#This Row],[Cout ESR Loss]]</f>
        <v>5.1926401677352815E-3</v>
      </c>
      <c r="AD57" s="4">
        <f>IF(Table2[[#This Row],[Vin]]&gt;Vout, SQRT(Table2[[#This Row],[Duty Cycle BUCK Leg]]*(1-Table2[[#This Row],[Duty Cycle BUCK Leg]]))*SQRT(Table2[[#This Row],[Iout]]^2+(Table2[[#This Row],[Ripple Current pk-pk]]^2)/12), Table2[[#This Row],[Ripple Current pk-pk]]/SQRT(12))</f>
        <v>2.8373324241557873</v>
      </c>
      <c r="AE57" s="354">
        <f>RCinEsr*Table2[[#This Row],[Irms Cin]]^2</f>
        <v>1.6100910570331514E-2</v>
      </c>
      <c r="AF57" s="549">
        <f>Table2[[#This Row],[Cin ESR Loss]]</f>
        <v>1.6100910570331514E-2</v>
      </c>
      <c r="AG57" s="354">
        <f>Table2[[#This Row],[Irms Lf]]</f>
        <v>5.8494553621296275</v>
      </c>
      <c r="AH57" s="354">
        <f>Rdson1*Table2[[#This Row],[Irms BuCtrl]]^2</f>
        <v>0.14370773774089762</v>
      </c>
      <c r="AI57" s="354">
        <f>CHOOSE(Table2[[#This Row],[Mode Digit]], (Table2[[#This Row],[Vin]]*Table2[[#This Row],[Iout]]/2)*(Fsw)*(Tr_buck+Tf_buck), 0, (Table2[[#This Row],[Vin]]*Table2[[#This Row],[Avg IL]]/2)*(Fsw/1)*(Tr_buck+Tf_buck))</f>
        <v>1.3479912567387353</v>
      </c>
      <c r="AJ57">
        <f>IF(Table2[[#This Row],[Vin]]&gt;Vout, IF(Table2[[#This Row],[Iout]]&gt;Table2[[#This Row],[Ripple Current pk-pk]]/2,0,ABS(Table2[[#This Row],[Iout]]-Table2[[#This Row],[Ripple Current pk-pk]]/2)*Vsd_Q1*Deadtime*Fsw),0)</f>
        <v>0</v>
      </c>
      <c r="AK57" s="354">
        <f>(Table2[[#This Row],[Dead Time Loss BuCtrl]]+Table2[[#This Row],[Transition Loss BuCtrl]]+Table2[[#This Row],[RDS(on) Loss BuCtrl]]*(1+RdsonTopTc*Ta-RdsonTopTc*25))/(1-Table2[[#This Row],[RDS(on) Loss BuCtrl]]*RdsonTopTc*ThetaJA_Q1)</f>
        <v>1.5449853172272232</v>
      </c>
      <c r="AL57" s="354">
        <f>Table2[[#This Row],[Irms Lf]]</f>
        <v>5.8494553621296275</v>
      </c>
      <c r="AM57" s="354">
        <f>Rdson2*Table2[[#This Row],[Irms BuSync]]^2</f>
        <v>0.14370773774089762</v>
      </c>
      <c r="AN5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0.27713828571428573</v>
      </c>
      <c r="AO57" s="354">
        <f>(Table2[[#This Row],[Deadtime Loss BuSync]]+Table2[[#This Row],[RDS(on) Loss BuSync]]*(1+RdsonBotTc*Ta-RdsonBotTc*25))/(1-Table2[[#This Row],[RDS(on) Loss BuSync]]*RdsonBotTc*ThetaJA_Q2)</f>
        <v>0.4358794431436479</v>
      </c>
      <c r="AP57" s="354">
        <f>Table2[[#This Row],[Irms Lf]]</f>
        <v>5.8494553621296275</v>
      </c>
      <c r="AQ57" s="354">
        <f>Rdson4*Table2[[#This Row],[Irms BoCtlr]]^2</f>
        <v>0.14370773774089762</v>
      </c>
      <c r="AR57" s="354">
        <f>CHOOSE(Table2[[#This Row],[Mode Digit]], 0, (Vout*Table2[[#This Row],[Iin]]/2)*(Fsw)*(Tr_boost+Tf_boost), (Vout*Iout/2)*(Fsw/1)*(Tr_boost+Tf_boost))</f>
        <v>0</v>
      </c>
      <c r="AS57" s="354">
        <f>IF(Table2[[#This Row],[Vin]]&gt;Vout, 0, IF(Table2[[#This Row],[Iin]]&gt;Table2[[#This Row],[Ripple Current pk-pk]]/2,0,ABS(Table2[[#This Row],[Iin]]-Table2[[#This Row],[Ripple Current pk-pk]]/2)*Vsd_Q4*Deadtime*Fsw))</f>
        <v>0</v>
      </c>
      <c r="AT57" s="354">
        <f>(Table2[[#This Row],[Dead Time Loss BoCtlr]]+Table2[[#This Row],[Transition Loss BoCtlr]]+Table2[[#This Row],[RDS(on) Loss BoCtlr]]*(1+RdsonTopTc*Ta-RdsonTopTc*25))/(1-Table2[[#This Row],[RDS(on) Loss BoCtlr]]*RdsonTopTc*ThetaJA_Q4)</f>
        <v>0.14884125121977401</v>
      </c>
      <c r="AU57" s="354">
        <f>Table2[[#This Row],[Irms Lf]]</f>
        <v>5.8494553621296275</v>
      </c>
      <c r="AV57" s="354">
        <f>Rdson3*Table2[[#This Row],[Irms BoSync]]^2</f>
        <v>0.14370773774089762</v>
      </c>
      <c r="AW5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7" s="354">
        <f>(Table2[[#This Row],[Deadtime Loss BoSync]]+Table2[[#This Row],[RDS(on) Loss BoSync]]*(1+RdsonBotTc*Ta-RdsonBotTc*25))/(1-Table2[[#This Row],[RDS(on) Loss BoSync]]*RdsonBotTc*ThetaJA_Q3)</f>
        <v>0.14884125121977401</v>
      </c>
      <c r="AY57" s="354">
        <f>CHOOSE(Table2[[#This Row],[Mode Digit]], Rdson3*Table2[[#This Row],[Irms Lf]]^2, Rdson1*Table2[[#This Row],[Irms Lf]]^2, 0)</f>
        <v>0.14370773774089762</v>
      </c>
      <c r="AZ57" s="354">
        <f>CHOOSE(Table2[[#This Row],[Mode Digit]], 2*Deadtime*Fsw*IF(VfdSky_Q2&gt;0,VfdSky_Q2,0)*Table2[[#This Row],[Iout]], 2*Deadtime*Fsw*IF(VfdSky_Q3&gt;0,VfdSky_Q3,0)*Table2[[#This Row],[Iin]], 2*Deadtime*Fsw*IF(VfdSky_Q2&gt;0,VfdSky_Q2,0)*Table2[[#This Row],[Iout]]+2*Deadtime*Fsw*IF(VfdSky_Q3&gt;0,VfdSky_Q3,0)*Table2[[#This Row],[Iin]])</f>
        <v>0</v>
      </c>
      <c r="BA5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0.13579665408000002</v>
      </c>
      <c r="BB5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0.13579665408000002</v>
      </c>
      <c r="BC57" s="354">
        <f>CHOOSE(Table2[[#This Row],[Mode Digit]], Rs*Table2[[#This Row],[Irms BuSync]]^2, Rs*Table2[[#This Row],[Irms BoCtlr]]^2, Rs*(Table2[[#This Row],[Irms BuSync]]^2+Table2[[#This Row],[Irms BoCtlr]]^2))</f>
        <v>8.5540320083867624E-2</v>
      </c>
      <c r="BD57" s="354">
        <f t="shared" si="6"/>
        <v>1.44</v>
      </c>
      <c r="BE57" s="354">
        <f>IF(Vout&gt;8, Iq*Vout, Iq*Table2[[#This Row],[Vin]])</f>
        <v>4.3799999999999999E-2</v>
      </c>
      <c r="BF57" s="354">
        <f>CHOOSE(Table2[[#This Row],[Mode Digit]], (Qg_Q1+Qg_Q2)*Fsw, (Qg_Q3+Qg_Q4)*Fsw, (Qg_Q1+Qg_Q2+Qg_Q3+Qg_Q4)*Fsw)*IF(Vout&gt;8, Vout, Table2[[#This Row],[Vin]])</f>
        <v>0.47303999999999996</v>
      </c>
      <c r="BG57" s="354">
        <f t="shared" si="4"/>
        <v>0.57269042016806726</v>
      </c>
      <c r="BH57" s="354">
        <f>Table2[[#This Row],[IQ Loss]]+Table2[[#This Row],[Switching Current Loss]]</f>
        <v>0.51683999999999997</v>
      </c>
      <c r="BI5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5.4032803396047751</v>
      </c>
      <c r="BJ57">
        <f>Vout*Table2[[#This Row],[Iout]]</f>
        <v>84.095999999999989</v>
      </c>
      <c r="BK57" s="550">
        <f>Table2[[#This Row],[Pout]]/(Table2[[#This Row],[Pout]]+Table2[[#This Row],[Total Loss]])</f>
        <v>0.93962766718232771</v>
      </c>
      <c r="BL57" s="559">
        <f>IF(Table2[[#This Row],[Vin]]&gt;Vout,ThetaJA_Q1*(Table2[[#This Row],[Total Control Bu MOSFET Loss]]+Table2[[#This Row],[Reverse Recovery Loss MOSFET D BUCK]]),ThetaJA_Q4*(Table2[[#This Row],[Total Control Bo MOSFET Loss]]+Table2[[#This Row],[Reverse Recovery Loss MOSFET D BOOST]]))</f>
        <v>100.84691827843339</v>
      </c>
      <c r="BM57" s="559">
        <f>IF(Table2[[#This Row],[Vin]]&gt;Vout, Table2[[#This Row],[Total Sync Bu MOSFET Loss]]*ThetaJA_Q2, ThetaJA_Q3*Table2[[#This Row],[Total Sync Bo MOSFET Loss]])</f>
        <v>26.152766588618874</v>
      </c>
      <c r="BN57" s="9"/>
      <c r="BO57" s="4">
        <f>Table2[[#This Row],[EFF, h]]*100</f>
        <v>93.962766718232771</v>
      </c>
      <c r="BP57" s="354">
        <f>Table2[[#This Row],[Total Inductor Loss]]</f>
        <v>0.7894658978124226</v>
      </c>
      <c r="BQ57" s="354">
        <f>Table2[[#This Row],[Total Control Bu MOSFET Loss]]+Table2[[#This Row],[Total Sync Bu MOSFET Loss]]+Table2[[#This Row],[Total Control Bo MOSFET Loss]]+Table2[[#This Row],[Total Sync Bo MOSFET Loss]]+Table2[[#This Row],[Reverse Recovery Loss MOSFET D BUCK]]+Table2[[#This Row],[Reverse Recovery Loss MOSFET D BOOST]]</f>
        <v>2.5501405709704188</v>
      </c>
      <c r="BR57" s="354">
        <f xml:space="preserve"> Table2[[#This Row],[Total Control Bu MOSFET Loss]]+Table2[[#This Row],[Reverse Recovery Loss MOSFET D BUCK]]*0.66</f>
        <v>1.6346111089200233</v>
      </c>
      <c r="BS57" s="354">
        <f>Table2[[#This Row],[Total Sync Bu MOSFET Loss]]+Table2[[#This Row],[Reverse Recovery Loss MOSFET D BUCK]]*0.33</f>
        <v>0.48069233899004793</v>
      </c>
      <c r="BT57" s="354">
        <f xml:space="preserve"> Table2[[#This Row],[Total Control Bo MOSFET Loss]]+Table2[[#This Row],[Reverse Recovery Loss MOSFET D BOOST]]*0.66</f>
        <v>0.23846704291257403</v>
      </c>
      <c r="BU57" s="354">
        <f xml:space="preserve"> Table2[[#This Row],[Total Sync Bo MOSFET Loss]]+Table2[[#This Row],[Reverse Recovery Loss MOSFET D BOOST]]*0.33</f>
        <v>0.19365414706617401</v>
      </c>
      <c r="BV57" s="354">
        <f>Table2[[#This Row],[Isense Shunt Loss]]</f>
        <v>8.5540320083867624E-2</v>
      </c>
      <c r="CB57" s="18"/>
      <c r="CC57" s="19"/>
    </row>
    <row r="58" spans="1:83" x14ac:dyDescent="0.2">
      <c r="A58" s="23" t="s">
        <v>228</v>
      </c>
      <c r="B58" s="71">
        <f>VfdSky_Q2</f>
        <v>0</v>
      </c>
      <c r="C58" s="440" t="s">
        <v>0</v>
      </c>
      <c r="D58" s="74" t="s">
        <v>231</v>
      </c>
      <c r="G58">
        <v>49</v>
      </c>
      <c r="H58" s="555">
        <f t="shared" si="5"/>
        <v>23.6</v>
      </c>
      <c r="I58" s="4" t="str">
        <f>IF(Mode = 2,IF(Table2[[#This Row],[Vin]]&gt;Vout, "BUCK","BOOST"),IF(Table2[[#This Row],[Vin]]&gt;VIN_BB_to_buck, "BUCK", IF(Table2[[#This Row],[Vin]]&lt;=VIN_boost_to_BB,"BOOST","BUCK-BST")))</f>
        <v>BUCK</v>
      </c>
      <c r="J58">
        <f>IF(Table2[[#This Row],[Mode]]="BOOST",2, IF(Table2[[#This Row],[Mode]]="BUCK", 1,3))</f>
        <v>1</v>
      </c>
      <c r="K58" s="354">
        <f t="shared" si="7"/>
        <v>5.88</v>
      </c>
      <c r="L58" s="4">
        <f>Vout*Table2[[#This Row],[Iout]]/(Table2[[#This Row],[Vin]]*Efficiency)</f>
        <v>3.829081177520071</v>
      </c>
      <c r="M58" s="711">
        <f>MIN(1/Fsw,CHOOSE(Table2[[#This Row],[Mode Digit]],(Vout+(Rdson2+Rs+Rdcr)*Table2[[#This Row],[Iout]])/(Table2[[#This Row],[Vin]]+(Rs+Rdson2-Rdson1)*Table2[[#This Row],[Iout]])/Fsw,(Vout+(Rdson3+Rdcr)*Table2[[#This Row],[Iin]]-Table2[[#This Row],[Vin]])/(Vout+(Rdson3-Rdson4-Rs)*Table2[[#This Row],[Iin]])/Fsw,t1_Ph_II))</f>
        <v>1.0356190564916484E-6</v>
      </c>
      <c r="N58" s="602">
        <f>CHOOSE(Table2[[#This Row],[Mode Digit]],1/Fsw-Table2[[#This Row],[t1_Ph_II]],1/Fsw-Table2[[#This Row],[t1_Ph_II]],(Vout/Fsw-Table2[[#This Row],[Vin]]*t1_Ph_II)/(Table2[[#This Row],[Vin]]+Vout))</f>
        <v>6.3104761017501828E-7</v>
      </c>
      <c r="O58" s="602">
        <f>1/Fsw-(Table2[[#This Row],[t1_Ph_II]]+Table2[[#This Row],[t2_Ph_I]])</f>
        <v>0</v>
      </c>
      <c r="P5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4.1147402446165078</v>
      </c>
      <c r="Q58" s="4">
        <f>CHOOSE(Table2[[#This Row],[Mode Digit]],Table2[[#This Row],[I_0]]+1/Lf*(Table2[[#This Row],[Vin]]-Vout)*Table2[[#This Row],[t1_Ph_II]],Table2[[#This Row],[I_0]]+1/Lf*Table2[[#This Row],[Vin]]*Table2[[#This Row],[t1_Ph_II]],Table2[[#This Row],[I_0]]+(Table2[[#This Row],[Vin]]-Vout)/L*Table2[[#This Row],[t1_Ph_II]])</f>
        <v>7.645259755383492</v>
      </c>
      <c r="R58" s="4">
        <f>CHOOSE(Table2[[#This Row],[Mode Digit]],0,0,Table2[[#This Row],[I_1]]+Table2[[#This Row],[Vin]]/L*Table2[[#This Row],[t2_Ph_I]])</f>
        <v>0</v>
      </c>
      <c r="S58" s="409">
        <f>Fsw*(Table2[[#This Row],[I_0]]*Table2[[#This Row],[t1_Ph_II]]+Table2[[#This Row],[I_1]]*Table2[[#This Row],[t2_Ph_I]]+Table2[[#This Row],[I_2]]*Table2[[#This Row],[t3_Ph_III]])</f>
        <v>5.4514957845839751</v>
      </c>
      <c r="T58" s="354">
        <f>MIN(1,CHOOSE(Table2[[#This Row],[Mode Digit]],(Vout+(Rdson2+Rs+Rdcr)*Table2[[#This Row],[Iout]])/(Table2[[#This Row],[Vin]]+(Rs+Rdson2-Rdson1)*Table2[[#This Row],[Iout]]),1,Fsw*Table2[[#This Row],[t2_Ph_I]]+Table2[[#This Row],[t1_Ph_II]]))</f>
        <v>0.62137143389498906</v>
      </c>
      <c r="U58" s="354">
        <f>MIN(1,CHOOSE(Table2[[#This Row],[Mode Digit]],0,(Vout+(Rdson3+Rdcr)*Table2[[#This Row],[Iin]]-Table2[[#This Row],[Vin]])/(Vout+(Rdson3-Rdson4-Rs)*Table2[[#This Row],[Iin]]),Fsw*Table2[[#This Row],[t1_Ph_II]]+Table2[[#This Row],[t3_Ph_III]]))</f>
        <v>0</v>
      </c>
      <c r="V58" s="4">
        <f>MAX(Table2[[#This Row],[I_0]:[I_2]])-MIN(Table2[[#This Row],[I_0]:[I_1]])</f>
        <v>3.5305195107669842</v>
      </c>
      <c r="W5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5.9676724106912511</v>
      </c>
      <c r="X58" s="354">
        <f>(Table2[[#This Row],[Irms Lf]]^2*Rdcr*(1+Ltc*Ta-Ltc*25))/(1-Table2[[#This Row],[Irms Lf]]^2*Rdcr*Ltc*ThetaCa)</f>
        <v>0.21002664330283247</v>
      </c>
      <c r="Y58" s="354">
        <f>ABS(7.759*10^-3*Fsw^0.9458*(0.00787*Table2[[#This Row],[Ripple Current pk-pk]])^2.304)</f>
        <v>0.587932081493585</v>
      </c>
      <c r="Z58" s="354">
        <f>Table2[[#This Row],[DCR    Loss]]+Table2[[#This Row],[Core Loss]]</f>
        <v>0.7979587247964175</v>
      </c>
      <c r="AA58" s="4">
        <f>IF(Table2[[#This Row],[Vin]]&gt;Vout, Table2[[#This Row],[Ripple Current pk-pk]]/SQRT(12), SQRT(Table2[[#This Row],[Duty Cycle BOOST Leg]]/(1-Table2[[#This Row],[Duty Cycle BOOST Leg]]))*SQRT(Table2[[#This Row],[Iout]]^2+(Table2[[#This Row],[Ripple Current pk-pk]]^2)/12))</f>
        <v>1.0191731949602723</v>
      </c>
      <c r="AB58" s="354">
        <f>RCoutEsr*Table2[[#This Row],[Irms Cout]]^2</f>
        <v>5.1935700066276461E-3</v>
      </c>
      <c r="AC58" s="354">
        <f>Table2[[#This Row],[Cout ESR Loss]]</f>
        <v>5.1935700066276461E-3</v>
      </c>
      <c r="AD58" s="4">
        <f>IF(Table2[[#This Row],[Vin]]&gt;Vout, SQRT(Table2[[#This Row],[Duty Cycle BUCK Leg]]*(1-Table2[[#This Row],[Duty Cycle BUCK Leg]]))*SQRT(Table2[[#This Row],[Iout]]^2+(Table2[[#This Row],[Ripple Current pk-pk]]^2)/12), Table2[[#This Row],[Ripple Current pk-pk]]/SQRT(12))</f>
        <v>2.8945916514891388</v>
      </c>
      <c r="AE58" s="354">
        <f>RCinEsr*Table2[[#This Row],[Irms Cin]]^2</f>
        <v>1.6757321657741242E-2</v>
      </c>
      <c r="AF58" s="549">
        <f>Table2[[#This Row],[Cin ESR Loss]]</f>
        <v>1.6757321657741242E-2</v>
      </c>
      <c r="AG58" s="354">
        <f>Table2[[#This Row],[Irms Lf]]</f>
        <v>5.9676724106912511</v>
      </c>
      <c r="AH58" s="354">
        <f>Rdson1*Table2[[#This Row],[Irms BuCtrl]]^2</f>
        <v>0.14957507880556722</v>
      </c>
      <c r="AI58" s="354">
        <f>CHOOSE(Table2[[#This Row],[Mode Digit]], (Table2[[#This Row],[Vin]]*Table2[[#This Row],[Iout]]/2)*(Fsw)*(Tr_buck+Tf_buck), 0, (Table2[[#This Row],[Vin]]*Table2[[#This Row],[Avg IL]]/2)*(Fsw/1)*(Tr_buck+Tf_buck))</f>
        <v>1.3760744079207923</v>
      </c>
      <c r="AJ58">
        <f>IF(Table2[[#This Row],[Vin]]&gt;Vout, IF(Table2[[#This Row],[Iout]]&gt;Table2[[#This Row],[Ripple Current pk-pk]]/2,0,ABS(Table2[[#This Row],[Iout]]-Table2[[#This Row],[Ripple Current pk-pk]]/2)*Vsd_Q1*Deadtime*Fsw),0)</f>
        <v>0</v>
      </c>
      <c r="AK58" s="354">
        <f>(Table2[[#This Row],[Dead Time Loss BuCtrl]]+Table2[[#This Row],[Transition Loss BuCtrl]]+Table2[[#This Row],[RDS(on) Loss BuCtrl]]*(1+RdsonTopTc*Ta-RdsonTopTc*25))/(1-Table2[[#This Row],[RDS(on) Loss BuCtrl]]*RdsonTopTc*ThetaJA_Q1)</f>
        <v>1.5824565415857368</v>
      </c>
      <c r="AL58" s="354">
        <f>Table2[[#This Row],[Irms Lf]]</f>
        <v>5.9676724106912511</v>
      </c>
      <c r="AM58" s="354">
        <f>Rdson2*Table2[[#This Row],[Irms BuSync]]^2</f>
        <v>0.14957507880556722</v>
      </c>
      <c r="AN5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0.282912</v>
      </c>
      <c r="AO58" s="354">
        <f>(Table2[[#This Row],[Deadtime Loss BuSync]]+Table2[[#This Row],[RDS(on) Loss BuSync]]*(1+RdsonBotTc*Ta-RdsonBotTc*25))/(1-Table2[[#This Row],[RDS(on) Loss BuSync]]*RdsonBotTc*ThetaJA_Q2)</f>
        <v>0.44859059237498927</v>
      </c>
      <c r="AP58" s="354">
        <f>Table2[[#This Row],[Irms Lf]]</f>
        <v>5.9676724106912511</v>
      </c>
      <c r="AQ58" s="354">
        <f>Rdson4*Table2[[#This Row],[Irms BoCtlr]]^2</f>
        <v>0.14957507880556722</v>
      </c>
      <c r="AR58" s="354">
        <f>CHOOSE(Table2[[#This Row],[Mode Digit]], 0, (Vout*Table2[[#This Row],[Iin]]/2)*(Fsw)*(Tr_boost+Tf_boost), (Vout*Iout/2)*(Fsw/1)*(Tr_boost+Tf_boost))</f>
        <v>0</v>
      </c>
      <c r="AS58" s="354">
        <f>IF(Table2[[#This Row],[Vin]]&gt;Vout, 0, IF(Table2[[#This Row],[Iin]]&gt;Table2[[#This Row],[Ripple Current pk-pk]]/2,0,ABS(Table2[[#This Row],[Iin]]-Table2[[#This Row],[Ripple Current pk-pk]]/2)*Vsd_Q4*Deadtime*Fsw))</f>
        <v>0</v>
      </c>
      <c r="AT58" s="354">
        <f>(Table2[[#This Row],[Dead Time Loss BoCtlr]]+Table2[[#This Row],[Transition Loss BoCtlr]]+Table2[[#This Row],[RDS(on) Loss BoCtlr]]*(1+RdsonTopTc*Ta-RdsonTopTc*25))/(1-Table2[[#This Row],[RDS(on) Loss BoCtlr]]*RdsonTopTc*ThetaJA_Q4)</f>
        <v>0.15514445747427813</v>
      </c>
      <c r="AU58" s="354">
        <f>Table2[[#This Row],[Irms Lf]]</f>
        <v>5.9676724106912511</v>
      </c>
      <c r="AV58" s="354">
        <f>Rdson3*Table2[[#This Row],[Irms BoSync]]^2</f>
        <v>0.14957507880556722</v>
      </c>
      <c r="AW5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8" s="354">
        <f>(Table2[[#This Row],[Deadtime Loss BoSync]]+Table2[[#This Row],[RDS(on) Loss BoSync]]*(1+RdsonBotTc*Ta-RdsonBotTc*25))/(1-Table2[[#This Row],[RDS(on) Loss BoSync]]*RdsonBotTc*ThetaJA_Q3)</f>
        <v>0.15514445747427813</v>
      </c>
      <c r="AY58" s="354">
        <f>CHOOSE(Table2[[#This Row],[Mode Digit]], Rdson3*Table2[[#This Row],[Irms Lf]]^2, Rdson1*Table2[[#This Row],[Irms Lf]]^2, 0)</f>
        <v>0.14957507880556722</v>
      </c>
      <c r="AZ58" s="354">
        <f>CHOOSE(Table2[[#This Row],[Mode Digit]], 2*Deadtime*Fsw*IF(VfdSky_Q2&gt;0,VfdSky_Q2,0)*Table2[[#This Row],[Iout]], 2*Deadtime*Fsw*IF(VfdSky_Q3&gt;0,VfdSky_Q3,0)*Table2[[#This Row],[Iin]], 2*Deadtime*Fsw*IF(VfdSky_Q2&gt;0,VfdSky_Q2,0)*Table2[[#This Row],[Iout]]+2*Deadtime*Fsw*IF(VfdSky_Q3&gt;0,VfdSky_Q3,0)*Table2[[#This Row],[Iin]])</f>
        <v>0</v>
      </c>
      <c r="BA5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0.13862278752000001</v>
      </c>
      <c r="BB5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0.13862278752000001</v>
      </c>
      <c r="BC58" s="354">
        <f>CHOOSE(Table2[[#This Row],[Mode Digit]], Rs*Table2[[#This Row],[Irms BuSync]]^2, Rs*Table2[[#This Row],[Irms BoCtlr]]^2, Rs*(Table2[[#This Row],[Irms BuSync]]^2+Table2[[#This Row],[Irms BoCtlr]]^2))</f>
        <v>8.9032785003313825E-2</v>
      </c>
      <c r="BD58" s="354">
        <f t="shared" si="6"/>
        <v>1.44</v>
      </c>
      <c r="BE58" s="354">
        <f>IF(Vout&gt;8, Iq*Vout, Iq*Table2[[#This Row],[Vin]])</f>
        <v>4.3799999999999999E-2</v>
      </c>
      <c r="BF58" s="354">
        <f>CHOOSE(Table2[[#This Row],[Mode Digit]], (Qg_Q1+Qg_Q2)*Fsw, (Qg_Q3+Qg_Q4)*Fsw, (Qg_Q1+Qg_Q2+Qg_Q3+Qg_Q4)*Fsw)*IF(Vout&gt;8, Vout, Table2[[#This Row],[Vin]])</f>
        <v>0.47303999999999996</v>
      </c>
      <c r="BG58" s="354">
        <f t="shared" si="4"/>
        <v>0.57269042016806726</v>
      </c>
      <c r="BH58" s="354">
        <f>Table2[[#This Row],[IQ Loss]]+Table2[[#This Row],[Switching Current Loss]]</f>
        <v>0.51683999999999997</v>
      </c>
      <c r="BI5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5.4843640254133827</v>
      </c>
      <c r="BJ58">
        <f>Vout*Table2[[#This Row],[Iout]]</f>
        <v>85.847999999999999</v>
      </c>
      <c r="BK58" s="550">
        <f>Table2[[#This Row],[Pout]]/(Table2[[#This Row],[Pout]]+Table2[[#This Row],[Total Loss]])</f>
        <v>0.93995158141436752</v>
      </c>
      <c r="BL58" s="559">
        <f>IF(Table2[[#This Row],[Vin]]&gt;Vout,ThetaJA_Q1*(Table2[[#This Row],[Total Control Bu MOSFET Loss]]+Table2[[#This Row],[Reverse Recovery Loss MOSFET D BUCK]]),ThetaJA_Q4*(Table2[[#This Row],[Total Control Bo MOSFET Loss]]+Table2[[#This Row],[Reverse Recovery Loss MOSFET D BOOST]]))</f>
        <v>103.26475974634421</v>
      </c>
      <c r="BM58" s="559">
        <f>IF(Table2[[#This Row],[Vin]]&gt;Vout, Table2[[#This Row],[Total Sync Bu MOSFET Loss]]*ThetaJA_Q2, ThetaJA_Q3*Table2[[#This Row],[Total Sync Bo MOSFET Loss]])</f>
        <v>26.915435542499356</v>
      </c>
      <c r="BN58" s="9"/>
      <c r="BO58" s="4">
        <f>Table2[[#This Row],[EFF, h]]*100</f>
        <v>93.995158141436747</v>
      </c>
      <c r="BP58" s="354">
        <f>Table2[[#This Row],[Total Inductor Loss]]</f>
        <v>0.7979587247964175</v>
      </c>
      <c r="BQ58" s="354">
        <f>Table2[[#This Row],[Total Control Bu MOSFET Loss]]+Table2[[#This Row],[Total Sync Bu MOSFET Loss]]+Table2[[#This Row],[Total Control Bo MOSFET Loss]]+Table2[[#This Row],[Total Sync Bo MOSFET Loss]]+Table2[[#This Row],[Reverse Recovery Loss MOSFET D BUCK]]+Table2[[#This Row],[Reverse Recovery Loss MOSFET D BOOST]]</f>
        <v>2.6185816239492823</v>
      </c>
      <c r="BR58" s="354">
        <f xml:space="preserve"> Table2[[#This Row],[Total Control Bu MOSFET Loss]]+Table2[[#This Row],[Reverse Recovery Loss MOSFET D BUCK]]*0.66</f>
        <v>1.6739475813489368</v>
      </c>
      <c r="BS58" s="354">
        <f>Table2[[#This Row],[Total Sync Bu MOSFET Loss]]+Table2[[#This Row],[Reverse Recovery Loss MOSFET D BUCK]]*0.33</f>
        <v>0.4943361122565893</v>
      </c>
      <c r="BT58" s="354">
        <f xml:space="preserve"> Table2[[#This Row],[Total Control Bo MOSFET Loss]]+Table2[[#This Row],[Reverse Recovery Loss MOSFET D BOOST]]*0.66</f>
        <v>0.24663549723747813</v>
      </c>
      <c r="BU58" s="354">
        <f xml:space="preserve"> Table2[[#This Row],[Total Sync Bo MOSFET Loss]]+Table2[[#This Row],[Reverse Recovery Loss MOSFET D BOOST]]*0.33</f>
        <v>0.20088997735587813</v>
      </c>
      <c r="BV58" s="354">
        <f>Table2[[#This Row],[Isense Shunt Loss]]</f>
        <v>8.9032785003313825E-2</v>
      </c>
      <c r="CB58" s="18"/>
      <c r="CC58" s="19"/>
    </row>
    <row r="59" spans="1:83" x14ac:dyDescent="0.2">
      <c r="A59" s="23" t="s">
        <v>229</v>
      </c>
      <c r="B59" s="71">
        <f>QrrSky_Q2*1000000000</f>
        <v>0</v>
      </c>
      <c r="C59" s="440" t="s">
        <v>69</v>
      </c>
      <c r="D59" s="74" t="s">
        <v>232</v>
      </c>
      <c r="G59">
        <v>50</v>
      </c>
      <c r="H59" s="555">
        <f t="shared" si="5"/>
        <v>23.6</v>
      </c>
      <c r="I59" s="4" t="str">
        <f>IF(Mode = 2,IF(Table2[[#This Row],[Vin]]&gt;Vout, "BUCK","BOOST"),IF(Table2[[#This Row],[Vin]]&gt;VIN_BB_to_buck, "BUCK", IF(Table2[[#This Row],[Vin]]&lt;=VIN_boost_to_BB,"BOOST","BUCK-BST")))</f>
        <v>BUCK</v>
      </c>
      <c r="J59">
        <f>IF(Table2[[#This Row],[Mode]]="BOOST",2, IF(Table2[[#This Row],[Mode]]="BUCK", 1,3))</f>
        <v>1</v>
      </c>
      <c r="K59" s="354">
        <f t="shared" si="7"/>
        <v>6</v>
      </c>
      <c r="L59" s="4">
        <f>Vout*Table2[[#This Row],[Iout]]/(Table2[[#This Row],[Vin]]*Efficiency)</f>
        <v>3.9072256913470111</v>
      </c>
      <c r="M59" s="711">
        <f>MIN(1/Fsw,CHOOSE(Table2[[#This Row],[Mode Digit]],(Vout+(Rdson2+Rs+Rdcr)*Table2[[#This Row],[Iout]])/(Table2[[#This Row],[Vin]]+(Rs+Rdson2-Rdson1)*Table2[[#This Row],[Iout]])/Fsw,(Vout+(Rdson3+Rdcr)*Table2[[#This Row],[Iin]]-Table2[[#This Row],[Vin]])/(Vout+(Rdson3-Rdson4-Rs)*Table2[[#This Row],[Iin]])/Fsw,t1_Ph_II))</f>
        <v>1.0357117651210386E-6</v>
      </c>
      <c r="N59" s="602">
        <f>CHOOSE(Table2[[#This Row],[Mode Digit]],1/Fsw-Table2[[#This Row],[t1_Ph_II]],1/Fsw-Table2[[#This Row],[t1_Ph_II]],(Vout/Fsw-Table2[[#This Row],[Vin]]*t1_Ph_II)/(Table2[[#This Row],[Vin]]+Vout))</f>
        <v>6.3095490154562809E-7</v>
      </c>
      <c r="O59" s="602">
        <f>1/Fsw-(Table2[[#This Row],[t1_Ph_II]]+Table2[[#This Row],[t2_Ph_I]])</f>
        <v>0</v>
      </c>
      <c r="P5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4.2345822185436841</v>
      </c>
      <c r="Q59" s="4">
        <f>CHOOSE(Table2[[#This Row],[Mode Digit]],Table2[[#This Row],[I_0]]+1/Lf*(Table2[[#This Row],[Vin]]-Vout)*Table2[[#This Row],[t1_Ph_II]],Table2[[#This Row],[I_0]]+1/Lf*Table2[[#This Row],[Vin]]*Table2[[#This Row],[t1_Ph_II]],Table2[[#This Row],[I_0]]+(Table2[[#This Row],[Vin]]-Vout)/L*Table2[[#This Row],[t1_Ph_II]])</f>
        <v>7.7654177814563159</v>
      </c>
      <c r="R59" s="4">
        <f>CHOOSE(Table2[[#This Row],[Mode Digit]],0,0,Table2[[#This Row],[I_1]]+Table2[[#This Row],[Vin]]/L*Table2[[#This Row],[t2_Ph_I]])</f>
        <v>0</v>
      </c>
      <c r="S59" s="409">
        <f>Fsw*(Table2[[#This Row],[I_0]]*Table2[[#This Row],[t1_Ph_II]]+Table2[[#This Row],[I_1]]*Table2[[#This Row],[t2_Ph_I]]+Table2[[#This Row],[I_2]]*Table2[[#This Row],[t3_Ph_III]])</f>
        <v>5.5712610215264897</v>
      </c>
      <c r="T59" s="354">
        <f>MIN(1,CHOOSE(Table2[[#This Row],[Mode Digit]],(Vout+(Rdson2+Rs+Rdcr)*Table2[[#This Row],[Iout]])/(Table2[[#This Row],[Vin]]+(Rs+Rdson2-Rdson1)*Table2[[#This Row],[Iout]]),1,Fsw*Table2[[#This Row],[t2_Ph_I]]+Table2[[#This Row],[t1_Ph_II]]))</f>
        <v>0.62142705907262319</v>
      </c>
      <c r="U59" s="354">
        <f>MIN(1,CHOOSE(Table2[[#This Row],[Mode Digit]],0,(Vout+(Rdson3+Rdcr)*Table2[[#This Row],[Iin]]-Table2[[#This Row],[Vin]])/(Vout+(Rdson3-Rdson4-Rs)*Table2[[#This Row],[Iin]]),Fsw*Table2[[#This Row],[t1_Ph_II]]+Table2[[#This Row],[t3_Ph_III]]))</f>
        <v>0</v>
      </c>
      <c r="V59" s="4">
        <f>MAX(Table2[[#This Row],[I_0]:[I_2]])-MIN(Table2[[#This Row],[I_0]:[I_1]])</f>
        <v>3.5308355629126318</v>
      </c>
      <c r="W5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6.0859592490442607</v>
      </c>
      <c r="X59" s="354">
        <f>(Table2[[#This Row],[Irms Lf]]^2*Rdcr*(1+Ltc*Ta-Ltc*25))/(1-Table2[[#This Row],[Irms Lf]]^2*Rdcr*Ltc*ThetaCa)</f>
        <v>0.21858218414645184</v>
      </c>
      <c r="Y59" s="354">
        <f>ABS(7.759*10^-3*Fsw^0.9458*(0.00787*Table2[[#This Row],[Ripple Current pk-pk]])^2.304)</f>
        <v>0.58805335197698794</v>
      </c>
      <c r="Z59" s="354">
        <f>Table2[[#This Row],[DCR    Loss]]+Table2[[#This Row],[Core Loss]]</f>
        <v>0.80663553612343974</v>
      </c>
      <c r="AA59" s="4">
        <f>IF(Table2[[#This Row],[Vin]]&gt;Vout, Table2[[#This Row],[Ripple Current pk-pk]]/SQRT(12), SQRT(Table2[[#This Row],[Duty Cycle BOOST Leg]]/(1-Table2[[#This Row],[Duty Cycle BOOST Leg]]))*SQRT(Table2[[#This Row],[Iout]]^2+(Table2[[#This Row],[Ripple Current pk-pk]]^2)/12))</f>
        <v>1.019264431355956</v>
      </c>
      <c r="AB59" s="354">
        <f>RCoutEsr*Table2[[#This Row],[Irms Cout]]^2</f>
        <v>5.1944999051369021E-3</v>
      </c>
      <c r="AC59" s="354">
        <f>Table2[[#This Row],[Cout ESR Loss]]</f>
        <v>5.1944999051369021E-3</v>
      </c>
      <c r="AD59" s="4">
        <f>IF(Table2[[#This Row],[Vin]]&gt;Vout, SQRT(Table2[[#This Row],[Duty Cycle BUCK Leg]]*(1-Table2[[#This Row],[Duty Cycle BUCK Leg]]))*SQRT(Table2[[#This Row],[Iout]]^2+(Table2[[#This Row],[Ripple Current pk-pk]]^2)/12), Table2[[#This Row],[Ripple Current pk-pk]]/SQRT(12))</f>
        <v>2.9518813997715685</v>
      </c>
      <c r="AE59" s="354">
        <f>RCinEsr*Table2[[#This Row],[Irms Cin]]^2</f>
        <v>1.7427207596634711E-2</v>
      </c>
      <c r="AF59" s="549">
        <f>Table2[[#This Row],[Cin ESR Loss]]</f>
        <v>1.7427207596634711E-2</v>
      </c>
      <c r="AG59" s="354">
        <f>Table2[[#This Row],[Irms Lf]]</f>
        <v>6.0859592490442607</v>
      </c>
      <c r="AH59" s="354">
        <f>Rdson1*Table2[[#This Row],[Irms BuCtrl]]^2</f>
        <v>0.15556337992031505</v>
      </c>
      <c r="AI59" s="354">
        <f>CHOOSE(Table2[[#This Row],[Mode Digit]], (Table2[[#This Row],[Vin]]*Table2[[#This Row],[Iout]]/2)*(Fsw)*(Tr_buck+Tf_buck), 0, (Table2[[#This Row],[Vin]]*Table2[[#This Row],[Avg IL]]/2)*(Fsw/1)*(Tr_buck+Tf_buck))</f>
        <v>1.4041575591028495</v>
      </c>
      <c r="AJ59">
        <f>IF(Table2[[#This Row],[Vin]]&gt;Vout, IF(Table2[[#This Row],[Iout]]&gt;Table2[[#This Row],[Ripple Current pk-pk]]/2,0,ABS(Table2[[#This Row],[Iout]]-Table2[[#This Row],[Ripple Current pk-pk]]/2)*Vsd_Q1*Deadtime*Fsw),0)</f>
        <v>0</v>
      </c>
      <c r="AK59" s="354">
        <f>(Table2[[#This Row],[Dead Time Loss BuCtrl]]+Table2[[#This Row],[Transition Loss BuCtrl]]+Table2[[#This Row],[RDS(on) Loss BuCtrl]]*(1+RdsonTopTc*Ta-RdsonTopTc*25))/(1-Table2[[#This Row],[RDS(on) Loss BuCtrl]]*RdsonTopTc*ThetaJA_Q1)</f>
        <v>1.6202118921752953</v>
      </c>
      <c r="AL59" s="354">
        <f>Table2[[#This Row],[Irms Lf]]</f>
        <v>6.0859592490442607</v>
      </c>
      <c r="AM59" s="354">
        <f>Rdson2*Table2[[#This Row],[Irms BuSync]]^2</f>
        <v>0.15556337992031505</v>
      </c>
      <c r="AN5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0.28868571428571427</v>
      </c>
      <c r="AO59" s="354">
        <f>(Table2[[#This Row],[Deadtime Loss BuSync]]+Table2[[#This Row],[RDS(on) Loss BuSync]]*(1+RdsonBotTc*Ta-RdsonBotTc*25))/(1-Table2[[#This Row],[RDS(on) Loss BuSync]]*RdsonBotTc*ThetaJA_Q2)</f>
        <v>0.46147849112771433</v>
      </c>
      <c r="AP59" s="354">
        <f>Table2[[#This Row],[Irms Lf]]</f>
        <v>6.0859592490442607</v>
      </c>
      <c r="AQ59" s="354">
        <f>Rdson4*Table2[[#This Row],[Irms BoCtlr]]^2</f>
        <v>0.15556337992031505</v>
      </c>
      <c r="AR59" s="354">
        <f>CHOOSE(Table2[[#This Row],[Mode Digit]], 0, (Vout*Table2[[#This Row],[Iin]]/2)*(Fsw)*(Tr_boost+Tf_boost), (Vout*Iout/2)*(Fsw/1)*(Tr_boost+Tf_boost))</f>
        <v>0</v>
      </c>
      <c r="AS59" s="354">
        <f>IF(Table2[[#This Row],[Vin]]&gt;Vout, 0, IF(Table2[[#This Row],[Iin]]&gt;Table2[[#This Row],[Ripple Current pk-pk]]/2,0,ABS(Table2[[#This Row],[Iin]]-Table2[[#This Row],[Ripple Current pk-pk]]/2)*Vsd_Q4*Deadtime*Fsw))</f>
        <v>0</v>
      </c>
      <c r="AT59" s="354">
        <f>(Table2[[#This Row],[Dead Time Loss BoCtlr]]+Table2[[#This Row],[Transition Loss BoCtlr]]+Table2[[#This Row],[RDS(on) Loss BoCtlr]]*(1+RdsonTopTc*Ta-RdsonTopTc*25))/(1-Table2[[#This Row],[RDS(on) Loss BoCtlr]]*RdsonTopTc*ThetaJA_Q4)</f>
        <v>0.16159662400360622</v>
      </c>
      <c r="AU59" s="354">
        <f>Table2[[#This Row],[Irms Lf]]</f>
        <v>6.0859592490442607</v>
      </c>
      <c r="AV59" s="354">
        <f>Rdson3*Table2[[#This Row],[Irms BoSync]]^2</f>
        <v>0.15556337992031505</v>
      </c>
      <c r="AW5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59" s="354">
        <f>(Table2[[#This Row],[Deadtime Loss BoSync]]+Table2[[#This Row],[RDS(on) Loss BoSync]]*(1+RdsonBotTc*Ta-RdsonBotTc*25))/(1-Table2[[#This Row],[RDS(on) Loss BoSync]]*RdsonBotTc*ThetaJA_Q3)</f>
        <v>0.16159662400360622</v>
      </c>
      <c r="AY59" s="354">
        <f>CHOOSE(Table2[[#This Row],[Mode Digit]], Rdson3*Table2[[#This Row],[Irms Lf]]^2, Rdson1*Table2[[#This Row],[Irms Lf]]^2, 0)</f>
        <v>0.15556337992031505</v>
      </c>
      <c r="AZ59" s="354">
        <f>CHOOSE(Table2[[#This Row],[Mode Digit]], 2*Deadtime*Fsw*IF(VfdSky_Q2&gt;0,VfdSky_Q2,0)*Table2[[#This Row],[Iout]], 2*Deadtime*Fsw*IF(VfdSky_Q3&gt;0,VfdSky_Q3,0)*Table2[[#This Row],[Iin]], 2*Deadtime*Fsw*IF(VfdSky_Q2&gt;0,VfdSky_Q2,0)*Table2[[#This Row],[Iout]]+2*Deadtime*Fsw*IF(VfdSky_Q3&gt;0,VfdSky_Q3,0)*Table2[[#This Row],[Iin]])</f>
        <v>0</v>
      </c>
      <c r="BA5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0.14144880000000001</v>
      </c>
      <c r="BB5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0.14144880000000001</v>
      </c>
      <c r="BC59" s="354">
        <f>CHOOSE(Table2[[#This Row],[Mode Digit]], Rs*Table2[[#This Row],[Irms BuSync]]^2, Rs*Table2[[#This Row],[Irms BoCtlr]]^2, Rs*(Table2[[#This Row],[Irms BuSync]]^2+Table2[[#This Row],[Irms BoCtlr]]^2))</f>
        <v>9.2597249952568461E-2</v>
      </c>
      <c r="BD59" s="354">
        <f t="shared" si="6"/>
        <v>1.44</v>
      </c>
      <c r="BE59" s="354">
        <f>IF(Vout&gt;8, Iq*Vout, Iq*Table2[[#This Row],[Vin]])</f>
        <v>4.3799999999999999E-2</v>
      </c>
      <c r="BF59" s="354">
        <f>CHOOSE(Table2[[#This Row],[Mode Digit]], (Qg_Q1+Qg_Q2)*Fsw, (Qg_Q3+Qg_Q4)*Fsw, (Qg_Q1+Qg_Q2+Qg_Q3+Qg_Q4)*Fsw)*IF(Vout&gt;8, Vout, Table2[[#This Row],[Vin]])</f>
        <v>0.47303999999999996</v>
      </c>
      <c r="BG59" s="354">
        <f t="shared" si="4"/>
        <v>0.57269042016806726</v>
      </c>
      <c r="BH59" s="354">
        <f>Table2[[#This Row],[IQ Loss]]+Table2[[#This Row],[Switching Current Loss]]</f>
        <v>0.51683999999999997</v>
      </c>
      <c r="BI5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5.5664757248880026</v>
      </c>
      <c r="BJ59">
        <f>Vout*Table2[[#This Row],[Iout]]</f>
        <v>87.6</v>
      </c>
      <c r="BK59" s="550">
        <f>Table2[[#This Row],[Pout]]/(Table2[[#This Row],[Pout]]+Table2[[#This Row],[Total Loss]])</f>
        <v>0.9402523742410811</v>
      </c>
      <c r="BL59" s="559">
        <f>IF(Table2[[#This Row],[Vin]]&gt;Vout,ThetaJA_Q1*(Table2[[#This Row],[Total Control Bu MOSFET Loss]]+Table2[[#This Row],[Reverse Recovery Loss MOSFET D BUCK]]),ThetaJA_Q4*(Table2[[#This Row],[Total Control Bo MOSFET Loss]]+Table2[[#This Row],[Reverse Recovery Loss MOSFET D BOOST]]))</f>
        <v>105.69964153051772</v>
      </c>
      <c r="BM59" s="559">
        <f>IF(Table2[[#This Row],[Vin]]&gt;Vout, Table2[[#This Row],[Total Sync Bu MOSFET Loss]]*ThetaJA_Q2, ThetaJA_Q3*Table2[[#This Row],[Total Sync Bo MOSFET Loss]])</f>
        <v>27.688709467662861</v>
      </c>
      <c r="BN59" s="9"/>
      <c r="BO59" s="4">
        <f>Table2[[#This Row],[EFF, h]]*100</f>
        <v>94.025237424108113</v>
      </c>
      <c r="BP59" s="354">
        <f>Table2[[#This Row],[Total Inductor Loss]]</f>
        <v>0.80663553612343974</v>
      </c>
      <c r="BQ59" s="354">
        <f>Table2[[#This Row],[Total Control Bu MOSFET Loss]]+Table2[[#This Row],[Total Sync Bu MOSFET Loss]]+Table2[[#This Row],[Total Control Bo MOSFET Loss]]+Table2[[#This Row],[Total Sync Bo MOSFET Loss]]+Table2[[#This Row],[Reverse Recovery Loss MOSFET D BUCK]]+Table2[[#This Row],[Reverse Recovery Loss MOSFET D BOOST]]</f>
        <v>2.6877812313102227</v>
      </c>
      <c r="BR59" s="354">
        <f xml:space="preserve"> Table2[[#This Row],[Total Control Bu MOSFET Loss]]+Table2[[#This Row],[Reverse Recovery Loss MOSFET D BUCK]]*0.66</f>
        <v>1.7135681001752954</v>
      </c>
      <c r="BS59" s="354">
        <f>Table2[[#This Row],[Total Sync Bu MOSFET Loss]]+Table2[[#This Row],[Reverse Recovery Loss MOSFET D BUCK]]*0.33</f>
        <v>0.50815659512771438</v>
      </c>
      <c r="BT59" s="354">
        <f xml:space="preserve"> Table2[[#This Row],[Total Control Bo MOSFET Loss]]+Table2[[#This Row],[Reverse Recovery Loss MOSFET D BOOST]]*0.66</f>
        <v>0.25495283200360624</v>
      </c>
      <c r="BU59" s="354">
        <f xml:space="preserve"> Table2[[#This Row],[Total Sync Bo MOSFET Loss]]+Table2[[#This Row],[Reverse Recovery Loss MOSFET D BOOST]]*0.33</f>
        <v>0.20827472800360622</v>
      </c>
      <c r="BV59" s="354">
        <f>Table2[[#This Row],[Isense Shunt Loss]]</f>
        <v>9.2597249952568461E-2</v>
      </c>
      <c r="CB59" s="18"/>
      <c r="CC59" s="19"/>
    </row>
    <row r="60" spans="1:83" x14ac:dyDescent="0.2">
      <c r="A60" s="23" t="s">
        <v>230</v>
      </c>
      <c r="B60" s="71">
        <f>Ireverse</f>
        <v>0</v>
      </c>
      <c r="C60" s="440" t="s">
        <v>68</v>
      </c>
      <c r="D60" s="74" t="s">
        <v>233</v>
      </c>
      <c r="E60" s="2"/>
      <c r="G60">
        <v>51</v>
      </c>
      <c r="H60" s="555">
        <f t="shared" si="5"/>
        <v>23.6</v>
      </c>
      <c r="I60" s="4" t="str">
        <f>IF(Mode = 2,IF(Table2[[#This Row],[Vin]]&gt;Vout, "BUCK","BOOST"),IF(Table2[[#This Row],[Vin]]&gt;VIN_BB_to_buck, "BUCK", IF(Table2[[#This Row],[Vin]]&lt;=VIN_boost_to_BB,"BOOST","BUCK-BST")))</f>
        <v>BUCK</v>
      </c>
      <c r="J60">
        <f>IF(Table2[[#This Row],[Mode]]="BOOST",2, IF(Table2[[#This Row],[Mode]]="BUCK", 1,3))</f>
        <v>1</v>
      </c>
      <c r="K60" s="354">
        <f t="shared" si="7"/>
        <v>6.12</v>
      </c>
      <c r="L60" s="4">
        <f>Vout*Table2[[#This Row],[Iout]]/(Table2[[#This Row],[Vin]]*Efficiency)</f>
        <v>3.9853702051739517</v>
      </c>
      <c r="M60" s="711">
        <f>MIN(1/Fsw,CHOOSE(Table2[[#This Row],[Mode Digit]],(Vout+(Rdson2+Rs+Rdcr)*Table2[[#This Row],[Iout]])/(Table2[[#This Row],[Vin]]+(Rs+Rdson2-Rdson1)*Table2[[#This Row],[Iout]])/Fsw,(Vout+(Rdson3+Rdcr)*Table2[[#This Row],[Iin]]-Table2[[#This Row],[Vin]])/(Vout+(Rdson3-Rdson4-Rs)*Table2[[#This Row],[Iin]])/Fsw,t1_Ph_II))</f>
        <v>1.0358044713949572E-6</v>
      </c>
      <c r="N60" s="602">
        <f>CHOOSE(Table2[[#This Row],[Mode Digit]],1/Fsw-Table2[[#This Row],[t1_Ph_II]],1/Fsw-Table2[[#This Row],[t1_Ph_II]],(Vout/Fsw-Table2[[#This Row],[Vin]]*t1_Ph_II)/(Table2[[#This Row],[Vin]]+Vout))</f>
        <v>6.3086219527170948E-7</v>
      </c>
      <c r="O60" s="602">
        <f>1/Fsw-(Table2[[#This Row],[t1_Ph_II]]+Table2[[#This Row],[t2_Ph_I]])</f>
        <v>0</v>
      </c>
      <c r="P6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4.3544241964858683</v>
      </c>
      <c r="Q60" s="4">
        <f>CHOOSE(Table2[[#This Row],[Mode Digit]],Table2[[#This Row],[I_0]]+1/Lf*(Table2[[#This Row],[Vin]]-Vout)*Table2[[#This Row],[t1_Ph_II]],Table2[[#This Row],[I_0]]+1/Lf*Table2[[#This Row],[Vin]]*Table2[[#This Row],[t1_Ph_II]],Table2[[#This Row],[I_0]]+(Table2[[#This Row],[Vin]]-Vout)/L*Table2[[#This Row],[t1_Ph_II]])</f>
        <v>7.8855758035141319</v>
      </c>
      <c r="R60" s="4">
        <f>CHOOSE(Table2[[#This Row],[Mode Digit]],0,0,Table2[[#This Row],[I_1]]+Table2[[#This Row],[Vin]]/L*Table2[[#This Row],[t2_Ph_I]])</f>
        <v>0</v>
      </c>
      <c r="S60" s="409">
        <f>Fsw*(Table2[[#This Row],[I_0]]*Table2[[#This Row],[t1_Ph_II]]+Table2[[#This Row],[I_1]]*Table2[[#This Row],[t2_Ph_I]]+Table2[[#This Row],[I_2]]*Table2[[#This Row],[t3_Ph_III]])</f>
        <v>5.6910262292741134</v>
      </c>
      <c r="T60" s="354">
        <f>MIN(1,CHOOSE(Table2[[#This Row],[Mode Digit]],(Vout+(Rdson2+Rs+Rdcr)*Table2[[#This Row],[Iout]])/(Table2[[#This Row],[Vin]]+(Rs+Rdson2-Rdson1)*Table2[[#This Row],[Iout]]),1,Fsw*Table2[[#This Row],[t2_Ph_I]]+Table2[[#This Row],[t1_Ph_II]]))</f>
        <v>0.62148268283697428</v>
      </c>
      <c r="U60" s="354">
        <f>MIN(1,CHOOSE(Table2[[#This Row],[Mode Digit]],0,(Vout+(Rdson3+Rdcr)*Table2[[#This Row],[Iin]]-Table2[[#This Row],[Vin]])/(Vout+(Rdson3-Rdson4-Rs)*Table2[[#This Row],[Iin]]),Fsw*Table2[[#This Row],[t1_Ph_II]]+Table2[[#This Row],[t3_Ph_III]]))</f>
        <v>0</v>
      </c>
      <c r="V60" s="4">
        <f>MAX(Table2[[#This Row],[I_0]:[I_2]])-MIN(Table2[[#This Row],[I_0]:[I_1]])</f>
        <v>3.5311516070282636</v>
      </c>
      <c r="W6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6.2043118855076527</v>
      </c>
      <c r="X60" s="354">
        <f>(Table2[[#This Row],[Irms Lf]]^2*Rdcr*(1+Ltc*Ta-Ltc*25))/(1-Table2[[#This Row],[Irms Lf]]^2*Rdcr*Ltc*ThetaCa)</f>
        <v>0.22732241925496194</v>
      </c>
      <c r="Y60" s="354">
        <f>ABS(7.759*10^-3*Fsw^0.9458*(0.00787*Table2[[#This Row],[Ripple Current pk-pk]])^2.304)</f>
        <v>0.58817463353466126</v>
      </c>
      <c r="Z60" s="354">
        <f>Table2[[#This Row],[DCR    Loss]]+Table2[[#This Row],[Core Loss]]</f>
        <v>0.81549705278962326</v>
      </c>
      <c r="AA60" s="4">
        <f>IF(Table2[[#This Row],[Vin]]&gt;Vout, Table2[[#This Row],[Ripple Current pk-pk]]/SQRT(12), SQRT(Table2[[#This Row],[Duty Cycle BOOST Leg]]/(1-Table2[[#This Row],[Duty Cycle BOOST Leg]]))*SQRT(Table2[[#This Row],[Iout]]^2+(Table2[[#This Row],[Ripple Current pk-pk]]^2)/12))</f>
        <v>1.0193556654335738</v>
      </c>
      <c r="AB60" s="354">
        <f>RCoutEsr*Table2[[#This Row],[Irms Cout]]^2</f>
        <v>5.1954298632576204E-3</v>
      </c>
      <c r="AC60" s="354">
        <f>Table2[[#This Row],[Cout ESR Loss]]</f>
        <v>5.1954298632576204E-3</v>
      </c>
      <c r="AD60" s="4">
        <f>IF(Table2[[#This Row],[Vin]]&gt;Vout, SQRT(Table2[[#This Row],[Duty Cycle BUCK Leg]]*(1-Table2[[#This Row],[Duty Cycle BUCK Leg]]))*SQRT(Table2[[#This Row],[Iout]]^2+(Table2[[#This Row],[Ripple Current pk-pk]]^2)/12), Table2[[#This Row],[Ripple Current pk-pk]]/SQRT(12))</f>
        <v>3.009199727772605</v>
      </c>
      <c r="AE60" s="354">
        <f>RCinEsr*Table2[[#This Row],[Irms Cin]]^2</f>
        <v>1.8110566003253441E-2</v>
      </c>
      <c r="AF60" s="549">
        <f>Table2[[#This Row],[Cin ESR Loss]]</f>
        <v>1.8110566003253441E-2</v>
      </c>
      <c r="AG60" s="354">
        <f>Table2[[#This Row],[Irms Lf]]</f>
        <v>6.2043118855076527</v>
      </c>
      <c r="AH60" s="354">
        <f>Rdson1*Table2[[#This Row],[Irms BuCtrl]]^2</f>
        <v>0.16167264108513643</v>
      </c>
      <c r="AI60" s="354">
        <f>CHOOSE(Table2[[#This Row],[Mode Digit]], (Table2[[#This Row],[Vin]]*Table2[[#This Row],[Iout]]/2)*(Fsw)*(Tr_buck+Tf_buck), 0, (Table2[[#This Row],[Vin]]*Table2[[#This Row],[Avg IL]]/2)*(Fsw/1)*(Tr_buck+Tf_buck))</f>
        <v>1.4322407102849066</v>
      </c>
      <c r="AJ60">
        <f>IF(Table2[[#This Row],[Vin]]&gt;Vout, IF(Table2[[#This Row],[Iout]]&gt;Table2[[#This Row],[Ripple Current pk-pk]]/2,0,ABS(Table2[[#This Row],[Iout]]-Table2[[#This Row],[Ripple Current pk-pk]]/2)*Vsd_Q1*Deadtime*Fsw),0)</f>
        <v>0</v>
      </c>
      <c r="AK60" s="354">
        <f>(Table2[[#This Row],[Dead Time Loss BuCtrl]]+Table2[[#This Row],[Transition Loss BuCtrl]]+Table2[[#This Row],[RDS(on) Loss BuCtrl]]*(1+RdsonTopTc*Ta-RdsonTopTc*25))/(1-Table2[[#This Row],[RDS(on) Loss BuCtrl]]*RdsonTopTc*ThetaJA_Q1)</f>
        <v>1.6582560643755733</v>
      </c>
      <c r="AL60" s="354">
        <f>Table2[[#This Row],[Irms Lf]]</f>
        <v>6.2043118855076527</v>
      </c>
      <c r="AM60" s="354">
        <f>Rdson2*Table2[[#This Row],[Irms BuSync]]^2</f>
        <v>0.16167264108513643</v>
      </c>
      <c r="AN6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0.29445942857142859</v>
      </c>
      <c r="AO60" s="354">
        <f>(Table2[[#This Row],[Deadtime Loss BuSync]]+Table2[[#This Row],[RDS(on) Loss BuSync]]*(1+RdsonBotTc*Ta-RdsonBotTc*25))/(1-Table2[[#This Row],[RDS(on) Loss BuSync]]*RdsonBotTc*ThetaJA_Q2)</f>
        <v>0.47454509996671607</v>
      </c>
      <c r="AP60" s="354">
        <f>Table2[[#This Row],[Irms Lf]]</f>
        <v>6.2043118855076527</v>
      </c>
      <c r="AQ60" s="354">
        <f>Rdson4*Table2[[#This Row],[Irms BoCtlr]]^2</f>
        <v>0.16167264108513643</v>
      </c>
      <c r="AR60" s="354">
        <f>CHOOSE(Table2[[#This Row],[Mode Digit]], 0, (Vout*Table2[[#This Row],[Iin]]/2)*(Fsw)*(Tr_boost+Tf_boost), (Vout*Iout/2)*(Fsw/1)*(Tr_boost+Tf_boost))</f>
        <v>0</v>
      </c>
      <c r="AS60" s="354">
        <f>IF(Table2[[#This Row],[Vin]]&gt;Vout, 0, IF(Table2[[#This Row],[Iin]]&gt;Table2[[#This Row],[Ripple Current pk-pk]]/2,0,ABS(Table2[[#This Row],[Iin]]-Table2[[#This Row],[Ripple Current pk-pk]]/2)*Vsd_Q4*Deadtime*Fsw))</f>
        <v>0</v>
      </c>
      <c r="AT60" s="354">
        <f>(Table2[[#This Row],[Dead Time Loss BoCtlr]]+Table2[[#This Row],[Transition Loss BoCtlr]]+Table2[[#This Row],[RDS(on) Loss BoCtlr]]*(1+RdsonTopTc*Ta-RdsonTopTc*25))/(1-Table2[[#This Row],[RDS(on) Loss BoCtlr]]*RdsonTopTc*ThetaJA_Q4)</f>
        <v>0.16819900359866055</v>
      </c>
      <c r="AU60" s="354">
        <f>Table2[[#This Row],[Irms Lf]]</f>
        <v>6.2043118855076527</v>
      </c>
      <c r="AV60" s="354">
        <f>Rdson3*Table2[[#This Row],[Irms BoSync]]^2</f>
        <v>0.16167264108513643</v>
      </c>
      <c r="AW6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0" s="354">
        <f>(Table2[[#This Row],[Deadtime Loss BoSync]]+Table2[[#This Row],[RDS(on) Loss BoSync]]*(1+RdsonBotTc*Ta-RdsonBotTc*25))/(1-Table2[[#This Row],[RDS(on) Loss BoSync]]*RdsonBotTc*ThetaJA_Q3)</f>
        <v>0.16819900359866055</v>
      </c>
      <c r="AY60" s="354">
        <f>CHOOSE(Table2[[#This Row],[Mode Digit]], Rdson3*Table2[[#This Row],[Irms Lf]]^2, Rdson1*Table2[[#This Row],[Irms Lf]]^2, 0)</f>
        <v>0.16167264108513643</v>
      </c>
      <c r="AZ60" s="354">
        <f>CHOOSE(Table2[[#This Row],[Mode Digit]], 2*Deadtime*Fsw*IF(VfdSky_Q2&gt;0,VfdSky_Q2,0)*Table2[[#This Row],[Iout]], 2*Deadtime*Fsw*IF(VfdSky_Q3&gt;0,VfdSky_Q3,0)*Table2[[#This Row],[Iin]], 2*Deadtime*Fsw*IF(VfdSky_Q2&gt;0,VfdSky_Q2,0)*Table2[[#This Row],[Iout]]+2*Deadtime*Fsw*IF(VfdSky_Q3&gt;0,VfdSky_Q3,0)*Table2[[#This Row],[Iin]])</f>
        <v>0</v>
      </c>
      <c r="BA6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0.14427469152000003</v>
      </c>
      <c r="BB6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0.14427469152000003</v>
      </c>
      <c r="BC60" s="354">
        <f>CHOOSE(Table2[[#This Row],[Mode Digit]], Rs*Table2[[#This Row],[Irms BuSync]]^2, Rs*Table2[[#This Row],[Irms BoCtlr]]^2, Rs*(Table2[[#This Row],[Irms BuSync]]^2+Table2[[#This Row],[Irms BoCtlr]]^2))</f>
        <v>9.6233714931628814E-2</v>
      </c>
      <c r="BD60" s="354">
        <f t="shared" si="6"/>
        <v>1.44</v>
      </c>
      <c r="BE60" s="354">
        <f>IF(Vout&gt;8, Iq*Vout, Iq*Table2[[#This Row],[Vin]])</f>
        <v>4.3799999999999999E-2</v>
      </c>
      <c r="BF60" s="354">
        <f>CHOOSE(Table2[[#This Row],[Mode Digit]], (Qg_Q1+Qg_Q2)*Fsw, (Qg_Q3+Qg_Q4)*Fsw, (Qg_Q1+Qg_Q2+Qg_Q3+Qg_Q4)*Fsw)*IF(Vout&gt;8, Vout, Table2[[#This Row],[Vin]])</f>
        <v>0.47303999999999996</v>
      </c>
      <c r="BG60" s="354">
        <f t="shared" si="4"/>
        <v>0.57269042016806726</v>
      </c>
      <c r="BH60" s="354">
        <f>Table2[[#This Row],[IQ Loss]]+Table2[[#This Row],[Switching Current Loss]]</f>
        <v>0.51683999999999997</v>
      </c>
      <c r="BI6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5.6496253181673737</v>
      </c>
      <c r="BJ60">
        <f>Vout*Table2[[#This Row],[Iout]]</f>
        <v>89.352000000000004</v>
      </c>
      <c r="BK60" s="550">
        <f>Table2[[#This Row],[Pout]]/(Table2[[#This Row],[Pout]]+Table2[[#This Row],[Total Loss]])</f>
        <v>0.94053127723608543</v>
      </c>
      <c r="BL60" s="559">
        <f>IF(Table2[[#This Row],[Vin]]&gt;Vout,ThetaJA_Q1*(Table2[[#This Row],[Total Control Bu MOSFET Loss]]+Table2[[#This Row],[Reverse Recovery Loss MOSFET D BUCK]]),ThetaJA_Q4*(Table2[[#This Row],[Total Control Bo MOSFET Loss]]+Table2[[#This Row],[Reverse Recovery Loss MOSFET D BOOST]]))</f>
        <v>108.15184535373439</v>
      </c>
      <c r="BM60" s="559">
        <f>IF(Table2[[#This Row],[Vin]]&gt;Vout, Table2[[#This Row],[Total Sync Bu MOSFET Loss]]*ThetaJA_Q2, ThetaJA_Q3*Table2[[#This Row],[Total Sync Bo MOSFET Loss]])</f>
        <v>28.472705998002965</v>
      </c>
      <c r="BN60" s="9"/>
      <c r="BO60" s="4">
        <f>Table2[[#This Row],[EFF, h]]*100</f>
        <v>94.05312772360854</v>
      </c>
      <c r="BP60" s="354">
        <f>Table2[[#This Row],[Total Inductor Loss]]</f>
        <v>0.81549705278962326</v>
      </c>
      <c r="BQ60" s="354">
        <f>Table2[[#This Row],[Total Control Bu MOSFET Loss]]+Table2[[#This Row],[Total Sync Bu MOSFET Loss]]+Table2[[#This Row],[Total Control Bo MOSFET Loss]]+Table2[[#This Row],[Total Sync Bo MOSFET Loss]]+Table2[[#This Row],[Reverse Recovery Loss MOSFET D BUCK]]+Table2[[#This Row],[Reverse Recovery Loss MOSFET D BOOST]]</f>
        <v>2.7577485545796105</v>
      </c>
      <c r="BR60" s="354">
        <f xml:space="preserve"> Table2[[#This Row],[Total Control Bu MOSFET Loss]]+Table2[[#This Row],[Reverse Recovery Loss MOSFET D BUCK]]*0.66</f>
        <v>1.7534773607787733</v>
      </c>
      <c r="BS60" s="354">
        <f>Table2[[#This Row],[Total Sync Bu MOSFET Loss]]+Table2[[#This Row],[Reverse Recovery Loss MOSFET D BUCK]]*0.33</f>
        <v>0.52215574816831611</v>
      </c>
      <c r="BT60" s="354">
        <f xml:space="preserve"> Table2[[#This Row],[Total Control Bo MOSFET Loss]]+Table2[[#This Row],[Reverse Recovery Loss MOSFET D BOOST]]*0.66</f>
        <v>0.26342030000186056</v>
      </c>
      <c r="BU60" s="354">
        <f xml:space="preserve"> Table2[[#This Row],[Total Sync Bo MOSFET Loss]]+Table2[[#This Row],[Reverse Recovery Loss MOSFET D BOOST]]*0.33</f>
        <v>0.21580965180026057</v>
      </c>
      <c r="BV60" s="354">
        <f>Table2[[#This Row],[Isense Shunt Loss]]</f>
        <v>9.6233714931628814E-2</v>
      </c>
      <c r="CB60" s="18"/>
      <c r="CC60" s="19"/>
    </row>
    <row r="61" spans="1:83" x14ac:dyDescent="0.2">
      <c r="A61" s="24" t="s">
        <v>119</v>
      </c>
      <c r="B61" s="15" t="s">
        <v>113</v>
      </c>
      <c r="C61" s="24" t="s">
        <v>80</v>
      </c>
      <c r="D61" s="24" t="s">
        <v>245</v>
      </c>
      <c r="G61">
        <v>52</v>
      </c>
      <c r="H61" s="555">
        <f t="shared" si="5"/>
        <v>23.6</v>
      </c>
      <c r="I61" s="4" t="str">
        <f>IF(Mode = 2,IF(Table2[[#This Row],[Vin]]&gt;Vout, "BUCK","BOOST"),IF(Table2[[#This Row],[Vin]]&gt;VIN_BB_to_buck, "BUCK", IF(Table2[[#This Row],[Vin]]&lt;=VIN_boost_to_BB,"BOOST","BUCK-BST")))</f>
        <v>BUCK</v>
      </c>
      <c r="J61">
        <f>IF(Table2[[#This Row],[Mode]]="BOOST",2, IF(Table2[[#This Row],[Mode]]="BUCK", 1,3))</f>
        <v>1</v>
      </c>
      <c r="K61" s="354">
        <f t="shared" si="7"/>
        <v>6.24</v>
      </c>
      <c r="L61" s="4">
        <f>Vout*Table2[[#This Row],[Iout]]/(Table2[[#This Row],[Vin]]*Efficiency)</f>
        <v>4.0635147190008913</v>
      </c>
      <c r="M61" s="711">
        <f>MIN(1/Fsw,CHOOSE(Table2[[#This Row],[Mode Digit]],(Vout+(Rdson2+Rs+Rdcr)*Table2[[#This Row],[Iout]])/(Table2[[#This Row],[Vin]]+(Rs+Rdson2-Rdson1)*Table2[[#This Row],[Iout]])/Fsw,(Vout+(Rdson3+Rdcr)*Table2[[#This Row],[Iin]]-Table2[[#This Row],[Vin]])/(Vout+(Rdson3-Rdson4-Rs)*Table2[[#This Row],[Iin]])/Fsw,t1_Ph_II))</f>
        <v>1.0358971753134932E-6</v>
      </c>
      <c r="N61" s="602">
        <f>CHOOSE(Table2[[#This Row],[Mode Digit]],1/Fsw-Table2[[#This Row],[t1_Ph_II]],1/Fsw-Table2[[#This Row],[t1_Ph_II]],(Vout/Fsw-Table2[[#This Row],[Vin]]*t1_Ph_II)/(Table2[[#This Row],[Vin]]+Vout))</f>
        <v>6.3076949135317349E-7</v>
      </c>
      <c r="O61" s="602">
        <f>1/Fsw-(Table2[[#This Row],[t1_Ph_II]]+Table2[[#This Row],[t2_Ph_I]])</f>
        <v>0</v>
      </c>
      <c r="P6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4.4742661784429094</v>
      </c>
      <c r="Q61" s="4">
        <f>CHOOSE(Table2[[#This Row],[Mode Digit]],Table2[[#This Row],[I_0]]+1/Lf*(Table2[[#This Row],[Vin]]-Vout)*Table2[[#This Row],[t1_Ph_II]],Table2[[#This Row],[I_0]]+1/Lf*Table2[[#This Row],[Vin]]*Table2[[#This Row],[t1_Ph_II]],Table2[[#This Row],[I_0]]+(Table2[[#This Row],[Vin]]-Vout)/L*Table2[[#This Row],[t1_Ph_II]])</f>
        <v>8.0057338215570919</v>
      </c>
      <c r="R61" s="4">
        <f>CHOOSE(Table2[[#This Row],[Mode Digit]],0,0,Table2[[#This Row],[I_1]]+Table2[[#This Row],[Vin]]/L*Table2[[#This Row],[t2_Ph_I]])</f>
        <v>0</v>
      </c>
      <c r="S61" s="409">
        <f>Fsw*(Table2[[#This Row],[I_0]]*Table2[[#This Row],[t1_Ph_II]]+Table2[[#This Row],[I_1]]*Table2[[#This Row],[t2_Ph_I]]+Table2[[#This Row],[I_2]]*Table2[[#This Row],[t3_Ph_III]])</f>
        <v>5.8107914078293028</v>
      </c>
      <c r="T61" s="354">
        <f>MIN(1,CHOOSE(Table2[[#This Row],[Mode Digit]],(Vout+(Rdson2+Rs+Rdcr)*Table2[[#This Row],[Iout]])/(Table2[[#This Row],[Vin]]+(Rs+Rdson2-Rdson1)*Table2[[#This Row],[Iout]]),1,Fsw*Table2[[#This Row],[t2_Ph_I]]+Table2[[#This Row],[t1_Ph_II]]))</f>
        <v>0.62153830518809594</v>
      </c>
      <c r="U61" s="354">
        <f>MIN(1,CHOOSE(Table2[[#This Row],[Mode Digit]],0,(Vout+(Rdson3+Rdcr)*Table2[[#This Row],[Iin]]-Table2[[#This Row],[Vin]])/(Vout+(Rdson3-Rdson4-Rs)*Table2[[#This Row],[Iin]]),Fsw*Table2[[#This Row],[t1_Ph_II]]+Table2[[#This Row],[t3_Ph_III]]))</f>
        <v>0</v>
      </c>
      <c r="V61" s="4">
        <f>MAX(Table2[[#This Row],[I_0]:[I_2]])-MIN(Table2[[#This Row],[I_0]:[I_1]])</f>
        <v>3.5314676431141825</v>
      </c>
      <c r="W6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6.3227266251354628</v>
      </c>
      <c r="X61" s="354">
        <f>(Table2[[#This Row],[Irms Lf]]^2*Rdcr*(1+Ltc*Ta-Ltc*25))/(1-Table2[[#This Row],[Irms Lf]]^2*Rdcr*Ltc*ThetaCa)</f>
        <v>0.23624808667723474</v>
      </c>
      <c r="Y61" s="354">
        <f>ABS(7.759*10^-3*Fsw^0.9458*(0.00787*Table2[[#This Row],[Ripple Current pk-pk]])^2.304)</f>
        <v>0.58829592616602622</v>
      </c>
      <c r="Z61" s="354">
        <f>Table2[[#This Row],[DCR    Loss]]+Table2[[#This Row],[Core Loss]]</f>
        <v>0.82454401284326095</v>
      </c>
      <c r="AA61" s="4">
        <f>IF(Table2[[#This Row],[Vin]]&gt;Vout, Table2[[#This Row],[Ripple Current pk-pk]]/SQRT(12), SQRT(Table2[[#This Row],[Duty Cycle BOOST Leg]]/(1-Table2[[#This Row],[Duty Cycle BOOST Leg]]))*SQRT(Table2[[#This Row],[Iout]]^2+(Table2[[#This Row],[Ripple Current pk-pk]]^2)/12))</f>
        <v>1.0194468971932134</v>
      </c>
      <c r="AB61" s="354">
        <f>RCoutEsr*Table2[[#This Row],[Irms Cout]]^2</f>
        <v>5.1963598809843508E-3</v>
      </c>
      <c r="AC61" s="354">
        <f>Table2[[#This Row],[Cout ESR Loss]]</f>
        <v>5.1963598809843508E-3</v>
      </c>
      <c r="AD61" s="4">
        <f>IF(Table2[[#This Row],[Vin]]&gt;Vout, SQRT(Table2[[#This Row],[Duty Cycle BUCK Leg]]*(1-Table2[[#This Row],[Duty Cycle BUCK Leg]]))*SQRT(Table2[[#This Row],[Iout]]^2+(Table2[[#This Row],[Ripple Current pk-pk]]^2)/12), Table2[[#This Row],[Ripple Current pk-pk]]/SQRT(12))</f>
        <v>3.0665448383990923</v>
      </c>
      <c r="AE61" s="354">
        <f>RCinEsr*Table2[[#This Row],[Irms Cin]]^2</f>
        <v>1.8807394491824229E-2</v>
      </c>
      <c r="AF61" s="549">
        <f>Table2[[#This Row],[Cin ESR Loss]]</f>
        <v>1.8807394491824229E-2</v>
      </c>
      <c r="AG61" s="354">
        <f>Table2[[#This Row],[Irms Lf]]</f>
        <v>6.3227266251354628</v>
      </c>
      <c r="AH61" s="354">
        <f>Rdson1*Table2[[#This Row],[Irms BuCtrl]]^2</f>
        <v>0.16790286230002693</v>
      </c>
      <c r="AI61" s="354">
        <f>CHOOSE(Table2[[#This Row],[Mode Digit]], (Table2[[#This Row],[Vin]]*Table2[[#This Row],[Iout]]/2)*(Fsw)*(Tr_buck+Tf_buck), 0, (Table2[[#This Row],[Vin]]*Table2[[#This Row],[Avg IL]]/2)*(Fsw/1)*(Tr_buck+Tf_buck))</f>
        <v>1.4603238614669634</v>
      </c>
      <c r="AJ61">
        <f>IF(Table2[[#This Row],[Vin]]&gt;Vout, IF(Table2[[#This Row],[Iout]]&gt;Table2[[#This Row],[Ripple Current pk-pk]]/2,0,ABS(Table2[[#This Row],[Iout]]-Table2[[#This Row],[Ripple Current pk-pk]]/2)*Vsd_Q1*Deadtime*Fsw),0)</f>
        <v>0</v>
      </c>
      <c r="AK61" s="354">
        <f>(Table2[[#This Row],[Dead Time Loss BuCtrl]]+Table2[[#This Row],[Transition Loss BuCtrl]]+Table2[[#This Row],[RDS(on) Loss BuCtrl]]*(1+RdsonTopTc*Ta-RdsonTopTc*25))/(1-Table2[[#This Row],[RDS(on) Loss BuCtrl]]*RdsonTopTc*ThetaJA_Q1)</f>
        <v>1.6965938343963649</v>
      </c>
      <c r="AL61" s="354">
        <f>Table2[[#This Row],[Irms Lf]]</f>
        <v>6.3227266251354628</v>
      </c>
      <c r="AM61" s="354">
        <f>Rdson2*Table2[[#This Row],[Irms BuSync]]^2</f>
        <v>0.16790286230002693</v>
      </c>
      <c r="AN6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0.30023314285714287</v>
      </c>
      <c r="AO61" s="354">
        <f>(Table2[[#This Row],[Deadtime Loss BuSync]]+Table2[[#This Row],[RDS(on) Loss BuSync]]*(1+RdsonBotTc*Ta-RdsonBotTc*25))/(1-Table2[[#This Row],[RDS(on) Loss BuSync]]*RdsonBotTc*ThetaJA_Q2)</f>
        <v>0.48779242375477655</v>
      </c>
      <c r="AP61" s="354">
        <f>Table2[[#This Row],[Irms Lf]]</f>
        <v>6.3227266251354628</v>
      </c>
      <c r="AQ61" s="354">
        <f>Rdson4*Table2[[#This Row],[Irms BoCtlr]]^2</f>
        <v>0.16790286230002693</v>
      </c>
      <c r="AR61" s="354">
        <f>CHOOSE(Table2[[#This Row],[Mode Digit]], 0, (Vout*Table2[[#This Row],[Iin]]/2)*(Fsw)*(Tr_boost+Tf_boost), (Vout*Iout/2)*(Fsw/1)*(Tr_boost+Tf_boost))</f>
        <v>0</v>
      </c>
      <c r="AS61" s="354">
        <f>IF(Table2[[#This Row],[Vin]]&gt;Vout, 0, IF(Table2[[#This Row],[Iin]]&gt;Table2[[#This Row],[Ripple Current pk-pk]]/2,0,ABS(Table2[[#This Row],[Iin]]-Table2[[#This Row],[Ripple Current pk-pk]]/2)*Vsd_Q4*Deadtime*Fsw))</f>
        <v>0</v>
      </c>
      <c r="AT61" s="354">
        <f>(Table2[[#This Row],[Dead Time Loss BoCtlr]]+Table2[[#This Row],[Transition Loss BoCtlr]]+Table2[[#This Row],[RDS(on) Loss BoCtlr]]*(1+RdsonTopTc*Ta-RdsonTopTc*25))/(1-Table2[[#This Row],[RDS(on) Loss BoCtlr]]*RdsonTopTc*ThetaJA_Q4)</f>
        <v>0.17495288389363967</v>
      </c>
      <c r="AU61" s="354">
        <f>Table2[[#This Row],[Irms Lf]]</f>
        <v>6.3227266251354628</v>
      </c>
      <c r="AV61" s="354">
        <f>Rdson3*Table2[[#This Row],[Irms BoSync]]^2</f>
        <v>0.16790286230002693</v>
      </c>
      <c r="AW6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1" s="354">
        <f>(Table2[[#This Row],[Deadtime Loss BoSync]]+Table2[[#This Row],[RDS(on) Loss BoSync]]*(1+RdsonBotTc*Ta-RdsonBotTc*25))/(1-Table2[[#This Row],[RDS(on) Loss BoSync]]*RdsonBotTc*ThetaJA_Q3)</f>
        <v>0.17495288389363967</v>
      </c>
      <c r="AY61" s="354">
        <f>CHOOSE(Table2[[#This Row],[Mode Digit]], Rdson3*Table2[[#This Row],[Irms Lf]]^2, Rdson1*Table2[[#This Row],[Irms Lf]]^2, 0)</f>
        <v>0.16790286230002693</v>
      </c>
      <c r="AZ61" s="354">
        <f>CHOOSE(Table2[[#This Row],[Mode Digit]], 2*Deadtime*Fsw*IF(VfdSky_Q2&gt;0,VfdSky_Q2,0)*Table2[[#This Row],[Iout]], 2*Deadtime*Fsw*IF(VfdSky_Q3&gt;0,VfdSky_Q3,0)*Table2[[#This Row],[Iin]], 2*Deadtime*Fsw*IF(VfdSky_Q2&gt;0,VfdSky_Q2,0)*Table2[[#This Row],[Iout]]+2*Deadtime*Fsw*IF(VfdSky_Q3&gt;0,VfdSky_Q3,0)*Table2[[#This Row],[Iin]])</f>
        <v>0</v>
      </c>
      <c r="BA6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0.14710046207999999</v>
      </c>
      <c r="BB6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0.14710046207999999</v>
      </c>
      <c r="BC61" s="354">
        <f>CHOOSE(Table2[[#This Row],[Mode Digit]], Rs*Table2[[#This Row],[Irms BuSync]]^2, Rs*Table2[[#This Row],[Irms BoCtlr]]^2, Rs*(Table2[[#This Row],[Irms BuSync]]^2+Table2[[#This Row],[Irms BoCtlr]]^2))</f>
        <v>9.9942179940492204E-2</v>
      </c>
      <c r="BD61" s="354">
        <f t="shared" si="6"/>
        <v>1.44</v>
      </c>
      <c r="BE61" s="354">
        <f>IF(Vout&gt;8, Iq*Vout, Iq*Table2[[#This Row],[Vin]])</f>
        <v>4.3799999999999999E-2</v>
      </c>
      <c r="BF61" s="354">
        <f>CHOOSE(Table2[[#This Row],[Mode Digit]], (Qg_Q1+Qg_Q2)*Fsw, (Qg_Q3+Qg_Q4)*Fsw, (Qg_Q1+Qg_Q2+Qg_Q3+Qg_Q4)*Fsw)*IF(Vout&gt;8, Vout, Table2[[#This Row],[Vin]])</f>
        <v>0.47303999999999996</v>
      </c>
      <c r="BG61" s="354">
        <f t="shared" si="4"/>
        <v>0.57269042016806726</v>
      </c>
      <c r="BH61" s="354">
        <f>Table2[[#This Row],[IQ Loss]]+Table2[[#This Row],[Switching Current Loss]]</f>
        <v>0.51683999999999997</v>
      </c>
      <c r="BI6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5.7338228972549832</v>
      </c>
      <c r="BJ61">
        <f>Vout*Table2[[#This Row],[Iout]]</f>
        <v>91.103999999999999</v>
      </c>
      <c r="BK61" s="550">
        <f>Table2[[#This Row],[Pout]]/(Table2[[#This Row],[Pout]]+Table2[[#This Row],[Total Loss]])</f>
        <v>0.94078942787325393</v>
      </c>
      <c r="BL61" s="559">
        <f>IF(Table2[[#This Row],[Vin]]&gt;Vout,ThetaJA_Q1*(Table2[[#This Row],[Total Control Bu MOSFET Loss]]+Table2[[#This Row],[Reverse Recovery Loss MOSFET D BUCK]]),ThetaJA_Q4*(Table2[[#This Row],[Total Control Bo MOSFET Loss]]+Table2[[#This Row],[Reverse Recovery Loss MOSFET D BOOST]]))</f>
        <v>110.6216577885819</v>
      </c>
      <c r="BM61" s="559">
        <f>IF(Table2[[#This Row],[Vin]]&gt;Vout, Table2[[#This Row],[Total Sync Bu MOSFET Loss]]*ThetaJA_Q2, ThetaJA_Q3*Table2[[#This Row],[Total Sync Bo MOSFET Loss]])</f>
        <v>29.267545425286592</v>
      </c>
      <c r="BN61" s="9"/>
      <c r="BO61" s="4">
        <f>Table2[[#This Row],[EFF, h]]*100</f>
        <v>94.078942787325389</v>
      </c>
      <c r="BP61" s="354">
        <f>Table2[[#This Row],[Total Inductor Loss]]</f>
        <v>0.82454401284326095</v>
      </c>
      <c r="BQ61" s="354">
        <f>Table2[[#This Row],[Total Control Bu MOSFET Loss]]+Table2[[#This Row],[Total Sync Bu MOSFET Loss]]+Table2[[#This Row],[Total Control Bo MOSFET Loss]]+Table2[[#This Row],[Total Sync Bo MOSFET Loss]]+Table2[[#This Row],[Reverse Recovery Loss MOSFET D BUCK]]+Table2[[#This Row],[Reverse Recovery Loss MOSFET D BOOST]]</f>
        <v>2.8284929500984211</v>
      </c>
      <c r="BR61" s="354">
        <f xml:space="preserve"> Table2[[#This Row],[Total Control Bu MOSFET Loss]]+Table2[[#This Row],[Reverse Recovery Loss MOSFET D BUCK]]*0.66</f>
        <v>1.7936801393691648</v>
      </c>
      <c r="BS61" s="354">
        <f>Table2[[#This Row],[Total Sync Bu MOSFET Loss]]+Table2[[#This Row],[Reverse Recovery Loss MOSFET D BUCK]]*0.33</f>
        <v>0.53633557624117656</v>
      </c>
      <c r="BT61" s="354">
        <f xml:space="preserve"> Table2[[#This Row],[Total Control Bo MOSFET Loss]]+Table2[[#This Row],[Reverse Recovery Loss MOSFET D BOOST]]*0.66</f>
        <v>0.27203918886643969</v>
      </c>
      <c r="BU61" s="354">
        <f xml:space="preserve"> Table2[[#This Row],[Total Sync Bo MOSFET Loss]]+Table2[[#This Row],[Reverse Recovery Loss MOSFET D BOOST]]*0.33</f>
        <v>0.22349603638003968</v>
      </c>
      <c r="BV61" s="354">
        <f>Table2[[#This Row],[Isense Shunt Loss]]</f>
        <v>9.9942179940492204E-2</v>
      </c>
      <c r="CB61" s="18"/>
      <c r="CC61" s="19"/>
    </row>
    <row r="62" spans="1:83" ht="15.75" x14ac:dyDescent="0.3">
      <c r="A62" s="446" t="s">
        <v>642</v>
      </c>
      <c r="B62" s="72">
        <v>30</v>
      </c>
      <c r="C62" s="441" t="s">
        <v>237</v>
      </c>
      <c r="D62" s="74" t="s">
        <v>105</v>
      </c>
      <c r="G62">
        <v>53</v>
      </c>
      <c r="H62" s="555">
        <f t="shared" si="5"/>
        <v>23.6</v>
      </c>
      <c r="I62" s="4" t="str">
        <f>IF(Mode = 2,IF(Table2[[#This Row],[Vin]]&gt;Vout, "BUCK","BOOST"),IF(Table2[[#This Row],[Vin]]&gt;VIN_BB_to_buck, "BUCK", IF(Table2[[#This Row],[Vin]]&lt;=VIN_boost_to_BB,"BOOST","BUCK-BST")))</f>
        <v>BUCK</v>
      </c>
      <c r="J62">
        <f>IF(Table2[[#This Row],[Mode]]="BOOST",2, IF(Table2[[#This Row],[Mode]]="BUCK", 1,3))</f>
        <v>1</v>
      </c>
      <c r="K62" s="354">
        <f t="shared" si="7"/>
        <v>6.36</v>
      </c>
      <c r="L62" s="4">
        <f>Vout*Table2[[#This Row],[Iout]]/(Table2[[#This Row],[Vin]]*Efficiency)</f>
        <v>4.1416592328278323</v>
      </c>
      <c r="M62" s="711">
        <f>MIN(1/Fsw,CHOOSE(Table2[[#This Row],[Mode Digit]],(Vout+(Rdson2+Rs+Rdcr)*Table2[[#This Row],[Iout]])/(Table2[[#This Row],[Vin]]+(Rs+Rdson2-Rdson1)*Table2[[#This Row],[Iout]])/Fsw,(Vout+(Rdson3+Rdcr)*Table2[[#This Row],[Iin]]-Table2[[#This Row],[Vin]])/(Vout+(Rdson3-Rdson4-Rs)*Table2[[#This Row],[Iin]])/Fsw,t1_Ph_II))</f>
        <v>1.0359898768767369E-6</v>
      </c>
      <c r="N62" s="602">
        <f>CHOOSE(Table2[[#This Row],[Mode Digit]],1/Fsw-Table2[[#This Row],[t1_Ph_II]],1/Fsw-Table2[[#This Row],[t1_Ph_II]],(Vout/Fsw-Table2[[#This Row],[Vin]]*t1_Ph_II)/(Table2[[#This Row],[Vin]]+Vout))</f>
        <v>6.3067678978992972E-7</v>
      </c>
      <c r="O62" s="602">
        <f>1/Fsw-(Table2[[#This Row],[t1_Ph_II]]+Table2[[#This Row],[t2_Ph_I]])</f>
        <v>0</v>
      </c>
      <c r="P6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4.5941081644146529</v>
      </c>
      <c r="Q62" s="4">
        <f>CHOOSE(Table2[[#This Row],[Mode Digit]],Table2[[#This Row],[I_0]]+1/Lf*(Table2[[#This Row],[Vin]]-Vout)*Table2[[#This Row],[t1_Ph_II]],Table2[[#This Row],[I_0]]+1/Lf*Table2[[#This Row],[Vin]]*Table2[[#This Row],[t1_Ph_II]],Table2[[#This Row],[I_0]]+(Table2[[#This Row],[Vin]]-Vout)/L*Table2[[#This Row],[t1_Ph_II]])</f>
        <v>8.1258918355853478</v>
      </c>
      <c r="R62" s="4">
        <f>CHOOSE(Table2[[#This Row],[Mode Digit]],0,0,Table2[[#This Row],[I_1]]+Table2[[#This Row],[Vin]]/L*Table2[[#This Row],[t2_Ph_I]])</f>
        <v>0</v>
      </c>
      <c r="S62" s="409">
        <f>Fsw*(Table2[[#This Row],[I_0]]*Table2[[#This Row],[t1_Ph_II]]+Table2[[#This Row],[I_1]]*Table2[[#This Row],[t2_Ph_I]]+Table2[[#This Row],[I_2]]*Table2[[#This Row],[t3_Ph_III]])</f>
        <v>5.9305565571945085</v>
      </c>
      <c r="T62" s="354">
        <f>MIN(1,CHOOSE(Table2[[#This Row],[Mode Digit]],(Vout+(Rdson2+Rs+Rdcr)*Table2[[#This Row],[Iout]])/(Table2[[#This Row],[Vin]]+(Rs+Rdson2-Rdson1)*Table2[[#This Row],[Iout]]),1,Fsw*Table2[[#This Row],[t2_Ph_I]]+Table2[[#This Row],[t1_Ph_II]]))</f>
        <v>0.62159392612604214</v>
      </c>
      <c r="U62" s="354">
        <f>MIN(1,CHOOSE(Table2[[#This Row],[Mode Digit]],0,(Vout+(Rdson3+Rdcr)*Table2[[#This Row],[Iin]]-Table2[[#This Row],[Vin]])/(Vout+(Rdson3-Rdson4-Rs)*Table2[[#This Row],[Iin]]),Fsw*Table2[[#This Row],[t1_Ph_II]]+Table2[[#This Row],[t3_Ph_III]]))</f>
        <v>0</v>
      </c>
      <c r="V62" s="4">
        <f>MAX(Table2[[#This Row],[I_0]:[I_2]])-MIN(Table2[[#This Row],[I_0]:[I_1]])</f>
        <v>3.5317836711706949</v>
      </c>
      <c r="W6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6.4412000428229472</v>
      </c>
      <c r="X62" s="354">
        <f>(Table2[[#This Row],[Irms Lf]]^2*Rdcr*(1+Ltc*Ta-Ltc*25))/(1-Table2[[#This Row],[Irms Lf]]^2*Rdcr*Ltc*ThetaCa)</f>
        <v>0.2453599416735425</v>
      </c>
      <c r="Y62" s="354">
        <f>ABS(7.759*10^-3*Fsw^0.9458*(0.00787*Table2[[#This Row],[Ripple Current pk-pk]])^2.304)</f>
        <v>0.5884172298705066</v>
      </c>
      <c r="Z62" s="354">
        <f>Table2[[#This Row],[DCR    Loss]]+Table2[[#This Row],[Core Loss]]</f>
        <v>0.83377717154404907</v>
      </c>
      <c r="AA62" s="4">
        <f>IF(Table2[[#This Row],[Vin]]&gt;Vout, Table2[[#This Row],[Ripple Current pk-pk]]/SQRT(12), SQRT(Table2[[#This Row],[Duty Cycle BOOST Leg]]/(1-Table2[[#This Row],[Duty Cycle BOOST Leg]]))*SQRT(Table2[[#This Row],[Iout]]^2+(Table2[[#This Row],[Ripple Current pk-pk]]^2)/12))</f>
        <v>1.0195381266349628</v>
      </c>
      <c r="AB62" s="354">
        <f>RCoutEsr*Table2[[#This Row],[Irms Cout]]^2</f>
        <v>5.197289958311647E-3</v>
      </c>
      <c r="AC62" s="354">
        <f>Table2[[#This Row],[Cout ESR Loss]]</f>
        <v>5.197289958311647E-3</v>
      </c>
      <c r="AD62" s="4">
        <f>IF(Table2[[#This Row],[Vin]]&gt;Vout, SQRT(Table2[[#This Row],[Duty Cycle BUCK Leg]]*(1-Table2[[#This Row],[Duty Cycle BUCK Leg]]))*SQRT(Table2[[#This Row],[Iout]]^2+(Table2[[#This Row],[Ripple Current pk-pk]]^2)/12), Table2[[#This Row],[Ripple Current pk-pk]]/SQRT(12))</f>
        <v>3.1239150656315378</v>
      </c>
      <c r="AE62" s="354">
        <f>RCinEsr*Table2[[#This Row],[Irms Cin]]^2</f>
        <v>1.9517690674559392E-2</v>
      </c>
      <c r="AF62" s="549">
        <f>Table2[[#This Row],[Cin ESR Loss]]</f>
        <v>1.9517690674559392E-2</v>
      </c>
      <c r="AG62" s="354">
        <f>Table2[[#This Row],[Irms Lf]]</f>
        <v>6.4412000428229472</v>
      </c>
      <c r="AH62" s="354">
        <f>Rdson1*Table2[[#This Row],[Irms BuCtrl]]^2</f>
        <v>0.17425404356498184</v>
      </c>
      <c r="AI62" s="354">
        <f>CHOOSE(Table2[[#This Row],[Mode Digit]], (Table2[[#This Row],[Vin]]*Table2[[#This Row],[Iout]]/2)*(Fsw)*(Tr_buck+Tf_buck), 0, (Table2[[#This Row],[Vin]]*Table2[[#This Row],[Avg IL]]/2)*(Fsw/1)*(Tr_buck+Tf_buck))</f>
        <v>1.4884070126490203</v>
      </c>
      <c r="AJ62">
        <f>IF(Table2[[#This Row],[Vin]]&gt;Vout, IF(Table2[[#This Row],[Iout]]&gt;Table2[[#This Row],[Ripple Current pk-pk]]/2,0,ABS(Table2[[#This Row],[Iout]]-Table2[[#This Row],[Ripple Current pk-pk]]/2)*Vsd_Q1*Deadtime*Fsw),0)</f>
        <v>0</v>
      </c>
      <c r="AK62" s="354">
        <f>(Table2[[#This Row],[Dead Time Loss BuCtrl]]+Table2[[#This Row],[Transition Loss BuCtrl]]+Table2[[#This Row],[RDS(on) Loss BuCtrl]]*(1+RdsonTopTc*Ta-RdsonTopTc*25))/(1-Table2[[#This Row],[RDS(on) Loss BuCtrl]]*RdsonTopTc*ThetaJA_Q1)</f>
        <v>1.7352300613430929</v>
      </c>
      <c r="AL62" s="354">
        <f>Table2[[#This Row],[Irms Lf]]</f>
        <v>6.4412000428229472</v>
      </c>
      <c r="AM62" s="354">
        <f>Rdson2*Table2[[#This Row],[Irms BuSync]]^2</f>
        <v>0.17425404356498184</v>
      </c>
      <c r="AN6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0.30600685714285714</v>
      </c>
      <c r="AO62" s="354">
        <f>(Table2[[#This Row],[Deadtime Loss BuSync]]+Table2[[#This Row],[RDS(on) Loss BuSync]]*(1+RdsonBotTc*Ta-RdsonBotTc*25))/(1-Table2[[#This Row],[RDS(on) Loss BuSync]]*RdsonBotTc*ThetaJA_Q2)</f>
        <v>0.5012225125989177</v>
      </c>
      <c r="AP62" s="354">
        <f>Table2[[#This Row],[Irms Lf]]</f>
        <v>6.4412000428229472</v>
      </c>
      <c r="AQ62" s="354">
        <f>Rdson4*Table2[[#This Row],[Irms BoCtlr]]^2</f>
        <v>0.17425404356498184</v>
      </c>
      <c r="AR62" s="354">
        <f>CHOOSE(Table2[[#This Row],[Mode Digit]], 0, (Vout*Table2[[#This Row],[Iin]]/2)*(Fsw)*(Tr_boost+Tf_boost), (Vout*Iout/2)*(Fsw/1)*(Tr_boost+Tf_boost))</f>
        <v>0</v>
      </c>
      <c r="AS62" s="354">
        <f>IF(Table2[[#This Row],[Vin]]&gt;Vout, 0, IF(Table2[[#This Row],[Iin]]&gt;Table2[[#This Row],[Ripple Current pk-pk]]/2,0,ABS(Table2[[#This Row],[Iin]]-Table2[[#This Row],[Ripple Current pk-pk]]/2)*Vsd_Q4*Deadtime*Fsw))</f>
        <v>0</v>
      </c>
      <c r="AT62" s="354">
        <f>(Table2[[#This Row],[Dead Time Loss BoCtlr]]+Table2[[#This Row],[Transition Loss BoCtlr]]+Table2[[#This Row],[RDS(on) Loss BoCtlr]]*(1+RdsonTopTc*Ta-RdsonTopTc*25))/(1-Table2[[#This Row],[RDS(on) Loss BoCtlr]]*RdsonTopTc*ThetaJA_Q4)</f>
        <v>0.18185958802274796</v>
      </c>
      <c r="AU62" s="354">
        <f>Table2[[#This Row],[Irms Lf]]</f>
        <v>6.4412000428229472</v>
      </c>
      <c r="AV62" s="354">
        <f>Rdson3*Table2[[#This Row],[Irms BoSync]]^2</f>
        <v>0.17425404356498184</v>
      </c>
      <c r="AW6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2" s="354">
        <f>(Table2[[#This Row],[Deadtime Loss BoSync]]+Table2[[#This Row],[RDS(on) Loss BoSync]]*(1+RdsonBotTc*Ta-RdsonBotTc*25))/(1-Table2[[#This Row],[RDS(on) Loss BoSync]]*RdsonBotTc*ThetaJA_Q3)</f>
        <v>0.18185958802274796</v>
      </c>
      <c r="AY62" s="354">
        <f>CHOOSE(Table2[[#This Row],[Mode Digit]], Rdson3*Table2[[#This Row],[Irms Lf]]^2, Rdson1*Table2[[#This Row],[Irms Lf]]^2, 0)</f>
        <v>0.17425404356498184</v>
      </c>
      <c r="AZ62" s="354">
        <f>CHOOSE(Table2[[#This Row],[Mode Digit]], 2*Deadtime*Fsw*IF(VfdSky_Q2&gt;0,VfdSky_Q2,0)*Table2[[#This Row],[Iout]], 2*Deadtime*Fsw*IF(VfdSky_Q3&gt;0,VfdSky_Q3,0)*Table2[[#This Row],[Iin]], 2*Deadtime*Fsw*IF(VfdSky_Q2&gt;0,VfdSky_Q2,0)*Table2[[#This Row],[Iout]]+2*Deadtime*Fsw*IF(VfdSky_Q3&gt;0,VfdSky_Q3,0)*Table2[[#This Row],[Iin]])</f>
        <v>0</v>
      </c>
      <c r="BA6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0.14992611168</v>
      </c>
      <c r="BB6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0.14992611168</v>
      </c>
      <c r="BC62" s="354">
        <f>CHOOSE(Table2[[#This Row],[Mode Digit]], Rs*Table2[[#This Row],[Irms BuSync]]^2, Rs*Table2[[#This Row],[Irms BoCtlr]]^2, Rs*(Table2[[#This Row],[Irms BuSync]]^2+Table2[[#This Row],[Irms BoCtlr]]^2))</f>
        <v>0.10372264497915584</v>
      </c>
      <c r="BD62" s="354">
        <f t="shared" si="6"/>
        <v>1.44</v>
      </c>
      <c r="BE62" s="354">
        <f>IF(Vout&gt;8, Iq*Vout, Iq*Table2[[#This Row],[Vin]])</f>
        <v>4.3799999999999999E-2</v>
      </c>
      <c r="BF62" s="354">
        <f>CHOOSE(Table2[[#This Row],[Mode Digit]], (Qg_Q1+Qg_Q2)*Fsw, (Qg_Q3+Qg_Q4)*Fsw, (Qg_Q1+Qg_Q2+Qg_Q3+Qg_Q4)*Fsw)*IF(Vout&gt;8, Vout, Table2[[#This Row],[Vin]])</f>
        <v>0.47303999999999996</v>
      </c>
      <c r="BG62" s="354">
        <f t="shared" si="4"/>
        <v>0.57269042016806726</v>
      </c>
      <c r="BH62" s="354">
        <f>Table2[[#This Row],[IQ Loss]]+Table2[[#This Row],[Switching Current Loss]]</f>
        <v>0.51683999999999997</v>
      </c>
      <c r="BI6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5.819078770503582</v>
      </c>
      <c r="BJ62">
        <f>Vout*Table2[[#This Row],[Iout]]</f>
        <v>92.856000000000009</v>
      </c>
      <c r="BK62" s="550">
        <f>Table2[[#This Row],[Pout]]/(Table2[[#This Row],[Pout]]+Table2[[#This Row],[Total Loss]])</f>
        <v>0.94102787813286204</v>
      </c>
      <c r="BL62" s="559">
        <f>IF(Table2[[#This Row],[Vin]]&gt;Vout,ThetaJA_Q1*(Table2[[#This Row],[Total Control Bu MOSFET Loss]]+Table2[[#This Row],[Reverse Recovery Loss MOSFET D BUCK]]),ThetaJA_Q4*(Table2[[#This Row],[Total Control Bo MOSFET Loss]]+Table2[[#This Row],[Reverse Recovery Loss MOSFET D BOOST]]))</f>
        <v>113.10937038138557</v>
      </c>
      <c r="BM62" s="559">
        <f>IF(Table2[[#This Row],[Vin]]&gt;Vout, Table2[[#This Row],[Total Sync Bu MOSFET Loss]]*ThetaJA_Q2, ThetaJA_Q3*Table2[[#This Row],[Total Sync Bo MOSFET Loss]])</f>
        <v>30.073350755935063</v>
      </c>
      <c r="BN62" s="9"/>
      <c r="BO62" s="4">
        <f>Table2[[#This Row],[EFF, h]]*100</f>
        <v>94.102787813286199</v>
      </c>
      <c r="BP62" s="354">
        <f>Table2[[#This Row],[Total Inductor Loss]]</f>
        <v>0.83377717154404907</v>
      </c>
      <c r="BQ62" s="354">
        <f>Table2[[#This Row],[Total Control Bu MOSFET Loss]]+Table2[[#This Row],[Total Sync Bu MOSFET Loss]]+Table2[[#This Row],[Total Control Bo MOSFET Loss]]+Table2[[#This Row],[Total Sync Bo MOSFET Loss]]+Table2[[#This Row],[Reverse Recovery Loss MOSFET D BUCK]]+Table2[[#This Row],[Reverse Recovery Loss MOSFET D BOOST]]</f>
        <v>2.9000239733475071</v>
      </c>
      <c r="BR62" s="354">
        <f xml:space="preserve"> Table2[[#This Row],[Total Control Bu MOSFET Loss]]+Table2[[#This Row],[Reverse Recovery Loss MOSFET D BUCK]]*0.66</f>
        <v>1.834181295051893</v>
      </c>
      <c r="BS62" s="354">
        <f>Table2[[#This Row],[Total Sync Bu MOSFET Loss]]+Table2[[#This Row],[Reverse Recovery Loss MOSFET D BUCK]]*0.33</f>
        <v>0.55069812945331775</v>
      </c>
      <c r="BT62" s="354">
        <f xml:space="preserve"> Table2[[#This Row],[Total Control Bo MOSFET Loss]]+Table2[[#This Row],[Reverse Recovery Loss MOSFET D BOOST]]*0.66</f>
        <v>0.28081082173154798</v>
      </c>
      <c r="BU62" s="354">
        <f xml:space="preserve"> Table2[[#This Row],[Total Sync Bo MOSFET Loss]]+Table2[[#This Row],[Reverse Recovery Loss MOSFET D BOOST]]*0.33</f>
        <v>0.23133520487714795</v>
      </c>
      <c r="BV62" s="354">
        <f>Table2[[#This Row],[Isense Shunt Loss]]</f>
        <v>0.10372264497915584</v>
      </c>
      <c r="CB62" s="18"/>
      <c r="CC62" s="19"/>
    </row>
    <row r="63" spans="1:83" x14ac:dyDescent="0.2">
      <c r="A63" s="23" t="s">
        <v>120</v>
      </c>
      <c r="B63" s="72">
        <v>2</v>
      </c>
      <c r="C63" s="441" t="s">
        <v>237</v>
      </c>
      <c r="D63" s="21" t="s">
        <v>105</v>
      </c>
      <c r="G63">
        <v>54</v>
      </c>
      <c r="H63" s="555">
        <f t="shared" si="5"/>
        <v>23.6</v>
      </c>
      <c r="I63" s="4" t="str">
        <f>IF(Mode = 2,IF(Table2[[#This Row],[Vin]]&gt;Vout, "BUCK","BOOST"),IF(Table2[[#This Row],[Vin]]&gt;VIN_BB_to_buck, "BUCK", IF(Table2[[#This Row],[Vin]]&lt;=VIN_boost_to_BB,"BOOST","BUCK-BST")))</f>
        <v>BUCK</v>
      </c>
      <c r="J63">
        <f>IF(Table2[[#This Row],[Mode]]="BOOST",2, IF(Table2[[#This Row],[Mode]]="BUCK", 1,3))</f>
        <v>1</v>
      </c>
      <c r="K63" s="354">
        <f t="shared" si="7"/>
        <v>6.48</v>
      </c>
      <c r="L63" s="4">
        <f>Vout*Table2[[#This Row],[Iout]]/(Table2[[#This Row],[Vin]]*Efficiency)</f>
        <v>4.2198037466547724</v>
      </c>
      <c r="M63" s="711">
        <f>MIN(1/Fsw,CHOOSE(Table2[[#This Row],[Mode Digit]],(Vout+(Rdson2+Rs+Rdcr)*Table2[[#This Row],[Iout]])/(Table2[[#This Row],[Vin]]+(Rs+Rdson2-Rdson1)*Table2[[#This Row],[Iout]])/Fsw,(Vout+(Rdson3+Rdcr)*Table2[[#This Row],[Iin]]-Table2[[#This Row],[Vin]])/(Vout+(Rdson3-Rdson4-Rs)*Table2[[#This Row],[Iin]])/Fsw,t1_Ph_II))</f>
        <v>1.0360825760847779E-6</v>
      </c>
      <c r="N63" s="602">
        <f>CHOOSE(Table2[[#This Row],[Mode Digit]],1/Fsw-Table2[[#This Row],[t1_Ph_II]],1/Fsw-Table2[[#This Row],[t1_Ph_II]],(Vout/Fsw-Table2[[#This Row],[Vin]]*t1_Ph_II)/(Table2[[#This Row],[Vin]]+Vout))</f>
        <v>6.305840905818888E-7</v>
      </c>
      <c r="O63" s="602">
        <f>1/Fsw-(Table2[[#This Row],[t1_Ph_II]]+Table2[[#This Row],[t2_Ph_I]])</f>
        <v>0</v>
      </c>
      <c r="P6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4.7139501544009468</v>
      </c>
      <c r="Q63" s="4">
        <f>CHOOSE(Table2[[#This Row],[Mode Digit]],Table2[[#This Row],[I_0]]+1/Lf*(Table2[[#This Row],[Vin]]-Vout)*Table2[[#This Row],[t1_Ph_II]],Table2[[#This Row],[I_0]]+1/Lf*Table2[[#This Row],[Vin]]*Table2[[#This Row],[t1_Ph_II]],Table2[[#This Row],[I_0]]+(Table2[[#This Row],[Vin]]-Vout)/L*Table2[[#This Row],[t1_Ph_II]])</f>
        <v>8.2460498455990532</v>
      </c>
      <c r="R63" s="4">
        <f>CHOOSE(Table2[[#This Row],[Mode Digit]],0,0,Table2[[#This Row],[I_1]]+Table2[[#This Row],[Vin]]/L*Table2[[#This Row],[t2_Ph_I]])</f>
        <v>0</v>
      </c>
      <c r="S63" s="409">
        <f>Fsw*(Table2[[#This Row],[I_0]]*Table2[[#This Row],[t1_Ph_II]]+Table2[[#This Row],[I_1]]*Table2[[#This Row],[t2_Ph_I]]+Table2[[#This Row],[I_2]]*Table2[[#This Row],[t3_Ph_III]])</f>
        <v>6.0503216773721835</v>
      </c>
      <c r="T63" s="354">
        <f>MIN(1,CHOOSE(Table2[[#This Row],[Mode Digit]],(Vout+(Rdson2+Rs+Rdcr)*Table2[[#This Row],[Iout]])/(Table2[[#This Row],[Vin]]+(Rs+Rdson2-Rdson1)*Table2[[#This Row],[Iout]]),1,Fsw*Table2[[#This Row],[t2_Ph_I]]+Table2[[#This Row],[t1_Ph_II]]))</f>
        <v>0.62164954565086672</v>
      </c>
      <c r="U63" s="354">
        <f>MIN(1,CHOOSE(Table2[[#This Row],[Mode Digit]],0,(Vout+(Rdson3+Rdcr)*Table2[[#This Row],[Iin]]-Table2[[#This Row],[Vin]])/(Vout+(Rdson3-Rdson4-Rs)*Table2[[#This Row],[Iin]]),Fsw*Table2[[#This Row],[t1_Ph_II]]+Table2[[#This Row],[t3_Ph_III]]))</f>
        <v>0</v>
      </c>
      <c r="V63" s="4">
        <f>MAX(Table2[[#This Row],[I_0]:[I_2]])-MIN(Table2[[#This Row],[I_0]:[I_1]])</f>
        <v>3.5320996911981064</v>
      </c>
      <c r="W6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6.5597289592670531</v>
      </c>
      <c r="X63" s="354">
        <f>(Table2[[#This Row],[Irms Lf]]^2*Rdcr*(1+Ltc*Ta-Ltc*25))/(1-Table2[[#This Row],[Irms Lf]]^2*Rdcr*Ltc*ThetaCa)</f>
        <v>0.25465875687898049</v>
      </c>
      <c r="Y63" s="354">
        <f>ABS(7.759*10^-3*Fsw^0.9458*(0.00787*Table2[[#This Row],[Ripple Current pk-pk]])^2.304)</f>
        <v>0.58853854464752853</v>
      </c>
      <c r="Z63" s="354">
        <f>Table2[[#This Row],[DCR    Loss]]+Table2[[#This Row],[Core Loss]]</f>
        <v>0.84319730152650907</v>
      </c>
      <c r="AA63" s="4">
        <f>IF(Table2[[#This Row],[Vin]]&gt;Vout, Table2[[#This Row],[Ripple Current pk-pk]]/SQRT(12), SQRT(Table2[[#This Row],[Duty Cycle BOOST Leg]]/(1-Table2[[#This Row],[Duty Cycle BOOST Leg]]))*SQRT(Table2[[#This Row],[Iout]]^2+(Table2[[#This Row],[Ripple Current pk-pk]]^2)/12))</f>
        <v>1.0196293537589105</v>
      </c>
      <c r="AB63" s="354">
        <f>RCoutEsr*Table2[[#This Row],[Irms Cout]]^2</f>
        <v>5.1982200952340671E-3</v>
      </c>
      <c r="AC63" s="354">
        <f>Table2[[#This Row],[Cout ESR Loss]]</f>
        <v>5.1982200952340671E-3</v>
      </c>
      <c r="AD63" s="4">
        <f>IF(Table2[[#This Row],[Vin]]&gt;Vout, SQRT(Table2[[#This Row],[Duty Cycle BUCK Leg]]*(1-Table2[[#This Row],[Duty Cycle BUCK Leg]]))*SQRT(Table2[[#This Row],[Iout]]^2+(Table2[[#This Row],[Ripple Current pk-pk]]^2)/12), Table2[[#This Row],[Ripple Current pk-pk]]/SQRT(12))</f>
        <v>3.1813088628469446</v>
      </c>
      <c r="AE63" s="354">
        <f>RCinEsr*Table2[[#This Row],[Irms Cin]]^2</f>
        <v>2.0241452161657042E-2</v>
      </c>
      <c r="AF63" s="549">
        <f>Table2[[#This Row],[Cin ESR Loss]]</f>
        <v>2.0241452161657042E-2</v>
      </c>
      <c r="AG63" s="354">
        <f>Table2[[#This Row],[Irms Lf]]</f>
        <v>6.5597289592670531</v>
      </c>
      <c r="AH63" s="354">
        <f>Rdson1*Table2[[#This Row],[Irms BuCtrl]]^2</f>
        <v>0.18072618487999667</v>
      </c>
      <c r="AI63" s="354">
        <f>CHOOSE(Table2[[#This Row],[Mode Digit]], (Table2[[#This Row],[Vin]]*Table2[[#This Row],[Iout]]/2)*(Fsw)*(Tr_buck+Tf_buck), 0, (Table2[[#This Row],[Vin]]*Table2[[#This Row],[Avg IL]]/2)*(Fsw/1)*(Tr_buck+Tf_buck))</f>
        <v>1.5164901638310775</v>
      </c>
      <c r="AJ63">
        <f>IF(Table2[[#This Row],[Vin]]&gt;Vout, IF(Table2[[#This Row],[Iout]]&gt;Table2[[#This Row],[Ripple Current pk-pk]]/2,0,ABS(Table2[[#This Row],[Iout]]-Table2[[#This Row],[Ripple Current pk-pk]]/2)*Vsd_Q1*Deadtime*Fsw),0)</f>
        <v>0</v>
      </c>
      <c r="AK63" s="354">
        <f>(Table2[[#This Row],[Dead Time Loss BuCtrl]]+Table2[[#This Row],[Transition Loss BuCtrl]]+Table2[[#This Row],[RDS(on) Loss BuCtrl]]*(1+RdsonTopTc*Ta-RdsonTopTc*25))/(1-Table2[[#This Row],[RDS(on) Loss BuCtrl]]*RdsonTopTc*ThetaJA_Q1)</f>
        <v>1.7741696893392362</v>
      </c>
      <c r="AL63" s="354">
        <f>Table2[[#This Row],[Irms Lf]]</f>
        <v>6.5597289592670531</v>
      </c>
      <c r="AM63" s="354">
        <f>Rdson2*Table2[[#This Row],[Irms BuSync]]^2</f>
        <v>0.18072618487999667</v>
      </c>
      <c r="AN6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0.31178057142857146</v>
      </c>
      <c r="AO63" s="354">
        <f>(Table2[[#This Row],[Deadtime Loss BuSync]]+Table2[[#This Row],[RDS(on) Loss BuSync]]*(1+RdsonBotTc*Ta-RdsonBotTc*25))/(1-Table2[[#This Row],[RDS(on) Loss BuSync]]*RdsonBotTc*ThetaJA_Q2)</f>
        <v>0.51483746282613563</v>
      </c>
      <c r="AP63" s="354">
        <f>Table2[[#This Row],[Irms Lf]]</f>
        <v>6.5597289592670531</v>
      </c>
      <c r="AQ63" s="354">
        <f>Rdson4*Table2[[#This Row],[Irms BoCtlr]]^2</f>
        <v>0.18072618487999667</v>
      </c>
      <c r="AR63" s="354">
        <f>CHOOSE(Table2[[#This Row],[Mode Digit]], 0, (Vout*Table2[[#This Row],[Iin]]/2)*(Fsw)*(Tr_boost+Tf_boost), (Vout*Iout/2)*(Fsw/1)*(Tr_boost+Tf_boost))</f>
        <v>0</v>
      </c>
      <c r="AS63" s="354">
        <f>IF(Table2[[#This Row],[Vin]]&gt;Vout, 0, IF(Table2[[#This Row],[Iin]]&gt;Table2[[#This Row],[Ripple Current pk-pk]]/2,0,ABS(Table2[[#This Row],[Iin]]-Table2[[#This Row],[Ripple Current pk-pk]]/2)*Vsd_Q4*Deadtime*Fsw))</f>
        <v>0</v>
      </c>
      <c r="AT63" s="354">
        <f>(Table2[[#This Row],[Dead Time Loss BoCtlr]]+Table2[[#This Row],[Transition Loss BoCtlr]]+Table2[[#This Row],[RDS(on) Loss BoCtlr]]*(1+RdsonTopTc*Ta-RdsonTopTc*25))/(1-Table2[[#This Row],[RDS(on) Loss BoCtlr]]*RdsonTopTc*ThetaJA_Q4)</f>
        <v>0.18892047529916475</v>
      </c>
      <c r="AU63" s="354">
        <f>Table2[[#This Row],[Irms Lf]]</f>
        <v>6.5597289592670531</v>
      </c>
      <c r="AV63" s="354">
        <f>Rdson3*Table2[[#This Row],[Irms BoSync]]^2</f>
        <v>0.18072618487999667</v>
      </c>
      <c r="AW6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3" s="354">
        <f>(Table2[[#This Row],[Deadtime Loss BoSync]]+Table2[[#This Row],[RDS(on) Loss BoSync]]*(1+RdsonBotTc*Ta-RdsonBotTc*25))/(1-Table2[[#This Row],[RDS(on) Loss BoSync]]*RdsonBotTc*ThetaJA_Q3)</f>
        <v>0.18892047529916475</v>
      </c>
      <c r="AY63" s="354">
        <f>CHOOSE(Table2[[#This Row],[Mode Digit]], Rdson3*Table2[[#This Row],[Irms Lf]]^2, Rdson1*Table2[[#This Row],[Irms Lf]]^2, 0)</f>
        <v>0.18072618487999667</v>
      </c>
      <c r="AZ63" s="354">
        <f>CHOOSE(Table2[[#This Row],[Mode Digit]], 2*Deadtime*Fsw*IF(VfdSky_Q2&gt;0,VfdSky_Q2,0)*Table2[[#This Row],[Iout]], 2*Deadtime*Fsw*IF(VfdSky_Q3&gt;0,VfdSky_Q3,0)*Table2[[#This Row],[Iin]], 2*Deadtime*Fsw*IF(VfdSky_Q2&gt;0,VfdSky_Q2,0)*Table2[[#This Row],[Iout]]+2*Deadtime*Fsw*IF(VfdSky_Q3&gt;0,VfdSky_Q3,0)*Table2[[#This Row],[Iin]])</f>
        <v>0</v>
      </c>
      <c r="BA6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0.15275164032000005</v>
      </c>
      <c r="BB6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0.15275164032000005</v>
      </c>
      <c r="BC63" s="354">
        <f>CHOOSE(Table2[[#This Row],[Mode Digit]], Rs*Table2[[#This Row],[Irms BuSync]]^2, Rs*Table2[[#This Row],[Irms BoCtlr]]^2, Rs*(Table2[[#This Row],[Irms BuSync]]^2+Table2[[#This Row],[Irms BoCtlr]]^2))</f>
        <v>0.10757511004761705</v>
      </c>
      <c r="BD63" s="354">
        <f t="shared" si="6"/>
        <v>1.44</v>
      </c>
      <c r="BE63" s="354">
        <f>IF(Vout&gt;8, Iq*Vout, Iq*Table2[[#This Row],[Vin]])</f>
        <v>4.3799999999999999E-2</v>
      </c>
      <c r="BF63" s="354">
        <f>CHOOSE(Table2[[#This Row],[Mode Digit]], (Qg_Q1+Qg_Q2)*Fsw, (Qg_Q3+Qg_Q4)*Fsw, (Qg_Q1+Qg_Q2+Qg_Q3+Qg_Q4)*Fsw)*IF(Vout&gt;8, Vout, Table2[[#This Row],[Vin]])</f>
        <v>0.47303999999999996</v>
      </c>
      <c r="BG63" s="354">
        <f t="shared" si="4"/>
        <v>0.57269042016806726</v>
      </c>
      <c r="BH63" s="354">
        <f>Table2[[#This Row],[IQ Loss]]+Table2[[#This Row],[Switching Current Loss]]</f>
        <v>0.51683999999999997</v>
      </c>
      <c r="BI6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5.9054034672347182</v>
      </c>
      <c r="BJ63">
        <f>Vout*Table2[[#This Row],[Iout]]</f>
        <v>94.608000000000004</v>
      </c>
      <c r="BK63" s="550">
        <f>Table2[[#This Row],[Pout]]/(Table2[[#This Row],[Pout]]+Table2[[#This Row],[Total Loss]])</f>
        <v>0.94124760217516901</v>
      </c>
      <c r="BL63" s="559">
        <f>IF(Table2[[#This Row],[Vin]]&gt;Vout,ThetaJA_Q1*(Table2[[#This Row],[Total Control Bu MOSFET Loss]]+Table2[[#This Row],[Reverse Recovery Loss MOSFET D BUCK]]),ThetaJA_Q4*(Table2[[#This Row],[Total Control Bo MOSFET Loss]]+Table2[[#This Row],[Reverse Recovery Loss MOSFET D BOOST]]))</f>
        <v>115.61527977955417</v>
      </c>
      <c r="BM63" s="559">
        <f>IF(Table2[[#This Row],[Vin]]&gt;Vout, Table2[[#This Row],[Total Sync Bu MOSFET Loss]]*ThetaJA_Q2, ThetaJA_Q3*Table2[[#This Row],[Total Sync Bo MOSFET Loss]])</f>
        <v>30.890247769568138</v>
      </c>
      <c r="BN63" s="9"/>
      <c r="BO63" s="4">
        <f>Table2[[#This Row],[EFF, h]]*100</f>
        <v>94.124760217516894</v>
      </c>
      <c r="BP63" s="354">
        <f>Table2[[#This Row],[Total Inductor Loss]]</f>
        <v>0.84319730152650907</v>
      </c>
      <c r="BQ63" s="354">
        <f>Table2[[#This Row],[Total Control Bu MOSFET Loss]]+Table2[[#This Row],[Total Sync Bu MOSFET Loss]]+Table2[[#This Row],[Total Control Bo MOSFET Loss]]+Table2[[#This Row],[Total Sync Bo MOSFET Loss]]+Table2[[#This Row],[Reverse Recovery Loss MOSFET D BUCK]]+Table2[[#This Row],[Reverse Recovery Loss MOSFET D BOOST]]</f>
        <v>2.9723513834037014</v>
      </c>
      <c r="BR63" s="354">
        <f xml:space="preserve"> Table2[[#This Row],[Total Control Bu MOSFET Loss]]+Table2[[#This Row],[Reverse Recovery Loss MOSFET D BUCK]]*0.66</f>
        <v>1.8749857719504364</v>
      </c>
      <c r="BS63" s="354">
        <f>Table2[[#This Row],[Total Sync Bu MOSFET Loss]]+Table2[[#This Row],[Reverse Recovery Loss MOSFET D BUCK]]*0.33</f>
        <v>0.56524550413173569</v>
      </c>
      <c r="BT63" s="354">
        <f xml:space="preserve"> Table2[[#This Row],[Total Control Bo MOSFET Loss]]+Table2[[#This Row],[Reverse Recovery Loss MOSFET D BOOST]]*0.66</f>
        <v>0.28973655791036479</v>
      </c>
      <c r="BU63" s="354">
        <f xml:space="preserve"> Table2[[#This Row],[Total Sync Bo MOSFET Loss]]+Table2[[#This Row],[Reverse Recovery Loss MOSFET D BOOST]]*0.33</f>
        <v>0.23932851660476478</v>
      </c>
      <c r="BV63" s="354">
        <f>Table2[[#This Row],[Isense Shunt Loss]]</f>
        <v>0.10757511004761705</v>
      </c>
      <c r="CB63" s="18"/>
      <c r="CC63" s="19"/>
    </row>
    <row r="64" spans="1:83" x14ac:dyDescent="0.2">
      <c r="A64" s="73"/>
      <c r="B64" s="30"/>
      <c r="G64">
        <v>55</v>
      </c>
      <c r="H64" s="555">
        <f t="shared" si="5"/>
        <v>23.6</v>
      </c>
      <c r="I64" s="4" t="str">
        <f>IF(Mode = 2,IF(Table2[[#This Row],[Vin]]&gt;Vout, "BUCK","BOOST"),IF(Table2[[#This Row],[Vin]]&gt;VIN_BB_to_buck, "BUCK", IF(Table2[[#This Row],[Vin]]&lt;=VIN_boost_to_BB,"BOOST","BUCK-BST")))</f>
        <v>BUCK</v>
      </c>
      <c r="J64">
        <f>IF(Table2[[#This Row],[Mode]]="BOOST",2, IF(Table2[[#This Row],[Mode]]="BUCK", 1,3))</f>
        <v>1</v>
      </c>
      <c r="K64" s="354">
        <f t="shared" si="7"/>
        <v>6.6</v>
      </c>
      <c r="L64" s="4">
        <f>Vout*Table2[[#This Row],[Iout]]/(Table2[[#This Row],[Vin]]*Efficiency)</f>
        <v>4.2979482604817125</v>
      </c>
      <c r="M64" s="711">
        <f>MIN(1/Fsw,CHOOSE(Table2[[#This Row],[Mode Digit]],(Vout+(Rdson2+Rs+Rdcr)*Table2[[#This Row],[Iout]])/(Table2[[#This Row],[Vin]]+(Rs+Rdson2-Rdson1)*Table2[[#This Row],[Iout]])/Fsw,(Vout+(Rdson3+Rdcr)*Table2[[#This Row],[Iin]]-Table2[[#This Row],[Vin]])/(Vout+(Rdson3-Rdson4-Rs)*Table2[[#This Row],[Iin]])/Fsw,t1_Ph_II))</f>
        <v>1.0361752729377059E-6</v>
      </c>
      <c r="N64" s="602">
        <f>CHOOSE(Table2[[#This Row],[Mode Digit]],1/Fsw-Table2[[#This Row],[t1_Ph_II]],1/Fsw-Table2[[#This Row],[t1_Ph_II]],(Vout/Fsw-Table2[[#This Row],[Vin]]*t1_Ph_II)/(Table2[[#This Row],[Vin]]+Vout))</f>
        <v>6.3049139372896074E-7</v>
      </c>
      <c r="O64" s="602">
        <f>1/Fsw-(Table2[[#This Row],[t1_Ph_II]]+Table2[[#This Row],[t2_Ph_I]])</f>
        <v>0</v>
      </c>
      <c r="P6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4.8337921484016366</v>
      </c>
      <c r="Q64" s="4">
        <f>CHOOSE(Table2[[#This Row],[Mode Digit]],Table2[[#This Row],[I_0]]+1/Lf*(Table2[[#This Row],[Vin]]-Vout)*Table2[[#This Row],[t1_Ph_II]],Table2[[#This Row],[I_0]]+1/Lf*Table2[[#This Row],[Vin]]*Table2[[#This Row],[t1_Ph_II]],Table2[[#This Row],[I_0]]+(Table2[[#This Row],[Vin]]-Vout)/L*Table2[[#This Row],[t1_Ph_II]])</f>
        <v>8.3662078515983609</v>
      </c>
      <c r="R64" s="4">
        <f>CHOOSE(Table2[[#This Row],[Mode Digit]],0,0,Table2[[#This Row],[I_1]]+Table2[[#This Row],[Vin]]/L*Table2[[#This Row],[t2_Ph_I]])</f>
        <v>0</v>
      </c>
      <c r="S64" s="409">
        <f>Fsw*(Table2[[#This Row],[I_0]]*Table2[[#This Row],[t1_Ph_II]]+Table2[[#This Row],[I_1]]*Table2[[#This Row],[t2_Ph_I]]+Table2[[#This Row],[I_2]]*Table2[[#This Row],[t3_Ph_III]])</f>
        <v>6.1700867683647784</v>
      </c>
      <c r="T64" s="354">
        <f>MIN(1,CHOOSE(Table2[[#This Row],[Mode Digit]],(Vout+(Rdson2+Rs+Rdcr)*Table2[[#This Row],[Iout]])/(Table2[[#This Row],[Vin]]+(Rs+Rdson2-Rdson1)*Table2[[#This Row],[Iout]]),1,Fsw*Table2[[#This Row],[t2_Ph_I]]+Table2[[#This Row],[t1_Ph_II]]))</f>
        <v>0.62170516376262352</v>
      </c>
      <c r="U64" s="354">
        <f>MIN(1,CHOOSE(Table2[[#This Row],[Mode Digit]],0,(Vout+(Rdson3+Rdcr)*Table2[[#This Row],[Iin]]-Table2[[#This Row],[Vin]])/(Vout+(Rdson3-Rdson4-Rs)*Table2[[#This Row],[Iin]]),Fsw*Table2[[#This Row],[t1_Ph_II]]+Table2[[#This Row],[t3_Ph_III]]))</f>
        <v>0</v>
      </c>
      <c r="V64" s="4">
        <f>MAX(Table2[[#This Row],[I_0]:[I_2]])-MIN(Table2[[#This Row],[I_0]:[I_1]])</f>
        <v>3.5324157031967243</v>
      </c>
      <c r="W6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6.6783104194361327</v>
      </c>
      <c r="X64" s="354">
        <f>(Table2[[#This Row],[Irms Lf]]^2*Rdcr*(1+Ltc*Ta-Ltc*25))/(1-Table2[[#This Row],[Irms Lf]]^2*Rdcr*Ltc*ThetaCa)</f>
        <v>0.26414532247114064</v>
      </c>
      <c r="Y64" s="354">
        <f>ABS(7.759*10^-3*Fsw^0.9458*(0.00787*Table2[[#This Row],[Ripple Current pk-pk]])^2.304)</f>
        <v>0.58865987049651336</v>
      </c>
      <c r="Z64" s="354">
        <f>Table2[[#This Row],[DCR    Loss]]+Table2[[#This Row],[Core Loss]]</f>
        <v>0.852805192967654</v>
      </c>
      <c r="AA64" s="4">
        <f>IF(Table2[[#This Row],[Vin]]&gt;Vout, Table2[[#This Row],[Ripple Current pk-pk]]/SQRT(12), SQRT(Table2[[#This Row],[Duty Cycle BOOST Leg]]/(1-Table2[[#This Row],[Duty Cycle BOOST Leg]]))*SQRT(Table2[[#This Row],[Iout]]^2+(Table2[[#This Row],[Ripple Current pk-pk]]^2)/12))</f>
        <v>1.0197205785651451</v>
      </c>
      <c r="AB64" s="354">
        <f>RCoutEsr*Table2[[#This Row],[Irms Cout]]^2</f>
        <v>5.1991502917461711E-3</v>
      </c>
      <c r="AC64" s="354">
        <f>Table2[[#This Row],[Cout ESR Loss]]</f>
        <v>5.1991502917461711E-3</v>
      </c>
      <c r="AD64" s="4">
        <f>IF(Table2[[#This Row],[Vin]]&gt;Vout, SQRT(Table2[[#This Row],[Duty Cycle BUCK Leg]]*(1-Table2[[#This Row],[Duty Cycle BUCK Leg]]))*SQRT(Table2[[#This Row],[Iout]]^2+(Table2[[#This Row],[Ripple Current pk-pk]]^2)/12), Table2[[#This Row],[Ripple Current pk-pk]]/SQRT(12))</f>
        <v>3.2387247923605176</v>
      </c>
      <c r="AE64" s="354">
        <f>RCinEsr*Table2[[#This Row],[Irms Cin]]^2</f>
        <v>2.0978676561301358E-2</v>
      </c>
      <c r="AF64" s="549">
        <f>Table2[[#This Row],[Cin ESR Loss]]</f>
        <v>2.0978676561301358E-2</v>
      </c>
      <c r="AG64" s="354">
        <f>Table2[[#This Row],[Irms Lf]]</f>
        <v>6.6783104194361327</v>
      </c>
      <c r="AH64" s="354">
        <f>Rdson1*Table2[[#This Row],[Irms BuCtrl]]^2</f>
        <v>0.18731928624506672</v>
      </c>
      <c r="AI64" s="354">
        <f>CHOOSE(Table2[[#This Row],[Mode Digit]], (Table2[[#This Row],[Vin]]*Table2[[#This Row],[Iout]]/2)*(Fsw)*(Tr_buck+Tf_buck), 0, (Table2[[#This Row],[Vin]]*Table2[[#This Row],[Avg IL]]/2)*(Fsw/1)*(Tr_buck+Tf_buck))</f>
        <v>1.5445733150131342</v>
      </c>
      <c r="AJ64">
        <f>IF(Table2[[#This Row],[Vin]]&gt;Vout, IF(Table2[[#This Row],[Iout]]&gt;Table2[[#This Row],[Ripple Current pk-pk]]/2,0,ABS(Table2[[#This Row],[Iout]]-Table2[[#This Row],[Ripple Current pk-pk]]/2)*Vsd_Q1*Deadtime*Fsw),0)</f>
        <v>0</v>
      </c>
      <c r="AK64" s="354">
        <f>(Table2[[#This Row],[Dead Time Loss BuCtrl]]+Table2[[#This Row],[Transition Loss BuCtrl]]+Table2[[#This Row],[RDS(on) Loss BuCtrl]]*(1+RdsonTopTc*Ta-RdsonTopTc*25))/(1-Table2[[#This Row],[RDS(on) Loss BuCtrl]]*RdsonTopTc*ThetaJA_Q1)</f>
        <v>1.8134177497076502</v>
      </c>
      <c r="AL64" s="354">
        <f>Table2[[#This Row],[Irms Lf]]</f>
        <v>6.6783104194361327</v>
      </c>
      <c r="AM64" s="354">
        <f>Rdson2*Table2[[#This Row],[Irms BuSync]]^2</f>
        <v>0.18731928624506672</v>
      </c>
      <c r="AN6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0.31755428571428568</v>
      </c>
      <c r="AO64" s="354">
        <f>(Table2[[#This Row],[Deadtime Loss BuSync]]+Table2[[#This Row],[RDS(on) Loss BuSync]]*(1+RdsonBotTc*Ta-RdsonBotTc*25))/(1-Table2[[#This Row],[RDS(on) Loss BuSync]]*RdsonBotTc*ThetaJA_Q2)</f>
        <v>0.5286394179894629</v>
      </c>
      <c r="AP64" s="354">
        <f>Table2[[#This Row],[Irms Lf]]</f>
        <v>6.6783104194361327</v>
      </c>
      <c r="AQ64" s="354">
        <f>Rdson4*Table2[[#This Row],[Irms BoCtlr]]^2</f>
        <v>0.18731928624506672</v>
      </c>
      <c r="AR64" s="354">
        <f>CHOOSE(Table2[[#This Row],[Mode Digit]], 0, (Vout*Table2[[#This Row],[Iin]]/2)*(Fsw)*(Tr_boost+Tf_boost), (Vout*Iout/2)*(Fsw/1)*(Tr_boost+Tf_boost))</f>
        <v>0</v>
      </c>
      <c r="AS64" s="354">
        <f>IF(Table2[[#This Row],[Vin]]&gt;Vout, 0, IF(Table2[[#This Row],[Iin]]&gt;Table2[[#This Row],[Ripple Current pk-pk]]/2,0,ABS(Table2[[#This Row],[Iin]]-Table2[[#This Row],[Ripple Current pk-pk]]/2)*Vsd_Q4*Deadtime*Fsw))</f>
        <v>0</v>
      </c>
      <c r="AT64" s="354">
        <f>(Table2[[#This Row],[Dead Time Loss BoCtlr]]+Table2[[#This Row],[Transition Loss BoCtlr]]+Table2[[#This Row],[RDS(on) Loss BoCtlr]]*(1+RdsonTopTc*Ta-RdsonTopTc*25))/(1-Table2[[#This Row],[RDS(on) Loss BoCtlr]]*RdsonTopTc*ThetaJA_Q4)</f>
        <v>0.19613694191694819</v>
      </c>
      <c r="AU64" s="354">
        <f>Table2[[#This Row],[Irms Lf]]</f>
        <v>6.6783104194361327</v>
      </c>
      <c r="AV64" s="354">
        <f>Rdson3*Table2[[#This Row],[Irms BoSync]]^2</f>
        <v>0.18731928624506672</v>
      </c>
      <c r="AW6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4" s="354">
        <f>(Table2[[#This Row],[Deadtime Loss BoSync]]+Table2[[#This Row],[RDS(on) Loss BoSync]]*(1+RdsonBotTc*Ta-RdsonBotTc*25))/(1-Table2[[#This Row],[RDS(on) Loss BoSync]]*RdsonBotTc*ThetaJA_Q3)</f>
        <v>0.19613694191694819</v>
      </c>
      <c r="AY64" s="354">
        <f>CHOOSE(Table2[[#This Row],[Mode Digit]], Rdson3*Table2[[#This Row],[Irms Lf]]^2, Rdson1*Table2[[#This Row],[Irms Lf]]^2, 0)</f>
        <v>0.18731928624506672</v>
      </c>
      <c r="AZ64" s="354">
        <f>CHOOSE(Table2[[#This Row],[Mode Digit]], 2*Deadtime*Fsw*IF(VfdSky_Q2&gt;0,VfdSky_Q2,0)*Table2[[#This Row],[Iout]], 2*Deadtime*Fsw*IF(VfdSky_Q3&gt;0,VfdSky_Q3,0)*Table2[[#This Row],[Iin]], 2*Deadtime*Fsw*IF(VfdSky_Q2&gt;0,VfdSky_Q2,0)*Table2[[#This Row],[Iout]]+2*Deadtime*Fsw*IF(VfdSky_Q3&gt;0,VfdSky_Q3,0)*Table2[[#This Row],[Iin]])</f>
        <v>0</v>
      </c>
      <c r="BA6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0.15557704800000002</v>
      </c>
      <c r="BB6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0.15557704800000002</v>
      </c>
      <c r="BC64" s="354">
        <f>CHOOSE(Table2[[#This Row],[Mode Digit]], Rs*Table2[[#This Row],[Irms BuSync]]^2, Rs*Table2[[#This Row],[Irms BoCtlr]]^2, Rs*(Table2[[#This Row],[Irms BuSync]]^2+Table2[[#This Row],[Irms BoCtlr]]^2))</f>
        <v>0.11149957514587304</v>
      </c>
      <c r="BD64" s="354">
        <f t="shared" si="6"/>
        <v>1.44</v>
      </c>
      <c r="BE64" s="354">
        <f>IF(Vout&gt;8, Iq*Vout, Iq*Table2[[#This Row],[Vin]])</f>
        <v>4.3799999999999999E-2</v>
      </c>
      <c r="BF64" s="354">
        <f>CHOOSE(Table2[[#This Row],[Mode Digit]], (Qg_Q1+Qg_Q2)*Fsw, (Qg_Q3+Qg_Q4)*Fsw, (Qg_Q1+Qg_Q2+Qg_Q3+Qg_Q4)*Fsw)*IF(Vout&gt;8, Vout, Table2[[#This Row],[Vin]])</f>
        <v>0.47303999999999996</v>
      </c>
      <c r="BG64" s="354">
        <f t="shared" si="4"/>
        <v>0.57269042016806726</v>
      </c>
      <c r="BH64" s="354">
        <f>Table2[[#This Row],[IQ Loss]]+Table2[[#This Row],[Switching Current Loss]]</f>
        <v>0.51683999999999997</v>
      </c>
      <c r="BI6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5.9928077424975843</v>
      </c>
      <c r="BJ64">
        <f>Vout*Table2[[#This Row],[Iout]]</f>
        <v>96.36</v>
      </c>
      <c r="BK64" s="550">
        <f>Table2[[#This Row],[Pout]]/(Table2[[#This Row],[Pout]]+Table2[[#This Row],[Total Loss]])</f>
        <v>0.9414495031970741</v>
      </c>
      <c r="BL64" s="559">
        <f>IF(Table2[[#This Row],[Vin]]&gt;Vout,ThetaJA_Q1*(Table2[[#This Row],[Total Control Bu MOSFET Loss]]+Table2[[#This Row],[Reverse Recovery Loss MOSFET D BUCK]]),ThetaJA_Q4*(Table2[[#This Row],[Total Control Bo MOSFET Loss]]+Table2[[#This Row],[Reverse Recovery Loss MOSFET D BOOST]]))</f>
        <v>118.13968786245901</v>
      </c>
      <c r="BM64" s="559">
        <f>IF(Table2[[#This Row],[Vin]]&gt;Vout, Table2[[#This Row],[Total Sync Bu MOSFET Loss]]*ThetaJA_Q2, ThetaJA_Q3*Table2[[#This Row],[Total Sync Bo MOSFET Loss]])</f>
        <v>31.718365079367775</v>
      </c>
      <c r="BN64" s="9"/>
      <c r="BO64" s="4">
        <f>Table2[[#This Row],[EFF, h]]*100</f>
        <v>94.144950319707405</v>
      </c>
      <c r="BP64" s="354">
        <f>Table2[[#This Row],[Total Inductor Loss]]</f>
        <v>0.852805192967654</v>
      </c>
      <c r="BQ64" s="354">
        <f>Table2[[#This Row],[Total Control Bu MOSFET Loss]]+Table2[[#This Row],[Total Sync Bu MOSFET Loss]]+Table2[[#This Row],[Total Control Bo MOSFET Loss]]+Table2[[#This Row],[Total Sync Bo MOSFET Loss]]+Table2[[#This Row],[Reverse Recovery Loss MOSFET D BUCK]]+Table2[[#This Row],[Reverse Recovery Loss MOSFET D BOOST]]</f>
        <v>3.0454851475310094</v>
      </c>
      <c r="BR64" s="354">
        <f xml:space="preserve"> Table2[[#This Row],[Total Control Bu MOSFET Loss]]+Table2[[#This Row],[Reverse Recovery Loss MOSFET D BUCK]]*0.66</f>
        <v>1.9160986013876502</v>
      </c>
      <c r="BS64" s="354">
        <f>Table2[[#This Row],[Total Sync Bu MOSFET Loss]]+Table2[[#This Row],[Reverse Recovery Loss MOSFET D BUCK]]*0.33</f>
        <v>0.57997984382946288</v>
      </c>
      <c r="BT64" s="354">
        <f xml:space="preserve"> Table2[[#This Row],[Total Control Bo MOSFET Loss]]+Table2[[#This Row],[Reverse Recovery Loss MOSFET D BOOST]]*0.66</f>
        <v>0.29881779359694821</v>
      </c>
      <c r="BU64" s="354">
        <f xml:space="preserve"> Table2[[#This Row],[Total Sync Bo MOSFET Loss]]+Table2[[#This Row],[Reverse Recovery Loss MOSFET D BOOST]]*0.33</f>
        <v>0.2474773677569482</v>
      </c>
      <c r="BV64" s="354">
        <f>Table2[[#This Row],[Isense Shunt Loss]]</f>
        <v>0.11149957514587304</v>
      </c>
      <c r="CB64" s="18"/>
      <c r="CC64" s="19"/>
    </row>
    <row r="65" spans="1:81" x14ac:dyDescent="0.2">
      <c r="G65">
        <v>56</v>
      </c>
      <c r="H65" s="555">
        <f t="shared" si="5"/>
        <v>23.6</v>
      </c>
      <c r="I65" s="4" t="str">
        <f>IF(Mode = 2,IF(Table2[[#This Row],[Vin]]&gt;Vout, "BUCK","BOOST"),IF(Table2[[#This Row],[Vin]]&gt;VIN_BB_to_buck, "BUCK", IF(Table2[[#This Row],[Vin]]&lt;=VIN_boost_to_BB,"BOOST","BUCK-BST")))</f>
        <v>BUCK</v>
      </c>
      <c r="J65">
        <f>IF(Table2[[#This Row],[Mode]]="BOOST",2, IF(Table2[[#This Row],[Mode]]="BUCK", 1,3))</f>
        <v>1</v>
      </c>
      <c r="K65" s="354">
        <f t="shared" si="7"/>
        <v>6.72</v>
      </c>
      <c r="L65" s="4">
        <f>Vout*Table2[[#This Row],[Iout]]/(Table2[[#This Row],[Vin]]*Efficiency)</f>
        <v>4.3760927743086526</v>
      </c>
      <c r="M65" s="711">
        <f>MIN(1/Fsw,CHOOSE(Table2[[#This Row],[Mode Digit]],(Vout+(Rdson2+Rs+Rdcr)*Table2[[#This Row],[Iout]])/(Table2[[#This Row],[Vin]]+(Rs+Rdson2-Rdson1)*Table2[[#This Row],[Iout]])/Fsw,(Vout+(Rdson3+Rdcr)*Table2[[#This Row],[Iin]]-Table2[[#This Row],[Vin]])/(Vout+(Rdson3-Rdson4-Rs)*Table2[[#This Row],[Iin]])/Fsw,t1_Ph_II))</f>
        <v>1.0362679674356107E-6</v>
      </c>
      <c r="N65" s="602">
        <f>CHOOSE(Table2[[#This Row],[Mode Digit]],1/Fsw-Table2[[#This Row],[t1_Ph_II]],1/Fsw-Table2[[#This Row],[t1_Ph_II]],(Vout/Fsw-Table2[[#This Row],[Vin]]*t1_Ph_II)/(Table2[[#This Row],[Vin]]+Vout))</f>
        <v>6.3039869923105595E-7</v>
      </c>
      <c r="O65" s="602">
        <f>1/Fsw-(Table2[[#This Row],[t1_Ph_II]]+Table2[[#This Row],[t2_Ph_I]])</f>
        <v>0</v>
      </c>
      <c r="P6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4.9536341464165723</v>
      </c>
      <c r="Q65" s="4">
        <f>CHOOSE(Table2[[#This Row],[Mode Digit]],Table2[[#This Row],[I_0]]+1/Lf*(Table2[[#This Row],[Vin]]-Vout)*Table2[[#This Row],[t1_Ph_II]],Table2[[#This Row],[I_0]]+1/Lf*Table2[[#This Row],[Vin]]*Table2[[#This Row],[t1_Ph_II]],Table2[[#This Row],[I_0]]+(Table2[[#This Row],[Vin]]-Vout)/L*Table2[[#This Row],[t1_Ph_II]])</f>
        <v>8.4863658535834272</v>
      </c>
      <c r="R65" s="4">
        <f>CHOOSE(Table2[[#This Row],[Mode Digit]],0,0,Table2[[#This Row],[I_1]]+Table2[[#This Row],[Vin]]/L*Table2[[#This Row],[t2_Ph_I]])</f>
        <v>0</v>
      </c>
      <c r="S65" s="409">
        <f>Fsw*(Table2[[#This Row],[I_0]]*Table2[[#This Row],[t1_Ph_II]]+Table2[[#This Row],[I_1]]*Table2[[#This Row],[t2_Ph_I]]+Table2[[#This Row],[I_2]]*Table2[[#This Row],[t3_Ph_III]])</f>
        <v>6.2898518301747472</v>
      </c>
      <c r="T65" s="354">
        <f>MIN(1,CHOOSE(Table2[[#This Row],[Mode Digit]],(Vout+(Rdson2+Rs+Rdcr)*Table2[[#This Row],[Iout]])/(Table2[[#This Row],[Vin]]+(Rs+Rdson2-Rdson1)*Table2[[#This Row],[Iout]]),1,Fsw*Table2[[#This Row],[t2_Ph_I]]+Table2[[#This Row],[t1_Ph_II]]))</f>
        <v>0.6217607804613664</v>
      </c>
      <c r="U65" s="354">
        <f>MIN(1,CHOOSE(Table2[[#This Row],[Mode Digit]],0,(Vout+(Rdson3+Rdcr)*Table2[[#This Row],[Iin]]-Table2[[#This Row],[Vin]])/(Vout+(Rdson3-Rdson4-Rs)*Table2[[#This Row],[Iin]]),Fsw*Table2[[#This Row],[t1_Ph_II]]+Table2[[#This Row],[t3_Ph_III]]))</f>
        <v>0</v>
      </c>
      <c r="V65" s="4">
        <f>MAX(Table2[[#This Row],[I_0]:[I_2]])-MIN(Table2[[#This Row],[I_0]:[I_1]])</f>
        <v>3.5327317071668549</v>
      </c>
      <c r="W6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6.7969416732504406</v>
      </c>
      <c r="X65" s="354">
        <f>(Table2[[#This Row],[Irms Lf]]^2*Rdcr*(1+Ltc*Ta-Ltc*25))/(1-Table2[[#This Row],[Irms Lf]]^2*Rdcr*Ltc*ThetaCa)</f>
        <v>0.27382044634210834</v>
      </c>
      <c r="Y65" s="354">
        <f>ABS(7.759*10^-3*Fsw^0.9458*(0.00787*Table2[[#This Row],[Ripple Current pk-pk]])^2.304)</f>
        <v>0.58878120741688666</v>
      </c>
      <c r="Z65" s="354">
        <f>Table2[[#This Row],[DCR    Loss]]+Table2[[#This Row],[Core Loss]]</f>
        <v>0.862601653758995</v>
      </c>
      <c r="AA65" s="4">
        <f>IF(Table2[[#This Row],[Vin]]&gt;Vout, Table2[[#This Row],[Ripple Current pk-pk]]/SQRT(12), SQRT(Table2[[#This Row],[Duty Cycle BOOST Leg]]/(1-Table2[[#This Row],[Duty Cycle BOOST Leg]]))*SQRT(Table2[[#This Row],[Iout]]^2+(Table2[[#This Row],[Ripple Current pk-pk]]^2)/12))</f>
        <v>1.0198118010537549</v>
      </c>
      <c r="AB65" s="354">
        <f>RCoutEsr*Table2[[#This Row],[Irms Cout]]^2</f>
        <v>5.2000805478425172E-3</v>
      </c>
      <c r="AC65" s="354">
        <f>Table2[[#This Row],[Cout ESR Loss]]</f>
        <v>5.2000805478425172E-3</v>
      </c>
      <c r="AD65" s="4">
        <f>IF(Table2[[#This Row],[Vin]]&gt;Vout, SQRT(Table2[[#This Row],[Duty Cycle BUCK Leg]]*(1-Table2[[#This Row],[Duty Cycle BUCK Leg]]))*SQRT(Table2[[#This Row],[Iout]]^2+(Table2[[#This Row],[Ripple Current pk-pk]]^2)/12), Table2[[#This Row],[Ripple Current pk-pk]]/SQRT(12))</f>
        <v>3.2961615160412614</v>
      </c>
      <c r="AE65" s="354">
        <f>RCinEsr*Table2[[#This Row],[Irms Cin]]^2</f>
        <v>2.1729361479662854E-2</v>
      </c>
      <c r="AF65" s="549">
        <f>Table2[[#This Row],[Cin ESR Loss]]</f>
        <v>2.1729361479662854E-2</v>
      </c>
      <c r="AG65" s="354">
        <f>Table2[[#This Row],[Irms Lf]]</f>
        <v>6.7969416732504406</v>
      </c>
      <c r="AH65" s="354">
        <f>Rdson1*Table2[[#This Row],[Irms BuCtrl]]^2</f>
        <v>0.19403334766018773</v>
      </c>
      <c r="AI65" s="354">
        <f>CHOOSE(Table2[[#This Row],[Mode Digit]], (Table2[[#This Row],[Vin]]*Table2[[#This Row],[Iout]]/2)*(Fsw)*(Tr_buck+Tf_buck), 0, (Table2[[#This Row],[Vin]]*Table2[[#This Row],[Avg IL]]/2)*(Fsw/1)*(Tr_buck+Tf_buck))</f>
        <v>1.5726564661951914</v>
      </c>
      <c r="AJ65">
        <f>IF(Table2[[#This Row],[Vin]]&gt;Vout, IF(Table2[[#This Row],[Iout]]&gt;Table2[[#This Row],[Ripple Current pk-pk]]/2,0,ABS(Table2[[#This Row],[Iout]]-Table2[[#This Row],[Ripple Current pk-pk]]/2)*Vsd_Q1*Deadtime*Fsw),0)</f>
        <v>0</v>
      </c>
      <c r="AK65" s="354">
        <f>(Table2[[#This Row],[Dead Time Loss BuCtrl]]+Table2[[#This Row],[Transition Loss BuCtrl]]+Table2[[#This Row],[RDS(on) Loss BuCtrl]]*(1+RdsonTopTc*Ta-RdsonTopTc*25))/(1-Table2[[#This Row],[RDS(on) Loss BuCtrl]]*RdsonTopTc*ThetaJA_Q1)</f>
        <v>1.8529793632128424</v>
      </c>
      <c r="AL65" s="354">
        <f>Table2[[#This Row],[Irms Lf]]</f>
        <v>6.7969416732504406</v>
      </c>
      <c r="AM65" s="354">
        <f>Rdson2*Table2[[#This Row],[Irms BuSync]]^2</f>
        <v>0.19403334766018773</v>
      </c>
      <c r="AN6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0.323328</v>
      </c>
      <c r="AO65" s="354">
        <f>(Table2[[#This Row],[Deadtime Loss BuSync]]+Table2[[#This Row],[RDS(on) Loss BuSync]]*(1+RdsonBotTc*Ta-RdsonBotTc*25))/(1-Table2[[#This Row],[RDS(on) Loss BuSync]]*RdsonBotTc*ThetaJA_Q2)</f>
        <v>0.54263056990534519</v>
      </c>
      <c r="AP65" s="354">
        <f>Table2[[#This Row],[Irms Lf]]</f>
        <v>6.7969416732504406</v>
      </c>
      <c r="AQ65" s="354">
        <f>Rdson4*Table2[[#This Row],[Irms BoCtlr]]^2</f>
        <v>0.19403334766018773</v>
      </c>
      <c r="AR65" s="354">
        <f>CHOOSE(Table2[[#This Row],[Mode Digit]], 0, (Vout*Table2[[#This Row],[Iin]]/2)*(Fsw)*(Tr_boost+Tf_boost), (Vout*Iout/2)*(Fsw/1)*(Tr_boost+Tf_boost))</f>
        <v>0</v>
      </c>
      <c r="AS65" s="354">
        <f>IF(Table2[[#This Row],[Vin]]&gt;Vout, 0, IF(Table2[[#This Row],[Iin]]&gt;Table2[[#This Row],[Ripple Current pk-pk]]/2,0,ABS(Table2[[#This Row],[Iin]]-Table2[[#This Row],[Ripple Current pk-pk]]/2)*Vsd_Q4*Deadtime*Fsw))</f>
        <v>0</v>
      </c>
      <c r="AT65" s="354">
        <f>(Table2[[#This Row],[Dead Time Loss BoCtlr]]+Table2[[#This Row],[Transition Loss BoCtlr]]+Table2[[#This Row],[RDS(on) Loss BoCtlr]]*(1+RdsonTopTc*Ta-RdsonTopTc*25))/(1-Table2[[#This Row],[RDS(on) Loss BoCtlr]]*RdsonTopTc*ThetaJA_Q4)</f>
        <v>0.2035104216765822</v>
      </c>
      <c r="AU65" s="354">
        <f>Table2[[#This Row],[Irms Lf]]</f>
        <v>6.7969416732504406</v>
      </c>
      <c r="AV65" s="354">
        <f>Rdson3*Table2[[#This Row],[Irms BoSync]]^2</f>
        <v>0.19403334766018773</v>
      </c>
      <c r="AW6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5" s="354">
        <f>(Table2[[#This Row],[Deadtime Loss BoSync]]+Table2[[#This Row],[RDS(on) Loss BoSync]]*(1+RdsonBotTc*Ta-RdsonBotTc*25))/(1-Table2[[#This Row],[RDS(on) Loss BoSync]]*RdsonBotTc*ThetaJA_Q3)</f>
        <v>0.2035104216765822</v>
      </c>
      <c r="AY65" s="354">
        <f>CHOOSE(Table2[[#This Row],[Mode Digit]], Rdson3*Table2[[#This Row],[Irms Lf]]^2, Rdson1*Table2[[#This Row],[Irms Lf]]^2, 0)</f>
        <v>0.19403334766018773</v>
      </c>
      <c r="AZ65" s="354">
        <f>CHOOSE(Table2[[#This Row],[Mode Digit]], 2*Deadtime*Fsw*IF(VfdSky_Q2&gt;0,VfdSky_Q2,0)*Table2[[#This Row],[Iout]], 2*Deadtime*Fsw*IF(VfdSky_Q3&gt;0,VfdSky_Q3,0)*Table2[[#This Row],[Iin]], 2*Deadtime*Fsw*IF(VfdSky_Q2&gt;0,VfdSky_Q2,0)*Table2[[#This Row],[Iout]]+2*Deadtime*Fsw*IF(VfdSky_Q3&gt;0,VfdSky_Q3,0)*Table2[[#This Row],[Iin]])</f>
        <v>0</v>
      </c>
      <c r="BA6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0.15840233471999998</v>
      </c>
      <c r="BB6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0.15840233471999998</v>
      </c>
      <c r="BC65" s="354">
        <f>CHOOSE(Table2[[#This Row],[Mode Digit]], Rs*Table2[[#This Row],[Irms BuSync]]^2, Rs*Table2[[#This Row],[Irms BoCtlr]]^2, Rs*(Table2[[#This Row],[Irms BuSync]]^2+Table2[[#This Row],[Irms BoCtlr]]^2))</f>
        <v>0.11549604027392124</v>
      </c>
      <c r="BD65" s="354">
        <f t="shared" si="6"/>
        <v>1.44</v>
      </c>
      <c r="BE65" s="354">
        <f>IF(Vout&gt;8, Iq*Vout, Iq*Table2[[#This Row],[Vin]])</f>
        <v>4.3799999999999999E-2</v>
      </c>
      <c r="BF65" s="354">
        <f>CHOOSE(Table2[[#This Row],[Mode Digit]], (Qg_Q1+Qg_Q2)*Fsw, (Qg_Q3+Qg_Q4)*Fsw, (Qg_Q1+Qg_Q2+Qg_Q3+Qg_Q4)*Fsw)*IF(Vout&gt;8, Vout, Table2[[#This Row],[Vin]])</f>
        <v>0.47303999999999996</v>
      </c>
      <c r="BG65" s="354">
        <f t="shared" si="4"/>
        <v>0.57269042016806726</v>
      </c>
      <c r="BH65" s="354">
        <f>Table2[[#This Row],[IQ Loss]]+Table2[[#This Row],[Switching Current Loss]]</f>
        <v>0.51683999999999997</v>
      </c>
      <c r="BI6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6.081302581971773</v>
      </c>
      <c r="BJ65">
        <f>Vout*Table2[[#This Row],[Iout]]</f>
        <v>98.111999999999995</v>
      </c>
      <c r="BK65" s="550">
        <f>Table2[[#This Row],[Pout]]/(Table2[[#This Row],[Pout]]+Table2[[#This Row],[Total Loss]])</f>
        <v>0.9416344195713785</v>
      </c>
      <c r="BL65" s="559">
        <f>IF(Table2[[#This Row],[Vin]]&gt;Vout,ThetaJA_Q1*(Table2[[#This Row],[Total Control Bu MOSFET Loss]]+Table2[[#This Row],[Reverse Recovery Loss MOSFET D BUCK]]),ThetaJA_Q4*(Table2[[#This Row],[Total Control Bo MOSFET Loss]]+Table2[[#This Row],[Reverse Recovery Loss MOSFET D BOOST]]))</f>
        <v>120.68290187597054</v>
      </c>
      <c r="BM65" s="559">
        <f>IF(Table2[[#This Row],[Vin]]&gt;Vout, Table2[[#This Row],[Total Sync Bu MOSFET Loss]]*ThetaJA_Q2, ThetaJA_Q3*Table2[[#This Row],[Total Sync Bo MOSFET Loss]])</f>
        <v>32.557834194320712</v>
      </c>
      <c r="BN65" s="9"/>
      <c r="BO65" s="4">
        <f>Table2[[#This Row],[EFF, h]]*100</f>
        <v>94.163441957137849</v>
      </c>
      <c r="BP65" s="354">
        <f>Table2[[#This Row],[Total Inductor Loss]]</f>
        <v>0.862601653758995</v>
      </c>
      <c r="BQ65" s="354">
        <f>Table2[[#This Row],[Total Control Bu MOSFET Loss]]+Table2[[#This Row],[Total Sync Bu MOSFET Loss]]+Table2[[#This Row],[Total Control Bo MOSFET Loss]]+Table2[[#This Row],[Total Sync Bo MOSFET Loss]]+Table2[[#This Row],[Reverse Recovery Loss MOSFET D BUCK]]+Table2[[#This Row],[Reverse Recovery Loss MOSFET D BOOST]]</f>
        <v>3.1194354459113516</v>
      </c>
      <c r="BR65" s="354">
        <f xml:space="preserve"> Table2[[#This Row],[Total Control Bu MOSFET Loss]]+Table2[[#This Row],[Reverse Recovery Loss MOSFET D BUCK]]*0.66</f>
        <v>1.9575249041280425</v>
      </c>
      <c r="BS65" s="354">
        <f>Table2[[#This Row],[Total Sync Bu MOSFET Loss]]+Table2[[#This Row],[Reverse Recovery Loss MOSFET D BUCK]]*0.33</f>
        <v>0.59490334036294523</v>
      </c>
      <c r="BT65" s="354">
        <f xml:space="preserve"> Table2[[#This Row],[Total Control Bo MOSFET Loss]]+Table2[[#This Row],[Reverse Recovery Loss MOSFET D BOOST]]*0.66</f>
        <v>0.3080559625917822</v>
      </c>
      <c r="BU65" s="354">
        <f xml:space="preserve"> Table2[[#This Row],[Total Sync Bo MOSFET Loss]]+Table2[[#This Row],[Reverse Recovery Loss MOSFET D BOOST]]*0.33</f>
        <v>0.25578319213418221</v>
      </c>
      <c r="BV65" s="354">
        <f>Table2[[#This Row],[Isense Shunt Loss]]</f>
        <v>0.11549604027392124</v>
      </c>
      <c r="CB65" s="18"/>
      <c r="CC65" s="19"/>
    </row>
    <row r="66" spans="1:81" x14ac:dyDescent="0.2">
      <c r="A66" s="11" t="s">
        <v>81</v>
      </c>
      <c r="B66" s="31"/>
      <c r="C66" s="31"/>
      <c r="G66">
        <v>57</v>
      </c>
      <c r="H66" s="555">
        <f t="shared" si="5"/>
        <v>23.6</v>
      </c>
      <c r="I66" s="4" t="str">
        <f>IF(Mode = 2,IF(Table2[[#This Row],[Vin]]&gt;Vout, "BUCK","BOOST"),IF(Table2[[#This Row],[Vin]]&gt;VIN_BB_to_buck, "BUCK", IF(Table2[[#This Row],[Vin]]&lt;=VIN_boost_to_BB,"BOOST","BUCK-BST")))</f>
        <v>BUCK</v>
      </c>
      <c r="J66">
        <f>IF(Table2[[#This Row],[Mode]]="BOOST",2, IF(Table2[[#This Row],[Mode]]="BUCK", 1,3))</f>
        <v>1</v>
      </c>
      <c r="K66" s="354">
        <f t="shared" si="7"/>
        <v>6.84</v>
      </c>
      <c r="L66" s="4">
        <f>Vout*Table2[[#This Row],[Iout]]/(Table2[[#This Row],[Vin]]*Efficiency)</f>
        <v>4.4542372881355927</v>
      </c>
      <c r="M66" s="711">
        <f>MIN(1/Fsw,CHOOSE(Table2[[#This Row],[Mode Digit]],(Vout+(Rdson2+Rs+Rdcr)*Table2[[#This Row],[Iout]])/(Table2[[#This Row],[Vin]]+(Rs+Rdson2-Rdson1)*Table2[[#This Row],[Iout]])/Fsw,(Vout+(Rdson3+Rdcr)*Table2[[#This Row],[Iin]]-Table2[[#This Row],[Vin]])/(Vout+(Rdson3-Rdson4-Rs)*Table2[[#This Row],[Iin]])/Fsw,t1_Ph_II))</f>
        <v>1.0363606595785822E-6</v>
      </c>
      <c r="N66" s="602">
        <f>CHOOSE(Table2[[#This Row],[Mode Digit]],1/Fsw-Table2[[#This Row],[t1_Ph_II]],1/Fsw-Table2[[#This Row],[t1_Ph_II]],(Vout/Fsw-Table2[[#This Row],[Vin]]*t1_Ph_II)/(Table2[[#This Row],[Vin]]+Vout))</f>
        <v>6.3030600708808444E-7</v>
      </c>
      <c r="O66" s="602">
        <f>1/Fsw-(Table2[[#This Row],[t1_Ph_II]]+Table2[[#This Row],[t2_Ph_I]])</f>
        <v>0</v>
      </c>
      <c r="P6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5.0734761484455984</v>
      </c>
      <c r="Q66" s="4">
        <f>CHOOSE(Table2[[#This Row],[Mode Digit]],Table2[[#This Row],[I_0]]+1/Lf*(Table2[[#This Row],[Vin]]-Vout)*Table2[[#This Row],[t1_Ph_II]],Table2[[#This Row],[I_0]]+1/Lf*Table2[[#This Row],[Vin]]*Table2[[#This Row],[t1_Ph_II]],Table2[[#This Row],[I_0]]+(Table2[[#This Row],[Vin]]-Vout)/L*Table2[[#This Row],[t1_Ph_II]])</f>
        <v>8.6065238515544014</v>
      </c>
      <c r="R66" s="4">
        <f>CHOOSE(Table2[[#This Row],[Mode Digit]],0,0,Table2[[#This Row],[I_1]]+Table2[[#This Row],[Vin]]/L*Table2[[#This Row],[t2_Ph_I]])</f>
        <v>0</v>
      </c>
      <c r="S66" s="409">
        <f>Fsw*(Table2[[#This Row],[I_0]]*Table2[[#This Row],[t1_Ph_II]]+Table2[[#This Row],[I_1]]*Table2[[#This Row],[t2_Ph_I]]+Table2[[#This Row],[I_2]]*Table2[[#This Row],[t3_Ph_III]])</f>
        <v>6.4096168628045413</v>
      </c>
      <c r="T66" s="354">
        <f>MIN(1,CHOOSE(Table2[[#This Row],[Mode Digit]],(Vout+(Rdson2+Rs+Rdcr)*Table2[[#This Row],[Iout]])/(Table2[[#This Row],[Vin]]+(Rs+Rdson2-Rdson1)*Table2[[#This Row],[Iout]]),1,Fsw*Table2[[#This Row],[t2_Ph_I]]+Table2[[#This Row],[t1_Ph_II]]))</f>
        <v>0.62181639574714931</v>
      </c>
      <c r="U66" s="354">
        <f>MIN(1,CHOOSE(Table2[[#This Row],[Mode Digit]],0,(Vout+(Rdson3+Rdcr)*Table2[[#This Row],[Iin]]-Table2[[#This Row],[Vin]])/(Vout+(Rdson3-Rdson4-Rs)*Table2[[#This Row],[Iin]]),Fsw*Table2[[#This Row],[t1_Ph_II]]+Table2[[#This Row],[t3_Ph_III]]))</f>
        <v>0</v>
      </c>
      <c r="V66" s="4">
        <f>MAX(Table2[[#This Row],[I_0]:[I_2]])-MIN(Table2[[#This Row],[I_0]:[I_1]])</f>
        <v>3.533047703108803</v>
      </c>
      <c r="W6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6.9156201582145567</v>
      </c>
      <c r="X66" s="354">
        <f>(Table2[[#This Row],[Irms Lf]]^2*Rdcr*(1+Ltc*Ta-Ltc*25))/(1-Table2[[#This Row],[Irms Lf]]^2*Rdcr*Ltc*ThetaCa)</f>
        <v>0.28368495427485041</v>
      </c>
      <c r="Y66" s="354">
        <f>ABS(7.759*10^-3*Fsw^0.9458*(0.00787*Table2[[#This Row],[Ripple Current pk-pk]])^2.304)</f>
        <v>0.58890255540806991</v>
      </c>
      <c r="Z66" s="354">
        <f>Table2[[#This Row],[DCR    Loss]]+Table2[[#This Row],[Core Loss]]</f>
        <v>0.87258750968292031</v>
      </c>
      <c r="AA66" s="4">
        <f>IF(Table2[[#This Row],[Vin]]&gt;Vout, Table2[[#This Row],[Ripple Current pk-pk]]/SQRT(12), SQRT(Table2[[#This Row],[Duty Cycle BOOST Leg]]/(1-Table2[[#This Row],[Duty Cycle BOOST Leg]]))*SQRT(Table2[[#This Row],[Iout]]^2+(Table2[[#This Row],[Ripple Current pk-pk]]^2)/12))</f>
        <v>1.0199030212248283</v>
      </c>
      <c r="AB66" s="354">
        <f>RCoutEsr*Table2[[#This Row],[Irms Cout]]^2</f>
        <v>5.2010108635176635E-3</v>
      </c>
      <c r="AC66" s="354">
        <f>Table2[[#This Row],[Cout ESR Loss]]</f>
        <v>5.2010108635176635E-3</v>
      </c>
      <c r="AD66" s="4">
        <f>IF(Table2[[#This Row],[Vin]]&gt;Vout, SQRT(Table2[[#This Row],[Duty Cycle BUCK Leg]]*(1-Table2[[#This Row],[Duty Cycle BUCK Leg]]))*SQRT(Table2[[#This Row],[Iout]]^2+(Table2[[#This Row],[Ripple Current pk-pk]]^2)/12), Table2[[#This Row],[Ripple Current pk-pk]]/SQRT(12))</f>
        <v>3.3536177868757346</v>
      </c>
      <c r="AE66" s="354">
        <f>RCinEsr*Table2[[#This Row],[Irms Cin]]^2</f>
        <v>2.24935045208986E-2</v>
      </c>
      <c r="AF66" s="549">
        <f>Table2[[#This Row],[Cin ESR Loss]]</f>
        <v>2.24935045208986E-2</v>
      </c>
      <c r="AG66" s="354">
        <f>Table2[[#This Row],[Irms Lf]]</f>
        <v>6.9156201582145567</v>
      </c>
      <c r="AH66" s="354">
        <f>Rdson1*Table2[[#This Row],[Irms BuCtrl]]^2</f>
        <v>0.20086836912535486</v>
      </c>
      <c r="AI66" s="354">
        <f>CHOOSE(Table2[[#This Row],[Mode Digit]], (Table2[[#This Row],[Vin]]*Table2[[#This Row],[Iout]]/2)*(Fsw)*(Tr_buck+Tf_buck), 0, (Table2[[#This Row],[Vin]]*Table2[[#This Row],[Avg IL]]/2)*(Fsw/1)*(Tr_buck+Tf_buck))</f>
        <v>1.6007396173772481</v>
      </c>
      <c r="AJ66">
        <f>IF(Table2[[#This Row],[Vin]]&gt;Vout, IF(Table2[[#This Row],[Iout]]&gt;Table2[[#This Row],[Ripple Current pk-pk]]/2,0,ABS(Table2[[#This Row],[Iout]]-Table2[[#This Row],[Ripple Current pk-pk]]/2)*Vsd_Q1*Deadtime*Fsw),0)</f>
        <v>0</v>
      </c>
      <c r="AK66" s="354">
        <f>(Table2[[#This Row],[Dead Time Loss BuCtrl]]+Table2[[#This Row],[Transition Loss BuCtrl]]+Table2[[#This Row],[RDS(on) Loss BuCtrl]]*(1+RdsonTopTc*Ta-RdsonTopTc*25))/(1-Table2[[#This Row],[RDS(on) Loss BuCtrl]]*RdsonTopTc*ThetaJA_Q1)</f>
        <v>1.8928597423663218</v>
      </c>
      <c r="AL66" s="354">
        <f>Table2[[#This Row],[Irms Lf]]</f>
        <v>6.9156201582145567</v>
      </c>
      <c r="AM66" s="354">
        <f>Rdson2*Table2[[#This Row],[Irms BuSync]]^2</f>
        <v>0.20086836912535486</v>
      </c>
      <c r="AN6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0.32910171428571428</v>
      </c>
      <c r="AO66" s="354">
        <f>(Table2[[#This Row],[Deadtime Loss BuSync]]+Table2[[#This Row],[RDS(on) Loss BuSync]]*(1+RdsonBotTc*Ta-RdsonBotTc*25))/(1-Table2[[#This Row],[RDS(on) Loss BuSync]]*RdsonBotTc*ThetaJA_Q2)</f>
        <v>0.55681315972334866</v>
      </c>
      <c r="AP66" s="354">
        <f>Table2[[#This Row],[Irms Lf]]</f>
        <v>6.9156201582145567</v>
      </c>
      <c r="AQ66" s="354">
        <f>Rdson4*Table2[[#This Row],[Irms BoCtlr]]^2</f>
        <v>0.20086836912535486</v>
      </c>
      <c r="AR66" s="354">
        <f>CHOOSE(Table2[[#This Row],[Mode Digit]], 0, (Vout*Table2[[#This Row],[Iin]]/2)*(Fsw)*(Tr_boost+Tf_boost), (Vout*Iout/2)*(Fsw/1)*(Tr_boost+Tf_boost))</f>
        <v>0</v>
      </c>
      <c r="AS66" s="354">
        <f>IF(Table2[[#This Row],[Vin]]&gt;Vout, 0, IF(Table2[[#This Row],[Iin]]&gt;Table2[[#This Row],[Ripple Current pk-pk]]/2,0,ABS(Table2[[#This Row],[Iin]]-Table2[[#This Row],[Ripple Current pk-pk]]/2)*Vsd_Q4*Deadtime*Fsw))</f>
        <v>0</v>
      </c>
      <c r="AT66" s="354">
        <f>(Table2[[#This Row],[Dead Time Loss BoCtlr]]+Table2[[#This Row],[Transition Loss BoCtlr]]+Table2[[#This Row],[RDS(on) Loss BoCtlr]]*(1+RdsonTopTc*Ta-RdsonTopTc*25))/(1-Table2[[#This Row],[RDS(on) Loss BoCtlr]]*RdsonTopTc*ThetaJA_Q4)</f>
        <v>0.21104238673489756</v>
      </c>
      <c r="AU66" s="354">
        <f>Table2[[#This Row],[Irms Lf]]</f>
        <v>6.9156201582145567</v>
      </c>
      <c r="AV66" s="354">
        <f>Rdson3*Table2[[#This Row],[Irms BoSync]]^2</f>
        <v>0.20086836912535486</v>
      </c>
      <c r="AW6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6" s="354">
        <f>(Table2[[#This Row],[Deadtime Loss BoSync]]+Table2[[#This Row],[RDS(on) Loss BoSync]]*(1+RdsonBotTc*Ta-RdsonBotTc*25))/(1-Table2[[#This Row],[RDS(on) Loss BoSync]]*RdsonBotTc*ThetaJA_Q3)</f>
        <v>0.21104238673489756</v>
      </c>
      <c r="AY66" s="354">
        <f>CHOOSE(Table2[[#This Row],[Mode Digit]], Rdson3*Table2[[#This Row],[Irms Lf]]^2, Rdson1*Table2[[#This Row],[Irms Lf]]^2, 0)</f>
        <v>0.20086836912535486</v>
      </c>
      <c r="AZ66" s="354">
        <f>CHOOSE(Table2[[#This Row],[Mode Digit]], 2*Deadtime*Fsw*IF(VfdSky_Q2&gt;0,VfdSky_Q2,0)*Table2[[#This Row],[Iout]], 2*Deadtime*Fsw*IF(VfdSky_Q3&gt;0,VfdSky_Q3,0)*Table2[[#This Row],[Iin]], 2*Deadtime*Fsw*IF(VfdSky_Q2&gt;0,VfdSky_Q2,0)*Table2[[#This Row],[Iout]]+2*Deadtime*Fsw*IF(VfdSky_Q3&gt;0,VfdSky_Q3,0)*Table2[[#This Row],[Iin]])</f>
        <v>0</v>
      </c>
      <c r="BA6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0.16122750048000001</v>
      </c>
      <c r="BB6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0.16122750048000001</v>
      </c>
      <c r="BC66" s="354">
        <f>CHOOSE(Table2[[#This Row],[Mode Digit]], Rs*Table2[[#This Row],[Irms BuSync]]^2, Rs*Table2[[#This Row],[Irms BoCtlr]]^2, Rs*(Table2[[#This Row],[Irms BuSync]]^2+Table2[[#This Row],[Irms BoCtlr]]^2))</f>
        <v>0.11956450543175884</v>
      </c>
      <c r="BD66" s="354">
        <f t="shared" si="6"/>
        <v>1.44</v>
      </c>
      <c r="BE66" s="354">
        <f>IF(Vout&gt;8, Iq*Vout, Iq*Table2[[#This Row],[Vin]])</f>
        <v>4.3799999999999999E-2</v>
      </c>
      <c r="BF66" s="354">
        <f>CHOOSE(Table2[[#This Row],[Mode Digit]], (Qg_Q1+Qg_Q2)*Fsw, (Qg_Q3+Qg_Q4)*Fsw, (Qg_Q1+Qg_Q2+Qg_Q3+Qg_Q4)*Fsw)*IF(Vout&gt;8, Vout, Table2[[#This Row],[Vin]])</f>
        <v>0.47303999999999996</v>
      </c>
      <c r="BG66" s="354">
        <f t="shared" si="4"/>
        <v>0.57269042016806726</v>
      </c>
      <c r="BH66" s="354">
        <f>Table2[[#This Row],[IQ Loss]]+Table2[[#This Row],[Switching Current Loss]]</f>
        <v>0.51683999999999997</v>
      </c>
      <c r="BI6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6.1708992070185609</v>
      </c>
      <c r="BJ66">
        <f>Vout*Table2[[#This Row],[Iout]]</f>
        <v>99.86399999999999</v>
      </c>
      <c r="BK66" s="550">
        <f>Table2[[#This Row],[Pout]]/(Table2[[#This Row],[Pout]]+Table2[[#This Row],[Total Loss]])</f>
        <v>0.94180313035455687</v>
      </c>
      <c r="BL66" s="559">
        <f>IF(Table2[[#This Row],[Vin]]&gt;Vout,ThetaJA_Q1*(Table2[[#This Row],[Total Control Bu MOSFET Loss]]+Table2[[#This Row],[Reverse Recovery Loss MOSFET D BUCK]]),ThetaJA_Q4*(Table2[[#This Row],[Total Control Bo MOSFET Loss]]+Table2[[#This Row],[Reverse Recovery Loss MOSFET D BOOST]]))</f>
        <v>123.2452345707793</v>
      </c>
      <c r="BM66" s="559">
        <f>IF(Table2[[#This Row],[Vin]]&gt;Vout, Table2[[#This Row],[Total Sync Bu MOSFET Loss]]*ThetaJA_Q2, ThetaJA_Q3*Table2[[#This Row],[Total Sync Bo MOSFET Loss]])</f>
        <v>33.408789583400917</v>
      </c>
      <c r="BN66" s="9"/>
      <c r="BO66" s="4">
        <f>Table2[[#This Row],[EFF, h]]*100</f>
        <v>94.180313035455683</v>
      </c>
      <c r="BP66" s="354">
        <f>Table2[[#This Row],[Total Inductor Loss]]</f>
        <v>0.87258750968292031</v>
      </c>
      <c r="BQ66" s="354">
        <f>Table2[[#This Row],[Total Control Bu MOSFET Loss]]+Table2[[#This Row],[Total Sync Bu MOSFET Loss]]+Table2[[#This Row],[Total Control Bo MOSFET Loss]]+Table2[[#This Row],[Total Sync Bo MOSFET Loss]]+Table2[[#This Row],[Reverse Recovery Loss MOSFET D BUCK]]+Table2[[#This Row],[Reverse Recovery Loss MOSFET D BOOST]]</f>
        <v>3.1942126765194652</v>
      </c>
      <c r="BR66" s="354">
        <f xml:space="preserve"> Table2[[#This Row],[Total Control Bu MOSFET Loss]]+Table2[[#This Row],[Reverse Recovery Loss MOSFET D BUCK]]*0.66</f>
        <v>1.9992698926831218</v>
      </c>
      <c r="BS66" s="354">
        <f>Table2[[#This Row],[Total Sync Bu MOSFET Loss]]+Table2[[#This Row],[Reverse Recovery Loss MOSFET D BUCK]]*0.33</f>
        <v>0.61001823488174867</v>
      </c>
      <c r="BT66" s="354">
        <f xml:space="preserve"> Table2[[#This Row],[Total Control Bo MOSFET Loss]]+Table2[[#This Row],[Reverse Recovery Loss MOSFET D BOOST]]*0.66</f>
        <v>0.31745253705169757</v>
      </c>
      <c r="BU66" s="354">
        <f xml:space="preserve"> Table2[[#This Row],[Total Sync Bo MOSFET Loss]]+Table2[[#This Row],[Reverse Recovery Loss MOSFET D BOOST]]*0.33</f>
        <v>0.26424746189329756</v>
      </c>
      <c r="BV66" s="354">
        <f>Table2[[#This Row],[Isense Shunt Loss]]</f>
        <v>0.11956450543175884</v>
      </c>
      <c r="CB66" s="18"/>
      <c r="CC66" s="19"/>
    </row>
    <row r="67" spans="1:81" x14ac:dyDescent="0.2">
      <c r="A67" s="14" t="s">
        <v>59</v>
      </c>
      <c r="B67" s="15" t="s">
        <v>8</v>
      </c>
      <c r="C67" s="15" t="s">
        <v>80</v>
      </c>
      <c r="G67">
        <v>58</v>
      </c>
      <c r="H67" s="555">
        <f t="shared" si="5"/>
        <v>23.6</v>
      </c>
      <c r="I67" s="4" t="str">
        <f>IF(Mode = 2,IF(Table2[[#This Row],[Vin]]&gt;Vout, "BUCK","BOOST"),IF(Table2[[#This Row],[Vin]]&gt;VIN_BB_to_buck, "BUCK", IF(Table2[[#This Row],[Vin]]&lt;=VIN_boost_to_BB,"BOOST","BUCK-BST")))</f>
        <v>BUCK</v>
      </c>
      <c r="J67">
        <f>IF(Table2[[#This Row],[Mode]]="BOOST",2, IF(Table2[[#This Row],[Mode]]="BUCK", 1,3))</f>
        <v>1</v>
      </c>
      <c r="K67" s="354">
        <f t="shared" si="7"/>
        <v>6.96</v>
      </c>
      <c r="L67" s="4">
        <f>Vout*Table2[[#This Row],[Iout]]/(Table2[[#This Row],[Vin]]*Efficiency)</f>
        <v>4.5323818019625328</v>
      </c>
      <c r="M67" s="711">
        <f>MIN(1/Fsw,CHOOSE(Table2[[#This Row],[Mode Digit]],(Vout+(Rdson2+Rs+Rdcr)*Table2[[#This Row],[Iout]])/(Table2[[#This Row],[Vin]]+(Rs+Rdson2-Rdson1)*Table2[[#This Row],[Iout]])/Fsw,(Vout+(Rdson3+Rdcr)*Table2[[#This Row],[Iin]]-Table2[[#This Row],[Vin]])/(Vout+(Rdson3-Rdson4-Rs)*Table2[[#This Row],[Iin]])/Fsw,t1_Ph_II))</f>
        <v>1.0364533493667098E-6</v>
      </c>
      <c r="N67" s="602">
        <f>CHOOSE(Table2[[#This Row],[Mode Digit]],1/Fsw-Table2[[#This Row],[t1_Ph_II]],1/Fsw-Table2[[#This Row],[t1_Ph_II]],(Vout/Fsw-Table2[[#This Row],[Vin]]*t1_Ph_II)/(Table2[[#This Row],[Vin]]+Vout))</f>
        <v>6.3021331729995686E-7</v>
      </c>
      <c r="O67" s="602">
        <f>1/Fsw-(Table2[[#This Row],[t1_Ph_II]]+Table2[[#This Row],[t2_Ph_I]])</f>
        <v>0</v>
      </c>
      <c r="P6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5.193318154488562</v>
      </c>
      <c r="Q67" s="4">
        <f>CHOOSE(Table2[[#This Row],[Mode Digit]],Table2[[#This Row],[I_0]]+1/Lf*(Table2[[#This Row],[Vin]]-Vout)*Table2[[#This Row],[t1_Ph_II]],Table2[[#This Row],[I_0]]+1/Lf*Table2[[#This Row],[Vin]]*Table2[[#This Row],[t1_Ph_II]],Table2[[#This Row],[I_0]]+(Table2[[#This Row],[Vin]]-Vout)/L*Table2[[#This Row],[t1_Ph_II]])</f>
        <v>8.7266818455114361</v>
      </c>
      <c r="R67" s="4">
        <f>CHOOSE(Table2[[#This Row],[Mode Digit]],0,0,Table2[[#This Row],[I_1]]+Table2[[#This Row],[Vin]]/L*Table2[[#This Row],[t2_Ph_I]])</f>
        <v>0</v>
      </c>
      <c r="S67" s="409">
        <f>Fsw*(Table2[[#This Row],[I_0]]*Table2[[#This Row],[t1_Ph_II]]+Table2[[#This Row],[I_1]]*Table2[[#This Row],[t2_Ph_I]]+Table2[[#This Row],[I_2]]*Table2[[#This Row],[t3_Ph_III]])</f>
        <v>6.5293818662566094</v>
      </c>
      <c r="T67" s="354">
        <f>MIN(1,CHOOSE(Table2[[#This Row],[Mode Digit]],(Vout+(Rdson2+Rs+Rdcr)*Table2[[#This Row],[Iout]])/(Table2[[#This Row],[Vin]]+(Rs+Rdson2-Rdson1)*Table2[[#This Row],[Iout]]),1,Fsw*Table2[[#This Row],[t2_Ph_I]]+Table2[[#This Row],[t1_Ph_II]]))</f>
        <v>0.62187200962002587</v>
      </c>
      <c r="U67" s="354">
        <f>MIN(1,CHOOSE(Table2[[#This Row],[Mode Digit]],0,(Vout+(Rdson3+Rdcr)*Table2[[#This Row],[Iin]]-Table2[[#This Row],[Vin]])/(Vout+(Rdson3-Rdson4-Rs)*Table2[[#This Row],[Iin]]),Fsw*Table2[[#This Row],[t1_Ph_II]]+Table2[[#This Row],[t3_Ph_III]]))</f>
        <v>0</v>
      </c>
      <c r="V67" s="4">
        <f>MAX(Table2[[#This Row],[I_0]:[I_2]])-MIN(Table2[[#This Row],[I_0]:[I_1]])</f>
        <v>3.5333636910228741</v>
      </c>
      <c r="W6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7.0343434837768068</v>
      </c>
      <c r="X67" s="354">
        <f>(Table2[[#This Row],[Irms Lf]]^2*Rdcr*(1+Ltc*Ta-Ltc*25))/(1-Table2[[#This Row],[Irms Lf]]^2*Rdcr*Ltc*ThetaCa)</f>
        <v>0.29373969012407142</v>
      </c>
      <c r="Y67" s="354">
        <f>ABS(7.759*10^-3*Fsw^0.9458*(0.00787*Table2[[#This Row],[Ripple Current pk-pk]])^2.304)</f>
        <v>0.58902391446948799</v>
      </c>
      <c r="Z67" s="354">
        <f>Table2[[#This Row],[DCR    Loss]]+Table2[[#This Row],[Core Loss]]</f>
        <v>0.8827636045935594</v>
      </c>
      <c r="AA67" s="4">
        <f>IF(Table2[[#This Row],[Vin]]&gt;Vout, Table2[[#This Row],[Ripple Current pk-pk]]/SQRT(12), SQRT(Table2[[#This Row],[Duty Cycle BOOST Leg]]/(1-Table2[[#This Row],[Duty Cycle BOOST Leg]]))*SQRT(Table2[[#This Row],[Iout]]^2+(Table2[[#This Row],[Ripple Current pk-pk]]^2)/12))</f>
        <v>1.0199942390784531</v>
      </c>
      <c r="AB67" s="354">
        <f>RCoutEsr*Table2[[#This Row],[Irms Cout]]^2</f>
        <v>5.2019412387661621E-3</v>
      </c>
      <c r="AC67" s="354">
        <f>Table2[[#This Row],[Cout ESR Loss]]</f>
        <v>5.2019412387661621E-3</v>
      </c>
      <c r="AD67" s="4">
        <f>IF(Table2[[#This Row],[Vin]]&gt;Vout, SQRT(Table2[[#This Row],[Duty Cycle BUCK Leg]]*(1-Table2[[#This Row],[Duty Cycle BUCK Leg]]))*SQRT(Table2[[#This Row],[Iout]]^2+(Table2[[#This Row],[Ripple Current pk-pk]]^2)/12), Table2[[#This Row],[Ripple Current pk-pk]]/SQRT(12))</f>
        <v>3.4110924413706925</v>
      </c>
      <c r="AE67" s="354">
        <f>RCinEsr*Table2[[#This Row],[Irms Cin]]^2</f>
        <v>2.3271103287152543E-2</v>
      </c>
      <c r="AF67" s="549">
        <f>Table2[[#This Row],[Cin ESR Loss]]</f>
        <v>2.3271103287152543E-2</v>
      </c>
      <c r="AG67" s="354">
        <f>Table2[[#This Row],[Irms Lf]]</f>
        <v>7.0343434837768068</v>
      </c>
      <c r="AH67" s="354">
        <f>Rdson1*Table2[[#This Row],[Irms BuCtrl]]^2</f>
        <v>0.20782435064056357</v>
      </c>
      <c r="AI67" s="354">
        <f>CHOOSE(Table2[[#This Row],[Mode Digit]], (Table2[[#This Row],[Vin]]*Table2[[#This Row],[Iout]]/2)*(Fsw)*(Tr_buck+Tf_buck), 0, (Table2[[#This Row],[Vin]]*Table2[[#This Row],[Avg IL]]/2)*(Fsw/1)*(Tr_buck+Tf_buck))</f>
        <v>1.6288227685593053</v>
      </c>
      <c r="AJ67">
        <f>IF(Table2[[#This Row],[Vin]]&gt;Vout, IF(Table2[[#This Row],[Iout]]&gt;Table2[[#This Row],[Ripple Current pk-pk]]/2,0,ABS(Table2[[#This Row],[Iout]]-Table2[[#This Row],[Ripple Current pk-pk]]/2)*Vsd_Q1*Deadtime*Fsw),0)</f>
        <v>0</v>
      </c>
      <c r="AK67" s="354">
        <f>(Table2[[#This Row],[Dead Time Loss BuCtrl]]+Table2[[#This Row],[Transition Loss BuCtrl]]+Table2[[#This Row],[RDS(on) Loss BuCtrl]]*(1+RdsonTopTc*Ta-RdsonTopTc*25))/(1-Table2[[#This Row],[RDS(on) Loss BuCtrl]]*RdsonTopTc*ThetaJA_Q1)</f>
        <v>1.9330641937972541</v>
      </c>
      <c r="AL67" s="354">
        <f>Table2[[#This Row],[Irms Lf]]</f>
        <v>7.0343434837768068</v>
      </c>
      <c r="AM67" s="354">
        <f>Rdson2*Table2[[#This Row],[Irms BuSync]]^2</f>
        <v>0.20782435064056357</v>
      </c>
      <c r="AN6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0.33487542857142855</v>
      </c>
      <c r="AO67" s="354">
        <f>(Table2[[#This Row],[Deadtime Loss BuSync]]+Table2[[#This Row],[RDS(on) Loss BuSync]]*(1+RdsonBotTc*Ta-RdsonBotTc*25))/(1-Table2[[#This Row],[RDS(on) Loss BuSync]]*RdsonBotTc*ThetaJA_Q2)</f>
        <v>0.57118947902926709</v>
      </c>
      <c r="AP67" s="354">
        <f>Table2[[#This Row],[Irms Lf]]</f>
        <v>7.0343434837768068</v>
      </c>
      <c r="AQ67" s="354">
        <f>Rdson4*Table2[[#This Row],[Irms BoCtlr]]^2</f>
        <v>0.20782435064056357</v>
      </c>
      <c r="AR67" s="354">
        <f>CHOOSE(Table2[[#This Row],[Mode Digit]], 0, (Vout*Table2[[#This Row],[Iin]]/2)*(Fsw)*(Tr_boost+Tf_boost), (Vout*Iout/2)*(Fsw/1)*(Tr_boost+Tf_boost))</f>
        <v>0</v>
      </c>
      <c r="AS67" s="354">
        <f>IF(Table2[[#This Row],[Vin]]&gt;Vout, 0, IF(Table2[[#This Row],[Iin]]&gt;Table2[[#This Row],[Ripple Current pk-pk]]/2,0,ABS(Table2[[#This Row],[Iin]]-Table2[[#This Row],[Ripple Current pk-pk]]/2)*Vsd_Q4*Deadtime*Fsw))</f>
        <v>0</v>
      </c>
      <c r="AT67" s="354">
        <f>(Table2[[#This Row],[Dead Time Loss BoCtlr]]+Table2[[#This Row],[Transition Loss BoCtlr]]+Table2[[#This Row],[RDS(on) Loss BoCtlr]]*(1+RdsonTopTc*Ta-RdsonTopTc*25))/(1-Table2[[#This Row],[RDS(on) Loss BoCtlr]]*RdsonTopTc*ThetaJA_Q4)</f>
        <v>0.21873434838013689</v>
      </c>
      <c r="AU67" s="354">
        <f>Table2[[#This Row],[Irms Lf]]</f>
        <v>7.0343434837768068</v>
      </c>
      <c r="AV67" s="354">
        <f>Rdson3*Table2[[#This Row],[Irms BoSync]]^2</f>
        <v>0.20782435064056357</v>
      </c>
      <c r="AW6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7" s="354">
        <f>(Table2[[#This Row],[Deadtime Loss BoSync]]+Table2[[#This Row],[RDS(on) Loss BoSync]]*(1+RdsonBotTc*Ta-RdsonBotTc*25))/(1-Table2[[#This Row],[RDS(on) Loss BoSync]]*RdsonBotTc*ThetaJA_Q3)</f>
        <v>0.21873434838013689</v>
      </c>
      <c r="AY67" s="354">
        <f>CHOOSE(Table2[[#This Row],[Mode Digit]], Rdson3*Table2[[#This Row],[Irms Lf]]^2, Rdson1*Table2[[#This Row],[Irms Lf]]^2, 0)</f>
        <v>0.20782435064056357</v>
      </c>
      <c r="AZ67" s="354">
        <f>CHOOSE(Table2[[#This Row],[Mode Digit]], 2*Deadtime*Fsw*IF(VfdSky_Q2&gt;0,VfdSky_Q2,0)*Table2[[#This Row],[Iout]], 2*Deadtime*Fsw*IF(VfdSky_Q3&gt;0,VfdSky_Q3,0)*Table2[[#This Row],[Iin]], 2*Deadtime*Fsw*IF(VfdSky_Q2&gt;0,VfdSky_Q2,0)*Table2[[#This Row],[Iout]]+2*Deadtime*Fsw*IF(VfdSky_Q3&gt;0,VfdSky_Q3,0)*Table2[[#This Row],[Iin]])</f>
        <v>0</v>
      </c>
      <c r="BA6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0.16405254528000002</v>
      </c>
      <c r="BB6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0.16405254528000002</v>
      </c>
      <c r="BC67" s="354">
        <f>CHOOSE(Table2[[#This Row],[Mode Digit]], Rs*Table2[[#This Row],[Irms BuSync]]^2, Rs*Table2[[#This Row],[Irms BoCtlr]]^2, Rs*(Table2[[#This Row],[Irms BuSync]]^2+Table2[[#This Row],[Irms BoCtlr]]^2))</f>
        <v>0.12370497061938306</v>
      </c>
      <c r="BD67" s="354">
        <f t="shared" si="6"/>
        <v>1.44</v>
      </c>
      <c r="BE67" s="354">
        <f>IF(Vout&gt;8, Iq*Vout, Iq*Table2[[#This Row],[Vin]])</f>
        <v>4.3799999999999999E-2</v>
      </c>
      <c r="BF67" s="354">
        <f>CHOOSE(Table2[[#This Row],[Mode Digit]], (Qg_Q1+Qg_Q2)*Fsw, (Qg_Q3+Qg_Q4)*Fsw, (Qg_Q1+Qg_Q2+Qg_Q3+Qg_Q4)*Fsw)*IF(Vout&gt;8, Vout, Table2[[#This Row],[Vin]])</f>
        <v>0.47303999999999996</v>
      </c>
      <c r="BG67" s="354">
        <f t="shared" si="4"/>
        <v>0.57269042016806726</v>
      </c>
      <c r="BH67" s="354">
        <f>Table2[[#This Row],[IQ Loss]]+Table2[[#This Row],[Switching Current Loss]]</f>
        <v>0.51683999999999997</v>
      </c>
      <c r="BI6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6.2616090798856554</v>
      </c>
      <c r="BJ67">
        <f>Vout*Table2[[#This Row],[Iout]]</f>
        <v>101.616</v>
      </c>
      <c r="BK67" s="550">
        <f>Table2[[#This Row],[Pout]]/(Table2[[#This Row],[Pout]]+Table2[[#This Row],[Total Loss]])</f>
        <v>0.94195636023737972</v>
      </c>
      <c r="BL67" s="559">
        <f>IF(Table2[[#This Row],[Vin]]&gt;Vout,ThetaJA_Q1*(Table2[[#This Row],[Total Control Bu MOSFET Loss]]+Table2[[#This Row],[Reverse Recovery Loss MOSFET D BUCK]]),ThetaJA_Q4*(Table2[[#This Row],[Total Control Bo MOSFET Loss]]+Table2[[#This Row],[Reverse Recovery Loss MOSFET D BOOST]]))</f>
        <v>125.82700434463526</v>
      </c>
      <c r="BM67" s="559">
        <f>IF(Table2[[#This Row],[Vin]]&gt;Vout, Table2[[#This Row],[Total Sync Bu MOSFET Loss]]*ThetaJA_Q2, ThetaJA_Q3*Table2[[#This Row],[Total Sync Bo MOSFET Loss]])</f>
        <v>34.271368741756028</v>
      </c>
      <c r="BN67" s="9"/>
      <c r="BO67" s="4">
        <f>Table2[[#This Row],[EFF, h]]*100</f>
        <v>94.195636023737976</v>
      </c>
      <c r="BP67" s="354">
        <f>Table2[[#This Row],[Total Inductor Loss]]</f>
        <v>0.8827636045935594</v>
      </c>
      <c r="BQ67" s="354">
        <f>Table2[[#This Row],[Total Control Bu MOSFET Loss]]+Table2[[#This Row],[Total Sync Bu MOSFET Loss]]+Table2[[#This Row],[Total Control Bo MOSFET Loss]]+Table2[[#This Row],[Total Sync Bo MOSFET Loss]]+Table2[[#This Row],[Reverse Recovery Loss MOSFET D BUCK]]+Table2[[#This Row],[Reverse Recovery Loss MOSFET D BOOST]]</f>
        <v>3.2698274601467947</v>
      </c>
      <c r="BR67" s="354">
        <f xml:space="preserve"> Table2[[#This Row],[Total Control Bu MOSFET Loss]]+Table2[[#This Row],[Reverse Recovery Loss MOSFET D BUCK]]*0.66</f>
        <v>2.0413388736820544</v>
      </c>
      <c r="BS67" s="354">
        <f>Table2[[#This Row],[Total Sync Bu MOSFET Loss]]+Table2[[#This Row],[Reverse Recovery Loss MOSFET D BUCK]]*0.33</f>
        <v>0.62532681897166709</v>
      </c>
      <c r="BT67" s="354">
        <f xml:space="preserve"> Table2[[#This Row],[Total Control Bo MOSFET Loss]]+Table2[[#This Row],[Reverse Recovery Loss MOSFET D BOOST]]*0.66</f>
        <v>0.32700902826493689</v>
      </c>
      <c r="BU67" s="354">
        <f xml:space="preserve"> Table2[[#This Row],[Total Sync Bo MOSFET Loss]]+Table2[[#This Row],[Reverse Recovery Loss MOSFET D BOOST]]*0.33</f>
        <v>0.27287168832253689</v>
      </c>
      <c r="BV67" s="354">
        <f>Table2[[#This Row],[Isense Shunt Loss]]</f>
        <v>0.12370497061938306</v>
      </c>
      <c r="CB67" s="18"/>
      <c r="CC67" s="19"/>
    </row>
    <row r="68" spans="1:81" x14ac:dyDescent="0.2">
      <c r="A68" s="32" t="s">
        <v>240</v>
      </c>
      <c r="B68" s="449" t="e">
        <f>#REF!</f>
        <v>#REF!</v>
      </c>
      <c r="C68" s="21" t="s">
        <v>19</v>
      </c>
      <c r="G68">
        <v>59</v>
      </c>
      <c r="H68" s="555">
        <f t="shared" si="5"/>
        <v>23.6</v>
      </c>
      <c r="I68" s="4" t="str">
        <f>IF(Mode = 2,IF(Table2[[#This Row],[Vin]]&gt;Vout, "BUCK","BOOST"),IF(Table2[[#This Row],[Vin]]&gt;VIN_BB_to_buck, "BUCK", IF(Table2[[#This Row],[Vin]]&lt;=VIN_boost_to_BB,"BOOST","BUCK-BST")))</f>
        <v>BUCK</v>
      </c>
      <c r="J68">
        <f>IF(Table2[[#This Row],[Mode]]="BOOST",2, IF(Table2[[#This Row],[Mode]]="BUCK", 1,3))</f>
        <v>1</v>
      </c>
      <c r="K68" s="354">
        <f t="shared" si="7"/>
        <v>7.08</v>
      </c>
      <c r="L68" s="4">
        <f>Vout*Table2[[#This Row],[Iout]]/(Table2[[#This Row],[Vin]]*Efficiency)</f>
        <v>4.6105263157894729</v>
      </c>
      <c r="M68" s="711">
        <f>MIN(1/Fsw,CHOOSE(Table2[[#This Row],[Mode Digit]],(Vout+(Rdson2+Rs+Rdcr)*Table2[[#This Row],[Iout]])/(Table2[[#This Row],[Vin]]+(Rs+Rdson2-Rdson1)*Table2[[#This Row],[Iout]])/Fsw,(Vout+(Rdson3+Rdcr)*Table2[[#This Row],[Iin]]-Table2[[#This Row],[Vin]])/(Vout+(Rdson3-Rdson4-Rs)*Table2[[#This Row],[Iin]])/Fsw,t1_Ph_II))</f>
        <v>1.0365460368000835E-6</v>
      </c>
      <c r="N68" s="602">
        <f>CHOOSE(Table2[[#This Row],[Mode Digit]],1/Fsw-Table2[[#This Row],[t1_Ph_II]],1/Fsw-Table2[[#This Row],[t1_Ph_II]],(Vout/Fsw-Table2[[#This Row],[Vin]]*t1_Ph_II)/(Table2[[#This Row],[Vin]]+Vout))</f>
        <v>6.3012062986658319E-7</v>
      </c>
      <c r="O68" s="602">
        <f>1/Fsw-(Table2[[#This Row],[t1_Ph_II]]+Table2[[#This Row],[t2_Ph_I]])</f>
        <v>0</v>
      </c>
      <c r="P6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5.3131601645453124</v>
      </c>
      <c r="Q68" s="4">
        <f>CHOOSE(Table2[[#This Row],[Mode Digit]],Table2[[#This Row],[I_0]]+1/Lf*(Table2[[#This Row],[Vin]]-Vout)*Table2[[#This Row],[t1_Ph_II]],Table2[[#This Row],[I_0]]+1/Lf*Table2[[#This Row],[Vin]]*Table2[[#This Row],[t1_Ph_II]],Table2[[#This Row],[I_0]]+(Table2[[#This Row],[Vin]]-Vout)/L*Table2[[#This Row],[t1_Ph_II]])</f>
        <v>8.8468398354546878</v>
      </c>
      <c r="R68" s="4">
        <f>CHOOSE(Table2[[#This Row],[Mode Digit]],0,0,Table2[[#This Row],[I_1]]+Table2[[#This Row],[Vin]]/L*Table2[[#This Row],[t2_Ph_I]])</f>
        <v>0</v>
      </c>
      <c r="S68" s="409">
        <f>Fsw*(Table2[[#This Row],[I_0]]*Table2[[#This Row],[t1_Ph_II]]+Table2[[#This Row],[I_1]]*Table2[[#This Row],[t2_Ph_I]]+Table2[[#This Row],[I_2]]*Table2[[#This Row],[t3_Ph_III]])</f>
        <v>6.6491468405334073</v>
      </c>
      <c r="T68" s="354">
        <f>MIN(1,CHOOSE(Table2[[#This Row],[Mode Digit]],(Vout+(Rdson2+Rs+Rdcr)*Table2[[#This Row],[Iout]])/(Table2[[#This Row],[Vin]]+(Rs+Rdson2-Rdson1)*Table2[[#This Row],[Iout]]),1,Fsw*Table2[[#This Row],[t2_Ph_I]]+Table2[[#This Row],[t1_Ph_II]]))</f>
        <v>0.62192762208005004</v>
      </c>
      <c r="U68" s="354">
        <f>MIN(1,CHOOSE(Table2[[#This Row],[Mode Digit]],0,(Vout+(Rdson3+Rdcr)*Table2[[#This Row],[Iin]]-Table2[[#This Row],[Vin]])/(Vout+(Rdson3-Rdson4-Rs)*Table2[[#This Row],[Iin]]),Fsw*Table2[[#This Row],[t1_Ph_II]]+Table2[[#This Row],[t3_Ph_III]]))</f>
        <v>0</v>
      </c>
      <c r="V68" s="4">
        <f>MAX(Table2[[#This Row],[I_0]:[I_2]])-MIN(Table2[[#This Row],[I_0]:[I_1]])</f>
        <v>3.5336796709093754</v>
      </c>
      <c r="W6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7.153109417219655</v>
      </c>
      <c r="X68" s="354">
        <f>(Table2[[#This Row],[Irms Lf]]^2*Rdcr*(1+Ltc*Ta-Ltc*25))/(1-Table2[[#This Row],[Irms Lf]]^2*Rdcr*Ltc*ThetaCa)</f>
        <v>0.30398551600161211</v>
      </c>
      <c r="Y68" s="354">
        <f>ABS(7.759*10^-3*Fsw^0.9458*(0.00787*Table2[[#This Row],[Ripple Current pk-pk]])^2.304)</f>
        <v>0.58914528460056426</v>
      </c>
      <c r="Z68" s="354">
        <f>Table2[[#This Row],[DCR    Loss]]+Table2[[#This Row],[Core Loss]]</f>
        <v>0.89313080060217631</v>
      </c>
      <c r="AA68" s="4">
        <f>IF(Table2[[#This Row],[Vin]]&gt;Vout, Table2[[#This Row],[Ripple Current pk-pk]]/SQRT(12), SQRT(Table2[[#This Row],[Duty Cycle BOOST Leg]]/(1-Table2[[#This Row],[Duty Cycle BOOST Leg]]))*SQRT(Table2[[#This Row],[Iout]]^2+(Table2[[#This Row],[Ripple Current pk-pk]]^2)/12))</f>
        <v>1.020085454614718</v>
      </c>
      <c r="AB68" s="354">
        <f>RCoutEsr*Table2[[#This Row],[Irms Cout]]^2</f>
        <v>5.2028716735825799E-3</v>
      </c>
      <c r="AC68" s="354">
        <f>Table2[[#This Row],[Cout ESR Loss]]</f>
        <v>5.2028716735825799E-3</v>
      </c>
      <c r="AD68" s="4">
        <f>IF(Table2[[#This Row],[Vin]]&gt;Vout, SQRT(Table2[[#This Row],[Duty Cycle BUCK Leg]]*(1-Table2[[#This Row],[Duty Cycle BUCK Leg]]))*SQRT(Table2[[#This Row],[Iout]]^2+(Table2[[#This Row],[Ripple Current pk-pk]]^2)/12), Table2[[#This Row],[Ripple Current pk-pk]]/SQRT(12))</f>
        <v>3.4685843926993996</v>
      </c>
      <c r="AE68" s="354">
        <f>RCinEsr*Table2[[#This Row],[Irms Cin]]^2</f>
        <v>2.4062155378555727E-2</v>
      </c>
      <c r="AF68" s="549">
        <f>Table2[[#This Row],[Cin ESR Loss]]</f>
        <v>2.4062155378555727E-2</v>
      </c>
      <c r="AG68" s="354">
        <f>Table2[[#This Row],[Irms Lf]]</f>
        <v>7.153109417219655</v>
      </c>
      <c r="AH68" s="354">
        <f>Rdson1*Table2[[#This Row],[Irms BuCtrl]]^2</f>
        <v>0.21490129220580939</v>
      </c>
      <c r="AI68" s="354">
        <f>CHOOSE(Table2[[#This Row],[Mode Digit]], (Table2[[#This Row],[Vin]]*Table2[[#This Row],[Iout]]/2)*(Fsw)*(Tr_buck+Tf_buck), 0, (Table2[[#This Row],[Vin]]*Table2[[#This Row],[Avg IL]]/2)*(Fsw/1)*(Tr_buck+Tf_buck))</f>
        <v>1.6569059197413625</v>
      </c>
      <c r="AJ68">
        <f>IF(Table2[[#This Row],[Vin]]&gt;Vout, IF(Table2[[#This Row],[Iout]]&gt;Table2[[#This Row],[Ripple Current pk-pk]]/2,0,ABS(Table2[[#This Row],[Iout]]-Table2[[#This Row],[Ripple Current pk-pk]]/2)*Vsd_Q1*Deadtime*Fsw),0)</f>
        <v>0</v>
      </c>
      <c r="AK68" s="354">
        <f>(Table2[[#This Row],[Dead Time Loss BuCtrl]]+Table2[[#This Row],[Transition Loss BuCtrl]]+Table2[[#This Row],[RDS(on) Loss BuCtrl]]*(1+RdsonTopTc*Ta-RdsonTopTc*25))/(1-Table2[[#This Row],[RDS(on) Loss BuCtrl]]*RdsonTopTc*ThetaJA_Q1)</f>
        <v>1.9735981206907052</v>
      </c>
      <c r="AL68" s="354">
        <f>Table2[[#This Row],[Irms Lf]]</f>
        <v>7.153109417219655</v>
      </c>
      <c r="AM68" s="354">
        <f>Rdson2*Table2[[#This Row],[Irms BuSync]]^2</f>
        <v>0.21490129220580939</v>
      </c>
      <c r="AN6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0.34064914285714287</v>
      </c>
      <c r="AO68" s="354">
        <f>(Table2[[#This Row],[Deadtime Loss BuSync]]+Table2[[#This Row],[RDS(on) Loss BuSync]]*(1+RdsonBotTc*Ta-RdsonBotTc*25))/(1-Table2[[#This Row],[RDS(on) Loss BuSync]]*RdsonBotTc*ThetaJA_Q2)</f>
        <v>0.58576187098273191</v>
      </c>
      <c r="AP68" s="354">
        <f>Table2[[#This Row],[Irms Lf]]</f>
        <v>7.153109417219655</v>
      </c>
      <c r="AQ68" s="354">
        <f>Rdson4*Table2[[#This Row],[Irms BoCtlr]]^2</f>
        <v>0.21490129220580939</v>
      </c>
      <c r="AR68" s="354">
        <f>CHOOSE(Table2[[#This Row],[Mode Digit]], 0, (Vout*Table2[[#This Row],[Iin]]/2)*(Fsw)*(Tr_boost+Tf_boost), (Vout*Iout/2)*(Fsw/1)*(Tr_boost+Tf_boost))</f>
        <v>0</v>
      </c>
      <c r="AS68" s="354">
        <f>IF(Table2[[#This Row],[Vin]]&gt;Vout, 0, IF(Table2[[#This Row],[Iin]]&gt;Table2[[#This Row],[Ripple Current pk-pk]]/2,0,ABS(Table2[[#This Row],[Iin]]-Table2[[#This Row],[Ripple Current pk-pk]]/2)*Vsd_Q4*Deadtime*Fsw))</f>
        <v>0</v>
      </c>
      <c r="AT68" s="354">
        <f>(Table2[[#This Row],[Dead Time Loss BoCtlr]]+Table2[[#This Row],[Transition Loss BoCtlr]]+Table2[[#This Row],[RDS(on) Loss BoCtlr]]*(1+RdsonTopTc*Ta-RdsonTopTc*25))/(1-Table2[[#This Row],[RDS(on) Loss BoCtlr]]*RdsonTopTc*ThetaJA_Q4)</f>
        <v>0.22658785783295707</v>
      </c>
      <c r="AU68" s="354">
        <f>Table2[[#This Row],[Irms Lf]]</f>
        <v>7.153109417219655</v>
      </c>
      <c r="AV68" s="354">
        <f>Rdson3*Table2[[#This Row],[Irms BoSync]]^2</f>
        <v>0.21490129220580939</v>
      </c>
      <c r="AW6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8" s="354">
        <f>(Table2[[#This Row],[Deadtime Loss BoSync]]+Table2[[#This Row],[RDS(on) Loss BoSync]]*(1+RdsonBotTc*Ta-RdsonBotTc*25))/(1-Table2[[#This Row],[RDS(on) Loss BoSync]]*RdsonBotTc*ThetaJA_Q3)</f>
        <v>0.22658785783295707</v>
      </c>
      <c r="AY68" s="354">
        <f>CHOOSE(Table2[[#This Row],[Mode Digit]], Rdson3*Table2[[#This Row],[Irms Lf]]^2, Rdson1*Table2[[#This Row],[Irms Lf]]^2, 0)</f>
        <v>0.21490129220580939</v>
      </c>
      <c r="AZ68" s="354">
        <f>CHOOSE(Table2[[#This Row],[Mode Digit]], 2*Deadtime*Fsw*IF(VfdSky_Q2&gt;0,VfdSky_Q2,0)*Table2[[#This Row],[Iout]], 2*Deadtime*Fsw*IF(VfdSky_Q3&gt;0,VfdSky_Q3,0)*Table2[[#This Row],[Iin]], 2*Deadtime*Fsw*IF(VfdSky_Q2&gt;0,VfdSky_Q2,0)*Table2[[#This Row],[Iout]]+2*Deadtime*Fsw*IF(VfdSky_Q3&gt;0,VfdSky_Q3,0)*Table2[[#This Row],[Iin]])</f>
        <v>0</v>
      </c>
      <c r="BA6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0.16687746912000001</v>
      </c>
      <c r="BB6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0.16687746912000001</v>
      </c>
      <c r="BC68" s="354">
        <f>CHOOSE(Table2[[#This Row],[Mode Digit]], Rs*Table2[[#This Row],[Irms BuSync]]^2, Rs*Table2[[#This Row],[Irms BoCtlr]]^2, Rs*(Table2[[#This Row],[Irms BuSync]]^2+Table2[[#This Row],[Irms BoCtlr]]^2))</f>
        <v>0.1279174358367913</v>
      </c>
      <c r="BD68" s="354">
        <f t="shared" si="6"/>
        <v>1.44</v>
      </c>
      <c r="BE68" s="354">
        <f>IF(Vout&gt;8, Iq*Vout, Iq*Table2[[#This Row],[Vin]])</f>
        <v>4.3799999999999999E-2</v>
      </c>
      <c r="BF68" s="354">
        <f>CHOOSE(Table2[[#This Row],[Mode Digit]], (Qg_Q1+Qg_Q2)*Fsw, (Qg_Q3+Qg_Q4)*Fsw, (Qg_Q1+Qg_Q2+Qg_Q3+Qg_Q4)*Fsw)*IF(Vout&gt;8, Vout, Table2[[#This Row],[Vin]])</f>
        <v>0.47303999999999996</v>
      </c>
      <c r="BG68" s="354">
        <f t="shared" si="4"/>
        <v>0.57269042016806726</v>
      </c>
      <c r="BH68" s="354">
        <f>Table2[[#This Row],[IQ Loss]]+Table2[[#This Row],[Switching Current Loss]]</f>
        <v>0.51683999999999997</v>
      </c>
      <c r="BI6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6.3534439090704566</v>
      </c>
      <c r="BJ68">
        <f>Vout*Table2[[#This Row],[Iout]]</f>
        <v>103.36799999999999</v>
      </c>
      <c r="BK68" s="550">
        <f>Table2[[#This Row],[Pout]]/(Table2[[#This Row],[Pout]]+Table2[[#This Row],[Total Loss]])</f>
        <v>0.94209478400288149</v>
      </c>
      <c r="BL68" s="559">
        <f>IF(Table2[[#This Row],[Vin]]&gt;Vout,ThetaJA_Q1*(Table2[[#This Row],[Total Control Bu MOSFET Loss]]+Table2[[#This Row],[Reverse Recovery Loss MOSFET D BUCK]]),ThetaJA_Q4*(Table2[[#This Row],[Total Control Bo MOSFET Loss]]+Table2[[#This Row],[Reverse Recovery Loss MOSFET D BOOST]]))</f>
        <v>128.4285353886423</v>
      </c>
      <c r="BM68" s="559">
        <f>IF(Table2[[#This Row],[Vin]]&gt;Vout, Table2[[#This Row],[Total Sync Bu MOSFET Loss]]*ThetaJA_Q2, ThetaJA_Q3*Table2[[#This Row],[Total Sync Bo MOSFET Loss]])</f>
        <v>35.145712258963911</v>
      </c>
      <c r="BN68" s="9"/>
      <c r="BO68" s="4">
        <f>Table2[[#This Row],[EFF, h]]*100</f>
        <v>94.209478400288148</v>
      </c>
      <c r="BP68" s="354">
        <f>Table2[[#This Row],[Total Inductor Loss]]</f>
        <v>0.89313080060217631</v>
      </c>
      <c r="BQ68" s="354">
        <f>Table2[[#This Row],[Total Control Bu MOSFET Loss]]+Table2[[#This Row],[Total Sync Bu MOSFET Loss]]+Table2[[#This Row],[Total Control Bo MOSFET Loss]]+Table2[[#This Row],[Total Sync Bo MOSFET Loss]]+Table2[[#This Row],[Reverse Recovery Loss MOSFET D BUCK]]+Table2[[#This Row],[Reverse Recovery Loss MOSFET D BOOST]]</f>
        <v>3.3462906455793515</v>
      </c>
      <c r="BR68" s="354">
        <f xml:space="preserve"> Table2[[#This Row],[Total Control Bu MOSFET Loss]]+Table2[[#This Row],[Reverse Recovery Loss MOSFET D BUCK]]*0.66</f>
        <v>2.083737250309905</v>
      </c>
      <c r="BS68" s="354">
        <f>Table2[[#This Row],[Total Sync Bu MOSFET Loss]]+Table2[[#This Row],[Reverse Recovery Loss MOSFET D BUCK]]*0.33</f>
        <v>0.64083143579233193</v>
      </c>
      <c r="BT68" s="354">
        <f xml:space="preserve"> Table2[[#This Row],[Total Control Bo MOSFET Loss]]+Table2[[#This Row],[Reverse Recovery Loss MOSFET D BOOST]]*0.66</f>
        <v>0.33672698745215707</v>
      </c>
      <c r="BU68" s="354">
        <f xml:space="preserve"> Table2[[#This Row],[Total Sync Bo MOSFET Loss]]+Table2[[#This Row],[Reverse Recovery Loss MOSFET D BOOST]]*0.33</f>
        <v>0.28165742264255705</v>
      </c>
      <c r="BV68" s="354">
        <f>Table2[[#This Row],[Isense Shunt Loss]]</f>
        <v>0.1279174358367913</v>
      </c>
      <c r="CB68" s="18"/>
      <c r="CC68" s="19"/>
    </row>
    <row r="69" spans="1:81" x14ac:dyDescent="0.2">
      <c r="A69" s="23" t="s">
        <v>82</v>
      </c>
      <c r="B69" s="449" t="e">
        <f>1-B68</f>
        <v>#REF!</v>
      </c>
      <c r="C69" s="21" t="s">
        <v>19</v>
      </c>
      <c r="G69">
        <v>60</v>
      </c>
      <c r="H69" s="555">
        <f t="shared" si="5"/>
        <v>23.6</v>
      </c>
      <c r="I69" s="4" t="str">
        <f>IF(Mode = 2,IF(Table2[[#This Row],[Vin]]&gt;Vout, "BUCK","BOOST"),IF(Table2[[#This Row],[Vin]]&gt;VIN_BB_to_buck, "BUCK", IF(Table2[[#This Row],[Vin]]&lt;=VIN_boost_to_BB,"BOOST","BUCK-BST")))</f>
        <v>BUCK</v>
      </c>
      <c r="J69">
        <f>IF(Table2[[#This Row],[Mode]]="BOOST",2, IF(Table2[[#This Row],[Mode]]="BUCK", 1,3))</f>
        <v>1</v>
      </c>
      <c r="K69" s="354">
        <f t="shared" si="7"/>
        <v>7.2</v>
      </c>
      <c r="L69" s="4">
        <f>Vout*Table2[[#This Row],[Iout]]/(Table2[[#This Row],[Vin]]*Efficiency)</f>
        <v>4.6886708296164139</v>
      </c>
      <c r="M69" s="711">
        <f>MIN(1/Fsw,CHOOSE(Table2[[#This Row],[Mode Digit]],(Vout+(Rdson2+Rs+Rdcr)*Table2[[#This Row],[Iout]])/(Table2[[#This Row],[Vin]]+(Rs+Rdson2-Rdson1)*Table2[[#This Row],[Iout]])/Fsw,(Vout+(Rdson3+Rdcr)*Table2[[#This Row],[Iin]]-Table2[[#This Row],[Vin]])/(Vout+(Rdson3-Rdson4-Rs)*Table2[[#This Row],[Iin]])/Fsw,t1_Ph_II))</f>
        <v>1.036638721878793E-6</v>
      </c>
      <c r="N69" s="602">
        <f>CHOOSE(Table2[[#This Row],[Mode Digit]],1/Fsw-Table2[[#This Row],[t1_Ph_II]],1/Fsw-Table2[[#This Row],[t1_Ph_II]],(Vout/Fsw-Table2[[#This Row],[Vin]]*t1_Ph_II)/(Table2[[#This Row],[Vin]]+Vout))</f>
        <v>6.3002794478787367E-7</v>
      </c>
      <c r="O69" s="602">
        <f>1/Fsw-(Table2[[#This Row],[t1_Ph_II]]+Table2[[#This Row],[t2_Ph_I]])</f>
        <v>0</v>
      </c>
      <c r="P6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5.4330021786156939</v>
      </c>
      <c r="Q69" s="4">
        <f>CHOOSE(Table2[[#This Row],[Mode Digit]],Table2[[#This Row],[I_0]]+1/Lf*(Table2[[#This Row],[Vin]]-Vout)*Table2[[#This Row],[t1_Ph_II]],Table2[[#This Row],[I_0]]+1/Lf*Table2[[#This Row],[Vin]]*Table2[[#This Row],[t1_Ph_II]],Table2[[#This Row],[I_0]]+(Table2[[#This Row],[Vin]]-Vout)/L*Table2[[#This Row],[t1_Ph_II]])</f>
        <v>8.9669978213843073</v>
      </c>
      <c r="R69" s="4">
        <f>CHOOSE(Table2[[#This Row],[Mode Digit]],0,0,Table2[[#This Row],[I_1]]+Table2[[#This Row],[Vin]]/L*Table2[[#This Row],[t2_Ph_I]])</f>
        <v>0</v>
      </c>
      <c r="S69" s="409">
        <f>Fsw*(Table2[[#This Row],[I_0]]*Table2[[#This Row],[t1_Ph_II]]+Table2[[#This Row],[I_1]]*Table2[[#This Row],[t2_Ph_I]]+Table2[[#This Row],[I_2]]*Table2[[#This Row],[t3_Ph_III]])</f>
        <v>6.7689117856373802</v>
      </c>
      <c r="T69" s="354">
        <f>MIN(1,CHOOSE(Table2[[#This Row],[Mode Digit]],(Vout+(Rdson2+Rs+Rdcr)*Table2[[#This Row],[Iout]])/(Table2[[#This Row],[Vin]]+(Rs+Rdson2-Rdson1)*Table2[[#This Row],[Iout]]),1,Fsw*Table2[[#This Row],[t2_Ph_I]]+Table2[[#This Row],[t1_Ph_II]]))</f>
        <v>0.62198323312727577</v>
      </c>
      <c r="U69" s="354">
        <f>MIN(1,CHOOSE(Table2[[#This Row],[Mode Digit]],0,(Vout+(Rdson3+Rdcr)*Table2[[#This Row],[Iin]]-Table2[[#This Row],[Vin]])/(Vout+(Rdson3-Rdson4-Rs)*Table2[[#This Row],[Iin]]),Fsw*Table2[[#This Row],[t1_Ph_II]]+Table2[[#This Row],[t3_Ph_III]]))</f>
        <v>0</v>
      </c>
      <c r="V69" s="4">
        <f>MAX(Table2[[#This Row],[I_0]:[I_2]])-MIN(Table2[[#This Row],[I_0]:[I_1]])</f>
        <v>3.5339956427686134</v>
      </c>
      <c r="W6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7.2719158709099698</v>
      </c>
      <c r="X69" s="354">
        <f>(Table2[[#This Row],[Irms Lf]]^2*Rdcr*(1+Ltc*Ta-Ltc*25))/(1-Table2[[#This Row],[Irms Lf]]^2*Rdcr*Ltc*ThetaCa)</f>
        <v>0.31442331246646738</v>
      </c>
      <c r="Y69" s="354">
        <f>ABS(7.759*10^-3*Fsw^0.9458*(0.00787*Table2[[#This Row],[Ripple Current pk-pk]])^2.304)</f>
        <v>0.58926666580072229</v>
      </c>
      <c r="Z69" s="354">
        <f>Table2[[#This Row],[DCR    Loss]]+Table2[[#This Row],[Core Loss]]</f>
        <v>0.90368997826718966</v>
      </c>
      <c r="AA69" s="4">
        <f>IF(Table2[[#This Row],[Vin]]&gt;Vout, Table2[[#This Row],[Ripple Current pk-pk]]/SQRT(12), SQRT(Table2[[#This Row],[Duty Cycle BOOST Leg]]/(1-Table2[[#This Row],[Duty Cycle BOOST Leg]]))*SQRT(Table2[[#This Row],[Iout]]^2+(Table2[[#This Row],[Ripple Current pk-pk]]^2)/12))</f>
        <v>1.0201766678337119</v>
      </c>
      <c r="AB69" s="354">
        <f>RCoutEsr*Table2[[#This Row],[Irms Cout]]^2</f>
        <v>5.2038021679614785E-3</v>
      </c>
      <c r="AC69" s="354">
        <f>Table2[[#This Row],[Cout ESR Loss]]</f>
        <v>5.2038021679614785E-3</v>
      </c>
      <c r="AD69" s="4">
        <f>IF(Table2[[#This Row],[Vin]]&gt;Vout, SQRT(Table2[[#This Row],[Duty Cycle BUCK Leg]]*(1-Table2[[#This Row],[Duty Cycle BUCK Leg]]))*SQRT(Table2[[#This Row],[Iout]]^2+(Table2[[#This Row],[Ripple Current pk-pk]]^2)/12), Table2[[#This Row],[Ripple Current pk-pk]]/SQRT(12))</f>
        <v>3.526092624508506</v>
      </c>
      <c r="AE69" s="354">
        <f>RCinEsr*Table2[[#This Row],[Irms Cin]]^2</f>
        <v>2.4866658393226569E-2</v>
      </c>
      <c r="AF69" s="549">
        <f>Table2[[#This Row],[Cin ESR Loss]]</f>
        <v>2.4866658393226569E-2</v>
      </c>
      <c r="AG69" s="354">
        <f>Table2[[#This Row],[Irms Lf]]</f>
        <v>7.2719158709099698</v>
      </c>
      <c r="AH69" s="354">
        <f>Rdson1*Table2[[#This Row],[Irms BuCtrl]]^2</f>
        <v>0.22209919382108773</v>
      </c>
      <c r="AI69" s="354">
        <f>CHOOSE(Table2[[#This Row],[Mode Digit]], (Table2[[#This Row],[Vin]]*Table2[[#This Row],[Iout]]/2)*(Fsw)*(Tr_buck+Tf_buck), 0, (Table2[[#This Row],[Vin]]*Table2[[#This Row],[Avg IL]]/2)*(Fsw/1)*(Tr_buck+Tf_buck))</f>
        <v>1.6849890709234194</v>
      </c>
      <c r="AJ69">
        <f>IF(Table2[[#This Row],[Vin]]&gt;Vout, IF(Table2[[#This Row],[Iout]]&gt;Table2[[#This Row],[Ripple Current pk-pk]]/2,0,ABS(Table2[[#This Row],[Iout]]-Table2[[#This Row],[Ripple Current pk-pk]]/2)*Vsd_Q1*Deadtime*Fsw),0)</f>
        <v>0</v>
      </c>
      <c r="AK69" s="354">
        <f>(Table2[[#This Row],[Dead Time Loss BuCtrl]]+Table2[[#This Row],[Transition Loss BuCtrl]]+Table2[[#This Row],[RDS(on) Loss BuCtrl]]*(1+RdsonTopTc*Ta-RdsonTopTc*25))/(1-Table2[[#This Row],[RDS(on) Loss BuCtrl]]*RdsonTopTc*ThetaJA_Q1)</f>
        <v>2.0144670252958781</v>
      </c>
      <c r="AL69" s="354">
        <f>Table2[[#This Row],[Irms Lf]]</f>
        <v>7.2719158709099698</v>
      </c>
      <c r="AM69" s="354">
        <f>Rdson2*Table2[[#This Row],[Irms BuSync]]^2</f>
        <v>0.22209919382108773</v>
      </c>
      <c r="AN6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0.34642285714285714</v>
      </c>
      <c r="AO69" s="354">
        <f>(Table2[[#This Row],[Deadtime Loss BuSync]]+Table2[[#This Row],[RDS(on) Loss BuSync]]*(1+RdsonBotTc*Ta-RdsonBotTc*25))/(1-Table2[[#This Row],[RDS(on) Loss BuSync]]*RdsonBotTc*ThetaJA_Q2)</f>
        <v>0.60053273149047526</v>
      </c>
      <c r="AP69" s="354">
        <f>Table2[[#This Row],[Irms Lf]]</f>
        <v>7.2719158709099698</v>
      </c>
      <c r="AQ69" s="354">
        <f>Rdson4*Table2[[#This Row],[Irms BoCtlr]]^2</f>
        <v>0.22209919382108773</v>
      </c>
      <c r="AR69" s="354">
        <f>CHOOSE(Table2[[#This Row],[Mode Digit]], 0, (Vout*Table2[[#This Row],[Iin]]/2)*(Fsw)*(Tr_boost+Tf_boost), (Vout*Iout/2)*(Fsw/1)*(Tr_boost+Tf_boost))</f>
        <v>0</v>
      </c>
      <c r="AS69" s="354">
        <f>IF(Table2[[#This Row],[Vin]]&gt;Vout, 0, IF(Table2[[#This Row],[Iin]]&gt;Table2[[#This Row],[Ripple Current pk-pk]]/2,0,ABS(Table2[[#This Row],[Iin]]-Table2[[#This Row],[Ripple Current pk-pk]]/2)*Vsd_Q4*Deadtime*Fsw))</f>
        <v>0</v>
      </c>
      <c r="AT69" s="354">
        <f>(Table2[[#This Row],[Dead Time Loss BoCtlr]]+Table2[[#This Row],[Transition Loss BoCtlr]]+Table2[[#This Row],[RDS(on) Loss BoCtlr]]*(1+RdsonTopTc*Ta-RdsonTopTc*25))/(1-Table2[[#This Row],[RDS(on) Loss BoCtlr]]*RdsonTopTc*ThetaJA_Q4)</f>
        <v>0.23460450707420144</v>
      </c>
      <c r="AU69" s="354">
        <f>Table2[[#This Row],[Irms Lf]]</f>
        <v>7.2719158709099698</v>
      </c>
      <c r="AV69" s="354">
        <f>Rdson3*Table2[[#This Row],[Irms BoSync]]^2</f>
        <v>0.22209919382108773</v>
      </c>
      <c r="AW6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69" s="354">
        <f>(Table2[[#This Row],[Deadtime Loss BoSync]]+Table2[[#This Row],[RDS(on) Loss BoSync]]*(1+RdsonBotTc*Ta-RdsonBotTc*25))/(1-Table2[[#This Row],[RDS(on) Loss BoSync]]*RdsonBotTc*ThetaJA_Q3)</f>
        <v>0.23460450707420144</v>
      </c>
      <c r="AY69" s="354">
        <f>CHOOSE(Table2[[#This Row],[Mode Digit]], Rdson3*Table2[[#This Row],[Irms Lf]]^2, Rdson1*Table2[[#This Row],[Irms Lf]]^2, 0)</f>
        <v>0.22209919382108773</v>
      </c>
      <c r="AZ69" s="354">
        <f>CHOOSE(Table2[[#This Row],[Mode Digit]], 2*Deadtime*Fsw*IF(VfdSky_Q2&gt;0,VfdSky_Q2,0)*Table2[[#This Row],[Iout]], 2*Deadtime*Fsw*IF(VfdSky_Q3&gt;0,VfdSky_Q3,0)*Table2[[#This Row],[Iin]], 2*Deadtime*Fsw*IF(VfdSky_Q2&gt;0,VfdSky_Q2,0)*Table2[[#This Row],[Iout]]+2*Deadtime*Fsw*IF(VfdSky_Q3&gt;0,VfdSky_Q3,0)*Table2[[#This Row],[Iin]])</f>
        <v>0</v>
      </c>
      <c r="BA6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0.16970227200000004</v>
      </c>
      <c r="BB6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0.16970227200000004</v>
      </c>
      <c r="BC69" s="354">
        <f>CHOOSE(Table2[[#This Row],[Mode Digit]], Rs*Table2[[#This Row],[Irms BuSync]]^2, Rs*Table2[[#This Row],[Irms BoCtlr]]^2, Rs*(Table2[[#This Row],[Irms BuSync]]^2+Table2[[#This Row],[Irms BoCtlr]]^2))</f>
        <v>0.13220190108398078</v>
      </c>
      <c r="BD69" s="354">
        <f t="shared" si="6"/>
        <v>1.44</v>
      </c>
      <c r="BE69" s="354">
        <f>IF(Vout&gt;8, Iq*Vout, Iq*Table2[[#This Row],[Vin]])</f>
        <v>4.3799999999999999E-2</v>
      </c>
      <c r="BF69" s="354">
        <f>CHOOSE(Table2[[#This Row],[Mode Digit]], (Qg_Q1+Qg_Q2)*Fsw, (Qg_Q3+Qg_Q4)*Fsw, (Qg_Q1+Qg_Q2+Qg_Q3+Qg_Q4)*Fsw)*IF(Vout&gt;8, Vout, Table2[[#This Row],[Vin]])</f>
        <v>0.47303999999999996</v>
      </c>
      <c r="BG69" s="354">
        <f t="shared" si="4"/>
        <v>0.57269042016806726</v>
      </c>
      <c r="BH69" s="354">
        <f>Table2[[#This Row],[IQ Loss]]+Table2[[#This Row],[Switching Current Loss]]</f>
        <v>0.51683999999999997</v>
      </c>
      <c r="BI6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6.4464156548471152</v>
      </c>
      <c r="BJ69">
        <f>Vout*Table2[[#This Row],[Iout]]</f>
        <v>105.12</v>
      </c>
      <c r="BK69" s="550">
        <f>Table2[[#This Row],[Pout]]/(Table2[[#This Row],[Pout]]+Table2[[#This Row],[Total Loss]])</f>
        <v>0.94221903054777356</v>
      </c>
      <c r="BL69" s="559">
        <f>IF(Table2[[#This Row],[Vin]]&gt;Vout,ThetaJA_Q1*(Table2[[#This Row],[Total Control Bu MOSFET Loss]]+Table2[[#This Row],[Reverse Recovery Loss MOSFET D BUCK]]),ThetaJA_Q4*(Table2[[#This Row],[Total Control Bo MOSFET Loss]]+Table2[[#This Row],[Reverse Recovery Loss MOSFET D BOOST]]))</f>
        <v>131.05015783775266</v>
      </c>
      <c r="BM69" s="559">
        <f>IF(Table2[[#This Row],[Vin]]&gt;Vout, Table2[[#This Row],[Total Sync Bu MOSFET Loss]]*ThetaJA_Q2, ThetaJA_Q3*Table2[[#This Row],[Total Sync Bo MOSFET Loss]])</f>
        <v>36.031963889428518</v>
      </c>
      <c r="BN69" s="9"/>
      <c r="BO69" s="4">
        <f>Table2[[#This Row],[EFF, h]]*100</f>
        <v>94.221903054777357</v>
      </c>
      <c r="BP69" s="354">
        <f>Table2[[#This Row],[Total Inductor Loss]]</f>
        <v>0.90368997826718966</v>
      </c>
      <c r="BQ69" s="354">
        <f>Table2[[#This Row],[Total Control Bu MOSFET Loss]]+Table2[[#This Row],[Total Sync Bu MOSFET Loss]]+Table2[[#This Row],[Total Control Bo MOSFET Loss]]+Table2[[#This Row],[Total Sync Bo MOSFET Loss]]+Table2[[#This Row],[Reverse Recovery Loss MOSFET D BUCK]]+Table2[[#This Row],[Reverse Recovery Loss MOSFET D BOOST]]</f>
        <v>3.4236133149347556</v>
      </c>
      <c r="BR69" s="354">
        <f xml:space="preserve"> Table2[[#This Row],[Total Control Bu MOSFET Loss]]+Table2[[#This Row],[Reverse Recovery Loss MOSFET D BUCK]]*0.66</f>
        <v>2.1264705248158782</v>
      </c>
      <c r="BS69" s="354">
        <f>Table2[[#This Row],[Total Sync Bu MOSFET Loss]]+Table2[[#This Row],[Reverse Recovery Loss MOSFET D BUCK]]*0.33</f>
        <v>0.65653448125047531</v>
      </c>
      <c r="BT69" s="354">
        <f xml:space="preserve"> Table2[[#This Row],[Total Control Bo MOSFET Loss]]+Table2[[#This Row],[Reverse Recovery Loss MOSFET D BOOST]]*0.66</f>
        <v>0.34660800659420149</v>
      </c>
      <c r="BU69" s="354">
        <f xml:space="preserve"> Table2[[#This Row],[Total Sync Bo MOSFET Loss]]+Table2[[#This Row],[Reverse Recovery Loss MOSFET D BOOST]]*0.33</f>
        <v>0.29060625683420144</v>
      </c>
      <c r="BV69" s="354">
        <f>Table2[[#This Row],[Isense Shunt Loss]]</f>
        <v>0.13220190108398078</v>
      </c>
      <c r="CB69" s="18"/>
      <c r="CC69" s="19"/>
    </row>
    <row r="70" spans="1:81" x14ac:dyDescent="0.2">
      <c r="A70" s="33" t="s">
        <v>241</v>
      </c>
      <c r="B70" s="449">
        <f>Iripple_Vinnom</f>
        <v>3.5345092909629523</v>
      </c>
      <c r="C70" s="21" t="s">
        <v>2</v>
      </c>
      <c r="G70">
        <v>61</v>
      </c>
      <c r="H70" s="555">
        <f t="shared" si="5"/>
        <v>23.6</v>
      </c>
      <c r="I70" s="4" t="str">
        <f>IF(Mode = 2,IF(Table2[[#This Row],[Vin]]&gt;Vout, "BUCK","BOOST"),IF(Table2[[#This Row],[Vin]]&gt;VIN_BB_to_buck, "BUCK", IF(Table2[[#This Row],[Vin]]&lt;=VIN_boost_to_BB,"BOOST","BUCK-BST")))</f>
        <v>BUCK</v>
      </c>
      <c r="J70">
        <f>IF(Table2[[#This Row],[Mode]]="BOOST",2, IF(Table2[[#This Row],[Mode]]="BUCK", 1,3))</f>
        <v>1</v>
      </c>
      <c r="K70" s="354">
        <f t="shared" si="7"/>
        <v>7.32</v>
      </c>
      <c r="L70" s="4">
        <f>Vout*Table2[[#This Row],[Iout]]/(Table2[[#This Row],[Vin]]*Efficiency)</f>
        <v>4.766815343443354</v>
      </c>
      <c r="M70" s="711">
        <f>MIN(1/Fsw,CHOOSE(Table2[[#This Row],[Mode Digit]],(Vout+(Rdson2+Rs+Rdcr)*Table2[[#This Row],[Iout]])/(Table2[[#This Row],[Vin]]+(Rs+Rdson2-Rdson1)*Table2[[#This Row],[Iout]])/Fsw,(Vout+(Rdson3+Rdcr)*Table2[[#This Row],[Iin]]-Table2[[#This Row],[Vin]])/(Vout+(Rdson3-Rdson4-Rs)*Table2[[#This Row],[Iin]])/Fsw,t1_Ph_II))</f>
        <v>1.0367314046029277E-6</v>
      </c>
      <c r="N70" s="602">
        <f>CHOOSE(Table2[[#This Row],[Mode Digit]],1/Fsw-Table2[[#This Row],[t1_Ph_II]],1/Fsw-Table2[[#This Row],[t1_Ph_II]],(Vout/Fsw-Table2[[#This Row],[Vin]]*t1_Ph_II)/(Table2[[#This Row],[Vin]]+Vout))</f>
        <v>6.2993526206373892E-7</v>
      </c>
      <c r="O70" s="602">
        <f>1/Fsw-(Table2[[#This Row],[t1_Ph_II]]+Table2[[#This Row],[t2_Ph_I]])</f>
        <v>0</v>
      </c>
      <c r="P7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5.5528441966995548</v>
      </c>
      <c r="Q70" s="4">
        <f>CHOOSE(Table2[[#This Row],[Mode Digit]],Table2[[#This Row],[I_0]]+1/Lf*(Table2[[#This Row],[Vin]]-Vout)*Table2[[#This Row],[t1_Ph_II]],Table2[[#This Row],[I_0]]+1/Lf*Table2[[#This Row],[Vin]]*Table2[[#This Row],[t1_Ph_II]],Table2[[#This Row],[I_0]]+(Table2[[#This Row],[Vin]]-Vout)/L*Table2[[#This Row],[t1_Ph_II]])</f>
        <v>9.0871558033004458</v>
      </c>
      <c r="R70" s="4">
        <f>CHOOSE(Table2[[#This Row],[Mode Digit]],0,0,Table2[[#This Row],[I_1]]+Table2[[#This Row],[Vin]]/L*Table2[[#This Row],[t2_Ph_I]])</f>
        <v>0</v>
      </c>
      <c r="S70" s="409">
        <f>Fsw*(Table2[[#This Row],[I_0]]*Table2[[#This Row],[t1_Ph_II]]+Table2[[#This Row],[I_1]]*Table2[[#This Row],[t2_Ph_I]]+Table2[[#This Row],[I_2]]*Table2[[#This Row],[t3_Ph_III]])</f>
        <v>6.888676701570982</v>
      </c>
      <c r="T70" s="354">
        <f>MIN(1,CHOOSE(Table2[[#This Row],[Mode Digit]],(Vout+(Rdson2+Rs+Rdcr)*Table2[[#This Row],[Iout]])/(Table2[[#This Row],[Vin]]+(Rs+Rdson2-Rdson1)*Table2[[#This Row],[Iout]]),1,Fsw*Table2[[#This Row],[t2_Ph_I]]+Table2[[#This Row],[t1_Ph_II]]))</f>
        <v>0.62203884276175669</v>
      </c>
      <c r="U70" s="354">
        <f>MIN(1,CHOOSE(Table2[[#This Row],[Mode Digit]],0,(Vout+(Rdson3+Rdcr)*Table2[[#This Row],[Iin]]-Table2[[#This Row],[Vin]])/(Vout+(Rdson3-Rdson4-Rs)*Table2[[#This Row],[Iin]]),Fsw*Table2[[#This Row],[t1_Ph_II]]+Table2[[#This Row],[t3_Ph_III]]))</f>
        <v>0</v>
      </c>
      <c r="V70" s="4">
        <f>MAX(Table2[[#This Row],[I_0]:[I_2]])-MIN(Table2[[#This Row],[I_0]:[I_1]])</f>
        <v>3.5343116066008911</v>
      </c>
      <c r="W7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7.3907608907594549</v>
      </c>
      <c r="X70" s="354">
        <f>(Table2[[#This Row],[Irms Lf]]^2*Rdcr*(1+Ltc*Ta-Ltc*25))/(1-Table2[[#This Row],[Irms Lf]]^2*Rdcr*Ltc*ThetaCa)</f>
        <v>0.32505397871950537</v>
      </c>
      <c r="Y70" s="354">
        <f>ABS(7.759*10^-3*Fsw^0.9458*(0.00787*Table2[[#This Row],[Ripple Current pk-pk]])^2.304)</f>
        <v>0.58938805806938588</v>
      </c>
      <c r="Z70" s="354">
        <f>Table2[[#This Row],[DCR    Loss]]+Table2[[#This Row],[Core Loss]]</f>
        <v>0.91444203678889124</v>
      </c>
      <c r="AA70" s="4">
        <f>IF(Table2[[#This Row],[Vin]]&gt;Vout, Table2[[#This Row],[Ripple Current pk-pk]]/SQRT(12), SQRT(Table2[[#This Row],[Duty Cycle BOOST Leg]]/(1-Table2[[#This Row],[Duty Cycle BOOST Leg]]))*SQRT(Table2[[#This Row],[Iout]]^2+(Table2[[#This Row],[Ripple Current pk-pk]]^2)/12))</f>
        <v>1.0202678787355217</v>
      </c>
      <c r="AB70" s="354">
        <f>RCoutEsr*Table2[[#This Row],[Irms Cout]]^2</f>
        <v>5.2047327218974057E-3</v>
      </c>
      <c r="AC70" s="354">
        <f>Table2[[#This Row],[Cout ESR Loss]]</f>
        <v>5.2047327218974057E-3</v>
      </c>
      <c r="AD70" s="4">
        <f>IF(Table2[[#This Row],[Vin]]&gt;Vout, SQRT(Table2[[#This Row],[Duty Cycle BUCK Leg]]*(1-Table2[[#This Row],[Duty Cycle BUCK Leg]]))*SQRT(Table2[[#This Row],[Iout]]^2+(Table2[[#This Row],[Ripple Current pk-pk]]^2)/12), Table2[[#This Row],[Ripple Current pk-pk]]/SQRT(12))</f>
        <v>3.5836161853127595</v>
      </c>
      <c r="AE70" s="354">
        <f>RCinEsr*Table2[[#This Row],[Irms Cin]]^2</f>
        <v>2.5684609927271146E-2</v>
      </c>
      <c r="AF70" s="549">
        <f>Table2[[#This Row],[Cin ESR Loss]]</f>
        <v>2.5684609927271146E-2</v>
      </c>
      <c r="AG70" s="354">
        <f>Table2[[#This Row],[Irms Lf]]</f>
        <v>7.3907608907594549</v>
      </c>
      <c r="AH70" s="354">
        <f>Rdson1*Table2[[#This Row],[Irms BuCtrl]]^2</f>
        <v>0.22941805548639391</v>
      </c>
      <c r="AI70" s="354">
        <f>CHOOSE(Table2[[#This Row],[Mode Digit]], (Table2[[#This Row],[Vin]]*Table2[[#This Row],[Iout]]/2)*(Fsw)*(Tr_buck+Tf_buck), 0, (Table2[[#This Row],[Vin]]*Table2[[#This Row],[Avg IL]]/2)*(Fsw/1)*(Tr_buck+Tf_buck))</f>
        <v>1.7130722221054762</v>
      </c>
      <c r="AJ70">
        <f>IF(Table2[[#This Row],[Vin]]&gt;Vout, IF(Table2[[#This Row],[Iout]]&gt;Table2[[#This Row],[Ripple Current pk-pk]]/2,0,ABS(Table2[[#This Row],[Iout]]-Table2[[#This Row],[Ripple Current pk-pk]]/2)*Vsd_Q1*Deadtime*Fsw),0)</f>
        <v>0</v>
      </c>
      <c r="AK70" s="354">
        <f>(Table2[[#This Row],[Dead Time Loss BuCtrl]]+Table2[[#This Row],[Transition Loss BuCtrl]]+Table2[[#This Row],[RDS(on) Loss BuCtrl]]*(1+RdsonTopTc*Ta-RdsonTopTc*25))/(1-Table2[[#This Row],[RDS(on) Loss BuCtrl]]*RdsonTopTc*ThetaJA_Q1)</f>
        <v>2.0556765115068174</v>
      </c>
      <c r="AL70" s="354">
        <f>Table2[[#This Row],[Irms Lf]]</f>
        <v>7.3907608907594549</v>
      </c>
      <c r="AM70" s="354">
        <f>Rdson2*Table2[[#This Row],[Irms BuSync]]^2</f>
        <v>0.22941805548639391</v>
      </c>
      <c r="AN7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0.35219657142857141</v>
      </c>
      <c r="AO70" s="354">
        <f>(Table2[[#This Row],[Deadtime Loss BuSync]]+Table2[[#This Row],[RDS(on) Loss BuSync]]*(1+RdsonBotTc*Ta-RdsonBotTc*25))/(1-Table2[[#This Row],[RDS(on) Loss BuSync]]*RdsonBotTc*ThetaJA_Q2)</f>
        <v>0.61550451041644849</v>
      </c>
      <c r="AP70" s="354">
        <f>Table2[[#This Row],[Irms Lf]]</f>
        <v>7.3907608907594549</v>
      </c>
      <c r="AQ70" s="354">
        <f>Rdson4*Table2[[#This Row],[Irms BoCtlr]]^2</f>
        <v>0.22941805548639391</v>
      </c>
      <c r="AR70" s="354">
        <f>CHOOSE(Table2[[#This Row],[Mode Digit]], 0, (Vout*Table2[[#This Row],[Iin]]/2)*(Fsw)*(Tr_boost+Tf_boost), (Vout*Iout/2)*(Fsw/1)*(Tr_boost+Tf_boost))</f>
        <v>0</v>
      </c>
      <c r="AS70" s="354">
        <f>IF(Table2[[#This Row],[Vin]]&gt;Vout, 0, IF(Table2[[#This Row],[Iin]]&gt;Table2[[#This Row],[Ripple Current pk-pk]]/2,0,ABS(Table2[[#This Row],[Iin]]-Table2[[#This Row],[Ripple Current pk-pk]]/2)*Vsd_Q4*Deadtime*Fsw))</f>
        <v>0</v>
      </c>
      <c r="AT70" s="354">
        <f>(Table2[[#This Row],[Dead Time Loss BoCtlr]]+Table2[[#This Row],[Transition Loss BoCtlr]]+Table2[[#This Row],[RDS(on) Loss BoCtlr]]*(1+RdsonTopTc*Ta-RdsonTopTc*25))/(1-Table2[[#This Row],[RDS(on) Loss BoCtlr]]*RdsonTopTc*ThetaJA_Q4)</f>
        <v>0.24278592970030605</v>
      </c>
      <c r="AU70" s="354">
        <f>Table2[[#This Row],[Irms Lf]]</f>
        <v>7.3907608907594549</v>
      </c>
      <c r="AV70" s="354">
        <f>Rdson3*Table2[[#This Row],[Irms BoSync]]^2</f>
        <v>0.22941805548639391</v>
      </c>
      <c r="AW7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0" s="354">
        <f>(Table2[[#This Row],[Deadtime Loss BoSync]]+Table2[[#This Row],[RDS(on) Loss BoSync]]*(1+RdsonBotTc*Ta-RdsonBotTc*25))/(1-Table2[[#This Row],[RDS(on) Loss BoSync]]*RdsonBotTc*ThetaJA_Q3)</f>
        <v>0.24278592970030605</v>
      </c>
      <c r="AY70" s="354">
        <f>CHOOSE(Table2[[#This Row],[Mode Digit]], Rdson3*Table2[[#This Row],[Irms Lf]]^2, Rdson1*Table2[[#This Row],[Irms Lf]]^2, 0)</f>
        <v>0.22941805548639391</v>
      </c>
      <c r="AZ70" s="354">
        <f>CHOOSE(Table2[[#This Row],[Mode Digit]], 2*Deadtime*Fsw*IF(VfdSky_Q2&gt;0,VfdSky_Q2,0)*Table2[[#This Row],[Iout]], 2*Deadtime*Fsw*IF(VfdSky_Q3&gt;0,VfdSky_Q3,0)*Table2[[#This Row],[Iin]], 2*Deadtime*Fsw*IF(VfdSky_Q2&gt;0,VfdSky_Q2,0)*Table2[[#This Row],[Iout]]+2*Deadtime*Fsw*IF(VfdSky_Q3&gt;0,VfdSky_Q3,0)*Table2[[#This Row],[Iin]])</f>
        <v>0</v>
      </c>
      <c r="BA7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0.17252695392000003</v>
      </c>
      <c r="BB7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0.17252695392000003</v>
      </c>
      <c r="BC70" s="354">
        <f>CHOOSE(Table2[[#This Row],[Mode Digit]], Rs*Table2[[#This Row],[Irms BuSync]]^2, Rs*Table2[[#This Row],[Irms BoCtlr]]^2, Rs*(Table2[[#This Row],[Irms BuSync]]^2+Table2[[#This Row],[Irms BoCtlr]]^2))</f>
        <v>0.13655836636094873</v>
      </c>
      <c r="BD70" s="354">
        <f t="shared" si="6"/>
        <v>1.44</v>
      </c>
      <c r="BE70" s="354">
        <f>IF(Vout&gt;8, Iq*Vout, Iq*Table2[[#This Row],[Vin]])</f>
        <v>4.3799999999999999E-2</v>
      </c>
      <c r="BF70" s="354">
        <f>CHOOSE(Table2[[#This Row],[Mode Digit]], (Qg_Q1+Qg_Q2)*Fsw, (Qg_Q3+Qg_Q4)*Fsw, (Qg_Q1+Qg_Q2+Qg_Q3+Qg_Q4)*Fsw)*IF(Vout&gt;8, Vout, Table2[[#This Row],[Vin]])</f>
        <v>0.47303999999999996</v>
      </c>
      <c r="BG70" s="354">
        <f t="shared" si="4"/>
        <v>0.57269042016806726</v>
      </c>
      <c r="BH70" s="354">
        <f>Table2[[#This Row],[IQ Loss]]+Table2[[#This Row],[Switching Current Loss]]</f>
        <v>0.51683999999999997</v>
      </c>
      <c r="BI7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6.5405365349628877</v>
      </c>
      <c r="BJ70">
        <f>Vout*Table2[[#This Row],[Iout]]</f>
        <v>106.872</v>
      </c>
      <c r="BK70" s="550">
        <f>Table2[[#This Row],[Pout]]/(Table2[[#This Row],[Pout]]+Table2[[#This Row],[Total Loss]])</f>
        <v>0.94232968651621185</v>
      </c>
      <c r="BL70" s="559">
        <f>IF(Table2[[#This Row],[Vin]]&gt;Vout,ThetaJA_Q1*(Table2[[#This Row],[Total Control Bu MOSFET Loss]]+Table2[[#This Row],[Reverse Recovery Loss MOSFET D BUCK]]),ThetaJA_Q4*(Table2[[#This Row],[Total Control Bo MOSFET Loss]]+Table2[[#This Row],[Reverse Recovery Loss MOSFET D BOOST]]))</f>
        <v>133.69220792560904</v>
      </c>
      <c r="BM70" s="559">
        <f>IF(Table2[[#This Row],[Vin]]&gt;Vout, Table2[[#This Row],[Total Sync Bu MOSFET Loss]]*ThetaJA_Q2, ThetaJA_Q3*Table2[[#This Row],[Total Sync Bo MOSFET Loss]])</f>
        <v>36.93027062498691</v>
      </c>
      <c r="BN70" s="9"/>
      <c r="BO70" s="4">
        <f>Table2[[#This Row],[EFF, h]]*100</f>
        <v>94.232968651621178</v>
      </c>
      <c r="BP70" s="354">
        <f>Table2[[#This Row],[Total Inductor Loss]]</f>
        <v>0.91444203678889124</v>
      </c>
      <c r="BQ70" s="354">
        <f>Table2[[#This Row],[Total Control Bu MOSFET Loss]]+Table2[[#This Row],[Total Sync Bu MOSFET Loss]]+Table2[[#This Row],[Total Control Bo MOSFET Loss]]+Table2[[#This Row],[Total Sync Bo MOSFET Loss]]+Table2[[#This Row],[Reverse Recovery Loss MOSFET D BUCK]]+Table2[[#This Row],[Reverse Recovery Loss MOSFET D BOOST]]</f>
        <v>3.5018067891638776</v>
      </c>
      <c r="BR70" s="354">
        <f xml:space="preserve"> Table2[[#This Row],[Total Control Bu MOSFET Loss]]+Table2[[#This Row],[Reverse Recovery Loss MOSFET D BUCK]]*0.66</f>
        <v>2.1695443010940174</v>
      </c>
      <c r="BS70" s="354">
        <f>Table2[[#This Row],[Total Sync Bu MOSFET Loss]]+Table2[[#This Row],[Reverse Recovery Loss MOSFET D BUCK]]*0.33</f>
        <v>0.6724384052100485</v>
      </c>
      <c r="BT70" s="354">
        <f xml:space="preserve"> Table2[[#This Row],[Total Control Bo MOSFET Loss]]+Table2[[#This Row],[Reverse Recovery Loss MOSFET D BOOST]]*0.66</f>
        <v>0.35665371928750605</v>
      </c>
      <c r="BU70" s="354">
        <f xml:space="preserve"> Table2[[#This Row],[Total Sync Bo MOSFET Loss]]+Table2[[#This Row],[Reverse Recovery Loss MOSFET D BOOST]]*0.33</f>
        <v>0.29971982449390605</v>
      </c>
      <c r="BV70" s="354">
        <f>Table2[[#This Row],[Isense Shunt Loss]]</f>
        <v>0.13655836636094873</v>
      </c>
      <c r="CB70" s="18"/>
      <c r="CC70" s="19"/>
    </row>
    <row r="71" spans="1:81" x14ac:dyDescent="0.2">
      <c r="A71" s="14" t="s">
        <v>63</v>
      </c>
      <c r="B71" s="15" t="s">
        <v>8</v>
      </c>
      <c r="C71" s="17" t="s">
        <v>80</v>
      </c>
      <c r="G71">
        <v>62</v>
      </c>
      <c r="H71" s="555">
        <f t="shared" si="5"/>
        <v>23.6</v>
      </c>
      <c r="I71" s="4" t="str">
        <f>IF(Mode = 2,IF(Table2[[#This Row],[Vin]]&gt;Vout, "BUCK","BOOST"),IF(Table2[[#This Row],[Vin]]&gt;VIN_BB_to_buck, "BUCK", IF(Table2[[#This Row],[Vin]]&lt;=VIN_boost_to_BB,"BOOST","BUCK-BST")))</f>
        <v>BUCK</v>
      </c>
      <c r="J71">
        <f>IF(Table2[[#This Row],[Mode]]="BOOST",2, IF(Table2[[#This Row],[Mode]]="BUCK", 1,3))</f>
        <v>1</v>
      </c>
      <c r="K71" s="354">
        <f t="shared" si="7"/>
        <v>7.44</v>
      </c>
      <c r="L71" s="4">
        <f>Vout*Table2[[#This Row],[Iout]]/(Table2[[#This Row],[Vin]]*Efficiency)</f>
        <v>4.8449598572702941</v>
      </c>
      <c r="M71" s="711">
        <f>MIN(1/Fsw,CHOOSE(Table2[[#This Row],[Mode Digit]],(Vout+(Rdson2+Rs+Rdcr)*Table2[[#This Row],[Iout]])/(Table2[[#This Row],[Vin]]+(Rs+Rdson2-Rdson1)*Table2[[#This Row],[Iout]])/Fsw,(Vout+(Rdson3+Rdcr)*Table2[[#This Row],[Iin]]-Table2[[#This Row],[Vin]])/(Vout+(Rdson3-Rdson4-Rs)*Table2[[#This Row],[Iin]])/Fsw,t1_Ph_II))</f>
        <v>1.0368240849725781E-6</v>
      </c>
      <c r="N71" s="602">
        <f>CHOOSE(Table2[[#This Row],[Mode Digit]],1/Fsw-Table2[[#This Row],[t1_Ph_II]],1/Fsw-Table2[[#This Row],[t1_Ph_II]],(Vout/Fsw-Table2[[#This Row],[Vin]]*t1_Ph_II)/(Table2[[#This Row],[Vin]]+Vout))</f>
        <v>6.2984258169408852E-7</v>
      </c>
      <c r="O71" s="602">
        <f>1/Fsw-(Table2[[#This Row],[t1_Ph_II]]+Table2[[#This Row],[t2_Ph_I]])</f>
        <v>0</v>
      </c>
      <c r="P7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5.6726862187967422</v>
      </c>
      <c r="Q71" s="4">
        <f>CHOOSE(Table2[[#This Row],[Mode Digit]],Table2[[#This Row],[I_0]]+1/Lf*(Table2[[#This Row],[Vin]]-Vout)*Table2[[#This Row],[t1_Ph_II]],Table2[[#This Row],[I_0]]+1/Lf*Table2[[#This Row],[Vin]]*Table2[[#This Row],[t1_Ph_II]],Table2[[#This Row],[I_0]]+(Table2[[#This Row],[Vin]]-Vout)/L*Table2[[#This Row],[t1_Ph_II]])</f>
        <v>9.2073137812032595</v>
      </c>
      <c r="R71" s="4">
        <f>CHOOSE(Table2[[#This Row],[Mode Digit]],0,0,Table2[[#This Row],[I_1]]+Table2[[#This Row],[Vin]]/L*Table2[[#This Row],[t2_Ph_I]])</f>
        <v>0</v>
      </c>
      <c r="S71" s="409">
        <f>Fsw*(Table2[[#This Row],[I_0]]*Table2[[#This Row],[t1_Ph_II]]+Table2[[#This Row],[I_1]]*Table2[[#This Row],[t2_Ph_I]]+Table2[[#This Row],[I_2]]*Table2[[#This Row],[t3_Ph_III]])</f>
        <v>7.0084415883366642</v>
      </c>
      <c r="T71" s="354">
        <f>MIN(1,CHOOSE(Table2[[#This Row],[Mode Digit]],(Vout+(Rdson2+Rs+Rdcr)*Table2[[#This Row],[Iout]])/(Table2[[#This Row],[Vin]]+(Rs+Rdson2-Rdson1)*Table2[[#This Row],[Iout]]),1,Fsw*Table2[[#This Row],[t2_Ph_I]]+Table2[[#This Row],[t1_Ph_II]]))</f>
        <v>0.62209445098354688</v>
      </c>
      <c r="U71" s="354">
        <f>MIN(1,CHOOSE(Table2[[#This Row],[Mode Digit]],0,(Vout+(Rdson3+Rdcr)*Table2[[#This Row],[Iin]]-Table2[[#This Row],[Vin]])/(Vout+(Rdson3-Rdson4-Rs)*Table2[[#This Row],[Iin]]),Fsw*Table2[[#This Row],[t1_Ph_II]]+Table2[[#This Row],[t3_Ph_III]]))</f>
        <v>0</v>
      </c>
      <c r="V71" s="4">
        <f>MAX(Table2[[#This Row],[I_0]:[I_2]])-MIN(Table2[[#This Row],[I_0]:[I_1]])</f>
        <v>3.5346275624065173</v>
      </c>
      <c r="W7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7.5096426457639778</v>
      </c>
      <c r="X71" s="354">
        <f>(Table2[[#This Row],[Irms Lf]]^2*Rdcr*(1+Ltc*Ta-Ltc*25))/(1-Table2[[#This Row],[Irms Lf]]^2*Rdcr*Ltc*ThetaCa)</f>
        <v>0.33587843280297053</v>
      </c>
      <c r="Y71" s="354">
        <f>ABS(7.759*10^-3*Fsw^0.9458*(0.00787*Table2[[#This Row],[Ripple Current pk-pk]])^2.304)</f>
        <v>0.5895094614059786</v>
      </c>
      <c r="Z71" s="354">
        <f>Table2[[#This Row],[DCR    Loss]]+Table2[[#This Row],[Core Loss]]</f>
        <v>0.92538789420894907</v>
      </c>
      <c r="AA71" s="4">
        <f>IF(Table2[[#This Row],[Vin]]&gt;Vout, Table2[[#This Row],[Ripple Current pk-pk]]/SQRT(12), SQRT(Table2[[#This Row],[Duty Cycle BOOST Leg]]/(1-Table2[[#This Row],[Duty Cycle BOOST Leg]]))*SQRT(Table2[[#This Row],[Iout]]^2+(Table2[[#This Row],[Ripple Current pk-pk]]^2)/12))</f>
        <v>1.0203590873202368</v>
      </c>
      <c r="AB71" s="354">
        <f>RCoutEsr*Table2[[#This Row],[Irms Cout]]^2</f>
        <v>5.2056633353849335E-3</v>
      </c>
      <c r="AC71" s="354">
        <f>Table2[[#This Row],[Cout ESR Loss]]</f>
        <v>5.2056633353849335E-3</v>
      </c>
      <c r="AD71" s="4">
        <f>IF(Table2[[#This Row],[Vin]]&gt;Vout, SQRT(Table2[[#This Row],[Duty Cycle BUCK Leg]]*(1-Table2[[#This Row],[Duty Cycle BUCK Leg]]))*SQRT(Table2[[#This Row],[Iout]]^2+(Table2[[#This Row],[Ripple Current pk-pk]]^2)/12), Table2[[#This Row],[Ripple Current pk-pk]]/SQRT(12))</f>
        <v>3.6411541834137857</v>
      </c>
      <c r="AE71" s="354">
        <f>RCinEsr*Table2[[#This Row],[Irms Cin]]^2</f>
        <v>2.6516007574783427E-2</v>
      </c>
      <c r="AF71" s="549">
        <f>Table2[[#This Row],[Cin ESR Loss]]</f>
        <v>2.6516007574783427E-2</v>
      </c>
      <c r="AG71" s="354">
        <f>Table2[[#This Row],[Irms Lf]]</f>
        <v>7.5096426457639778</v>
      </c>
      <c r="AH71" s="354">
        <f>Rdson1*Table2[[#This Row],[Irms BuCtrl]]^2</f>
        <v>0.23685787720172341</v>
      </c>
      <c r="AI71" s="354">
        <f>CHOOSE(Table2[[#This Row],[Mode Digit]], (Table2[[#This Row],[Vin]]*Table2[[#This Row],[Iout]]/2)*(Fsw)*(Tr_buck+Tf_buck), 0, (Table2[[#This Row],[Vin]]*Table2[[#This Row],[Avg IL]]/2)*(Fsw/1)*(Tr_buck+Tf_buck))</f>
        <v>1.7411553732875333</v>
      </c>
      <c r="AJ71">
        <f>IF(Table2[[#This Row],[Vin]]&gt;Vout, IF(Table2[[#This Row],[Iout]]&gt;Table2[[#This Row],[Ripple Current pk-pk]]/2,0,ABS(Table2[[#This Row],[Iout]]-Table2[[#This Row],[Ripple Current pk-pk]]/2)*Vsd_Q1*Deadtime*Fsw),0)</f>
        <v>0</v>
      </c>
      <c r="AK71" s="354">
        <f>(Table2[[#This Row],[Dead Time Loss BuCtrl]]+Table2[[#This Row],[Transition Loss BuCtrl]]+Table2[[#This Row],[RDS(on) Loss BuCtrl]]*(1+RdsonTopTc*Ta-RdsonTopTc*25))/(1-Table2[[#This Row],[RDS(on) Loss BuCtrl]]*RdsonTopTc*ThetaJA_Q1)</f>
        <v>2.0972322875181688</v>
      </c>
      <c r="AL71" s="354">
        <f>Table2[[#This Row],[Irms Lf]]</f>
        <v>7.5096426457639778</v>
      </c>
      <c r="AM71" s="354">
        <f>Rdson2*Table2[[#This Row],[Irms BuSync]]^2</f>
        <v>0.23685787720172341</v>
      </c>
      <c r="AN7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0.35797028571428574</v>
      </c>
      <c r="AO71" s="354">
        <f>(Table2[[#This Row],[Deadtime Loss BuSync]]+Table2[[#This Row],[RDS(on) Loss BuSync]]*(1+RdsonBotTc*Ta-RdsonBotTc*25))/(1-Table2[[#This Row],[RDS(on) Loss BuSync]]*RdsonBotTc*ThetaJA_Q2)</f>
        <v>0.63067971283003676</v>
      </c>
      <c r="AP71" s="354">
        <f>Table2[[#This Row],[Irms Lf]]</f>
        <v>7.5096426457639778</v>
      </c>
      <c r="AQ71" s="354">
        <f>Rdson4*Table2[[#This Row],[Irms BoCtlr]]^2</f>
        <v>0.23685787720172341</v>
      </c>
      <c r="AR71" s="354">
        <f>CHOOSE(Table2[[#This Row],[Mode Digit]], 0, (Vout*Table2[[#This Row],[Iin]]/2)*(Fsw)*(Tr_boost+Tf_boost), (Vout*Iout/2)*(Fsw/1)*(Tr_boost+Tf_boost))</f>
        <v>0</v>
      </c>
      <c r="AS71" s="354">
        <f>IF(Table2[[#This Row],[Vin]]&gt;Vout, 0, IF(Table2[[#This Row],[Iin]]&gt;Table2[[#This Row],[Ripple Current pk-pk]]/2,0,ABS(Table2[[#This Row],[Iin]]-Table2[[#This Row],[Ripple Current pk-pk]]/2)*Vsd_Q4*Deadtime*Fsw))</f>
        <v>0</v>
      </c>
      <c r="AT71" s="354">
        <f>(Table2[[#This Row],[Dead Time Loss BoCtlr]]+Table2[[#This Row],[Transition Loss BoCtlr]]+Table2[[#This Row],[RDS(on) Loss BoCtlr]]*(1+RdsonTopTc*Ta-RdsonTopTc*25))/(1-Table2[[#This Row],[RDS(on) Loss BoCtlr]]*RdsonTopTc*ThetaJA_Q4)</f>
        <v>0.25113380180724221</v>
      </c>
      <c r="AU71" s="354">
        <f>Table2[[#This Row],[Irms Lf]]</f>
        <v>7.5096426457639778</v>
      </c>
      <c r="AV71" s="354">
        <f>Rdson3*Table2[[#This Row],[Irms BoSync]]^2</f>
        <v>0.23685787720172341</v>
      </c>
      <c r="AW7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1" s="354">
        <f>(Table2[[#This Row],[Deadtime Loss BoSync]]+Table2[[#This Row],[RDS(on) Loss BoSync]]*(1+RdsonBotTc*Ta-RdsonBotTc*25))/(1-Table2[[#This Row],[RDS(on) Loss BoSync]]*RdsonBotTc*ThetaJA_Q3)</f>
        <v>0.25113380180724221</v>
      </c>
      <c r="AY71" s="354">
        <f>CHOOSE(Table2[[#This Row],[Mode Digit]], Rdson3*Table2[[#This Row],[Irms Lf]]^2, Rdson1*Table2[[#This Row],[Irms Lf]]^2, 0)</f>
        <v>0.23685787720172341</v>
      </c>
      <c r="AZ71" s="354">
        <f>CHOOSE(Table2[[#This Row],[Mode Digit]], 2*Deadtime*Fsw*IF(VfdSky_Q2&gt;0,VfdSky_Q2,0)*Table2[[#This Row],[Iout]], 2*Deadtime*Fsw*IF(VfdSky_Q3&gt;0,VfdSky_Q3,0)*Table2[[#This Row],[Iin]], 2*Deadtime*Fsw*IF(VfdSky_Q2&gt;0,VfdSky_Q2,0)*Table2[[#This Row],[Iout]]+2*Deadtime*Fsw*IF(VfdSky_Q3&gt;0,VfdSky_Q3,0)*Table2[[#This Row],[Iin]])</f>
        <v>0</v>
      </c>
      <c r="BA7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0.17535151488</v>
      </c>
      <c r="BB7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0.17535151488</v>
      </c>
      <c r="BC71" s="354">
        <f>CHOOSE(Table2[[#This Row],[Mode Digit]], Rs*Table2[[#This Row],[Irms BuSync]]^2, Rs*Table2[[#This Row],[Irms BoCtlr]]^2, Rs*(Table2[[#This Row],[Irms BuSync]]^2+Table2[[#This Row],[Irms BoCtlr]]^2))</f>
        <v>0.14098683166769249</v>
      </c>
      <c r="BD71" s="354">
        <f t="shared" si="6"/>
        <v>1.44</v>
      </c>
      <c r="BE71" s="354">
        <f>IF(Vout&gt;8, Iq*Vout, Iq*Table2[[#This Row],[Vin]])</f>
        <v>4.3799999999999999E-2</v>
      </c>
      <c r="BF71" s="354">
        <f>CHOOSE(Table2[[#This Row],[Mode Digit]], (Qg_Q1+Qg_Q2)*Fsw, (Qg_Q3+Qg_Q4)*Fsw, (Qg_Q1+Qg_Q2+Qg_Q3+Qg_Q4)*Fsw)*IF(Vout&gt;8, Vout, Table2[[#This Row],[Vin]])</f>
        <v>0.47303999999999996</v>
      </c>
      <c r="BG71" s="354">
        <f t="shared" si="4"/>
        <v>0.57269042016806726</v>
      </c>
      <c r="BH71" s="354">
        <f>Table2[[#This Row],[IQ Loss]]+Table2[[#This Row],[Switching Current Loss]]</f>
        <v>0.51683999999999997</v>
      </c>
      <c r="BI7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6.6358190305095004</v>
      </c>
      <c r="BJ71">
        <f>Vout*Table2[[#This Row],[Iout]]</f>
        <v>108.62400000000001</v>
      </c>
      <c r="BK71" s="550">
        <f>Table2[[#This Row],[Pout]]/(Table2[[#This Row],[Pout]]+Table2[[#This Row],[Total Loss]])</f>
        <v>0.9424272995886539</v>
      </c>
      <c r="BL71" s="559">
        <f>IF(Table2[[#This Row],[Vin]]&gt;Vout,ThetaJA_Q1*(Table2[[#This Row],[Total Control Bu MOSFET Loss]]+Table2[[#This Row],[Reverse Recovery Loss MOSFET D BUCK]]),ThetaJA_Q4*(Table2[[#This Row],[Total Control Bo MOSFET Loss]]+Table2[[#This Row],[Reverse Recovery Loss MOSFET D BOOST]]))</f>
        <v>136.35502814389014</v>
      </c>
      <c r="BM71" s="559">
        <f>IF(Table2[[#This Row],[Vin]]&gt;Vout, Table2[[#This Row],[Total Sync Bu MOSFET Loss]]*ThetaJA_Q2, ThetaJA_Q3*Table2[[#This Row],[Total Sync Bo MOSFET Loss]])</f>
        <v>37.840782769802203</v>
      </c>
      <c r="BN71" s="9"/>
      <c r="BO71" s="4">
        <f>Table2[[#This Row],[EFF, h]]*100</f>
        <v>94.242729958865397</v>
      </c>
      <c r="BP71" s="354">
        <f>Table2[[#This Row],[Total Inductor Loss]]</f>
        <v>0.92538789420894907</v>
      </c>
      <c r="BQ71" s="354">
        <f>Table2[[#This Row],[Total Control Bu MOSFET Loss]]+Table2[[#This Row],[Total Sync Bu MOSFET Loss]]+Table2[[#This Row],[Total Control Bo MOSFET Loss]]+Table2[[#This Row],[Total Sync Bo MOSFET Loss]]+Table2[[#This Row],[Reverse Recovery Loss MOSFET D BUCK]]+Table2[[#This Row],[Reverse Recovery Loss MOSFET D BOOST]]</f>
        <v>3.5808826337226902</v>
      </c>
      <c r="BR71" s="354">
        <f xml:space="preserve"> Table2[[#This Row],[Total Control Bu MOSFET Loss]]+Table2[[#This Row],[Reverse Recovery Loss MOSFET D BUCK]]*0.66</f>
        <v>2.212964287338969</v>
      </c>
      <c r="BS71" s="354">
        <f>Table2[[#This Row],[Total Sync Bu MOSFET Loss]]+Table2[[#This Row],[Reverse Recovery Loss MOSFET D BUCK]]*0.33</f>
        <v>0.68854571274043674</v>
      </c>
      <c r="BT71" s="354">
        <f xml:space="preserve"> Table2[[#This Row],[Total Control Bo MOSFET Loss]]+Table2[[#This Row],[Reverse Recovery Loss MOSFET D BOOST]]*0.66</f>
        <v>0.36686580162804222</v>
      </c>
      <c r="BU71" s="354">
        <f xml:space="preserve"> Table2[[#This Row],[Total Sync Bo MOSFET Loss]]+Table2[[#This Row],[Reverse Recovery Loss MOSFET D BOOST]]*0.33</f>
        <v>0.30899980171764219</v>
      </c>
      <c r="BV71" s="354">
        <f>Table2[[#This Row],[Isense Shunt Loss]]</f>
        <v>0.14098683166769249</v>
      </c>
      <c r="CB71" s="18"/>
      <c r="CC71" s="19"/>
    </row>
    <row r="72" spans="1:81" x14ac:dyDescent="0.2">
      <c r="A72" s="32" t="s">
        <v>91</v>
      </c>
      <c r="B72" s="450">
        <f>(Qgd_Q1+Qgs_Q1/2)*(RdsonDRT+Rgate1)/(Vdd-Vsp_Q1)*1000000000</f>
        <v>11.417821782178217</v>
      </c>
      <c r="C72" s="21" t="s">
        <v>79</v>
      </c>
      <c r="D72" s="114" t="s">
        <v>681</v>
      </c>
      <c r="G72">
        <v>63</v>
      </c>
      <c r="H72" s="555">
        <f t="shared" si="5"/>
        <v>23.6</v>
      </c>
      <c r="I72" s="4" t="str">
        <f>IF(Mode = 2,IF(Table2[[#This Row],[Vin]]&gt;Vout, "BUCK","BOOST"),IF(Table2[[#This Row],[Vin]]&gt;VIN_BB_to_buck, "BUCK", IF(Table2[[#This Row],[Vin]]&lt;=VIN_boost_to_BB,"BOOST","BUCK-BST")))</f>
        <v>BUCK</v>
      </c>
      <c r="J72">
        <f>IF(Table2[[#This Row],[Mode]]="BOOST",2, IF(Table2[[#This Row],[Mode]]="BUCK", 1,3))</f>
        <v>1</v>
      </c>
      <c r="K72" s="354">
        <f t="shared" si="7"/>
        <v>7.56</v>
      </c>
      <c r="L72" s="4">
        <f>Vout*Table2[[#This Row],[Iout]]/(Table2[[#This Row],[Vin]]*Efficiency)</f>
        <v>4.9231043710972342</v>
      </c>
      <c r="M72" s="711">
        <f>MIN(1/Fsw,CHOOSE(Table2[[#This Row],[Mode Digit]],(Vout+(Rdson2+Rs+Rdcr)*Table2[[#This Row],[Iout]])/(Table2[[#This Row],[Vin]]+(Rs+Rdson2-Rdson1)*Table2[[#This Row],[Iout]])/Fsw,(Vout+(Rdson3+Rdcr)*Table2[[#This Row],[Iin]]-Table2[[#This Row],[Vin]])/(Vout+(Rdson3-Rdson4-Rs)*Table2[[#This Row],[Iin]])/Fsw,t1_Ph_II))</f>
        <v>1.0369167629878333E-6</v>
      </c>
      <c r="N72" s="602">
        <f>CHOOSE(Table2[[#This Row],[Mode Digit]],1/Fsw-Table2[[#This Row],[t1_Ph_II]],1/Fsw-Table2[[#This Row],[t1_Ph_II]],(Vout/Fsw-Table2[[#This Row],[Vin]]*t1_Ph_II)/(Table2[[#This Row],[Vin]]+Vout))</f>
        <v>6.2974990367883333E-7</v>
      </c>
      <c r="O72" s="602">
        <f>1/Fsw-(Table2[[#This Row],[t1_Ph_II]]+Table2[[#This Row],[t2_Ph_I]])</f>
        <v>0</v>
      </c>
      <c r="P7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5.7925282449071016</v>
      </c>
      <c r="Q72" s="4">
        <f>CHOOSE(Table2[[#This Row],[Mode Digit]],Table2[[#This Row],[I_0]]+1/Lf*(Table2[[#This Row],[Vin]]-Vout)*Table2[[#This Row],[t1_Ph_II]],Table2[[#This Row],[I_0]]+1/Lf*Table2[[#This Row],[Vin]]*Table2[[#This Row],[t1_Ph_II]],Table2[[#This Row],[I_0]]+(Table2[[#This Row],[Vin]]-Vout)/L*Table2[[#This Row],[t1_Ph_II]])</f>
        <v>9.3274717550928976</v>
      </c>
      <c r="R72" s="4">
        <f>CHOOSE(Table2[[#This Row],[Mode Digit]],0,0,Table2[[#This Row],[I_1]]+Table2[[#This Row],[Vin]]/L*Table2[[#This Row],[t2_Ph_I]])</f>
        <v>0</v>
      </c>
      <c r="S72" s="409">
        <f>Fsw*(Table2[[#This Row],[I_0]]*Table2[[#This Row],[t1_Ph_II]]+Table2[[#This Row],[I_1]]*Table2[[#This Row],[t2_Ph_I]]+Table2[[#This Row],[I_2]]*Table2[[#This Row],[t3_Ph_III]])</f>
        <v>7.1282064459368746</v>
      </c>
      <c r="T72" s="354">
        <f>MIN(1,CHOOSE(Table2[[#This Row],[Mode Digit]],(Vout+(Rdson2+Rs+Rdcr)*Table2[[#This Row],[Iout]])/(Table2[[#This Row],[Vin]]+(Rs+Rdson2-Rdson1)*Table2[[#This Row],[Iout]]),1,Fsw*Table2[[#This Row],[t2_Ph_I]]+Table2[[#This Row],[t1_Ph_II]]))</f>
        <v>0.62215005779269994</v>
      </c>
      <c r="U72" s="354">
        <f>MIN(1,CHOOSE(Table2[[#This Row],[Mode Digit]],0,(Vout+(Rdson3+Rdcr)*Table2[[#This Row],[Iin]]-Table2[[#This Row],[Vin]])/(Vout+(Rdson3-Rdson4-Rs)*Table2[[#This Row],[Iin]]),Fsw*Table2[[#This Row],[t1_Ph_II]]+Table2[[#This Row],[t3_Ph_III]]))</f>
        <v>0</v>
      </c>
      <c r="V72" s="4">
        <f>MAX(Table2[[#This Row],[I_0]:[I_2]])-MIN(Table2[[#This Row],[I_0]:[I_1]])</f>
        <v>3.534943510185796</v>
      </c>
      <c r="W7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7.628559418506466</v>
      </c>
      <c r="X72" s="354">
        <f>(Table2[[#This Row],[Irms Lf]]^2*Rdcr*(1+Ltc*Ta-Ltc*25))/(1-Table2[[#This Row],[Irms Lf]]^2*Rdcr*Ltc*ThetaCa)</f>
        <v>0.34689761180485285</v>
      </c>
      <c r="Y72" s="354">
        <f>ABS(7.759*10^-3*Fsw^0.9458*(0.00787*Table2[[#This Row],[Ripple Current pk-pk]])^2.304)</f>
        <v>0.58963087580992357</v>
      </c>
      <c r="Z72" s="354">
        <f>Table2[[#This Row],[DCR    Loss]]+Table2[[#This Row],[Core Loss]]</f>
        <v>0.93652848761477636</v>
      </c>
      <c r="AA72" s="4">
        <f>IF(Table2[[#This Row],[Vin]]&gt;Vout, Table2[[#This Row],[Ripple Current pk-pk]]/SQRT(12), SQRT(Table2[[#This Row],[Duty Cycle BOOST Leg]]/(1-Table2[[#This Row],[Duty Cycle BOOST Leg]]))*SQRT(Table2[[#This Row],[Iout]]^2+(Table2[[#This Row],[Ripple Current pk-pk]]^2)/12))</f>
        <v>1.0204502935879449</v>
      </c>
      <c r="AB72" s="354">
        <f>RCoutEsr*Table2[[#This Row],[Irms Cout]]^2</f>
        <v>5.2065940084186149E-3</v>
      </c>
      <c r="AC72" s="354">
        <f>Table2[[#This Row],[Cout ESR Loss]]</f>
        <v>5.2065940084186149E-3</v>
      </c>
      <c r="AD72" s="4">
        <f>IF(Table2[[#This Row],[Vin]]&gt;Vout, SQRT(Table2[[#This Row],[Duty Cycle BUCK Leg]]*(1-Table2[[#This Row],[Duty Cycle BUCK Leg]]))*SQRT(Table2[[#This Row],[Iout]]^2+(Table2[[#This Row],[Ripple Current pk-pk]]^2)/12), Table2[[#This Row],[Ripple Current pk-pk]]/SQRT(12))</f>
        <v>3.6987057822869298</v>
      </c>
      <c r="AE72" s="354">
        <f>RCinEsr*Table2[[#This Row],[Irms Cin]]^2</f>
        <v>2.736084892784554E-2</v>
      </c>
      <c r="AF72" s="549">
        <f>Table2[[#This Row],[Cin ESR Loss]]</f>
        <v>2.736084892784554E-2</v>
      </c>
      <c r="AG72" s="354">
        <f>Table2[[#This Row],[Irms Lf]]</f>
        <v>7.628559418506466</v>
      </c>
      <c r="AH72" s="354">
        <f>Rdson1*Table2[[#This Row],[Irms BuCtrl]]^2</f>
        <v>0.24441865896707163</v>
      </c>
      <c r="AI72" s="354">
        <f>CHOOSE(Table2[[#This Row],[Mode Digit]], (Table2[[#This Row],[Vin]]*Table2[[#This Row],[Iout]]/2)*(Fsw)*(Tr_buck+Tf_buck), 0, (Table2[[#This Row],[Vin]]*Table2[[#This Row],[Avg IL]]/2)*(Fsw/1)*(Tr_buck+Tf_buck))</f>
        <v>1.7692385244695901</v>
      </c>
      <c r="AJ72">
        <f>IF(Table2[[#This Row],[Vin]]&gt;Vout, IF(Table2[[#This Row],[Iout]]&gt;Table2[[#This Row],[Ripple Current pk-pk]]/2,0,ABS(Table2[[#This Row],[Iout]]-Table2[[#This Row],[Ripple Current pk-pk]]/2)*Vsd_Q1*Deadtime*Fsw),0)</f>
        <v>0</v>
      </c>
      <c r="AK72" s="354">
        <f>(Table2[[#This Row],[Dead Time Loss BuCtrl]]+Table2[[#This Row],[Transition Loss BuCtrl]]+Table2[[#This Row],[RDS(on) Loss BuCtrl]]*(1+RdsonTopTc*Ta-RdsonTopTc*25))/(1-Table2[[#This Row],[RDS(on) Loss BuCtrl]]*RdsonTopTc*ThetaJA_Q1)</f>
        <v>2.1391401685586713</v>
      </c>
      <c r="AL72" s="354">
        <f>Table2[[#This Row],[Irms Lf]]</f>
        <v>7.628559418506466</v>
      </c>
      <c r="AM72" s="354">
        <f>Rdson2*Table2[[#This Row],[Irms BuSync]]^2</f>
        <v>0.24441865896707163</v>
      </c>
      <c r="AN7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0.36374399999999996</v>
      </c>
      <c r="AO72" s="354">
        <f>(Table2[[#This Row],[Deadtime Loss BuSync]]+Table2[[#This Row],[RDS(on) Loss BuSync]]*(1+RdsonBotTc*Ta-RdsonBotTc*25))/(1-Table2[[#This Row],[RDS(on) Loss BuSync]]*RdsonBotTc*ThetaJA_Q2)</f>
        <v>0.6460609002936728</v>
      </c>
      <c r="AP72" s="354">
        <f>Table2[[#This Row],[Irms Lf]]</f>
        <v>7.628559418506466</v>
      </c>
      <c r="AQ72" s="354">
        <f>Rdson4*Table2[[#This Row],[Irms BoCtlr]]^2</f>
        <v>0.24441865896707163</v>
      </c>
      <c r="AR72" s="354">
        <f>CHOOSE(Table2[[#This Row],[Mode Digit]], 0, (Vout*Table2[[#This Row],[Iin]]/2)*(Fsw)*(Tr_boost+Tf_boost), (Vout*Iout/2)*(Fsw/1)*(Tr_boost+Tf_boost))</f>
        <v>0</v>
      </c>
      <c r="AS72" s="354">
        <f>IF(Table2[[#This Row],[Vin]]&gt;Vout, 0, IF(Table2[[#This Row],[Iin]]&gt;Table2[[#This Row],[Ripple Current pk-pk]]/2,0,ABS(Table2[[#This Row],[Iin]]-Table2[[#This Row],[Ripple Current pk-pk]]/2)*Vsd_Q4*Deadtime*Fsw))</f>
        <v>0</v>
      </c>
      <c r="AT72" s="354">
        <f>(Table2[[#This Row],[Dead Time Loss BoCtlr]]+Table2[[#This Row],[Transition Loss BoCtlr]]+Table2[[#This Row],[RDS(on) Loss BoCtlr]]*(1+RdsonTopTc*Ta-RdsonTopTc*25))/(1-Table2[[#This Row],[RDS(on) Loss BoCtlr]]*RdsonTopTc*ThetaJA_Q4)</f>
        <v>0.25964984290393328</v>
      </c>
      <c r="AU72" s="354">
        <f>Table2[[#This Row],[Irms Lf]]</f>
        <v>7.628559418506466</v>
      </c>
      <c r="AV72" s="354">
        <f>Rdson3*Table2[[#This Row],[Irms BoSync]]^2</f>
        <v>0.24441865896707163</v>
      </c>
      <c r="AW7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2" s="354">
        <f>(Table2[[#This Row],[Deadtime Loss BoSync]]+Table2[[#This Row],[RDS(on) Loss BoSync]]*(1+RdsonBotTc*Ta-RdsonBotTc*25))/(1-Table2[[#This Row],[RDS(on) Loss BoSync]]*RdsonBotTc*ThetaJA_Q3)</f>
        <v>0.25964984290393328</v>
      </c>
      <c r="AY72" s="354">
        <f>CHOOSE(Table2[[#This Row],[Mode Digit]], Rdson3*Table2[[#This Row],[Irms Lf]]^2, Rdson1*Table2[[#This Row],[Irms Lf]]^2, 0)</f>
        <v>0.24441865896707163</v>
      </c>
      <c r="AZ72" s="354">
        <f>CHOOSE(Table2[[#This Row],[Mode Digit]], 2*Deadtime*Fsw*IF(VfdSky_Q2&gt;0,VfdSky_Q2,0)*Table2[[#This Row],[Iout]], 2*Deadtime*Fsw*IF(VfdSky_Q3&gt;0,VfdSky_Q3,0)*Table2[[#This Row],[Iin]], 2*Deadtime*Fsw*IF(VfdSky_Q2&gt;0,VfdSky_Q2,0)*Table2[[#This Row],[Iout]]+2*Deadtime*Fsw*IF(VfdSky_Q3&gt;0,VfdSky_Q3,0)*Table2[[#This Row],[Iin]])</f>
        <v>0</v>
      </c>
      <c r="BA7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0.17817595488000001</v>
      </c>
      <c r="BB7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0.17817595488000001</v>
      </c>
      <c r="BC72" s="354">
        <f>CHOOSE(Table2[[#This Row],[Mode Digit]], Rs*Table2[[#This Row],[Irms BuSync]]^2, Rs*Table2[[#This Row],[Irms BoCtlr]]^2, Rs*(Table2[[#This Row],[Irms BuSync]]^2+Table2[[#This Row],[Irms BoCtlr]]^2))</f>
        <v>0.14548729700420929</v>
      </c>
      <c r="BD72" s="354">
        <f t="shared" si="6"/>
        <v>1.44</v>
      </c>
      <c r="BE72" s="354">
        <f>IF(Vout&gt;8, Iq*Vout, Iq*Table2[[#This Row],[Vin]])</f>
        <v>4.3799999999999999E-2</v>
      </c>
      <c r="BF72" s="354">
        <f>CHOOSE(Table2[[#This Row],[Mode Digit]], (Qg_Q1+Qg_Q2)*Fsw, (Qg_Q3+Qg_Q4)*Fsw, (Qg_Q1+Qg_Q2+Qg_Q3+Qg_Q4)*Fsw)*IF(Vout&gt;8, Vout, Table2[[#This Row],[Vin]])</f>
        <v>0.47303999999999996</v>
      </c>
      <c r="BG72" s="354">
        <f t="shared" si="4"/>
        <v>0.57269042016806726</v>
      </c>
      <c r="BH72" s="354">
        <f>Table2[[#This Row],[IQ Loss]]+Table2[[#This Row],[Switching Current Loss]]</f>
        <v>0.51683999999999997</v>
      </c>
      <c r="BI7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6.7322758919754602</v>
      </c>
      <c r="BJ72">
        <f>Vout*Table2[[#This Row],[Iout]]</f>
        <v>110.37599999999999</v>
      </c>
      <c r="BK72" s="550">
        <f>Table2[[#This Row],[Pout]]/(Table2[[#This Row],[Pout]]+Table2[[#This Row],[Total Loss]])</f>
        <v>0.94251238146324057</v>
      </c>
      <c r="BL72" s="559">
        <f>IF(Table2[[#This Row],[Vin]]&gt;Vout,ThetaJA_Q1*(Table2[[#This Row],[Total Control Bu MOSFET Loss]]+Table2[[#This Row],[Reverse Recovery Loss MOSFET D BUCK]]),ThetaJA_Q4*(Table2[[#This Row],[Total Control Bo MOSFET Loss]]+Table2[[#This Row],[Reverse Recovery Loss MOSFET D BOOST]]))</f>
        <v>139.03896740632027</v>
      </c>
      <c r="BM72" s="559">
        <f>IF(Table2[[#This Row],[Vin]]&gt;Vout, Table2[[#This Row],[Total Sync Bu MOSFET Loss]]*ThetaJA_Q2, ThetaJA_Q3*Table2[[#This Row],[Total Sync Bo MOSFET Loss]])</f>
        <v>38.763654017620368</v>
      </c>
      <c r="BN72" s="9"/>
      <c r="BO72" s="4">
        <f>Table2[[#This Row],[EFF, h]]*100</f>
        <v>94.251238146324056</v>
      </c>
      <c r="BP72" s="354">
        <f>Table2[[#This Row],[Total Inductor Loss]]</f>
        <v>0.93652848761477636</v>
      </c>
      <c r="BQ72" s="354">
        <f>Table2[[#This Row],[Total Control Bu MOSFET Loss]]+Table2[[#This Row],[Total Sync Bu MOSFET Loss]]+Table2[[#This Row],[Total Control Bo MOSFET Loss]]+Table2[[#This Row],[Total Sync Bo MOSFET Loss]]+Table2[[#This Row],[Reverse Recovery Loss MOSFET D BUCK]]+Table2[[#This Row],[Reverse Recovery Loss MOSFET D BOOST]]</f>
        <v>3.6608526644202106</v>
      </c>
      <c r="BR72" s="354">
        <f xml:space="preserve"> Table2[[#This Row],[Total Control Bu MOSFET Loss]]+Table2[[#This Row],[Reverse Recovery Loss MOSFET D BUCK]]*0.66</f>
        <v>2.2567362987794715</v>
      </c>
      <c r="BS72" s="354">
        <f>Table2[[#This Row],[Total Sync Bu MOSFET Loss]]+Table2[[#This Row],[Reverse Recovery Loss MOSFET D BUCK]]*0.33</f>
        <v>0.70485896540407278</v>
      </c>
      <c r="BT72" s="354">
        <f xml:space="preserve"> Table2[[#This Row],[Total Control Bo MOSFET Loss]]+Table2[[#This Row],[Reverse Recovery Loss MOSFET D BOOST]]*0.66</f>
        <v>0.37724597312473329</v>
      </c>
      <c r="BU72" s="354">
        <f xml:space="preserve"> Table2[[#This Row],[Total Sync Bo MOSFET Loss]]+Table2[[#This Row],[Reverse Recovery Loss MOSFET D BOOST]]*0.33</f>
        <v>0.31844790801433331</v>
      </c>
      <c r="BV72" s="354">
        <f>Table2[[#This Row],[Isense Shunt Loss]]</f>
        <v>0.14548729700420929</v>
      </c>
      <c r="CB72" s="18"/>
      <c r="CC72" s="19"/>
    </row>
    <row r="73" spans="1:81" x14ac:dyDescent="0.2">
      <c r="A73" s="33" t="s">
        <v>92</v>
      </c>
      <c r="B73" s="450">
        <f>(Qgd_Q1+Qgs_Q1/2)*(RdsonDRT2+Rgate1)/(Vsp_Q1)*1000000000</f>
        <v>21.636734693877553</v>
      </c>
      <c r="C73" s="21" t="s">
        <v>79</v>
      </c>
      <c r="D73" s="114" t="s">
        <v>682</v>
      </c>
      <c r="G73">
        <v>64</v>
      </c>
      <c r="H73" s="555">
        <f t="shared" ref="H73:H109" si="8">Vin</f>
        <v>23.6</v>
      </c>
      <c r="I73" s="4" t="str">
        <f>IF(Mode = 2,IF(Table2[[#This Row],[Vin]]&gt;Vout, "BUCK","BOOST"),IF(Table2[[#This Row],[Vin]]&gt;VIN_BB_to_buck, "BUCK", IF(Table2[[#This Row],[Vin]]&lt;=VIN_boost_to_BB,"BOOST","BUCK-BST")))</f>
        <v>BUCK</v>
      </c>
      <c r="J73">
        <f>IF(Table2[[#This Row],[Mode]]="BOOST",2, IF(Table2[[#This Row],[Mode]]="BUCK", 1,3))</f>
        <v>1</v>
      </c>
      <c r="K73" s="354">
        <f t="shared" si="7"/>
        <v>7.68</v>
      </c>
      <c r="L73" s="4">
        <f>Vout*Table2[[#This Row],[Iout]]/(Table2[[#This Row],[Vin]]*Efficiency)</f>
        <v>5.0012488849241743</v>
      </c>
      <c r="M73" s="711">
        <f>MIN(1/Fsw,CHOOSE(Table2[[#This Row],[Mode Digit]],(Vout+(Rdson2+Rs+Rdcr)*Table2[[#This Row],[Iout]])/(Table2[[#This Row],[Vin]]+(Rs+Rdson2-Rdson1)*Table2[[#This Row],[Iout]])/Fsw,(Vout+(Rdson3+Rdcr)*Table2[[#This Row],[Iin]]-Table2[[#This Row],[Vin]])/(Vout+(Rdson3-Rdson4-Rs)*Table2[[#This Row],[Iin]])/Fsw,t1_Ph_II))</f>
        <v>1.0370094386487827E-6</v>
      </c>
      <c r="N73" s="602">
        <f>CHOOSE(Table2[[#This Row],[Mode Digit]],1/Fsw-Table2[[#This Row],[t1_Ph_II]],1/Fsw-Table2[[#This Row],[t1_Ph_II]],(Vout/Fsw-Table2[[#This Row],[Vin]]*t1_Ph_II)/(Table2[[#This Row],[Vin]]+Vout))</f>
        <v>6.2965722801788398E-7</v>
      </c>
      <c r="O73" s="602">
        <f>1/Fsw-(Table2[[#This Row],[t1_Ph_II]]+Table2[[#This Row],[t2_Ph_I]])</f>
        <v>0</v>
      </c>
      <c r="P7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5.912370275030483</v>
      </c>
      <c r="Q73" s="4">
        <f>CHOOSE(Table2[[#This Row],[Mode Digit]],Table2[[#This Row],[I_0]]+1/Lf*(Table2[[#This Row],[Vin]]-Vout)*Table2[[#This Row],[t1_Ph_II]],Table2[[#This Row],[I_0]]+1/Lf*Table2[[#This Row],[Vin]]*Table2[[#This Row],[t1_Ph_II]],Table2[[#This Row],[I_0]]+(Table2[[#This Row],[Vin]]-Vout)/L*Table2[[#This Row],[t1_Ph_II]])</f>
        <v>9.4476297249695165</v>
      </c>
      <c r="R73" s="4">
        <f>CHOOSE(Table2[[#This Row],[Mode Digit]],0,0,Table2[[#This Row],[I_1]]+Table2[[#This Row],[Vin]]/L*Table2[[#This Row],[t2_Ph_I]])</f>
        <v>0</v>
      </c>
      <c r="S73" s="409">
        <f>Fsw*(Table2[[#This Row],[I_0]]*Table2[[#This Row],[t1_Ph_II]]+Table2[[#This Row],[I_1]]*Table2[[#This Row],[t2_Ph_I]]+Table2[[#This Row],[I_2]]*Table2[[#This Row],[t3_Ph_III]])</f>
        <v>7.2479712743740672</v>
      </c>
      <c r="T73" s="354">
        <f>MIN(1,CHOOSE(Table2[[#This Row],[Mode Digit]],(Vout+(Rdson2+Rs+Rdcr)*Table2[[#This Row],[Iout]])/(Table2[[#This Row],[Vin]]+(Rs+Rdson2-Rdson1)*Table2[[#This Row],[Iout]]),1,Fsw*Table2[[#This Row],[t2_Ph_I]]+Table2[[#This Row],[t1_Ph_II]]))</f>
        <v>0.62220566318926962</v>
      </c>
      <c r="U73" s="354">
        <f>MIN(1,CHOOSE(Table2[[#This Row],[Mode Digit]],0,(Vout+(Rdson3+Rdcr)*Table2[[#This Row],[Iin]]-Table2[[#This Row],[Vin]])/(Vout+(Rdson3-Rdson4-Rs)*Table2[[#This Row],[Iin]]),Fsw*Table2[[#This Row],[t1_Ph_II]]+Table2[[#This Row],[t3_Ph_III]]))</f>
        <v>0</v>
      </c>
      <c r="V73" s="4">
        <f>MAX(Table2[[#This Row],[I_0]:[I_2]])-MIN(Table2[[#This Row],[I_0]:[I_1]])</f>
        <v>3.5352594499390335</v>
      </c>
      <c r="W7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7.7475095965218781</v>
      </c>
      <c r="X73" s="354">
        <f>(Table2[[#This Row],[Irms Lf]]^2*Rdcr*(1+Ltc*Ta-Ltc*25))/(1-Table2[[#This Row],[Irms Lf]]^2*Rdcr*Ltc*ThetaCa)</f>
        <v>0.3581124720682145</v>
      </c>
      <c r="Y73" s="354">
        <f>ABS(7.759*10^-3*Fsw^0.9458*(0.00787*Table2[[#This Row],[Ripple Current pk-pk]])^2.304)</f>
        <v>0.58975230128064449</v>
      </c>
      <c r="Z73" s="354">
        <f>Table2[[#This Row],[DCR    Loss]]+Table2[[#This Row],[Core Loss]]</f>
        <v>0.94786477334885899</v>
      </c>
      <c r="AA73" s="4">
        <f>IF(Table2[[#This Row],[Vin]]&gt;Vout, Table2[[#This Row],[Ripple Current pk-pk]]/SQRT(12), SQRT(Table2[[#This Row],[Duty Cycle BOOST Leg]]/(1-Table2[[#This Row],[Duty Cycle BOOST Leg]]))*SQRT(Table2[[#This Row],[Iout]]^2+(Table2[[#This Row],[Ripple Current pk-pk]]^2)/12))</f>
        <v>1.0205414975387348</v>
      </c>
      <c r="AB73" s="354">
        <f>RCoutEsr*Table2[[#This Row],[Irms Cout]]^2</f>
        <v>5.2075247409930168E-3</v>
      </c>
      <c r="AC73" s="354">
        <f>Table2[[#This Row],[Cout ESR Loss]]</f>
        <v>5.2075247409930168E-3</v>
      </c>
      <c r="AD73" s="4">
        <f>IF(Table2[[#This Row],[Vin]]&gt;Vout, SQRT(Table2[[#This Row],[Duty Cycle BUCK Leg]]*(1-Table2[[#This Row],[Duty Cycle BUCK Leg]]))*SQRT(Table2[[#This Row],[Iout]]^2+(Table2[[#This Row],[Ripple Current pk-pk]]^2)/12), Table2[[#This Row],[Ripple Current pk-pk]]/SQRT(12))</f>
        <v>3.7562701963868399</v>
      </c>
      <c r="AE73" s="354">
        <f>RCinEsr*Table2[[#This Row],[Irms Cin]]^2</f>
        <v>2.8219131576528056E-2</v>
      </c>
      <c r="AF73" s="549">
        <f>Table2[[#This Row],[Cin ESR Loss]]</f>
        <v>2.8219131576528056E-2</v>
      </c>
      <c r="AG73" s="354">
        <f>Table2[[#This Row],[Irms Lf]]</f>
        <v>7.7475095965218781</v>
      </c>
      <c r="AH73" s="354">
        <f>Rdson1*Table2[[#This Row],[Irms BuCtrl]]^2</f>
        <v>0.25210040078243412</v>
      </c>
      <c r="AI73" s="354">
        <f>CHOOSE(Table2[[#This Row],[Mode Digit]], (Table2[[#This Row],[Vin]]*Table2[[#This Row],[Iout]]/2)*(Fsw)*(Tr_buck+Tf_buck), 0, (Table2[[#This Row],[Vin]]*Table2[[#This Row],[Avg IL]]/2)*(Fsw/1)*(Tr_buck+Tf_buck))</f>
        <v>1.797321675651647</v>
      </c>
      <c r="AJ73">
        <f>IF(Table2[[#This Row],[Vin]]&gt;Vout, IF(Table2[[#This Row],[Iout]]&gt;Table2[[#This Row],[Ripple Current pk-pk]]/2,0,ABS(Table2[[#This Row],[Iout]]-Table2[[#This Row],[Ripple Current pk-pk]]/2)*Vsd_Q1*Deadtime*Fsw),0)</f>
        <v>0</v>
      </c>
      <c r="AK73" s="354">
        <f>(Table2[[#This Row],[Dead Time Loss BuCtrl]]+Table2[[#This Row],[Transition Loss BuCtrl]]+Table2[[#This Row],[RDS(on) Loss BuCtrl]]*(1+RdsonTopTc*Ta-RdsonTopTc*25))/(1-Table2[[#This Row],[RDS(on) Loss BuCtrl]]*RdsonTopTc*ThetaJA_Q1)</f>
        <v>2.1814060797051806</v>
      </c>
      <c r="AL73" s="354">
        <f>Table2[[#This Row],[Irms Lf]]</f>
        <v>7.7475095965218781</v>
      </c>
      <c r="AM73" s="354">
        <f>Rdson2*Table2[[#This Row],[Irms BuSync]]^2</f>
        <v>0.25210040078243412</v>
      </c>
      <c r="AN7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0.36951771428571428</v>
      </c>
      <c r="AO73" s="354">
        <f>(Table2[[#This Row],[Deadtime Loss BuSync]]+Table2[[#This Row],[RDS(on) Loss BuSync]]*(1+RdsonBotTc*Ta-RdsonBotTc*25))/(1-Table2[[#This Row],[RDS(on) Loss BuSync]]*RdsonBotTc*ThetaJA_Q2)</f>
        <v>0.66165069219119865</v>
      </c>
      <c r="AP73" s="354">
        <f>Table2[[#This Row],[Irms Lf]]</f>
        <v>7.7475095965218781</v>
      </c>
      <c r="AQ73" s="354">
        <f>Rdson4*Table2[[#This Row],[Irms BoCtlr]]^2</f>
        <v>0.25210040078243412</v>
      </c>
      <c r="AR73" s="354">
        <f>CHOOSE(Table2[[#This Row],[Mode Digit]], 0, (Vout*Table2[[#This Row],[Iin]]/2)*(Fsw)*(Tr_boost+Tf_boost), (Vout*Iout/2)*(Fsw/1)*(Tr_boost+Tf_boost))</f>
        <v>0</v>
      </c>
      <c r="AS73" s="354">
        <f>IF(Table2[[#This Row],[Vin]]&gt;Vout, 0, IF(Table2[[#This Row],[Iin]]&gt;Table2[[#This Row],[Ripple Current pk-pk]]/2,0,ABS(Table2[[#This Row],[Iin]]-Table2[[#This Row],[Ripple Current pk-pk]]/2)*Vsd_Q4*Deadtime*Fsw))</f>
        <v>0</v>
      </c>
      <c r="AT73" s="354">
        <f>(Table2[[#This Row],[Dead Time Loss BoCtlr]]+Table2[[#This Row],[Transition Loss BoCtlr]]+Table2[[#This Row],[RDS(on) Loss BoCtlr]]*(1+RdsonTopTc*Ta-RdsonTopTc*25))/(1-Table2[[#This Row],[RDS(on) Loss BoCtlr]]*RdsonTopTc*ThetaJA_Q4)</f>
        <v>0.26833581685612473</v>
      </c>
      <c r="AU73" s="354">
        <f>Table2[[#This Row],[Irms Lf]]</f>
        <v>7.7475095965218781</v>
      </c>
      <c r="AV73" s="354">
        <f>Rdson3*Table2[[#This Row],[Irms BoSync]]^2</f>
        <v>0.25210040078243412</v>
      </c>
      <c r="AW7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3" s="354">
        <f>(Table2[[#This Row],[Deadtime Loss BoSync]]+Table2[[#This Row],[RDS(on) Loss BoSync]]*(1+RdsonBotTc*Ta-RdsonBotTc*25))/(1-Table2[[#This Row],[RDS(on) Loss BoSync]]*RdsonBotTc*ThetaJA_Q3)</f>
        <v>0.26833581685612473</v>
      </c>
      <c r="AY73" s="354">
        <f>CHOOSE(Table2[[#This Row],[Mode Digit]], Rdson3*Table2[[#This Row],[Irms Lf]]^2, Rdson1*Table2[[#This Row],[Irms Lf]]^2, 0)</f>
        <v>0.25210040078243412</v>
      </c>
      <c r="AZ73" s="354">
        <f>CHOOSE(Table2[[#This Row],[Mode Digit]], 2*Deadtime*Fsw*IF(VfdSky_Q2&gt;0,VfdSky_Q2,0)*Table2[[#This Row],[Iout]], 2*Deadtime*Fsw*IF(VfdSky_Q3&gt;0,VfdSky_Q3,0)*Table2[[#This Row],[Iin]], 2*Deadtime*Fsw*IF(VfdSky_Q2&gt;0,VfdSky_Q2,0)*Table2[[#This Row],[Iout]]+2*Deadtime*Fsw*IF(VfdSky_Q3&gt;0,VfdSky_Q3,0)*Table2[[#This Row],[Iin]])</f>
        <v>0</v>
      </c>
      <c r="BA7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0.18100027392000001</v>
      </c>
      <c r="BB7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0.18100027392000001</v>
      </c>
      <c r="BC73" s="354">
        <f>CHOOSE(Table2[[#This Row],[Mode Digit]], Rs*Table2[[#This Row],[Irms BuSync]]^2, Rs*Table2[[#This Row],[Irms BoCtlr]]^2, Rs*(Table2[[#This Row],[Irms BuSync]]^2+Table2[[#This Row],[Irms BoCtlr]]^2))</f>
        <v>0.15005976237049648</v>
      </c>
      <c r="BD73" s="354">
        <f t="shared" ref="BD73:BD109" si="9">Rshunt/1000*Iout^2</f>
        <v>1.44</v>
      </c>
      <c r="BE73" s="354">
        <f>IF(Vout&gt;8, Iq*Vout, Iq*Table2[[#This Row],[Vin]])</f>
        <v>4.3799999999999999E-2</v>
      </c>
      <c r="BF73" s="354">
        <f>CHOOSE(Table2[[#This Row],[Mode Digit]], (Qg_Q1+Qg_Q2)*Fsw, (Qg_Q3+Qg_Q4)*Fsw, (Qg_Q1+Qg_Q2+Qg_Q3+Qg_Q4)*Fsw)*IF(Vout&gt;8, Vout, Table2[[#This Row],[Vin]])</f>
        <v>0.47303999999999996</v>
      </c>
      <c r="BG73" s="354">
        <f t="shared" ref="BG73:BG109" si="10">(Vin-Vdd)*Fsw*(Qg_Q1+Qg_Q2)+(RdsonDRT+RdsonDRT2)*Fsw*Qg_Q1*Vdd/(RdsonDRT+2*Rgate1+RdsonDRT2)+(RdsonDRB+RdsonDRB2)*Fsw*Qg_Q2*Vdd/(RdsonDRB+2*Rgate2+RdsonDRB2)</f>
        <v>0.57269042016806726</v>
      </c>
      <c r="BH73" s="354">
        <f>Table2[[#This Row],[IQ Loss]]+Table2[[#This Row],[Switching Current Loss]]</f>
        <v>0.51683999999999997</v>
      </c>
      <c r="BI7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6.8299201454855041</v>
      </c>
      <c r="BJ73">
        <f>Vout*Table2[[#This Row],[Iout]]</f>
        <v>112.128</v>
      </c>
      <c r="BK73" s="550">
        <f>Table2[[#This Row],[Pout]]/(Table2[[#This Row],[Pout]]+Table2[[#This Row],[Total Loss]])</f>
        <v>0.94258541056255429</v>
      </c>
      <c r="BL73" s="559">
        <f>IF(Table2[[#This Row],[Vin]]&gt;Vout,ThetaJA_Q1*(Table2[[#This Row],[Total Control Bu MOSFET Loss]]+Table2[[#This Row],[Reverse Recovery Loss MOSFET D BUCK]]),ThetaJA_Q4*(Table2[[#This Row],[Total Control Bo MOSFET Loss]]+Table2[[#This Row],[Reverse Recovery Loss MOSFET D BOOST]]))</f>
        <v>141.74438121751083</v>
      </c>
      <c r="BM73" s="559">
        <f>IF(Table2[[#This Row],[Vin]]&gt;Vout, Table2[[#This Row],[Total Sync Bu MOSFET Loss]]*ThetaJA_Q2, ThetaJA_Q3*Table2[[#This Row],[Total Sync Bo MOSFET Loss]])</f>
        <v>39.69904153147192</v>
      </c>
      <c r="BN73" s="9"/>
      <c r="BO73" s="4">
        <f>Table2[[#This Row],[EFF, h]]*100</f>
        <v>94.258541056255424</v>
      </c>
      <c r="BP73" s="354">
        <f>Table2[[#This Row],[Total Inductor Loss]]</f>
        <v>0.94786477334885899</v>
      </c>
      <c r="BQ73" s="354">
        <f>Table2[[#This Row],[Total Control Bu MOSFET Loss]]+Table2[[#This Row],[Total Sync Bu MOSFET Loss]]+Table2[[#This Row],[Total Control Bo MOSFET Loss]]+Table2[[#This Row],[Total Sync Bo MOSFET Loss]]+Table2[[#This Row],[Reverse Recovery Loss MOSFET D BUCK]]+Table2[[#This Row],[Reverse Recovery Loss MOSFET D BOOST]]</f>
        <v>3.7417289534486287</v>
      </c>
      <c r="BR73" s="354">
        <f xml:space="preserve"> Table2[[#This Row],[Total Control Bu MOSFET Loss]]+Table2[[#This Row],[Reverse Recovery Loss MOSFET D BUCK]]*0.66</f>
        <v>2.3008662604923806</v>
      </c>
      <c r="BS73" s="354">
        <f>Table2[[#This Row],[Total Sync Bu MOSFET Loss]]+Table2[[#This Row],[Reverse Recovery Loss MOSFET D BUCK]]*0.33</f>
        <v>0.72138078258479865</v>
      </c>
      <c r="BT73" s="354">
        <f xml:space="preserve"> Table2[[#This Row],[Total Control Bo MOSFET Loss]]+Table2[[#This Row],[Reverse Recovery Loss MOSFET D BOOST]]*0.66</f>
        <v>0.38779599764332473</v>
      </c>
      <c r="BU73" s="354">
        <f xml:space="preserve"> Table2[[#This Row],[Total Sync Bo MOSFET Loss]]+Table2[[#This Row],[Reverse Recovery Loss MOSFET D BOOST]]*0.33</f>
        <v>0.32806590724972473</v>
      </c>
      <c r="BV73" s="354">
        <f>Table2[[#This Row],[Isense Shunt Loss]]</f>
        <v>0.15005976237049648</v>
      </c>
      <c r="CB73" s="18"/>
      <c r="CC73" s="19"/>
    </row>
    <row r="74" spans="1:81" x14ac:dyDescent="0.2">
      <c r="A74" s="14" t="s">
        <v>116</v>
      </c>
      <c r="B74" s="15" t="s">
        <v>8</v>
      </c>
      <c r="C74" s="17" t="s">
        <v>80</v>
      </c>
      <c r="G74">
        <v>65</v>
      </c>
      <c r="H74" s="555">
        <f t="shared" si="8"/>
        <v>23.6</v>
      </c>
      <c r="I74" s="4" t="str">
        <f>IF(Mode = 2,IF(Table2[[#This Row],[Vin]]&gt;Vout, "BUCK","BOOST"),IF(Table2[[#This Row],[Vin]]&gt;VIN_BB_to_buck, "BUCK", IF(Table2[[#This Row],[Vin]]&lt;=VIN_boost_to_BB,"BOOST","BUCK-BST")))</f>
        <v>BUCK</v>
      </c>
      <c r="J74">
        <f>IF(Table2[[#This Row],[Mode]]="BOOST",2, IF(Table2[[#This Row],[Mode]]="BUCK", 1,3))</f>
        <v>1</v>
      </c>
      <c r="K74" s="354">
        <f t="shared" ref="K74:K109" si="11">Iout*G74/100</f>
        <v>7.8</v>
      </c>
      <c r="L74" s="4">
        <f>Vout*Table2[[#This Row],[Iout]]/(Table2[[#This Row],[Vin]]*Efficiency)</f>
        <v>5.0793933987511144</v>
      </c>
      <c r="M74" s="711">
        <f>MIN(1/Fsw,CHOOSE(Table2[[#This Row],[Mode Digit]],(Vout+(Rdson2+Rs+Rdcr)*Table2[[#This Row],[Iout]])/(Table2[[#This Row],[Vin]]+(Rs+Rdson2-Rdson1)*Table2[[#This Row],[Iout]])/Fsw,(Vout+(Rdson3+Rdcr)*Table2[[#This Row],[Iin]]-Table2[[#This Row],[Vin]])/(Vout+(Rdson3-Rdson4-Rs)*Table2[[#This Row],[Iin]])/Fsw,t1_Ph_II))</f>
        <v>1.0371021119555168E-6</v>
      </c>
      <c r="N74" s="602">
        <f>CHOOSE(Table2[[#This Row],[Mode Digit]],1/Fsw-Table2[[#This Row],[t1_Ph_II]],1/Fsw-Table2[[#This Row],[t1_Ph_II]],(Vout/Fsw-Table2[[#This Row],[Vin]]*t1_Ph_II)/(Table2[[#This Row],[Vin]]+Vout))</f>
        <v>6.2956455471114984E-7</v>
      </c>
      <c r="O74" s="602">
        <f>1/Fsw-(Table2[[#This Row],[t1_Ph_II]]+Table2[[#This Row],[t2_Ph_I]])</f>
        <v>0</v>
      </c>
      <c r="P7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6.0322123091667326</v>
      </c>
      <c r="Q74" s="4">
        <f>CHOOSE(Table2[[#This Row],[Mode Digit]],Table2[[#This Row],[I_0]]+1/Lf*(Table2[[#This Row],[Vin]]-Vout)*Table2[[#This Row],[t1_Ph_II]],Table2[[#This Row],[I_0]]+1/Lf*Table2[[#This Row],[Vin]]*Table2[[#This Row],[t1_Ph_II]],Table2[[#This Row],[I_0]]+(Table2[[#This Row],[Vin]]-Vout)/L*Table2[[#This Row],[t1_Ph_II]])</f>
        <v>9.5677876908332671</v>
      </c>
      <c r="R74" s="4">
        <f>CHOOSE(Table2[[#This Row],[Mode Digit]],0,0,Table2[[#This Row],[I_1]]+Table2[[#This Row],[Vin]]/L*Table2[[#This Row],[t2_Ph_I]])</f>
        <v>0</v>
      </c>
      <c r="S74" s="409">
        <f>Fsw*(Table2[[#This Row],[I_0]]*Table2[[#This Row],[t1_Ph_II]]+Table2[[#This Row],[I_1]]*Table2[[#This Row],[t2_Ph_I]]+Table2[[#This Row],[I_2]]*Table2[[#This Row],[t3_Ph_III]])</f>
        <v>7.3677360736506898</v>
      </c>
      <c r="T74" s="354">
        <f>MIN(1,CHOOSE(Table2[[#This Row],[Mode Digit]],(Vout+(Rdson2+Rs+Rdcr)*Table2[[#This Row],[Iout]])/(Table2[[#This Row],[Vin]]+(Rs+Rdson2-Rdson1)*Table2[[#This Row],[Iout]]),1,Fsw*Table2[[#This Row],[t2_Ph_I]]+Table2[[#This Row],[t1_Ph_II]]))</f>
        <v>0.6222612671733101</v>
      </c>
      <c r="U74" s="354">
        <f>MIN(1,CHOOSE(Table2[[#This Row],[Mode Digit]],0,(Vout+(Rdson3+Rdcr)*Table2[[#This Row],[Iin]]-Table2[[#This Row],[Vin]])/(Vout+(Rdson3-Rdson4-Rs)*Table2[[#This Row],[Iin]]),Fsw*Table2[[#This Row],[t1_Ph_II]]+Table2[[#This Row],[t3_Ph_III]]))</f>
        <v>0</v>
      </c>
      <c r="V74" s="4">
        <f>MAX(Table2[[#This Row],[I_0]:[I_2]])-MIN(Table2[[#This Row],[I_0]:[I_1]])</f>
        <v>3.5355753816665345</v>
      </c>
      <c r="W7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7.8664916644346947</v>
      </c>
      <c r="X74" s="354">
        <f>(Table2[[#This Row],[Irms Lf]]^2*Rdcr*(1+Ltc*Ta-Ltc*25))/(1-Table2[[#This Row],[Irms Lf]]^2*Rdcr*Ltc*ThetaCa)</f>
        <v>0.36952398940555986</v>
      </c>
      <c r="Y74" s="354">
        <f>ABS(7.759*10^-3*Fsw^0.9458*(0.00787*Table2[[#This Row],[Ripple Current pk-pk]])^2.304)</f>
        <v>0.58987373781756491</v>
      </c>
      <c r="Z74" s="354">
        <f>Table2[[#This Row],[DCR    Loss]]+Table2[[#This Row],[Core Loss]]</f>
        <v>0.95939772722312477</v>
      </c>
      <c r="AA74" s="4">
        <f>IF(Table2[[#This Row],[Vin]]&gt;Vout, Table2[[#This Row],[Ripple Current pk-pk]]/SQRT(12), SQRT(Table2[[#This Row],[Duty Cycle BOOST Leg]]/(1-Table2[[#This Row],[Duty Cycle BOOST Leg]]))*SQRT(Table2[[#This Row],[Iout]]^2+(Table2[[#This Row],[Ripple Current pk-pk]]^2)/12))</f>
        <v>1.0206326991726937</v>
      </c>
      <c r="AB74" s="354">
        <f>RCoutEsr*Table2[[#This Row],[Irms Cout]]^2</f>
        <v>5.2084555331026921E-3</v>
      </c>
      <c r="AC74" s="354">
        <f>Table2[[#This Row],[Cout ESR Loss]]</f>
        <v>5.2084555331026921E-3</v>
      </c>
      <c r="AD74" s="4">
        <f>IF(Table2[[#This Row],[Vin]]&gt;Vout, SQRT(Table2[[#This Row],[Duty Cycle BUCK Leg]]*(1-Table2[[#This Row],[Duty Cycle BUCK Leg]]))*SQRT(Table2[[#This Row],[Iout]]^2+(Table2[[#This Row],[Ripple Current pk-pk]]^2)/12), Table2[[#This Row],[Ripple Current pk-pk]]/SQRT(12))</f>
        <v>3.8138466873283092</v>
      </c>
      <c r="AE74" s="354">
        <f>RCinEsr*Table2[[#This Row],[Irms Cin]]^2</f>
        <v>2.9090853108890237E-2</v>
      </c>
      <c r="AF74" s="549">
        <f>Table2[[#This Row],[Cin ESR Loss]]</f>
        <v>2.9090853108890237E-2</v>
      </c>
      <c r="AG74" s="354">
        <f>Table2[[#This Row],[Irms Lf]]</f>
        <v>7.8664916644346947</v>
      </c>
      <c r="AH74" s="354">
        <f>Rdson1*Table2[[#This Row],[Irms BuCtrl]]^2</f>
        <v>0.25990310264780631</v>
      </c>
      <c r="AI74" s="354">
        <f>CHOOSE(Table2[[#This Row],[Mode Digit]], (Table2[[#This Row],[Vin]]*Table2[[#This Row],[Iout]]/2)*(Fsw)*(Tr_buck+Tf_buck), 0, (Table2[[#This Row],[Vin]]*Table2[[#This Row],[Avg IL]]/2)*(Fsw/1)*(Tr_buck+Tf_buck))</f>
        <v>1.8254048268337044</v>
      </c>
      <c r="AJ74">
        <f>IF(Table2[[#This Row],[Vin]]&gt;Vout, IF(Table2[[#This Row],[Iout]]&gt;Table2[[#This Row],[Ripple Current pk-pk]]/2,0,ABS(Table2[[#This Row],[Iout]]-Table2[[#This Row],[Ripple Current pk-pk]]/2)*Vsd_Q1*Deadtime*Fsw),0)</f>
        <v>0</v>
      </c>
      <c r="AK74" s="354">
        <f>(Table2[[#This Row],[Dead Time Loss BuCtrl]]+Table2[[#This Row],[Transition Loss BuCtrl]]+Table2[[#This Row],[RDS(on) Loss BuCtrl]]*(1+RdsonTopTc*Ta-RdsonTopTc*25))/(1-Table2[[#This Row],[RDS(on) Loss BuCtrl]]*RdsonTopTc*ThetaJA_Q1)</f>
        <v>2.2240360587801233</v>
      </c>
      <c r="AL74" s="354">
        <f>Table2[[#This Row],[Irms Lf]]</f>
        <v>7.8664916644346947</v>
      </c>
      <c r="AM74" s="354">
        <f>Rdson2*Table2[[#This Row],[Irms BuSync]]^2</f>
        <v>0.25990310264780631</v>
      </c>
      <c r="AN7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0.37529142857142855</v>
      </c>
      <c r="AO74" s="354">
        <f>(Table2[[#This Row],[Deadtime Loss BuSync]]+Table2[[#This Row],[RDS(on) Loss BuSync]]*(1+RdsonBotTc*Ta-RdsonBotTc*25))/(1-Table2[[#This Row],[RDS(on) Loss BuSync]]*RdsonBotTc*ThetaJA_Q2)</f>
        <v>0.67745176709838084</v>
      </c>
      <c r="AP74" s="354">
        <f>Table2[[#This Row],[Irms Lf]]</f>
        <v>7.8664916644346947</v>
      </c>
      <c r="AQ74" s="354">
        <f>Rdson4*Table2[[#This Row],[Irms BoCtlr]]^2</f>
        <v>0.25990310264780631</v>
      </c>
      <c r="AR74" s="354">
        <f>CHOOSE(Table2[[#This Row],[Mode Digit]], 0, (Vout*Table2[[#This Row],[Iin]]/2)*(Fsw)*(Tr_boost+Tf_boost), (Vout*Iout/2)*(Fsw/1)*(Tr_boost+Tf_boost))</f>
        <v>0</v>
      </c>
      <c r="AS74" s="354">
        <f>IF(Table2[[#This Row],[Vin]]&gt;Vout, 0, IF(Table2[[#This Row],[Iin]]&gt;Table2[[#This Row],[Ripple Current pk-pk]]/2,0,ABS(Table2[[#This Row],[Iin]]-Table2[[#This Row],[Ripple Current pk-pk]]/2)*Vsd_Q4*Deadtime*Fsw))</f>
        <v>0</v>
      </c>
      <c r="AT74" s="354">
        <f>(Table2[[#This Row],[Dead Time Loss BoCtlr]]+Table2[[#This Row],[Transition Loss BoCtlr]]+Table2[[#This Row],[RDS(on) Loss BoCtlr]]*(1+RdsonTopTc*Ta-RdsonTopTc*25))/(1-Table2[[#This Row],[RDS(on) Loss BoCtlr]]*RdsonTopTc*ThetaJA_Q4)</f>
        <v>0.27719353286172699</v>
      </c>
      <c r="AU74" s="354">
        <f>Table2[[#This Row],[Irms Lf]]</f>
        <v>7.8664916644346947</v>
      </c>
      <c r="AV74" s="354">
        <f>Rdson3*Table2[[#This Row],[Irms BoSync]]^2</f>
        <v>0.25990310264780631</v>
      </c>
      <c r="AW7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4" s="354">
        <f>(Table2[[#This Row],[Deadtime Loss BoSync]]+Table2[[#This Row],[RDS(on) Loss BoSync]]*(1+RdsonBotTc*Ta-RdsonBotTc*25))/(1-Table2[[#This Row],[RDS(on) Loss BoSync]]*RdsonBotTc*ThetaJA_Q3)</f>
        <v>0.27719353286172699</v>
      </c>
      <c r="AY74" s="354">
        <f>CHOOSE(Table2[[#This Row],[Mode Digit]], Rdson3*Table2[[#This Row],[Irms Lf]]^2, Rdson1*Table2[[#This Row],[Irms Lf]]^2, 0)</f>
        <v>0.25990310264780631</v>
      </c>
      <c r="AZ74" s="354">
        <f>CHOOSE(Table2[[#This Row],[Mode Digit]], 2*Deadtime*Fsw*IF(VfdSky_Q2&gt;0,VfdSky_Q2,0)*Table2[[#This Row],[Iout]], 2*Deadtime*Fsw*IF(VfdSky_Q3&gt;0,VfdSky_Q3,0)*Table2[[#This Row],[Iin]], 2*Deadtime*Fsw*IF(VfdSky_Q2&gt;0,VfdSky_Q2,0)*Table2[[#This Row],[Iout]]+2*Deadtime*Fsw*IF(VfdSky_Q3&gt;0,VfdSky_Q3,0)*Table2[[#This Row],[Iin]])</f>
        <v>0</v>
      </c>
      <c r="BA7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0.18382447200000002</v>
      </c>
      <c r="BB7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0.18382447200000002</v>
      </c>
      <c r="BC74" s="354">
        <f>CHOOSE(Table2[[#This Row],[Mode Digit]], Rs*Table2[[#This Row],[Irms BuSync]]^2, Rs*Table2[[#This Row],[Irms BoCtlr]]^2, Rs*(Table2[[#This Row],[Irms BuSync]]^2+Table2[[#This Row],[Irms BoCtlr]]^2))</f>
        <v>0.15470422776655135</v>
      </c>
      <c r="BD74" s="354">
        <f t="shared" si="9"/>
        <v>1.44</v>
      </c>
      <c r="BE74" s="354">
        <f>IF(Vout&gt;8, Iq*Vout, Iq*Table2[[#This Row],[Vin]])</f>
        <v>4.3799999999999999E-2</v>
      </c>
      <c r="BF74" s="354">
        <f>CHOOSE(Table2[[#This Row],[Mode Digit]], (Qg_Q1+Qg_Q2)*Fsw, (Qg_Q3+Qg_Q4)*Fsw, (Qg_Q1+Qg_Q2+Qg_Q3+Qg_Q4)*Fsw)*IF(Vout&gt;8, Vout, Table2[[#This Row],[Vin]])</f>
        <v>0.47303999999999996</v>
      </c>
      <c r="BG74" s="354">
        <f t="shared" si="10"/>
        <v>0.57269042016806726</v>
      </c>
      <c r="BH74" s="354">
        <f>Table2[[#This Row],[IQ Loss]]+Table2[[#This Row],[Switching Current Loss]]</f>
        <v>0.51683999999999997</v>
      </c>
      <c r="BI7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6.9287650992336278</v>
      </c>
      <c r="BJ74">
        <f>Vout*Table2[[#This Row],[Iout]]</f>
        <v>113.88</v>
      </c>
      <c r="BK74" s="550">
        <f>Table2[[#This Row],[Pout]]/(Table2[[#This Row],[Pout]]+Table2[[#This Row],[Total Loss]])</f>
        <v>0.94264683449464726</v>
      </c>
      <c r="BL74" s="559">
        <f>IF(Table2[[#This Row],[Vin]]&gt;Vout,ThetaJA_Q1*(Table2[[#This Row],[Total Control Bu MOSFET Loss]]+Table2[[#This Row],[Reverse Recovery Loss MOSFET D BUCK]]),ThetaJA_Q4*(Table2[[#This Row],[Total Control Bo MOSFET Loss]]+Table2[[#This Row],[Reverse Recovery Loss MOSFET D BOOST]]))</f>
        <v>144.47163184680738</v>
      </c>
      <c r="BM74" s="559">
        <f>IF(Table2[[#This Row],[Vin]]&gt;Vout, Table2[[#This Row],[Total Sync Bu MOSFET Loss]]*ThetaJA_Q2, ThetaJA_Q3*Table2[[#This Row],[Total Sync Bo MOSFET Loss]])</f>
        <v>40.64710602590285</v>
      </c>
      <c r="BN74" s="9"/>
      <c r="BO74" s="4">
        <f>Table2[[#This Row],[EFF, h]]*100</f>
        <v>94.264683449464727</v>
      </c>
      <c r="BP74" s="354">
        <f>Table2[[#This Row],[Total Inductor Loss]]</f>
        <v>0.95939772722312477</v>
      </c>
      <c r="BQ74" s="354">
        <f>Table2[[#This Row],[Total Control Bu MOSFET Loss]]+Table2[[#This Row],[Total Sync Bu MOSFET Loss]]+Table2[[#This Row],[Total Control Bo MOSFET Loss]]+Table2[[#This Row],[Total Sync Bo MOSFET Loss]]+Table2[[#This Row],[Reverse Recovery Loss MOSFET D BUCK]]+Table2[[#This Row],[Reverse Recovery Loss MOSFET D BOOST]]</f>
        <v>3.8235238356019581</v>
      </c>
      <c r="BR74" s="354">
        <f xml:space="preserve"> Table2[[#This Row],[Total Control Bu MOSFET Loss]]+Table2[[#This Row],[Reverse Recovery Loss MOSFET D BUCK]]*0.66</f>
        <v>2.3453602103001234</v>
      </c>
      <c r="BS74" s="354">
        <f>Table2[[#This Row],[Total Sync Bu MOSFET Loss]]+Table2[[#This Row],[Reverse Recovery Loss MOSFET D BUCK]]*0.33</f>
        <v>0.73811384285838089</v>
      </c>
      <c r="BT74" s="354">
        <f xml:space="preserve"> Table2[[#This Row],[Total Control Bo MOSFET Loss]]+Table2[[#This Row],[Reverse Recovery Loss MOSFET D BOOST]]*0.66</f>
        <v>0.39851768438172702</v>
      </c>
      <c r="BU74" s="354">
        <f xml:space="preserve"> Table2[[#This Row],[Total Sync Bo MOSFET Loss]]+Table2[[#This Row],[Reverse Recovery Loss MOSFET D BOOST]]*0.33</f>
        <v>0.33785560862172698</v>
      </c>
      <c r="BV74" s="354">
        <f>Table2[[#This Row],[Isense Shunt Loss]]</f>
        <v>0.15470422776655135</v>
      </c>
      <c r="CB74" s="18"/>
      <c r="CC74" s="19"/>
    </row>
    <row r="75" spans="1:81" x14ac:dyDescent="0.2">
      <c r="A75" s="34" t="s">
        <v>117</v>
      </c>
      <c r="B75" s="78">
        <f>BH9</f>
        <v>0.51683999999999997</v>
      </c>
      <c r="C75" s="79" t="s">
        <v>118</v>
      </c>
      <c r="G75">
        <v>66</v>
      </c>
      <c r="H75" s="555">
        <f t="shared" si="8"/>
        <v>23.6</v>
      </c>
      <c r="I75" s="4" t="str">
        <f>IF(Mode = 2,IF(Table2[[#This Row],[Vin]]&gt;Vout, "BUCK","BOOST"),IF(Table2[[#This Row],[Vin]]&gt;VIN_BB_to_buck, "BUCK", IF(Table2[[#This Row],[Vin]]&lt;=VIN_boost_to_BB,"BOOST","BUCK-BST")))</f>
        <v>BUCK</v>
      </c>
      <c r="J75">
        <f>IF(Table2[[#This Row],[Mode]]="BOOST",2, IF(Table2[[#This Row],[Mode]]="BUCK", 1,3))</f>
        <v>1</v>
      </c>
      <c r="K75" s="354">
        <f t="shared" si="11"/>
        <v>7.92</v>
      </c>
      <c r="L75" s="4">
        <f>Vout*Table2[[#This Row],[Iout]]/(Table2[[#This Row],[Vin]]*Efficiency)</f>
        <v>5.1575379125780545</v>
      </c>
      <c r="M75" s="711">
        <f>MIN(1/Fsw,CHOOSE(Table2[[#This Row],[Mode Digit]],(Vout+(Rdson2+Rs+Rdcr)*Table2[[#This Row],[Iout]])/(Table2[[#This Row],[Vin]]+(Rs+Rdson2-Rdson1)*Table2[[#This Row],[Iout]])/Fsw,(Vout+(Rdson3+Rdcr)*Table2[[#This Row],[Iin]]-Table2[[#This Row],[Vin]])/(Vout+(Rdson3-Rdson4-Rs)*Table2[[#This Row],[Iin]])/Fsw,t1_Ph_II))</f>
        <v>1.0371947829081249E-6</v>
      </c>
      <c r="N75" s="602">
        <f>CHOOSE(Table2[[#This Row],[Mode Digit]],1/Fsw-Table2[[#This Row],[t1_Ph_II]],1/Fsw-Table2[[#This Row],[t1_Ph_II]],(Vout/Fsw-Table2[[#This Row],[Vin]]*t1_Ph_II)/(Table2[[#This Row],[Vin]]+Vout))</f>
        <v>6.2947188375854176E-7</v>
      </c>
      <c r="O75" s="602">
        <f>1/Fsw-(Table2[[#This Row],[t1_Ph_II]]+Table2[[#This Row],[t2_Ph_I]])</f>
        <v>0</v>
      </c>
      <c r="P7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6.1520543473156959</v>
      </c>
      <c r="Q75" s="4">
        <f>CHOOSE(Table2[[#This Row],[Mode Digit]],Table2[[#This Row],[I_0]]+1/Lf*(Table2[[#This Row],[Vin]]-Vout)*Table2[[#This Row],[t1_Ph_II]],Table2[[#This Row],[I_0]]+1/Lf*Table2[[#This Row],[Vin]]*Table2[[#This Row],[t1_Ph_II]],Table2[[#This Row],[I_0]]+(Table2[[#This Row],[Vin]]-Vout)/L*Table2[[#This Row],[t1_Ph_II]])</f>
        <v>9.687945652684304</v>
      </c>
      <c r="R75" s="4">
        <f>CHOOSE(Table2[[#This Row],[Mode Digit]],0,0,Table2[[#This Row],[I_1]]+Table2[[#This Row],[Vin]]/L*Table2[[#This Row],[t2_Ph_I]])</f>
        <v>0</v>
      </c>
      <c r="S75" s="409">
        <f>Fsw*(Table2[[#This Row],[I_0]]*Table2[[#This Row],[t1_Ph_II]]+Table2[[#This Row],[I_1]]*Table2[[#This Row],[t2_Ph_I]]+Table2[[#This Row],[I_2]]*Table2[[#This Row],[t3_Ph_III]])</f>
        <v>7.4875008437691912</v>
      </c>
      <c r="T75" s="354">
        <f>MIN(1,CHOOSE(Table2[[#This Row],[Mode Digit]],(Vout+(Rdson2+Rs+Rdcr)*Table2[[#This Row],[Iout]])/(Table2[[#This Row],[Vin]]+(Rs+Rdson2-Rdson1)*Table2[[#This Row],[Iout]]),1,Fsw*Table2[[#This Row],[t2_Ph_I]]+Table2[[#This Row],[t1_Ph_II]]))</f>
        <v>0.62231686974487499</v>
      </c>
      <c r="U75" s="354">
        <f>MIN(1,CHOOSE(Table2[[#This Row],[Mode Digit]],0,(Vout+(Rdson3+Rdcr)*Table2[[#This Row],[Iin]]-Table2[[#This Row],[Vin]])/(Vout+(Rdson3-Rdson4-Rs)*Table2[[#This Row],[Iin]]),Fsw*Table2[[#This Row],[t1_Ph_II]]+Table2[[#This Row],[t3_Ph_III]]))</f>
        <v>0</v>
      </c>
      <c r="V75" s="4">
        <f>MAX(Table2[[#This Row],[I_0]:[I_2]])-MIN(Table2[[#This Row],[I_0]:[I_1]])</f>
        <v>3.5358913053686081</v>
      </c>
      <c r="W7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7.9855041967898579</v>
      </c>
      <c r="X75" s="354">
        <f>(Table2[[#This Row],[Irms Lf]]^2*Rdcr*(1+Ltc*Ta-Ltc*25))/(1-Table2[[#This Row],[Irms Lf]]^2*Rdcr*Ltc*ThetaCa)</f>
        <v>0.38113315931834402</v>
      </c>
      <c r="Y75" s="354">
        <f>ABS(7.759*10^-3*Fsw^0.9458*(0.00787*Table2[[#This Row],[Ripple Current pk-pk]])^2.304)</f>
        <v>0.58999518542010898</v>
      </c>
      <c r="Z75" s="354">
        <f>Table2[[#This Row],[DCR    Loss]]+Table2[[#This Row],[Core Loss]]</f>
        <v>0.971128344738453</v>
      </c>
      <c r="AA75" s="4">
        <f>IF(Table2[[#This Row],[Vin]]&gt;Vout, Table2[[#This Row],[Ripple Current pk-pk]]/SQRT(12), SQRT(Table2[[#This Row],[Duty Cycle BOOST Leg]]/(1-Table2[[#This Row],[Duty Cycle BOOST Leg]]))*SQRT(Table2[[#This Row],[Iout]]^2+(Table2[[#This Row],[Ripple Current pk-pk]]^2)/12))</f>
        <v>1.0207238984899116</v>
      </c>
      <c r="AB75" s="354">
        <f>RCoutEsr*Table2[[#This Row],[Irms Cout]]^2</f>
        <v>5.2093863847422171E-3</v>
      </c>
      <c r="AC75" s="354">
        <f>Table2[[#This Row],[Cout ESR Loss]]</f>
        <v>5.2093863847422171E-3</v>
      </c>
      <c r="AD75" s="4">
        <f>IF(Table2[[#This Row],[Vin]]&gt;Vout, SQRT(Table2[[#This Row],[Duty Cycle BUCK Leg]]*(1-Table2[[#This Row],[Duty Cycle BUCK Leg]]))*SQRT(Table2[[#This Row],[Iout]]^2+(Table2[[#This Row],[Ripple Current pk-pk]]^2)/12), Table2[[#This Row],[Ripple Current pk-pk]]/SQRT(12))</f>
        <v>3.8714345604039537</v>
      </c>
      <c r="AE75" s="354">
        <f>RCinEsr*Table2[[#This Row],[Irms Cin]]^2</f>
        <v>2.9976011110980309E-2</v>
      </c>
      <c r="AF75" s="549">
        <f>Table2[[#This Row],[Cin ESR Loss]]</f>
        <v>2.9976011110980309E-2</v>
      </c>
      <c r="AG75" s="354">
        <f>Table2[[#This Row],[Irms Lf]]</f>
        <v>7.9855041967898579</v>
      </c>
      <c r="AH75" s="354">
        <f>Rdson1*Table2[[#This Row],[Irms BuCtrl]]^2</f>
        <v>0.26782676456318344</v>
      </c>
      <c r="AI75" s="354">
        <f>CHOOSE(Table2[[#This Row],[Mode Digit]], (Table2[[#This Row],[Vin]]*Table2[[#This Row],[Iout]]/2)*(Fsw)*(Tr_buck+Tf_buck), 0, (Table2[[#This Row],[Vin]]*Table2[[#This Row],[Avg IL]]/2)*(Fsw/1)*(Tr_buck+Tf_buck))</f>
        <v>1.8534879780157612</v>
      </c>
      <c r="AJ75">
        <f>IF(Table2[[#This Row],[Vin]]&gt;Vout, IF(Table2[[#This Row],[Iout]]&gt;Table2[[#This Row],[Ripple Current pk-pk]]/2,0,ABS(Table2[[#This Row],[Iout]]-Table2[[#This Row],[Ripple Current pk-pk]]/2)*Vsd_Q1*Deadtime*Fsw),0)</f>
        <v>0</v>
      </c>
      <c r="AK75" s="354">
        <f>(Table2[[#This Row],[Dead Time Loss BuCtrl]]+Table2[[#This Row],[Transition Loss BuCtrl]]+Table2[[#This Row],[RDS(on) Loss BuCtrl]]*(1+RdsonTopTc*Ta-RdsonTopTc*25))/(1-Table2[[#This Row],[RDS(on) Loss BuCtrl]]*RdsonTopTc*ThetaJA_Q1)</f>
        <v>2.2670362593353977</v>
      </c>
      <c r="AL75" s="354">
        <f>Table2[[#This Row],[Irms Lf]]</f>
        <v>7.9855041967898579</v>
      </c>
      <c r="AM75" s="354">
        <f>Rdson2*Table2[[#This Row],[Irms BuSync]]^2</f>
        <v>0.26782676456318344</v>
      </c>
      <c r="AN7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0.38106514285714282</v>
      </c>
      <c r="AO75" s="354">
        <f>(Table2[[#This Row],[Deadtime Loss BuSync]]+Table2[[#This Row],[RDS(on) Loss BuSync]]*(1+RdsonBotTc*Ta-RdsonBotTc*25))/(1-Table2[[#This Row],[RDS(on) Loss BuSync]]*RdsonBotTc*ThetaJA_Q2)</f>
        <v>0.69346686419704751</v>
      </c>
      <c r="AP75" s="354">
        <f>Table2[[#This Row],[Irms Lf]]</f>
        <v>7.9855041967898579</v>
      </c>
      <c r="AQ75" s="354">
        <f>Rdson4*Table2[[#This Row],[Irms BoCtlr]]^2</f>
        <v>0.26782676456318344</v>
      </c>
      <c r="AR75" s="354">
        <f>CHOOSE(Table2[[#This Row],[Mode Digit]], 0, (Vout*Table2[[#This Row],[Iin]]/2)*(Fsw)*(Tr_boost+Tf_boost), (Vout*Iout/2)*(Fsw/1)*(Tr_boost+Tf_boost))</f>
        <v>0</v>
      </c>
      <c r="AS75" s="354">
        <f>IF(Table2[[#This Row],[Vin]]&gt;Vout, 0, IF(Table2[[#This Row],[Iin]]&gt;Table2[[#This Row],[Ripple Current pk-pk]]/2,0,ABS(Table2[[#This Row],[Iin]]-Table2[[#This Row],[Ripple Current pk-pk]]/2)*Vsd_Q4*Deadtime*Fsw))</f>
        <v>0</v>
      </c>
      <c r="AT75" s="354">
        <f>(Table2[[#This Row],[Dead Time Loss BoCtlr]]+Table2[[#This Row],[Transition Loss BoCtlr]]+Table2[[#This Row],[RDS(on) Loss BoCtlr]]*(1+RdsonTopTc*Ta-RdsonTopTc*25))/(1-Table2[[#This Row],[RDS(on) Loss BoCtlr]]*RdsonTopTc*ThetaJA_Q4)</f>
        <v>0.28622484645869362</v>
      </c>
      <c r="AU75" s="354">
        <f>Table2[[#This Row],[Irms Lf]]</f>
        <v>7.9855041967898579</v>
      </c>
      <c r="AV75" s="354">
        <f>Rdson3*Table2[[#This Row],[Irms BoSync]]^2</f>
        <v>0.26782676456318344</v>
      </c>
      <c r="AW7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5" s="354">
        <f>(Table2[[#This Row],[Deadtime Loss BoSync]]+Table2[[#This Row],[RDS(on) Loss BoSync]]*(1+RdsonBotTc*Ta-RdsonBotTc*25))/(1-Table2[[#This Row],[RDS(on) Loss BoSync]]*RdsonBotTc*ThetaJA_Q3)</f>
        <v>0.28622484645869362</v>
      </c>
      <c r="AY75" s="354">
        <f>CHOOSE(Table2[[#This Row],[Mode Digit]], Rdson3*Table2[[#This Row],[Irms Lf]]^2, Rdson1*Table2[[#This Row],[Irms Lf]]^2, 0)</f>
        <v>0.26782676456318344</v>
      </c>
      <c r="AZ75" s="354">
        <f>CHOOSE(Table2[[#This Row],[Mode Digit]], 2*Deadtime*Fsw*IF(VfdSky_Q2&gt;0,VfdSky_Q2,0)*Table2[[#This Row],[Iout]], 2*Deadtime*Fsw*IF(VfdSky_Q3&gt;0,VfdSky_Q3,0)*Table2[[#This Row],[Iin]], 2*Deadtime*Fsw*IF(VfdSky_Q2&gt;0,VfdSky_Q2,0)*Table2[[#This Row],[Iout]]+2*Deadtime*Fsw*IF(VfdSky_Q3&gt;0,VfdSky_Q3,0)*Table2[[#This Row],[Iin]])</f>
        <v>0</v>
      </c>
      <c r="BA7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0.18664854912000001</v>
      </c>
      <c r="BB7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0.18664854912000001</v>
      </c>
      <c r="BC75" s="354">
        <f>CHOOSE(Table2[[#This Row],[Mode Digit]], Rs*Table2[[#This Row],[Irms BuSync]]^2, Rs*Table2[[#This Row],[Irms BoCtlr]]^2, Rs*(Table2[[#This Row],[Irms BuSync]]^2+Table2[[#This Row],[Irms BoCtlr]]^2))</f>
        <v>0.15942069319237109</v>
      </c>
      <c r="BD75" s="354">
        <f t="shared" si="9"/>
        <v>1.44</v>
      </c>
      <c r="BE75" s="354">
        <f>IF(Vout&gt;8, Iq*Vout, Iq*Table2[[#This Row],[Vin]])</f>
        <v>4.3799999999999999E-2</v>
      </c>
      <c r="BF75" s="354">
        <f>CHOOSE(Table2[[#This Row],[Mode Digit]], (Qg_Q1+Qg_Q2)*Fsw, (Qg_Q3+Qg_Q4)*Fsw, (Qg_Q1+Qg_Q2+Qg_Q3+Qg_Q4)*Fsw)*IF(Vout&gt;8, Vout, Table2[[#This Row],[Vin]])</f>
        <v>0.47303999999999996</v>
      </c>
      <c r="BG75" s="354">
        <f t="shared" si="10"/>
        <v>0.57269042016806726</v>
      </c>
      <c r="BH75" s="354">
        <f>Table2[[#This Row],[IQ Loss]]+Table2[[#This Row],[Switching Current Loss]]</f>
        <v>0.51683999999999997</v>
      </c>
      <c r="BI7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7.0288243501163805</v>
      </c>
      <c r="BJ75">
        <f>Vout*Table2[[#This Row],[Iout]]</f>
        <v>115.63199999999999</v>
      </c>
      <c r="BK75" s="550">
        <f>Table2[[#This Row],[Pout]]/(Table2[[#This Row],[Pout]]+Table2[[#This Row],[Total Loss]])</f>
        <v>0.94269707229381006</v>
      </c>
      <c r="BL75" s="559">
        <f>IF(Table2[[#This Row],[Vin]]&gt;Vout,ThetaJA_Q1*(Table2[[#This Row],[Total Control Bu MOSFET Loss]]+Table2[[#This Row],[Reverse Recovery Loss MOSFET D BUCK]]),ThetaJA_Q4*(Table2[[#This Row],[Total Control Bo MOSFET Loss]]+Table2[[#This Row],[Reverse Recovery Loss MOSFET D BOOST]]))</f>
        <v>147.22108850732386</v>
      </c>
      <c r="BM75" s="559">
        <f>IF(Table2[[#This Row],[Vin]]&gt;Vout, Table2[[#This Row],[Total Sync Bu MOSFET Loss]]*ThetaJA_Q2, ThetaJA_Q3*Table2[[#This Row],[Total Sync Bo MOSFET Loss]])</f>
        <v>41.608011851822852</v>
      </c>
      <c r="BN75" s="9"/>
      <c r="BO75" s="4">
        <f>Table2[[#This Row],[EFF, h]]*100</f>
        <v>94.269707229381012</v>
      </c>
      <c r="BP75" s="354">
        <f>Table2[[#This Row],[Total Inductor Loss]]</f>
        <v>0.971128344738453</v>
      </c>
      <c r="BQ75" s="354">
        <f>Table2[[#This Row],[Total Control Bu MOSFET Loss]]+Table2[[#This Row],[Total Sync Bu MOSFET Loss]]+Table2[[#This Row],[Total Control Bo MOSFET Loss]]+Table2[[#This Row],[Total Sync Bo MOSFET Loss]]+Table2[[#This Row],[Reverse Recovery Loss MOSFET D BUCK]]+Table2[[#This Row],[Reverse Recovery Loss MOSFET D BOOST]]</f>
        <v>3.9062499146898326</v>
      </c>
      <c r="BR75" s="354">
        <f xml:space="preserve"> Table2[[#This Row],[Total Control Bu MOSFET Loss]]+Table2[[#This Row],[Reverse Recovery Loss MOSFET D BUCK]]*0.66</f>
        <v>2.3902243017545977</v>
      </c>
      <c r="BS75" s="354">
        <f>Table2[[#This Row],[Total Sync Bu MOSFET Loss]]+Table2[[#This Row],[Reverse Recovery Loss MOSFET D BUCK]]*0.33</f>
        <v>0.75506088540664751</v>
      </c>
      <c r="BT75" s="354">
        <f xml:space="preserve"> Table2[[#This Row],[Total Control Bo MOSFET Loss]]+Table2[[#This Row],[Reverse Recovery Loss MOSFET D BOOST]]*0.66</f>
        <v>0.40941288887789362</v>
      </c>
      <c r="BU75" s="354">
        <f xml:space="preserve"> Table2[[#This Row],[Total Sync Bo MOSFET Loss]]+Table2[[#This Row],[Reverse Recovery Loss MOSFET D BOOST]]*0.33</f>
        <v>0.34781886766829362</v>
      </c>
      <c r="BV75" s="354">
        <f>Table2[[#This Row],[Isense Shunt Loss]]</f>
        <v>0.15942069319237109</v>
      </c>
      <c r="CB75" s="18"/>
      <c r="CC75" s="19"/>
    </row>
    <row r="76" spans="1:81" x14ac:dyDescent="0.2">
      <c r="A76" s="34" t="s">
        <v>121</v>
      </c>
      <c r="B76" s="77">
        <f>B75*B62</f>
        <v>15.505199999999999</v>
      </c>
      <c r="C76" s="440" t="s">
        <v>637</v>
      </c>
      <c r="G76">
        <v>67</v>
      </c>
      <c r="H76" s="555">
        <f t="shared" si="8"/>
        <v>23.6</v>
      </c>
      <c r="I76" s="4" t="str">
        <f>IF(Mode = 2,IF(Table2[[#This Row],[Vin]]&gt;Vout, "BUCK","BOOST"),IF(Table2[[#This Row],[Vin]]&gt;VIN_BB_to_buck, "BUCK", IF(Table2[[#This Row],[Vin]]&lt;=VIN_boost_to_BB,"BOOST","BUCK-BST")))</f>
        <v>BUCK</v>
      </c>
      <c r="J76">
        <f>IF(Table2[[#This Row],[Mode]]="BOOST",2, IF(Table2[[#This Row],[Mode]]="BUCK", 1,3))</f>
        <v>1</v>
      </c>
      <c r="K76" s="354">
        <f t="shared" si="11"/>
        <v>8.0399999999999991</v>
      </c>
      <c r="L76" s="4">
        <f>Vout*Table2[[#This Row],[Iout]]/(Table2[[#This Row],[Vin]]*Efficiency)</f>
        <v>5.2356824264049946</v>
      </c>
      <c r="M76" s="711">
        <f>MIN(1/Fsw,CHOOSE(Table2[[#This Row],[Mode Digit]],(Vout+(Rdson2+Rs+Rdcr)*Table2[[#This Row],[Iout]])/(Table2[[#This Row],[Vin]]+(Rs+Rdson2-Rdson1)*Table2[[#This Row],[Iout]])/Fsw,(Vout+(Rdson3+Rdcr)*Table2[[#This Row],[Iin]]-Table2[[#This Row],[Vin]])/(Vout+(Rdson3-Rdson4-Rs)*Table2[[#This Row],[Iin]])/Fsw,t1_Ph_II))</f>
        <v>1.0372874515066969E-6</v>
      </c>
      <c r="N76" s="602">
        <f>CHOOSE(Table2[[#This Row],[Mode Digit]],1/Fsw-Table2[[#This Row],[t1_Ph_II]],1/Fsw-Table2[[#This Row],[t1_Ph_II]],(Vout/Fsw-Table2[[#This Row],[Vin]]*t1_Ph_II)/(Table2[[#This Row],[Vin]]+Vout))</f>
        <v>6.2937921515996974E-7</v>
      </c>
      <c r="O76" s="602">
        <f>1/Fsw-(Table2[[#This Row],[t1_Ph_II]]+Table2[[#This Row],[t2_Ph_I]])</f>
        <v>0</v>
      </c>
      <c r="P7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6.2718963894772202</v>
      </c>
      <c r="Q76" s="4">
        <f>CHOOSE(Table2[[#This Row],[Mode Digit]],Table2[[#This Row],[I_0]]+1/Lf*(Table2[[#This Row],[Vin]]-Vout)*Table2[[#This Row],[t1_Ph_II]],Table2[[#This Row],[I_0]]+1/Lf*Table2[[#This Row],[Vin]]*Table2[[#This Row],[t1_Ph_II]],Table2[[#This Row],[I_0]]+(Table2[[#This Row],[Vin]]-Vout)/L*Table2[[#This Row],[t1_Ph_II]])</f>
        <v>9.8081036105227781</v>
      </c>
      <c r="R76" s="4">
        <f>CHOOSE(Table2[[#This Row],[Mode Digit]],0,0,Table2[[#This Row],[I_1]]+Table2[[#This Row],[Vin]]/L*Table2[[#This Row],[t2_Ph_I]])</f>
        <v>0</v>
      </c>
      <c r="S76" s="409">
        <f>Fsw*(Table2[[#This Row],[I_0]]*Table2[[#This Row],[t1_Ph_II]]+Table2[[#This Row],[I_1]]*Table2[[#This Row],[t2_Ph_I]]+Table2[[#This Row],[I_2]]*Table2[[#This Row],[t3_Ph_III]])</f>
        <v>7.6072655847320227</v>
      </c>
      <c r="T76" s="354">
        <f>MIN(1,CHOOSE(Table2[[#This Row],[Mode Digit]],(Vout+(Rdson2+Rs+Rdcr)*Table2[[#This Row],[Iout]])/(Table2[[#This Row],[Vin]]+(Rs+Rdson2-Rdson1)*Table2[[#This Row],[Iout]]),1,Fsw*Table2[[#This Row],[t2_Ph_I]]+Table2[[#This Row],[t1_Ph_II]]))</f>
        <v>0.62237247090401815</v>
      </c>
      <c r="U76" s="354">
        <f>MIN(1,CHOOSE(Table2[[#This Row],[Mode Digit]],0,(Vout+(Rdson3+Rdcr)*Table2[[#This Row],[Iin]]-Table2[[#This Row],[Vin]])/(Vout+(Rdson3-Rdson4-Rs)*Table2[[#This Row],[Iin]]),Fsw*Table2[[#This Row],[t1_Ph_II]]+Table2[[#This Row],[t3_Ph_III]]))</f>
        <v>0</v>
      </c>
      <c r="V76" s="4">
        <f>MAX(Table2[[#This Row],[I_0]:[I_2]])-MIN(Table2[[#This Row],[I_0]:[I_1]])</f>
        <v>3.536207221045558</v>
      </c>
      <c r="W7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8.1045458515071171</v>
      </c>
      <c r="X76" s="354">
        <f>(Table2[[#This Row],[Irms Lf]]^2*Rdcr*(1+Ltc*Ta-Ltc*25))/(1-Table2[[#This Row],[Irms Lf]]^2*Rdcr*Ltc*ThetaCa)</f>
        <v>0.39294099722171438</v>
      </c>
      <c r="Y76" s="354">
        <f>ABS(7.759*10^-3*Fsw^0.9458*(0.00787*Table2[[#This Row],[Ripple Current pk-pk]])^2.304)</f>
        <v>0.59011664408769926</v>
      </c>
      <c r="Z76" s="354">
        <f>Table2[[#This Row],[DCR    Loss]]+Table2[[#This Row],[Core Loss]]</f>
        <v>0.98305764130941364</v>
      </c>
      <c r="AA76" s="4">
        <f>IF(Table2[[#This Row],[Vin]]&gt;Vout, Table2[[#This Row],[Ripple Current pk-pk]]/SQRT(12), SQRT(Table2[[#This Row],[Duty Cycle BOOST Leg]]/(1-Table2[[#This Row],[Duty Cycle BOOST Leg]]))*SQRT(Table2[[#This Row],[Iout]]^2+(Table2[[#This Row],[Ripple Current pk-pk]]^2)/12))</f>
        <v>1.0208150954904758</v>
      </c>
      <c r="AB76" s="354">
        <f>RCoutEsr*Table2[[#This Row],[Irms Cout]]^2</f>
        <v>5.2103172959061458E-3</v>
      </c>
      <c r="AC76" s="354">
        <f>Table2[[#This Row],[Cout ESR Loss]]</f>
        <v>5.2103172959061458E-3</v>
      </c>
      <c r="AD76" s="4">
        <f>IF(Table2[[#This Row],[Vin]]&gt;Vout, SQRT(Table2[[#This Row],[Duty Cycle BUCK Leg]]*(1-Table2[[#This Row],[Duty Cycle BUCK Leg]]))*SQRT(Table2[[#This Row],[Iout]]^2+(Table2[[#This Row],[Ripple Current pk-pk]]^2)/12), Table2[[#This Row],[Ripple Current pk-pk]]/SQRT(12))</f>
        <v>3.9290331614047038</v>
      </c>
      <c r="AE76" s="354">
        <f>RCinEsr*Table2[[#This Row],[Irms Cin]]^2</f>
        <v>3.0874603166835685E-2</v>
      </c>
      <c r="AF76" s="549">
        <f>Table2[[#This Row],[Cin ESR Loss]]</f>
        <v>3.0874603166835685E-2</v>
      </c>
      <c r="AG76" s="354">
        <f>Table2[[#This Row],[Irms Lf]]</f>
        <v>8.1045458515071171</v>
      </c>
      <c r="AH76" s="354">
        <f>Rdson1*Table2[[#This Row],[Irms BuCtrl]]^2</f>
        <v>0.27587138652856114</v>
      </c>
      <c r="AI76" s="354">
        <f>CHOOSE(Table2[[#This Row],[Mode Digit]], (Table2[[#This Row],[Vin]]*Table2[[#This Row],[Iout]]/2)*(Fsw)*(Tr_buck+Tf_buck), 0, (Table2[[#This Row],[Vin]]*Table2[[#This Row],[Avg IL]]/2)*(Fsw/1)*(Tr_buck+Tf_buck))</f>
        <v>1.8815711291978181</v>
      </c>
      <c r="AJ76">
        <f>IF(Table2[[#This Row],[Vin]]&gt;Vout, IF(Table2[[#This Row],[Iout]]&gt;Table2[[#This Row],[Ripple Current pk-pk]]/2,0,ABS(Table2[[#This Row],[Iout]]-Table2[[#This Row],[Ripple Current pk-pk]]/2)*Vsd_Q1*Deadtime*Fsw),0)</f>
        <v>0</v>
      </c>
      <c r="AK76" s="354">
        <f>(Table2[[#This Row],[Dead Time Loss BuCtrl]]+Table2[[#This Row],[Transition Loss BuCtrl]]+Table2[[#This Row],[RDS(on) Loss BuCtrl]]*(1+RdsonTopTc*Ta-RdsonTopTc*25))/(1-Table2[[#This Row],[RDS(on) Loss BuCtrl]]*RdsonTopTc*ThetaJA_Q1)</f>
        <v>2.3104129537258769</v>
      </c>
      <c r="AL76" s="354">
        <f>Table2[[#This Row],[Irms Lf]]</f>
        <v>8.1045458515071171</v>
      </c>
      <c r="AM76" s="354">
        <f>Rdson2*Table2[[#This Row],[Irms BuSync]]^2</f>
        <v>0.27587138652856114</v>
      </c>
      <c r="AN7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0.3868388571428571</v>
      </c>
      <c r="AO76" s="354">
        <f>(Table2[[#This Row],[Deadtime Loss BuSync]]+Table2[[#This Row],[RDS(on) Loss BuSync]]*(1+RdsonBotTc*Ta-RdsonBotTc*25))/(1-Table2[[#This Row],[RDS(on) Loss BuSync]]*RdsonBotTc*ThetaJA_Q2)</f>
        <v>0.70969878473437176</v>
      </c>
      <c r="AP76" s="354">
        <f>Table2[[#This Row],[Irms Lf]]</f>
        <v>8.1045458515071171</v>
      </c>
      <c r="AQ76" s="354">
        <f>Rdson4*Table2[[#This Row],[Irms BoCtlr]]^2</f>
        <v>0.27587138652856114</v>
      </c>
      <c r="AR76" s="354">
        <f>CHOOSE(Table2[[#This Row],[Mode Digit]], 0, (Vout*Table2[[#This Row],[Iin]]/2)*(Fsw)*(Tr_boost+Tf_boost), (Vout*Iout/2)*(Fsw/1)*(Tr_boost+Tf_boost))</f>
        <v>0</v>
      </c>
      <c r="AS76" s="354">
        <f>IF(Table2[[#This Row],[Vin]]&gt;Vout, 0, IF(Table2[[#This Row],[Iin]]&gt;Table2[[#This Row],[Ripple Current pk-pk]]/2,0,ABS(Table2[[#This Row],[Iin]]-Table2[[#This Row],[Ripple Current pk-pk]]/2)*Vsd_Q4*Deadtime*Fsw))</f>
        <v>0</v>
      </c>
      <c r="AT76" s="354">
        <f>(Table2[[#This Row],[Dead Time Loss BoCtlr]]+Table2[[#This Row],[Transition Loss BoCtlr]]+Table2[[#This Row],[RDS(on) Loss BoCtlr]]*(1+RdsonTopTc*Ta-RdsonTopTc*25))/(1-Table2[[#This Row],[RDS(on) Loss BoCtlr]]*RdsonTopTc*ThetaJA_Q4)</f>
        <v>0.2954316605665438</v>
      </c>
      <c r="AU76" s="354">
        <f>Table2[[#This Row],[Irms Lf]]</f>
        <v>8.1045458515071171</v>
      </c>
      <c r="AV76" s="354">
        <f>Rdson3*Table2[[#This Row],[Irms BoSync]]^2</f>
        <v>0.27587138652856114</v>
      </c>
      <c r="AW7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6" s="354">
        <f>(Table2[[#This Row],[Deadtime Loss BoSync]]+Table2[[#This Row],[RDS(on) Loss BoSync]]*(1+RdsonBotTc*Ta-RdsonBotTc*25))/(1-Table2[[#This Row],[RDS(on) Loss BoSync]]*RdsonBotTc*ThetaJA_Q3)</f>
        <v>0.2954316605665438</v>
      </c>
      <c r="AY76" s="354">
        <f>CHOOSE(Table2[[#This Row],[Mode Digit]], Rdson3*Table2[[#This Row],[Irms Lf]]^2, Rdson1*Table2[[#This Row],[Irms Lf]]^2, 0)</f>
        <v>0.27587138652856114</v>
      </c>
      <c r="AZ76" s="354">
        <f>CHOOSE(Table2[[#This Row],[Mode Digit]], 2*Deadtime*Fsw*IF(VfdSky_Q2&gt;0,VfdSky_Q2,0)*Table2[[#This Row],[Iout]], 2*Deadtime*Fsw*IF(VfdSky_Q3&gt;0,VfdSky_Q3,0)*Table2[[#This Row],[Iin]], 2*Deadtime*Fsw*IF(VfdSky_Q2&gt;0,VfdSky_Q2,0)*Table2[[#This Row],[Iout]]+2*Deadtime*Fsw*IF(VfdSky_Q3&gt;0,VfdSky_Q3,0)*Table2[[#This Row],[Iin]])</f>
        <v>0</v>
      </c>
      <c r="BA7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0.18947250528000004</v>
      </c>
      <c r="BB7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0.18947250528000004</v>
      </c>
      <c r="BC76" s="354">
        <f>CHOOSE(Table2[[#This Row],[Mode Digit]], Rs*Table2[[#This Row],[Irms BuSync]]^2, Rs*Table2[[#This Row],[Irms BoCtlr]]^2, Rs*(Table2[[#This Row],[Irms BuSync]]^2+Table2[[#This Row],[Irms BoCtlr]]^2))</f>
        <v>0.16420915864795305</v>
      </c>
      <c r="BD76" s="354">
        <f t="shared" si="9"/>
        <v>1.44</v>
      </c>
      <c r="BE76" s="354">
        <f>IF(Vout&gt;8, Iq*Vout, Iq*Table2[[#This Row],[Vin]])</f>
        <v>4.3799999999999999E-2</v>
      </c>
      <c r="BF76" s="354">
        <f>CHOOSE(Table2[[#This Row],[Mode Digit]], (Qg_Q1+Qg_Q2)*Fsw, (Qg_Q3+Qg_Q4)*Fsw, (Qg_Q1+Qg_Q2+Qg_Q3+Qg_Q4)*Fsw)*IF(Vout&gt;8, Vout, Table2[[#This Row],[Vin]])</f>
        <v>0.47303999999999996</v>
      </c>
      <c r="BG76" s="354">
        <f t="shared" si="10"/>
        <v>0.57269042016806726</v>
      </c>
      <c r="BH76" s="354">
        <f>Table2[[#This Row],[IQ Loss]]+Table2[[#This Row],[Switching Current Loss]]</f>
        <v>0.51683999999999997</v>
      </c>
      <c r="BI7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7.1301117905734444</v>
      </c>
      <c r="BJ76">
        <f>Vout*Table2[[#This Row],[Iout]]</f>
        <v>117.38399999999999</v>
      </c>
      <c r="BK76" s="550">
        <f>Table2[[#This Row],[Pout]]/(Table2[[#This Row],[Pout]]+Table2[[#This Row],[Total Loss]])</f>
        <v>0.94273651646356416</v>
      </c>
      <c r="BL76" s="559">
        <f>IF(Table2[[#This Row],[Vin]]&gt;Vout,ThetaJA_Q1*(Table2[[#This Row],[Total Control Bu MOSFET Loss]]+Table2[[#This Row],[Reverse Recovery Loss MOSFET D BUCK]]),ThetaJA_Q4*(Table2[[#This Row],[Total Control Bo MOSFET Loss]]+Table2[[#This Row],[Reverse Recovery Loss MOSFET D BOOST]]))</f>
        <v>149.99312754035262</v>
      </c>
      <c r="BM76" s="559">
        <f>IF(Table2[[#This Row],[Vin]]&gt;Vout, Table2[[#This Row],[Total Sync Bu MOSFET Loss]]*ThetaJA_Q2, ThetaJA_Q3*Table2[[#This Row],[Total Sync Bo MOSFET Loss]])</f>
        <v>42.581927084062308</v>
      </c>
      <c r="BN76" s="9"/>
      <c r="BO76" s="4">
        <f>Table2[[#This Row],[EFF, h]]*100</f>
        <v>94.273651646356413</v>
      </c>
      <c r="BP76" s="354">
        <f>Table2[[#This Row],[Total Inductor Loss]]</f>
        <v>0.98305764130941364</v>
      </c>
      <c r="BQ76" s="354">
        <f>Table2[[#This Row],[Total Control Bu MOSFET Loss]]+Table2[[#This Row],[Total Sync Bu MOSFET Loss]]+Table2[[#This Row],[Total Control Bo MOSFET Loss]]+Table2[[#This Row],[Total Sync Bo MOSFET Loss]]+Table2[[#This Row],[Reverse Recovery Loss MOSFET D BUCK]]+Table2[[#This Row],[Reverse Recovery Loss MOSFET D BOOST]]</f>
        <v>3.9899200701533362</v>
      </c>
      <c r="BR76" s="354">
        <f xml:space="preserve"> Table2[[#This Row],[Total Control Bu MOSFET Loss]]+Table2[[#This Row],[Reverse Recovery Loss MOSFET D BUCK]]*0.66</f>
        <v>2.435464807210677</v>
      </c>
      <c r="BS76" s="354">
        <f>Table2[[#This Row],[Total Sync Bu MOSFET Loss]]+Table2[[#This Row],[Reverse Recovery Loss MOSFET D BUCK]]*0.33</f>
        <v>0.77222471147677174</v>
      </c>
      <c r="BT76" s="354">
        <f xml:space="preserve"> Table2[[#This Row],[Total Control Bo MOSFET Loss]]+Table2[[#This Row],[Reverse Recovery Loss MOSFET D BOOST]]*0.66</f>
        <v>0.42048351405134382</v>
      </c>
      <c r="BU76" s="354">
        <f xml:space="preserve"> Table2[[#This Row],[Total Sync Bo MOSFET Loss]]+Table2[[#This Row],[Reverse Recovery Loss MOSFET D BOOST]]*0.33</f>
        <v>0.35795758730894378</v>
      </c>
      <c r="BV76" s="354">
        <f>Table2[[#This Row],[Isense Shunt Loss]]</f>
        <v>0.16420915864795305</v>
      </c>
      <c r="CB76" s="18"/>
      <c r="CC76" s="19"/>
    </row>
    <row r="77" spans="1:81" x14ac:dyDescent="0.2">
      <c r="A77" s="34" t="s">
        <v>242</v>
      </c>
      <c r="B77" s="77">
        <f>(Qg_Q1+Qg_Q2)*Fsw+Iq</f>
        <v>3.5400000000000001E-2</v>
      </c>
      <c r="C77" s="21" t="s">
        <v>2</v>
      </c>
      <c r="G77">
        <v>68</v>
      </c>
      <c r="H77" s="555">
        <f t="shared" si="8"/>
        <v>23.6</v>
      </c>
      <c r="I77" s="4" t="str">
        <f>IF(Mode = 2,IF(Table2[[#This Row],[Vin]]&gt;Vout, "BUCK","BOOST"),IF(Table2[[#This Row],[Vin]]&gt;VIN_BB_to_buck, "BUCK", IF(Table2[[#This Row],[Vin]]&lt;=VIN_boost_to_BB,"BOOST","BUCK-BST")))</f>
        <v>BUCK</v>
      </c>
      <c r="J77">
        <f>IF(Table2[[#This Row],[Mode]]="BOOST",2, IF(Table2[[#This Row],[Mode]]="BUCK", 1,3))</f>
        <v>1</v>
      </c>
      <c r="K77" s="354">
        <f t="shared" si="11"/>
        <v>8.16</v>
      </c>
      <c r="L77" s="4">
        <f>Vout*Table2[[#This Row],[Iout]]/(Table2[[#This Row],[Vin]]*Efficiency)</f>
        <v>5.3138269402319356</v>
      </c>
      <c r="M77" s="711">
        <f>MIN(1/Fsw,CHOOSE(Table2[[#This Row],[Mode Digit]],(Vout+(Rdson2+Rs+Rdcr)*Table2[[#This Row],[Iout]])/(Table2[[#This Row],[Vin]]+(Rs+Rdson2-Rdson1)*Table2[[#This Row],[Iout]])/Fsw,(Vout+(Rdson3+Rdcr)*Table2[[#This Row],[Iin]]-Table2[[#This Row],[Vin]])/(Vout+(Rdson3-Rdson4-Rs)*Table2[[#This Row],[Iin]])/Fsw,t1_Ph_II))</f>
        <v>1.0373801177513224E-6</v>
      </c>
      <c r="N77" s="602">
        <f>CHOOSE(Table2[[#This Row],[Mode Digit]],1/Fsw-Table2[[#This Row],[t1_Ph_II]],1/Fsw-Table2[[#This Row],[t1_Ph_II]],(Vout/Fsw-Table2[[#This Row],[Vin]]*t1_Ph_II)/(Table2[[#This Row],[Vin]]+Vout))</f>
        <v>6.2928654891534421E-7</v>
      </c>
      <c r="O77" s="602">
        <f>1/Fsw-(Table2[[#This Row],[t1_Ph_II]]+Table2[[#This Row],[t2_Ph_I]])</f>
        <v>0</v>
      </c>
      <c r="P7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6.3917384356511544</v>
      </c>
      <c r="Q77" s="4">
        <f>CHOOSE(Table2[[#This Row],[Mode Digit]],Table2[[#This Row],[I_0]]+1/Lf*(Table2[[#This Row],[Vin]]-Vout)*Table2[[#This Row],[t1_Ph_II]],Table2[[#This Row],[I_0]]+1/Lf*Table2[[#This Row],[Vin]]*Table2[[#This Row],[t1_Ph_II]],Table2[[#This Row],[I_0]]+(Table2[[#This Row],[Vin]]-Vout)/L*Table2[[#This Row],[t1_Ph_II]])</f>
        <v>9.9282615643488441</v>
      </c>
      <c r="R77" s="4">
        <f>CHOOSE(Table2[[#This Row],[Mode Digit]],0,0,Table2[[#This Row],[I_1]]+Table2[[#This Row],[Vin]]/L*Table2[[#This Row],[t2_Ph_I]])</f>
        <v>0</v>
      </c>
      <c r="S77" s="409">
        <f>Fsw*(Table2[[#This Row],[I_0]]*Table2[[#This Row],[t1_Ph_II]]+Table2[[#This Row],[I_1]]*Table2[[#This Row],[t2_Ph_I]]+Table2[[#This Row],[I_2]]*Table2[[#This Row],[t3_Ph_III]])</f>
        <v>7.7270302965416331</v>
      </c>
      <c r="T77" s="354">
        <f>MIN(1,CHOOSE(Table2[[#This Row],[Mode Digit]],(Vout+(Rdson2+Rs+Rdcr)*Table2[[#This Row],[Iout]])/(Table2[[#This Row],[Vin]]+(Rs+Rdson2-Rdson1)*Table2[[#This Row],[Iout]]),1,Fsw*Table2[[#This Row],[t2_Ph_I]]+Table2[[#This Row],[t1_Ph_II]]))</f>
        <v>0.62242807065079342</v>
      </c>
      <c r="U77" s="354">
        <f>MIN(1,CHOOSE(Table2[[#This Row],[Mode Digit]],0,(Vout+(Rdson3+Rdcr)*Table2[[#This Row],[Iin]]-Table2[[#This Row],[Vin]])/(Vout+(Rdson3-Rdson4-Rs)*Table2[[#This Row],[Iin]]),Fsw*Table2[[#This Row],[t1_Ph_II]]+Table2[[#This Row],[t3_Ph_III]]))</f>
        <v>0</v>
      </c>
      <c r="V77" s="4">
        <f>MAX(Table2[[#This Row],[I_0]:[I_2]])-MIN(Table2[[#This Row],[I_0]:[I_1]])</f>
        <v>3.5365231286976897</v>
      </c>
      <c r="W7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8.2236153638966965</v>
      </c>
      <c r="X77" s="354">
        <f>(Table2[[#This Row],[Irms Lf]]^2*Rdcr*(1+Ltc*Ta-Ltc*25))/(1-Table2[[#This Row],[Irms Lf]]^2*Rdcr*Ltc*ThetaCa)</f>
        <v>0.40494853867458147</v>
      </c>
      <c r="Y77" s="354">
        <f>ABS(7.759*10^-3*Fsw^0.9458*(0.00787*Table2[[#This Row],[Ripple Current pk-pk]])^2.304)</f>
        <v>0.59023811381976055</v>
      </c>
      <c r="Z77" s="354">
        <f>Table2[[#This Row],[DCR    Loss]]+Table2[[#This Row],[Core Loss]]</f>
        <v>0.99518665249434202</v>
      </c>
      <c r="AA77" s="4">
        <f>IF(Table2[[#This Row],[Vin]]&gt;Vout, Table2[[#This Row],[Ripple Current pk-pk]]/SQRT(12), SQRT(Table2[[#This Row],[Duty Cycle BOOST Leg]]/(1-Table2[[#This Row],[Duty Cycle BOOST Leg]]))*SQRT(Table2[[#This Row],[Iout]]^2+(Table2[[#This Row],[Ripple Current pk-pk]]^2)/12))</f>
        <v>1.0209062901744743</v>
      </c>
      <c r="AB77" s="354">
        <f>RCoutEsr*Table2[[#This Row],[Irms Cout]]^2</f>
        <v>5.2112482665890407E-3</v>
      </c>
      <c r="AC77" s="354">
        <f>Table2[[#This Row],[Cout ESR Loss]]</f>
        <v>5.2112482665890407E-3</v>
      </c>
      <c r="AD77" s="4">
        <f>IF(Table2[[#This Row],[Vin]]&gt;Vout, SQRT(Table2[[#This Row],[Duty Cycle BUCK Leg]]*(1-Table2[[#This Row],[Duty Cycle BUCK Leg]]))*SQRT(Table2[[#This Row],[Iout]]^2+(Table2[[#This Row],[Ripple Current pk-pk]]^2)/12), Table2[[#This Row],[Ripple Current pk-pk]]/SQRT(12))</f>
        <v>3.9866418737129692</v>
      </c>
      <c r="AE77" s="354">
        <f>RCinEsr*Table2[[#This Row],[Irms Cin]]^2</f>
        <v>3.1786626858483304E-2</v>
      </c>
      <c r="AF77" s="549">
        <f>Table2[[#This Row],[Cin ESR Loss]]</f>
        <v>3.1786626858483304E-2</v>
      </c>
      <c r="AG77" s="354">
        <f>Table2[[#This Row],[Irms Lf]]</f>
        <v>8.2236153638966965</v>
      </c>
      <c r="AH77" s="354">
        <f>Rdson1*Table2[[#This Row],[Irms BuCtrl]]^2</f>
        <v>0.28403696854393479</v>
      </c>
      <c r="AI77" s="354">
        <f>CHOOSE(Table2[[#This Row],[Mode Digit]], (Table2[[#This Row],[Vin]]*Table2[[#This Row],[Iout]]/2)*(Fsw)*(Tr_buck+Tf_buck), 0, (Table2[[#This Row],[Vin]]*Table2[[#This Row],[Avg IL]]/2)*(Fsw/1)*(Tr_buck+Tf_buck))</f>
        <v>1.9096542803798753</v>
      </c>
      <c r="AJ77">
        <f>IF(Table2[[#This Row],[Vin]]&gt;Vout, IF(Table2[[#This Row],[Iout]]&gt;Table2[[#This Row],[Ripple Current pk-pk]]/2,0,ABS(Table2[[#This Row],[Iout]]-Table2[[#This Row],[Ripple Current pk-pk]]/2)*Vsd_Q1*Deadtime*Fsw),0)</f>
        <v>0</v>
      </c>
      <c r="AK77" s="354">
        <f>(Table2[[#This Row],[Dead Time Loss BuCtrl]]+Table2[[#This Row],[Transition Loss BuCtrl]]+Table2[[#This Row],[RDS(on) Loss BuCtrl]]*(1+RdsonTopTc*Ta-RdsonTopTc*25))/(1-Table2[[#This Row],[RDS(on) Loss BuCtrl]]*RdsonTopTc*ThetaJA_Q1)</f>
        <v>2.3541725362757671</v>
      </c>
      <c r="AL77" s="354">
        <f>Table2[[#This Row],[Irms Lf]]</f>
        <v>8.2236153638966965</v>
      </c>
      <c r="AM77" s="354">
        <f>Rdson2*Table2[[#This Row],[Irms BuSync]]^2</f>
        <v>0.28403696854393479</v>
      </c>
      <c r="AN7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0.39261257142857142</v>
      </c>
      <c r="AO77" s="354">
        <f>(Table2[[#This Row],[Deadtime Loss BuSync]]+Table2[[#This Row],[RDS(on) Loss BuSync]]*(1+RdsonBotTc*Ta-RdsonBotTc*25))/(1-Table2[[#This Row],[RDS(on) Loss BuSync]]*RdsonBotTc*ThetaJA_Q2)</f>
        <v>0.72615039352888966</v>
      </c>
      <c r="AP77" s="354">
        <f>Table2[[#This Row],[Irms Lf]]</f>
        <v>8.2236153638966965</v>
      </c>
      <c r="AQ77" s="354">
        <f>Rdson4*Table2[[#This Row],[Irms BoCtlr]]^2</f>
        <v>0.28403696854393479</v>
      </c>
      <c r="AR77" s="354">
        <f>CHOOSE(Table2[[#This Row],[Mode Digit]], 0, (Vout*Table2[[#This Row],[Iin]]/2)*(Fsw)*(Tr_boost+Tf_boost), (Vout*Iout/2)*(Fsw/1)*(Tr_boost+Tf_boost))</f>
        <v>0</v>
      </c>
      <c r="AS77" s="354">
        <f>IF(Table2[[#This Row],[Vin]]&gt;Vout, 0, IF(Table2[[#This Row],[Iin]]&gt;Table2[[#This Row],[Ripple Current pk-pk]]/2,0,ABS(Table2[[#This Row],[Iin]]-Table2[[#This Row],[Ripple Current pk-pk]]/2)*Vsd_Q4*Deadtime*Fsw))</f>
        <v>0</v>
      </c>
      <c r="AT77" s="354">
        <f>(Table2[[#This Row],[Dead Time Loss BoCtlr]]+Table2[[#This Row],[Transition Loss BoCtlr]]+Table2[[#This Row],[RDS(on) Loss BoCtlr]]*(1+RdsonTopTc*Ta-RdsonTopTc*25))/(1-Table2[[#This Row],[RDS(on) Loss BoCtlr]]*RdsonTopTc*ThetaJA_Q4)</f>
        <v>0.30481592656268064</v>
      </c>
      <c r="AU77" s="354">
        <f>Table2[[#This Row],[Irms Lf]]</f>
        <v>8.2236153638966965</v>
      </c>
      <c r="AV77" s="354">
        <f>Rdson3*Table2[[#This Row],[Irms BoSync]]^2</f>
        <v>0.28403696854393479</v>
      </c>
      <c r="AW7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7" s="354">
        <f>(Table2[[#This Row],[Deadtime Loss BoSync]]+Table2[[#This Row],[RDS(on) Loss BoSync]]*(1+RdsonBotTc*Ta-RdsonBotTc*25))/(1-Table2[[#This Row],[RDS(on) Loss BoSync]]*RdsonBotTc*ThetaJA_Q3)</f>
        <v>0.30481592656268064</v>
      </c>
      <c r="AY77" s="354">
        <f>CHOOSE(Table2[[#This Row],[Mode Digit]], Rdson3*Table2[[#This Row],[Irms Lf]]^2, Rdson1*Table2[[#This Row],[Irms Lf]]^2, 0)</f>
        <v>0.28403696854393479</v>
      </c>
      <c r="AZ77" s="354">
        <f>CHOOSE(Table2[[#This Row],[Mode Digit]], 2*Deadtime*Fsw*IF(VfdSky_Q2&gt;0,VfdSky_Q2,0)*Table2[[#This Row],[Iout]], 2*Deadtime*Fsw*IF(VfdSky_Q3&gt;0,VfdSky_Q3,0)*Table2[[#This Row],[Iin]], 2*Deadtime*Fsw*IF(VfdSky_Q2&gt;0,VfdSky_Q2,0)*Table2[[#This Row],[Iout]]+2*Deadtime*Fsw*IF(VfdSky_Q3&gt;0,VfdSky_Q3,0)*Table2[[#This Row],[Iin]])</f>
        <v>0</v>
      </c>
      <c r="BA7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0.19229634048000002</v>
      </c>
      <c r="BB7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0.19229634048000002</v>
      </c>
      <c r="BC77" s="354">
        <f>CHOOSE(Table2[[#This Row],[Mode Digit]], Rs*Table2[[#This Row],[Irms BuSync]]^2, Rs*Table2[[#This Row],[Irms BoCtlr]]^2, Rs*(Table2[[#This Row],[Irms BuSync]]^2+Table2[[#This Row],[Irms BoCtlr]]^2))</f>
        <v>0.16906962413329449</v>
      </c>
      <c r="BD77" s="354">
        <f t="shared" si="9"/>
        <v>1.44</v>
      </c>
      <c r="BE77" s="354">
        <f>IF(Vout&gt;8, Iq*Vout, Iq*Table2[[#This Row],[Vin]])</f>
        <v>4.3799999999999999E-2</v>
      </c>
      <c r="BF77" s="354">
        <f>CHOOSE(Table2[[#This Row],[Mode Digit]], (Qg_Q1+Qg_Q2)*Fsw, (Qg_Q3+Qg_Q4)*Fsw, (Qg_Q1+Qg_Q2+Qg_Q3+Qg_Q4)*Fsw)*IF(Vout&gt;8, Vout, Table2[[#This Row],[Vin]])</f>
        <v>0.47303999999999996</v>
      </c>
      <c r="BG77" s="354">
        <f t="shared" si="10"/>
        <v>0.57269042016806726</v>
      </c>
      <c r="BH77" s="354">
        <f>Table2[[#This Row],[IQ Loss]]+Table2[[#This Row],[Switching Current Loss]]</f>
        <v>0.51683999999999997</v>
      </c>
      <c r="BI7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7.2326416156427271</v>
      </c>
      <c r="BJ77">
        <f>Vout*Table2[[#This Row],[Iout]]</f>
        <v>119.136</v>
      </c>
      <c r="BK77" s="550">
        <f>Table2[[#This Row],[Pout]]/(Table2[[#This Row],[Pout]]+Table2[[#This Row],[Total Loss]])</f>
        <v>0.94276553484177494</v>
      </c>
      <c r="BL77" s="559">
        <f>IF(Table2[[#This Row],[Vin]]&gt;Vout,ThetaJA_Q1*(Table2[[#This Row],[Total Control Bu MOSFET Loss]]+Table2[[#This Row],[Reverse Recovery Loss MOSFET D BUCK]]),ThetaJA_Q4*(Table2[[#This Row],[Total Control Bo MOSFET Loss]]+Table2[[#This Row],[Reverse Recovery Loss MOSFET D BOOST]]))</f>
        <v>152.78813260534602</v>
      </c>
      <c r="BM77" s="559">
        <f>IF(Table2[[#This Row],[Vin]]&gt;Vout, Table2[[#This Row],[Total Sync Bu MOSFET Loss]]*ThetaJA_Q2, ThetaJA_Q3*Table2[[#This Row],[Total Sync Bo MOSFET Loss]])</f>
        <v>43.569023611733378</v>
      </c>
      <c r="BN77" s="9"/>
      <c r="BO77" s="4">
        <f>Table2[[#This Row],[EFF, h]]*100</f>
        <v>94.276553484177498</v>
      </c>
      <c r="BP77" s="354">
        <f>Table2[[#This Row],[Total Inductor Loss]]</f>
        <v>0.99518665249434202</v>
      </c>
      <c r="BQ77" s="354">
        <f>Table2[[#This Row],[Total Control Bu MOSFET Loss]]+Table2[[#This Row],[Total Sync Bu MOSFET Loss]]+Table2[[#This Row],[Total Control Bo MOSFET Loss]]+Table2[[#This Row],[Total Sync Bo MOSFET Loss]]+Table2[[#This Row],[Reverse Recovery Loss MOSFET D BUCK]]+Table2[[#This Row],[Reverse Recovery Loss MOSFET D BOOST]]</f>
        <v>4.0745474638900179</v>
      </c>
      <c r="BR77" s="354">
        <f xml:space="preserve"> Table2[[#This Row],[Total Control Bu MOSFET Loss]]+Table2[[#This Row],[Reverse Recovery Loss MOSFET D BUCK]]*0.66</f>
        <v>2.4810881209925673</v>
      </c>
      <c r="BS77" s="354">
        <f>Table2[[#This Row],[Total Sync Bu MOSFET Loss]]+Table2[[#This Row],[Reverse Recovery Loss MOSFET D BUCK]]*0.33</f>
        <v>0.78960818588728965</v>
      </c>
      <c r="BT77" s="354">
        <f xml:space="preserve"> Table2[[#This Row],[Total Control Bo MOSFET Loss]]+Table2[[#This Row],[Reverse Recovery Loss MOSFET D BOOST]]*0.66</f>
        <v>0.43173151127948067</v>
      </c>
      <c r="BU77" s="354">
        <f xml:space="preserve"> Table2[[#This Row],[Total Sync Bo MOSFET Loss]]+Table2[[#This Row],[Reverse Recovery Loss MOSFET D BOOST]]*0.33</f>
        <v>0.36827371892108063</v>
      </c>
      <c r="BV77" s="354">
        <f>Table2[[#This Row],[Isense Shunt Loss]]</f>
        <v>0.16906962413329449</v>
      </c>
      <c r="CB77" s="18"/>
      <c r="CC77" s="19"/>
    </row>
    <row r="78" spans="1:81" x14ac:dyDescent="0.2">
      <c r="A78" s="34" t="s">
        <v>243</v>
      </c>
      <c r="B78" s="76">
        <f>Qrr_Q2*Fsw</f>
        <v>1.2E-2</v>
      </c>
      <c r="C78" s="21" t="s">
        <v>2</v>
      </c>
      <c r="G78">
        <v>69</v>
      </c>
      <c r="H78" s="555">
        <f t="shared" si="8"/>
        <v>23.6</v>
      </c>
      <c r="I78" s="4" t="str">
        <f>IF(Mode = 2,IF(Table2[[#This Row],[Vin]]&gt;Vout, "BUCK","BOOST"),IF(Table2[[#This Row],[Vin]]&gt;VIN_BB_to_buck, "BUCK", IF(Table2[[#This Row],[Vin]]&lt;=VIN_boost_to_BB,"BOOST","BUCK-BST")))</f>
        <v>BUCK</v>
      </c>
      <c r="J78">
        <f>IF(Table2[[#This Row],[Mode]]="BOOST",2, IF(Table2[[#This Row],[Mode]]="BUCK", 1,3))</f>
        <v>1</v>
      </c>
      <c r="K78" s="354">
        <f t="shared" si="11"/>
        <v>8.2799999999999994</v>
      </c>
      <c r="L78" s="4">
        <f>Vout*Table2[[#This Row],[Iout]]/(Table2[[#This Row],[Vin]]*Efficiency)</f>
        <v>5.3919714540588748</v>
      </c>
      <c r="M78" s="711">
        <f>MIN(1/Fsw,CHOOSE(Table2[[#This Row],[Mode Digit]],(Vout+(Rdson2+Rs+Rdcr)*Table2[[#This Row],[Iout]])/(Table2[[#This Row],[Vin]]+(Rs+Rdson2-Rdson1)*Table2[[#This Row],[Iout]])/Fsw,(Vout+(Rdson3+Rdcr)*Table2[[#This Row],[Iin]]-Table2[[#This Row],[Vin]])/(Vout+(Rdson3-Rdson4-Rs)*Table2[[#This Row],[Iin]])/Fsw,t1_Ph_II))</f>
        <v>1.0374727816420906E-6</v>
      </c>
      <c r="N78" s="602">
        <f>CHOOSE(Table2[[#This Row],[Mode Digit]],1/Fsw-Table2[[#This Row],[t1_Ph_II]],1/Fsw-Table2[[#This Row],[t1_Ph_II]],(Vout/Fsw-Table2[[#This Row],[Vin]]*t1_Ph_II)/(Table2[[#This Row],[Vin]]+Vout))</f>
        <v>6.2919388502457602E-7</v>
      </c>
      <c r="O78" s="602">
        <f>1/Fsw-(Table2[[#This Row],[t1_Ph_II]]+Table2[[#This Row],[t2_Ph_I]])</f>
        <v>0</v>
      </c>
      <c r="P7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6.5115804858373441</v>
      </c>
      <c r="Q78" s="4">
        <f>CHOOSE(Table2[[#This Row],[Mode Digit]],Table2[[#This Row],[I_0]]+1/Lf*(Table2[[#This Row],[Vin]]-Vout)*Table2[[#This Row],[t1_Ph_II]],Table2[[#This Row],[I_0]]+1/Lf*Table2[[#This Row],[Vin]]*Table2[[#This Row],[t1_Ph_II]],Table2[[#This Row],[I_0]]+(Table2[[#This Row],[Vin]]-Vout)/L*Table2[[#This Row],[t1_Ph_II]])</f>
        <v>10.048419514162653</v>
      </c>
      <c r="R78" s="4">
        <f>CHOOSE(Table2[[#This Row],[Mode Digit]],0,0,Table2[[#This Row],[I_1]]+Table2[[#This Row],[Vin]]/L*Table2[[#This Row],[t2_Ph_I]])</f>
        <v>0</v>
      </c>
      <c r="S78" s="409">
        <f>Fsw*(Table2[[#This Row],[I_0]]*Table2[[#This Row],[t1_Ph_II]]+Table2[[#This Row],[I_1]]*Table2[[#This Row],[t2_Ph_I]]+Table2[[#This Row],[I_2]]*Table2[[#This Row],[t3_Ph_III]])</f>
        <v>7.8467949792004719</v>
      </c>
      <c r="T78" s="354">
        <f>MIN(1,CHOOSE(Table2[[#This Row],[Mode Digit]],(Vout+(Rdson2+Rs+Rdcr)*Table2[[#This Row],[Iout]])/(Table2[[#This Row],[Vin]]+(Rs+Rdson2-Rdson1)*Table2[[#This Row],[Iout]]),1,Fsw*Table2[[#This Row],[t2_Ph_I]]+Table2[[#This Row],[t1_Ph_II]]))</f>
        <v>0.62248366898525442</v>
      </c>
      <c r="U78" s="354">
        <f>MIN(1,CHOOSE(Table2[[#This Row],[Mode Digit]],0,(Vout+(Rdson3+Rdcr)*Table2[[#This Row],[Iin]]-Table2[[#This Row],[Vin]])/(Vout+(Rdson3-Rdson4-Rs)*Table2[[#This Row],[Iin]]),Fsw*Table2[[#This Row],[t1_Ph_II]]+Table2[[#This Row],[t3_Ph_III]]))</f>
        <v>0</v>
      </c>
      <c r="V78" s="4">
        <f>MAX(Table2[[#This Row],[I_0]:[I_2]])-MIN(Table2[[#This Row],[I_0]:[I_1]])</f>
        <v>3.5368390283253088</v>
      </c>
      <c r="W7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8.3427115411811439</v>
      </c>
      <c r="X78" s="354">
        <f>(Table2[[#This Row],[Irms Lf]]^2*Rdcr*(1+Ltc*Ta-Ltc*25))/(1-Table2[[#This Row],[Irms Lf]]^2*Rdcr*Ltc*ThetaCa)</f>
        <v>0.41715683961512129</v>
      </c>
      <c r="Y78" s="354">
        <f>ABS(7.759*10^-3*Fsw^0.9458*(0.00787*Table2[[#This Row],[Ripple Current pk-pk]])^2.304)</f>
        <v>0.59035959461571397</v>
      </c>
      <c r="Z78" s="354">
        <f>Table2[[#This Row],[DCR    Loss]]+Table2[[#This Row],[Core Loss]]</f>
        <v>1.0075164342308351</v>
      </c>
      <c r="AA78" s="4">
        <f>IF(Table2[[#This Row],[Vin]]&gt;Vout, Table2[[#This Row],[Ripple Current pk-pk]]/SQRT(12), SQRT(Table2[[#This Row],[Duty Cycle BOOST Leg]]/(1-Table2[[#This Row],[Duty Cycle BOOST Leg]]))*SQRT(Table2[[#This Row],[Iout]]^2+(Table2[[#This Row],[Ripple Current pk-pk]]^2)/12))</f>
        <v>1.0209974825419958</v>
      </c>
      <c r="AB78" s="354">
        <f>RCoutEsr*Table2[[#This Row],[Irms Cout]]^2</f>
        <v>5.2121792967854651E-3</v>
      </c>
      <c r="AC78" s="354">
        <f>Table2[[#This Row],[Cout ESR Loss]]</f>
        <v>5.2121792967854651E-3</v>
      </c>
      <c r="AD78" s="4">
        <f>IF(Table2[[#This Row],[Vin]]&gt;Vout, SQRT(Table2[[#This Row],[Duty Cycle BUCK Leg]]*(1-Table2[[#This Row],[Duty Cycle BUCK Leg]]))*SQRT(Table2[[#This Row],[Iout]]^2+(Table2[[#This Row],[Ripple Current pk-pk]]^2)/12), Table2[[#This Row],[Ripple Current pk-pk]]/SQRT(12))</f>
        <v>4.044260115641662</v>
      </c>
      <c r="AE78" s="354">
        <f>RCinEsr*Table2[[#This Row],[Irms Cin]]^2</f>
        <v>3.2712079765939817E-2</v>
      </c>
      <c r="AF78" s="549">
        <f>Table2[[#This Row],[Cin ESR Loss]]</f>
        <v>3.2712079765939817E-2</v>
      </c>
      <c r="AG78" s="354">
        <f>Table2[[#This Row],[Irms Lf]]</f>
        <v>8.3427115411811439</v>
      </c>
      <c r="AH78" s="354">
        <f>Rdson1*Table2[[#This Row],[Irms BuCtrl]]^2</f>
        <v>0.29232351060929967</v>
      </c>
      <c r="AI78" s="354">
        <f>CHOOSE(Table2[[#This Row],[Mode Digit]], (Table2[[#This Row],[Vin]]*Table2[[#This Row],[Iout]]/2)*(Fsw)*(Tr_buck+Tf_buck), 0, (Table2[[#This Row],[Vin]]*Table2[[#This Row],[Avg IL]]/2)*(Fsw/1)*(Tr_buck+Tf_buck))</f>
        <v>1.9377374315619318</v>
      </c>
      <c r="AJ78">
        <f>IF(Table2[[#This Row],[Vin]]&gt;Vout, IF(Table2[[#This Row],[Iout]]&gt;Table2[[#This Row],[Ripple Current pk-pk]]/2,0,ABS(Table2[[#This Row],[Iout]]-Table2[[#This Row],[Ripple Current pk-pk]]/2)*Vsd_Q1*Deadtime*Fsw),0)</f>
        <v>0</v>
      </c>
      <c r="AK78" s="354">
        <f>(Table2[[#This Row],[Dead Time Loss BuCtrl]]+Table2[[#This Row],[Transition Loss BuCtrl]]+Table2[[#This Row],[RDS(on) Loss BuCtrl]]*(1+RdsonTopTc*Ta-RdsonTopTc*25))/(1-Table2[[#This Row],[RDS(on) Loss BuCtrl]]*RdsonTopTc*ThetaJA_Q1)</f>
        <v>2.3983215265412454</v>
      </c>
      <c r="AL78" s="354">
        <f>Table2[[#This Row],[Irms Lf]]</f>
        <v>8.3427115411811439</v>
      </c>
      <c r="AM78" s="354">
        <f>Rdson2*Table2[[#This Row],[Irms BuSync]]^2</f>
        <v>0.29232351060929967</v>
      </c>
      <c r="AN7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0.39838628571428569</v>
      </c>
      <c r="AO78" s="354">
        <f>(Table2[[#This Row],[Deadtime Loss BuSync]]+Table2[[#This Row],[RDS(on) Loss BuSync]]*(1+RdsonBotTc*Ta-RdsonBotTc*25))/(1-Table2[[#This Row],[RDS(on) Loss BuSync]]*RdsonBotTc*ThetaJA_Q2)</f>
        <v>0.74282462052491249</v>
      </c>
      <c r="AP78" s="354">
        <f>Table2[[#This Row],[Irms Lf]]</f>
        <v>8.3427115411811439</v>
      </c>
      <c r="AQ78" s="354">
        <f>Rdson4*Table2[[#This Row],[Irms BoCtlr]]^2</f>
        <v>0.29232351060929967</v>
      </c>
      <c r="AR78" s="354">
        <f>CHOOSE(Table2[[#This Row],[Mode Digit]], 0, (Vout*Table2[[#This Row],[Iin]]/2)*(Fsw)*(Tr_boost+Tf_boost), (Vout*Iout/2)*(Fsw/1)*(Tr_boost+Tf_boost))</f>
        <v>0</v>
      </c>
      <c r="AS78" s="354">
        <f>IF(Table2[[#This Row],[Vin]]&gt;Vout, 0, IF(Table2[[#This Row],[Iin]]&gt;Table2[[#This Row],[Ripple Current pk-pk]]/2,0,ABS(Table2[[#This Row],[Iin]]-Table2[[#This Row],[Ripple Current pk-pk]]/2)*Vsd_Q4*Deadtime*Fsw))</f>
        <v>0</v>
      </c>
      <c r="AT78" s="354">
        <f>(Table2[[#This Row],[Dead Time Loss BoCtlr]]+Table2[[#This Row],[Transition Loss BoCtlr]]+Table2[[#This Row],[RDS(on) Loss BoCtlr]]*(1+RdsonTopTc*Ta-RdsonTopTc*25))/(1-Table2[[#This Row],[RDS(on) Loss BoCtlr]]*RdsonTopTc*ThetaJA_Q4)</f>
        <v>0.31437964539471308</v>
      </c>
      <c r="AU78" s="354">
        <f>Table2[[#This Row],[Irms Lf]]</f>
        <v>8.3427115411811439</v>
      </c>
      <c r="AV78" s="354">
        <f>Rdson3*Table2[[#This Row],[Irms BoSync]]^2</f>
        <v>0.29232351060929967</v>
      </c>
      <c r="AW7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8" s="354">
        <f>(Table2[[#This Row],[Deadtime Loss BoSync]]+Table2[[#This Row],[RDS(on) Loss BoSync]]*(1+RdsonBotTc*Ta-RdsonBotTc*25))/(1-Table2[[#This Row],[RDS(on) Loss BoSync]]*RdsonBotTc*ThetaJA_Q3)</f>
        <v>0.31437964539471308</v>
      </c>
      <c r="AY78" s="354">
        <f>CHOOSE(Table2[[#This Row],[Mode Digit]], Rdson3*Table2[[#This Row],[Irms Lf]]^2, Rdson1*Table2[[#This Row],[Irms Lf]]^2, 0)</f>
        <v>0.29232351060929967</v>
      </c>
      <c r="AZ78" s="354">
        <f>CHOOSE(Table2[[#This Row],[Mode Digit]], 2*Deadtime*Fsw*IF(VfdSky_Q2&gt;0,VfdSky_Q2,0)*Table2[[#This Row],[Iout]], 2*Deadtime*Fsw*IF(VfdSky_Q3&gt;0,VfdSky_Q3,0)*Table2[[#This Row],[Iin]], 2*Deadtime*Fsw*IF(VfdSky_Q2&gt;0,VfdSky_Q2,0)*Table2[[#This Row],[Iout]]+2*Deadtime*Fsw*IF(VfdSky_Q3&gt;0,VfdSky_Q3,0)*Table2[[#This Row],[Iin]])</f>
        <v>0</v>
      </c>
      <c r="BA7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0.19512005471999999</v>
      </c>
      <c r="BB7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0.19512005471999999</v>
      </c>
      <c r="BC78" s="354">
        <f>CHOOSE(Table2[[#This Row],[Mode Digit]], Rs*Table2[[#This Row],[Irms BuSync]]^2, Rs*Table2[[#This Row],[Irms BoCtlr]]^2, Rs*(Table2[[#This Row],[Irms BuSync]]^2+Table2[[#This Row],[Irms BoCtlr]]^2))</f>
        <v>0.17400208964839267</v>
      </c>
      <c r="BD78" s="354">
        <f t="shared" si="9"/>
        <v>1.44</v>
      </c>
      <c r="BE78" s="354">
        <f>IF(Vout&gt;8, Iq*Vout, Iq*Table2[[#This Row],[Vin]])</f>
        <v>4.3799999999999999E-2</v>
      </c>
      <c r="BF78" s="354">
        <f>CHOOSE(Table2[[#This Row],[Mode Digit]], (Qg_Q1+Qg_Q2)*Fsw, (Qg_Q3+Qg_Q4)*Fsw, (Qg_Q1+Qg_Q2+Qg_Q3+Qg_Q4)*Fsw)*IF(Vout&gt;8, Vout, Table2[[#This Row],[Vin]])</f>
        <v>0.47303999999999996</v>
      </c>
      <c r="BG78" s="354">
        <f t="shared" si="10"/>
        <v>0.57269042016806726</v>
      </c>
      <c r="BH78" s="354">
        <f>Table2[[#This Row],[IQ Loss]]+Table2[[#This Row],[Switching Current Loss]]</f>
        <v>0.51683999999999997</v>
      </c>
      <c r="BI7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7.3364283302375384</v>
      </c>
      <c r="BJ78">
        <f>Vout*Table2[[#This Row],[Iout]]</f>
        <v>120.88799999999999</v>
      </c>
      <c r="BK78" s="550">
        <f>Table2[[#This Row],[Pout]]/(Table2[[#This Row],[Pout]]+Table2[[#This Row],[Total Loss]])</f>
        <v>0.94278447230552032</v>
      </c>
      <c r="BL78" s="559">
        <f>IF(Table2[[#This Row],[Vin]]&gt;Vout,ThetaJA_Q1*(Table2[[#This Row],[Total Control Bu MOSFET Loss]]+Table2[[#This Row],[Reverse Recovery Loss MOSFET D BUCK]]),ThetaJA_Q4*(Table2[[#This Row],[Total Control Bo MOSFET Loss]]+Table2[[#This Row],[Reverse Recovery Loss MOSFET D BOOST]]))</f>
        <v>155.60649487567471</v>
      </c>
      <c r="BM78" s="559">
        <f>IF(Table2[[#This Row],[Vin]]&gt;Vout, Table2[[#This Row],[Total Sync Bu MOSFET Loss]]*ThetaJA_Q2, ThetaJA_Q3*Table2[[#This Row],[Total Sync Bo MOSFET Loss]])</f>
        <v>44.569477231494751</v>
      </c>
      <c r="BN78" s="9"/>
      <c r="BO78" s="4">
        <f>Table2[[#This Row],[EFF, h]]*100</f>
        <v>94.278447230552032</v>
      </c>
      <c r="BP78" s="354">
        <f>Table2[[#This Row],[Total Inductor Loss]]</f>
        <v>1.0075164342308351</v>
      </c>
      <c r="BQ78" s="354">
        <f>Table2[[#This Row],[Total Control Bu MOSFET Loss]]+Table2[[#This Row],[Total Sync Bu MOSFET Loss]]+Table2[[#This Row],[Total Control Bo MOSFET Loss]]+Table2[[#This Row],[Total Sync Bo MOSFET Loss]]+Table2[[#This Row],[Reverse Recovery Loss MOSFET D BUCK]]+Table2[[#This Row],[Reverse Recovery Loss MOSFET D BOOST]]</f>
        <v>4.1601455472955839</v>
      </c>
      <c r="BR78" s="354">
        <f xml:space="preserve"> Table2[[#This Row],[Total Control Bu MOSFET Loss]]+Table2[[#This Row],[Reverse Recovery Loss MOSFET D BUCK]]*0.66</f>
        <v>2.5271007626564455</v>
      </c>
      <c r="BS78" s="354">
        <f>Table2[[#This Row],[Total Sync Bu MOSFET Loss]]+Table2[[#This Row],[Reverse Recovery Loss MOSFET D BUCK]]*0.33</f>
        <v>0.80721423858251251</v>
      </c>
      <c r="BT78" s="354">
        <f xml:space="preserve"> Table2[[#This Row],[Total Control Bo MOSFET Loss]]+Table2[[#This Row],[Reverse Recovery Loss MOSFET D BOOST]]*0.66</f>
        <v>0.44315888150991312</v>
      </c>
      <c r="BU78" s="354">
        <f xml:space="preserve"> Table2[[#This Row],[Total Sync Bo MOSFET Loss]]+Table2[[#This Row],[Reverse Recovery Loss MOSFET D BOOST]]*0.33</f>
        <v>0.3787692634523131</v>
      </c>
      <c r="BV78" s="354">
        <f>Table2[[#This Row],[Isense Shunt Loss]]</f>
        <v>0.17400208964839267</v>
      </c>
      <c r="CB78" s="18"/>
      <c r="CC78" s="19"/>
    </row>
    <row r="79" spans="1:81" x14ac:dyDescent="0.2">
      <c r="A79" s="34" t="s">
        <v>244</v>
      </c>
      <c r="B79" s="76" t="e">
        <f>C79/Vin</f>
        <v>#NAME?</v>
      </c>
      <c r="C79" s="21" t="e">
        <f>Deadtime*Fsw*(Iripple_Vinnom/2)*(VsdTop+VsdBot)</f>
        <v>#NAME?</v>
      </c>
      <c r="G79">
        <v>70</v>
      </c>
      <c r="H79" s="555">
        <f t="shared" si="8"/>
        <v>23.6</v>
      </c>
      <c r="I79" s="4" t="str">
        <f>IF(Mode = 2,IF(Table2[[#This Row],[Vin]]&gt;Vout, "BUCK","BOOST"),IF(Table2[[#This Row],[Vin]]&gt;VIN_BB_to_buck, "BUCK", IF(Table2[[#This Row],[Vin]]&lt;=VIN_boost_to_BB,"BOOST","BUCK-BST")))</f>
        <v>BUCK</v>
      </c>
      <c r="J79">
        <f>IF(Table2[[#This Row],[Mode]]="BOOST",2, IF(Table2[[#This Row],[Mode]]="BUCK", 1,3))</f>
        <v>1</v>
      </c>
      <c r="K79" s="354">
        <f t="shared" si="11"/>
        <v>8.4</v>
      </c>
      <c r="L79" s="4">
        <f>Vout*Table2[[#This Row],[Iout]]/(Table2[[#This Row],[Vin]]*Efficiency)</f>
        <v>5.4701159678858158</v>
      </c>
      <c r="M79" s="711">
        <f>MIN(1/Fsw,CHOOSE(Table2[[#This Row],[Mode Digit]],(Vout+(Rdson2+Rs+Rdcr)*Table2[[#This Row],[Iout]])/(Table2[[#This Row],[Vin]]+(Rs+Rdson2-Rdson1)*Table2[[#This Row],[Iout]])/Fsw,(Vout+(Rdson3+Rdcr)*Table2[[#This Row],[Iin]]-Table2[[#This Row],[Vin]])/(Vout+(Rdson3-Rdson4-Rs)*Table2[[#This Row],[Iin]])/Fsw,t1_Ph_II))</f>
        <v>1.0375654431790921E-6</v>
      </c>
      <c r="N79" s="602">
        <f>CHOOSE(Table2[[#This Row],[Mode Digit]],1/Fsw-Table2[[#This Row],[t1_Ph_II]],1/Fsw-Table2[[#This Row],[t1_Ph_II]],(Vout/Fsw-Table2[[#This Row],[Vin]]*t1_Ph_II)/(Table2[[#This Row],[Vin]]+Vout))</f>
        <v>6.2910122348757454E-7</v>
      </c>
      <c r="O79" s="602">
        <f>1/Fsw-(Table2[[#This Row],[t1_Ph_II]]+Table2[[#This Row],[t2_Ph_I]])</f>
        <v>0</v>
      </c>
      <c r="P7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6.6314225400356381</v>
      </c>
      <c r="Q79" s="4">
        <f>CHOOSE(Table2[[#This Row],[Mode Digit]],Table2[[#This Row],[I_0]]+1/Lf*(Table2[[#This Row],[Vin]]-Vout)*Table2[[#This Row],[t1_Ph_II]],Table2[[#This Row],[I_0]]+1/Lf*Table2[[#This Row],[Vin]]*Table2[[#This Row],[t1_Ph_II]],Table2[[#This Row],[I_0]]+(Table2[[#This Row],[Vin]]-Vout)/L*Table2[[#This Row],[t1_Ph_II]])</f>
        <v>10.168577459964361</v>
      </c>
      <c r="R79" s="4">
        <f>CHOOSE(Table2[[#This Row],[Mode Digit]],0,0,Table2[[#This Row],[I_1]]+Table2[[#This Row],[Vin]]/L*Table2[[#This Row],[t2_Ph_I]])</f>
        <v>0</v>
      </c>
      <c r="S79" s="409">
        <f>Fsw*(Table2[[#This Row],[I_0]]*Table2[[#This Row],[t1_Ph_II]]+Table2[[#This Row],[I_1]]*Table2[[#This Row],[t2_Ph_I]]+Table2[[#This Row],[I_2]]*Table2[[#This Row],[t3_Ph_III]])</f>
        <v>7.9665596327109904</v>
      </c>
      <c r="T79" s="354">
        <f>MIN(1,CHOOSE(Table2[[#This Row],[Mode Digit]],(Vout+(Rdson2+Rs+Rdcr)*Table2[[#This Row],[Iout]])/(Table2[[#This Row],[Vin]]+(Rs+Rdson2-Rdson1)*Table2[[#This Row],[Iout]]),1,Fsw*Table2[[#This Row],[t2_Ph_I]]+Table2[[#This Row],[t1_Ph_II]]))</f>
        <v>0.62253926590745523</v>
      </c>
      <c r="U79" s="354">
        <f>MIN(1,CHOOSE(Table2[[#This Row],[Mode Digit]],0,(Vout+(Rdson3+Rdcr)*Table2[[#This Row],[Iin]]-Table2[[#This Row],[Vin]])/(Vout+(Rdson3-Rdson4-Rs)*Table2[[#This Row],[Iin]]),Fsw*Table2[[#This Row],[t1_Ph_II]]+Table2[[#This Row],[t3_Ph_III]]))</f>
        <v>0</v>
      </c>
      <c r="V79" s="4">
        <f>MAX(Table2[[#This Row],[I_0]:[I_2]])-MIN(Table2[[#This Row],[I_0]:[I_1]])</f>
        <v>3.5371549199287227</v>
      </c>
      <c r="W7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8.4618332574742929</v>
      </c>
      <c r="X79" s="354">
        <f>(Table2[[#This Row],[Irms Lf]]^2*Rdcr*(1+Ltc*Ta-Ltc*25))/(1-Table2[[#This Row],[Irms Lf]]^2*Rdcr*Ltc*ThetaCa)</f>
        <v>0.4295669766018117</v>
      </c>
      <c r="Y79" s="354">
        <f>ABS(7.759*10^-3*Fsw^0.9458*(0.00787*Table2[[#This Row],[Ripple Current pk-pk]])^2.304)</f>
        <v>0.59048108647498709</v>
      </c>
      <c r="Z79" s="354">
        <f>Table2[[#This Row],[DCR    Loss]]+Table2[[#This Row],[Core Loss]]</f>
        <v>1.0200480630767987</v>
      </c>
      <c r="AA79" s="4">
        <f>IF(Table2[[#This Row],[Vin]]&gt;Vout, Table2[[#This Row],[Ripple Current pk-pk]]/SQRT(12), SQRT(Table2[[#This Row],[Duty Cycle BOOST Leg]]/(1-Table2[[#This Row],[Duty Cycle BOOST Leg]]))*SQRT(Table2[[#This Row],[Iout]]^2+(Table2[[#This Row],[Ripple Current pk-pk]]^2)/12))</f>
        <v>1.0210886725931287</v>
      </c>
      <c r="AB79" s="354">
        <f>RCoutEsr*Table2[[#This Row],[Irms Cout]]^2</f>
        <v>5.2131103864899884E-3</v>
      </c>
      <c r="AC79" s="354">
        <f>Table2[[#This Row],[Cout ESR Loss]]</f>
        <v>5.2131103864899884E-3</v>
      </c>
      <c r="AD79" s="4">
        <f>IF(Table2[[#This Row],[Vin]]&gt;Vout, SQRT(Table2[[#This Row],[Duty Cycle BUCK Leg]]*(1-Table2[[#This Row],[Duty Cycle BUCK Leg]]))*SQRT(Table2[[#This Row],[Iout]]^2+(Table2[[#This Row],[Ripple Current pk-pk]]^2)/12), Table2[[#This Row],[Ripple Current pk-pk]]/SQRT(12))</f>
        <v>4.1018873379952741</v>
      </c>
      <c r="AE79" s="354">
        <f>RCinEsr*Table2[[#This Row],[Irms Cin]]^2</f>
        <v>3.3650959467211916E-2</v>
      </c>
      <c r="AF79" s="549">
        <f>Table2[[#This Row],[Cin ESR Loss]]</f>
        <v>3.3650959467211916E-2</v>
      </c>
      <c r="AG79" s="354">
        <f>Table2[[#This Row],[Irms Lf]]</f>
        <v>8.4618332574742929</v>
      </c>
      <c r="AH79" s="354">
        <f>Rdson1*Table2[[#This Row],[Irms BuCtrl]]^2</f>
        <v>0.30073101272465169</v>
      </c>
      <c r="AI79" s="354">
        <f>CHOOSE(Table2[[#This Row],[Mode Digit]], (Table2[[#This Row],[Vin]]*Table2[[#This Row],[Iout]]/2)*(Fsw)*(Tr_buck+Tf_buck), 0, (Table2[[#This Row],[Vin]]*Table2[[#This Row],[Avg IL]]/2)*(Fsw/1)*(Tr_buck+Tf_buck))</f>
        <v>1.965820582743989</v>
      </c>
      <c r="AJ79">
        <f>IF(Table2[[#This Row],[Vin]]&gt;Vout, IF(Table2[[#This Row],[Iout]]&gt;Table2[[#This Row],[Ripple Current pk-pk]]/2,0,ABS(Table2[[#This Row],[Iout]]-Table2[[#This Row],[Ripple Current pk-pk]]/2)*Vsd_Q1*Deadtime*Fsw),0)</f>
        <v>0</v>
      </c>
      <c r="AK79" s="354">
        <f>(Table2[[#This Row],[Dead Time Loss BuCtrl]]+Table2[[#This Row],[Transition Loss BuCtrl]]+Table2[[#This Row],[RDS(on) Loss BuCtrl]]*(1+RdsonTopTc*Ta-RdsonTopTc*25))/(1-Table2[[#This Row],[RDS(on) Loss BuCtrl]]*RdsonTopTc*ThetaJA_Q1)</f>
        <v>2.4428665726729104</v>
      </c>
      <c r="AL79" s="354">
        <f>Table2[[#This Row],[Irms Lf]]</f>
        <v>8.4618332574742929</v>
      </c>
      <c r="AM79" s="354">
        <f>Rdson2*Table2[[#This Row],[Irms BuSync]]^2</f>
        <v>0.30073101272465169</v>
      </c>
      <c r="AN7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0.40416000000000002</v>
      </c>
      <c r="AO79" s="354">
        <f>(Table2[[#This Row],[Deadtime Loss BuSync]]+Table2[[#This Row],[RDS(on) Loss BuSync]]*(1+RdsonBotTc*Ta-RdsonBotTc*25))/(1-Table2[[#This Row],[RDS(on) Loss BuSync]]*RdsonBotTc*ThetaJA_Q2)</f>
        <v>0.75972446239705782</v>
      </c>
      <c r="AP79" s="354">
        <f>Table2[[#This Row],[Irms Lf]]</f>
        <v>8.4618332574742929</v>
      </c>
      <c r="AQ79" s="354">
        <f>Rdson4*Table2[[#This Row],[Irms BoCtlr]]^2</f>
        <v>0.30073101272465169</v>
      </c>
      <c r="AR79" s="354">
        <f>CHOOSE(Table2[[#This Row],[Mode Digit]], 0, (Vout*Table2[[#This Row],[Iin]]/2)*(Fsw)*(Tr_boost+Tf_boost), (Vout*Iout/2)*(Fsw/1)*(Tr_boost+Tf_boost))</f>
        <v>0</v>
      </c>
      <c r="AS79" s="354">
        <f>IF(Table2[[#This Row],[Vin]]&gt;Vout, 0, IF(Table2[[#This Row],[Iin]]&gt;Table2[[#This Row],[Ripple Current pk-pk]]/2,0,ABS(Table2[[#This Row],[Iin]]-Table2[[#This Row],[Ripple Current pk-pk]]/2)*Vsd_Q4*Deadtime*Fsw))</f>
        <v>0</v>
      </c>
      <c r="AT79" s="354">
        <f>(Table2[[#This Row],[Dead Time Loss BoCtlr]]+Table2[[#This Row],[Transition Loss BoCtlr]]+Table2[[#This Row],[RDS(on) Loss BoCtlr]]*(1+RdsonTopTc*Ta-RdsonTopTc*25))/(1-Table2[[#This Row],[RDS(on) Loss BoCtlr]]*RdsonTopTc*ThetaJA_Q4)</f>
        <v>0.32412486873003443</v>
      </c>
      <c r="AU79" s="354">
        <f>Table2[[#This Row],[Irms Lf]]</f>
        <v>8.4618332574742929</v>
      </c>
      <c r="AV79" s="354">
        <f>Rdson3*Table2[[#This Row],[Irms BoSync]]^2</f>
        <v>0.30073101272465169</v>
      </c>
      <c r="AW7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79" s="354">
        <f>(Table2[[#This Row],[Deadtime Loss BoSync]]+Table2[[#This Row],[RDS(on) Loss BoSync]]*(1+RdsonBotTc*Ta-RdsonBotTc*25))/(1-Table2[[#This Row],[RDS(on) Loss BoSync]]*RdsonBotTc*ThetaJA_Q3)</f>
        <v>0.32412486873003443</v>
      </c>
      <c r="AY79" s="354">
        <f>CHOOSE(Table2[[#This Row],[Mode Digit]], Rdson3*Table2[[#This Row],[Irms Lf]]^2, Rdson1*Table2[[#This Row],[Irms Lf]]^2, 0)</f>
        <v>0.30073101272465169</v>
      </c>
      <c r="AZ79" s="354">
        <f>CHOOSE(Table2[[#This Row],[Mode Digit]], 2*Deadtime*Fsw*IF(VfdSky_Q2&gt;0,VfdSky_Q2,0)*Table2[[#This Row],[Iout]], 2*Deadtime*Fsw*IF(VfdSky_Q3&gt;0,VfdSky_Q3,0)*Table2[[#This Row],[Iin]], 2*Deadtime*Fsw*IF(VfdSky_Q2&gt;0,VfdSky_Q2,0)*Table2[[#This Row],[Iout]]+2*Deadtime*Fsw*IF(VfdSky_Q3&gt;0,VfdSky_Q3,0)*Table2[[#This Row],[Iin]])</f>
        <v>0</v>
      </c>
      <c r="BA7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0.19794364800000003</v>
      </c>
      <c r="BB7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0.19794364800000003</v>
      </c>
      <c r="BC79" s="354">
        <f>CHOOSE(Table2[[#This Row],[Mode Digit]], Rs*Table2[[#This Row],[Irms BuSync]]^2, Rs*Table2[[#This Row],[Irms BoCtlr]]^2, Rs*(Table2[[#This Row],[Irms BuSync]]^2+Table2[[#This Row],[Irms BoCtlr]]^2))</f>
        <v>0.17900655519324501</v>
      </c>
      <c r="BD79" s="354">
        <f t="shared" si="9"/>
        <v>1.44</v>
      </c>
      <c r="BE79" s="354">
        <f>IF(Vout&gt;8, Iq*Vout, Iq*Table2[[#This Row],[Vin]])</f>
        <v>4.3799999999999999E-2</v>
      </c>
      <c r="BF79" s="354">
        <f>CHOOSE(Table2[[#This Row],[Mode Digit]], (Qg_Q1+Qg_Q2)*Fsw, (Qg_Q3+Qg_Q4)*Fsw, (Qg_Q1+Qg_Q2+Qg_Q3+Qg_Q4)*Fsw)*IF(Vout&gt;8, Vout, Table2[[#This Row],[Vin]])</f>
        <v>0.47303999999999996</v>
      </c>
      <c r="BG79" s="354">
        <f t="shared" si="10"/>
        <v>0.57269042016806726</v>
      </c>
      <c r="BH79" s="354">
        <f>Table2[[#This Row],[IQ Loss]]+Table2[[#This Row],[Switching Current Loss]]</f>
        <v>0.51683999999999997</v>
      </c>
      <c r="BI7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7.4414867566537826</v>
      </c>
      <c r="BJ79">
        <f>Vout*Table2[[#This Row],[Iout]]</f>
        <v>122.64</v>
      </c>
      <c r="BK79" s="550">
        <f>Table2[[#This Row],[Pout]]/(Table2[[#This Row],[Pout]]+Table2[[#This Row],[Total Loss]])</f>
        <v>0.94279365233136725</v>
      </c>
      <c r="BL79" s="559">
        <f>IF(Table2[[#This Row],[Vin]]&gt;Vout,ThetaJA_Q1*(Table2[[#This Row],[Total Control Bu MOSFET Loss]]+Table2[[#This Row],[Reverse Recovery Loss MOSFET D BUCK]]),ThetaJA_Q4*(Table2[[#This Row],[Total Control Bo MOSFET Loss]]+Table2[[#This Row],[Reverse Recovery Loss MOSFET D BOOST]]))</f>
        <v>158.44861324037461</v>
      </c>
      <c r="BM79" s="559">
        <f>IF(Table2[[#This Row],[Vin]]&gt;Vout, Table2[[#This Row],[Total Sync Bu MOSFET Loss]]*ThetaJA_Q2, ThetaJA_Q3*Table2[[#This Row],[Total Sync Bo MOSFET Loss]])</f>
        <v>45.583467743823469</v>
      </c>
      <c r="BN79" s="9"/>
      <c r="BO79" s="4">
        <f>Table2[[#This Row],[EFF, h]]*100</f>
        <v>94.27936523313673</v>
      </c>
      <c r="BP79" s="354">
        <f>Table2[[#This Row],[Total Inductor Loss]]</f>
        <v>1.0200480630767987</v>
      </c>
      <c r="BQ79" s="354">
        <f>Table2[[#This Row],[Total Control Bu MOSFET Loss]]+Table2[[#This Row],[Total Sync Bu MOSFET Loss]]+Table2[[#This Row],[Total Control Bo MOSFET Loss]]+Table2[[#This Row],[Total Sync Bo MOSFET Loss]]+Table2[[#This Row],[Reverse Recovery Loss MOSFET D BUCK]]+Table2[[#This Row],[Reverse Recovery Loss MOSFET D BOOST]]</f>
        <v>4.2467280685300368</v>
      </c>
      <c r="BR79" s="354">
        <f xml:space="preserve"> Table2[[#This Row],[Total Control Bu MOSFET Loss]]+Table2[[#This Row],[Reverse Recovery Loss MOSFET D BUCK]]*0.66</f>
        <v>2.5735093803529105</v>
      </c>
      <c r="BS79" s="354">
        <f>Table2[[#This Row],[Total Sync Bu MOSFET Loss]]+Table2[[#This Row],[Reverse Recovery Loss MOSFET D BUCK]]*0.33</f>
        <v>0.82504586623705789</v>
      </c>
      <c r="BT79" s="354">
        <f xml:space="preserve"> Table2[[#This Row],[Total Control Bo MOSFET Loss]]+Table2[[#This Row],[Reverse Recovery Loss MOSFET D BOOST]]*0.66</f>
        <v>0.45476767641003446</v>
      </c>
      <c r="BU79" s="354">
        <f xml:space="preserve"> Table2[[#This Row],[Total Sync Bo MOSFET Loss]]+Table2[[#This Row],[Reverse Recovery Loss MOSFET D BOOST]]*0.33</f>
        <v>0.38944627257003445</v>
      </c>
      <c r="BV79" s="354">
        <f>Table2[[#This Row],[Isense Shunt Loss]]</f>
        <v>0.17900655519324501</v>
      </c>
      <c r="CB79" s="18"/>
      <c r="CC79" s="19"/>
    </row>
    <row r="80" spans="1:81" x14ac:dyDescent="0.2">
      <c r="A80" s="34" t="s">
        <v>49</v>
      </c>
      <c r="B80" s="76" t="e">
        <f>SUM(B77:B79)</f>
        <v>#NAME?</v>
      </c>
      <c r="C80" s="21" t="s">
        <v>2</v>
      </c>
      <c r="G80">
        <v>71</v>
      </c>
      <c r="H80" s="555">
        <f t="shared" si="8"/>
        <v>23.6</v>
      </c>
      <c r="I80" s="4" t="str">
        <f>IF(Mode = 2,IF(Table2[[#This Row],[Vin]]&gt;Vout, "BUCK","BOOST"),IF(Table2[[#This Row],[Vin]]&gt;VIN_BB_to_buck, "BUCK", IF(Table2[[#This Row],[Vin]]&lt;=VIN_boost_to_BB,"BOOST","BUCK-BST")))</f>
        <v>BUCK</v>
      </c>
      <c r="J80">
        <f>IF(Table2[[#This Row],[Mode]]="BOOST",2, IF(Table2[[#This Row],[Mode]]="BUCK", 1,3))</f>
        <v>1</v>
      </c>
      <c r="K80" s="354">
        <f t="shared" si="11"/>
        <v>8.52</v>
      </c>
      <c r="L80" s="4">
        <f>Vout*Table2[[#This Row],[Iout]]/(Table2[[#This Row],[Vin]]*Efficiency)</f>
        <v>5.5482604817127559</v>
      </c>
      <c r="M80" s="711">
        <f>MIN(1/Fsw,CHOOSE(Table2[[#This Row],[Mode Digit]],(Vout+(Rdson2+Rs+Rdcr)*Table2[[#This Row],[Iout]])/(Table2[[#This Row],[Vin]]+(Rs+Rdson2-Rdson1)*Table2[[#This Row],[Iout]])/Fsw,(Vout+(Rdson3+Rdcr)*Table2[[#This Row],[Iin]]-Table2[[#This Row],[Vin]])/(Vout+(Rdson3-Rdson4-Rs)*Table2[[#This Row],[Iin]])/Fsw,t1_Ph_II))</f>
        <v>1.0376581023624158E-6</v>
      </c>
      <c r="N80" s="602">
        <f>CHOOSE(Table2[[#This Row],[Mode Digit]],1/Fsw-Table2[[#This Row],[t1_Ph_II]],1/Fsw-Table2[[#This Row],[t1_Ph_II]],(Vout/Fsw-Table2[[#This Row],[Vin]]*t1_Ph_II)/(Table2[[#This Row],[Vin]]+Vout))</f>
        <v>6.2900856430425082E-7</v>
      </c>
      <c r="O80" s="602">
        <f>1/Fsw-(Table2[[#This Row],[t1_Ph_II]]+Table2[[#This Row],[t2_Ph_I]])</f>
        <v>0</v>
      </c>
      <c r="P8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6.7512645982458812</v>
      </c>
      <c r="Q80" s="4">
        <f>CHOOSE(Table2[[#This Row],[Mode Digit]],Table2[[#This Row],[I_0]]+1/Lf*(Table2[[#This Row],[Vin]]-Vout)*Table2[[#This Row],[t1_Ph_II]],Table2[[#This Row],[I_0]]+1/Lf*Table2[[#This Row],[Vin]]*Table2[[#This Row],[t1_Ph_II]],Table2[[#This Row],[I_0]]+(Table2[[#This Row],[Vin]]-Vout)/L*Table2[[#This Row],[t1_Ph_II]])</f>
        <v>10.288735401754117</v>
      </c>
      <c r="R80" s="4">
        <f>CHOOSE(Table2[[#This Row],[Mode Digit]],0,0,Table2[[#This Row],[I_1]]+Table2[[#This Row],[Vin]]/L*Table2[[#This Row],[t2_Ph_I]])</f>
        <v>0</v>
      </c>
      <c r="S80" s="409">
        <f>Fsw*(Table2[[#This Row],[I_0]]*Table2[[#This Row],[t1_Ph_II]]+Table2[[#This Row],[I_1]]*Table2[[#This Row],[t2_Ph_I]]+Table2[[#This Row],[I_2]]*Table2[[#This Row],[t3_Ph_III]])</f>
        <v>8.0863242570756331</v>
      </c>
      <c r="T80" s="354">
        <f>MIN(1,CHOOSE(Table2[[#This Row],[Mode Digit]],(Vout+(Rdson2+Rs+Rdcr)*Table2[[#This Row],[Iout]])/(Table2[[#This Row],[Vin]]+(Rs+Rdson2-Rdson1)*Table2[[#This Row],[Iout]]),1,Fsw*Table2[[#This Row],[t2_Ph_I]]+Table2[[#This Row],[t1_Ph_II]]))</f>
        <v>0.62259486141744946</v>
      </c>
      <c r="U80" s="354">
        <f>MIN(1,CHOOSE(Table2[[#This Row],[Mode Digit]],0,(Vout+(Rdson3+Rdcr)*Table2[[#This Row],[Iin]]-Table2[[#This Row],[Vin]])/(Vout+(Rdson3-Rdson4-Rs)*Table2[[#This Row],[Iin]]),Fsw*Table2[[#This Row],[t1_Ph_II]]+Table2[[#This Row],[t3_Ph_III]]))</f>
        <v>0</v>
      </c>
      <c r="V80" s="4">
        <f>MAX(Table2[[#This Row],[I_0]:[I_2]])-MIN(Table2[[#This Row],[I_0]:[I_1]])</f>
        <v>3.5374708035082358</v>
      </c>
      <c r="W8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8.5809794491735865</v>
      </c>
      <c r="X80" s="354">
        <f>(Table2[[#This Row],[Irms Lf]]^2*Rdcr*(1+Ltc*Ta-Ltc*25))/(1-Table2[[#This Row],[Irms Lf]]^2*Rdcr*Ltc*ThetaCa)</f>
        <v>0.44218004706010766</v>
      </c>
      <c r="Y80" s="354">
        <f>ABS(7.759*10^-3*Fsw^0.9458*(0.00787*Table2[[#This Row],[Ripple Current pk-pk]])^2.304)</f>
        <v>0.5906025893969995</v>
      </c>
      <c r="Z80" s="354">
        <f>Table2[[#This Row],[DCR    Loss]]+Table2[[#This Row],[Core Loss]]</f>
        <v>1.0327826364571071</v>
      </c>
      <c r="AA80" s="4">
        <f>IF(Table2[[#This Row],[Vin]]&gt;Vout, Table2[[#This Row],[Ripple Current pk-pk]]/SQRT(12), SQRT(Table2[[#This Row],[Duty Cycle BOOST Leg]]/(1-Table2[[#This Row],[Duty Cycle BOOST Leg]]))*SQRT(Table2[[#This Row],[Iout]]^2+(Table2[[#This Row],[Ripple Current pk-pk]]^2)/12))</f>
        <v>1.0211798603279609</v>
      </c>
      <c r="AB80" s="354">
        <f>RCoutEsr*Table2[[#This Row],[Irms Cout]]^2</f>
        <v>5.2140415356971689E-3</v>
      </c>
      <c r="AC80" s="354">
        <f>Table2[[#This Row],[Cout ESR Loss]]</f>
        <v>5.2140415356971689E-3</v>
      </c>
      <c r="AD80" s="4">
        <f>IF(Table2[[#This Row],[Vin]]&gt;Vout, SQRT(Table2[[#This Row],[Duty Cycle BUCK Leg]]*(1-Table2[[#This Row],[Duty Cycle BUCK Leg]]))*SQRT(Table2[[#This Row],[Iout]]^2+(Table2[[#This Row],[Ripple Current pk-pk]]^2)/12), Table2[[#This Row],[Ripple Current pk-pk]]/SQRT(12))</f>
        <v>4.1595230218317409</v>
      </c>
      <c r="AE80" s="354">
        <f>RCinEsr*Table2[[#This Row],[Irms Cin]]^2</f>
        <v>3.4603263538296521E-2</v>
      </c>
      <c r="AF80" s="549">
        <f>Table2[[#This Row],[Cin ESR Loss]]</f>
        <v>3.4603263538296521E-2</v>
      </c>
      <c r="AG80" s="354">
        <f>Table2[[#This Row],[Irms Lf]]</f>
        <v>8.5809794491735865</v>
      </c>
      <c r="AH80" s="354">
        <f>Rdson1*Table2[[#This Row],[Irms BuCtrl]]^2</f>
        <v>0.30925947488998562</v>
      </c>
      <c r="AI80" s="354">
        <f>CHOOSE(Table2[[#This Row],[Mode Digit]], (Table2[[#This Row],[Vin]]*Table2[[#This Row],[Iout]]/2)*(Fsw)*(Tr_buck+Tf_buck), 0, (Table2[[#This Row],[Vin]]*Table2[[#This Row],[Avg IL]]/2)*(Fsw/1)*(Tr_buck+Tf_buck))</f>
        <v>1.9939037339260459</v>
      </c>
      <c r="AJ80">
        <f>IF(Table2[[#This Row],[Vin]]&gt;Vout, IF(Table2[[#This Row],[Iout]]&gt;Table2[[#This Row],[Ripple Current pk-pk]]/2,0,ABS(Table2[[#This Row],[Iout]]-Table2[[#This Row],[Ripple Current pk-pk]]/2)*Vsd_Q1*Deadtime*Fsw),0)</f>
        <v>0</v>
      </c>
      <c r="AK80" s="354">
        <f>(Table2[[#This Row],[Dead Time Loss BuCtrl]]+Table2[[#This Row],[Transition Loss BuCtrl]]+Table2[[#This Row],[RDS(on) Loss BuCtrl]]*(1+RdsonTopTc*Ta-RdsonTopTc*25))/(1-Table2[[#This Row],[RDS(on) Loss BuCtrl]]*RdsonTopTc*ThetaJA_Q1)</f>
        <v>2.4878144548817374</v>
      </c>
      <c r="AL80" s="354">
        <f>Table2[[#This Row],[Irms Lf]]</f>
        <v>8.5809794491735865</v>
      </c>
      <c r="AM80" s="354">
        <f>Rdson2*Table2[[#This Row],[Irms BuSync]]^2</f>
        <v>0.30925947488998562</v>
      </c>
      <c r="AN8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0.40993371428571423</v>
      </c>
      <c r="AO80" s="354">
        <f>(Table2[[#This Row],[Deadtime Loss BuSync]]+Table2[[#This Row],[RDS(on) Loss BuSync]]*(1+RdsonBotTc*Ta-RdsonBotTc*25))/(1-Table2[[#This Row],[RDS(on) Loss BuSync]]*RdsonBotTc*ThetaJA_Q2)</f>
        <v>0.77685298420669524</v>
      </c>
      <c r="AP80" s="354">
        <f>Table2[[#This Row],[Irms Lf]]</f>
        <v>8.5809794491735865</v>
      </c>
      <c r="AQ80" s="354">
        <f>Rdson4*Table2[[#This Row],[Irms BoCtlr]]^2</f>
        <v>0.30925947488998562</v>
      </c>
      <c r="AR80" s="354">
        <f>CHOOSE(Table2[[#This Row],[Mode Digit]], 0, (Vout*Table2[[#This Row],[Iin]]/2)*(Fsw)*(Tr_boost+Tf_boost), (Vout*Iout/2)*(Fsw/1)*(Tr_boost+Tf_boost))</f>
        <v>0</v>
      </c>
      <c r="AS80" s="354">
        <f>IF(Table2[[#This Row],[Vin]]&gt;Vout, 0, IF(Table2[[#This Row],[Iin]]&gt;Table2[[#This Row],[Ripple Current pk-pk]]/2,0,ABS(Table2[[#This Row],[Iin]]-Table2[[#This Row],[Ripple Current pk-pk]]/2)*Vsd_Q4*Deadtime*Fsw))</f>
        <v>0</v>
      </c>
      <c r="AT80" s="354">
        <f>(Table2[[#This Row],[Dead Time Loss BoCtlr]]+Table2[[#This Row],[Transition Loss BoCtlr]]+Table2[[#This Row],[RDS(on) Loss BoCtlr]]*(1+RdsonTopTc*Ta-RdsonTopTc*25))/(1-Table2[[#This Row],[RDS(on) Loss BoCtlr]]*RdsonTopTc*ThetaJA_Q4)</f>
        <v>0.33405370014396463</v>
      </c>
      <c r="AU80" s="354">
        <f>Table2[[#This Row],[Irms Lf]]</f>
        <v>8.5809794491735865</v>
      </c>
      <c r="AV80" s="354">
        <f>Rdson3*Table2[[#This Row],[Irms BoSync]]^2</f>
        <v>0.30925947488998562</v>
      </c>
      <c r="AW8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0" s="354">
        <f>(Table2[[#This Row],[Deadtime Loss BoSync]]+Table2[[#This Row],[RDS(on) Loss BoSync]]*(1+RdsonBotTc*Ta-RdsonBotTc*25))/(1-Table2[[#This Row],[RDS(on) Loss BoSync]]*RdsonBotTc*ThetaJA_Q3)</f>
        <v>0.33405370014396463</v>
      </c>
      <c r="AY80" s="354">
        <f>CHOOSE(Table2[[#This Row],[Mode Digit]], Rdson3*Table2[[#This Row],[Irms Lf]]^2, Rdson1*Table2[[#This Row],[Irms Lf]]^2, 0)</f>
        <v>0.30925947488998562</v>
      </c>
      <c r="AZ80" s="354">
        <f>CHOOSE(Table2[[#This Row],[Mode Digit]], 2*Deadtime*Fsw*IF(VfdSky_Q2&gt;0,VfdSky_Q2,0)*Table2[[#This Row],[Iout]], 2*Deadtime*Fsw*IF(VfdSky_Q3&gt;0,VfdSky_Q3,0)*Table2[[#This Row],[Iin]], 2*Deadtime*Fsw*IF(VfdSky_Q2&gt;0,VfdSky_Q2,0)*Table2[[#This Row],[Iout]]+2*Deadtime*Fsw*IF(VfdSky_Q3&gt;0,VfdSky_Q3,0)*Table2[[#This Row],[Iin]])</f>
        <v>0</v>
      </c>
      <c r="BA8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0.20076712032000002</v>
      </c>
      <c r="BB8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0.20076712032000002</v>
      </c>
      <c r="BC80" s="354">
        <f>CHOOSE(Table2[[#This Row],[Mode Digit]], Rs*Table2[[#This Row],[Irms BuSync]]^2, Rs*Table2[[#This Row],[Irms BoCtlr]]^2, Rs*(Table2[[#This Row],[Irms BuSync]]^2+Table2[[#This Row],[Irms BoCtlr]]^2))</f>
        <v>0.18408302076784858</v>
      </c>
      <c r="BD80" s="354">
        <f t="shared" si="9"/>
        <v>1.44</v>
      </c>
      <c r="BE80" s="354">
        <f>IF(Vout&gt;8, Iq*Vout, Iq*Table2[[#This Row],[Vin]])</f>
        <v>4.3799999999999999E-2</v>
      </c>
      <c r="BF80" s="354">
        <f>CHOOSE(Table2[[#This Row],[Mode Digit]], (Qg_Q1+Qg_Q2)*Fsw, (Qg_Q3+Qg_Q4)*Fsw, (Qg_Q1+Qg_Q2+Qg_Q3+Qg_Q4)*Fsw)*IF(Vout&gt;8, Vout, Table2[[#This Row],[Vin]])</f>
        <v>0.47303999999999996</v>
      </c>
      <c r="BG80" s="354">
        <f t="shared" si="10"/>
        <v>0.57269042016806726</v>
      </c>
      <c r="BH80" s="354">
        <f>Table2[[#This Row],[IQ Loss]]+Table2[[#This Row],[Switching Current Loss]]</f>
        <v>0.51683999999999997</v>
      </c>
      <c r="BI8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7.5478320423153136</v>
      </c>
      <c r="BJ80">
        <f>Vout*Table2[[#This Row],[Iout]]</f>
        <v>124.392</v>
      </c>
      <c r="BK80" s="550">
        <f>Table2[[#This Row],[Pout]]/(Table2[[#This Row],[Pout]]+Table2[[#This Row],[Total Loss]])</f>
        <v>0.94279337842498845</v>
      </c>
      <c r="BL80" s="559">
        <f>IF(Table2[[#This Row],[Vin]]&gt;Vout,ThetaJA_Q1*(Table2[[#This Row],[Total Control Bu MOSFET Loss]]+Table2[[#This Row],[Reverse Recovery Loss MOSFET D BUCK]]),ThetaJA_Q4*(Table2[[#This Row],[Total Control Bo MOSFET Loss]]+Table2[[#This Row],[Reverse Recovery Loss MOSFET D BOOST]]))</f>
        <v>161.31489451210425</v>
      </c>
      <c r="BM80" s="559">
        <f>IF(Table2[[#This Row],[Vin]]&gt;Vout, Table2[[#This Row],[Total Sync Bu MOSFET Loss]]*ThetaJA_Q2, ThetaJA_Q3*Table2[[#This Row],[Total Sync Bo MOSFET Loss]])</f>
        <v>46.611179052401717</v>
      </c>
      <c r="BN80" s="9"/>
      <c r="BO80" s="4">
        <f>Table2[[#This Row],[EFF, h]]*100</f>
        <v>94.279337842498848</v>
      </c>
      <c r="BP80" s="354">
        <f>Table2[[#This Row],[Total Inductor Loss]]</f>
        <v>1.0327826364571071</v>
      </c>
      <c r="BQ80" s="354">
        <f>Table2[[#This Row],[Total Control Bu MOSFET Loss]]+Table2[[#This Row],[Total Sync Bu MOSFET Loss]]+Table2[[#This Row],[Total Control Bo MOSFET Loss]]+Table2[[#This Row],[Total Sync Bo MOSFET Loss]]+Table2[[#This Row],[Reverse Recovery Loss MOSFET D BUCK]]+Table2[[#This Row],[Reverse Recovery Loss MOSFET D BOOST]]</f>
        <v>4.3343090800163617</v>
      </c>
      <c r="BR80" s="354">
        <f xml:space="preserve"> Table2[[#This Row],[Total Control Bu MOSFET Loss]]+Table2[[#This Row],[Reverse Recovery Loss MOSFET D BUCK]]*0.66</f>
        <v>2.6203207542929374</v>
      </c>
      <c r="BS80" s="354">
        <f>Table2[[#This Row],[Total Sync Bu MOSFET Loss]]+Table2[[#This Row],[Reverse Recovery Loss MOSFET D BUCK]]*0.33</f>
        <v>0.84310613391229527</v>
      </c>
      <c r="BT80" s="354">
        <f xml:space="preserve"> Table2[[#This Row],[Total Control Bo MOSFET Loss]]+Table2[[#This Row],[Reverse Recovery Loss MOSFET D BOOST]]*0.66</f>
        <v>0.46655999955516464</v>
      </c>
      <c r="BU80" s="354">
        <f xml:space="preserve"> Table2[[#This Row],[Total Sync Bo MOSFET Loss]]+Table2[[#This Row],[Reverse Recovery Loss MOSFET D BOOST]]*0.33</f>
        <v>0.40030684984956466</v>
      </c>
      <c r="BV80" s="354">
        <f>Table2[[#This Row],[Isense Shunt Loss]]</f>
        <v>0.18408302076784858</v>
      </c>
      <c r="CB80" s="18"/>
      <c r="CC80" s="19"/>
    </row>
    <row r="81" spans="1:81" x14ac:dyDescent="0.2">
      <c r="A81" s="2"/>
      <c r="G81">
        <v>72</v>
      </c>
      <c r="H81" s="555">
        <f t="shared" si="8"/>
        <v>23.6</v>
      </c>
      <c r="I81" s="4" t="str">
        <f>IF(Mode = 2,IF(Table2[[#This Row],[Vin]]&gt;Vout, "BUCK","BOOST"),IF(Table2[[#This Row],[Vin]]&gt;VIN_BB_to_buck, "BUCK", IF(Table2[[#This Row],[Vin]]&lt;=VIN_boost_to_BB,"BOOST","BUCK-BST")))</f>
        <v>BUCK</v>
      </c>
      <c r="J81">
        <f>IF(Table2[[#This Row],[Mode]]="BOOST",2, IF(Table2[[#This Row],[Mode]]="BUCK", 1,3))</f>
        <v>1</v>
      </c>
      <c r="K81" s="354">
        <f t="shared" si="11"/>
        <v>8.64</v>
      </c>
      <c r="L81" s="4">
        <f>Vout*Table2[[#This Row],[Iout]]/(Table2[[#This Row],[Vin]]*Efficiency)</f>
        <v>5.6264049955396969</v>
      </c>
      <c r="M81" s="711">
        <f>MIN(1/Fsw,CHOOSE(Table2[[#This Row],[Mode Digit]],(Vout+(Rdson2+Rs+Rdcr)*Table2[[#This Row],[Iout]])/(Table2[[#This Row],[Vin]]+(Rs+Rdson2-Rdson1)*Table2[[#This Row],[Iout]])/Fsw,(Vout+(Rdson3+Rdcr)*Table2[[#This Row],[Iin]]-Table2[[#This Row],[Vin]])/(Vout+(Rdson3-Rdson4-Rs)*Table2[[#This Row],[Iin]])/Fsw,t1_Ph_II))</f>
        <v>1.0377507591921518E-6</v>
      </c>
      <c r="N81" s="602">
        <f>CHOOSE(Table2[[#This Row],[Mode Digit]],1/Fsw-Table2[[#This Row],[t1_Ph_II]],1/Fsw-Table2[[#This Row],[t1_Ph_II]],(Vout/Fsw-Table2[[#This Row],[Vin]]*t1_Ph_II)/(Table2[[#This Row],[Vin]]+Vout))</f>
        <v>6.2891590747451487E-7</v>
      </c>
      <c r="O81" s="602">
        <f>1/Fsw-(Table2[[#This Row],[t1_Ph_II]]+Table2[[#This Row],[t2_Ph_I]])</f>
        <v>0</v>
      </c>
      <c r="P8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6.8711066604679232</v>
      </c>
      <c r="Q81" s="4">
        <f>CHOOSE(Table2[[#This Row],[Mode Digit]],Table2[[#This Row],[I_0]]+1/Lf*(Table2[[#This Row],[Vin]]-Vout)*Table2[[#This Row],[t1_Ph_II]],Table2[[#This Row],[I_0]]+1/Lf*Table2[[#This Row],[Vin]]*Table2[[#This Row],[t1_Ph_II]],Table2[[#This Row],[I_0]]+(Table2[[#This Row],[Vin]]-Vout)/L*Table2[[#This Row],[t1_Ph_II]])</f>
        <v>10.408893339532078</v>
      </c>
      <c r="R81" s="4">
        <f>CHOOSE(Table2[[#This Row],[Mode Digit]],0,0,Table2[[#This Row],[I_1]]+Table2[[#This Row],[Vin]]/L*Table2[[#This Row],[t2_Ph_I]])</f>
        <v>0</v>
      </c>
      <c r="S81" s="409">
        <f>Fsw*(Table2[[#This Row],[I_0]]*Table2[[#This Row],[t1_Ph_II]]+Table2[[#This Row],[I_1]]*Table2[[#This Row],[t2_Ph_I]]+Table2[[#This Row],[I_2]]*Table2[[#This Row],[t3_Ph_III]])</f>
        <v>8.2060888522968529</v>
      </c>
      <c r="T81" s="354">
        <f>MIN(1,CHOOSE(Table2[[#This Row],[Mode Digit]],(Vout+(Rdson2+Rs+Rdcr)*Table2[[#This Row],[Iout]])/(Table2[[#This Row],[Vin]]+(Rs+Rdson2-Rdson1)*Table2[[#This Row],[Iout]]),1,Fsw*Table2[[#This Row],[t2_Ph_I]]+Table2[[#This Row],[t1_Ph_II]]))</f>
        <v>0.62265045551529108</v>
      </c>
      <c r="U81" s="354">
        <f>MIN(1,CHOOSE(Table2[[#This Row],[Mode Digit]],0,(Vout+(Rdson3+Rdcr)*Table2[[#This Row],[Iin]]-Table2[[#This Row],[Vin]])/(Vout+(Rdson3-Rdson4-Rs)*Table2[[#This Row],[Iin]]),Fsw*Table2[[#This Row],[t1_Ph_II]]+Table2[[#This Row],[t3_Ph_III]]))</f>
        <v>0</v>
      </c>
      <c r="V81" s="4">
        <f>MAX(Table2[[#This Row],[I_0]:[I_2]])-MIN(Table2[[#This Row],[I_0]:[I_1]])</f>
        <v>3.5377866790641548</v>
      </c>
      <c r="W8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8.7001491107267999</v>
      </c>
      <c r="X81" s="354">
        <f>(Table2[[#This Row],[Irms Lf]]^2*Rdcr*(1+Ltc*Ta-Ltc*25))/(1-Table2[[#This Row],[Irms Lf]]^2*Rdcr*Ltc*ThetaCa)</f>
        <v>0.45499716953486968</v>
      </c>
      <c r="Y81" s="354">
        <f>ABS(7.759*10^-3*Fsw^0.9458*(0.00787*Table2[[#This Row],[Ripple Current pk-pk]])^2.304)</f>
        <v>0.59072410338117753</v>
      </c>
      <c r="Z81" s="354">
        <f>Table2[[#This Row],[DCR    Loss]]+Table2[[#This Row],[Core Loss]]</f>
        <v>1.0457212729160472</v>
      </c>
      <c r="AA81" s="4">
        <f>IF(Table2[[#This Row],[Vin]]&gt;Vout, Table2[[#This Row],[Ripple Current pk-pk]]/SQRT(12), SQRT(Table2[[#This Row],[Duty Cycle BOOST Leg]]/(1-Table2[[#This Row],[Duty Cycle BOOST Leg]]))*SQRT(Table2[[#This Row],[Iout]]^2+(Table2[[#This Row],[Ripple Current pk-pk]]^2)/12))</f>
        <v>1.021271045746581</v>
      </c>
      <c r="AB81" s="354">
        <f>RCoutEsr*Table2[[#This Row],[Irms Cout]]^2</f>
        <v>5.214972744401576E-3</v>
      </c>
      <c r="AC81" s="354">
        <f>Table2[[#This Row],[Cout ESR Loss]]</f>
        <v>5.214972744401576E-3</v>
      </c>
      <c r="AD81" s="4">
        <f>IF(Table2[[#This Row],[Vin]]&gt;Vout, SQRT(Table2[[#This Row],[Duty Cycle BUCK Leg]]*(1-Table2[[#This Row],[Duty Cycle BUCK Leg]]))*SQRT(Table2[[#This Row],[Iout]]^2+(Table2[[#This Row],[Ripple Current pk-pk]]^2)/12), Table2[[#This Row],[Ripple Current pk-pk]]/SQRT(12))</f>
        <v>4.2171666764061584</v>
      </c>
      <c r="AE81" s="354">
        <f>RCinEsr*Table2[[#This Row],[Irms Cin]]^2</f>
        <v>3.5568989553181128E-2</v>
      </c>
      <c r="AF81" s="549">
        <f>Table2[[#This Row],[Cin ESR Loss]]</f>
        <v>3.5568989553181128E-2</v>
      </c>
      <c r="AG81" s="354">
        <f>Table2[[#This Row],[Irms Lf]]</f>
        <v>8.7001491107267999</v>
      </c>
      <c r="AH81" s="354">
        <f>Rdson1*Table2[[#This Row],[Irms BuCtrl]]^2</f>
        <v>0.31790889710529741</v>
      </c>
      <c r="AI81" s="354">
        <f>CHOOSE(Table2[[#This Row],[Mode Digit]], (Table2[[#This Row],[Vin]]*Table2[[#This Row],[Iout]]/2)*(Fsw)*(Tr_buck+Tf_buck), 0, (Table2[[#This Row],[Vin]]*Table2[[#This Row],[Avg IL]]/2)*(Fsw/1)*(Tr_buck+Tf_buck))</f>
        <v>2.0219868851081033</v>
      </c>
      <c r="AJ81">
        <f>IF(Table2[[#This Row],[Vin]]&gt;Vout, IF(Table2[[#This Row],[Iout]]&gt;Table2[[#This Row],[Ripple Current pk-pk]]/2,0,ABS(Table2[[#This Row],[Iout]]-Table2[[#This Row],[Ripple Current pk-pk]]/2)*Vsd_Q1*Deadtime*Fsw),0)</f>
        <v>0</v>
      </c>
      <c r="AK81" s="354">
        <f>(Table2[[#This Row],[Dead Time Loss BuCtrl]]+Table2[[#This Row],[Transition Loss BuCtrl]]+Table2[[#This Row],[RDS(on) Loss BuCtrl]]*(1+RdsonTopTc*Ta-RdsonTopTc*25))/(1-Table2[[#This Row],[RDS(on) Loss BuCtrl]]*RdsonTopTc*ThetaJA_Q1)</f>
        <v>2.5331720890124063</v>
      </c>
      <c r="AL81" s="354">
        <f>Table2[[#This Row],[Irms Lf]]</f>
        <v>8.7001491107267999</v>
      </c>
      <c r="AM81" s="354">
        <f>Rdson2*Table2[[#This Row],[Irms BuSync]]^2</f>
        <v>0.31790889710529741</v>
      </c>
      <c r="AN8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0.41570742857142862</v>
      </c>
      <c r="AO81" s="354">
        <f>(Table2[[#This Row],[Deadtime Loss BuSync]]+Table2[[#This Row],[RDS(on) Loss BuSync]]*(1+RdsonBotTc*Ta-RdsonBotTc*25))/(1-Table2[[#This Row],[RDS(on) Loss BuSync]]*RdsonBotTc*ThetaJA_Q2)</f>
        <v>0.79421332111219312</v>
      </c>
      <c r="AP81" s="354">
        <f>Table2[[#This Row],[Irms Lf]]</f>
        <v>8.7001491107267999</v>
      </c>
      <c r="AQ81" s="354">
        <f>Rdson4*Table2[[#This Row],[Irms BoCtlr]]^2</f>
        <v>0.31790889710529741</v>
      </c>
      <c r="AR81" s="354">
        <f>CHOOSE(Table2[[#This Row],[Mode Digit]], 0, (Vout*Table2[[#This Row],[Iin]]/2)*(Fsw)*(Tr_boost+Tf_boost), (Vout*Iout/2)*(Fsw/1)*(Tr_boost+Tf_boost))</f>
        <v>0</v>
      </c>
      <c r="AS81" s="354">
        <f>IF(Table2[[#This Row],[Vin]]&gt;Vout, 0, IF(Table2[[#This Row],[Iin]]&gt;Table2[[#This Row],[Ripple Current pk-pk]]/2,0,ABS(Table2[[#This Row],[Iin]]-Table2[[#This Row],[Ripple Current pk-pk]]/2)*Vsd_Q4*Deadtime*Fsw))</f>
        <v>0</v>
      </c>
      <c r="AT81" s="354">
        <f>(Table2[[#This Row],[Dead Time Loss BoCtlr]]+Table2[[#This Row],[Transition Loss BoCtlr]]+Table2[[#This Row],[RDS(on) Loss BoCtlr]]*(1+RdsonTopTc*Ta-RdsonTopTc*25))/(1-Table2[[#This Row],[RDS(on) Loss BoCtlr]]*RdsonTopTc*ThetaJA_Q4)</f>
        <v>0.34416829634782881</v>
      </c>
      <c r="AU81" s="354">
        <f>Table2[[#This Row],[Irms Lf]]</f>
        <v>8.7001491107267999</v>
      </c>
      <c r="AV81" s="354">
        <f>Rdson3*Table2[[#This Row],[Irms BoSync]]^2</f>
        <v>0.31790889710529741</v>
      </c>
      <c r="AW8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1" s="354">
        <f>(Table2[[#This Row],[Deadtime Loss BoSync]]+Table2[[#This Row],[RDS(on) Loss BoSync]]*(1+RdsonBotTc*Ta-RdsonBotTc*25))/(1-Table2[[#This Row],[RDS(on) Loss BoSync]]*RdsonBotTc*ThetaJA_Q3)</f>
        <v>0.34416829634782881</v>
      </c>
      <c r="AY81" s="354">
        <f>CHOOSE(Table2[[#This Row],[Mode Digit]], Rdson3*Table2[[#This Row],[Irms Lf]]^2, Rdson1*Table2[[#This Row],[Irms Lf]]^2, 0)</f>
        <v>0.31790889710529741</v>
      </c>
      <c r="AZ81" s="354">
        <f>CHOOSE(Table2[[#This Row],[Mode Digit]], 2*Deadtime*Fsw*IF(VfdSky_Q2&gt;0,VfdSky_Q2,0)*Table2[[#This Row],[Iout]], 2*Deadtime*Fsw*IF(VfdSky_Q3&gt;0,VfdSky_Q3,0)*Table2[[#This Row],[Iin]], 2*Deadtime*Fsw*IF(VfdSky_Q2&gt;0,VfdSky_Q2,0)*Table2[[#This Row],[Iout]]+2*Deadtime*Fsw*IF(VfdSky_Q3&gt;0,VfdSky_Q3,0)*Table2[[#This Row],[Iin]])</f>
        <v>0</v>
      </c>
      <c r="BA8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0.20359047168000002</v>
      </c>
      <c r="BB8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0.20359047168000002</v>
      </c>
      <c r="BC81" s="354">
        <f>CHOOSE(Table2[[#This Row],[Mode Digit]], Rs*Table2[[#This Row],[Irms BuSync]]^2, Rs*Table2[[#This Row],[Irms BoCtlr]]^2, Rs*(Table2[[#This Row],[Irms BuSync]]^2+Table2[[#This Row],[Irms BoCtlr]]^2))</f>
        <v>0.1892314863722008</v>
      </c>
      <c r="BD81" s="354">
        <f t="shared" si="9"/>
        <v>1.44</v>
      </c>
      <c r="BE81" s="354">
        <f>IF(Vout&gt;8, Iq*Vout, Iq*Table2[[#This Row],[Vin]])</f>
        <v>4.3799999999999999E-2</v>
      </c>
      <c r="BF81" s="354">
        <f>CHOOSE(Table2[[#This Row],[Mode Digit]], (Qg_Q1+Qg_Q2)*Fsw, (Qg_Q3+Qg_Q4)*Fsw, (Qg_Q1+Qg_Q2+Qg_Q3+Qg_Q4)*Fsw)*IF(Vout&gt;8, Vout, Table2[[#This Row],[Vin]])</f>
        <v>0.47303999999999996</v>
      </c>
      <c r="BG81" s="354">
        <f t="shared" si="10"/>
        <v>0.57269042016806726</v>
      </c>
      <c r="BH81" s="354">
        <f>Table2[[#This Row],[IQ Loss]]+Table2[[#This Row],[Switching Current Loss]]</f>
        <v>0.51683999999999997</v>
      </c>
      <c r="BI8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7.6554796677660875</v>
      </c>
      <c r="BJ81">
        <f>Vout*Table2[[#This Row],[Iout]]</f>
        <v>126.14400000000001</v>
      </c>
      <c r="BK81" s="550">
        <f>Table2[[#This Row],[Pout]]/(Table2[[#This Row],[Pout]]+Table2[[#This Row],[Total Loss]])</f>
        <v>0.94278393543252037</v>
      </c>
      <c r="BL81" s="559">
        <f>IF(Table2[[#This Row],[Vin]]&gt;Vout,ThetaJA_Q1*(Table2[[#This Row],[Total Control Bu MOSFET Loss]]+Table2[[#This Row],[Reverse Recovery Loss MOSFET D BUCK]]),ThetaJA_Q4*(Table2[[#This Row],[Total Control Bo MOSFET Loss]]+Table2[[#This Row],[Reverse Recovery Loss MOSFET D BOOST]]))</f>
        <v>164.20575364154439</v>
      </c>
      <c r="BM81" s="559">
        <f>IF(Table2[[#This Row],[Vin]]&gt;Vout, Table2[[#This Row],[Total Sync Bu MOSFET Loss]]*ThetaJA_Q2, ThetaJA_Q3*Table2[[#This Row],[Total Sync Bo MOSFET Loss]])</f>
        <v>47.652799266731584</v>
      </c>
      <c r="BN81" s="9"/>
      <c r="BO81" s="4">
        <f>Table2[[#This Row],[EFF, h]]*100</f>
        <v>94.278393543252037</v>
      </c>
      <c r="BP81" s="354">
        <f>Table2[[#This Row],[Total Inductor Loss]]</f>
        <v>1.0457212729160472</v>
      </c>
      <c r="BQ81" s="354">
        <f>Table2[[#This Row],[Total Control Bu MOSFET Loss]]+Table2[[#This Row],[Total Sync Bu MOSFET Loss]]+Table2[[#This Row],[Total Control Bo MOSFET Loss]]+Table2[[#This Row],[Total Sync Bo MOSFET Loss]]+Table2[[#This Row],[Reverse Recovery Loss MOSFET D BUCK]]+Table2[[#This Row],[Reverse Recovery Loss MOSFET D BOOST]]</f>
        <v>4.4229029461802574</v>
      </c>
      <c r="BR81" s="354">
        <f xml:space="preserve"> Table2[[#This Row],[Total Control Bu MOSFET Loss]]+Table2[[#This Row],[Reverse Recovery Loss MOSFET D BUCK]]*0.66</f>
        <v>2.6675418003212061</v>
      </c>
      <c r="BS81" s="354">
        <f>Table2[[#This Row],[Total Sync Bu MOSFET Loss]]+Table2[[#This Row],[Reverse Recovery Loss MOSFET D BUCK]]*0.33</f>
        <v>0.86139817676659314</v>
      </c>
      <c r="BT81" s="354">
        <f xml:space="preserve"> Table2[[#This Row],[Total Control Bo MOSFET Loss]]+Table2[[#This Row],[Reverse Recovery Loss MOSFET D BOOST]]*0.66</f>
        <v>0.47853800765662879</v>
      </c>
      <c r="BU81" s="354">
        <f xml:space="preserve"> Table2[[#This Row],[Total Sync Bo MOSFET Loss]]+Table2[[#This Row],[Reverse Recovery Loss MOSFET D BOOST]]*0.33</f>
        <v>0.41135315200222883</v>
      </c>
      <c r="BV81" s="354">
        <f>Table2[[#This Row],[Isense Shunt Loss]]</f>
        <v>0.1892314863722008</v>
      </c>
      <c r="CB81" s="18"/>
      <c r="CC81" s="19"/>
    </row>
    <row r="82" spans="1:81" x14ac:dyDescent="0.2">
      <c r="A82" s="2"/>
      <c r="G82">
        <v>73</v>
      </c>
      <c r="H82" s="555">
        <f t="shared" si="8"/>
        <v>23.6</v>
      </c>
      <c r="I82" s="4" t="str">
        <f>IF(Mode = 2,IF(Table2[[#This Row],[Vin]]&gt;Vout, "BUCK","BOOST"),IF(Table2[[#This Row],[Vin]]&gt;VIN_BB_to_buck, "BUCK", IF(Table2[[#This Row],[Vin]]&lt;=VIN_boost_to_BB,"BOOST","BUCK-BST")))</f>
        <v>BUCK</v>
      </c>
      <c r="J82">
        <f>IF(Table2[[#This Row],[Mode]]="BOOST",2, IF(Table2[[#This Row],[Mode]]="BUCK", 1,3))</f>
        <v>1</v>
      </c>
      <c r="K82" s="354">
        <f t="shared" si="11"/>
        <v>8.76</v>
      </c>
      <c r="L82" s="4">
        <f>Vout*Table2[[#This Row],[Iout]]/(Table2[[#This Row],[Vin]]*Efficiency)</f>
        <v>5.704549509366637</v>
      </c>
      <c r="M82" s="711">
        <f>MIN(1/Fsw,CHOOSE(Table2[[#This Row],[Mode Digit]],(Vout+(Rdson2+Rs+Rdcr)*Table2[[#This Row],[Iout]])/(Table2[[#This Row],[Vin]]+(Rs+Rdson2-Rdson1)*Table2[[#This Row],[Iout]])/Fsw,(Vout+(Rdson3+Rdcr)*Table2[[#This Row],[Iin]]-Table2[[#This Row],[Vin]])/(Vout+(Rdson3-Rdson4-Rs)*Table2[[#This Row],[Iin]])/Fsw,t1_Ph_II))</f>
        <v>1.0378434136683898E-6</v>
      </c>
      <c r="N82" s="602">
        <f>CHOOSE(Table2[[#This Row],[Mode Digit]],1/Fsw-Table2[[#This Row],[t1_Ph_II]],1/Fsw-Table2[[#This Row],[t1_Ph_II]],(Vout/Fsw-Table2[[#This Row],[Vin]]*t1_Ph_II)/(Table2[[#This Row],[Vin]]+Vout))</f>
        <v>6.2882325299827691E-7</v>
      </c>
      <c r="O82" s="602">
        <f>1/Fsw-(Table2[[#This Row],[t1_Ph_II]]+Table2[[#This Row],[t2_Ph_I]])</f>
        <v>0</v>
      </c>
      <c r="P8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6.9909487267016077</v>
      </c>
      <c r="Q82" s="4">
        <f>CHOOSE(Table2[[#This Row],[Mode Digit]],Table2[[#This Row],[I_0]]+1/Lf*(Table2[[#This Row],[Vin]]-Vout)*Table2[[#This Row],[t1_Ph_II]],Table2[[#This Row],[I_0]]+1/Lf*Table2[[#This Row],[Vin]]*Table2[[#This Row],[t1_Ph_II]],Table2[[#This Row],[I_0]]+(Table2[[#This Row],[Vin]]-Vout)/L*Table2[[#This Row],[t1_Ph_II]])</f>
        <v>10.529051273298391</v>
      </c>
      <c r="R82" s="4">
        <f>CHOOSE(Table2[[#This Row],[Mode Digit]],0,0,Table2[[#This Row],[I_1]]+Table2[[#This Row],[Vin]]/L*Table2[[#This Row],[t2_Ph_I]])</f>
        <v>0</v>
      </c>
      <c r="S82" s="409">
        <f>Fsw*(Table2[[#This Row],[I_0]]*Table2[[#This Row],[t1_Ph_II]]+Table2[[#This Row],[I_1]]*Table2[[#This Row],[t2_Ph_I]]+Table2[[#This Row],[I_2]]*Table2[[#This Row],[t3_Ph_III]])</f>
        <v>8.3258534183770934</v>
      </c>
      <c r="T82" s="354">
        <f>MIN(1,CHOOSE(Table2[[#This Row],[Mode Digit]],(Vout+(Rdson2+Rs+Rdcr)*Table2[[#This Row],[Iout]])/(Table2[[#This Row],[Vin]]+(Rs+Rdson2-Rdson1)*Table2[[#This Row],[Iout]]),1,Fsw*Table2[[#This Row],[t2_Ph_I]]+Table2[[#This Row],[t1_Ph_II]]))</f>
        <v>0.62270604820103381</v>
      </c>
      <c r="U82" s="354">
        <f>MIN(1,CHOOSE(Table2[[#This Row],[Mode Digit]],0,(Vout+(Rdson3+Rdcr)*Table2[[#This Row],[Iin]]-Table2[[#This Row],[Vin]])/(Vout+(Rdson3-Rdson4-Rs)*Table2[[#This Row],[Iin]]),Fsw*Table2[[#This Row],[t1_Ph_II]]+Table2[[#This Row],[t3_Ph_III]]))</f>
        <v>0</v>
      </c>
      <c r="V82" s="4">
        <f>MAX(Table2[[#This Row],[I_0]:[I_2]])-MIN(Table2[[#This Row],[I_0]:[I_1]])</f>
        <v>3.5381025465967832</v>
      </c>
      <c r="W8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8.8193412907381887</v>
      </c>
      <c r="X82" s="354">
        <f>(Table2[[#This Row],[Irms Lf]]^2*Rdcr*(1+Ltc*Ta-Ltc*25))/(1-Table2[[#This Row],[Irms Lf]]^2*Rdcr*Ltc*ThetaCa)</f>
        <v>0.46801948394864901</v>
      </c>
      <c r="Y82" s="354">
        <f>ABS(7.759*10^-3*Fsw^0.9458*(0.00787*Table2[[#This Row],[Ripple Current pk-pk]])^2.304)</f>
        <v>0.59084562842694166</v>
      </c>
      <c r="Z82" s="354">
        <f>Table2[[#This Row],[DCR    Loss]]+Table2[[#This Row],[Core Loss]]</f>
        <v>1.0588651123755906</v>
      </c>
      <c r="AA82" s="4">
        <f>IF(Table2[[#This Row],[Vin]]&gt;Vout, Table2[[#This Row],[Ripple Current pk-pk]]/SQRT(12), SQRT(Table2[[#This Row],[Duty Cycle BOOST Leg]]/(1-Table2[[#This Row],[Duty Cycle BOOST Leg]]))*SQRT(Table2[[#This Row],[Iout]]^2+(Table2[[#This Row],[Ripple Current pk-pk]]^2)/12))</f>
        <v>1.0213622288490767</v>
      </c>
      <c r="AB82" s="354">
        <f>RCoutEsr*Table2[[#This Row],[Irms Cout]]^2</f>
        <v>5.2159040125977687E-3</v>
      </c>
      <c r="AC82" s="354">
        <f>Table2[[#This Row],[Cout ESR Loss]]</f>
        <v>5.2159040125977687E-3</v>
      </c>
      <c r="AD82" s="4">
        <f>IF(Table2[[#This Row],[Vin]]&gt;Vout, SQRT(Table2[[#This Row],[Duty Cycle BUCK Leg]]*(1-Table2[[#This Row],[Duty Cycle BUCK Leg]]))*SQRT(Table2[[#This Row],[Iout]]^2+(Table2[[#This Row],[Ripple Current pk-pk]]^2)/12), Table2[[#This Row],[Ripple Current pk-pk]]/SQRT(12))</f>
        <v>4.2748178372793868</v>
      </c>
      <c r="AE82" s="354">
        <f>RCinEsr*Table2[[#This Row],[Irms Cin]]^2</f>
        <v>3.6548135083844031E-2</v>
      </c>
      <c r="AF82" s="549">
        <f>Table2[[#This Row],[Cin ESR Loss]]</f>
        <v>3.6548135083844031E-2</v>
      </c>
      <c r="AG82" s="354">
        <f>Table2[[#This Row],[Irms Lf]]</f>
        <v>8.8193412907381887</v>
      </c>
      <c r="AH82" s="354">
        <f>Rdson1*Table2[[#This Row],[Irms BuCtrl]]^2</f>
        <v>0.32667927937058211</v>
      </c>
      <c r="AI82" s="354">
        <f>CHOOSE(Table2[[#This Row],[Mode Digit]], (Table2[[#This Row],[Vin]]*Table2[[#This Row],[Iout]]/2)*(Fsw)*(Tr_buck+Tf_buck), 0, (Table2[[#This Row],[Vin]]*Table2[[#This Row],[Avg IL]]/2)*(Fsw/1)*(Tr_buck+Tf_buck))</f>
        <v>2.05007003629016</v>
      </c>
      <c r="AJ82">
        <f>IF(Table2[[#This Row],[Vin]]&gt;Vout, IF(Table2[[#This Row],[Iout]]&gt;Table2[[#This Row],[Ripple Current pk-pk]]/2,0,ABS(Table2[[#This Row],[Iout]]-Table2[[#This Row],[Ripple Current pk-pk]]/2)*Vsd_Q1*Deadtime*Fsw),0)</f>
        <v>0</v>
      </c>
      <c r="AK82" s="354">
        <f>(Table2[[#This Row],[Dead Time Loss BuCtrl]]+Table2[[#This Row],[Transition Loss BuCtrl]]+Table2[[#This Row],[RDS(on) Loss BuCtrl]]*(1+RdsonTopTc*Ta-RdsonTopTc*25))/(1-Table2[[#This Row],[RDS(on) Loss BuCtrl]]*RdsonTopTc*ThetaJA_Q1)</f>
        <v>2.5789465302279755</v>
      </c>
      <c r="AL82" s="354">
        <f>Table2[[#This Row],[Irms Lf]]</f>
        <v>8.8193412907381887</v>
      </c>
      <c r="AM82" s="354">
        <f>Rdson2*Table2[[#This Row],[Irms BuSync]]^2</f>
        <v>0.32667927937058211</v>
      </c>
      <c r="AN8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0.42148114285714283</v>
      </c>
      <c r="AO82" s="354">
        <f>(Table2[[#This Row],[Deadtime Loss BuSync]]+Table2[[#This Row],[RDS(on) Loss BuSync]]*(1+RdsonBotTc*Ta-RdsonBotTc*25))/(1-Table2[[#This Row],[RDS(on) Loss BuSync]]*RdsonBotTc*ThetaJA_Q2)</f>
        <v>0.81180868013490604</v>
      </c>
      <c r="AP82" s="354">
        <f>Table2[[#This Row],[Irms Lf]]</f>
        <v>8.8193412907381887</v>
      </c>
      <c r="AQ82" s="354">
        <f>Rdson4*Table2[[#This Row],[Irms BoCtlr]]^2</f>
        <v>0.32667927937058211</v>
      </c>
      <c r="AR82" s="354">
        <f>CHOOSE(Table2[[#This Row],[Mode Digit]], 0, (Vout*Table2[[#This Row],[Iin]]/2)*(Fsw)*(Tr_boost+Tf_boost), (Vout*Iout/2)*(Fsw/1)*(Tr_boost+Tf_boost))</f>
        <v>0</v>
      </c>
      <c r="AS82" s="354">
        <f>IF(Table2[[#This Row],[Vin]]&gt;Vout, 0, IF(Table2[[#This Row],[Iin]]&gt;Table2[[#This Row],[Ripple Current pk-pk]]/2,0,ABS(Table2[[#This Row],[Iin]]-Table2[[#This Row],[Ripple Current pk-pk]]/2)*Vsd_Q4*Deadtime*Fsw))</f>
        <v>0</v>
      </c>
      <c r="AT82" s="354">
        <f>(Table2[[#This Row],[Dead Time Loss BoCtlr]]+Table2[[#This Row],[Transition Loss BoCtlr]]+Table2[[#This Row],[RDS(on) Loss BoCtlr]]*(1+RdsonTopTc*Ta-RdsonTopTc*25))/(1-Table2[[#This Row],[RDS(on) Loss BoCtlr]]*RdsonTopTc*ThetaJA_Q4)</f>
        <v>0.3544708684583861</v>
      </c>
      <c r="AU82" s="354">
        <f>Table2[[#This Row],[Irms Lf]]</f>
        <v>8.8193412907381887</v>
      </c>
      <c r="AV82" s="354">
        <f>Rdson3*Table2[[#This Row],[Irms BoSync]]^2</f>
        <v>0.32667927937058211</v>
      </c>
      <c r="AW8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2" s="354">
        <f>(Table2[[#This Row],[Deadtime Loss BoSync]]+Table2[[#This Row],[RDS(on) Loss BoSync]]*(1+RdsonBotTc*Ta-RdsonBotTc*25))/(1-Table2[[#This Row],[RDS(on) Loss BoSync]]*RdsonBotTc*ThetaJA_Q3)</f>
        <v>0.3544708684583861</v>
      </c>
      <c r="AY82" s="354">
        <f>CHOOSE(Table2[[#This Row],[Mode Digit]], Rdson3*Table2[[#This Row],[Irms Lf]]^2, Rdson1*Table2[[#This Row],[Irms Lf]]^2, 0)</f>
        <v>0.32667927937058211</v>
      </c>
      <c r="AZ82" s="354">
        <f>CHOOSE(Table2[[#This Row],[Mode Digit]], 2*Deadtime*Fsw*IF(VfdSky_Q2&gt;0,VfdSky_Q2,0)*Table2[[#This Row],[Iout]], 2*Deadtime*Fsw*IF(VfdSky_Q3&gt;0,VfdSky_Q3,0)*Table2[[#This Row],[Iin]], 2*Deadtime*Fsw*IF(VfdSky_Q2&gt;0,VfdSky_Q2,0)*Table2[[#This Row],[Iout]]+2*Deadtime*Fsw*IF(VfdSky_Q3&gt;0,VfdSky_Q3,0)*Table2[[#This Row],[Iin]])</f>
        <v>0</v>
      </c>
      <c r="BA8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0.20641370208000004</v>
      </c>
      <c r="BB8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0.20641370208000004</v>
      </c>
      <c r="BC82" s="354">
        <f>CHOOSE(Table2[[#This Row],[Mode Digit]], Rs*Table2[[#This Row],[Irms BuSync]]^2, Rs*Table2[[#This Row],[Irms BoCtlr]]^2, Rs*(Table2[[#This Row],[Irms BuSync]]^2+Table2[[#This Row],[Irms BoCtlr]]^2))</f>
        <v>0.19445195200629886</v>
      </c>
      <c r="BD82" s="354">
        <f t="shared" si="9"/>
        <v>1.44</v>
      </c>
      <c r="BE82" s="354">
        <f>IF(Vout&gt;8, Iq*Vout, Iq*Table2[[#This Row],[Vin]])</f>
        <v>4.3799999999999999E-2</v>
      </c>
      <c r="BF82" s="354">
        <f>CHOOSE(Table2[[#This Row],[Mode Digit]], (Qg_Q1+Qg_Q2)*Fsw, (Qg_Q3+Qg_Q4)*Fsw, (Qg_Q1+Qg_Q2+Qg_Q3+Qg_Q4)*Fsw)*IF(Vout&gt;8, Vout, Table2[[#This Row],[Vin]])</f>
        <v>0.47303999999999996</v>
      </c>
      <c r="BG82" s="354">
        <f t="shared" si="10"/>
        <v>0.57269042016806726</v>
      </c>
      <c r="BH82" s="354">
        <f>Table2[[#This Row],[IQ Loss]]+Table2[[#This Row],[Switching Current Loss]]</f>
        <v>0.51683999999999997</v>
      </c>
      <c r="BI8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7.7644454549179844</v>
      </c>
      <c r="BJ82">
        <f>Vout*Table2[[#This Row],[Iout]]</f>
        <v>127.896</v>
      </c>
      <c r="BK82" s="550">
        <f>Table2[[#This Row],[Pout]]/(Table2[[#This Row],[Pout]]+Table2[[#This Row],[Total Loss]])</f>
        <v>0.94276559074473765</v>
      </c>
      <c r="BL82" s="559">
        <f>IF(Table2[[#This Row],[Vin]]&gt;Vout,ThetaJA_Q1*(Table2[[#This Row],[Total Control Bu MOSFET Loss]]+Table2[[#This Row],[Reverse Recovery Loss MOSFET D BUCK]]),ThetaJA_Q4*(Table2[[#This Row],[Total Control Bo MOSFET Loss]]+Table2[[#This Row],[Reverse Recovery Loss MOSFET D BOOST]]))</f>
        <v>167.12161393847853</v>
      </c>
      <c r="BM82" s="559">
        <f>IF(Table2[[#This Row],[Vin]]&gt;Vout, Table2[[#This Row],[Total Sync Bu MOSFET Loss]]*ThetaJA_Q2, ThetaJA_Q3*Table2[[#This Row],[Total Sync Bo MOSFET Loss]])</f>
        <v>48.708520808094363</v>
      </c>
      <c r="BN82" s="9"/>
      <c r="BO82" s="4">
        <f>Table2[[#This Row],[EFF, h]]*100</f>
        <v>94.276559074473766</v>
      </c>
      <c r="BP82" s="354">
        <f>Table2[[#This Row],[Total Inductor Loss]]</f>
        <v>1.0588651123755906</v>
      </c>
      <c r="BQ82" s="354">
        <f>Table2[[#This Row],[Total Control Bu MOSFET Loss]]+Table2[[#This Row],[Total Sync Bu MOSFET Loss]]+Table2[[#This Row],[Total Control Bo MOSFET Loss]]+Table2[[#This Row],[Total Sync Bo MOSFET Loss]]+Table2[[#This Row],[Reverse Recovery Loss MOSFET D BUCK]]+Table2[[#This Row],[Reverse Recovery Loss MOSFET D BOOST]]</f>
        <v>4.5125243514396534</v>
      </c>
      <c r="BR82" s="354">
        <f xml:space="preserve"> Table2[[#This Row],[Total Control Bu MOSFET Loss]]+Table2[[#This Row],[Reverse Recovery Loss MOSFET D BUCK]]*0.66</f>
        <v>2.7151795736007753</v>
      </c>
      <c r="BS82" s="354">
        <f>Table2[[#This Row],[Total Sync Bu MOSFET Loss]]+Table2[[#This Row],[Reverse Recovery Loss MOSFET D BUCK]]*0.33</f>
        <v>0.87992520182130607</v>
      </c>
      <c r="BT82" s="354">
        <f xml:space="preserve"> Table2[[#This Row],[Total Control Bo MOSFET Loss]]+Table2[[#This Row],[Reverse Recovery Loss MOSFET D BOOST]]*0.66</f>
        <v>0.49070391183118611</v>
      </c>
      <c r="BU82" s="354">
        <f xml:space="preserve"> Table2[[#This Row],[Total Sync Bo MOSFET Loss]]+Table2[[#This Row],[Reverse Recovery Loss MOSFET D BOOST]]*0.33</f>
        <v>0.42258739014478613</v>
      </c>
      <c r="BV82" s="354">
        <f>Table2[[#This Row],[Isense Shunt Loss]]</f>
        <v>0.19445195200629886</v>
      </c>
      <c r="CB82" s="18"/>
      <c r="CC82" s="19"/>
    </row>
    <row r="83" spans="1:81" x14ac:dyDescent="0.2">
      <c r="A83" s="2"/>
      <c r="G83">
        <v>74</v>
      </c>
      <c r="H83" s="555">
        <f t="shared" si="8"/>
        <v>23.6</v>
      </c>
      <c r="I83" s="4" t="str">
        <f>IF(Mode = 2,IF(Table2[[#This Row],[Vin]]&gt;Vout, "BUCK","BOOST"),IF(Table2[[#This Row],[Vin]]&gt;VIN_BB_to_buck, "BUCK", IF(Table2[[#This Row],[Vin]]&lt;=VIN_boost_to_BB,"BOOST","BUCK-BST")))</f>
        <v>BUCK</v>
      </c>
      <c r="J83">
        <f>IF(Table2[[#This Row],[Mode]]="BOOST",2, IF(Table2[[#This Row],[Mode]]="BUCK", 1,3))</f>
        <v>1</v>
      </c>
      <c r="K83" s="354">
        <f t="shared" si="11"/>
        <v>8.8800000000000008</v>
      </c>
      <c r="L83" s="4">
        <f>Vout*Table2[[#This Row],[Iout]]/(Table2[[#This Row],[Vin]]*Efficiency)</f>
        <v>5.7826940231935762</v>
      </c>
      <c r="M83" s="711">
        <f>MIN(1/Fsw,CHOOSE(Table2[[#This Row],[Mode Digit]],(Vout+(Rdson2+Rs+Rdcr)*Table2[[#This Row],[Iout]])/(Table2[[#This Row],[Vin]]+(Rs+Rdson2-Rdson1)*Table2[[#This Row],[Iout]])/Fsw,(Vout+(Rdson3+Rdcr)*Table2[[#This Row],[Iin]]-Table2[[#This Row],[Vin]])/(Vout+(Rdson3-Rdson4-Rs)*Table2[[#This Row],[Iin]])/Fsw,t1_Ph_II))</f>
        <v>1.0379360657912189E-6</v>
      </c>
      <c r="N83" s="602">
        <f>CHOOSE(Table2[[#This Row],[Mode Digit]],1/Fsw-Table2[[#This Row],[t1_Ph_II]],1/Fsw-Table2[[#This Row],[t1_Ph_II]],(Vout/Fsw-Table2[[#This Row],[Vin]]*t1_Ph_II)/(Table2[[#This Row],[Vin]]+Vout))</f>
        <v>6.2873060087544778E-7</v>
      </c>
      <c r="O83" s="602">
        <f>1/Fsw-(Table2[[#This Row],[t1_Ph_II]]+Table2[[#This Row],[t2_Ph_I]])</f>
        <v>0</v>
      </c>
      <c r="P8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7.1107907969467865</v>
      </c>
      <c r="Q83" s="4">
        <f>CHOOSE(Table2[[#This Row],[Mode Digit]],Table2[[#This Row],[I_0]]+1/Lf*(Table2[[#This Row],[Vin]]-Vout)*Table2[[#This Row],[t1_Ph_II]],Table2[[#This Row],[I_0]]+1/Lf*Table2[[#This Row],[Vin]]*Table2[[#This Row],[t1_Ph_II]],Table2[[#This Row],[I_0]]+(Table2[[#This Row],[Vin]]-Vout)/L*Table2[[#This Row],[t1_Ph_II]])</f>
        <v>10.649209203053214</v>
      </c>
      <c r="R83" s="4">
        <f>CHOOSE(Table2[[#This Row],[Mode Digit]],0,0,Table2[[#This Row],[I_1]]+Table2[[#This Row],[Vin]]/L*Table2[[#This Row],[t2_Ph_I]])</f>
        <v>0</v>
      </c>
      <c r="S83" s="409">
        <f>Fsw*(Table2[[#This Row],[I_0]]*Table2[[#This Row],[t1_Ph_II]]+Table2[[#This Row],[I_1]]*Table2[[#This Row],[t2_Ph_I]]+Table2[[#This Row],[I_2]]*Table2[[#This Row],[t3_Ph_III]])</f>
        <v>8.4456179553188093</v>
      </c>
      <c r="T83" s="354">
        <f>MIN(1,CHOOSE(Table2[[#This Row],[Mode Digit]],(Vout+(Rdson2+Rs+Rdcr)*Table2[[#This Row],[Iout]])/(Table2[[#This Row],[Vin]]+(Rs+Rdson2-Rdson1)*Table2[[#This Row],[Iout]]),1,Fsw*Table2[[#This Row],[t2_Ph_I]]+Table2[[#This Row],[t1_Ph_II]]))</f>
        <v>0.62276163947473129</v>
      </c>
      <c r="U83" s="354">
        <f>MIN(1,CHOOSE(Table2[[#This Row],[Mode Digit]],0,(Vout+(Rdson3+Rdcr)*Table2[[#This Row],[Iin]]-Table2[[#This Row],[Vin]])/(Vout+(Rdson3-Rdson4-Rs)*Table2[[#This Row],[Iin]]),Fsw*Table2[[#This Row],[t1_Ph_II]]+Table2[[#This Row],[t3_Ph_III]]))</f>
        <v>0</v>
      </c>
      <c r="V83" s="4">
        <f>MAX(Table2[[#This Row],[I_0]:[I_2]])-MIN(Table2[[#This Row],[I_0]:[I_1]])</f>
        <v>3.5384184061064277</v>
      </c>
      <c r="W8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8.9385550883829126</v>
      </c>
      <c r="X83" s="354">
        <f>(Table2[[#This Row],[Irms Lf]]^2*Rdcr*(1+Ltc*Ta-Ltc*25))/(1-Table2[[#This Row],[Irms Lf]]^2*Rdcr*Ltc*ThetaCa)</f>
        <v>0.48124815186595443</v>
      </c>
      <c r="Y83" s="354">
        <f>ABS(7.759*10^-3*Fsw^0.9458*(0.00787*Table2[[#This Row],[Ripple Current pk-pk]])^2.304)</f>
        <v>0.59096716453371767</v>
      </c>
      <c r="Z83" s="354">
        <f>Table2[[#This Row],[DCR    Loss]]+Table2[[#This Row],[Core Loss]]</f>
        <v>1.0722153163996722</v>
      </c>
      <c r="AA83" s="4">
        <f>IF(Table2[[#This Row],[Vin]]&gt;Vout, Table2[[#This Row],[Ripple Current pk-pk]]/SQRT(12), SQRT(Table2[[#This Row],[Duty Cycle BOOST Leg]]/(1-Table2[[#This Row],[Duty Cycle BOOST Leg]]))*SQRT(Table2[[#This Row],[Iout]]^2+(Table2[[#This Row],[Ripple Current pk-pk]]^2)/12))</f>
        <v>1.0214534096355363</v>
      </c>
      <c r="AB83" s="354">
        <f>RCoutEsr*Table2[[#This Row],[Irms Cout]]^2</f>
        <v>5.2168353402803139E-3</v>
      </c>
      <c r="AC83" s="354">
        <f>Table2[[#This Row],[Cout ESR Loss]]</f>
        <v>5.2168353402803139E-3</v>
      </c>
      <c r="AD83" s="4">
        <f>IF(Table2[[#This Row],[Vin]]&gt;Vout, SQRT(Table2[[#This Row],[Duty Cycle BUCK Leg]]*(1-Table2[[#This Row],[Duty Cycle BUCK Leg]]))*SQRT(Table2[[#This Row],[Iout]]^2+(Table2[[#This Row],[Ripple Current pk-pk]]^2)/12), Table2[[#This Row],[Ripple Current pk-pk]]/SQRT(12))</f>
        <v>4.3324760645763831</v>
      </c>
      <c r="AE83" s="354">
        <f>RCinEsr*Table2[[#This Row],[Irms Cin]]^2</f>
        <v>3.7540697700254526E-2</v>
      </c>
      <c r="AF83" s="549">
        <f>Table2[[#This Row],[Cin ESR Loss]]</f>
        <v>3.7540697700254526E-2</v>
      </c>
      <c r="AG83" s="354">
        <f>Table2[[#This Row],[Irms Lf]]</f>
        <v>8.9385550883829126</v>
      </c>
      <c r="AH83" s="354">
        <f>Rdson1*Table2[[#This Row],[Irms BuCtrl]]^2</f>
        <v>0.33557062168583546</v>
      </c>
      <c r="AI83" s="354">
        <f>CHOOSE(Table2[[#This Row],[Mode Digit]], (Table2[[#This Row],[Vin]]*Table2[[#This Row],[Iout]]/2)*(Fsw)*(Tr_buck+Tf_buck), 0, (Table2[[#This Row],[Vin]]*Table2[[#This Row],[Avg IL]]/2)*(Fsw/1)*(Tr_buck+Tf_buck))</f>
        <v>2.0781531874722177</v>
      </c>
      <c r="AJ83">
        <f>IF(Table2[[#This Row],[Vin]]&gt;Vout, IF(Table2[[#This Row],[Iout]]&gt;Table2[[#This Row],[Ripple Current pk-pk]]/2,0,ABS(Table2[[#This Row],[Iout]]-Table2[[#This Row],[Ripple Current pk-pk]]/2)*Vsd_Q1*Deadtime*Fsw),0)</f>
        <v>0</v>
      </c>
      <c r="AK83" s="354">
        <f>(Table2[[#This Row],[Dead Time Loss BuCtrl]]+Table2[[#This Row],[Transition Loss BuCtrl]]+Table2[[#This Row],[RDS(on) Loss BuCtrl]]*(1+RdsonTopTc*Ta-RdsonTopTc*25))/(1-Table2[[#This Row],[RDS(on) Loss BuCtrl]]*RdsonTopTc*ThetaJA_Q1)</f>
        <v>2.6251449768101223</v>
      </c>
      <c r="AL83" s="354">
        <f>Table2[[#This Row],[Irms Lf]]</f>
        <v>8.9385550883829126</v>
      </c>
      <c r="AM83" s="354">
        <f>Rdson2*Table2[[#This Row],[Irms BuSync]]^2</f>
        <v>0.33557062168583546</v>
      </c>
      <c r="AN8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0.42725485714285716</v>
      </c>
      <c r="AO83" s="354">
        <f>(Table2[[#This Row],[Deadtime Loss BuSync]]+Table2[[#This Row],[RDS(on) Loss BuSync]]*(1+RdsonBotTc*Ta-RdsonBotTc*25))/(1-Table2[[#This Row],[RDS(on) Loss BuSync]]*RdsonBotTc*ThetaJA_Q2)</f>
        <v>0.82964234198296005</v>
      </c>
      <c r="AP83" s="354">
        <f>Table2[[#This Row],[Irms Lf]]</f>
        <v>8.9385550883829126</v>
      </c>
      <c r="AQ83" s="354">
        <f>Rdson4*Table2[[#This Row],[Irms BoCtlr]]^2</f>
        <v>0.33557062168583546</v>
      </c>
      <c r="AR83" s="354">
        <f>CHOOSE(Table2[[#This Row],[Mode Digit]], 0, (Vout*Table2[[#This Row],[Iin]]/2)*(Fsw)*(Tr_boost+Tf_boost), (Vout*Iout/2)*(Fsw/1)*(Tr_boost+Tf_boost))</f>
        <v>0</v>
      </c>
      <c r="AS83" s="354">
        <f>IF(Table2[[#This Row],[Vin]]&gt;Vout, 0, IF(Table2[[#This Row],[Iin]]&gt;Table2[[#This Row],[Ripple Current pk-pk]]/2,0,ABS(Table2[[#This Row],[Iin]]-Table2[[#This Row],[Ripple Current pk-pk]]/2)*Vsd_Q4*Deadtime*Fsw))</f>
        <v>0</v>
      </c>
      <c r="AT83" s="354">
        <f>(Table2[[#This Row],[Dead Time Loss BoCtlr]]+Table2[[#This Row],[Transition Loss BoCtlr]]+Table2[[#This Row],[RDS(on) Loss BoCtlr]]*(1+RdsonTopTc*Ta-RdsonTopTc*25))/(1-Table2[[#This Row],[RDS(on) Loss BoCtlr]]*RdsonTopTc*ThetaJA_Q4)</f>
        <v>0.36496368331010531</v>
      </c>
      <c r="AU83" s="354">
        <f>Table2[[#This Row],[Irms Lf]]</f>
        <v>8.9385550883829126</v>
      </c>
      <c r="AV83" s="354">
        <f>Rdson3*Table2[[#This Row],[Irms BoSync]]^2</f>
        <v>0.33557062168583546</v>
      </c>
      <c r="AW8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3" s="354">
        <f>(Table2[[#This Row],[Deadtime Loss BoSync]]+Table2[[#This Row],[RDS(on) Loss BoSync]]*(1+RdsonBotTc*Ta-RdsonBotTc*25))/(1-Table2[[#This Row],[RDS(on) Loss BoSync]]*RdsonBotTc*ThetaJA_Q3)</f>
        <v>0.36496368331010531</v>
      </c>
      <c r="AY83" s="354">
        <f>CHOOSE(Table2[[#This Row],[Mode Digit]], Rdson3*Table2[[#This Row],[Irms Lf]]^2, Rdson1*Table2[[#This Row],[Irms Lf]]^2, 0)</f>
        <v>0.33557062168583546</v>
      </c>
      <c r="AZ83" s="354">
        <f>CHOOSE(Table2[[#This Row],[Mode Digit]], 2*Deadtime*Fsw*IF(VfdSky_Q2&gt;0,VfdSky_Q2,0)*Table2[[#This Row],[Iout]], 2*Deadtime*Fsw*IF(VfdSky_Q3&gt;0,VfdSky_Q3,0)*Table2[[#This Row],[Iin]], 2*Deadtime*Fsw*IF(VfdSky_Q2&gt;0,VfdSky_Q2,0)*Table2[[#This Row],[Iout]]+2*Deadtime*Fsw*IF(VfdSky_Q3&gt;0,VfdSky_Q3,0)*Table2[[#This Row],[Iin]])</f>
        <v>0</v>
      </c>
      <c r="BA8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0.20923681152000001</v>
      </c>
      <c r="BB8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0.20923681152000001</v>
      </c>
      <c r="BC83" s="354">
        <f>CHOOSE(Table2[[#This Row],[Mode Digit]], Rs*Table2[[#This Row],[Irms BuSync]]^2, Rs*Table2[[#This Row],[Irms BoCtlr]]^2, Rs*(Table2[[#This Row],[Irms BuSync]]^2+Table2[[#This Row],[Irms BoCtlr]]^2))</f>
        <v>0.19974441767014015</v>
      </c>
      <c r="BD83" s="354">
        <f t="shared" si="9"/>
        <v>1.44</v>
      </c>
      <c r="BE83" s="354">
        <f>IF(Vout&gt;8, Iq*Vout, Iq*Table2[[#This Row],[Vin]])</f>
        <v>4.3799999999999999E-2</v>
      </c>
      <c r="BF83" s="354">
        <f>CHOOSE(Table2[[#This Row],[Mode Digit]], (Qg_Q1+Qg_Q2)*Fsw, (Qg_Q3+Qg_Q4)*Fsw, (Qg_Q1+Qg_Q2+Qg_Q3+Qg_Q4)*Fsw)*IF(Vout&gt;8, Vout, Table2[[#This Row],[Vin]])</f>
        <v>0.47303999999999996</v>
      </c>
      <c r="BG83" s="354">
        <f t="shared" si="10"/>
        <v>0.57269042016806726</v>
      </c>
      <c r="BH83" s="354">
        <f>Table2[[#This Row],[IQ Loss]]+Table2[[#This Row],[Switching Current Loss]]</f>
        <v>0.51683999999999997</v>
      </c>
      <c r="BI8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7.8747455755636402</v>
      </c>
      <c r="BJ83">
        <f>Vout*Table2[[#This Row],[Iout]]</f>
        <v>129.648</v>
      </c>
      <c r="BK83" s="550">
        <f>Table2[[#This Row],[Pout]]/(Table2[[#This Row],[Pout]]+Table2[[#This Row],[Total Loss]])</f>
        <v>0.94273859540393801</v>
      </c>
      <c r="BL83" s="559">
        <f>IF(Table2[[#This Row],[Vin]]&gt;Vout,ThetaJA_Q1*(Table2[[#This Row],[Total Control Bu MOSFET Loss]]+Table2[[#This Row],[Reverse Recovery Loss MOSFET D BUCK]]),ThetaJA_Q4*(Table2[[#This Row],[Total Control Bo MOSFET Loss]]+Table2[[#This Row],[Reverse Recovery Loss MOSFET D BOOST]]))</f>
        <v>170.06290729980734</v>
      </c>
      <c r="BM83" s="559">
        <f>IF(Table2[[#This Row],[Vin]]&gt;Vout, Table2[[#This Row],[Total Sync Bu MOSFET Loss]]*ThetaJA_Q2, ThetaJA_Q3*Table2[[#This Row],[Total Sync Bo MOSFET Loss]])</f>
        <v>49.7785405189776</v>
      </c>
      <c r="BN83" s="9"/>
      <c r="BO83" s="4">
        <f>Table2[[#This Row],[EFF, h]]*100</f>
        <v>94.273859540393801</v>
      </c>
      <c r="BP83" s="354">
        <f>Table2[[#This Row],[Total Inductor Loss]]</f>
        <v>1.0722153163996722</v>
      </c>
      <c r="BQ83" s="354">
        <f>Table2[[#This Row],[Total Control Bu MOSFET Loss]]+Table2[[#This Row],[Total Sync Bu MOSFET Loss]]+Table2[[#This Row],[Total Control Bo MOSFET Loss]]+Table2[[#This Row],[Total Sync Bo MOSFET Loss]]+Table2[[#This Row],[Reverse Recovery Loss MOSFET D BUCK]]+Table2[[#This Row],[Reverse Recovery Loss MOSFET D BOOST]]</f>
        <v>4.6031883084532934</v>
      </c>
      <c r="BR83" s="354">
        <f xml:space="preserve"> Table2[[#This Row],[Total Control Bu MOSFET Loss]]+Table2[[#This Row],[Reverse Recovery Loss MOSFET D BUCK]]*0.66</f>
        <v>2.7632412724133224</v>
      </c>
      <c r="BS83" s="354">
        <f>Table2[[#This Row],[Total Sync Bu MOSFET Loss]]+Table2[[#This Row],[Reverse Recovery Loss MOSFET D BUCK]]*0.33</f>
        <v>0.89869048978456001</v>
      </c>
      <c r="BT83" s="354">
        <f xml:space="preserve"> Table2[[#This Row],[Total Control Bo MOSFET Loss]]+Table2[[#This Row],[Reverse Recovery Loss MOSFET D BOOST]]*0.66</f>
        <v>0.50305997891330534</v>
      </c>
      <c r="BU83" s="354">
        <f xml:space="preserve"> Table2[[#This Row],[Total Sync Bo MOSFET Loss]]+Table2[[#This Row],[Reverse Recovery Loss MOSFET D BOOST]]*0.33</f>
        <v>0.43401183111170533</v>
      </c>
      <c r="BV83" s="354">
        <f>Table2[[#This Row],[Isense Shunt Loss]]</f>
        <v>0.19974441767014015</v>
      </c>
      <c r="CB83" s="18"/>
      <c r="CC83" s="19"/>
    </row>
    <row r="84" spans="1:81" x14ac:dyDescent="0.2">
      <c r="G84">
        <v>75</v>
      </c>
      <c r="H84" s="555">
        <f t="shared" si="8"/>
        <v>23.6</v>
      </c>
      <c r="I84" s="4" t="str">
        <f>IF(Mode = 2,IF(Table2[[#This Row],[Vin]]&gt;Vout, "BUCK","BOOST"),IF(Table2[[#This Row],[Vin]]&gt;VIN_BB_to_buck, "BUCK", IF(Table2[[#This Row],[Vin]]&lt;=VIN_boost_to_BB,"BOOST","BUCK-BST")))</f>
        <v>BUCK</v>
      </c>
      <c r="J84">
        <f>IF(Table2[[#This Row],[Mode]]="BOOST",2, IF(Table2[[#This Row],[Mode]]="BUCK", 1,3))</f>
        <v>1</v>
      </c>
      <c r="K84" s="354">
        <f t="shared" si="11"/>
        <v>9</v>
      </c>
      <c r="L84" s="4">
        <f>Vout*Table2[[#This Row],[Iout]]/(Table2[[#This Row],[Vin]]*Efficiency)</f>
        <v>5.8608385370205172</v>
      </c>
      <c r="M84" s="711">
        <f>MIN(1/Fsw,CHOOSE(Table2[[#This Row],[Mode Digit]],(Vout+(Rdson2+Rs+Rdcr)*Table2[[#This Row],[Iout]])/(Table2[[#This Row],[Vin]]+(Rs+Rdson2-Rdson1)*Table2[[#This Row],[Iout]])/Fsw,(Vout+(Rdson3+Rdcr)*Table2[[#This Row],[Iin]]-Table2[[#This Row],[Vin]])/(Vout+(Rdson3-Rdson4-Rs)*Table2[[#This Row],[Iin]])/Fsw,t1_Ph_II))</f>
        <v>1.0380287155607294E-6</v>
      </c>
      <c r="N84" s="602">
        <f>CHOOSE(Table2[[#This Row],[Mode Digit]],1/Fsw-Table2[[#This Row],[t1_Ph_II]],1/Fsw-Table2[[#This Row],[t1_Ph_II]],(Vout/Fsw-Table2[[#This Row],[Vin]]*t1_Ph_II)/(Table2[[#This Row],[Vin]]+Vout))</f>
        <v>6.2863795110593727E-7</v>
      </c>
      <c r="O84" s="602">
        <f>1/Fsw-(Table2[[#This Row],[t1_Ph_II]]+Table2[[#This Row],[t2_Ph_I]])</f>
        <v>0</v>
      </c>
      <c r="P8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7.2306328712033014</v>
      </c>
      <c r="Q84" s="4">
        <f>CHOOSE(Table2[[#This Row],[Mode Digit]],Table2[[#This Row],[I_0]]+1/Lf*(Table2[[#This Row],[Vin]]-Vout)*Table2[[#This Row],[t1_Ph_II]],Table2[[#This Row],[I_0]]+1/Lf*Table2[[#This Row],[Vin]]*Table2[[#This Row],[t1_Ph_II]],Table2[[#This Row],[I_0]]+(Table2[[#This Row],[Vin]]-Vout)/L*Table2[[#This Row],[t1_Ph_II]])</f>
        <v>10.769367128796699</v>
      </c>
      <c r="R84" s="4">
        <f>CHOOSE(Table2[[#This Row],[Mode Digit]],0,0,Table2[[#This Row],[I_1]]+Table2[[#This Row],[Vin]]/L*Table2[[#This Row],[t2_Ph_I]])</f>
        <v>0</v>
      </c>
      <c r="S84" s="409">
        <f>Fsw*(Table2[[#This Row],[I_0]]*Table2[[#This Row],[t1_Ph_II]]+Table2[[#This Row],[I_1]]*Table2[[#This Row],[t2_Ph_I]]+Table2[[#This Row],[I_2]]*Table2[[#This Row],[t3_Ph_III]])</f>
        <v>8.5653824631244433</v>
      </c>
      <c r="T84" s="354">
        <f>MIN(1,CHOOSE(Table2[[#This Row],[Mode Digit]],(Vout+(Rdson2+Rs+Rdcr)*Table2[[#This Row],[Iout]])/(Table2[[#This Row],[Vin]]+(Rs+Rdson2-Rdson1)*Table2[[#This Row],[Iout]]),1,Fsw*Table2[[#This Row],[t2_Ph_I]]+Table2[[#This Row],[t1_Ph_II]]))</f>
        <v>0.62281722933643768</v>
      </c>
      <c r="U84" s="354">
        <f>MIN(1,CHOOSE(Table2[[#This Row],[Mode Digit]],0,(Vout+(Rdson3+Rdcr)*Table2[[#This Row],[Iin]]-Table2[[#This Row],[Vin]])/(Vout+(Rdson3-Rdson4-Rs)*Table2[[#This Row],[Iin]]),Fsw*Table2[[#This Row],[t1_Ph_II]]+Table2[[#This Row],[t3_Ph_III]]))</f>
        <v>0</v>
      </c>
      <c r="V84" s="4">
        <f>MAX(Table2[[#This Row],[I_0]:[I_2]])-MIN(Table2[[#This Row],[I_0]:[I_1]])</f>
        <v>3.5387342575933971</v>
      </c>
      <c r="W8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9.057789650101661</v>
      </c>
      <c r="X84" s="354">
        <f>(Table2[[#This Row],[Irms Lf]]^2*Rdcr*(1+Ltc*Ta-Ltc*25))/(1-Table2[[#This Row],[Irms Lf]]^2*Rdcr*Ltc*ThetaCa)</f>
        <v>0.49468435676361266</v>
      </c>
      <c r="Y84" s="354">
        <f>ABS(7.759*10^-3*Fsw^0.9458*(0.00787*Table2[[#This Row],[Ripple Current pk-pk]])^2.304)</f>
        <v>0.59108871170093003</v>
      </c>
      <c r="Z84" s="354">
        <f>Table2[[#This Row],[DCR    Loss]]+Table2[[#This Row],[Core Loss]]</f>
        <v>1.0857730684645426</v>
      </c>
      <c r="AA84" s="4">
        <f>IF(Table2[[#This Row],[Vin]]&gt;Vout, Table2[[#This Row],[Ripple Current pk-pk]]/SQRT(12), SQRT(Table2[[#This Row],[Duty Cycle BOOST Leg]]/(1-Table2[[#This Row],[Duty Cycle BOOST Leg]]))*SQRT(Table2[[#This Row],[Iout]]^2+(Table2[[#This Row],[Ripple Current pk-pk]]^2)/12))</f>
        <v>1.0215445881060492</v>
      </c>
      <c r="AB84" s="354">
        <f>RCoutEsr*Table2[[#This Row],[Irms Cout]]^2</f>
        <v>5.2177667274437888E-3</v>
      </c>
      <c r="AC84" s="354">
        <f>Table2[[#This Row],[Cout ESR Loss]]</f>
        <v>5.2177667274437888E-3</v>
      </c>
      <c r="AD84" s="4">
        <f>IF(Table2[[#This Row],[Vin]]&gt;Vout, SQRT(Table2[[#This Row],[Duty Cycle BUCK Leg]]*(1-Table2[[#This Row],[Duty Cycle BUCK Leg]]))*SQRT(Table2[[#This Row],[Iout]]^2+(Table2[[#This Row],[Ripple Current pk-pk]]^2)/12), Table2[[#This Row],[Ripple Current pk-pk]]/SQRT(12))</f>
        <v>4.3901409413806602</v>
      </c>
      <c r="AE84" s="354">
        <f>RCinEsr*Table2[[#This Row],[Irms Cin]]^2</f>
        <v>3.854667497037334E-2</v>
      </c>
      <c r="AF84" s="549">
        <f>Table2[[#This Row],[Cin ESR Loss]]</f>
        <v>3.854667497037334E-2</v>
      </c>
      <c r="AG84" s="354">
        <f>Table2[[#This Row],[Irms Lf]]</f>
        <v>9.057789650101661</v>
      </c>
      <c r="AH84" s="354">
        <f>Rdson1*Table2[[#This Row],[Irms BuCtrl]]^2</f>
        <v>0.3445829240510529</v>
      </c>
      <c r="AI84" s="354">
        <f>CHOOSE(Table2[[#This Row],[Mode Digit]], (Table2[[#This Row],[Vin]]*Table2[[#This Row],[Iout]]/2)*(Fsw)*(Tr_buck+Tf_buck), 0, (Table2[[#This Row],[Vin]]*Table2[[#This Row],[Avg IL]]/2)*(Fsw/1)*(Tr_buck+Tf_buck))</f>
        <v>2.106236338654274</v>
      </c>
      <c r="AJ84">
        <f>IF(Table2[[#This Row],[Vin]]&gt;Vout, IF(Table2[[#This Row],[Iout]]&gt;Table2[[#This Row],[Ripple Current pk-pk]]/2,0,ABS(Table2[[#This Row],[Iout]]-Table2[[#This Row],[Ripple Current pk-pk]]/2)*Vsd_Q1*Deadtime*Fsw),0)</f>
        <v>0</v>
      </c>
      <c r="AK84" s="354">
        <f>(Table2[[#This Row],[Dead Time Loss BuCtrl]]+Table2[[#This Row],[Transition Loss BuCtrl]]+Table2[[#This Row],[RDS(on) Loss BuCtrl]]*(1+RdsonTopTc*Ta-RdsonTopTc*25))/(1-Table2[[#This Row],[RDS(on) Loss BuCtrl]]*RdsonTopTc*ThetaJA_Q1)</f>
        <v>2.6717747740792648</v>
      </c>
      <c r="AL84" s="354">
        <f>Table2[[#This Row],[Irms Lf]]</f>
        <v>9.057789650101661</v>
      </c>
      <c r="AM84" s="354">
        <f>Rdson2*Table2[[#This Row],[Irms BuSync]]^2</f>
        <v>0.3445829240510529</v>
      </c>
      <c r="AN8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0.43302857142857143</v>
      </c>
      <c r="AO84" s="354">
        <f>(Table2[[#This Row],[Deadtime Loss BuSync]]+Table2[[#This Row],[RDS(on) Loss BuSync]]*(1+RdsonBotTc*Ta-RdsonBotTc*25))/(1-Table2[[#This Row],[RDS(on) Loss BuSync]]*RdsonBotTc*ThetaJA_Q2)</f>
        <v>0.8477176629349481</v>
      </c>
      <c r="AP84" s="354">
        <f>Table2[[#This Row],[Irms Lf]]</f>
        <v>9.057789650101661</v>
      </c>
      <c r="AQ84" s="354">
        <f>Rdson4*Table2[[#This Row],[Irms BoCtlr]]^2</f>
        <v>0.3445829240510529</v>
      </c>
      <c r="AR84" s="354">
        <f>CHOOSE(Table2[[#This Row],[Mode Digit]], 0, (Vout*Table2[[#This Row],[Iin]]/2)*(Fsw)*(Tr_boost+Tf_boost), (Vout*Iout/2)*(Fsw/1)*(Tr_boost+Tf_boost))</f>
        <v>0</v>
      </c>
      <c r="AS84" s="354">
        <f>IF(Table2[[#This Row],[Vin]]&gt;Vout, 0, IF(Table2[[#This Row],[Iin]]&gt;Table2[[#This Row],[Ripple Current pk-pk]]/2,0,ABS(Table2[[#This Row],[Iin]]-Table2[[#This Row],[Ripple Current pk-pk]]/2)*Vsd_Q4*Deadtime*Fsw))</f>
        <v>0</v>
      </c>
      <c r="AT84" s="354">
        <f>(Table2[[#This Row],[Dead Time Loss BoCtlr]]+Table2[[#This Row],[Transition Loss BoCtlr]]+Table2[[#This Row],[RDS(on) Loss BoCtlr]]*(1+RdsonTopTc*Ta-RdsonTopTc*25))/(1-Table2[[#This Row],[RDS(on) Loss BoCtlr]]*RdsonTopTc*ThetaJA_Q4)</f>
        <v>0.3756490648118298</v>
      </c>
      <c r="AU84" s="354">
        <f>Table2[[#This Row],[Irms Lf]]</f>
        <v>9.057789650101661</v>
      </c>
      <c r="AV84" s="354">
        <f>Rdson3*Table2[[#This Row],[Irms BoSync]]^2</f>
        <v>0.3445829240510529</v>
      </c>
      <c r="AW8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4" s="354">
        <f>(Table2[[#This Row],[Deadtime Loss BoSync]]+Table2[[#This Row],[RDS(on) Loss BoSync]]*(1+RdsonBotTc*Ta-RdsonBotTc*25))/(1-Table2[[#This Row],[RDS(on) Loss BoSync]]*RdsonBotTc*ThetaJA_Q3)</f>
        <v>0.3756490648118298</v>
      </c>
      <c r="AY84" s="354">
        <f>CHOOSE(Table2[[#This Row],[Mode Digit]], Rdson3*Table2[[#This Row],[Irms Lf]]^2, Rdson1*Table2[[#This Row],[Irms Lf]]^2, 0)</f>
        <v>0.3445829240510529</v>
      </c>
      <c r="AZ84" s="354">
        <f>CHOOSE(Table2[[#This Row],[Mode Digit]], 2*Deadtime*Fsw*IF(VfdSky_Q2&gt;0,VfdSky_Q2,0)*Table2[[#This Row],[Iout]], 2*Deadtime*Fsw*IF(VfdSky_Q3&gt;0,VfdSky_Q3,0)*Table2[[#This Row],[Iin]], 2*Deadtime*Fsw*IF(VfdSky_Q2&gt;0,VfdSky_Q2,0)*Table2[[#This Row],[Iout]]+2*Deadtime*Fsw*IF(VfdSky_Q3&gt;0,VfdSky_Q3,0)*Table2[[#This Row],[Iin]])</f>
        <v>0</v>
      </c>
      <c r="BA8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0.21205979999999999</v>
      </c>
      <c r="BB8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0.21205979999999999</v>
      </c>
      <c r="BC84" s="354">
        <f>CHOOSE(Table2[[#This Row],[Mode Digit]], Rs*Table2[[#This Row],[Irms BuSync]]^2, Rs*Table2[[#This Row],[Irms BoCtlr]]^2, Rs*(Table2[[#This Row],[Irms BuSync]]^2+Table2[[#This Row],[Irms BoCtlr]]^2))</f>
        <v>0.20510888336372193</v>
      </c>
      <c r="BD84" s="354">
        <f t="shared" si="9"/>
        <v>1.44</v>
      </c>
      <c r="BE84" s="354">
        <f>IF(Vout&gt;8, Iq*Vout, Iq*Table2[[#This Row],[Vin]])</f>
        <v>4.3799999999999999E-2</v>
      </c>
      <c r="BF84" s="354">
        <f>CHOOSE(Table2[[#This Row],[Mode Digit]], (Qg_Q1+Qg_Q2)*Fsw, (Qg_Q3+Qg_Q4)*Fsw, (Qg_Q1+Qg_Q2+Qg_Q3+Qg_Q4)*Fsw)*IF(Vout&gt;8, Vout, Table2[[#This Row],[Vin]])</f>
        <v>0.47303999999999996</v>
      </c>
      <c r="BG84" s="354">
        <f t="shared" si="10"/>
        <v>0.57269042016806726</v>
      </c>
      <c r="BH84" s="354">
        <f>Table2[[#This Row],[IQ Loss]]+Table2[[#This Row],[Switching Current Loss]]</f>
        <v>0.51683999999999997</v>
      </c>
      <c r="BI8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7.9863965601639535</v>
      </c>
      <c r="BJ84">
        <f>Vout*Table2[[#This Row],[Iout]]</f>
        <v>131.4</v>
      </c>
      <c r="BK84" s="550">
        <f>Table2[[#This Row],[Pout]]/(Table2[[#This Row],[Pout]]+Table2[[#This Row],[Total Loss]])</f>
        <v>0.94270318512239637</v>
      </c>
      <c r="BL84" s="559">
        <f>IF(Table2[[#This Row],[Vin]]&gt;Vout,ThetaJA_Q1*(Table2[[#This Row],[Total Control Bu MOSFET Loss]]+Table2[[#This Row],[Reverse Recovery Loss MOSFET D BUCK]]),ThetaJA_Q4*(Table2[[#This Row],[Total Control Bo MOSFET Loss]]+Table2[[#This Row],[Reverse Recovery Loss MOSFET D BOOST]]))</f>
        <v>173.03007444475588</v>
      </c>
      <c r="BM84" s="559">
        <f>IF(Table2[[#This Row],[Vin]]&gt;Vout, Table2[[#This Row],[Total Sync Bu MOSFET Loss]]*ThetaJA_Q2, ThetaJA_Q3*Table2[[#This Row],[Total Sync Bo MOSFET Loss]])</f>
        <v>50.86305977609689</v>
      </c>
      <c r="BN84" s="9"/>
      <c r="BO84" s="4">
        <f>Table2[[#This Row],[EFF, h]]*100</f>
        <v>94.270318512239641</v>
      </c>
      <c r="BP84" s="354">
        <f>Table2[[#This Row],[Total Inductor Loss]]</f>
        <v>1.0857730684645426</v>
      </c>
      <c r="BQ84" s="354">
        <f>Table2[[#This Row],[Total Control Bu MOSFET Loss]]+Table2[[#This Row],[Total Sync Bu MOSFET Loss]]+Table2[[#This Row],[Total Control Bo MOSFET Loss]]+Table2[[#This Row],[Total Sync Bo MOSFET Loss]]+Table2[[#This Row],[Reverse Recovery Loss MOSFET D BUCK]]+Table2[[#This Row],[Reverse Recovery Loss MOSFET D BOOST]]</f>
        <v>4.6949101666378716</v>
      </c>
      <c r="BR84" s="354">
        <f xml:space="preserve"> Table2[[#This Row],[Total Control Bu MOSFET Loss]]+Table2[[#This Row],[Reverse Recovery Loss MOSFET D BUCK]]*0.66</f>
        <v>2.8117342420792646</v>
      </c>
      <c r="BS84" s="354">
        <f>Table2[[#This Row],[Total Sync Bu MOSFET Loss]]+Table2[[#This Row],[Reverse Recovery Loss MOSFET D BUCK]]*0.33</f>
        <v>0.91769739693494812</v>
      </c>
      <c r="BT84" s="354">
        <f xml:space="preserve"> Table2[[#This Row],[Total Control Bo MOSFET Loss]]+Table2[[#This Row],[Reverse Recovery Loss MOSFET D BOOST]]*0.66</f>
        <v>0.51560853281182983</v>
      </c>
      <c r="BU84" s="354">
        <f xml:space="preserve"> Table2[[#This Row],[Total Sync Bo MOSFET Loss]]+Table2[[#This Row],[Reverse Recovery Loss MOSFET D BOOST]]*0.33</f>
        <v>0.44562879881182982</v>
      </c>
      <c r="BV84" s="354">
        <f>Table2[[#This Row],[Isense Shunt Loss]]</f>
        <v>0.20510888336372193</v>
      </c>
      <c r="CB84" s="18"/>
      <c r="CC84" s="19"/>
    </row>
    <row r="85" spans="1:81" x14ac:dyDescent="0.2">
      <c r="G85">
        <v>76</v>
      </c>
      <c r="H85" s="555">
        <f t="shared" si="8"/>
        <v>23.6</v>
      </c>
      <c r="I85" s="4" t="str">
        <f>IF(Mode = 2,IF(Table2[[#This Row],[Vin]]&gt;Vout, "BUCK","BOOST"),IF(Table2[[#This Row],[Vin]]&gt;VIN_BB_to_buck, "BUCK", IF(Table2[[#This Row],[Vin]]&lt;=VIN_boost_to_BB,"BOOST","BUCK-BST")))</f>
        <v>BUCK</v>
      </c>
      <c r="J85">
        <f>IF(Table2[[#This Row],[Mode]]="BOOST",2, IF(Table2[[#This Row],[Mode]]="BUCK", 1,3))</f>
        <v>1</v>
      </c>
      <c r="K85" s="354">
        <f t="shared" si="11"/>
        <v>9.1199999999999992</v>
      </c>
      <c r="L85" s="4">
        <f>Vout*Table2[[#This Row],[Iout]]/(Table2[[#This Row],[Vin]]*Efficiency)</f>
        <v>5.9389830508474564</v>
      </c>
      <c r="M85" s="711">
        <f>MIN(1/Fsw,CHOOSE(Table2[[#This Row],[Mode Digit]],(Vout+(Rdson2+Rs+Rdcr)*Table2[[#This Row],[Iout]])/(Table2[[#This Row],[Vin]]+(Rs+Rdson2-Rdson1)*Table2[[#This Row],[Iout]])/Fsw,(Vout+(Rdson3+Rdcr)*Table2[[#This Row],[Iin]]-Table2[[#This Row],[Vin]])/(Vout+(Rdson3-Rdson4-Rs)*Table2[[#This Row],[Iin]])/Fsw,t1_Ph_II))</f>
        <v>1.0381213629770108E-6</v>
      </c>
      <c r="N85" s="602">
        <f>CHOOSE(Table2[[#This Row],[Mode Digit]],1/Fsw-Table2[[#This Row],[t1_Ph_II]],1/Fsw-Table2[[#This Row],[t1_Ph_II]],(Vout/Fsw-Table2[[#This Row],[Vin]]*t1_Ph_II)/(Table2[[#This Row],[Vin]]+Vout))</f>
        <v>6.2854530368965582E-7</v>
      </c>
      <c r="O85" s="602">
        <f>1/Fsw-(Table2[[#This Row],[t1_Ph_II]]+Table2[[#This Row],[t2_Ph_I]])</f>
        <v>0</v>
      </c>
      <c r="P8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7.3504749494710033</v>
      </c>
      <c r="Q85" s="4">
        <f>CHOOSE(Table2[[#This Row],[Mode Digit]],Table2[[#This Row],[I_0]]+1/Lf*(Table2[[#This Row],[Vin]]-Vout)*Table2[[#This Row],[t1_Ph_II]],Table2[[#This Row],[I_0]]+1/Lf*Table2[[#This Row],[Vin]]*Table2[[#This Row],[t1_Ph_II]],Table2[[#This Row],[I_0]]+(Table2[[#This Row],[Vin]]-Vout)/L*Table2[[#This Row],[t1_Ph_II]])</f>
        <v>10.889525050528995</v>
      </c>
      <c r="R85" s="4">
        <f>CHOOSE(Table2[[#This Row],[Mode Digit]],0,0,Table2[[#This Row],[I_1]]+Table2[[#This Row],[Vin]]/L*Table2[[#This Row],[t2_Ph_I]])</f>
        <v>0</v>
      </c>
      <c r="S85" s="409">
        <f>Fsw*(Table2[[#This Row],[I_0]]*Table2[[#This Row],[t1_Ph_II]]+Table2[[#This Row],[I_1]]*Table2[[#This Row],[t2_Ph_I]]+Table2[[#This Row],[I_2]]*Table2[[#This Row],[t3_Ph_III]])</f>
        <v>8.6851469417964431</v>
      </c>
      <c r="T85" s="354">
        <f>MIN(1,CHOOSE(Table2[[#This Row],[Mode Digit]],(Vout+(Rdson2+Rs+Rdcr)*Table2[[#This Row],[Iout]])/(Table2[[#This Row],[Vin]]+(Rs+Rdson2-Rdson1)*Table2[[#This Row],[Iout]]),1,Fsw*Table2[[#This Row],[t2_Ph_I]]+Table2[[#This Row],[t1_Ph_II]]))</f>
        <v>0.62287281778620651</v>
      </c>
      <c r="U85" s="354">
        <f>MIN(1,CHOOSE(Table2[[#This Row],[Mode Digit]],0,(Vout+(Rdson3+Rdcr)*Table2[[#This Row],[Iin]]-Table2[[#This Row],[Vin]])/(Vout+(Rdson3-Rdson4-Rs)*Table2[[#This Row],[Iin]]),Fsw*Table2[[#This Row],[t1_Ph_II]]+Table2[[#This Row],[t3_Ph_III]]))</f>
        <v>0</v>
      </c>
      <c r="V85" s="4">
        <f>MAX(Table2[[#This Row],[I_0]:[I_2]])-MIN(Table2[[#This Row],[I_0]:[I_1]])</f>
        <v>3.5390501010579918</v>
      </c>
      <c r="W8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9.1770441665503899</v>
      </c>
      <c r="X85" s="354">
        <f>(Table2[[#This Row],[Irms Lf]]^2*Rdcr*(1+Ltc*Ta-Ltc*25))/(1-Table2[[#This Row],[Irms Lf]]^2*Rdcr*Ltc*ThetaCa)</f>
        <v>0.50832930430734602</v>
      </c>
      <c r="Y85" s="354">
        <f>ABS(7.759*10^-3*Fsw^0.9458*(0.00787*Table2[[#This Row],[Ripple Current pk-pk]])^2.304)</f>
        <v>0.59121026992799974</v>
      </c>
      <c r="Z85" s="354">
        <f>Table2[[#This Row],[DCR    Loss]]+Table2[[#This Row],[Core Loss]]</f>
        <v>1.0995395742353458</v>
      </c>
      <c r="AA85" s="4">
        <f>IF(Table2[[#This Row],[Vin]]&gt;Vout, Table2[[#This Row],[Ripple Current pk-pk]]/SQRT(12), SQRT(Table2[[#This Row],[Duty Cycle BOOST Leg]]/(1-Table2[[#This Row],[Duty Cycle BOOST Leg]]))*SQRT(Table2[[#This Row],[Iout]]^2+(Table2[[#This Row],[Ripple Current pk-pk]]^2)/12))</f>
        <v>1.0216357642607019</v>
      </c>
      <c r="AB85" s="354">
        <f>RCoutEsr*Table2[[#This Row],[Irms Cout]]^2</f>
        <v>5.2186981740827421E-3</v>
      </c>
      <c r="AC85" s="354">
        <f>Table2[[#This Row],[Cout ESR Loss]]</f>
        <v>5.2186981740827421E-3</v>
      </c>
      <c r="AD85" s="4">
        <f>IF(Table2[[#This Row],[Vin]]&gt;Vout, SQRT(Table2[[#This Row],[Duty Cycle BUCK Leg]]*(1-Table2[[#This Row],[Duty Cycle BUCK Leg]]))*SQRT(Table2[[#This Row],[Iout]]^2+(Table2[[#This Row],[Ripple Current pk-pk]]^2)/12), Table2[[#This Row],[Ripple Current pk-pk]]/SQRT(12))</f>
        <v>4.4478120722526411</v>
      </c>
      <c r="AE85" s="354">
        <f>RCinEsr*Table2[[#This Row],[Irms Cin]]^2</f>
        <v>3.9566064460152671E-2</v>
      </c>
      <c r="AF85" s="549">
        <f>Table2[[#This Row],[Cin ESR Loss]]</f>
        <v>3.9566064460152671E-2</v>
      </c>
      <c r="AG85" s="354">
        <f>Table2[[#This Row],[Irms Lf]]</f>
        <v>9.1770441665503899</v>
      </c>
      <c r="AH85" s="354">
        <f>Rdson1*Table2[[#This Row],[Irms BuCtrl]]^2</f>
        <v>0.35371618646622949</v>
      </c>
      <c r="AI85" s="354">
        <f>CHOOSE(Table2[[#This Row],[Mode Digit]], (Table2[[#This Row],[Vin]]*Table2[[#This Row],[Iout]]/2)*(Fsw)*(Tr_buck+Tf_buck), 0, (Table2[[#This Row],[Vin]]*Table2[[#This Row],[Avg IL]]/2)*(Fsw/1)*(Tr_buck+Tf_buck))</f>
        <v>2.1343194898363311</v>
      </c>
      <c r="AJ85">
        <f>IF(Table2[[#This Row],[Vin]]&gt;Vout, IF(Table2[[#This Row],[Iout]]&gt;Table2[[#This Row],[Ripple Current pk-pk]]/2,0,ABS(Table2[[#This Row],[Iout]]-Table2[[#This Row],[Ripple Current pk-pk]]/2)*Vsd_Q1*Deadtime*Fsw),0)</f>
        <v>0</v>
      </c>
      <c r="AK85" s="354">
        <f>(Table2[[#This Row],[Dead Time Loss BuCtrl]]+Table2[[#This Row],[Transition Loss BuCtrl]]+Table2[[#This Row],[RDS(on) Loss BuCtrl]]*(1+RdsonTopTc*Ta-RdsonTopTc*25))/(1-Table2[[#This Row],[RDS(on) Loss BuCtrl]]*RdsonTopTc*ThetaJA_Q1)</f>
        <v>2.7188434184391452</v>
      </c>
      <c r="AL85" s="354">
        <f>Table2[[#This Row],[Irms Lf]]</f>
        <v>9.1770441665503899</v>
      </c>
      <c r="AM85" s="354">
        <f>Rdson2*Table2[[#This Row],[Irms BuSync]]^2</f>
        <v>0.35371618646622949</v>
      </c>
      <c r="AN8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0.43880228571428564</v>
      </c>
      <c r="AO85" s="354">
        <f>(Table2[[#This Row],[Deadtime Loss BuSync]]+Table2[[#This Row],[RDS(on) Loss BuSync]]*(1+RdsonBotTc*Ta-RdsonBotTc*25))/(1-Table2[[#This Row],[RDS(on) Loss BuSync]]*RdsonBotTc*ThetaJA_Q2)</f>
        <v>0.86603807678576528</v>
      </c>
      <c r="AP85" s="354">
        <f>Table2[[#This Row],[Irms Lf]]</f>
        <v>9.1770441665503899</v>
      </c>
      <c r="AQ85" s="354">
        <f>Rdson4*Table2[[#This Row],[Irms BoCtlr]]^2</f>
        <v>0.35371618646622949</v>
      </c>
      <c r="AR85" s="354">
        <f>CHOOSE(Table2[[#This Row],[Mode Digit]], 0, (Vout*Table2[[#This Row],[Iin]]/2)*(Fsw)*(Tr_boost+Tf_boost), (Vout*Iout/2)*(Fsw/1)*(Tr_boost+Tf_boost))</f>
        <v>0</v>
      </c>
      <c r="AS85" s="354">
        <f>IF(Table2[[#This Row],[Vin]]&gt;Vout, 0, IF(Table2[[#This Row],[Iin]]&gt;Table2[[#This Row],[Ripple Current pk-pk]]/2,0,ABS(Table2[[#This Row],[Iin]]-Table2[[#This Row],[Ripple Current pk-pk]]/2)*Vsd_Q4*Deadtime*Fsw))</f>
        <v>0</v>
      </c>
      <c r="AT85" s="354">
        <f>(Table2[[#This Row],[Dead Time Loss BoCtlr]]+Table2[[#This Row],[Transition Loss BoCtlr]]+Table2[[#This Row],[RDS(on) Loss BoCtlr]]*(1+RdsonTopTc*Ta-RdsonTopTc*25))/(1-Table2[[#This Row],[RDS(on) Loss BoCtlr]]*RdsonTopTc*ThetaJA_Q4)</f>
        <v>0.38652939534945513</v>
      </c>
      <c r="AU85" s="354">
        <f>Table2[[#This Row],[Irms Lf]]</f>
        <v>9.1770441665503899</v>
      </c>
      <c r="AV85" s="354">
        <f>Rdson3*Table2[[#This Row],[Irms BoSync]]^2</f>
        <v>0.35371618646622949</v>
      </c>
      <c r="AW8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5" s="354">
        <f>(Table2[[#This Row],[Deadtime Loss BoSync]]+Table2[[#This Row],[RDS(on) Loss BoSync]]*(1+RdsonBotTc*Ta-RdsonBotTc*25))/(1-Table2[[#This Row],[RDS(on) Loss BoSync]]*RdsonBotTc*ThetaJA_Q3)</f>
        <v>0.38652939534945513</v>
      </c>
      <c r="AY85" s="354">
        <f>CHOOSE(Table2[[#This Row],[Mode Digit]], Rdson3*Table2[[#This Row],[Irms Lf]]^2, Rdson1*Table2[[#This Row],[Irms Lf]]^2, 0)</f>
        <v>0.35371618646622949</v>
      </c>
      <c r="AZ85" s="354">
        <f>CHOOSE(Table2[[#This Row],[Mode Digit]], 2*Deadtime*Fsw*IF(VfdSky_Q2&gt;0,VfdSky_Q2,0)*Table2[[#This Row],[Iout]], 2*Deadtime*Fsw*IF(VfdSky_Q3&gt;0,VfdSky_Q3,0)*Table2[[#This Row],[Iin]], 2*Deadtime*Fsw*IF(VfdSky_Q2&gt;0,VfdSky_Q2,0)*Table2[[#This Row],[Iout]]+2*Deadtime*Fsw*IF(VfdSky_Q3&gt;0,VfdSky_Q3,0)*Table2[[#This Row],[Iin]])</f>
        <v>0</v>
      </c>
      <c r="BA8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0.21488266752000001</v>
      </c>
      <c r="BB8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0.21488266752000001</v>
      </c>
      <c r="BC85" s="354">
        <f>CHOOSE(Table2[[#This Row],[Mode Digit]], Rs*Table2[[#This Row],[Irms BuSync]]^2, Rs*Table2[[#This Row],[Irms BoCtlr]]^2, Rs*(Table2[[#This Row],[Irms BuSync]]^2+Table2[[#This Row],[Irms BoCtlr]]^2))</f>
        <v>0.21054534908704134</v>
      </c>
      <c r="BD85" s="354">
        <f t="shared" si="9"/>
        <v>1.44</v>
      </c>
      <c r="BE85" s="354">
        <f>IF(Vout&gt;8, Iq*Vout, Iq*Table2[[#This Row],[Vin]])</f>
        <v>4.3799999999999999E-2</v>
      </c>
      <c r="BF85" s="354">
        <f>CHOOSE(Table2[[#This Row],[Mode Digit]], (Qg_Q1+Qg_Q2)*Fsw, (Qg_Q3+Qg_Q4)*Fsw, (Qg_Q1+Qg_Q2+Qg_Q3+Qg_Q4)*Fsw)*IF(Vout&gt;8, Vout, Table2[[#This Row],[Vin]])</f>
        <v>0.47303999999999996</v>
      </c>
      <c r="BG85" s="354">
        <f t="shared" si="10"/>
        <v>0.57269042016806726</v>
      </c>
      <c r="BH85" s="354">
        <f>Table2[[#This Row],[IQ Loss]]+Table2[[#This Row],[Switching Current Loss]]</f>
        <v>0.51683999999999997</v>
      </c>
      <c r="BI8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8.0994153069204433</v>
      </c>
      <c r="BJ85">
        <f>Vout*Table2[[#This Row],[Iout]]</f>
        <v>133.15199999999999</v>
      </c>
      <c r="BK85" s="550">
        <f>Table2[[#This Row],[Pout]]/(Table2[[#This Row],[Pout]]+Table2[[#This Row],[Total Loss]])</f>
        <v>0.94265958122032623</v>
      </c>
      <c r="BL85" s="559">
        <f>IF(Table2[[#This Row],[Vin]]&gt;Vout,ThetaJA_Q1*(Table2[[#This Row],[Total Control Bu MOSFET Loss]]+Table2[[#This Row],[Reverse Recovery Loss MOSFET D BUCK]]),ThetaJA_Q4*(Table2[[#This Row],[Total Control Bo MOSFET Loss]]+Table2[[#This Row],[Reverse Recovery Loss MOSFET D BOOST]]))</f>
        <v>176.02356515754872</v>
      </c>
      <c r="BM85" s="559">
        <f>IF(Table2[[#This Row],[Vin]]&gt;Vout, Table2[[#This Row],[Total Sync Bu MOSFET Loss]]*ThetaJA_Q2, ThetaJA_Q3*Table2[[#This Row],[Total Sync Bo MOSFET Loss]])</f>
        <v>51.962284607145918</v>
      </c>
      <c r="BN85" s="9"/>
      <c r="BO85" s="4">
        <f>Table2[[#This Row],[EFF, h]]*100</f>
        <v>94.265958122032629</v>
      </c>
      <c r="BP85" s="354">
        <f>Table2[[#This Row],[Total Inductor Loss]]</f>
        <v>1.0995395742353458</v>
      </c>
      <c r="BQ85" s="354">
        <f>Table2[[#This Row],[Total Control Bu MOSFET Loss]]+Table2[[#This Row],[Total Sync Bu MOSFET Loss]]+Table2[[#This Row],[Total Control Bo MOSFET Loss]]+Table2[[#This Row],[Total Sync Bo MOSFET Loss]]+Table2[[#This Row],[Reverse Recovery Loss MOSFET D BUCK]]+Table2[[#This Row],[Reverse Recovery Loss MOSFET D BOOST]]</f>
        <v>4.7877056209638216</v>
      </c>
      <c r="BR85" s="354">
        <f xml:space="preserve"> Table2[[#This Row],[Total Control Bu MOSFET Loss]]+Table2[[#This Row],[Reverse Recovery Loss MOSFET D BUCK]]*0.66</f>
        <v>2.8606659790023454</v>
      </c>
      <c r="BS85" s="354">
        <f>Table2[[#This Row],[Total Sync Bu MOSFET Loss]]+Table2[[#This Row],[Reverse Recovery Loss MOSFET D BUCK]]*0.33</f>
        <v>0.93694935706736526</v>
      </c>
      <c r="BT85" s="354">
        <f xml:space="preserve"> Table2[[#This Row],[Total Control Bo MOSFET Loss]]+Table2[[#This Row],[Reverse Recovery Loss MOSFET D BOOST]]*0.66</f>
        <v>0.52835195591265516</v>
      </c>
      <c r="BU85" s="354">
        <f xml:space="preserve"> Table2[[#This Row],[Total Sync Bo MOSFET Loss]]+Table2[[#This Row],[Reverse Recovery Loss MOSFET D BOOST]]*0.33</f>
        <v>0.45744067563105517</v>
      </c>
      <c r="BV85" s="354">
        <f>Table2[[#This Row],[Isense Shunt Loss]]</f>
        <v>0.21054534908704134</v>
      </c>
      <c r="CB85" s="18"/>
      <c r="CC85" s="19"/>
    </row>
    <row r="86" spans="1:81" x14ac:dyDescent="0.2">
      <c r="G86">
        <v>77</v>
      </c>
      <c r="H86" s="555">
        <f t="shared" si="8"/>
        <v>23.6</v>
      </c>
      <c r="I86" s="4" t="str">
        <f>IF(Mode = 2,IF(Table2[[#This Row],[Vin]]&gt;Vout, "BUCK","BOOST"),IF(Table2[[#This Row],[Vin]]&gt;VIN_BB_to_buck, "BUCK", IF(Table2[[#This Row],[Vin]]&lt;=VIN_boost_to_BB,"BOOST","BUCK-BST")))</f>
        <v>BUCK</v>
      </c>
      <c r="J86">
        <f>IF(Table2[[#This Row],[Mode]]="BOOST",2, IF(Table2[[#This Row],[Mode]]="BUCK", 1,3))</f>
        <v>1</v>
      </c>
      <c r="K86" s="354">
        <f t="shared" si="11"/>
        <v>9.24</v>
      </c>
      <c r="L86" s="4">
        <f>Vout*Table2[[#This Row],[Iout]]/(Table2[[#This Row],[Vin]]*Efficiency)</f>
        <v>6.0171275646743974</v>
      </c>
      <c r="M86" s="711">
        <f>MIN(1/Fsw,CHOOSE(Table2[[#This Row],[Mode Digit]],(Vout+(Rdson2+Rs+Rdcr)*Table2[[#This Row],[Iout]])/(Table2[[#This Row],[Vin]]+(Rs+Rdson2-Rdson1)*Table2[[#This Row],[Iout]])/Fsw,(Vout+(Rdson3+Rdcr)*Table2[[#This Row],[Iin]]-Table2[[#This Row],[Vin]])/(Vout+(Rdson3-Rdson4-Rs)*Table2[[#This Row],[Iin]])/Fsw,t1_Ph_II))</f>
        <v>1.0382140080401526E-6</v>
      </c>
      <c r="N86" s="602">
        <f>CHOOSE(Table2[[#This Row],[Mode Digit]],1/Fsw-Table2[[#This Row],[t1_Ph_II]],1/Fsw-Table2[[#This Row],[t1_Ph_II]],(Vout/Fsw-Table2[[#This Row],[Vin]]*t1_Ph_II)/(Table2[[#This Row],[Vin]]+Vout))</f>
        <v>6.2845265862651406E-7</v>
      </c>
      <c r="O86" s="602">
        <f>1/Fsw-(Table2[[#This Row],[t1_Ph_II]]+Table2[[#This Row],[t2_Ph_I]])</f>
        <v>0</v>
      </c>
      <c r="P8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7.4703170317497403</v>
      </c>
      <c r="Q86" s="4">
        <f>CHOOSE(Table2[[#This Row],[Mode Digit]],Table2[[#This Row],[I_0]]+1/Lf*(Table2[[#This Row],[Vin]]-Vout)*Table2[[#This Row],[t1_Ph_II]],Table2[[#This Row],[I_0]]+1/Lf*Table2[[#This Row],[Vin]]*Table2[[#This Row],[t1_Ph_II]],Table2[[#This Row],[I_0]]+(Table2[[#This Row],[Vin]]-Vout)/L*Table2[[#This Row],[t1_Ph_II]])</f>
        <v>11.00968296825026</v>
      </c>
      <c r="R86" s="4">
        <f>CHOOSE(Table2[[#This Row],[Mode Digit]],0,0,Table2[[#This Row],[I_1]]+Table2[[#This Row],[Vin]]/L*Table2[[#This Row],[t2_Ph_I]])</f>
        <v>0</v>
      </c>
      <c r="S86" s="409">
        <f>Fsw*(Table2[[#This Row],[I_0]]*Table2[[#This Row],[t1_Ph_II]]+Table2[[#This Row],[I_1]]*Table2[[#This Row],[t2_Ph_I]]+Table2[[#This Row],[I_2]]*Table2[[#This Row],[t3_Ph_III]])</f>
        <v>8.8049113913372636</v>
      </c>
      <c r="T86" s="354">
        <f>MIN(1,CHOOSE(Table2[[#This Row],[Mode Digit]],(Vout+(Rdson2+Rs+Rdcr)*Table2[[#This Row],[Iout]])/(Table2[[#This Row],[Vin]]+(Rs+Rdson2-Rdson1)*Table2[[#This Row],[Iout]]),1,Fsw*Table2[[#This Row],[t2_Ph_I]]+Table2[[#This Row],[t1_Ph_II]]))</f>
        <v>0.62292840482409162</v>
      </c>
      <c r="U86" s="354">
        <f>MIN(1,CHOOSE(Table2[[#This Row],[Mode Digit]],0,(Vout+(Rdson3+Rdcr)*Table2[[#This Row],[Iin]]-Table2[[#This Row],[Vin]])/(Vout+(Rdson3-Rdson4-Rs)*Table2[[#This Row],[Iin]]),Fsw*Table2[[#This Row],[t1_Ph_II]]+Table2[[#This Row],[t3_Ph_III]]))</f>
        <v>0</v>
      </c>
      <c r="V86" s="4">
        <f>MAX(Table2[[#This Row],[I_0]:[I_2]])-MIN(Table2[[#This Row],[I_0]:[I_1]])</f>
        <v>3.5393659365005199</v>
      </c>
      <c r="W8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9.2963178697825484</v>
      </c>
      <c r="X86" s="354">
        <f>(Table2[[#This Row],[Irms Lf]]^2*Rdcr*(1+Ltc*Ta-Ltc*25))/(1-Table2[[#This Row],[Irms Lf]]^2*Rdcr*Ltc*ThetaCa)</f>
        <v>0.52218422263469622</v>
      </c>
      <c r="Y86" s="354">
        <f>ABS(7.759*10^-3*Fsw^0.9458*(0.00787*Table2[[#This Row],[Ripple Current pk-pk]])^2.304)</f>
        <v>0.59133183921435084</v>
      </c>
      <c r="Z86" s="354">
        <f>Table2[[#This Row],[DCR    Loss]]+Table2[[#This Row],[Core Loss]]</f>
        <v>1.1135160618490469</v>
      </c>
      <c r="AA86" s="4">
        <f>IF(Table2[[#This Row],[Vin]]&gt;Vout, Table2[[#This Row],[Ripple Current pk-pk]]/SQRT(12), SQRT(Table2[[#This Row],[Duty Cycle BOOST Leg]]/(1-Table2[[#This Row],[Duty Cycle BOOST Leg]]))*SQRT(Table2[[#This Row],[Iout]]^2+(Table2[[#This Row],[Ripple Current pk-pk]]^2)/12))</f>
        <v>1.0217269380995835</v>
      </c>
      <c r="AB86" s="354">
        <f>RCoutEsr*Table2[[#This Row],[Irms Cout]]^2</f>
        <v>5.2196296801917509E-3</v>
      </c>
      <c r="AC86" s="354">
        <f>Table2[[#This Row],[Cout ESR Loss]]</f>
        <v>5.2196296801917509E-3</v>
      </c>
      <c r="AD86" s="4">
        <f>IF(Table2[[#This Row],[Vin]]&gt;Vout, SQRT(Table2[[#This Row],[Duty Cycle BUCK Leg]]*(1-Table2[[#This Row],[Duty Cycle BUCK Leg]]))*SQRT(Table2[[#This Row],[Iout]]^2+(Table2[[#This Row],[Ripple Current pk-pk]]^2)/12), Table2[[#This Row],[Ripple Current pk-pk]]/SQRT(12))</f>
        <v>4.5054890818609614</v>
      </c>
      <c r="AE86" s="354">
        <f>RCinEsr*Table2[[#This Row],[Irms Cin]]^2</f>
        <v>4.0598863733536661E-2</v>
      </c>
      <c r="AF86" s="549">
        <f>Table2[[#This Row],[Cin ESR Loss]]</f>
        <v>4.0598863733536661E-2</v>
      </c>
      <c r="AG86" s="354">
        <f>Table2[[#This Row],[Irms Lf]]</f>
        <v>9.2963178697825484</v>
      </c>
      <c r="AH86" s="354">
        <f>Rdson1*Table2[[#This Row],[Irms BuCtrl]]^2</f>
        <v>0.36297040893136107</v>
      </c>
      <c r="AI86" s="354">
        <f>CHOOSE(Table2[[#This Row],[Mode Digit]], (Table2[[#This Row],[Vin]]*Table2[[#This Row],[Iout]]/2)*(Fsw)*(Tr_buck+Tf_buck), 0, (Table2[[#This Row],[Vin]]*Table2[[#This Row],[Avg IL]]/2)*(Fsw/1)*(Tr_buck+Tf_buck))</f>
        <v>2.1624026410183883</v>
      </c>
      <c r="AJ86">
        <f>IF(Table2[[#This Row],[Vin]]&gt;Vout, IF(Table2[[#This Row],[Iout]]&gt;Table2[[#This Row],[Ripple Current pk-pk]]/2,0,ABS(Table2[[#This Row],[Iout]]-Table2[[#This Row],[Ripple Current pk-pk]]/2)*Vsd_Q1*Deadtime*Fsw),0)</f>
        <v>0</v>
      </c>
      <c r="AK86" s="354">
        <f>(Table2[[#This Row],[Dead Time Loss BuCtrl]]+Table2[[#This Row],[Transition Loss BuCtrl]]+Table2[[#This Row],[RDS(on) Loss BuCtrl]]*(1+RdsonTopTc*Ta-RdsonTopTc*25))/(1-Table2[[#This Row],[RDS(on) Loss BuCtrl]]*RdsonTopTc*ThetaJA_Q1)</f>
        <v>2.7663585615505775</v>
      </c>
      <c r="AL86" s="354">
        <f>Table2[[#This Row],[Irms Lf]]</f>
        <v>9.2963178697825484</v>
      </c>
      <c r="AM86" s="354">
        <f>Rdson2*Table2[[#This Row],[Irms BuSync]]^2</f>
        <v>0.36297040893136107</v>
      </c>
      <c r="AN8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0.44457600000000003</v>
      </c>
      <c r="AO86" s="354">
        <f>(Table2[[#This Row],[Deadtime Loss BuSync]]+Table2[[#This Row],[RDS(on) Loss BuSync]]*(1+RdsonBotTc*Ta-RdsonBotTc*25))/(1-Table2[[#This Row],[RDS(on) Loss BuSync]]*RdsonBotTc*ThetaJA_Q2)</f>
        <v>0.88460709685689676</v>
      </c>
      <c r="AP86" s="354">
        <f>Table2[[#This Row],[Irms Lf]]</f>
        <v>9.2963178697825484</v>
      </c>
      <c r="AQ86" s="354">
        <f>Rdson4*Table2[[#This Row],[Irms BoCtlr]]^2</f>
        <v>0.36297040893136107</v>
      </c>
      <c r="AR86" s="354">
        <f>CHOOSE(Table2[[#This Row],[Mode Digit]], 0, (Vout*Table2[[#This Row],[Iin]]/2)*(Fsw)*(Tr_boost+Tf_boost), (Vout*Iout/2)*(Fsw/1)*(Tr_boost+Tf_boost))</f>
        <v>0</v>
      </c>
      <c r="AS86" s="354">
        <f>IF(Table2[[#This Row],[Vin]]&gt;Vout, 0, IF(Table2[[#This Row],[Iin]]&gt;Table2[[#This Row],[Ripple Current pk-pk]]/2,0,ABS(Table2[[#This Row],[Iin]]-Table2[[#This Row],[Ripple Current pk-pk]]/2)*Vsd_Q4*Deadtime*Fsw))</f>
        <v>0</v>
      </c>
      <c r="AT86" s="354">
        <f>(Table2[[#This Row],[Dead Time Loss BoCtlr]]+Table2[[#This Row],[Transition Loss BoCtlr]]+Table2[[#This Row],[RDS(on) Loss BoCtlr]]*(1+RdsonTopTc*Ta-RdsonTopTc*25))/(1-Table2[[#This Row],[RDS(on) Loss BoCtlr]]*RdsonTopTc*ThetaJA_Q4)</f>
        <v>0.39760711723630887</v>
      </c>
      <c r="AU86" s="354">
        <f>Table2[[#This Row],[Irms Lf]]</f>
        <v>9.2963178697825484</v>
      </c>
      <c r="AV86" s="354">
        <f>Rdson3*Table2[[#This Row],[Irms BoSync]]^2</f>
        <v>0.36297040893136107</v>
      </c>
      <c r="AW8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6" s="354">
        <f>(Table2[[#This Row],[Deadtime Loss BoSync]]+Table2[[#This Row],[RDS(on) Loss BoSync]]*(1+RdsonBotTc*Ta-RdsonBotTc*25))/(1-Table2[[#This Row],[RDS(on) Loss BoSync]]*RdsonBotTc*ThetaJA_Q3)</f>
        <v>0.39760711723630887</v>
      </c>
      <c r="AY86" s="354">
        <f>CHOOSE(Table2[[#This Row],[Mode Digit]], Rdson3*Table2[[#This Row],[Irms Lf]]^2, Rdson1*Table2[[#This Row],[Irms Lf]]^2, 0)</f>
        <v>0.36297040893136107</v>
      </c>
      <c r="AZ86" s="354">
        <f>CHOOSE(Table2[[#This Row],[Mode Digit]], 2*Deadtime*Fsw*IF(VfdSky_Q2&gt;0,VfdSky_Q2,0)*Table2[[#This Row],[Iout]], 2*Deadtime*Fsw*IF(VfdSky_Q3&gt;0,VfdSky_Q3,0)*Table2[[#This Row],[Iin]], 2*Deadtime*Fsw*IF(VfdSky_Q2&gt;0,VfdSky_Q2,0)*Table2[[#This Row],[Iout]]+2*Deadtime*Fsw*IF(VfdSky_Q3&gt;0,VfdSky_Q3,0)*Table2[[#This Row],[Iin]])</f>
        <v>0</v>
      </c>
      <c r="BA8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0.21770541408000005</v>
      </c>
      <c r="BB8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0.21770541408000005</v>
      </c>
      <c r="BC86" s="354">
        <f>CHOOSE(Table2[[#This Row],[Mode Digit]], Rs*Table2[[#This Row],[Irms BuSync]]^2, Rs*Table2[[#This Row],[Irms BoCtlr]]^2, Rs*(Table2[[#This Row],[Irms BuSync]]^2+Table2[[#This Row],[Irms BoCtlr]]^2))</f>
        <v>0.21605381484009584</v>
      </c>
      <c r="BD86" s="354">
        <f t="shared" si="9"/>
        <v>1.44</v>
      </c>
      <c r="BE86" s="354">
        <f>IF(Vout&gt;8, Iq*Vout, Iq*Table2[[#This Row],[Vin]])</f>
        <v>4.3799999999999999E-2</v>
      </c>
      <c r="BF86" s="354">
        <f>CHOOSE(Table2[[#This Row],[Mode Digit]], (Qg_Q1+Qg_Q2)*Fsw, (Qg_Q3+Qg_Q4)*Fsw, (Qg_Q1+Qg_Q2+Qg_Q3+Qg_Q4)*Fsw)*IF(Vout&gt;8, Vout, Table2[[#This Row],[Vin]])</f>
        <v>0.47303999999999996</v>
      </c>
      <c r="BG86" s="354">
        <f t="shared" si="10"/>
        <v>0.57269042016806726</v>
      </c>
      <c r="BH86" s="354">
        <f>Table2[[#This Row],[IQ Loss]]+Table2[[#This Row],[Switching Current Loss]]</f>
        <v>0.51683999999999997</v>
      </c>
      <c r="BI8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8.2138190911429625</v>
      </c>
      <c r="BJ86">
        <f>Vout*Table2[[#This Row],[Iout]]</f>
        <v>134.904</v>
      </c>
      <c r="BK86" s="550">
        <f>Table2[[#This Row],[Pout]]/(Table2[[#This Row],[Pout]]+Table2[[#This Row],[Total Loss]])</f>
        <v>0.94260799149047902</v>
      </c>
      <c r="BL86" s="559">
        <f>IF(Table2[[#This Row],[Vin]]&gt;Vout,ThetaJA_Q1*(Table2[[#This Row],[Total Control Bu MOSFET Loss]]+Table2[[#This Row],[Reverse Recovery Loss MOSFET D BUCK]]),ThetaJA_Q4*(Table2[[#This Row],[Total Control Bo MOSFET Loss]]+Table2[[#This Row],[Reverse Recovery Loss MOSFET D BOOST]]))</f>
        <v>179.04383853783466</v>
      </c>
      <c r="BM86" s="559">
        <f>IF(Table2[[#This Row],[Vin]]&gt;Vout, Table2[[#This Row],[Total Sync Bu MOSFET Loss]]*ThetaJA_Q2, ThetaJA_Q3*Table2[[#This Row],[Total Sync Bo MOSFET Loss]])</f>
        <v>53.076425811413806</v>
      </c>
      <c r="BN86" s="9"/>
      <c r="BO86" s="4">
        <f>Table2[[#This Row],[EFF, h]]*100</f>
        <v>94.260799149047898</v>
      </c>
      <c r="BP86" s="354">
        <f>Table2[[#This Row],[Total Inductor Loss]]</f>
        <v>1.1135160618490469</v>
      </c>
      <c r="BQ86" s="354">
        <f>Table2[[#This Row],[Total Control Bu MOSFET Loss]]+Table2[[#This Row],[Total Sync Bu MOSFET Loss]]+Table2[[#This Row],[Total Control Bo MOSFET Loss]]+Table2[[#This Row],[Total Sync Bo MOSFET Loss]]+Table2[[#This Row],[Reverse Recovery Loss MOSFET D BUCK]]+Table2[[#This Row],[Reverse Recovery Loss MOSFET D BOOST]]</f>
        <v>4.8815907210400917</v>
      </c>
      <c r="BR86" s="354">
        <f xml:space="preserve"> Table2[[#This Row],[Total Control Bu MOSFET Loss]]+Table2[[#This Row],[Reverse Recovery Loss MOSFET D BUCK]]*0.66</f>
        <v>2.9100441348433774</v>
      </c>
      <c r="BS86" s="354">
        <f>Table2[[#This Row],[Total Sync Bu MOSFET Loss]]+Table2[[#This Row],[Reverse Recovery Loss MOSFET D BUCK]]*0.33</f>
        <v>0.95644988350329674</v>
      </c>
      <c r="BT86" s="354">
        <f xml:space="preserve"> Table2[[#This Row],[Total Control Bo MOSFET Loss]]+Table2[[#This Row],[Reverse Recovery Loss MOSFET D BOOST]]*0.66</f>
        <v>0.54129269052910889</v>
      </c>
      <c r="BU86" s="354">
        <f xml:space="preserve"> Table2[[#This Row],[Total Sync Bo MOSFET Loss]]+Table2[[#This Row],[Reverse Recovery Loss MOSFET D BOOST]]*0.33</f>
        <v>0.46944990388270891</v>
      </c>
      <c r="BV86" s="354">
        <f>Table2[[#This Row],[Isense Shunt Loss]]</f>
        <v>0.21605381484009584</v>
      </c>
      <c r="CB86" s="18"/>
      <c r="CC86" s="19"/>
    </row>
    <row r="87" spans="1:81" x14ac:dyDescent="0.2">
      <c r="G87">
        <v>78</v>
      </c>
      <c r="H87" s="555">
        <f t="shared" si="8"/>
        <v>23.6</v>
      </c>
      <c r="I87" s="4" t="str">
        <f>IF(Mode = 2,IF(Table2[[#This Row],[Vin]]&gt;Vout, "BUCK","BOOST"),IF(Table2[[#This Row],[Vin]]&gt;VIN_BB_to_buck, "BUCK", IF(Table2[[#This Row],[Vin]]&lt;=VIN_boost_to_BB,"BOOST","BUCK-BST")))</f>
        <v>BUCK</v>
      </c>
      <c r="J87">
        <f>IF(Table2[[#This Row],[Mode]]="BOOST",2, IF(Table2[[#This Row],[Mode]]="BUCK", 1,3))</f>
        <v>1</v>
      </c>
      <c r="K87" s="354">
        <f t="shared" si="11"/>
        <v>9.36</v>
      </c>
      <c r="L87" s="4">
        <f>Vout*Table2[[#This Row],[Iout]]/(Table2[[#This Row],[Vin]]*Efficiency)</f>
        <v>6.0952720785013366</v>
      </c>
      <c r="M87" s="711">
        <f>MIN(1/Fsw,CHOOSE(Table2[[#This Row],[Mode Digit]],(Vout+(Rdson2+Rs+Rdcr)*Table2[[#This Row],[Iout]])/(Table2[[#This Row],[Vin]]+(Rs+Rdson2-Rdson1)*Table2[[#This Row],[Iout]])/Fsw,(Vout+(Rdson3+Rdcr)*Table2[[#This Row],[Iin]]-Table2[[#This Row],[Vin]])/(Vout+(Rdson3-Rdson4-Rs)*Table2[[#This Row],[Iin]])/Fsw,t1_Ph_II))</f>
        <v>1.0383066507502447E-6</v>
      </c>
      <c r="N87" s="602">
        <f>CHOOSE(Table2[[#This Row],[Mode Digit]],1/Fsw-Table2[[#This Row],[t1_Ph_II]],1/Fsw-Table2[[#This Row],[t1_Ph_II]],(Vout/Fsw-Table2[[#This Row],[Vin]]*t1_Ph_II)/(Table2[[#This Row],[Vin]]+Vout))</f>
        <v>6.2836001591642199E-7</v>
      </c>
      <c r="O87" s="602">
        <f>1/Fsw-(Table2[[#This Row],[t1_Ph_II]]+Table2[[#This Row],[t2_Ph_I]])</f>
        <v>0</v>
      </c>
      <c r="P8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7.5901591180393551</v>
      </c>
      <c r="Q87" s="4">
        <f>CHOOSE(Table2[[#This Row],[Mode Digit]],Table2[[#This Row],[I_0]]+1/Lf*(Table2[[#This Row],[Vin]]-Vout)*Table2[[#This Row],[t1_Ph_II]],Table2[[#This Row],[I_0]]+1/Lf*Table2[[#This Row],[Vin]]*Table2[[#This Row],[t1_Ph_II]],Table2[[#This Row],[I_0]]+(Table2[[#This Row],[Vin]]-Vout)/L*Table2[[#This Row],[t1_Ph_II]])</f>
        <v>11.129840881960645</v>
      </c>
      <c r="R87" s="4">
        <f>CHOOSE(Table2[[#This Row],[Mode Digit]],0,0,Table2[[#This Row],[I_1]]+Table2[[#This Row],[Vin]]/L*Table2[[#This Row],[t2_Ph_I]])</f>
        <v>0</v>
      </c>
      <c r="S87" s="409">
        <f>Fsw*(Table2[[#This Row],[I_0]]*Table2[[#This Row],[t1_Ph_II]]+Table2[[#This Row],[I_1]]*Table2[[#This Row],[t2_Ph_I]]+Table2[[#This Row],[I_2]]*Table2[[#This Row],[t3_Ph_III]])</f>
        <v>8.9246758117493457</v>
      </c>
      <c r="T87" s="354">
        <f>MIN(1,CHOOSE(Table2[[#This Row],[Mode Digit]],(Vout+(Rdson2+Rs+Rdcr)*Table2[[#This Row],[Iout]])/(Table2[[#This Row],[Vin]]+(Rs+Rdson2-Rdson1)*Table2[[#This Row],[Iout]]),1,Fsw*Table2[[#This Row],[t2_Ph_I]]+Table2[[#This Row],[t1_Ph_II]]))</f>
        <v>0.62298399045014685</v>
      </c>
      <c r="U87" s="354">
        <f>MIN(1,CHOOSE(Table2[[#This Row],[Mode Digit]],0,(Vout+(Rdson3+Rdcr)*Table2[[#This Row],[Iin]]-Table2[[#This Row],[Vin]])/(Vout+(Rdson3-Rdson4-Rs)*Table2[[#This Row],[Iin]]),Fsw*Table2[[#This Row],[t1_Ph_II]]+Table2[[#This Row],[t3_Ph_III]]))</f>
        <v>0</v>
      </c>
      <c r="V87" s="4">
        <f>MAX(Table2[[#This Row],[I_0]:[I_2]])-MIN(Table2[[#This Row],[I_0]:[I_1]])</f>
        <v>3.5396817639212896</v>
      </c>
      <c r="W8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9.4156100306434247</v>
      </c>
      <c r="X87" s="354">
        <f>(Table2[[#This Row],[Irms Lf]]^2*Rdcr*(1+Ltc*Ta-Ltc*25))/(1-Table2[[#This Row],[Irms Lf]]^2*Rdcr*Ltc*ThetaCa)</f>
        <v>0.53625036264441706</v>
      </c>
      <c r="Y87" s="354">
        <f>ABS(7.759*10^-3*Fsw^0.9458*(0.00787*Table2[[#This Row],[Ripple Current pk-pk]])^2.304)</f>
        <v>0.59145341955940844</v>
      </c>
      <c r="Z87" s="354">
        <f>Table2[[#This Row],[DCR    Loss]]+Table2[[#This Row],[Core Loss]]</f>
        <v>1.1277037822038256</v>
      </c>
      <c r="AA87" s="4">
        <f>IF(Table2[[#This Row],[Vin]]&gt;Vout, Table2[[#This Row],[Ripple Current pk-pk]]/SQRT(12), SQRT(Table2[[#This Row],[Duty Cycle BOOST Leg]]/(1-Table2[[#This Row],[Duty Cycle BOOST Leg]]))*SQRT(Table2[[#This Row],[Iout]]^2+(Table2[[#This Row],[Ripple Current pk-pk]]^2)/12))</f>
        <v>1.021818109622783</v>
      </c>
      <c r="AB87" s="354">
        <f>RCoutEsr*Table2[[#This Row],[Irms Cout]]^2</f>
        <v>5.2205612457653884E-3</v>
      </c>
      <c r="AC87" s="354">
        <f>Table2[[#This Row],[Cout ESR Loss]]</f>
        <v>5.2205612457653884E-3</v>
      </c>
      <c r="AD87" s="4">
        <f>IF(Table2[[#This Row],[Vin]]&gt;Vout, SQRT(Table2[[#This Row],[Duty Cycle BUCK Leg]]*(1-Table2[[#This Row],[Duty Cycle BUCK Leg]]))*SQRT(Table2[[#This Row],[Iout]]^2+(Table2[[#This Row],[Ripple Current pk-pk]]^2)/12), Table2[[#This Row],[Ripple Current pk-pk]]/SQRT(12))</f>
        <v>4.563171613716797</v>
      </c>
      <c r="AE87" s="354">
        <f>RCinEsr*Table2[[#This Row],[Irms Cin]]^2</f>
        <v>4.1645070352461518E-2</v>
      </c>
      <c r="AF87" s="549">
        <f>Table2[[#This Row],[Cin ESR Loss]]</f>
        <v>4.1645070352461518E-2</v>
      </c>
      <c r="AG87" s="354">
        <f>Table2[[#This Row],[Irms Lf]]</f>
        <v>9.4156100306434247</v>
      </c>
      <c r="AH87" s="354">
        <f>Rdson1*Table2[[#This Row],[Irms BuCtrl]]^2</f>
        <v>0.37234559144644297</v>
      </c>
      <c r="AI87" s="354">
        <f>CHOOSE(Table2[[#This Row],[Mode Digit]], (Table2[[#This Row],[Vin]]*Table2[[#This Row],[Iout]]/2)*(Fsw)*(Tr_buck+Tf_buck), 0, (Table2[[#This Row],[Vin]]*Table2[[#This Row],[Avg IL]]/2)*(Fsw/1)*(Tr_buck+Tf_buck))</f>
        <v>2.1904857922004446</v>
      </c>
      <c r="AJ87">
        <f>IF(Table2[[#This Row],[Vin]]&gt;Vout, IF(Table2[[#This Row],[Iout]]&gt;Table2[[#This Row],[Ripple Current pk-pk]]/2,0,ABS(Table2[[#This Row],[Iout]]-Table2[[#This Row],[Ripple Current pk-pk]]/2)*Vsd_Q1*Deadtime*Fsw),0)</f>
        <v>0</v>
      </c>
      <c r="AK87" s="354">
        <f>(Table2[[#This Row],[Dead Time Loss BuCtrl]]+Table2[[#This Row],[Transition Loss BuCtrl]]+Table2[[#This Row],[RDS(on) Loss BuCtrl]]*(1+RdsonTopTc*Ta-RdsonTopTc*25))/(1-Table2[[#This Row],[RDS(on) Loss BuCtrl]]*RdsonTopTc*ThetaJA_Q1)</f>
        <v>2.8143280146393299</v>
      </c>
      <c r="AL87" s="354">
        <f>Table2[[#This Row],[Irms Lf]]</f>
        <v>9.4156100306434247</v>
      </c>
      <c r="AM87" s="354">
        <f>Rdson2*Table2[[#This Row],[Irms BuSync]]^2</f>
        <v>0.37234559144644297</v>
      </c>
      <c r="AN8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0.45034971428571424</v>
      </c>
      <c r="AO87" s="354">
        <f>(Table2[[#This Row],[Deadtime Loss BuSync]]+Table2[[#This Row],[RDS(on) Loss BuSync]]*(1+RdsonBotTc*Ta-RdsonBotTc*25))/(1-Table2[[#This Row],[RDS(on) Loss BuSync]]*RdsonBotTc*ThetaJA_Q2)</f>
        <v>0.90342831807357404</v>
      </c>
      <c r="AP87" s="354">
        <f>Table2[[#This Row],[Irms Lf]]</f>
        <v>9.4156100306434247</v>
      </c>
      <c r="AQ87" s="354">
        <f>Rdson4*Table2[[#This Row],[Irms BoCtlr]]^2</f>
        <v>0.37234559144644297</v>
      </c>
      <c r="AR87" s="354">
        <f>CHOOSE(Table2[[#This Row],[Mode Digit]], 0, (Vout*Table2[[#This Row],[Iin]]/2)*(Fsw)*(Tr_boost+Tf_boost), (Vout*Iout/2)*(Fsw/1)*(Tr_boost+Tf_boost))</f>
        <v>0</v>
      </c>
      <c r="AS87" s="354">
        <f>IF(Table2[[#This Row],[Vin]]&gt;Vout, 0, IF(Table2[[#This Row],[Iin]]&gt;Table2[[#This Row],[Ripple Current pk-pk]]/2,0,ABS(Table2[[#This Row],[Iin]]-Table2[[#This Row],[Ripple Current pk-pk]]/2)*Vsd_Q4*Deadtime*Fsw))</f>
        <v>0</v>
      </c>
      <c r="AT87" s="354">
        <f>(Table2[[#This Row],[Dead Time Loss BoCtlr]]+Table2[[#This Row],[Transition Loss BoCtlr]]+Table2[[#This Row],[RDS(on) Loss BoCtlr]]*(1+RdsonTopTc*Ta-RdsonTopTc*25))/(1-Table2[[#This Row],[RDS(on) Loss BoCtlr]]*RdsonTopTc*ThetaJA_Q4)</f>
        <v>0.40888473421299304</v>
      </c>
      <c r="AU87" s="354">
        <f>Table2[[#This Row],[Irms Lf]]</f>
        <v>9.4156100306434247</v>
      </c>
      <c r="AV87" s="354">
        <f>Rdson3*Table2[[#This Row],[Irms BoSync]]^2</f>
        <v>0.37234559144644297</v>
      </c>
      <c r="AW8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7" s="354">
        <f>(Table2[[#This Row],[Deadtime Loss BoSync]]+Table2[[#This Row],[RDS(on) Loss BoSync]]*(1+RdsonBotTc*Ta-RdsonBotTc*25))/(1-Table2[[#This Row],[RDS(on) Loss BoSync]]*RdsonBotTc*ThetaJA_Q3)</f>
        <v>0.40888473421299304</v>
      </c>
      <c r="AY87" s="354">
        <f>CHOOSE(Table2[[#This Row],[Mode Digit]], Rdson3*Table2[[#This Row],[Irms Lf]]^2, Rdson1*Table2[[#This Row],[Irms Lf]]^2, 0)</f>
        <v>0.37234559144644297</v>
      </c>
      <c r="AZ87" s="354">
        <f>CHOOSE(Table2[[#This Row],[Mode Digit]], 2*Deadtime*Fsw*IF(VfdSky_Q2&gt;0,VfdSky_Q2,0)*Table2[[#This Row],[Iout]], 2*Deadtime*Fsw*IF(VfdSky_Q3&gt;0,VfdSky_Q3,0)*Table2[[#This Row],[Iin]], 2*Deadtime*Fsw*IF(VfdSky_Q2&gt;0,VfdSky_Q2,0)*Table2[[#This Row],[Iout]]+2*Deadtime*Fsw*IF(VfdSky_Q3&gt;0,VfdSky_Q3,0)*Table2[[#This Row],[Iin]])</f>
        <v>0</v>
      </c>
      <c r="BA8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0.22052803967999998</v>
      </c>
      <c r="BB8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0.22052803967999998</v>
      </c>
      <c r="BC87" s="354">
        <f>CHOOSE(Table2[[#This Row],[Mode Digit]], Rs*Table2[[#This Row],[Irms BuSync]]^2, Rs*Table2[[#This Row],[Irms BoCtlr]]^2, Rs*(Table2[[#This Row],[Irms BuSync]]^2+Table2[[#This Row],[Irms BoCtlr]]^2))</f>
        <v>0.22163428062288268</v>
      </c>
      <c r="BD87" s="354">
        <f t="shared" si="9"/>
        <v>1.44</v>
      </c>
      <c r="BE87" s="354">
        <f>IF(Vout&gt;8, Iq*Vout, Iq*Table2[[#This Row],[Vin]])</f>
        <v>4.3799999999999999E-2</v>
      </c>
      <c r="BF87" s="354">
        <f>CHOOSE(Table2[[#This Row],[Mode Digit]], (Qg_Q1+Qg_Q2)*Fsw, (Qg_Q3+Qg_Q4)*Fsw, (Qg_Q1+Qg_Q2+Qg_Q3+Qg_Q4)*Fsw)*IF(Vout&gt;8, Vout, Table2[[#This Row],[Vin]])</f>
        <v>0.47303999999999996</v>
      </c>
      <c r="BG87" s="354">
        <f t="shared" si="10"/>
        <v>0.57269042016806726</v>
      </c>
      <c r="BH87" s="354">
        <f>Table2[[#This Row],[IQ Loss]]+Table2[[#This Row],[Switching Current Loss]]</f>
        <v>0.51683999999999997</v>
      </c>
      <c r="BI8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8.3296255749238242</v>
      </c>
      <c r="BJ87">
        <f>Vout*Table2[[#This Row],[Iout]]</f>
        <v>136.65599999999998</v>
      </c>
      <c r="BK87" s="550">
        <f>Table2[[#This Row],[Pout]]/(Table2[[#This Row],[Pout]]+Table2[[#This Row],[Total Loss]])</f>
        <v>0.94254861099578902</v>
      </c>
      <c r="BL87" s="559">
        <f>IF(Table2[[#This Row],[Vin]]&gt;Vout,ThetaJA_Q1*(Table2[[#This Row],[Total Control Bu MOSFET Loss]]+Table2[[#This Row],[Reverse Recovery Loss MOSFET D BUCK]]),ThetaJA_Q4*(Table2[[#This Row],[Total Control Bo MOSFET Loss]]+Table2[[#This Row],[Reverse Recovery Loss MOSFET D BOOST]]))</f>
        <v>182.09136325915981</v>
      </c>
      <c r="BM87" s="559">
        <f>IF(Table2[[#This Row],[Vin]]&gt;Vout, Table2[[#This Row],[Total Sync Bu MOSFET Loss]]*ThetaJA_Q2, ThetaJA_Q3*Table2[[#This Row],[Total Sync Bo MOSFET Loss]])</f>
        <v>54.205699084414441</v>
      </c>
      <c r="BN87" s="9"/>
      <c r="BO87" s="4">
        <f>Table2[[#This Row],[EFF, h]]*100</f>
        <v>94.254861099578903</v>
      </c>
      <c r="BP87" s="354">
        <f>Table2[[#This Row],[Total Inductor Loss]]</f>
        <v>1.1277037822038256</v>
      </c>
      <c r="BQ87" s="354">
        <f>Table2[[#This Row],[Total Control Bu MOSFET Loss]]+Table2[[#This Row],[Total Sync Bu MOSFET Loss]]+Table2[[#This Row],[Total Control Bo MOSFET Loss]]+Table2[[#This Row],[Total Sync Bo MOSFET Loss]]+Table2[[#This Row],[Reverse Recovery Loss MOSFET D BUCK]]+Table2[[#This Row],[Reverse Recovery Loss MOSFET D BOOST]]</f>
        <v>4.9765818804988893</v>
      </c>
      <c r="BR87" s="354">
        <f xml:space="preserve"> Table2[[#This Row],[Total Control Bu MOSFET Loss]]+Table2[[#This Row],[Reverse Recovery Loss MOSFET D BUCK]]*0.66</f>
        <v>2.9598765208281299</v>
      </c>
      <c r="BS87" s="354">
        <f>Table2[[#This Row],[Total Sync Bu MOSFET Loss]]+Table2[[#This Row],[Reverse Recovery Loss MOSFET D BUCK]]*0.33</f>
        <v>0.97620257116797404</v>
      </c>
      <c r="BT87" s="354">
        <f xml:space="preserve"> Table2[[#This Row],[Total Control Bo MOSFET Loss]]+Table2[[#This Row],[Reverse Recovery Loss MOSFET D BOOST]]*0.66</f>
        <v>0.55443324040179309</v>
      </c>
      <c r="BU87" s="354">
        <f xml:space="preserve"> Table2[[#This Row],[Total Sync Bo MOSFET Loss]]+Table2[[#This Row],[Reverse Recovery Loss MOSFET D BOOST]]*0.33</f>
        <v>0.48165898730739304</v>
      </c>
      <c r="BV87" s="354">
        <f>Table2[[#This Row],[Isense Shunt Loss]]</f>
        <v>0.22163428062288268</v>
      </c>
      <c r="CB87" s="18"/>
      <c r="CC87" s="19"/>
    </row>
    <row r="88" spans="1:81" x14ac:dyDescent="0.2">
      <c r="G88">
        <v>79</v>
      </c>
      <c r="H88" s="555">
        <f t="shared" si="8"/>
        <v>23.6</v>
      </c>
      <c r="I88" s="4" t="str">
        <f>IF(Mode = 2,IF(Table2[[#This Row],[Vin]]&gt;Vout, "BUCK","BOOST"),IF(Table2[[#This Row],[Vin]]&gt;VIN_BB_to_buck, "BUCK", IF(Table2[[#This Row],[Vin]]&lt;=VIN_boost_to_BB,"BOOST","BUCK-BST")))</f>
        <v>BUCK</v>
      </c>
      <c r="J88">
        <f>IF(Table2[[#This Row],[Mode]]="BOOST",2, IF(Table2[[#This Row],[Mode]]="BUCK", 1,3))</f>
        <v>1</v>
      </c>
      <c r="K88" s="354">
        <f t="shared" si="11"/>
        <v>9.48</v>
      </c>
      <c r="L88" s="4">
        <f>Vout*Table2[[#This Row],[Iout]]/(Table2[[#This Row],[Vin]]*Efficiency)</f>
        <v>6.1734165923282784</v>
      </c>
      <c r="M88" s="711">
        <f>MIN(1/Fsw,CHOOSE(Table2[[#This Row],[Mode Digit]],(Vout+(Rdson2+Rs+Rdcr)*Table2[[#This Row],[Iout]])/(Table2[[#This Row],[Vin]]+(Rs+Rdson2-Rdson1)*Table2[[#This Row],[Iout]])/Fsw,(Vout+(Rdson3+Rdcr)*Table2[[#This Row],[Iin]]-Table2[[#This Row],[Vin]])/(Vout+(Rdson3-Rdson4-Rs)*Table2[[#This Row],[Iin]])/Fsw,t1_Ph_II))</f>
        <v>1.0383992911073764E-6</v>
      </c>
      <c r="N88" s="602">
        <f>CHOOSE(Table2[[#This Row],[Mode Digit]],1/Fsw-Table2[[#This Row],[t1_Ph_II]],1/Fsw-Table2[[#This Row],[t1_Ph_II]],(Vout/Fsw-Table2[[#This Row],[Vin]]*t1_Ph_II)/(Table2[[#This Row],[Vin]]+Vout))</f>
        <v>6.2826737555929025E-7</v>
      </c>
      <c r="O88" s="602">
        <f>1/Fsw-(Table2[[#This Row],[t1_Ph_II]]+Table2[[#This Row],[t2_Ph_I]])</f>
        <v>0</v>
      </c>
      <c r="P8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7.7100012083396994</v>
      </c>
      <c r="Q88" s="4">
        <f>CHOOSE(Table2[[#This Row],[Mode Digit]],Table2[[#This Row],[I_0]]+1/Lf*(Table2[[#This Row],[Vin]]-Vout)*Table2[[#This Row],[t1_Ph_II]],Table2[[#This Row],[I_0]]+1/Lf*Table2[[#This Row],[Vin]]*Table2[[#This Row],[t1_Ph_II]],Table2[[#This Row],[I_0]]+(Table2[[#This Row],[Vin]]-Vout)/L*Table2[[#This Row],[t1_Ph_II]])</f>
        <v>11.249998791660301</v>
      </c>
      <c r="R88" s="4">
        <f>CHOOSE(Table2[[#This Row],[Mode Digit]],0,0,Table2[[#This Row],[I_1]]+Table2[[#This Row],[Vin]]/L*Table2[[#This Row],[t2_Ph_I]])</f>
        <v>0</v>
      </c>
      <c r="S88" s="409">
        <f>Fsw*(Table2[[#This Row],[I_0]]*Table2[[#This Row],[t1_Ph_II]]+Table2[[#This Row],[I_1]]*Table2[[#This Row],[t2_Ph_I]]+Table2[[#This Row],[I_2]]*Table2[[#This Row],[t3_Ph_III]])</f>
        <v>9.0444402030351387</v>
      </c>
      <c r="T88" s="354">
        <f>MIN(1,CHOOSE(Table2[[#This Row],[Mode Digit]],(Vout+(Rdson2+Rs+Rdcr)*Table2[[#This Row],[Iout]])/(Table2[[#This Row],[Vin]]+(Rs+Rdson2-Rdson1)*Table2[[#This Row],[Iout]]),1,Fsw*Table2[[#This Row],[t2_Ph_I]]+Table2[[#This Row],[t1_Ph_II]]))</f>
        <v>0.62303957466442583</v>
      </c>
      <c r="U88" s="354">
        <f>MIN(1,CHOOSE(Table2[[#This Row],[Mode Digit]],0,(Vout+(Rdson3+Rdcr)*Table2[[#This Row],[Iin]]-Table2[[#This Row],[Vin]])/(Vout+(Rdson3-Rdson4-Rs)*Table2[[#This Row],[Iin]]),Fsw*Table2[[#This Row],[t1_Ph_II]]+Table2[[#This Row],[t3_Ph_III]]))</f>
        <v>0</v>
      </c>
      <c r="V88" s="4">
        <f>MAX(Table2[[#This Row],[I_0]:[I_2]])-MIN(Table2[[#This Row],[I_0]:[I_1]])</f>
        <v>3.5399975833206021</v>
      </c>
      <c r="W8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9.5349199563582943</v>
      </c>
      <c r="X88" s="354">
        <f>(Table2[[#This Row],[Irms Lf]]^2*Rdcr*(1+Ltc*Ta-Ltc*25))/(1-Table2[[#This Row],[Irms Lf]]^2*Rdcr*Ltc*ThetaCa)</f>
        <v>0.5505289982924737</v>
      </c>
      <c r="Y88" s="354">
        <f>ABS(7.759*10^-3*Fsw^0.9458*(0.00787*Table2[[#This Row],[Ripple Current pk-pk]])^2.304)</f>
        <v>0.59157501096259424</v>
      </c>
      <c r="Z88" s="354">
        <f>Table2[[#This Row],[DCR    Loss]]+Table2[[#This Row],[Core Loss]]</f>
        <v>1.1421040092550681</v>
      </c>
      <c r="AA88" s="4">
        <f>IF(Table2[[#This Row],[Vin]]&gt;Vout, Table2[[#This Row],[Ripple Current pk-pk]]/SQRT(12), SQRT(Table2[[#This Row],[Duty Cycle BOOST Leg]]/(1-Table2[[#This Row],[Duty Cycle BOOST Leg]]))*SQRT(Table2[[#This Row],[Iout]]^2+(Table2[[#This Row],[Ripple Current pk-pk]]^2)/12))</f>
        <v>1.0219092788303872</v>
      </c>
      <c r="AB88" s="354">
        <f>RCoutEsr*Table2[[#This Row],[Irms Cout]]^2</f>
        <v>5.2214928707982099E-3</v>
      </c>
      <c r="AC88" s="354">
        <f>Table2[[#This Row],[Cout ESR Loss]]</f>
        <v>5.2214928707982099E-3</v>
      </c>
      <c r="AD88" s="4">
        <f>IF(Table2[[#This Row],[Vin]]&gt;Vout, SQRT(Table2[[#This Row],[Duty Cycle BUCK Leg]]*(1-Table2[[#This Row],[Duty Cycle BUCK Leg]]))*SQRT(Table2[[#This Row],[Iout]]^2+(Table2[[#This Row],[Ripple Current pk-pk]]^2)/12), Table2[[#This Row],[Ripple Current pk-pk]]/SQRT(12))</f>
        <v>4.6208593290023359</v>
      </c>
      <c r="AE88" s="354">
        <f>RCinEsr*Table2[[#This Row],[Irms Cin]]^2</f>
        <v>4.2704681876855839E-2</v>
      </c>
      <c r="AF88" s="549">
        <f>Table2[[#This Row],[Cin ESR Loss]]</f>
        <v>4.2704681876855839E-2</v>
      </c>
      <c r="AG88" s="354">
        <f>Table2[[#This Row],[Irms Lf]]</f>
        <v>9.5349199563582943</v>
      </c>
      <c r="AH88" s="354">
        <f>Rdson1*Table2[[#This Row],[Irms BuCtrl]]^2</f>
        <v>0.38184173401147065</v>
      </c>
      <c r="AI88" s="354">
        <f>CHOOSE(Table2[[#This Row],[Mode Digit]], (Table2[[#This Row],[Vin]]*Table2[[#This Row],[Iout]]/2)*(Fsw)*(Tr_buck+Tf_buck), 0, (Table2[[#This Row],[Vin]]*Table2[[#This Row],[Avg IL]]/2)*(Fsw/1)*(Tr_buck+Tf_buck))</f>
        <v>2.2185689433825022</v>
      </c>
      <c r="AJ88">
        <f>IF(Table2[[#This Row],[Vin]]&gt;Vout, IF(Table2[[#This Row],[Iout]]&gt;Table2[[#This Row],[Ripple Current pk-pk]]/2,0,ABS(Table2[[#This Row],[Iout]]-Table2[[#This Row],[Ripple Current pk-pk]]/2)*Vsd_Q1*Deadtime*Fsw),0)</f>
        <v>0</v>
      </c>
      <c r="AK88" s="354">
        <f>(Table2[[#This Row],[Dead Time Loss BuCtrl]]+Table2[[#This Row],[Transition Loss BuCtrl]]+Table2[[#This Row],[RDS(on) Loss BuCtrl]]*(1+RdsonTopTc*Ta-RdsonTopTc*25))/(1-Table2[[#This Row],[RDS(on) Loss BuCtrl]]*RdsonTopTc*ThetaJA_Q1)</f>
        <v>2.8627597529432798</v>
      </c>
      <c r="AL88" s="354">
        <f>Table2[[#This Row],[Irms Lf]]</f>
        <v>9.5349199563582943</v>
      </c>
      <c r="AM88" s="354">
        <f>Rdson2*Table2[[#This Row],[Irms BuSync]]^2</f>
        <v>0.38184173401147065</v>
      </c>
      <c r="AN8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0.45612342857142857</v>
      </c>
      <c r="AO88" s="354">
        <f>(Table2[[#This Row],[Deadtime Loss BuSync]]+Table2[[#This Row],[RDS(on) Loss BuSync]]*(1+RdsonBotTc*Ta-RdsonBotTc*25))/(1-Table2[[#This Row],[RDS(on) Loss BuSync]]*RdsonBotTc*ThetaJA_Q2)</f>
        <v>0.92250541911132655</v>
      </c>
      <c r="AP88" s="354">
        <f>Table2[[#This Row],[Irms Lf]]</f>
        <v>9.5349199563582943</v>
      </c>
      <c r="AQ88" s="354">
        <f>Rdson4*Table2[[#This Row],[Irms BoCtlr]]^2</f>
        <v>0.38184173401147065</v>
      </c>
      <c r="AR88" s="354">
        <f>CHOOSE(Table2[[#This Row],[Mode Digit]], 0, (Vout*Table2[[#This Row],[Iin]]/2)*(Fsw)*(Tr_boost+Tf_boost), (Vout*Iout/2)*(Fsw/1)*(Tr_boost+Tf_boost))</f>
        <v>0</v>
      </c>
      <c r="AS88" s="354">
        <f>IF(Table2[[#This Row],[Vin]]&gt;Vout, 0, IF(Table2[[#This Row],[Iin]]&gt;Table2[[#This Row],[Ripple Current pk-pk]]/2,0,ABS(Table2[[#This Row],[Iin]]-Table2[[#This Row],[Ripple Current pk-pk]]/2)*Vsd_Q4*Deadtime*Fsw))</f>
        <v>0</v>
      </c>
      <c r="AT88" s="354">
        <f>(Table2[[#This Row],[Dead Time Loss BoCtlr]]+Table2[[#This Row],[Transition Loss BoCtlr]]+Table2[[#This Row],[RDS(on) Loss BoCtlr]]*(1+RdsonTopTc*Ta-RdsonTopTc*25))/(1-Table2[[#This Row],[RDS(on) Loss BoCtlr]]*RdsonTopTc*ThetaJA_Q4)</f>
        <v>0.42036481299853501</v>
      </c>
      <c r="AU88" s="354">
        <f>Table2[[#This Row],[Irms Lf]]</f>
        <v>9.5349199563582943</v>
      </c>
      <c r="AV88" s="354">
        <f>Rdson3*Table2[[#This Row],[Irms BoSync]]^2</f>
        <v>0.38184173401147065</v>
      </c>
      <c r="AW8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8" s="354">
        <f>(Table2[[#This Row],[Deadtime Loss BoSync]]+Table2[[#This Row],[RDS(on) Loss BoSync]]*(1+RdsonBotTc*Ta-RdsonBotTc*25))/(1-Table2[[#This Row],[RDS(on) Loss BoSync]]*RdsonBotTc*ThetaJA_Q3)</f>
        <v>0.42036481299853501</v>
      </c>
      <c r="AY88" s="354">
        <f>CHOOSE(Table2[[#This Row],[Mode Digit]], Rdson3*Table2[[#This Row],[Irms Lf]]^2, Rdson1*Table2[[#This Row],[Irms Lf]]^2, 0)</f>
        <v>0.38184173401147065</v>
      </c>
      <c r="AZ88" s="354">
        <f>CHOOSE(Table2[[#This Row],[Mode Digit]], 2*Deadtime*Fsw*IF(VfdSky_Q2&gt;0,VfdSky_Q2,0)*Table2[[#This Row],[Iout]], 2*Deadtime*Fsw*IF(VfdSky_Q3&gt;0,VfdSky_Q3,0)*Table2[[#This Row],[Iin]], 2*Deadtime*Fsw*IF(VfdSky_Q2&gt;0,VfdSky_Q2,0)*Table2[[#This Row],[Iout]]+2*Deadtime*Fsw*IF(VfdSky_Q3&gt;0,VfdSky_Q3,0)*Table2[[#This Row],[Iin]])</f>
        <v>0</v>
      </c>
      <c r="BA8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0.22335054432000001</v>
      </c>
      <c r="BB8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0.22335054432000001</v>
      </c>
      <c r="BC88" s="354">
        <f>CHOOSE(Table2[[#This Row],[Mode Digit]], Rs*Table2[[#This Row],[Irms BuSync]]^2, Rs*Table2[[#This Row],[Irms BoCtlr]]^2, Rs*(Table2[[#This Row],[Irms BuSync]]^2+Table2[[#This Row],[Irms BoCtlr]]^2))</f>
        <v>0.22728674643539915</v>
      </c>
      <c r="BD88" s="354">
        <f t="shared" si="9"/>
        <v>1.44</v>
      </c>
      <c r="BE88" s="354">
        <f>IF(Vout&gt;8, Iq*Vout, Iq*Table2[[#This Row],[Vin]])</f>
        <v>4.3799999999999999E-2</v>
      </c>
      <c r="BF88" s="354">
        <f>CHOOSE(Table2[[#This Row],[Mode Digit]], (Qg_Q1+Qg_Q2)*Fsw, (Qg_Q3+Qg_Q4)*Fsw, (Qg_Q1+Qg_Q2+Qg_Q3+Qg_Q4)*Fsw)*IF(Vout&gt;8, Vout, Table2[[#This Row],[Vin]])</f>
        <v>0.47303999999999996</v>
      </c>
      <c r="BG88" s="354">
        <f t="shared" si="10"/>
        <v>0.57269042016806726</v>
      </c>
      <c r="BH88" s="354">
        <f>Table2[[#This Row],[IQ Loss]]+Table2[[#This Row],[Switching Current Loss]]</f>
        <v>0.51683999999999997</v>
      </c>
      <c r="BI8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8.4468528171297983</v>
      </c>
      <c r="BJ88">
        <f>Vout*Table2[[#This Row],[Iout]]</f>
        <v>138.40800000000002</v>
      </c>
      <c r="BK88" s="550">
        <f>Table2[[#This Row],[Pout]]/(Table2[[#This Row],[Pout]]+Table2[[#This Row],[Total Loss]])</f>
        <v>0.94248162280583125</v>
      </c>
      <c r="BL88" s="559">
        <f>IF(Table2[[#This Row],[Vin]]&gt;Vout,ThetaJA_Q1*(Table2[[#This Row],[Total Control Bu MOSFET Loss]]+Table2[[#This Row],[Reverse Recovery Loss MOSFET D BUCK]]),ThetaJA_Q4*(Table2[[#This Row],[Total Control Bo MOSFET Loss]]+Table2[[#This Row],[Reverse Recovery Loss MOSFET D BOOST]]))</f>
        <v>185.16661783579679</v>
      </c>
      <c r="BM88" s="559">
        <f>IF(Table2[[#This Row],[Vin]]&gt;Vout, Table2[[#This Row],[Total Sync Bu MOSFET Loss]]*ThetaJA_Q2, ThetaJA_Q3*Table2[[#This Row],[Total Sync Bo MOSFET Loss]])</f>
        <v>55.350325146679594</v>
      </c>
      <c r="BN88" s="9"/>
      <c r="BO88" s="4">
        <f>Table2[[#This Row],[EFF, h]]*100</f>
        <v>94.248162280583131</v>
      </c>
      <c r="BP88" s="354">
        <f>Table2[[#This Row],[Total Inductor Loss]]</f>
        <v>1.1421040092550681</v>
      </c>
      <c r="BQ88" s="354">
        <f>Table2[[#This Row],[Total Control Bu MOSFET Loss]]+Table2[[#This Row],[Total Sync Bu MOSFET Loss]]+Table2[[#This Row],[Total Control Bo MOSFET Loss]]+Table2[[#This Row],[Total Sync Bo MOSFET Loss]]+Table2[[#This Row],[Reverse Recovery Loss MOSFET D BUCK]]+Table2[[#This Row],[Reverse Recovery Loss MOSFET D BOOST]]</f>
        <v>5.072695886691676</v>
      </c>
      <c r="BR88" s="354">
        <f xml:space="preserve"> Table2[[#This Row],[Total Control Bu MOSFET Loss]]+Table2[[#This Row],[Reverse Recovery Loss MOSFET D BUCK]]*0.66</f>
        <v>3.0101711121944796</v>
      </c>
      <c r="BS88" s="354">
        <f>Table2[[#This Row],[Total Sync Bu MOSFET Loss]]+Table2[[#This Row],[Reverse Recovery Loss MOSFET D BUCK]]*0.33</f>
        <v>0.99621109873692659</v>
      </c>
      <c r="BT88" s="354">
        <f xml:space="preserve"> Table2[[#This Row],[Total Control Bo MOSFET Loss]]+Table2[[#This Row],[Reverse Recovery Loss MOSFET D BOOST]]*0.66</f>
        <v>0.56777617224973498</v>
      </c>
      <c r="BU88" s="354">
        <f xml:space="preserve"> Table2[[#This Row],[Total Sync Bo MOSFET Loss]]+Table2[[#This Row],[Reverse Recovery Loss MOSFET D BOOST]]*0.33</f>
        <v>0.49407049262413505</v>
      </c>
      <c r="BV88" s="354">
        <f>Table2[[#This Row],[Isense Shunt Loss]]</f>
        <v>0.22728674643539915</v>
      </c>
      <c r="CB88" s="18"/>
      <c r="CC88" s="19"/>
    </row>
    <row r="89" spans="1:81" x14ac:dyDescent="0.2">
      <c r="G89">
        <v>80</v>
      </c>
      <c r="H89" s="555">
        <f t="shared" si="8"/>
        <v>23.6</v>
      </c>
      <c r="I89" s="4" t="str">
        <f>IF(Mode = 2,IF(Table2[[#This Row],[Vin]]&gt;Vout, "BUCK","BOOST"),IF(Table2[[#This Row],[Vin]]&gt;VIN_BB_to_buck, "BUCK", IF(Table2[[#This Row],[Vin]]&lt;=VIN_boost_to_BB,"BOOST","BUCK-BST")))</f>
        <v>BUCK</v>
      </c>
      <c r="J89">
        <f>IF(Table2[[#This Row],[Mode]]="BOOST",2, IF(Table2[[#This Row],[Mode]]="BUCK", 1,3))</f>
        <v>1</v>
      </c>
      <c r="K89" s="354">
        <f t="shared" si="11"/>
        <v>9.6</v>
      </c>
      <c r="L89" s="4">
        <f>Vout*Table2[[#This Row],[Iout]]/(Table2[[#This Row],[Vin]]*Efficiency)</f>
        <v>6.2515611061552177</v>
      </c>
      <c r="M89" s="711">
        <f>MIN(1/Fsw,CHOOSE(Table2[[#This Row],[Mode Digit]],(Vout+(Rdson2+Rs+Rdcr)*Table2[[#This Row],[Iout]])/(Table2[[#This Row],[Vin]]+(Rs+Rdson2-Rdson1)*Table2[[#This Row],[Iout]])/Fsw,(Vout+(Rdson3+Rdcr)*Table2[[#This Row],[Iin]]-Table2[[#This Row],[Vin]])/(Vout+(Rdson3-Rdson4-Rs)*Table2[[#This Row],[Iin]])/Fsw,t1_Ph_II))</f>
        <v>1.0384919291116378E-6</v>
      </c>
      <c r="N89" s="602">
        <f>CHOOSE(Table2[[#This Row],[Mode Digit]],1/Fsw-Table2[[#This Row],[t1_Ph_II]],1/Fsw-Table2[[#This Row],[t1_Ph_II]],(Vout/Fsw-Table2[[#This Row],[Vin]]*t1_Ph_II)/(Table2[[#This Row],[Vin]]+Vout))</f>
        <v>6.2817473755502884E-7</v>
      </c>
      <c r="O89" s="602">
        <f>1/Fsw-(Table2[[#This Row],[t1_Ph_II]]+Table2[[#This Row],[t2_Ph_I]])</f>
        <v>0</v>
      </c>
      <c r="P8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7.8298433026506169</v>
      </c>
      <c r="Q89" s="4">
        <f>CHOOSE(Table2[[#This Row],[Mode Digit]],Table2[[#This Row],[I_0]]+1/Lf*(Table2[[#This Row],[Vin]]-Vout)*Table2[[#This Row],[t1_Ph_II]],Table2[[#This Row],[I_0]]+1/Lf*Table2[[#This Row],[Vin]]*Table2[[#This Row],[t1_Ph_II]],Table2[[#This Row],[I_0]]+(Table2[[#This Row],[Vin]]-Vout)/L*Table2[[#This Row],[t1_Ph_II]])</f>
        <v>11.370156697349383</v>
      </c>
      <c r="R89" s="4">
        <f>CHOOSE(Table2[[#This Row],[Mode Digit]],0,0,Table2[[#This Row],[I_1]]+Table2[[#This Row],[Vin]]/L*Table2[[#This Row],[t2_Ph_I]])</f>
        <v>0</v>
      </c>
      <c r="S89" s="409">
        <f>Fsw*(Table2[[#This Row],[I_0]]*Table2[[#This Row],[t1_Ph_II]]+Table2[[#This Row],[I_1]]*Table2[[#This Row],[t2_Ph_I]]+Table2[[#This Row],[I_2]]*Table2[[#This Row],[t3_Ph_III]])</f>
        <v>9.1642045651970871</v>
      </c>
      <c r="T89" s="354">
        <f>MIN(1,CHOOSE(Table2[[#This Row],[Mode Digit]],(Vout+(Rdson2+Rs+Rdcr)*Table2[[#This Row],[Iout]])/(Table2[[#This Row],[Vin]]+(Rs+Rdson2-Rdson1)*Table2[[#This Row],[Iout]]),1,Fsw*Table2[[#This Row],[t2_Ph_I]]+Table2[[#This Row],[t1_Ph_II]]))</f>
        <v>0.62309515746698263</v>
      </c>
      <c r="U89" s="354">
        <f>MIN(1,CHOOSE(Table2[[#This Row],[Mode Digit]],0,(Vout+(Rdson3+Rdcr)*Table2[[#This Row],[Iin]]-Table2[[#This Row],[Vin]])/(Vout+(Rdson3-Rdson4-Rs)*Table2[[#This Row],[Iin]]),Fsw*Table2[[#This Row],[t1_Ph_II]]+Table2[[#This Row],[t3_Ph_III]]))</f>
        <v>0</v>
      </c>
      <c r="V89" s="4">
        <f>MAX(Table2[[#This Row],[I_0]:[I_2]])-MIN(Table2[[#This Row],[I_0]:[I_1]])</f>
        <v>3.5403133946987664</v>
      </c>
      <c r="W8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9.6542469882977908</v>
      </c>
      <c r="X89" s="354">
        <f>(Table2[[#This Row],[Irms Lf]]^2*Rdcr*(1+Ltc*Ta-Ltc*25))/(1-Table2[[#This Row],[Irms Lf]]^2*Rdcr*Ltc*ThetaCa)</f>
        <v>0.56502142689478185</v>
      </c>
      <c r="Y89" s="354">
        <f>ABS(7.759*10^-3*Fsw^0.9458*(0.00787*Table2[[#This Row],[Ripple Current pk-pk]])^2.304)</f>
        <v>0.59169661342333302</v>
      </c>
      <c r="Z89" s="354">
        <f>Table2[[#This Row],[DCR    Loss]]+Table2[[#This Row],[Core Loss]]</f>
        <v>1.1567180403181148</v>
      </c>
      <c r="AA89" s="4">
        <f>IF(Table2[[#This Row],[Vin]]&gt;Vout, Table2[[#This Row],[Ripple Current pk-pk]]/SQRT(12), SQRT(Table2[[#This Row],[Duty Cycle BOOST Leg]]/(1-Table2[[#This Row],[Duty Cycle BOOST Leg]]))*SQRT(Table2[[#This Row],[Iout]]^2+(Table2[[#This Row],[Ripple Current pk-pk]]^2)/12))</f>
        <v>1.0220004457224854</v>
      </c>
      <c r="AB89" s="354">
        <f>RCoutEsr*Table2[[#This Row],[Irms Cout]]^2</f>
        <v>5.2224245552847937E-3</v>
      </c>
      <c r="AC89" s="354">
        <f>Table2[[#This Row],[Cout ESR Loss]]</f>
        <v>5.2224245552847937E-3</v>
      </c>
      <c r="AD89" s="4">
        <f>IF(Table2[[#This Row],[Vin]]&gt;Vout, SQRT(Table2[[#This Row],[Duty Cycle BUCK Leg]]*(1-Table2[[#This Row],[Duty Cycle BUCK Leg]]))*SQRT(Table2[[#This Row],[Iout]]^2+(Table2[[#This Row],[Ripple Current pk-pk]]^2)/12), Table2[[#This Row],[Ripple Current pk-pk]]/SQRT(12))</f>
        <v>4.67855190548533</v>
      </c>
      <c r="AE89" s="354">
        <f>RCinEsr*Table2[[#This Row],[Irms Cin]]^2</f>
        <v>4.377769586464083E-2</v>
      </c>
      <c r="AF89" s="549">
        <f>Table2[[#This Row],[Cin ESR Loss]]</f>
        <v>4.377769586464083E-2</v>
      </c>
      <c r="AG89" s="354">
        <f>Table2[[#This Row],[Irms Lf]]</f>
        <v>9.6542469882977908</v>
      </c>
      <c r="AH89" s="354">
        <f>Rdson1*Table2[[#This Row],[Irms BuCtrl]]^2</f>
        <v>0.39145883662643932</v>
      </c>
      <c r="AI89" s="354">
        <f>CHOOSE(Table2[[#This Row],[Mode Digit]], (Table2[[#This Row],[Vin]]*Table2[[#This Row],[Iout]]/2)*(Fsw)*(Tr_buck+Tf_buck), 0, (Table2[[#This Row],[Vin]]*Table2[[#This Row],[Avg IL]]/2)*(Fsw/1)*(Tr_buck+Tf_buck))</f>
        <v>2.2466520945645589</v>
      </c>
      <c r="AJ89">
        <f>IF(Table2[[#This Row],[Vin]]&gt;Vout, IF(Table2[[#This Row],[Iout]]&gt;Table2[[#This Row],[Ripple Current pk-pk]]/2,0,ABS(Table2[[#This Row],[Iout]]-Table2[[#This Row],[Ripple Current pk-pk]]/2)*Vsd_Q1*Deadtime*Fsw),0)</f>
        <v>0</v>
      </c>
      <c r="AK89" s="354">
        <f>(Table2[[#This Row],[Dead Time Loss BuCtrl]]+Table2[[#This Row],[Transition Loss BuCtrl]]+Table2[[#This Row],[RDS(on) Loss BuCtrl]]*(1+RdsonTopTc*Ta-RdsonTopTc*25))/(1-Table2[[#This Row],[RDS(on) Loss BuCtrl]]*RdsonTopTc*ThetaJA_Q1)</f>
        <v>2.9116619203042298</v>
      </c>
      <c r="AL89" s="354">
        <f>Table2[[#This Row],[Irms Lf]]</f>
        <v>9.6542469882977908</v>
      </c>
      <c r="AM89" s="354">
        <f>Rdson2*Table2[[#This Row],[Irms BuSync]]^2</f>
        <v>0.39145883662643932</v>
      </c>
      <c r="AN8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0.46189714285714284</v>
      </c>
      <c r="AO89" s="354">
        <f>(Table2[[#This Row],[Deadtime Loss BuSync]]+Table2[[#This Row],[RDS(on) Loss BuSync]]*(1+RdsonBotTc*Ta-RdsonBotTc*25))/(1-Table2[[#This Row],[RDS(on) Loss BuSync]]*RdsonBotTc*ThetaJA_Q2)</f>
        <v>0.9418421646145605</v>
      </c>
      <c r="AP89" s="354">
        <f>Table2[[#This Row],[Irms Lf]]</f>
        <v>9.6542469882977908</v>
      </c>
      <c r="AQ89" s="354">
        <f>Rdson4*Table2[[#This Row],[Irms BoCtlr]]^2</f>
        <v>0.39145883662643932</v>
      </c>
      <c r="AR89" s="354">
        <f>CHOOSE(Table2[[#This Row],[Mode Digit]], 0, (Vout*Table2[[#This Row],[Iin]]/2)*(Fsw)*(Tr_boost+Tf_boost), (Vout*Iout/2)*(Fsw/1)*(Tr_boost+Tf_boost))</f>
        <v>0</v>
      </c>
      <c r="AS89" s="354">
        <f>IF(Table2[[#This Row],[Vin]]&gt;Vout, 0, IF(Table2[[#This Row],[Iin]]&gt;Table2[[#This Row],[Ripple Current pk-pk]]/2,0,ABS(Table2[[#This Row],[Iin]]-Table2[[#This Row],[Ripple Current pk-pk]]/2)*Vsd_Q4*Deadtime*Fsw))</f>
        <v>0</v>
      </c>
      <c r="AT89" s="354">
        <f>(Table2[[#This Row],[Dead Time Loss BoCtlr]]+Table2[[#This Row],[Transition Loss BoCtlr]]+Table2[[#This Row],[RDS(on) Loss BoCtlr]]*(1+RdsonTopTc*Ta-RdsonTopTc*25))/(1-Table2[[#This Row],[RDS(on) Loss BoCtlr]]*RdsonTopTc*ThetaJA_Q4)</f>
        <v>0.43204998489476987</v>
      </c>
      <c r="AU89" s="354">
        <f>Table2[[#This Row],[Irms Lf]]</f>
        <v>9.6542469882977908</v>
      </c>
      <c r="AV89" s="354">
        <f>Rdson3*Table2[[#This Row],[Irms BoSync]]^2</f>
        <v>0.39145883662643932</v>
      </c>
      <c r="AW8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89" s="354">
        <f>(Table2[[#This Row],[Deadtime Loss BoSync]]+Table2[[#This Row],[RDS(on) Loss BoSync]]*(1+RdsonBotTc*Ta-RdsonBotTc*25))/(1-Table2[[#This Row],[RDS(on) Loss BoSync]]*RdsonBotTc*ThetaJA_Q3)</f>
        <v>0.43204998489476987</v>
      </c>
      <c r="AY89" s="354">
        <f>CHOOSE(Table2[[#This Row],[Mode Digit]], Rdson3*Table2[[#This Row],[Irms Lf]]^2, Rdson1*Table2[[#This Row],[Irms Lf]]^2, 0)</f>
        <v>0.39145883662643932</v>
      </c>
      <c r="AZ89" s="354">
        <f>CHOOSE(Table2[[#This Row],[Mode Digit]], 2*Deadtime*Fsw*IF(VfdSky_Q2&gt;0,VfdSky_Q2,0)*Table2[[#This Row],[Iout]], 2*Deadtime*Fsw*IF(VfdSky_Q3&gt;0,VfdSky_Q3,0)*Table2[[#This Row],[Iin]], 2*Deadtime*Fsw*IF(VfdSky_Q2&gt;0,VfdSky_Q2,0)*Table2[[#This Row],[Iout]]+2*Deadtime*Fsw*IF(VfdSky_Q3&gt;0,VfdSky_Q3,0)*Table2[[#This Row],[Iin]])</f>
        <v>0</v>
      </c>
      <c r="BA8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0.22617292800000002</v>
      </c>
      <c r="BB8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0.22617292800000002</v>
      </c>
      <c r="BC89" s="354">
        <f>CHOOSE(Table2[[#This Row],[Mode Digit]], Rs*Table2[[#This Row],[Irms BuSync]]^2, Rs*Table2[[#This Row],[Irms BoCtlr]]^2, Rs*(Table2[[#This Row],[Irms BuSync]]^2+Table2[[#This Row],[Irms BoCtlr]]^2))</f>
        <v>0.23301121227764243</v>
      </c>
      <c r="BD89" s="354">
        <f t="shared" si="9"/>
        <v>1.44</v>
      </c>
      <c r="BE89" s="354">
        <f>IF(Vout&gt;8, Iq*Vout, Iq*Table2[[#This Row],[Vin]])</f>
        <v>4.3799999999999999E-2</v>
      </c>
      <c r="BF89" s="354">
        <f>CHOOSE(Table2[[#This Row],[Mode Digit]], (Qg_Q1+Qg_Q2)*Fsw, (Qg_Q3+Qg_Q4)*Fsw, (Qg_Q1+Qg_Q2+Qg_Q3+Qg_Q4)*Fsw)*IF(Vout&gt;8, Vout, Table2[[#This Row],[Vin]])</f>
        <v>0.47303999999999996</v>
      </c>
      <c r="BG89" s="354">
        <f t="shared" si="10"/>
        <v>0.57269042016806726</v>
      </c>
      <c r="BH89" s="354">
        <f>Table2[[#This Row],[IQ Loss]]+Table2[[#This Row],[Switching Current Loss]]</f>
        <v>0.51683999999999997</v>
      </c>
      <c r="BI8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8.5655192837240133</v>
      </c>
      <c r="BJ89">
        <f>Vout*Table2[[#This Row],[Iout]]</f>
        <v>140.16</v>
      </c>
      <c r="BK89" s="550">
        <f>Table2[[#This Row],[Pout]]/(Table2[[#This Row],[Pout]]+Table2[[#This Row],[Total Loss]])</f>
        <v>0.94240719867729261</v>
      </c>
      <c r="BL89" s="559">
        <f>IF(Table2[[#This Row],[Vin]]&gt;Vout,ThetaJA_Q1*(Table2[[#This Row],[Total Control Bu MOSFET Loss]]+Table2[[#This Row],[Reverse Recovery Loss MOSFET D BUCK]]),ThetaJA_Q4*(Table2[[#This Row],[Total Control Bo MOSFET Loss]]+Table2[[#This Row],[Reverse Recovery Loss MOSFET D BOOST]]))</f>
        <v>188.27009089825378</v>
      </c>
      <c r="BM89" s="559">
        <f>IF(Table2[[#This Row],[Vin]]&gt;Vout, Table2[[#This Row],[Total Sync Bu MOSFET Loss]]*ThetaJA_Q2, ThetaJA_Q3*Table2[[#This Row],[Total Sync Bo MOSFET Loss]])</f>
        <v>56.510529876873633</v>
      </c>
      <c r="BN89" s="9"/>
      <c r="BO89" s="4">
        <f>Table2[[#This Row],[EFF, h]]*100</f>
        <v>94.240719867729268</v>
      </c>
      <c r="BP89" s="354">
        <f>Table2[[#This Row],[Total Inductor Loss]]</f>
        <v>1.1567180403181148</v>
      </c>
      <c r="BQ89" s="354">
        <f>Table2[[#This Row],[Total Control Bu MOSFET Loss]]+Table2[[#This Row],[Total Sync Bu MOSFET Loss]]+Table2[[#This Row],[Total Control Bo MOSFET Loss]]+Table2[[#This Row],[Total Sync Bo MOSFET Loss]]+Table2[[#This Row],[Reverse Recovery Loss MOSFET D BUCK]]+Table2[[#This Row],[Reverse Recovery Loss MOSFET D BOOST]]</f>
        <v>5.1699499107083309</v>
      </c>
      <c r="BR89" s="354">
        <f xml:space="preserve"> Table2[[#This Row],[Total Control Bu MOSFET Loss]]+Table2[[#This Row],[Reverse Recovery Loss MOSFET D BUCK]]*0.66</f>
        <v>3.0609360527842298</v>
      </c>
      <c r="BS89" s="354">
        <f>Table2[[#This Row],[Total Sync Bu MOSFET Loss]]+Table2[[#This Row],[Reverse Recovery Loss MOSFET D BUCK]]*0.33</f>
        <v>1.0164792308545605</v>
      </c>
      <c r="BT89" s="354">
        <f xml:space="preserve"> Table2[[#This Row],[Total Control Bo MOSFET Loss]]+Table2[[#This Row],[Reverse Recovery Loss MOSFET D BOOST]]*0.66</f>
        <v>0.58132411737476986</v>
      </c>
      <c r="BU89" s="354">
        <f xml:space="preserve"> Table2[[#This Row],[Total Sync Bo MOSFET Loss]]+Table2[[#This Row],[Reverse Recovery Loss MOSFET D BOOST]]*0.33</f>
        <v>0.50668705113476986</v>
      </c>
      <c r="BV89" s="354">
        <f>Table2[[#This Row],[Isense Shunt Loss]]</f>
        <v>0.23301121227764243</v>
      </c>
      <c r="CB89" s="18"/>
      <c r="CC89" s="19"/>
    </row>
    <row r="90" spans="1:81" x14ac:dyDescent="0.2">
      <c r="G90">
        <v>81</v>
      </c>
      <c r="H90" s="555">
        <f t="shared" si="8"/>
        <v>23.6</v>
      </c>
      <c r="I90" s="4" t="str">
        <f>IF(Mode = 2,IF(Table2[[#This Row],[Vin]]&gt;Vout, "BUCK","BOOST"),IF(Table2[[#This Row],[Vin]]&gt;VIN_BB_to_buck, "BUCK", IF(Table2[[#This Row],[Vin]]&lt;=VIN_boost_to_BB,"BOOST","BUCK-BST")))</f>
        <v>BUCK</v>
      </c>
      <c r="J90">
        <f>IF(Table2[[#This Row],[Mode]]="BOOST",2, IF(Table2[[#This Row],[Mode]]="BUCK", 1,3))</f>
        <v>1</v>
      </c>
      <c r="K90" s="354">
        <f t="shared" si="11"/>
        <v>9.7200000000000006</v>
      </c>
      <c r="L90" s="4">
        <f>Vout*Table2[[#This Row],[Iout]]/(Table2[[#This Row],[Vin]]*Efficiency)</f>
        <v>6.3297056199821586</v>
      </c>
      <c r="M90" s="711">
        <f>MIN(1/Fsw,CHOOSE(Table2[[#This Row],[Mode Digit]],(Vout+(Rdson2+Rs+Rdcr)*Table2[[#This Row],[Iout]])/(Table2[[#This Row],[Vin]]+(Rs+Rdson2-Rdson1)*Table2[[#This Row],[Iout]])/Fsw,(Vout+(Rdson3+Rdcr)*Table2[[#This Row],[Iin]]-Table2[[#This Row],[Vin]])/(Vout+(Rdson3-Rdson4-Rs)*Table2[[#This Row],[Iin]])/Fsw,t1_Ph_II))</f>
        <v>1.038584564763118E-6</v>
      </c>
      <c r="N90" s="602">
        <f>CHOOSE(Table2[[#This Row],[Mode Digit]],1/Fsw-Table2[[#This Row],[t1_Ph_II]],1/Fsw-Table2[[#This Row],[t1_Ph_II]],(Vout/Fsw-Table2[[#This Row],[Vin]]*t1_Ph_II)/(Table2[[#This Row],[Vin]]+Vout))</f>
        <v>6.2808210190354862E-7</v>
      </c>
      <c r="O90" s="602">
        <f>1/Fsw-(Table2[[#This Row],[t1_Ph_II]]+Table2[[#This Row],[t2_Ph_I]])</f>
        <v>0</v>
      </c>
      <c r="P9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7.9496854009719584</v>
      </c>
      <c r="Q90" s="4">
        <f>CHOOSE(Table2[[#This Row],[Mode Digit]],Table2[[#This Row],[I_0]]+1/Lf*(Table2[[#This Row],[Vin]]-Vout)*Table2[[#This Row],[t1_Ph_II]],Table2[[#This Row],[I_0]]+1/Lf*Table2[[#This Row],[Vin]]*Table2[[#This Row],[t1_Ph_II]],Table2[[#This Row],[I_0]]+(Table2[[#This Row],[Vin]]-Vout)/L*Table2[[#This Row],[t1_Ph_II]])</f>
        <v>11.490314599028043</v>
      </c>
      <c r="R90" s="4">
        <f>CHOOSE(Table2[[#This Row],[Mode Digit]],0,0,Table2[[#This Row],[I_1]]+Table2[[#This Row],[Vin]]/L*Table2[[#This Row],[t2_Ph_I]])</f>
        <v>0</v>
      </c>
      <c r="S90" s="409">
        <f>Fsw*(Table2[[#This Row],[I_0]]*Table2[[#This Row],[t1_Ph_II]]+Table2[[#This Row],[I_1]]*Table2[[#This Row],[t2_Ph_I]]+Table2[[#This Row],[I_2]]*Table2[[#This Row],[t3_Ph_III]])</f>
        <v>9.283968898237644</v>
      </c>
      <c r="T90" s="354">
        <f>MIN(1,CHOOSE(Table2[[#This Row],[Mode Digit]],(Vout+(Rdson2+Rs+Rdcr)*Table2[[#This Row],[Iout]])/(Table2[[#This Row],[Vin]]+(Rs+Rdson2-Rdson1)*Table2[[#This Row],[Iout]]),1,Fsw*Table2[[#This Row],[t2_Ph_I]]+Table2[[#This Row],[t1_Ph_II]]))</f>
        <v>0.62315073885787087</v>
      </c>
      <c r="U90" s="354">
        <f>MIN(1,CHOOSE(Table2[[#This Row],[Mode Digit]],0,(Vout+(Rdson3+Rdcr)*Table2[[#This Row],[Iin]]-Table2[[#This Row],[Vin]])/(Vout+(Rdson3-Rdson4-Rs)*Table2[[#This Row],[Iin]]),Fsw*Table2[[#This Row],[t1_Ph_II]]+Table2[[#This Row],[t3_Ph_III]]))</f>
        <v>0</v>
      </c>
      <c r="V90" s="4">
        <f>MAX(Table2[[#This Row],[I_0]:[I_2]])-MIN(Table2[[#This Row],[I_0]:[I_1]])</f>
        <v>3.5406291980560844</v>
      </c>
      <c r="W9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9.7735904999055467</v>
      </c>
      <c r="X90" s="354">
        <f>(Table2[[#This Row],[Irms Lf]]^2*Rdcr*(1+Ltc*Ta-Ltc*25))/(1-Table2[[#This Row],[Irms Lf]]^2*Rdcr*Ltc*ThetaCa)</f>
        <v>0.57972896943682917</v>
      </c>
      <c r="Y90" s="354">
        <f>ABS(7.759*10^-3*Fsw^0.9458*(0.00787*Table2[[#This Row],[Ripple Current pk-pk]])^2.304)</f>
        <v>0.5918182269410468</v>
      </c>
      <c r="Z90" s="354">
        <f>Table2[[#This Row],[DCR    Loss]]+Table2[[#This Row],[Core Loss]]</f>
        <v>1.1715471963778761</v>
      </c>
      <c r="AA90" s="4">
        <f>IF(Table2[[#This Row],[Vin]]&gt;Vout, Table2[[#This Row],[Ripple Current pk-pk]]/SQRT(12), SQRT(Table2[[#This Row],[Duty Cycle BOOST Leg]]/(1-Table2[[#This Row],[Duty Cycle BOOST Leg]]))*SQRT(Table2[[#This Row],[Iout]]^2+(Table2[[#This Row],[Ripple Current pk-pk]]^2)/12))</f>
        <v>1.0220916102991646</v>
      </c>
      <c r="AB90" s="354">
        <f>RCoutEsr*Table2[[#This Row],[Irms Cout]]^2</f>
        <v>5.2233562992196969E-3</v>
      </c>
      <c r="AC90" s="354">
        <f>Table2[[#This Row],[Cout ESR Loss]]</f>
        <v>5.2233562992196969E-3</v>
      </c>
      <c r="AD90" s="4">
        <f>IF(Table2[[#This Row],[Vin]]&gt;Vout, SQRT(Table2[[#This Row],[Duty Cycle BUCK Leg]]*(1-Table2[[#This Row],[Duty Cycle BUCK Leg]]))*SQRT(Table2[[#This Row],[Iout]]^2+(Table2[[#This Row],[Ripple Current pk-pk]]^2)/12), Table2[[#This Row],[Ripple Current pk-pk]]/SQRT(12))</f>
        <v>4.7362490365124712</v>
      </c>
      <c r="AE90" s="354">
        <f>RCinEsr*Table2[[#This Row],[Irms Cin]]^2</f>
        <v>4.4864109871730624E-2</v>
      </c>
      <c r="AF90" s="549">
        <f>Table2[[#This Row],[Cin ESR Loss]]</f>
        <v>4.4864109871730624E-2</v>
      </c>
      <c r="AG90" s="354">
        <f>Table2[[#This Row],[Irms Lf]]</f>
        <v>9.7735904999055467</v>
      </c>
      <c r="AH90" s="354">
        <f>Rdson1*Table2[[#This Row],[Irms BuCtrl]]^2</f>
        <v>0.40119689929134467</v>
      </c>
      <c r="AI90" s="354">
        <f>CHOOSE(Table2[[#This Row],[Mode Digit]], (Table2[[#This Row],[Vin]]*Table2[[#This Row],[Iout]]/2)*(Fsw)*(Tr_buck+Tf_buck), 0, (Table2[[#This Row],[Vin]]*Table2[[#This Row],[Avg IL]]/2)*(Fsw/1)*(Tr_buck+Tf_buck))</f>
        <v>2.2747352457466157</v>
      </c>
      <c r="AJ90">
        <f>IF(Table2[[#This Row],[Vin]]&gt;Vout, IF(Table2[[#This Row],[Iout]]&gt;Table2[[#This Row],[Ripple Current pk-pk]]/2,0,ABS(Table2[[#This Row],[Iout]]-Table2[[#This Row],[Ripple Current pk-pk]]/2)*Vsd_Q1*Deadtime*Fsw),0)</f>
        <v>0</v>
      </c>
      <c r="AK90" s="354">
        <f>(Table2[[#This Row],[Dead Time Loss BuCtrl]]+Table2[[#This Row],[Transition Loss BuCtrl]]+Table2[[#This Row],[RDS(on) Loss BuCtrl]]*(1+RdsonTopTc*Ta-RdsonTopTc*25))/(1-Table2[[#This Row],[RDS(on) Loss BuCtrl]]*RdsonTopTc*ThetaJA_Q1)</f>
        <v>2.961042833910013</v>
      </c>
      <c r="AL90" s="354">
        <f>Table2[[#This Row],[Irms Lf]]</f>
        <v>9.7735904999055467</v>
      </c>
      <c r="AM90" s="354">
        <f>Rdson2*Table2[[#This Row],[Irms BuSync]]^2</f>
        <v>0.40119689929134467</v>
      </c>
      <c r="AN9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0.46767085714285717</v>
      </c>
      <c r="AO90" s="354">
        <f>(Table2[[#This Row],[Deadtime Loss BuSync]]+Table2[[#This Row],[RDS(on) Loss BuSync]]*(1+RdsonBotTc*Ta-RdsonBotTc*25))/(1-Table2[[#This Row],[RDS(on) Loss BuSync]]*RdsonBotTc*ThetaJA_Q2)</f>
        <v>0.96144240748992049</v>
      </c>
      <c r="AP90" s="354">
        <f>Table2[[#This Row],[Irms Lf]]</f>
        <v>9.7735904999055467</v>
      </c>
      <c r="AQ90" s="354">
        <f>Rdson4*Table2[[#This Row],[Irms BoCtlr]]^2</f>
        <v>0.40119689929134467</v>
      </c>
      <c r="AR90" s="354">
        <f>CHOOSE(Table2[[#This Row],[Mode Digit]], 0, (Vout*Table2[[#This Row],[Iin]]/2)*(Fsw)*(Tr_boost+Tf_boost), (Vout*Iout/2)*(Fsw/1)*(Tr_boost+Tf_boost))</f>
        <v>0</v>
      </c>
      <c r="AS90" s="354">
        <f>IF(Table2[[#This Row],[Vin]]&gt;Vout, 0, IF(Table2[[#This Row],[Iin]]&gt;Table2[[#This Row],[Ripple Current pk-pk]]/2,0,ABS(Table2[[#This Row],[Iin]]-Table2[[#This Row],[Ripple Current pk-pk]]/2)*Vsd_Q4*Deadtime*Fsw))</f>
        <v>0</v>
      </c>
      <c r="AT90" s="354">
        <f>(Table2[[#This Row],[Dead Time Loss BoCtlr]]+Table2[[#This Row],[Transition Loss BoCtlr]]+Table2[[#This Row],[RDS(on) Loss BoCtlr]]*(1+RdsonTopTc*Ta-RdsonTopTc*25))/(1-Table2[[#This Row],[RDS(on) Loss BoCtlr]]*RdsonTopTc*ThetaJA_Q4)</f>
        <v>0.44394294744596413</v>
      </c>
      <c r="AU90" s="354">
        <f>Table2[[#This Row],[Irms Lf]]</f>
        <v>9.7735904999055467</v>
      </c>
      <c r="AV90" s="354">
        <f>Rdson3*Table2[[#This Row],[Irms BoSync]]^2</f>
        <v>0.40119689929134467</v>
      </c>
      <c r="AW9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0" s="354">
        <f>(Table2[[#This Row],[Deadtime Loss BoSync]]+Table2[[#This Row],[RDS(on) Loss BoSync]]*(1+RdsonBotTc*Ta-RdsonBotTc*25))/(1-Table2[[#This Row],[RDS(on) Loss BoSync]]*RdsonBotTc*ThetaJA_Q3)</f>
        <v>0.44394294744596413</v>
      </c>
      <c r="AY90" s="354">
        <f>CHOOSE(Table2[[#This Row],[Mode Digit]], Rdson3*Table2[[#This Row],[Irms Lf]]^2, Rdson1*Table2[[#This Row],[Irms Lf]]^2, 0)</f>
        <v>0.40119689929134467</v>
      </c>
      <c r="AZ90" s="354">
        <f>CHOOSE(Table2[[#This Row],[Mode Digit]], 2*Deadtime*Fsw*IF(VfdSky_Q2&gt;0,VfdSky_Q2,0)*Table2[[#This Row],[Iout]], 2*Deadtime*Fsw*IF(VfdSky_Q3&gt;0,VfdSky_Q3,0)*Table2[[#This Row],[Iin]], 2*Deadtime*Fsw*IF(VfdSky_Q2&gt;0,VfdSky_Q2,0)*Table2[[#This Row],[Iout]]+2*Deadtime*Fsw*IF(VfdSky_Q3&gt;0,VfdSky_Q3,0)*Table2[[#This Row],[Iin]])</f>
        <v>0</v>
      </c>
      <c r="BA9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0.22899519072000005</v>
      </c>
      <c r="BB9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0.22899519072000005</v>
      </c>
      <c r="BC90" s="354">
        <f>CHOOSE(Table2[[#This Row],[Mode Digit]], Rs*Table2[[#This Row],[Irms BuSync]]^2, Rs*Table2[[#This Row],[Irms BoCtlr]]^2, Rs*(Table2[[#This Row],[Irms BuSync]]^2+Table2[[#This Row],[Irms BoCtlr]]^2))</f>
        <v>0.2388076781496099</v>
      </c>
      <c r="BD90" s="354">
        <f t="shared" si="9"/>
        <v>1.44</v>
      </c>
      <c r="BE90" s="354">
        <f>IF(Vout&gt;8, Iq*Vout, Iq*Table2[[#This Row],[Vin]])</f>
        <v>4.3799999999999999E-2</v>
      </c>
      <c r="BF90" s="354">
        <f>CHOOSE(Table2[[#This Row],[Mode Digit]], (Qg_Q1+Qg_Q2)*Fsw, (Qg_Q3+Qg_Q4)*Fsw, (Qg_Q1+Qg_Q2+Qg_Q3+Qg_Q4)*Fsw)*IF(Vout&gt;8, Vout, Table2[[#This Row],[Vin]])</f>
        <v>0.47303999999999996</v>
      </c>
      <c r="BG90" s="354">
        <f t="shared" si="10"/>
        <v>0.57269042016806726</v>
      </c>
      <c r="BH90" s="354">
        <f>Table2[[#This Row],[IQ Loss]]+Table2[[#This Row],[Switching Current Loss]]</f>
        <v>0.51683999999999997</v>
      </c>
      <c r="BI9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8.6856438584302982</v>
      </c>
      <c r="BJ90">
        <f>Vout*Table2[[#This Row],[Iout]]</f>
        <v>141.91200000000001</v>
      </c>
      <c r="BK90" s="550">
        <f>Table2[[#This Row],[Pout]]/(Table2[[#This Row],[Pout]]+Table2[[#This Row],[Total Loss]])</f>
        <v>0.94232549968314738</v>
      </c>
      <c r="BL90" s="559">
        <f>IF(Table2[[#This Row],[Vin]]&gt;Vout,ThetaJA_Q1*(Table2[[#This Row],[Total Control Bu MOSFET Loss]]+Table2[[#This Row],[Reverse Recovery Loss MOSFET D BUCK]]),ThetaJA_Q4*(Table2[[#This Row],[Total Control Bo MOSFET Loss]]+Table2[[#This Row],[Reverse Recovery Loss MOSFET D BOOST]]))</f>
        <v>191.40228147780078</v>
      </c>
      <c r="BM90" s="559">
        <f>IF(Table2[[#This Row],[Vin]]&gt;Vout, Table2[[#This Row],[Total Sync Bu MOSFET Loss]]*ThetaJA_Q2, ThetaJA_Q3*Table2[[#This Row],[Total Sync Bo MOSFET Loss]])</f>
        <v>57.686544449395228</v>
      </c>
      <c r="BN90" s="9"/>
      <c r="BO90" s="4">
        <f>Table2[[#This Row],[EFF, h]]*100</f>
        <v>94.232549968314743</v>
      </c>
      <c r="BP90" s="354">
        <f>Table2[[#This Row],[Total Inductor Loss]]</f>
        <v>1.1715471963778761</v>
      </c>
      <c r="BQ90" s="354">
        <f>Table2[[#This Row],[Total Control Bu MOSFET Loss]]+Table2[[#This Row],[Total Sync Bu MOSFET Loss]]+Table2[[#This Row],[Total Control Bo MOSFET Loss]]+Table2[[#This Row],[Total Sync Bo MOSFET Loss]]+Table2[[#This Row],[Reverse Recovery Loss MOSFET D BUCK]]+Table2[[#This Row],[Reverse Recovery Loss MOSFET D BOOST]]</f>
        <v>5.2683615177318615</v>
      </c>
      <c r="BR90" s="354">
        <f xml:space="preserve"> Table2[[#This Row],[Total Control Bu MOSFET Loss]]+Table2[[#This Row],[Reverse Recovery Loss MOSFET D BUCK]]*0.66</f>
        <v>3.1121796597852129</v>
      </c>
      <c r="BS90" s="354">
        <f>Table2[[#This Row],[Total Sync Bu MOSFET Loss]]+Table2[[#This Row],[Reverse Recovery Loss MOSFET D BUCK]]*0.33</f>
        <v>1.0370108204275206</v>
      </c>
      <c r="BT90" s="354">
        <f xml:space="preserve"> Table2[[#This Row],[Total Control Bo MOSFET Loss]]+Table2[[#This Row],[Reverse Recovery Loss MOSFET D BOOST]]*0.66</f>
        <v>0.59507977332116413</v>
      </c>
      <c r="BU90" s="354">
        <f xml:space="preserve"> Table2[[#This Row],[Total Sync Bo MOSFET Loss]]+Table2[[#This Row],[Reverse Recovery Loss MOSFET D BOOST]]*0.33</f>
        <v>0.51951136038356416</v>
      </c>
      <c r="BV90" s="354">
        <f>Table2[[#This Row],[Isense Shunt Loss]]</f>
        <v>0.2388076781496099</v>
      </c>
      <c r="CB90" s="18"/>
      <c r="CC90" s="19"/>
    </row>
    <row r="91" spans="1:81" x14ac:dyDescent="0.2">
      <c r="G91">
        <v>82</v>
      </c>
      <c r="H91" s="555">
        <f t="shared" si="8"/>
        <v>23.6</v>
      </c>
      <c r="I91" s="4" t="str">
        <f>IF(Mode = 2,IF(Table2[[#This Row],[Vin]]&gt;Vout, "BUCK","BOOST"),IF(Table2[[#This Row],[Vin]]&gt;VIN_BB_to_buck, "BUCK", IF(Table2[[#This Row],[Vin]]&lt;=VIN_boost_to_BB,"BOOST","BUCK-BST")))</f>
        <v>BUCK</v>
      </c>
      <c r="J91">
        <f>IF(Table2[[#This Row],[Mode]]="BOOST",2, IF(Table2[[#This Row],[Mode]]="BUCK", 1,3))</f>
        <v>1</v>
      </c>
      <c r="K91" s="354">
        <f t="shared" si="11"/>
        <v>9.84</v>
      </c>
      <c r="L91" s="4">
        <f>Vout*Table2[[#This Row],[Iout]]/(Table2[[#This Row],[Vin]]*Efficiency)</f>
        <v>6.4078501338090978</v>
      </c>
      <c r="M91" s="711">
        <f>MIN(1/Fsw,CHOOSE(Table2[[#This Row],[Mode Digit]],(Vout+(Rdson2+Rs+Rdcr)*Table2[[#This Row],[Iout]])/(Table2[[#This Row],[Vin]]+(Rs+Rdson2-Rdson1)*Table2[[#This Row],[Iout]])/Fsw,(Vout+(Rdson3+Rdcr)*Table2[[#This Row],[Iin]]-Table2[[#This Row],[Vin]])/(Vout+(Rdson3-Rdson4-Rs)*Table2[[#This Row],[Iin]])/Fsw,t1_Ph_II))</f>
        <v>1.0386771980619071E-6</v>
      </c>
      <c r="N91" s="602">
        <f>CHOOSE(Table2[[#This Row],[Mode Digit]],1/Fsw-Table2[[#This Row],[t1_Ph_II]],1/Fsw-Table2[[#This Row],[t1_Ph_II]],(Vout/Fsw-Table2[[#This Row],[Vin]]*t1_Ph_II)/(Table2[[#This Row],[Vin]]+Vout))</f>
        <v>6.2798946860475958E-7</v>
      </c>
      <c r="O91" s="602">
        <f>1/Fsw-(Table2[[#This Row],[t1_Ph_II]]+Table2[[#This Row],[t2_Ph_I]])</f>
        <v>0</v>
      </c>
      <c r="P9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8.0695275033035667</v>
      </c>
      <c r="Q91" s="4">
        <f>CHOOSE(Table2[[#This Row],[Mode Digit]],Table2[[#This Row],[I_0]]+1/Lf*(Table2[[#This Row],[Vin]]-Vout)*Table2[[#This Row],[t1_Ph_II]],Table2[[#This Row],[I_0]]+1/Lf*Table2[[#This Row],[Vin]]*Table2[[#This Row],[t1_Ph_II]],Table2[[#This Row],[I_0]]+(Table2[[#This Row],[Vin]]-Vout)/L*Table2[[#This Row],[t1_Ph_II]])</f>
        <v>11.610472496696431</v>
      </c>
      <c r="R91" s="4">
        <f>CHOOSE(Table2[[#This Row],[Mode Digit]],0,0,Table2[[#This Row],[I_1]]+Table2[[#This Row],[Vin]]/L*Table2[[#This Row],[t2_Ph_I]])</f>
        <v>0</v>
      </c>
      <c r="S91" s="409">
        <f>Fsw*(Table2[[#This Row],[I_0]]*Table2[[#This Row],[t1_Ph_II]]+Table2[[#This Row],[I_1]]*Table2[[#This Row],[t2_Ph_I]]+Table2[[#This Row],[I_2]]*Table2[[#This Row],[t3_Ph_III]])</f>
        <v>9.4037332021592466</v>
      </c>
      <c r="T91" s="354">
        <f>MIN(1,CHOOSE(Table2[[#This Row],[Mode Digit]],(Vout+(Rdson2+Rs+Rdcr)*Table2[[#This Row],[Iout]])/(Table2[[#This Row],[Vin]]+(Rs+Rdson2-Rdson1)*Table2[[#This Row],[Iout]]),1,Fsw*Table2[[#This Row],[t2_Ph_I]]+Table2[[#This Row],[t1_Ph_II]]))</f>
        <v>0.62320631883714428</v>
      </c>
      <c r="U91" s="354">
        <f>MIN(1,CHOOSE(Table2[[#This Row],[Mode Digit]],0,(Vout+(Rdson3+Rdcr)*Table2[[#This Row],[Iin]]-Table2[[#This Row],[Vin]])/(Vout+(Rdson3-Rdson4-Rs)*Table2[[#This Row],[Iin]]),Fsw*Table2[[#This Row],[t1_Ph_II]]+Table2[[#This Row],[t3_Ph_III]]))</f>
        <v>0</v>
      </c>
      <c r="V91" s="4">
        <f>MAX(Table2[[#This Row],[I_0]:[I_2]])-MIN(Table2[[#This Row],[I_0]:[I_1]])</f>
        <v>3.5409449933928645</v>
      </c>
      <c r="W9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9.8929498947745351</v>
      </c>
      <c r="X91" s="354">
        <f>(Table2[[#This Row],[Irms Lf]]^2*Rdcr*(1+Ltc*Ta-Ltc*25))/(1-Table2[[#This Row],[Irms Lf]]^2*Rdcr*Ltc*ThetaCa)</f>
        <v>0.59465297089031977</v>
      </c>
      <c r="Y91" s="354">
        <f>ABS(7.759*10^-3*Fsw^0.9458*(0.00787*Table2[[#This Row],[Ripple Current pk-pk]])^2.304)</f>
        <v>0.59193985151515893</v>
      </c>
      <c r="Z91" s="354">
        <f>Table2[[#This Row],[DCR    Loss]]+Table2[[#This Row],[Core Loss]]</f>
        <v>1.1865928224054787</v>
      </c>
      <c r="AA91" s="4">
        <f>IF(Table2[[#This Row],[Vin]]&gt;Vout, Table2[[#This Row],[Ripple Current pk-pk]]/SQRT(12), SQRT(Table2[[#This Row],[Duty Cycle BOOST Leg]]/(1-Table2[[#This Row],[Duty Cycle BOOST Leg]]))*SQRT(Table2[[#This Row],[Iout]]^2+(Table2[[#This Row],[Ripple Current pk-pk]]^2)/12))</f>
        <v>1.0221827725605139</v>
      </c>
      <c r="AB91" s="354">
        <f>RCoutEsr*Table2[[#This Row],[Irms Cout]]^2</f>
        <v>5.2242881025974961E-3</v>
      </c>
      <c r="AC91" s="354">
        <f>Table2[[#This Row],[Cout ESR Loss]]</f>
        <v>5.2242881025974961E-3</v>
      </c>
      <c r="AD91" s="4">
        <f>IF(Table2[[#This Row],[Vin]]&gt;Vout, SQRT(Table2[[#This Row],[Duty Cycle BUCK Leg]]*(1-Table2[[#This Row],[Duty Cycle BUCK Leg]]))*SQRT(Table2[[#This Row],[Iout]]^2+(Table2[[#This Row],[Ripple Current pk-pk]]^2)/12), Table2[[#This Row],[Ripple Current pk-pk]]/SQRT(12))</f>
        <v>4.7939504300749984</v>
      </c>
      <c r="AE91" s="354">
        <f>RCinEsr*Table2[[#This Row],[Irms Cin]]^2</f>
        <v>4.596392145203252E-2</v>
      </c>
      <c r="AF91" s="549">
        <f>Table2[[#This Row],[Cin ESR Loss]]</f>
        <v>4.596392145203252E-2</v>
      </c>
      <c r="AG91" s="354">
        <f>Table2[[#This Row],[Irms Lf]]</f>
        <v>9.8929498947745351</v>
      </c>
      <c r="AH91" s="354">
        <f>Rdson1*Table2[[#This Row],[Irms BuCtrl]]^2</f>
        <v>0.41105592200618191</v>
      </c>
      <c r="AI91" s="354">
        <f>CHOOSE(Table2[[#This Row],[Mode Digit]], (Table2[[#This Row],[Vin]]*Table2[[#This Row],[Iout]]/2)*(Fsw)*(Tr_buck+Tf_buck), 0, (Table2[[#This Row],[Vin]]*Table2[[#This Row],[Avg IL]]/2)*(Fsw/1)*(Tr_buck+Tf_buck))</f>
        <v>2.3028183969286729</v>
      </c>
      <c r="AJ91">
        <f>IF(Table2[[#This Row],[Vin]]&gt;Vout, IF(Table2[[#This Row],[Iout]]&gt;Table2[[#This Row],[Ripple Current pk-pk]]/2,0,ABS(Table2[[#This Row],[Iout]]-Table2[[#This Row],[Ripple Current pk-pk]]/2)*Vsd_Q1*Deadtime*Fsw),0)</f>
        <v>0</v>
      </c>
      <c r="AK91" s="354">
        <f>(Table2[[#This Row],[Dead Time Loss BuCtrl]]+Table2[[#This Row],[Transition Loss BuCtrl]]+Table2[[#This Row],[RDS(on) Loss BuCtrl]]*(1+RdsonTopTc*Ta-RdsonTopTc*25))/(1-Table2[[#This Row],[RDS(on) Loss BuCtrl]]*RdsonTopTc*ThetaJA_Q1)</f>
        <v>3.0109109891927344</v>
      </c>
      <c r="AL91" s="354">
        <f>Table2[[#This Row],[Irms Lf]]</f>
        <v>9.8929498947745351</v>
      </c>
      <c r="AM91" s="354">
        <f>Rdson2*Table2[[#This Row],[Irms BuSync]]^2</f>
        <v>0.41105592200618191</v>
      </c>
      <c r="AN9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0.47344457142857144</v>
      </c>
      <c r="AO91" s="354">
        <f>(Table2[[#This Row],[Deadtime Loss BuSync]]+Table2[[#This Row],[RDS(on) Loss BuSync]]*(1+RdsonBotTc*Ta-RdsonBotTc*25))/(1-Table2[[#This Row],[RDS(on) Loss BuSync]]*RdsonBotTc*ThetaJA_Q2)</f>
        <v>0.98131009127730451</v>
      </c>
      <c r="AP91" s="354">
        <f>Table2[[#This Row],[Irms Lf]]</f>
        <v>9.8929498947745351</v>
      </c>
      <c r="AQ91" s="354">
        <f>Rdson4*Table2[[#This Row],[Irms BoCtlr]]^2</f>
        <v>0.41105592200618191</v>
      </c>
      <c r="AR91" s="354">
        <f>CHOOSE(Table2[[#This Row],[Mode Digit]], 0, (Vout*Table2[[#This Row],[Iin]]/2)*(Fsw)*(Tr_boost+Tf_boost), (Vout*Iout/2)*(Fsw/1)*(Tr_boost+Tf_boost))</f>
        <v>0</v>
      </c>
      <c r="AS91" s="354">
        <f>IF(Table2[[#This Row],[Vin]]&gt;Vout, 0, IF(Table2[[#This Row],[Iin]]&gt;Table2[[#This Row],[Ripple Current pk-pk]]/2,0,ABS(Table2[[#This Row],[Iin]]-Table2[[#This Row],[Ripple Current pk-pk]]/2)*Vsd_Q4*Deadtime*Fsw))</f>
        <v>0</v>
      </c>
      <c r="AT91" s="354">
        <f>(Table2[[#This Row],[Dead Time Loss BoCtlr]]+Table2[[#This Row],[Transition Loss BoCtlr]]+Table2[[#This Row],[RDS(on) Loss BoCtlr]]*(1+RdsonTopTc*Ta-RdsonTopTc*25))/(1-Table2[[#This Row],[RDS(on) Loss BoCtlr]]*RdsonTopTc*ThetaJA_Q4)</f>
        <v>0.45604646615577998</v>
      </c>
      <c r="AU91" s="354">
        <f>Table2[[#This Row],[Irms Lf]]</f>
        <v>9.8929498947745351</v>
      </c>
      <c r="AV91" s="354">
        <f>Rdson3*Table2[[#This Row],[Irms BoSync]]^2</f>
        <v>0.41105592200618191</v>
      </c>
      <c r="AW9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1" s="354">
        <f>(Table2[[#This Row],[Deadtime Loss BoSync]]+Table2[[#This Row],[RDS(on) Loss BoSync]]*(1+RdsonBotTc*Ta-RdsonBotTc*25))/(1-Table2[[#This Row],[RDS(on) Loss BoSync]]*RdsonBotTc*ThetaJA_Q3)</f>
        <v>0.45604646615577998</v>
      </c>
      <c r="AY91" s="354">
        <f>CHOOSE(Table2[[#This Row],[Mode Digit]], Rdson3*Table2[[#This Row],[Irms Lf]]^2, Rdson1*Table2[[#This Row],[Irms Lf]]^2, 0)</f>
        <v>0.41105592200618191</v>
      </c>
      <c r="AZ91" s="354">
        <f>CHOOSE(Table2[[#This Row],[Mode Digit]], 2*Deadtime*Fsw*IF(VfdSky_Q2&gt;0,VfdSky_Q2,0)*Table2[[#This Row],[Iout]], 2*Deadtime*Fsw*IF(VfdSky_Q3&gt;0,VfdSky_Q3,0)*Table2[[#This Row],[Iin]], 2*Deadtime*Fsw*IF(VfdSky_Q2&gt;0,VfdSky_Q2,0)*Table2[[#This Row],[Iout]]+2*Deadtime*Fsw*IF(VfdSky_Q3&gt;0,VfdSky_Q3,0)*Table2[[#This Row],[Iin]])</f>
        <v>0</v>
      </c>
      <c r="BA9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0.23181733247999997</v>
      </c>
      <c r="BB9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0.23181733247999997</v>
      </c>
      <c r="BC91" s="354">
        <f>CHOOSE(Table2[[#This Row],[Mode Digit]], Rs*Table2[[#This Row],[Irms BuSync]]^2, Rs*Table2[[#This Row],[Irms BoCtlr]]^2, Rs*(Table2[[#This Row],[Irms BuSync]]^2+Table2[[#This Row],[Irms BoCtlr]]^2))</f>
        <v>0.24467614405129873</v>
      </c>
      <c r="BD91" s="354">
        <f t="shared" si="9"/>
        <v>1.44</v>
      </c>
      <c r="BE91" s="354">
        <f>IF(Vout&gt;8, Iq*Vout, Iq*Table2[[#This Row],[Vin]])</f>
        <v>4.3799999999999999E-2</v>
      </c>
      <c r="BF91" s="354">
        <f>CHOOSE(Table2[[#This Row],[Mode Digit]], (Qg_Q1+Qg_Q2)*Fsw, (Qg_Q3+Qg_Q4)*Fsw, (Qg_Q1+Qg_Q2+Qg_Q3+Qg_Q4)*Fsw)*IF(Vout&gt;8, Vout, Table2[[#This Row],[Vin]])</f>
        <v>0.47303999999999996</v>
      </c>
      <c r="BG91" s="354">
        <f t="shared" si="10"/>
        <v>0.57269042016806726</v>
      </c>
      <c r="BH91" s="354">
        <f>Table2[[#This Row],[IQ Loss]]+Table2[[#This Row],[Switching Current Loss]]</f>
        <v>0.51683999999999997</v>
      </c>
      <c r="BI9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8.8072458537530078</v>
      </c>
      <c r="BJ91">
        <f>Vout*Table2[[#This Row],[Iout]]</f>
        <v>143.66399999999999</v>
      </c>
      <c r="BK91" s="550">
        <f>Table2[[#This Row],[Pout]]/(Table2[[#This Row],[Pout]]+Table2[[#This Row],[Total Loss]])</f>
        <v>0.94223667679477918</v>
      </c>
      <c r="BL91" s="559">
        <f>IF(Table2[[#This Row],[Vin]]&gt;Vout,ThetaJA_Q1*(Table2[[#This Row],[Total Control Bu MOSFET Loss]]+Table2[[#This Row],[Reverse Recovery Loss MOSFET D BUCK]]),ThetaJA_Q4*(Table2[[#This Row],[Total Control Bo MOSFET Loss]]+Table2[[#This Row],[Reverse Recovery Loss MOSFET D BOOST]]))</f>
        <v>194.56369930036405</v>
      </c>
      <c r="BM91" s="559">
        <f>IF(Table2[[#This Row],[Vin]]&gt;Vout, Table2[[#This Row],[Total Sync Bu MOSFET Loss]]*ThetaJA_Q2, ThetaJA_Q3*Table2[[#This Row],[Total Sync Bo MOSFET Loss]])</f>
        <v>58.87860547663827</v>
      </c>
      <c r="BN91" s="9"/>
      <c r="BO91" s="4">
        <f>Table2[[#This Row],[EFF, h]]*100</f>
        <v>94.223667679477913</v>
      </c>
      <c r="BP91" s="354">
        <f>Table2[[#This Row],[Total Inductor Loss]]</f>
        <v>1.1865928224054787</v>
      </c>
      <c r="BQ91" s="354">
        <f>Table2[[#This Row],[Total Control Bu MOSFET Loss]]+Table2[[#This Row],[Total Sync Bu MOSFET Loss]]+Table2[[#This Row],[Total Control Bo MOSFET Loss]]+Table2[[#This Row],[Total Sync Bo MOSFET Loss]]+Table2[[#This Row],[Reverse Recovery Loss MOSFET D BUCK]]+Table2[[#This Row],[Reverse Recovery Loss MOSFET D BOOST]]</f>
        <v>5.3679486777415999</v>
      </c>
      <c r="BR91" s="354">
        <f xml:space="preserve"> Table2[[#This Row],[Total Control Bu MOSFET Loss]]+Table2[[#This Row],[Reverse Recovery Loss MOSFET D BUCK]]*0.66</f>
        <v>3.1639104286295345</v>
      </c>
      <c r="BS91" s="354">
        <f>Table2[[#This Row],[Total Sync Bu MOSFET Loss]]+Table2[[#This Row],[Reverse Recovery Loss MOSFET D BUCK]]*0.33</f>
        <v>1.0578098109957046</v>
      </c>
      <c r="BT91" s="354">
        <f xml:space="preserve"> Table2[[#This Row],[Total Control Bo MOSFET Loss]]+Table2[[#This Row],[Reverse Recovery Loss MOSFET D BOOST]]*0.66</f>
        <v>0.60904590559257998</v>
      </c>
      <c r="BU91" s="354">
        <f xml:space="preserve"> Table2[[#This Row],[Total Sync Bo MOSFET Loss]]+Table2[[#This Row],[Reverse Recovery Loss MOSFET D BOOST]]*0.33</f>
        <v>0.53254618587418001</v>
      </c>
      <c r="BV91" s="354">
        <f>Table2[[#This Row],[Isense Shunt Loss]]</f>
        <v>0.24467614405129873</v>
      </c>
      <c r="CB91" s="18"/>
      <c r="CC91" s="19"/>
    </row>
    <row r="92" spans="1:81" x14ac:dyDescent="0.2">
      <c r="G92">
        <v>83</v>
      </c>
      <c r="H92" s="555">
        <f t="shared" si="8"/>
        <v>23.6</v>
      </c>
      <c r="I92" s="4" t="str">
        <f>IF(Mode = 2,IF(Table2[[#This Row],[Vin]]&gt;Vout, "BUCK","BOOST"),IF(Table2[[#This Row],[Vin]]&gt;VIN_BB_to_buck, "BUCK", IF(Table2[[#This Row],[Vin]]&lt;=VIN_boost_to_BB,"BOOST","BUCK-BST")))</f>
        <v>BUCK</v>
      </c>
      <c r="J92">
        <f>IF(Table2[[#This Row],[Mode]]="BOOST",2, IF(Table2[[#This Row],[Mode]]="BUCK", 1,3))</f>
        <v>1</v>
      </c>
      <c r="K92" s="354">
        <f t="shared" si="11"/>
        <v>9.9600000000000009</v>
      </c>
      <c r="L92" s="4">
        <f>Vout*Table2[[#This Row],[Iout]]/(Table2[[#This Row],[Vin]]*Efficiency)</f>
        <v>6.4859946476360388</v>
      </c>
      <c r="M92" s="711">
        <f>MIN(1/Fsw,CHOOSE(Table2[[#This Row],[Mode Digit]],(Vout+(Rdson2+Rs+Rdcr)*Table2[[#This Row],[Iout]])/(Table2[[#This Row],[Vin]]+(Rs+Rdson2-Rdson1)*Table2[[#This Row],[Iout]])/Fsw,(Vout+(Rdson3+Rdcr)*Table2[[#This Row],[Iin]]-Table2[[#This Row],[Vin]])/(Vout+(Rdson3-Rdson4-Rs)*Table2[[#This Row],[Iin]])/Fsw,t1_Ph_II))</f>
        <v>1.0387698290080945E-6</v>
      </c>
      <c r="N92" s="602">
        <f>CHOOSE(Table2[[#This Row],[Mode Digit]],1/Fsw-Table2[[#This Row],[t1_Ph_II]],1/Fsw-Table2[[#This Row],[t1_Ph_II]],(Vout/Fsw-Table2[[#This Row],[Vin]]*t1_Ph_II)/(Table2[[#This Row],[Vin]]+Vout))</f>
        <v>6.2789683765857216E-7</v>
      </c>
      <c r="O92" s="602">
        <f>1/Fsw-(Table2[[#This Row],[t1_Ph_II]]+Table2[[#This Row],[t2_Ph_I]])</f>
        <v>0</v>
      </c>
      <c r="P9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8.1893696096452935</v>
      </c>
      <c r="Q92" s="4">
        <f>CHOOSE(Table2[[#This Row],[Mode Digit]],Table2[[#This Row],[I_0]]+1/Lf*(Table2[[#This Row],[Vin]]-Vout)*Table2[[#This Row],[t1_Ph_II]],Table2[[#This Row],[I_0]]+1/Lf*Table2[[#This Row],[Vin]]*Table2[[#This Row],[t1_Ph_II]],Table2[[#This Row],[I_0]]+(Table2[[#This Row],[Vin]]-Vout)/L*Table2[[#This Row],[t1_Ph_II]])</f>
        <v>11.730630390354708</v>
      </c>
      <c r="R92" s="4">
        <f>CHOOSE(Table2[[#This Row],[Mode Digit]],0,0,Table2[[#This Row],[I_1]]+Table2[[#This Row],[Vin]]/L*Table2[[#This Row],[t2_Ph_I]])</f>
        <v>0</v>
      </c>
      <c r="S92" s="409">
        <f>Fsw*(Table2[[#This Row],[I_0]]*Table2[[#This Row],[t1_Ph_II]]+Table2[[#This Row],[I_1]]*Table2[[#This Row],[t2_Ph_I]]+Table2[[#This Row],[I_2]]*Table2[[#This Row],[t3_Ph_III]])</f>
        <v>9.523497476964355</v>
      </c>
      <c r="T92" s="354">
        <f>MIN(1,CHOOSE(Table2[[#This Row],[Mode Digit]],(Vout+(Rdson2+Rs+Rdcr)*Table2[[#This Row],[Iout]])/(Table2[[#This Row],[Vin]]+(Rs+Rdson2-Rdson1)*Table2[[#This Row],[Iout]]),1,Fsw*Table2[[#This Row],[t2_Ph_I]]+Table2[[#This Row],[t1_Ph_II]]))</f>
        <v>0.62326189740485671</v>
      </c>
      <c r="U92" s="354">
        <f>MIN(1,CHOOSE(Table2[[#This Row],[Mode Digit]],0,(Vout+(Rdson3+Rdcr)*Table2[[#This Row],[Iin]]-Table2[[#This Row],[Vin]])/(Vout+(Rdson3-Rdson4-Rs)*Table2[[#This Row],[Iin]]),Fsw*Table2[[#This Row],[t1_Ph_II]]+Table2[[#This Row],[t3_Ph_III]]))</f>
        <v>0</v>
      </c>
      <c r="V92" s="4">
        <f>MAX(Table2[[#This Row],[I_0]:[I_2]])-MIN(Table2[[#This Row],[I_0]:[I_1]])</f>
        <v>3.5412607807094147</v>
      </c>
      <c r="W9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10.012324604859881</v>
      </c>
      <c r="X92" s="354">
        <f>(Table2[[#This Row],[Irms Lf]]^2*Rdcr*(1+Ltc*Ta-Ltc*25))/(1-Table2[[#This Row],[Irms Lf]]^2*Rdcr*Ltc*ThetaCa)</f>
        <v>0.60979480053699375</v>
      </c>
      <c r="Y92" s="354">
        <f>ABS(7.759*10^-3*Fsw^0.9458*(0.00787*Table2[[#This Row],[Ripple Current pk-pk]])^2.304)</f>
        <v>0.59206148714509577</v>
      </c>
      <c r="Z92" s="354">
        <f>Table2[[#This Row],[DCR    Loss]]+Table2[[#This Row],[Core Loss]]</f>
        <v>1.2018562876820895</v>
      </c>
      <c r="AA92" s="4">
        <f>IF(Table2[[#This Row],[Vin]]&gt;Vout, Table2[[#This Row],[Ripple Current pk-pk]]/SQRT(12), SQRT(Table2[[#This Row],[Duty Cycle BOOST Leg]]/(1-Table2[[#This Row],[Duty Cycle BOOST Leg]]))*SQRT(Table2[[#This Row],[Iout]]^2+(Table2[[#This Row],[Ripple Current pk-pk]]^2)/12))</f>
        <v>1.0222739325066226</v>
      </c>
      <c r="AB92" s="354">
        <f>RCoutEsr*Table2[[#This Row],[Irms Cout]]^2</f>
        <v>5.2252199654127737E-3</v>
      </c>
      <c r="AC92" s="354">
        <f>Table2[[#This Row],[Cout ESR Loss]]</f>
        <v>5.2252199654127737E-3</v>
      </c>
      <c r="AD92" s="4">
        <f>IF(Table2[[#This Row],[Vin]]&gt;Vout, SQRT(Table2[[#This Row],[Duty Cycle BUCK Leg]]*(1-Table2[[#This Row],[Duty Cycle BUCK Leg]]))*SQRT(Table2[[#This Row],[Iout]]^2+(Table2[[#This Row],[Ripple Current pk-pk]]^2)/12), Table2[[#This Row],[Ripple Current pk-pk]]/SQRT(12))</f>
        <v>4.8516558079405874</v>
      </c>
      <c r="AE92" s="354">
        <f>RCinEsr*Table2[[#This Row],[Irms Cin]]^2</f>
        <v>4.7077128157447273E-2</v>
      </c>
      <c r="AF92" s="549">
        <f>Table2[[#This Row],[Cin ESR Loss]]</f>
        <v>4.7077128157447273E-2</v>
      </c>
      <c r="AG92" s="354">
        <f>Table2[[#This Row],[Irms Lf]]</f>
        <v>10.012324604859881</v>
      </c>
      <c r="AH92" s="354">
        <f>Rdson1*Table2[[#This Row],[Irms BuCtrl]]^2</f>
        <v>0.42103590477094688</v>
      </c>
      <c r="AI92" s="354">
        <f>CHOOSE(Table2[[#This Row],[Mode Digit]], (Table2[[#This Row],[Vin]]*Table2[[#This Row],[Iout]]/2)*(Fsw)*(Tr_buck+Tf_buck), 0, (Table2[[#This Row],[Vin]]*Table2[[#This Row],[Avg IL]]/2)*(Fsw/1)*(Tr_buck+Tf_buck))</f>
        <v>2.3309015481107305</v>
      </c>
      <c r="AJ92">
        <f>IF(Table2[[#This Row],[Vin]]&gt;Vout, IF(Table2[[#This Row],[Iout]]&gt;Table2[[#This Row],[Ripple Current pk-pk]]/2,0,ABS(Table2[[#This Row],[Iout]]-Table2[[#This Row],[Ripple Current pk-pk]]/2)*Vsd_Q1*Deadtime*Fsw),0)</f>
        <v>0</v>
      </c>
      <c r="AK92" s="354">
        <f>(Table2[[#This Row],[Dead Time Loss BuCtrl]]+Table2[[#This Row],[Transition Loss BuCtrl]]+Table2[[#This Row],[RDS(on) Loss BuCtrl]]*(1+RdsonTopTc*Ta-RdsonTopTc*25))/(1-Table2[[#This Row],[RDS(on) Loss BuCtrl]]*RdsonTopTc*ThetaJA_Q1)</f>
        <v>3.0612750648892941</v>
      </c>
      <c r="AL92" s="354">
        <f>Table2[[#This Row],[Irms Lf]]</f>
        <v>10.012324604859881</v>
      </c>
      <c r="AM92" s="354">
        <f>Rdson2*Table2[[#This Row],[Irms BuSync]]^2</f>
        <v>0.42103590477094688</v>
      </c>
      <c r="AN9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0.47921828571428576</v>
      </c>
      <c r="AO92" s="354">
        <f>(Table2[[#This Row],[Deadtime Loss BuSync]]+Table2[[#This Row],[RDS(on) Loss BuSync]]*(1+RdsonBotTc*Ta-RdsonBotTc*25))/(1-Table2[[#This Row],[RDS(on) Loss BuSync]]*RdsonBotTc*ThetaJA_Q2)</f>
        <v>1.0014492526015393</v>
      </c>
      <c r="AP92" s="354">
        <f>Table2[[#This Row],[Irms Lf]]</f>
        <v>10.012324604859881</v>
      </c>
      <c r="AQ92" s="354">
        <f>Rdson4*Table2[[#This Row],[Irms BoCtlr]]^2</f>
        <v>0.42103590477094688</v>
      </c>
      <c r="AR92" s="354">
        <f>CHOOSE(Table2[[#This Row],[Mode Digit]], 0, (Vout*Table2[[#This Row],[Iin]]/2)*(Fsw)*(Tr_boost+Tf_boost), (Vout*Iout/2)*(Fsw/1)*(Tr_boost+Tf_boost))</f>
        <v>0</v>
      </c>
      <c r="AS92" s="354">
        <f>IF(Table2[[#This Row],[Vin]]&gt;Vout, 0, IF(Table2[[#This Row],[Iin]]&gt;Table2[[#This Row],[Ripple Current pk-pk]]/2,0,ABS(Table2[[#This Row],[Iin]]-Table2[[#This Row],[Ripple Current pk-pk]]/2)*Vsd_Q4*Deadtime*Fsw))</f>
        <v>0</v>
      </c>
      <c r="AT92" s="354">
        <f>(Table2[[#This Row],[Dead Time Loss BoCtlr]]+Table2[[#This Row],[Transition Loss BoCtlr]]+Table2[[#This Row],[RDS(on) Loss BoCtlr]]*(1+RdsonTopTc*Ta-RdsonTopTc*25))/(1-Table2[[#This Row],[RDS(on) Loss BoCtlr]]*RdsonTopTc*ThetaJA_Q4)</f>
        <v>0.46836337626377766</v>
      </c>
      <c r="AU92" s="354">
        <f>Table2[[#This Row],[Irms Lf]]</f>
        <v>10.012324604859881</v>
      </c>
      <c r="AV92" s="354">
        <f>Rdson3*Table2[[#This Row],[Irms BoSync]]^2</f>
        <v>0.42103590477094688</v>
      </c>
      <c r="AW9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2" s="354">
        <f>(Table2[[#This Row],[Deadtime Loss BoSync]]+Table2[[#This Row],[RDS(on) Loss BoSync]]*(1+RdsonBotTc*Ta-RdsonBotTc*25))/(1-Table2[[#This Row],[RDS(on) Loss BoSync]]*RdsonBotTc*ThetaJA_Q3)</f>
        <v>0.46836337626377766</v>
      </c>
      <c r="AY92" s="354">
        <f>CHOOSE(Table2[[#This Row],[Mode Digit]], Rdson3*Table2[[#This Row],[Irms Lf]]^2, Rdson1*Table2[[#This Row],[Irms Lf]]^2, 0)</f>
        <v>0.42103590477094688</v>
      </c>
      <c r="AZ92" s="354">
        <f>CHOOSE(Table2[[#This Row],[Mode Digit]], 2*Deadtime*Fsw*IF(VfdSky_Q2&gt;0,VfdSky_Q2,0)*Table2[[#This Row],[Iout]], 2*Deadtime*Fsw*IF(VfdSky_Q3&gt;0,VfdSky_Q3,0)*Table2[[#This Row],[Iin]], 2*Deadtime*Fsw*IF(VfdSky_Q2&gt;0,VfdSky_Q2,0)*Table2[[#This Row],[Iout]]+2*Deadtime*Fsw*IF(VfdSky_Q3&gt;0,VfdSky_Q3,0)*Table2[[#This Row],[Iin]])</f>
        <v>0</v>
      </c>
      <c r="BA9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0.23463935328000002</v>
      </c>
      <c r="BB9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0.23463935328000002</v>
      </c>
      <c r="BC92" s="354">
        <f>CHOOSE(Table2[[#This Row],[Mode Digit]], Rs*Table2[[#This Row],[Irms BuSync]]^2, Rs*Table2[[#This Row],[Irms BoCtlr]]^2, Rs*(Table2[[#This Row],[Irms BuSync]]^2+Table2[[#This Row],[Irms BoCtlr]]^2))</f>
        <v>0.25061660998270641</v>
      </c>
      <c r="BD92" s="354">
        <f t="shared" si="9"/>
        <v>1.44</v>
      </c>
      <c r="BE92" s="354">
        <f>IF(Vout&gt;8, Iq*Vout, Iq*Table2[[#This Row],[Vin]])</f>
        <v>4.3799999999999999E-2</v>
      </c>
      <c r="BF92" s="354">
        <f>CHOOSE(Table2[[#This Row],[Mode Digit]], (Qg_Q1+Qg_Q2)*Fsw, (Qg_Q3+Qg_Q4)*Fsw, (Qg_Q1+Qg_Q2+Qg_Q3+Qg_Q4)*Fsw)*IF(Vout&gt;8, Vout, Table2[[#This Row],[Vin]])</f>
        <v>0.47303999999999996</v>
      </c>
      <c r="BG92" s="354">
        <f t="shared" si="10"/>
        <v>0.57269042016806726</v>
      </c>
      <c r="BH92" s="354">
        <f>Table2[[#This Row],[IQ Loss]]+Table2[[#This Row],[Switching Current Loss]]</f>
        <v>0.51683999999999997</v>
      </c>
      <c r="BI9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8.9303450223660459</v>
      </c>
      <c r="BJ92">
        <f>Vout*Table2[[#This Row],[Iout]]</f>
        <v>145.416</v>
      </c>
      <c r="BK92" s="550">
        <f>Table2[[#This Row],[Pout]]/(Table2[[#This Row],[Pout]]+Table2[[#This Row],[Total Loss]])</f>
        <v>0.94214087142088154</v>
      </c>
      <c r="BL92" s="559">
        <f>IF(Table2[[#This Row],[Vin]]&gt;Vout,ThetaJA_Q1*(Table2[[#This Row],[Total Control Bu MOSFET Loss]]+Table2[[#This Row],[Reverse Recovery Loss MOSFET D BUCK]]),ThetaJA_Q4*(Table2[[#This Row],[Total Control Bo MOSFET Loss]]+Table2[[#This Row],[Reverse Recovery Loss MOSFET D BOOST]]))</f>
        <v>197.75486509015764</v>
      </c>
      <c r="BM92" s="559">
        <f>IF(Table2[[#This Row],[Vin]]&gt;Vout, Table2[[#This Row],[Total Sync Bu MOSFET Loss]]*ThetaJA_Q2, ThetaJA_Q3*Table2[[#This Row],[Total Sync Bo MOSFET Loss]])</f>
        <v>60.086955156092358</v>
      </c>
      <c r="BN92" s="9"/>
      <c r="BO92" s="4">
        <f>Table2[[#This Row],[EFF, h]]*100</f>
        <v>94.214087142088161</v>
      </c>
      <c r="BP92" s="354">
        <f>Table2[[#This Row],[Total Inductor Loss]]</f>
        <v>1.2018562876820895</v>
      </c>
      <c r="BQ92" s="354">
        <f>Table2[[#This Row],[Total Control Bu MOSFET Loss]]+Table2[[#This Row],[Total Sync Bu MOSFET Loss]]+Table2[[#This Row],[Total Control Bo MOSFET Loss]]+Table2[[#This Row],[Total Sync Bo MOSFET Loss]]+Table2[[#This Row],[Reverse Recovery Loss MOSFET D BUCK]]+Table2[[#This Row],[Reverse Recovery Loss MOSFET D BOOST]]</f>
        <v>5.4687297765783889</v>
      </c>
      <c r="BR92" s="354">
        <f xml:space="preserve"> Table2[[#This Row],[Total Control Bu MOSFET Loss]]+Table2[[#This Row],[Reverse Recovery Loss MOSFET D BUCK]]*0.66</f>
        <v>3.2161370380540943</v>
      </c>
      <c r="BS92" s="354">
        <f>Table2[[#This Row],[Total Sync Bu MOSFET Loss]]+Table2[[#This Row],[Reverse Recovery Loss MOSFET D BUCK]]*0.33</f>
        <v>1.0788802391839394</v>
      </c>
      <c r="BT92" s="354">
        <f xml:space="preserve"> Table2[[#This Row],[Total Control Bo MOSFET Loss]]+Table2[[#This Row],[Reverse Recovery Loss MOSFET D BOOST]]*0.66</f>
        <v>0.62322534942857766</v>
      </c>
      <c r="BU92" s="354">
        <f xml:space="preserve"> Table2[[#This Row],[Total Sync Bo MOSFET Loss]]+Table2[[#This Row],[Reverse Recovery Loss MOSFET D BOOST]]*0.33</f>
        <v>0.54579436284617766</v>
      </c>
      <c r="BV92" s="354">
        <f>Table2[[#This Row],[Isense Shunt Loss]]</f>
        <v>0.25061660998270641</v>
      </c>
      <c r="CB92" s="18"/>
      <c r="CC92" s="19"/>
    </row>
    <row r="93" spans="1:81" x14ac:dyDescent="0.2">
      <c r="G93">
        <v>84</v>
      </c>
      <c r="H93" s="555">
        <f t="shared" si="8"/>
        <v>23.6</v>
      </c>
      <c r="I93" s="4" t="str">
        <f>IF(Mode = 2,IF(Table2[[#This Row],[Vin]]&gt;Vout, "BUCK","BOOST"),IF(Table2[[#This Row],[Vin]]&gt;VIN_BB_to_buck, "BUCK", IF(Table2[[#This Row],[Vin]]&lt;=VIN_boost_to_BB,"BOOST","BUCK-BST")))</f>
        <v>BUCK</v>
      </c>
      <c r="J93">
        <f>IF(Table2[[#This Row],[Mode]]="BOOST",2, IF(Table2[[#This Row],[Mode]]="BUCK", 1,3))</f>
        <v>1</v>
      </c>
      <c r="K93" s="354">
        <f t="shared" si="11"/>
        <v>10.08</v>
      </c>
      <c r="L93" s="4">
        <f>Vout*Table2[[#This Row],[Iout]]/(Table2[[#This Row],[Vin]]*Efficiency)</f>
        <v>6.5641391614629789</v>
      </c>
      <c r="M93" s="711">
        <f>MIN(1/Fsw,CHOOSE(Table2[[#This Row],[Mode Digit]],(Vout+(Rdson2+Rs+Rdcr)*Table2[[#This Row],[Iout]])/(Table2[[#This Row],[Vin]]+(Rs+Rdson2-Rdson1)*Table2[[#This Row],[Iout]])/Fsw,(Vout+(Rdson3+Rdcr)*Table2[[#This Row],[Iin]]-Table2[[#This Row],[Vin]])/(Vout+(Rdson3-Rdson4-Rs)*Table2[[#This Row],[Iin]])/Fsw,t1_Ph_II))</f>
        <v>1.0388624576017697E-6</v>
      </c>
      <c r="N93" s="602">
        <f>CHOOSE(Table2[[#This Row],[Mode Digit]],1/Fsw-Table2[[#This Row],[t1_Ph_II]],1/Fsw-Table2[[#This Row],[t1_Ph_II]],(Vout/Fsw-Table2[[#This Row],[Vin]]*t1_Ph_II)/(Table2[[#This Row],[Vin]]+Vout))</f>
        <v>6.2780420906489698E-7</v>
      </c>
      <c r="O93" s="602">
        <f>1/Fsw-(Table2[[#This Row],[t1_Ph_II]]+Table2[[#This Row],[t2_Ph_I]])</f>
        <v>0</v>
      </c>
      <c r="P9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8.3092117199969842</v>
      </c>
      <c r="Q93" s="4">
        <f>CHOOSE(Table2[[#This Row],[Mode Digit]],Table2[[#This Row],[I_0]]+1/Lf*(Table2[[#This Row],[Vin]]-Vout)*Table2[[#This Row],[t1_Ph_II]],Table2[[#This Row],[I_0]]+1/Lf*Table2[[#This Row],[Vin]]*Table2[[#This Row],[t1_Ph_II]],Table2[[#This Row],[I_0]]+(Table2[[#This Row],[Vin]]-Vout)/L*Table2[[#This Row],[t1_Ph_II]])</f>
        <v>11.850788280003018</v>
      </c>
      <c r="R93" s="4">
        <f>CHOOSE(Table2[[#This Row],[Mode Digit]],0,0,Table2[[#This Row],[I_1]]+Table2[[#This Row],[Vin]]/L*Table2[[#This Row],[t2_Ph_I]])</f>
        <v>0</v>
      </c>
      <c r="S93" s="409">
        <f>Fsw*(Table2[[#This Row],[I_0]]*Table2[[#This Row],[t1_Ph_II]]+Table2[[#This Row],[I_1]]*Table2[[#This Row],[t2_Ph_I]]+Table2[[#This Row],[I_2]]*Table2[[#This Row],[t3_Ph_III]])</f>
        <v>9.6432617226554029</v>
      </c>
      <c r="T93" s="354">
        <f>MIN(1,CHOOSE(Table2[[#This Row],[Mode Digit]],(Vout+(Rdson2+Rs+Rdcr)*Table2[[#This Row],[Iout]])/(Table2[[#This Row],[Vin]]+(Rs+Rdson2-Rdson1)*Table2[[#This Row],[Iout]]),1,Fsw*Table2[[#This Row],[t2_Ph_I]]+Table2[[#This Row],[t1_Ph_II]]))</f>
        <v>0.62331747456106179</v>
      </c>
      <c r="U93" s="354">
        <f>MIN(1,CHOOSE(Table2[[#This Row],[Mode Digit]],0,(Vout+(Rdson3+Rdcr)*Table2[[#This Row],[Iin]]-Table2[[#This Row],[Vin]])/(Vout+(Rdson3-Rdson4-Rs)*Table2[[#This Row],[Iin]]),Fsw*Table2[[#This Row],[t1_Ph_II]]+Table2[[#This Row],[t3_Ph_III]]))</f>
        <v>0</v>
      </c>
      <c r="V93" s="4">
        <f>MAX(Table2[[#This Row],[I_0]:[I_2]])-MIN(Table2[[#This Row],[I_0]:[I_1]])</f>
        <v>3.5415765600060336</v>
      </c>
      <c r="W9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10.131714088816958</v>
      </c>
      <c r="X93" s="354">
        <f>(Table2[[#This Row],[Irms Lf]]^2*Rdcr*(1+Ltc*Ta-Ltc*25))/(1-Table2[[#This Row],[Irms Lf]]^2*Rdcr*Ltc*ThetaCa)</f>
        <v>0.62515585229976867</v>
      </c>
      <c r="Y93" s="354">
        <f>ABS(7.759*10^-3*Fsw^0.9458*(0.00787*Table2[[#This Row],[Ripple Current pk-pk]])^2.304)</f>
        <v>0.5921831338302781</v>
      </c>
      <c r="Z93" s="354">
        <f>Table2[[#This Row],[DCR    Loss]]+Table2[[#This Row],[Core Loss]]</f>
        <v>1.2173389861300468</v>
      </c>
      <c r="AA93" s="4">
        <f>IF(Table2[[#This Row],[Vin]]&gt;Vout, Table2[[#This Row],[Ripple Current pk-pk]]/SQRT(12), SQRT(Table2[[#This Row],[Duty Cycle BOOST Leg]]/(1-Table2[[#This Row],[Duty Cycle BOOST Leg]]))*SQRT(Table2[[#This Row],[Iout]]^2+(Table2[[#This Row],[Ripple Current pk-pk]]^2)/12))</f>
        <v>1.0223650901375763</v>
      </c>
      <c r="AB93" s="354">
        <f>RCoutEsr*Table2[[#This Row],[Irms Cout]]^2</f>
        <v>5.2261518876600722E-3</v>
      </c>
      <c r="AC93" s="354">
        <f>Table2[[#This Row],[Cout ESR Loss]]</f>
        <v>5.2261518876600722E-3</v>
      </c>
      <c r="AD93" s="4">
        <f>IF(Table2[[#This Row],[Vin]]&gt;Vout, SQRT(Table2[[#This Row],[Duty Cycle BUCK Leg]]*(1-Table2[[#This Row],[Duty Cycle BUCK Leg]]))*SQRT(Table2[[#This Row],[Iout]]^2+(Table2[[#This Row],[Ripple Current pk-pk]]^2)/12), Table2[[#This Row],[Ripple Current pk-pk]]/SQRT(12))</f>
        <v>4.9093649048461074</v>
      </c>
      <c r="AE93" s="354">
        <f>RCinEsr*Table2[[#This Row],[Irms Cin]]^2</f>
        <v>4.8203727537869258E-2</v>
      </c>
      <c r="AF93" s="549">
        <f>Table2[[#This Row],[Cin ESR Loss]]</f>
        <v>4.8203727537869258E-2</v>
      </c>
      <c r="AG93" s="354">
        <f>Table2[[#This Row],[Irms Lf]]</f>
        <v>10.131714088816958</v>
      </c>
      <c r="AH93" s="354">
        <f>Rdson1*Table2[[#This Row],[Irms BuCtrl]]^2</f>
        <v>0.43113684758563464</v>
      </c>
      <c r="AI93" s="354">
        <f>CHOOSE(Table2[[#This Row],[Mode Digit]], (Table2[[#This Row],[Vin]]*Table2[[#This Row],[Iout]]/2)*(Fsw)*(Tr_buck+Tf_buck), 0, (Table2[[#This Row],[Vin]]*Table2[[#This Row],[Avg IL]]/2)*(Fsw/1)*(Tr_buck+Tf_buck))</f>
        <v>2.3589846992927868</v>
      </c>
      <c r="AJ93">
        <f>IF(Table2[[#This Row],[Vin]]&gt;Vout, IF(Table2[[#This Row],[Iout]]&gt;Table2[[#This Row],[Ripple Current pk-pk]]/2,0,ABS(Table2[[#This Row],[Iout]]-Table2[[#This Row],[Ripple Current pk-pk]]/2)*Vsd_Q1*Deadtime*Fsw),0)</f>
        <v>0</v>
      </c>
      <c r="AK93" s="354">
        <f>(Table2[[#This Row],[Dead Time Loss BuCtrl]]+Table2[[#This Row],[Transition Loss BuCtrl]]+Table2[[#This Row],[RDS(on) Loss BuCtrl]]*(1+RdsonTopTc*Ta-RdsonTopTc*25))/(1-Table2[[#This Row],[RDS(on) Loss BuCtrl]]*RdsonTopTc*ThetaJA_Q1)</f>
        <v>3.1121439282705863</v>
      </c>
      <c r="AL93" s="354">
        <f>Table2[[#This Row],[Irms Lf]]</f>
        <v>10.131714088816958</v>
      </c>
      <c r="AM93" s="354">
        <f>Rdson2*Table2[[#This Row],[Irms BuSync]]^2</f>
        <v>0.43113684758563464</v>
      </c>
      <c r="AN9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0.48499199999999998</v>
      </c>
      <c r="AO93" s="354">
        <f>(Table2[[#This Row],[Deadtime Loss BuSync]]+Table2[[#This Row],[RDS(on) Loss BuSync]]*(1+RdsonBotTc*Ta-RdsonBotTc*25))/(1-Table2[[#This Row],[RDS(on) Loss BuSync]]*RdsonBotTc*ThetaJA_Q2)</f>
        <v>1.0218640237078529</v>
      </c>
      <c r="AP93" s="354">
        <f>Table2[[#This Row],[Irms Lf]]</f>
        <v>10.131714088816958</v>
      </c>
      <c r="AQ93" s="354">
        <f>Rdson4*Table2[[#This Row],[Irms BoCtlr]]^2</f>
        <v>0.43113684758563464</v>
      </c>
      <c r="AR93" s="354">
        <f>CHOOSE(Table2[[#This Row],[Mode Digit]], 0, (Vout*Table2[[#This Row],[Iin]]/2)*(Fsw)*(Tr_boost+Tf_boost), (Vout*Iout/2)*(Fsw/1)*(Tr_boost+Tf_boost))</f>
        <v>0</v>
      </c>
      <c r="AS93" s="354">
        <f>IF(Table2[[#This Row],[Vin]]&gt;Vout, 0, IF(Table2[[#This Row],[Iin]]&gt;Table2[[#This Row],[Ripple Current pk-pk]]/2,0,ABS(Table2[[#This Row],[Iin]]-Table2[[#This Row],[Ripple Current pk-pk]]/2)*Vsd_Q4*Deadtime*Fsw))</f>
        <v>0</v>
      </c>
      <c r="AT93" s="354">
        <f>(Table2[[#This Row],[Dead Time Loss BoCtlr]]+Table2[[#This Row],[Transition Loss BoCtlr]]+Table2[[#This Row],[RDS(on) Loss BoCtlr]]*(1+RdsonTopTc*Ta-RdsonTopTc*25))/(1-Table2[[#This Row],[RDS(on) Loss BoCtlr]]*RdsonTopTc*ThetaJA_Q4)</f>
        <v>0.48089658458374707</v>
      </c>
      <c r="AU93" s="354">
        <f>Table2[[#This Row],[Irms Lf]]</f>
        <v>10.131714088816958</v>
      </c>
      <c r="AV93" s="354">
        <f>Rdson3*Table2[[#This Row],[Irms BoSync]]^2</f>
        <v>0.43113684758563464</v>
      </c>
      <c r="AW9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3" s="354">
        <f>(Table2[[#This Row],[Deadtime Loss BoSync]]+Table2[[#This Row],[RDS(on) Loss BoSync]]*(1+RdsonBotTc*Ta-RdsonBotTc*25))/(1-Table2[[#This Row],[RDS(on) Loss BoSync]]*RdsonBotTc*ThetaJA_Q3)</f>
        <v>0.48089658458374707</v>
      </c>
      <c r="AY93" s="354">
        <f>CHOOSE(Table2[[#This Row],[Mode Digit]], Rdson3*Table2[[#This Row],[Irms Lf]]^2, Rdson1*Table2[[#This Row],[Irms Lf]]^2, 0)</f>
        <v>0.43113684758563464</v>
      </c>
      <c r="AZ93" s="354">
        <f>CHOOSE(Table2[[#This Row],[Mode Digit]], 2*Deadtime*Fsw*IF(VfdSky_Q2&gt;0,VfdSky_Q2,0)*Table2[[#This Row],[Iout]], 2*Deadtime*Fsw*IF(VfdSky_Q3&gt;0,VfdSky_Q3,0)*Table2[[#This Row],[Iin]], 2*Deadtime*Fsw*IF(VfdSky_Q2&gt;0,VfdSky_Q2,0)*Table2[[#This Row],[Iout]]+2*Deadtime*Fsw*IF(VfdSky_Q3&gt;0,VfdSky_Q3,0)*Table2[[#This Row],[Iin]])</f>
        <v>0</v>
      </c>
      <c r="BA9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0.23746125312000005</v>
      </c>
      <c r="BB9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0.23746125312000005</v>
      </c>
      <c r="BC93" s="354">
        <f>CHOOSE(Table2[[#This Row],[Mode Digit]], Rs*Table2[[#This Row],[Irms BuSync]]^2, Rs*Table2[[#This Row],[Irms BoCtlr]]^2, Rs*(Table2[[#This Row],[Irms BuSync]]^2+Table2[[#This Row],[Irms BoCtlr]]^2))</f>
        <v>0.25662907594383011</v>
      </c>
      <c r="BD93" s="354">
        <f t="shared" si="9"/>
        <v>1.44</v>
      </c>
      <c r="BE93" s="354">
        <f>IF(Vout&gt;8, Iq*Vout, Iq*Table2[[#This Row],[Vin]])</f>
        <v>4.3799999999999999E-2</v>
      </c>
      <c r="BF93" s="354">
        <f>CHOOSE(Table2[[#This Row],[Mode Digit]], (Qg_Q1+Qg_Q2)*Fsw, (Qg_Q3+Qg_Q4)*Fsw, (Qg_Q1+Qg_Q2+Qg_Q3+Qg_Q4)*Fsw)*IF(Vout&gt;8, Vout, Table2[[#This Row],[Vin]])</f>
        <v>0.47303999999999996</v>
      </c>
      <c r="BG93" s="354">
        <f t="shared" si="10"/>
        <v>0.57269042016806726</v>
      </c>
      <c r="BH93" s="354">
        <f>Table2[[#This Row],[IQ Loss]]+Table2[[#This Row],[Switching Current Loss]]</f>
        <v>0.51683999999999997</v>
      </c>
      <c r="BI9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9.0549615688853411</v>
      </c>
      <c r="BJ93">
        <f>Vout*Table2[[#This Row],[Iout]]</f>
        <v>147.16800000000001</v>
      </c>
      <c r="BK93" s="550">
        <f>Table2[[#This Row],[Pout]]/(Table2[[#This Row],[Pout]]+Table2[[#This Row],[Total Loss]])</f>
        <v>0.94203821590661219</v>
      </c>
      <c r="BL93" s="559">
        <f>IF(Table2[[#This Row],[Vin]]&gt;Vout,ThetaJA_Q1*(Table2[[#This Row],[Total Control Bu MOSFET Loss]]+Table2[[#This Row],[Reverse Recovery Loss MOSFET D BUCK]]),ThetaJA_Q4*(Table2[[#This Row],[Total Control Bo MOSFET Loss]]+Table2[[#This Row],[Reverse Recovery Loss MOSFET D BOOST]]))</f>
        <v>200.97631088343519</v>
      </c>
      <c r="BM93" s="559">
        <f>IF(Table2[[#This Row],[Vin]]&gt;Vout, Table2[[#This Row],[Total Sync Bu MOSFET Loss]]*ThetaJA_Q2, ThetaJA_Q3*Table2[[#This Row],[Total Sync Bo MOSFET Loss]])</f>
        <v>61.311841422471176</v>
      </c>
      <c r="BN93" s="9"/>
      <c r="BO93" s="4">
        <f>Table2[[#This Row],[EFF, h]]*100</f>
        <v>94.203821590661221</v>
      </c>
      <c r="BP93" s="354">
        <f>Table2[[#This Row],[Total Inductor Loss]]</f>
        <v>1.2173389861300468</v>
      </c>
      <c r="BQ93" s="354">
        <f>Table2[[#This Row],[Total Control Bu MOSFET Loss]]+Table2[[#This Row],[Total Sync Bu MOSFET Loss]]+Table2[[#This Row],[Total Control Bo MOSFET Loss]]+Table2[[#This Row],[Total Sync Bo MOSFET Loss]]+Table2[[#This Row],[Reverse Recovery Loss MOSFET D BUCK]]+Table2[[#This Row],[Reverse Recovery Loss MOSFET D BOOST]]</f>
        <v>5.5707236273859344</v>
      </c>
      <c r="BR93" s="354">
        <f xml:space="preserve"> Table2[[#This Row],[Total Control Bu MOSFET Loss]]+Table2[[#This Row],[Reverse Recovery Loss MOSFET D BUCK]]*0.66</f>
        <v>3.2688683553297864</v>
      </c>
      <c r="BS93" s="354">
        <f>Table2[[#This Row],[Total Sync Bu MOSFET Loss]]+Table2[[#This Row],[Reverse Recovery Loss MOSFET D BUCK]]*0.33</f>
        <v>1.1002262372374529</v>
      </c>
      <c r="BT93" s="354">
        <f xml:space="preserve"> Table2[[#This Row],[Total Control Bo MOSFET Loss]]+Table2[[#This Row],[Reverse Recovery Loss MOSFET D BOOST]]*0.66</f>
        <v>0.63762101164294704</v>
      </c>
      <c r="BU93" s="354">
        <f xml:space="preserve"> Table2[[#This Row],[Total Sync Bo MOSFET Loss]]+Table2[[#This Row],[Reverse Recovery Loss MOSFET D BOOST]]*0.33</f>
        <v>0.55925879811334711</v>
      </c>
      <c r="BV93" s="354">
        <f>Table2[[#This Row],[Isense Shunt Loss]]</f>
        <v>0.25662907594383011</v>
      </c>
      <c r="CB93" s="18"/>
      <c r="CC93" s="19"/>
    </row>
    <row r="94" spans="1:81" x14ac:dyDescent="0.2">
      <c r="G94">
        <v>85</v>
      </c>
      <c r="H94" s="555">
        <f t="shared" si="8"/>
        <v>23.6</v>
      </c>
      <c r="I94" s="4" t="str">
        <f>IF(Mode = 2,IF(Table2[[#This Row],[Vin]]&gt;Vout, "BUCK","BOOST"),IF(Table2[[#This Row],[Vin]]&gt;VIN_BB_to_buck, "BUCK", IF(Table2[[#This Row],[Vin]]&lt;=VIN_boost_to_BB,"BOOST","BUCK-BST")))</f>
        <v>BUCK</v>
      </c>
      <c r="J94">
        <f>IF(Table2[[#This Row],[Mode]]="BOOST",2, IF(Table2[[#This Row],[Mode]]="BUCK", 1,3))</f>
        <v>1</v>
      </c>
      <c r="K94" s="354">
        <f t="shared" si="11"/>
        <v>10.199999999999999</v>
      </c>
      <c r="L94" s="4">
        <f>Vout*Table2[[#This Row],[Iout]]/(Table2[[#This Row],[Vin]]*Efficiency)</f>
        <v>6.642283675289919</v>
      </c>
      <c r="M94" s="711">
        <f>MIN(1/Fsw,CHOOSE(Table2[[#This Row],[Mode Digit]],(Vout+(Rdson2+Rs+Rdcr)*Table2[[#This Row],[Iout]])/(Table2[[#This Row],[Vin]]+(Rs+Rdson2-Rdson1)*Table2[[#This Row],[Iout]])/Fsw,(Vout+(Rdson3+Rdcr)*Table2[[#This Row],[Iin]]-Table2[[#This Row],[Vin]])/(Vout+(Rdson3-Rdson4-Rs)*Table2[[#This Row],[Iin]])/Fsw,t1_Ph_II))</f>
        <v>1.0389550838430226E-6</v>
      </c>
      <c r="N94" s="602">
        <f>CHOOSE(Table2[[#This Row],[Mode Digit]],1/Fsw-Table2[[#This Row],[t1_Ph_II]],1/Fsw-Table2[[#This Row],[t1_Ph_II]],(Vout/Fsw-Table2[[#This Row],[Vin]]*t1_Ph_II)/(Table2[[#This Row],[Vin]]+Vout))</f>
        <v>6.2771158282364406E-7</v>
      </c>
      <c r="O94" s="602">
        <f>1/Fsw-(Table2[[#This Row],[t1_Ph_II]]+Table2[[#This Row],[t2_Ph_I]])</f>
        <v>0</v>
      </c>
      <c r="P9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8.4290538343584824</v>
      </c>
      <c r="Q94" s="4">
        <f>CHOOSE(Table2[[#This Row],[Mode Digit]],Table2[[#This Row],[I_0]]+1/Lf*(Table2[[#This Row],[Vin]]-Vout)*Table2[[#This Row],[t1_Ph_II]],Table2[[#This Row],[I_0]]+1/Lf*Table2[[#This Row],[Vin]]*Table2[[#This Row],[t1_Ph_II]],Table2[[#This Row],[I_0]]+(Table2[[#This Row],[Vin]]-Vout)/L*Table2[[#This Row],[t1_Ph_II]])</f>
        <v>11.970946165641514</v>
      </c>
      <c r="R94" s="4">
        <f>CHOOSE(Table2[[#This Row],[Mode Digit]],0,0,Table2[[#This Row],[I_1]]+Table2[[#This Row],[Vin]]/L*Table2[[#This Row],[t2_Ph_I]])</f>
        <v>0</v>
      </c>
      <c r="S94" s="409">
        <f>Fsw*(Table2[[#This Row],[I_0]]*Table2[[#This Row],[t1_Ph_II]]+Table2[[#This Row],[I_1]]*Table2[[#This Row],[t2_Ph_I]]+Table2[[#This Row],[I_2]]*Table2[[#This Row],[t3_Ph_III]])</f>
        <v>9.7630259392348417</v>
      </c>
      <c r="T94" s="354">
        <f>MIN(1,CHOOSE(Table2[[#This Row],[Mode Digit]],(Vout+(Rdson2+Rs+Rdcr)*Table2[[#This Row],[Iout]])/(Table2[[#This Row],[Vin]]+(Rs+Rdson2-Rdson1)*Table2[[#This Row],[Iout]]),1,Fsw*Table2[[#This Row],[t2_Ph_I]]+Table2[[#This Row],[t1_Ph_II]]))</f>
        <v>0.62337305030581358</v>
      </c>
      <c r="U94" s="354">
        <f>MIN(1,CHOOSE(Table2[[#This Row],[Mode Digit]],0,(Vout+(Rdson3+Rdcr)*Table2[[#This Row],[Iin]]-Table2[[#This Row],[Vin]])/(Vout+(Rdson3-Rdson4-Rs)*Table2[[#This Row],[Iin]]),Fsw*Table2[[#This Row],[t1_Ph_II]]+Table2[[#This Row],[t3_Ph_III]]))</f>
        <v>0</v>
      </c>
      <c r="V94" s="4">
        <f>MAX(Table2[[#This Row],[I_0]:[I_2]])-MIN(Table2[[#This Row],[I_0]:[I_1]])</f>
        <v>3.5418923312830319</v>
      </c>
      <c r="W9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10.251117830454724</v>
      </c>
      <c r="X94" s="354">
        <f>(Table2[[#This Row],[Irms Lf]]^2*Rdcr*(1+Ltc*Ta-Ltc*25))/(1-Table2[[#This Row],[Irms Lf]]^2*Rdcr*Ltc*ThetaCa)</f>
        <v>0.6407375450813656</v>
      </c>
      <c r="Y94" s="354">
        <f>ABS(7.759*10^-3*Fsw^0.9458*(0.00787*Table2[[#This Row],[Ripple Current pk-pk]])^2.304)</f>
        <v>0.59230479157012939</v>
      </c>
      <c r="Z94" s="354">
        <f>Table2[[#This Row],[DCR    Loss]]+Table2[[#This Row],[Core Loss]]</f>
        <v>1.2330423366514949</v>
      </c>
      <c r="AA94" s="4">
        <f>IF(Table2[[#This Row],[Vin]]&gt;Vout, Table2[[#This Row],[Ripple Current pk-pk]]/SQRT(12), SQRT(Table2[[#This Row],[Duty Cycle BOOST Leg]]/(1-Table2[[#This Row],[Duty Cycle BOOST Leg]]))*SQRT(Table2[[#This Row],[Iout]]^2+(Table2[[#This Row],[Ripple Current pk-pk]]^2)/12))</f>
        <v>1.0224562454534649</v>
      </c>
      <c r="AB94" s="354">
        <f>RCoutEsr*Table2[[#This Row],[Irms Cout]]^2</f>
        <v>5.2270838693339802E-3</v>
      </c>
      <c r="AC94" s="354">
        <f>Table2[[#This Row],[Cout ESR Loss]]</f>
        <v>5.2270838693339802E-3</v>
      </c>
      <c r="AD94" s="4">
        <f>IF(Table2[[#This Row],[Vin]]&gt;Vout, SQRT(Table2[[#This Row],[Duty Cycle BUCK Leg]]*(1-Table2[[#This Row],[Duty Cycle BUCK Leg]]))*SQRT(Table2[[#This Row],[Iout]]^2+(Table2[[#This Row],[Ripple Current pk-pk]]^2)/12), Table2[[#This Row],[Ripple Current pk-pk]]/SQRT(12))</f>
        <v>4.9670774677463436</v>
      </c>
      <c r="AE94" s="354">
        <f>RCinEsr*Table2[[#This Row],[Irms Cin]]^2</f>
        <v>4.9343717141186856E-2</v>
      </c>
      <c r="AF94" s="549">
        <f>Table2[[#This Row],[Cin ESR Loss]]</f>
        <v>4.9343717141186856E-2</v>
      </c>
      <c r="AG94" s="354">
        <f>Table2[[#This Row],[Irms Lf]]</f>
        <v>10.251117830454724</v>
      </c>
      <c r="AH94" s="354">
        <f>Rdson1*Table2[[#This Row],[Irms BuCtrl]]^2</f>
        <v>0.44135875045024048</v>
      </c>
      <c r="AI94" s="354">
        <f>CHOOSE(Table2[[#This Row],[Mode Digit]], (Table2[[#This Row],[Vin]]*Table2[[#This Row],[Iout]]/2)*(Fsw)*(Tr_buck+Tf_buck), 0, (Table2[[#This Row],[Vin]]*Table2[[#This Row],[Avg IL]]/2)*(Fsw/1)*(Tr_buck+Tf_buck))</f>
        <v>2.3870678504748439</v>
      </c>
      <c r="AJ94">
        <f>IF(Table2[[#This Row],[Vin]]&gt;Vout, IF(Table2[[#This Row],[Iout]]&gt;Table2[[#This Row],[Ripple Current pk-pk]]/2,0,ABS(Table2[[#This Row],[Iout]]-Table2[[#This Row],[Ripple Current pk-pk]]/2)*Vsd_Q1*Deadtime*Fsw),0)</f>
        <v>0</v>
      </c>
      <c r="AK94" s="354">
        <f>(Table2[[#This Row],[Dead Time Loss BuCtrl]]+Table2[[#This Row],[Transition Loss BuCtrl]]+Table2[[#This Row],[RDS(on) Loss BuCtrl]]*(1+RdsonTopTc*Ta-RdsonTopTc*25))/(1-Table2[[#This Row],[RDS(on) Loss BuCtrl]]*RdsonTopTc*ThetaJA_Q1)</f>
        <v>3.1635266405460754</v>
      </c>
      <c r="AL94" s="354">
        <f>Table2[[#This Row],[Irms Lf]]</f>
        <v>10.251117830454724</v>
      </c>
      <c r="AM94" s="354">
        <f>Rdson2*Table2[[#This Row],[Irms BuSync]]^2</f>
        <v>0.44135875045024048</v>
      </c>
      <c r="AN9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0.49076571428571425</v>
      </c>
      <c r="AO94" s="354">
        <f>(Table2[[#This Row],[Deadtime Loss BuSync]]+Table2[[#This Row],[RDS(on) Loss BuSync]]*(1+RdsonBotTc*Ta-RdsonBotTc*25))/(1-Table2[[#This Row],[RDS(on) Loss BuSync]]*RdsonBotTc*ThetaJA_Q2)</f>
        <v>1.0425586350844278</v>
      </c>
      <c r="AP94" s="354">
        <f>Table2[[#This Row],[Irms Lf]]</f>
        <v>10.251117830454724</v>
      </c>
      <c r="AQ94" s="354">
        <f>Rdson4*Table2[[#This Row],[Irms BoCtlr]]^2</f>
        <v>0.44135875045024048</v>
      </c>
      <c r="AR94" s="354">
        <f>CHOOSE(Table2[[#This Row],[Mode Digit]], 0, (Vout*Table2[[#This Row],[Iin]]/2)*(Fsw)*(Tr_boost+Tf_boost), (Vout*Iout/2)*(Fsw/1)*(Tr_boost+Tf_boost))</f>
        <v>0</v>
      </c>
      <c r="AS94" s="354">
        <f>IF(Table2[[#This Row],[Vin]]&gt;Vout, 0, IF(Table2[[#This Row],[Iin]]&gt;Table2[[#This Row],[Ripple Current pk-pk]]/2,0,ABS(Table2[[#This Row],[Iin]]-Table2[[#This Row],[Ripple Current pk-pk]]/2)*Vsd_Q4*Deadtime*Fsw))</f>
        <v>0</v>
      </c>
      <c r="AT94" s="354">
        <f>(Table2[[#This Row],[Dead Time Loss BoCtlr]]+Table2[[#This Row],[Transition Loss BoCtlr]]+Table2[[#This Row],[RDS(on) Loss BoCtlr]]*(1+RdsonTopTc*Ta-RdsonTopTc*25))/(1-Table2[[#This Row],[RDS(on) Loss BoCtlr]]*RdsonTopTc*ThetaJA_Q4)</f>
        <v>0.49364907140627085</v>
      </c>
      <c r="AU94" s="354">
        <f>Table2[[#This Row],[Irms Lf]]</f>
        <v>10.251117830454724</v>
      </c>
      <c r="AV94" s="354">
        <f>Rdson3*Table2[[#This Row],[Irms BoSync]]^2</f>
        <v>0.44135875045024048</v>
      </c>
      <c r="AW9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4" s="354">
        <f>(Table2[[#This Row],[Deadtime Loss BoSync]]+Table2[[#This Row],[RDS(on) Loss BoSync]]*(1+RdsonBotTc*Ta-RdsonBotTc*25))/(1-Table2[[#This Row],[RDS(on) Loss BoSync]]*RdsonBotTc*ThetaJA_Q3)</f>
        <v>0.49364907140627085</v>
      </c>
      <c r="AY94" s="354">
        <f>CHOOSE(Table2[[#This Row],[Mode Digit]], Rdson3*Table2[[#This Row],[Irms Lf]]^2, Rdson1*Table2[[#This Row],[Irms Lf]]^2, 0)</f>
        <v>0.44135875045024048</v>
      </c>
      <c r="AZ94" s="354">
        <f>CHOOSE(Table2[[#This Row],[Mode Digit]], 2*Deadtime*Fsw*IF(VfdSky_Q2&gt;0,VfdSky_Q2,0)*Table2[[#This Row],[Iout]], 2*Deadtime*Fsw*IF(VfdSky_Q3&gt;0,VfdSky_Q3,0)*Table2[[#This Row],[Iin]], 2*Deadtime*Fsw*IF(VfdSky_Q2&gt;0,VfdSky_Q2,0)*Table2[[#This Row],[Iout]]+2*Deadtime*Fsw*IF(VfdSky_Q3&gt;0,VfdSky_Q3,0)*Table2[[#This Row],[Iin]])</f>
        <v>0</v>
      </c>
      <c r="BA9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0.24028303200000001</v>
      </c>
      <c r="BB9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0.24028303200000001</v>
      </c>
      <c r="BC94" s="354">
        <f>CHOOSE(Table2[[#This Row],[Mode Digit]], Rs*Table2[[#This Row],[Irms BuSync]]^2, Rs*Table2[[#This Row],[Irms BoCtlr]]^2, Rs*(Table2[[#This Row],[Irms BuSync]]^2+Table2[[#This Row],[Irms BoCtlr]]^2))</f>
        <v>0.26271354193466695</v>
      </c>
      <c r="BD94" s="354">
        <f t="shared" si="9"/>
        <v>1.44</v>
      </c>
      <c r="BE94" s="354">
        <f>IF(Vout&gt;8, Iq*Vout, Iq*Table2[[#This Row],[Vin]])</f>
        <v>4.3799999999999999E-2</v>
      </c>
      <c r="BF94" s="354">
        <f>CHOOSE(Table2[[#This Row],[Mode Digit]], (Qg_Q1+Qg_Q2)*Fsw, (Qg_Q3+Qg_Q4)*Fsw, (Qg_Q1+Qg_Q2+Qg_Q3+Qg_Q4)*Fsw)*IF(Vout&gt;8, Vout, Table2[[#This Row],[Vin]])</f>
        <v>0.47303999999999996</v>
      </c>
      <c r="BG94" s="354">
        <f t="shared" si="10"/>
        <v>0.57269042016806726</v>
      </c>
      <c r="BH94" s="354">
        <f>Table2[[#This Row],[IQ Loss]]+Table2[[#This Row],[Switching Current Loss]]</f>
        <v>0.51683999999999997</v>
      </c>
      <c r="BI9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9.1811161620397268</v>
      </c>
      <c r="BJ94">
        <f>Vout*Table2[[#This Row],[Iout]]</f>
        <v>148.91999999999999</v>
      </c>
      <c r="BK94" s="550">
        <f>Table2[[#This Row],[Pout]]/(Table2[[#This Row],[Pout]]+Table2[[#This Row],[Total Loss]])</f>
        <v>0.94192883399615035</v>
      </c>
      <c r="BL94" s="559">
        <f>IF(Table2[[#This Row],[Vin]]&gt;Vout,ThetaJA_Q1*(Table2[[#This Row],[Total Control Bu MOSFET Loss]]+Table2[[#This Row],[Reverse Recovery Loss MOSFET D BUCK]]),ThetaJA_Q4*(Table2[[#This Row],[Total Control Bo MOSFET Loss]]+Table2[[#This Row],[Reverse Recovery Loss MOSFET D BOOST]]))</f>
        <v>204.22858035276454</v>
      </c>
      <c r="BM94" s="559">
        <f>IF(Table2[[#This Row],[Vin]]&gt;Vout, Table2[[#This Row],[Total Sync Bu MOSFET Loss]]*ThetaJA_Q2, ThetaJA_Q3*Table2[[#This Row],[Total Sync Bo MOSFET Loss]])</f>
        <v>62.55351810506567</v>
      </c>
      <c r="BN94" s="9"/>
      <c r="BO94" s="4">
        <f>Table2[[#This Row],[EFF, h]]*100</f>
        <v>94.192883399615042</v>
      </c>
      <c r="BP94" s="354">
        <f>Table2[[#This Row],[Total Inductor Loss]]</f>
        <v>1.2330423366514949</v>
      </c>
      <c r="BQ94" s="354">
        <f>Table2[[#This Row],[Total Control Bu MOSFET Loss]]+Table2[[#This Row],[Total Sync Bu MOSFET Loss]]+Table2[[#This Row],[Total Control Bo MOSFET Loss]]+Table2[[#This Row],[Total Sync Bo MOSFET Loss]]+Table2[[#This Row],[Reverse Recovery Loss MOSFET D BUCK]]+Table2[[#This Row],[Reverse Recovery Loss MOSFET D BOOST]]</f>
        <v>5.6739494824430441</v>
      </c>
      <c r="BR94" s="354">
        <f xml:space="preserve"> Table2[[#This Row],[Total Control Bu MOSFET Loss]]+Table2[[#This Row],[Reverse Recovery Loss MOSFET D BUCK]]*0.66</f>
        <v>3.3221134416660751</v>
      </c>
      <c r="BS94" s="354">
        <f>Table2[[#This Row],[Total Sync Bu MOSFET Loss]]+Table2[[#This Row],[Reverse Recovery Loss MOSFET D BUCK]]*0.33</f>
        <v>1.1218520356444279</v>
      </c>
      <c r="BT94" s="354">
        <f xml:space="preserve"> Table2[[#This Row],[Total Control Bo MOSFET Loss]]+Table2[[#This Row],[Reverse Recovery Loss MOSFET D BOOST]]*0.66</f>
        <v>0.65223587252627091</v>
      </c>
      <c r="BU94" s="354">
        <f xml:space="preserve"> Table2[[#This Row],[Total Sync Bo MOSFET Loss]]+Table2[[#This Row],[Reverse Recovery Loss MOSFET D BOOST]]*0.33</f>
        <v>0.57294247196627079</v>
      </c>
      <c r="BV94" s="354">
        <f>Table2[[#This Row],[Isense Shunt Loss]]</f>
        <v>0.26271354193466695</v>
      </c>
      <c r="CB94" s="18"/>
      <c r="CC94" s="19"/>
    </row>
    <row r="95" spans="1:81" x14ac:dyDescent="0.2">
      <c r="G95">
        <v>86</v>
      </c>
      <c r="H95" s="555">
        <f t="shared" si="8"/>
        <v>23.6</v>
      </c>
      <c r="I95" s="4" t="str">
        <f>IF(Mode = 2,IF(Table2[[#This Row],[Vin]]&gt;Vout, "BUCK","BOOST"),IF(Table2[[#This Row],[Vin]]&gt;VIN_BB_to_buck, "BUCK", IF(Table2[[#This Row],[Vin]]&lt;=VIN_boost_to_BB,"BOOST","BUCK-BST")))</f>
        <v>BUCK</v>
      </c>
      <c r="J95">
        <f>IF(Table2[[#This Row],[Mode]]="BOOST",2, IF(Table2[[#This Row],[Mode]]="BUCK", 1,3))</f>
        <v>1</v>
      </c>
      <c r="K95" s="354">
        <f t="shared" si="11"/>
        <v>10.32</v>
      </c>
      <c r="L95" s="4">
        <f>Vout*Table2[[#This Row],[Iout]]/(Table2[[#This Row],[Vin]]*Efficiency)</f>
        <v>6.7204281891168591</v>
      </c>
      <c r="M95" s="711">
        <f>MIN(1/Fsw,CHOOSE(Table2[[#This Row],[Mode Digit]],(Vout+(Rdson2+Rs+Rdcr)*Table2[[#This Row],[Iout]])/(Table2[[#This Row],[Vin]]+(Rs+Rdson2-Rdson1)*Table2[[#This Row],[Iout]])/Fsw,(Vout+(Rdson3+Rdcr)*Table2[[#This Row],[Iin]]-Table2[[#This Row],[Vin]])/(Vout+(Rdson3-Rdson4-Rs)*Table2[[#This Row],[Iin]])/Fsw,t1_Ph_II))</f>
        <v>1.0390477077319426E-6</v>
      </c>
      <c r="N95" s="602">
        <f>CHOOSE(Table2[[#This Row],[Mode Digit]],1/Fsw-Table2[[#This Row],[t1_Ph_II]],1/Fsw-Table2[[#This Row],[t1_Ph_II]],(Vout/Fsw-Table2[[#This Row],[Vin]]*t1_Ph_II)/(Table2[[#This Row],[Vin]]+Vout))</f>
        <v>6.2761895893472403E-7</v>
      </c>
      <c r="O95" s="602">
        <f>1/Fsw-(Table2[[#This Row],[t1_Ph_II]]+Table2[[#This Row],[t2_Ph_I]])</f>
        <v>0</v>
      </c>
      <c r="P9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8.5488959527296426</v>
      </c>
      <c r="Q95" s="4">
        <f>CHOOSE(Table2[[#This Row],[Mode Digit]],Table2[[#This Row],[I_0]]+1/Lf*(Table2[[#This Row],[Vin]]-Vout)*Table2[[#This Row],[t1_Ph_II]],Table2[[#This Row],[I_0]]+1/Lf*Table2[[#This Row],[Vin]]*Table2[[#This Row],[t1_Ph_II]],Table2[[#This Row],[I_0]]+(Table2[[#This Row],[Vin]]-Vout)/L*Table2[[#This Row],[t1_Ph_II]])</f>
        <v>12.091104047270356</v>
      </c>
      <c r="R95" s="4">
        <f>CHOOSE(Table2[[#This Row],[Mode Digit]],0,0,Table2[[#This Row],[I_1]]+Table2[[#This Row],[Vin]]/L*Table2[[#This Row],[t2_Ph_I]])</f>
        <v>0</v>
      </c>
      <c r="S95" s="409">
        <f>Fsw*(Table2[[#This Row],[I_0]]*Table2[[#This Row],[t1_Ph_II]]+Table2[[#This Row],[I_1]]*Table2[[#This Row],[t2_Ph_I]]+Table2[[#This Row],[I_2]]*Table2[[#This Row],[t3_Ph_III]])</f>
        <v>9.8827901267051192</v>
      </c>
      <c r="T95" s="354">
        <f>MIN(1,CHOOSE(Table2[[#This Row],[Mode Digit]],(Vout+(Rdson2+Rs+Rdcr)*Table2[[#This Row],[Iout]])/(Table2[[#This Row],[Vin]]+(Rs+Rdson2-Rdson1)*Table2[[#This Row],[Iout]]),1,Fsw*Table2[[#This Row],[t2_Ph_I]]+Table2[[#This Row],[t1_Ph_II]]))</f>
        <v>0.6234286246391656</v>
      </c>
      <c r="U95" s="354">
        <f>MIN(1,CHOOSE(Table2[[#This Row],[Mode Digit]],0,(Vout+(Rdson3+Rdcr)*Table2[[#This Row],[Iin]]-Table2[[#This Row],[Vin]])/(Vout+(Rdson3-Rdson4-Rs)*Table2[[#This Row],[Iin]]),Fsw*Table2[[#This Row],[t1_Ph_II]]+Table2[[#This Row],[t3_Ph_III]]))</f>
        <v>0</v>
      </c>
      <c r="V95" s="4">
        <f>MAX(Table2[[#This Row],[I_0]:[I_2]])-MIN(Table2[[#This Row],[I_0]:[I_1]])</f>
        <v>3.5422080945407135</v>
      </c>
      <c r="W9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10.370535337295072</v>
      </c>
      <c r="X95" s="354">
        <f>(Table2[[#This Row],[Irms Lf]]^2*Rdcr*(1+Ltc*Ta-Ltc*25))/(1-Table2[[#This Row],[Irms Lf]]^2*Rdcr*Ltc*ThetaCa)</f>
        <v>0.65654132311057689</v>
      </c>
      <c r="Y95" s="354">
        <f>ABS(7.759*10^-3*Fsw^0.9458*(0.00787*Table2[[#This Row],[Ripple Current pk-pk]])^2.304)</f>
        <v>0.59242646036407365</v>
      </c>
      <c r="Z95" s="354">
        <f>Table2[[#This Row],[DCR    Loss]]+Table2[[#This Row],[Core Loss]]</f>
        <v>1.2489677834746504</v>
      </c>
      <c r="AA95" s="4">
        <f>IF(Table2[[#This Row],[Vin]]&gt;Vout, Table2[[#This Row],[Ripple Current pk-pk]]/SQRT(12), SQRT(Table2[[#This Row],[Duty Cycle BOOST Leg]]/(1-Table2[[#This Row],[Duty Cycle BOOST Leg]]))*SQRT(Table2[[#This Row],[Iout]]^2+(Table2[[#This Row],[Ripple Current pk-pk]]^2)/12))</f>
        <v>1.0225473984543763</v>
      </c>
      <c r="AB95" s="354">
        <f>RCoutEsr*Table2[[#This Row],[Irms Cout]]^2</f>
        <v>5.2280159104290645E-3</v>
      </c>
      <c r="AC95" s="354">
        <f>Table2[[#This Row],[Cout ESR Loss]]</f>
        <v>5.2280159104290645E-3</v>
      </c>
      <c r="AD95" s="4">
        <f>IF(Table2[[#This Row],[Vin]]&gt;Vout, SQRT(Table2[[#This Row],[Duty Cycle BUCK Leg]]*(1-Table2[[#This Row],[Duty Cycle BUCK Leg]]))*SQRT(Table2[[#This Row],[Iout]]^2+(Table2[[#This Row],[Ripple Current pk-pk]]^2)/12), Table2[[#This Row],[Ripple Current pk-pk]]/SQRT(12))</f>
        <v>5.0247932551142185</v>
      </c>
      <c r="AE95" s="354">
        <f>RCinEsr*Table2[[#This Row],[Irms Cin]]^2</f>
        <v>5.0497094513282693E-2</v>
      </c>
      <c r="AF95" s="549">
        <f>Table2[[#This Row],[Cin ESR Loss]]</f>
        <v>5.0497094513282693E-2</v>
      </c>
      <c r="AG95" s="354">
        <f>Table2[[#This Row],[Irms Lf]]</f>
        <v>10.370535337295072</v>
      </c>
      <c r="AH95" s="354">
        <f>Rdson1*Table2[[#This Row],[Irms BuCtrl]]^2</f>
        <v>0.4517016133647605</v>
      </c>
      <c r="AI95" s="354">
        <f>CHOOSE(Table2[[#This Row],[Mode Digit]], (Table2[[#This Row],[Vin]]*Table2[[#This Row],[Iout]]/2)*(Fsw)*(Tr_buck+Tf_buck), 0, (Table2[[#This Row],[Vin]]*Table2[[#This Row],[Avg IL]]/2)*(Fsw/1)*(Tr_buck+Tf_buck))</f>
        <v>2.4151510016569007</v>
      </c>
      <c r="AJ95">
        <f>IF(Table2[[#This Row],[Vin]]&gt;Vout, IF(Table2[[#This Row],[Iout]]&gt;Table2[[#This Row],[Ripple Current pk-pk]]/2,0,ABS(Table2[[#This Row],[Iout]]-Table2[[#This Row],[Ripple Current pk-pk]]/2)*Vsd_Q1*Deadtime*Fsw),0)</f>
        <v>0</v>
      </c>
      <c r="AK95" s="354">
        <f>(Table2[[#This Row],[Dead Time Loss BuCtrl]]+Table2[[#This Row],[Transition Loss BuCtrl]]+Table2[[#This Row],[RDS(on) Loss BuCtrl]]*(1+RdsonTopTc*Ta-RdsonTopTc*25))/(1-Table2[[#This Row],[RDS(on) Loss BuCtrl]]*RdsonTopTc*ThetaJA_Q1)</f>
        <v>3.2154324624507211</v>
      </c>
      <c r="AL95" s="354">
        <f>Table2[[#This Row],[Irms Lf]]</f>
        <v>10.370535337295072</v>
      </c>
      <c r="AM95" s="354">
        <f>Rdson2*Table2[[#This Row],[Irms BuSync]]^2</f>
        <v>0.4517016133647605</v>
      </c>
      <c r="AN9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0.49653942857142858</v>
      </c>
      <c r="AO95" s="354">
        <f>(Table2[[#This Row],[Deadtime Loss BuSync]]+Table2[[#This Row],[RDS(on) Loss BuSync]]*(1+RdsonBotTc*Ta-RdsonBotTc*25))/(1-Table2[[#This Row],[RDS(on) Loss BuSync]]*RdsonBotTc*ThetaJA_Q2)</f>
        <v>1.0635374181754649</v>
      </c>
      <c r="AP95" s="354">
        <f>Table2[[#This Row],[Irms Lf]]</f>
        <v>10.370535337295072</v>
      </c>
      <c r="AQ95" s="354">
        <f>Rdson4*Table2[[#This Row],[Irms BoCtlr]]^2</f>
        <v>0.4517016133647605</v>
      </c>
      <c r="AR95" s="354">
        <f>CHOOSE(Table2[[#This Row],[Mode Digit]], 0, (Vout*Table2[[#This Row],[Iin]]/2)*(Fsw)*(Tr_boost+Tf_boost), (Vout*Iout/2)*(Fsw/1)*(Tr_boost+Tf_boost))</f>
        <v>0</v>
      </c>
      <c r="AS95" s="354">
        <f>IF(Table2[[#This Row],[Vin]]&gt;Vout, 0, IF(Table2[[#This Row],[Iin]]&gt;Table2[[#This Row],[Ripple Current pk-pk]]/2,0,ABS(Table2[[#This Row],[Iin]]-Table2[[#This Row],[Ripple Current pk-pk]]/2)*Vsd_Q4*Deadtime*Fsw))</f>
        <v>0</v>
      </c>
      <c r="AT95" s="354">
        <f>(Table2[[#This Row],[Dead Time Loss BoCtlr]]+Table2[[#This Row],[Transition Loss BoCtlr]]+Table2[[#This Row],[RDS(on) Loss BoCtlr]]*(1+RdsonTopTc*Ta-RdsonTopTc*25))/(1-Table2[[#This Row],[RDS(on) Loss BoCtlr]]*RdsonTopTc*ThetaJA_Q4)</f>
        <v>0.50662389246802675</v>
      </c>
      <c r="AU95" s="354">
        <f>Table2[[#This Row],[Irms Lf]]</f>
        <v>10.370535337295072</v>
      </c>
      <c r="AV95" s="354">
        <f>Rdson3*Table2[[#This Row],[Irms BoSync]]^2</f>
        <v>0.4517016133647605</v>
      </c>
      <c r="AW9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5" s="354">
        <f>(Table2[[#This Row],[Deadtime Loss BoSync]]+Table2[[#This Row],[RDS(on) Loss BoSync]]*(1+RdsonBotTc*Ta-RdsonBotTc*25))/(1-Table2[[#This Row],[RDS(on) Loss BoSync]]*RdsonBotTc*ThetaJA_Q3)</f>
        <v>0.50662389246802675</v>
      </c>
      <c r="AY95" s="354">
        <f>CHOOSE(Table2[[#This Row],[Mode Digit]], Rdson3*Table2[[#This Row],[Irms Lf]]^2, Rdson1*Table2[[#This Row],[Irms Lf]]^2, 0)</f>
        <v>0.4517016133647605</v>
      </c>
      <c r="AZ95" s="354">
        <f>CHOOSE(Table2[[#This Row],[Mode Digit]], 2*Deadtime*Fsw*IF(VfdSky_Q2&gt;0,VfdSky_Q2,0)*Table2[[#This Row],[Iout]], 2*Deadtime*Fsw*IF(VfdSky_Q3&gt;0,VfdSky_Q3,0)*Table2[[#This Row],[Iin]], 2*Deadtime*Fsw*IF(VfdSky_Q2&gt;0,VfdSky_Q2,0)*Table2[[#This Row],[Iout]]+2*Deadtime*Fsw*IF(VfdSky_Q3&gt;0,VfdSky_Q3,0)*Table2[[#This Row],[Iin]])</f>
        <v>0</v>
      </c>
      <c r="BA9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0.24310468992000003</v>
      </c>
      <c r="BB9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0.24310468992000003</v>
      </c>
      <c r="BC95" s="354">
        <f>CHOOSE(Table2[[#This Row],[Mode Digit]], Rs*Table2[[#This Row],[Irms BuSync]]^2, Rs*Table2[[#This Row],[Irms BoCtlr]]^2, Rs*(Table2[[#This Row],[Irms BuSync]]^2+Table2[[#This Row],[Irms BoCtlr]]^2))</f>
        <v>0.26887000795521454</v>
      </c>
      <c r="BD95" s="354">
        <f t="shared" si="9"/>
        <v>1.44</v>
      </c>
      <c r="BE95" s="354">
        <f>IF(Vout&gt;8, Iq*Vout, Iq*Table2[[#This Row],[Vin]])</f>
        <v>4.3799999999999999E-2</v>
      </c>
      <c r="BF95" s="354">
        <f>CHOOSE(Table2[[#This Row],[Mode Digit]], (Qg_Q1+Qg_Q2)*Fsw, (Qg_Q3+Qg_Q4)*Fsw, (Qg_Q1+Qg_Q2+Qg_Q3+Qg_Q4)*Fsw)*IF(Vout&gt;8, Vout, Table2[[#This Row],[Vin]])</f>
        <v>0.47303999999999996</v>
      </c>
      <c r="BG95" s="354">
        <f t="shared" si="10"/>
        <v>0.57269042016806726</v>
      </c>
      <c r="BH95" s="354">
        <f>Table2[[#This Row],[IQ Loss]]+Table2[[#This Row],[Switching Current Loss]]</f>
        <v>0.51683999999999997</v>
      </c>
      <c r="BI9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9.308829947255818</v>
      </c>
      <c r="BJ95">
        <f>Vout*Table2[[#This Row],[Iout]]</f>
        <v>150.672</v>
      </c>
      <c r="BK95" s="550">
        <f>Table2[[#This Row],[Pout]]/(Table2[[#This Row],[Pout]]+Table2[[#This Row],[Total Loss]])</f>
        <v>0.94181284126151332</v>
      </c>
      <c r="BL95" s="559">
        <f>IF(Table2[[#This Row],[Vin]]&gt;Vout,ThetaJA_Q1*(Table2[[#This Row],[Total Control Bu MOSFET Loss]]+Table2[[#This Row],[Reverse Recovery Loss MOSFET D BUCK]]),ThetaJA_Q4*(Table2[[#This Row],[Total Control Bo MOSFET Loss]]+Table2[[#This Row],[Reverse Recovery Loss MOSFET D BOOST]]))</f>
        <v>207.51222914224326</v>
      </c>
      <c r="BM95" s="559">
        <f>IF(Table2[[#This Row],[Vin]]&gt;Vout, Table2[[#This Row],[Total Sync Bu MOSFET Loss]]*ThetaJA_Q2, ThetaJA_Q3*Table2[[#This Row],[Total Sync Bo MOSFET Loss]])</f>
        <v>63.812245090527895</v>
      </c>
      <c r="BN95" s="9"/>
      <c r="BO95" s="4">
        <f>Table2[[#This Row],[EFF, h]]*100</f>
        <v>94.181284126151326</v>
      </c>
      <c r="BP95" s="354">
        <f>Table2[[#This Row],[Total Inductor Loss]]</f>
        <v>1.2489677834746504</v>
      </c>
      <c r="BQ95" s="354">
        <f>Table2[[#This Row],[Total Control Bu MOSFET Loss]]+Table2[[#This Row],[Total Sync Bu MOSFET Loss]]+Table2[[#This Row],[Total Control Bo MOSFET Loss]]+Table2[[#This Row],[Total Sync Bo MOSFET Loss]]+Table2[[#This Row],[Reverse Recovery Loss MOSFET D BUCK]]+Table2[[#This Row],[Reverse Recovery Loss MOSFET D BOOST]]</f>
        <v>5.7784270454022399</v>
      </c>
      <c r="BR95" s="354">
        <f xml:space="preserve"> Table2[[#This Row],[Total Control Bu MOSFET Loss]]+Table2[[#This Row],[Reverse Recovery Loss MOSFET D BUCK]]*0.66</f>
        <v>3.3758815577979213</v>
      </c>
      <c r="BS95" s="354">
        <f>Table2[[#This Row],[Total Sync Bu MOSFET Loss]]+Table2[[#This Row],[Reverse Recovery Loss MOSFET D BUCK]]*0.33</f>
        <v>1.143761965849065</v>
      </c>
      <c r="BT95" s="354">
        <f xml:space="preserve"> Table2[[#This Row],[Total Control Bo MOSFET Loss]]+Table2[[#This Row],[Reverse Recovery Loss MOSFET D BOOST]]*0.66</f>
        <v>0.66707298781522684</v>
      </c>
      <c r="BU95" s="354">
        <f xml:space="preserve"> Table2[[#This Row],[Total Sync Bo MOSFET Loss]]+Table2[[#This Row],[Reverse Recovery Loss MOSFET D BOOST]]*0.33</f>
        <v>0.58684844014162674</v>
      </c>
      <c r="BV95" s="354">
        <f>Table2[[#This Row],[Isense Shunt Loss]]</f>
        <v>0.26887000795521454</v>
      </c>
      <c r="CB95" s="18"/>
      <c r="CC95" s="19"/>
    </row>
    <row r="96" spans="1:81" x14ac:dyDescent="0.2">
      <c r="G96">
        <v>87</v>
      </c>
      <c r="H96" s="555">
        <f t="shared" si="8"/>
        <v>23.6</v>
      </c>
      <c r="I96" s="4" t="str">
        <f>IF(Mode = 2,IF(Table2[[#This Row],[Vin]]&gt;Vout, "BUCK","BOOST"),IF(Table2[[#This Row],[Vin]]&gt;VIN_BB_to_buck, "BUCK", IF(Table2[[#This Row],[Vin]]&lt;=VIN_boost_to_BB,"BOOST","BUCK-BST")))</f>
        <v>BUCK</v>
      </c>
      <c r="J96">
        <f>IF(Table2[[#This Row],[Mode]]="BOOST",2, IF(Table2[[#This Row],[Mode]]="BUCK", 1,3))</f>
        <v>1</v>
      </c>
      <c r="K96" s="354">
        <f t="shared" si="11"/>
        <v>10.44</v>
      </c>
      <c r="L96" s="4">
        <f>Vout*Table2[[#This Row],[Iout]]/(Table2[[#This Row],[Vin]]*Efficiency)</f>
        <v>6.7985727029437983</v>
      </c>
      <c r="M96" s="711">
        <f>MIN(1/Fsw,CHOOSE(Table2[[#This Row],[Mode Digit]],(Vout+(Rdson2+Rs+Rdcr)*Table2[[#This Row],[Iout]])/(Table2[[#This Row],[Vin]]+(Rs+Rdson2-Rdson1)*Table2[[#This Row],[Iout]])/Fsw,(Vout+(Rdson3+Rdcr)*Table2[[#This Row],[Iin]]-Table2[[#This Row],[Vin]])/(Vout+(Rdson3-Rdson4-Rs)*Table2[[#This Row],[Iin]])/Fsw,t1_Ph_II))</f>
        <v>1.0391403292686196E-6</v>
      </c>
      <c r="N96" s="602">
        <f>CHOOSE(Table2[[#This Row],[Mode Digit]],1/Fsw-Table2[[#This Row],[t1_Ph_II]],1/Fsw-Table2[[#This Row],[t1_Ph_II]],(Vout/Fsw-Table2[[#This Row],[Vin]]*t1_Ph_II)/(Table2[[#This Row],[Vin]]+Vout))</f>
        <v>6.275263373980471E-7</v>
      </c>
      <c r="O96" s="602">
        <f>1/Fsw-(Table2[[#This Row],[t1_Ph_II]]+Table2[[#This Row],[t2_Ph_I]])</f>
        <v>0</v>
      </c>
      <c r="P9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8.6687380751103067</v>
      </c>
      <c r="Q96" s="4">
        <f>CHOOSE(Table2[[#This Row],[Mode Digit]],Table2[[#This Row],[I_0]]+1/Lf*(Table2[[#This Row],[Vin]]-Vout)*Table2[[#This Row],[t1_Ph_II]],Table2[[#This Row],[I_0]]+1/Lf*Table2[[#This Row],[Vin]]*Table2[[#This Row],[t1_Ph_II]],Table2[[#This Row],[I_0]]+(Table2[[#This Row],[Vin]]-Vout)/L*Table2[[#This Row],[t1_Ph_II]])</f>
        <v>12.211261924889692</v>
      </c>
      <c r="R96" s="4">
        <f>CHOOSE(Table2[[#This Row],[Mode Digit]],0,0,Table2[[#This Row],[I_1]]+Table2[[#This Row],[Vin]]/L*Table2[[#This Row],[t2_Ph_I]])</f>
        <v>0</v>
      </c>
      <c r="S96" s="409">
        <f>Fsw*(Table2[[#This Row],[I_0]]*Table2[[#This Row],[t1_Ph_II]]+Table2[[#This Row],[I_1]]*Table2[[#This Row],[t2_Ph_I]]+Table2[[#This Row],[I_2]]*Table2[[#This Row],[t3_Ph_III]])</f>
        <v>10.002554285068678</v>
      </c>
      <c r="T96" s="354">
        <f>MIN(1,CHOOSE(Table2[[#This Row],[Mode Digit]],(Vout+(Rdson2+Rs+Rdcr)*Table2[[#This Row],[Iout]])/(Table2[[#This Row],[Vin]]+(Rs+Rdson2-Rdson1)*Table2[[#This Row],[Iout]]),1,Fsw*Table2[[#This Row],[t2_Ph_I]]+Table2[[#This Row],[t1_Ph_II]]))</f>
        <v>0.62348419756117168</v>
      </c>
      <c r="U96" s="354">
        <f>MIN(1,CHOOSE(Table2[[#This Row],[Mode Digit]],0,(Vout+(Rdson3+Rdcr)*Table2[[#This Row],[Iin]]-Table2[[#This Row],[Vin]])/(Vout+(Rdson3-Rdson4-Rs)*Table2[[#This Row],[Iin]]),Fsw*Table2[[#This Row],[t1_Ph_II]]+Table2[[#This Row],[t3_Ph_III]]))</f>
        <v>0</v>
      </c>
      <c r="V96" s="4">
        <f>MAX(Table2[[#This Row],[I_0]:[I_2]])-MIN(Table2[[#This Row],[I_0]:[I_1]])</f>
        <v>3.5425238497793856</v>
      </c>
      <c r="W9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10.489966139229811</v>
      </c>
      <c r="X96" s="354">
        <f>(Table2[[#This Row],[Irms Lf]]^2*Rdcr*(1+Ltc*Ta-Ltc*25))/(1-Table2[[#This Row],[Irms Lf]]^2*Rdcr*Ltc*ThetaCa)</f>
        <v>0.67256865629633777</v>
      </c>
      <c r="Y96" s="354">
        <f>ABS(7.759*10^-3*Fsw^0.9458*(0.00787*Table2[[#This Row],[Ripple Current pk-pk]])^2.304)</f>
        <v>0.59254814021153501</v>
      </c>
      <c r="Z96" s="354">
        <f>Table2[[#This Row],[DCR    Loss]]+Table2[[#This Row],[Core Loss]]</f>
        <v>1.2651167965078729</v>
      </c>
      <c r="AA96" s="4">
        <f>IF(Table2[[#This Row],[Vin]]&gt;Vout, Table2[[#This Row],[Ripple Current pk-pk]]/SQRT(12), SQRT(Table2[[#This Row],[Duty Cycle BOOST Leg]]/(1-Table2[[#This Row],[Duty Cycle BOOST Leg]]))*SQRT(Table2[[#This Row],[Iout]]^2+(Table2[[#This Row],[Ripple Current pk-pk]]^2)/12))</f>
        <v>1.0226385491403989</v>
      </c>
      <c r="AB96" s="354">
        <f>RCoutEsr*Table2[[#This Row],[Irms Cout]]^2</f>
        <v>5.2289480109398998E-3</v>
      </c>
      <c r="AC96" s="354">
        <f>Table2[[#This Row],[Cout ESR Loss]]</f>
        <v>5.2289480109398998E-3</v>
      </c>
      <c r="AD96" s="4">
        <f>IF(Table2[[#This Row],[Vin]]&gt;Vout, SQRT(Table2[[#This Row],[Duty Cycle BUCK Leg]]*(1-Table2[[#This Row],[Duty Cycle BUCK Leg]]))*SQRT(Table2[[#This Row],[Iout]]^2+(Table2[[#This Row],[Ripple Current pk-pk]]^2)/12), Table2[[#This Row],[Ripple Current pk-pk]]/SQRT(12))</f>
        <v>5.0825120362884402</v>
      </c>
      <c r="AE96" s="354">
        <f>RCinEsr*Table2[[#This Row],[Irms Cin]]^2</f>
        <v>5.1663857198033736E-2</v>
      </c>
      <c r="AF96" s="549">
        <f>Table2[[#This Row],[Cin ESR Loss]]</f>
        <v>5.1663857198033736E-2</v>
      </c>
      <c r="AG96" s="354">
        <f>Table2[[#This Row],[Irms Lf]]</f>
        <v>10.489966139229811</v>
      </c>
      <c r="AH96" s="354">
        <f>Rdson1*Table2[[#This Row],[Irms BuCtrl]]^2</f>
        <v>0.46216543632918961</v>
      </c>
      <c r="AI96" s="354">
        <f>CHOOSE(Table2[[#This Row],[Mode Digit]], (Table2[[#This Row],[Vin]]*Table2[[#This Row],[Iout]]/2)*(Fsw)*(Tr_buck+Tf_buck), 0, (Table2[[#This Row],[Vin]]*Table2[[#This Row],[Avg IL]]/2)*(Fsw/1)*(Tr_buck+Tf_buck))</f>
        <v>2.4432341528389578</v>
      </c>
      <c r="AJ96">
        <f>IF(Table2[[#This Row],[Vin]]&gt;Vout, IF(Table2[[#This Row],[Iout]]&gt;Table2[[#This Row],[Ripple Current pk-pk]]/2,0,ABS(Table2[[#This Row],[Iout]]-Table2[[#This Row],[Ripple Current pk-pk]]/2)*Vsd_Q1*Deadtime*Fsw),0)</f>
        <v>0</v>
      </c>
      <c r="AK96" s="354">
        <f>(Table2[[#This Row],[Dead Time Loss BuCtrl]]+Table2[[#This Row],[Transition Loss BuCtrl]]+Table2[[#This Row],[RDS(on) Loss BuCtrl]]*(1+RdsonTopTc*Ta-RdsonTopTc*25))/(1-Table2[[#This Row],[RDS(on) Loss BuCtrl]]*RdsonTopTc*ThetaJA_Q1)</f>
        <v>3.2678708600215836</v>
      </c>
      <c r="AL96" s="354">
        <f>Table2[[#This Row],[Irms Lf]]</f>
        <v>10.489966139229811</v>
      </c>
      <c r="AM96" s="354">
        <f>Rdson2*Table2[[#This Row],[Irms BuSync]]^2</f>
        <v>0.46216543632918961</v>
      </c>
      <c r="AN9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0.50231314285714279</v>
      </c>
      <c r="AO96" s="354">
        <f>(Table2[[#This Row],[Deadtime Loss BuSync]]+Table2[[#This Row],[RDS(on) Loss BuSync]]*(1+RdsonBotTc*Ta-RdsonBotTc*25))/(1-Table2[[#This Row],[RDS(on) Loss BuSync]]*RdsonBotTc*ThetaJA_Q2)</f>
        <v>1.0848048081883406</v>
      </c>
      <c r="AP96" s="354">
        <f>Table2[[#This Row],[Irms Lf]]</f>
        <v>10.489966139229811</v>
      </c>
      <c r="AQ96" s="354">
        <f>Rdson4*Table2[[#This Row],[Irms BoCtlr]]^2</f>
        <v>0.46216543632918961</v>
      </c>
      <c r="AR96" s="354">
        <f>CHOOSE(Table2[[#This Row],[Mode Digit]], 0, (Vout*Table2[[#This Row],[Iin]]/2)*(Fsw)*(Tr_boost+Tf_boost), (Vout*Iout/2)*(Fsw/1)*(Tr_boost+Tf_boost))</f>
        <v>0</v>
      </c>
      <c r="AS96" s="354">
        <f>IF(Table2[[#This Row],[Vin]]&gt;Vout, 0, IF(Table2[[#This Row],[Iin]]&gt;Table2[[#This Row],[Ripple Current pk-pk]]/2,0,ABS(Table2[[#This Row],[Iin]]-Table2[[#This Row],[Ripple Current pk-pk]]/2)*Vsd_Q4*Deadtime*Fsw))</f>
        <v>0</v>
      </c>
      <c r="AT96" s="354">
        <f>(Table2[[#This Row],[Dead Time Loss BoCtlr]]+Table2[[#This Row],[Transition Loss BoCtlr]]+Table2[[#This Row],[RDS(on) Loss BoCtlr]]*(1+RdsonTopTc*Ta-RdsonTopTc*25))/(1-Table2[[#This Row],[RDS(on) Loss BoCtlr]]*RdsonTopTc*ThetaJA_Q4)</f>
        <v>0.51982418099044903</v>
      </c>
      <c r="AU96" s="354">
        <f>Table2[[#This Row],[Irms Lf]]</f>
        <v>10.489966139229811</v>
      </c>
      <c r="AV96" s="354">
        <f>Rdson3*Table2[[#This Row],[Irms BoSync]]^2</f>
        <v>0.46216543632918961</v>
      </c>
      <c r="AW9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6" s="354">
        <f>(Table2[[#This Row],[Deadtime Loss BoSync]]+Table2[[#This Row],[RDS(on) Loss BoSync]]*(1+RdsonBotTc*Ta-RdsonBotTc*25))/(1-Table2[[#This Row],[RDS(on) Loss BoSync]]*RdsonBotTc*ThetaJA_Q3)</f>
        <v>0.51982418099044903</v>
      </c>
      <c r="AY96" s="354">
        <f>CHOOSE(Table2[[#This Row],[Mode Digit]], Rdson3*Table2[[#This Row],[Irms Lf]]^2, Rdson1*Table2[[#This Row],[Irms Lf]]^2, 0)</f>
        <v>0.46216543632918961</v>
      </c>
      <c r="AZ96" s="354">
        <f>CHOOSE(Table2[[#This Row],[Mode Digit]], 2*Deadtime*Fsw*IF(VfdSky_Q2&gt;0,VfdSky_Q2,0)*Table2[[#This Row],[Iout]], 2*Deadtime*Fsw*IF(VfdSky_Q3&gt;0,VfdSky_Q3,0)*Table2[[#This Row],[Iin]], 2*Deadtime*Fsw*IF(VfdSky_Q2&gt;0,VfdSky_Q2,0)*Table2[[#This Row],[Iout]]+2*Deadtime*Fsw*IF(VfdSky_Q3&gt;0,VfdSky_Q3,0)*Table2[[#This Row],[Iin]])</f>
        <v>0</v>
      </c>
      <c r="BA9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0.24592622687999999</v>
      </c>
      <c r="BB9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0.24592622687999999</v>
      </c>
      <c r="BC96" s="354">
        <f>CHOOSE(Table2[[#This Row],[Mode Digit]], Rs*Table2[[#This Row],[Irms BuSync]]^2, Rs*Table2[[#This Row],[Irms BoCtlr]]^2, Rs*(Table2[[#This Row],[Irms BuSync]]^2+Table2[[#This Row],[Irms BoCtlr]]^2))</f>
        <v>0.27509847400546994</v>
      </c>
      <c r="BD96" s="354">
        <f t="shared" si="9"/>
        <v>1.44</v>
      </c>
      <c r="BE96" s="354">
        <f>IF(Vout&gt;8, Iq*Vout, Iq*Table2[[#This Row],[Vin]])</f>
        <v>4.3799999999999999E-2</v>
      </c>
      <c r="BF96" s="354">
        <f>CHOOSE(Table2[[#This Row],[Mode Digit]], (Qg_Q1+Qg_Q2)*Fsw, (Qg_Q3+Qg_Q4)*Fsw, (Qg_Q1+Qg_Q2+Qg_Q3+Qg_Q4)*Fsw)*IF(Vout&gt;8, Vout, Table2[[#This Row],[Vin]])</f>
        <v>0.47303999999999996</v>
      </c>
      <c r="BG96" s="354">
        <f t="shared" si="10"/>
        <v>0.57269042016806726</v>
      </c>
      <c r="BH96" s="354">
        <f>Table2[[#This Row],[IQ Loss]]+Table2[[#This Row],[Switching Current Loss]]</f>
        <v>0.51683999999999997</v>
      </c>
      <c r="BI9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9.4381245596731382</v>
      </c>
      <c r="BJ96">
        <f>Vout*Table2[[#This Row],[Iout]]</f>
        <v>152.42399999999998</v>
      </c>
      <c r="BK96" s="550">
        <f>Table2[[#This Row],[Pout]]/(Table2[[#This Row],[Pout]]+Table2[[#This Row],[Total Loss]])</f>
        <v>0.9416903455002309</v>
      </c>
      <c r="BL96" s="559">
        <f>IF(Table2[[#This Row],[Vin]]&gt;Vout,ThetaJA_Q1*(Table2[[#This Row],[Total Control Bu MOSFET Loss]]+Table2[[#This Row],[Reverse Recovery Loss MOSFET D BUCK]]),ThetaJA_Q4*(Table2[[#This Row],[Total Control Bo MOSFET Loss]]+Table2[[#This Row],[Reverse Recovery Loss MOSFET D BOOST]]))</f>
        <v>210.82782521409501</v>
      </c>
      <c r="BM96" s="559">
        <f>IF(Table2[[#This Row],[Vin]]&gt;Vout, Table2[[#This Row],[Total Sync Bu MOSFET Loss]]*ThetaJA_Q2, ThetaJA_Q3*Table2[[#This Row],[Total Sync Bo MOSFET Loss]])</f>
        <v>65.088288491300432</v>
      </c>
      <c r="BN96" s="9"/>
      <c r="BO96" s="4">
        <f>Table2[[#This Row],[EFF, h]]*100</f>
        <v>94.169034550023085</v>
      </c>
      <c r="BP96" s="354">
        <f>Table2[[#This Row],[Total Inductor Loss]]</f>
        <v>1.2651167965078729</v>
      </c>
      <c r="BQ96" s="354">
        <f>Table2[[#This Row],[Total Control Bu MOSFET Loss]]+Table2[[#This Row],[Total Sync Bu MOSFET Loss]]+Table2[[#This Row],[Total Control Bo MOSFET Loss]]+Table2[[#This Row],[Total Sync Bo MOSFET Loss]]+Table2[[#This Row],[Reverse Recovery Loss MOSFET D BUCK]]+Table2[[#This Row],[Reverse Recovery Loss MOSFET D BOOST]]</f>
        <v>5.8841764839508226</v>
      </c>
      <c r="BR96" s="354">
        <f xml:space="preserve"> Table2[[#This Row],[Total Control Bu MOSFET Loss]]+Table2[[#This Row],[Reverse Recovery Loss MOSFET D BUCK]]*0.66</f>
        <v>3.4301821697623835</v>
      </c>
      <c r="BS96" s="354">
        <f>Table2[[#This Row],[Total Sync Bu MOSFET Loss]]+Table2[[#This Row],[Reverse Recovery Loss MOSFET D BUCK]]*0.33</f>
        <v>1.1659604630587406</v>
      </c>
      <c r="BT96" s="354">
        <f xml:space="preserve"> Table2[[#This Row],[Total Control Bo MOSFET Loss]]+Table2[[#This Row],[Reverse Recovery Loss MOSFET D BOOST]]*0.66</f>
        <v>0.68213549073124902</v>
      </c>
      <c r="BU96" s="354">
        <f xml:space="preserve"> Table2[[#This Row],[Total Sync Bo MOSFET Loss]]+Table2[[#This Row],[Reverse Recovery Loss MOSFET D BOOST]]*0.33</f>
        <v>0.60097983586084902</v>
      </c>
      <c r="BV96" s="354">
        <f>Table2[[#This Row],[Isense Shunt Loss]]</f>
        <v>0.27509847400546994</v>
      </c>
      <c r="CB96" s="18"/>
      <c r="CC96" s="19"/>
    </row>
    <row r="97" spans="7:81" x14ac:dyDescent="0.2">
      <c r="G97">
        <v>88</v>
      </c>
      <c r="H97" s="555">
        <f t="shared" si="8"/>
        <v>23.6</v>
      </c>
      <c r="I97" s="4" t="str">
        <f>IF(Mode = 2,IF(Table2[[#This Row],[Vin]]&gt;Vout, "BUCK","BOOST"),IF(Table2[[#This Row],[Vin]]&gt;VIN_BB_to_buck, "BUCK", IF(Table2[[#This Row],[Vin]]&lt;=VIN_boost_to_BB,"BOOST","BUCK-BST")))</f>
        <v>BUCK</v>
      </c>
      <c r="J97">
        <f>IF(Table2[[#This Row],[Mode]]="BOOST",2, IF(Table2[[#This Row],[Mode]]="BUCK", 1,3))</f>
        <v>1</v>
      </c>
      <c r="K97" s="354">
        <f t="shared" si="11"/>
        <v>10.56</v>
      </c>
      <c r="L97" s="4">
        <f>Vout*Table2[[#This Row],[Iout]]/(Table2[[#This Row],[Vin]]*Efficiency)</f>
        <v>6.8767172167707402</v>
      </c>
      <c r="M97" s="711">
        <f>MIN(1/Fsw,CHOOSE(Table2[[#This Row],[Mode Digit]],(Vout+(Rdson2+Rs+Rdcr)*Table2[[#This Row],[Iout]])/(Table2[[#This Row],[Vin]]+(Rs+Rdson2-Rdson1)*Table2[[#This Row],[Iout]])/Fsw,(Vout+(Rdson3+Rdcr)*Table2[[#This Row],[Iin]]-Table2[[#This Row],[Vin]])/(Vout+(Rdson3-Rdson4-Rs)*Table2[[#This Row],[Iin]])/Fsw,t1_Ph_II))</f>
        <v>1.0392329484531427E-6</v>
      </c>
      <c r="N97" s="602">
        <f>CHOOSE(Table2[[#This Row],[Mode Digit]],1/Fsw-Table2[[#This Row],[t1_Ph_II]],1/Fsw-Table2[[#This Row],[t1_Ph_II]],(Vout/Fsw-Table2[[#This Row],[Vin]]*t1_Ph_II)/(Table2[[#This Row],[Vin]]+Vout))</f>
        <v>6.2743371821352392E-7</v>
      </c>
      <c r="O97" s="602">
        <f>1/Fsw-(Table2[[#This Row],[t1_Ph_II]]+Table2[[#This Row],[t2_Ph_I]])</f>
        <v>0</v>
      </c>
      <c r="P9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8.7885802015003254</v>
      </c>
      <c r="Q97" s="4">
        <f>CHOOSE(Table2[[#This Row],[Mode Digit]],Table2[[#This Row],[I_0]]+1/Lf*(Table2[[#This Row],[Vin]]-Vout)*Table2[[#This Row],[t1_Ph_II]],Table2[[#This Row],[I_0]]+1/Lf*Table2[[#This Row],[Vin]]*Table2[[#This Row],[t1_Ph_II]],Table2[[#This Row],[I_0]]+(Table2[[#This Row],[Vin]]-Vout)/L*Table2[[#This Row],[t1_Ph_II]])</f>
        <v>12.331419798499676</v>
      </c>
      <c r="R97" s="4">
        <f>CHOOSE(Table2[[#This Row],[Mode Digit]],0,0,Table2[[#This Row],[I_1]]+Table2[[#This Row],[Vin]]/L*Table2[[#This Row],[t2_Ph_I]])</f>
        <v>0</v>
      </c>
      <c r="S97" s="409">
        <f>Fsw*(Table2[[#This Row],[I_0]]*Table2[[#This Row],[t1_Ph_II]]+Table2[[#This Row],[I_1]]*Table2[[#This Row],[t2_Ph_I]]+Table2[[#This Row],[I_2]]*Table2[[#This Row],[t3_Ph_III]])</f>
        <v>10.122318414327969</v>
      </c>
      <c r="T97" s="354">
        <f>MIN(1,CHOOSE(Table2[[#This Row],[Mode Digit]],(Vout+(Rdson2+Rs+Rdcr)*Table2[[#This Row],[Iout]])/(Table2[[#This Row],[Vin]]+(Rs+Rdson2-Rdson1)*Table2[[#This Row],[Iout]]),1,Fsw*Table2[[#This Row],[t2_Ph_I]]+Table2[[#This Row],[t1_Ph_II]]))</f>
        <v>0.62353976907188569</v>
      </c>
      <c r="U97" s="354">
        <f>MIN(1,CHOOSE(Table2[[#This Row],[Mode Digit]],0,(Vout+(Rdson3+Rdcr)*Table2[[#This Row],[Iin]]-Table2[[#This Row],[Vin]])/(Vout+(Rdson3-Rdson4-Rs)*Table2[[#This Row],[Iin]]),Fsw*Table2[[#This Row],[t1_Ph_II]]+Table2[[#This Row],[t3_Ph_III]]))</f>
        <v>0</v>
      </c>
      <c r="V97" s="4">
        <f>MAX(Table2[[#This Row],[I_0]:[I_2]])-MIN(Table2[[#This Row],[I_0]:[I_1]])</f>
        <v>3.5428395969993502</v>
      </c>
      <c r="W9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10.609409787267726</v>
      </c>
      <c r="X97" s="354">
        <f>(Table2[[#This Row],[Irms Lf]]^2*Rdcr*(1+Ltc*Ta-Ltc*25))/(1-Table2[[#This Row],[Irms Lf]]^2*Rdcr*Ltc*ThetaCa)</f>
        <v>0.688821040589781</v>
      </c>
      <c r="Y97" s="354">
        <f>ABS(7.759*10^-3*Fsw^0.9458*(0.00787*Table2[[#This Row],[Ripple Current pk-pk]])^2.304)</f>
        <v>0.59266983111193583</v>
      </c>
      <c r="Z97" s="354">
        <f>Table2[[#This Row],[DCR    Loss]]+Table2[[#This Row],[Core Loss]]</f>
        <v>1.2814908717017168</v>
      </c>
      <c r="AA97" s="4">
        <f>IF(Table2[[#This Row],[Vin]]&gt;Vout, Table2[[#This Row],[Ripple Current pk-pk]]/SQRT(12), SQRT(Table2[[#This Row],[Duty Cycle BOOST Leg]]/(1-Table2[[#This Row],[Duty Cycle BOOST Leg]]))*SQRT(Table2[[#This Row],[Iout]]^2+(Table2[[#This Row],[Ripple Current pk-pk]]^2)/12))</f>
        <v>1.02272969751162</v>
      </c>
      <c r="AB97" s="354">
        <f>RCoutEsr*Table2[[#This Row],[Irms Cout]]^2</f>
        <v>5.2298801708610485E-3</v>
      </c>
      <c r="AC97" s="354">
        <f>Table2[[#This Row],[Cout ESR Loss]]</f>
        <v>5.2298801708610485E-3</v>
      </c>
      <c r="AD97" s="4">
        <f>IF(Table2[[#This Row],[Vin]]&gt;Vout, SQRT(Table2[[#This Row],[Duty Cycle BUCK Leg]]*(1-Table2[[#This Row],[Duty Cycle BUCK Leg]]))*SQRT(Table2[[#This Row],[Iout]]^2+(Table2[[#This Row],[Ripple Current pk-pk]]^2)/12), Table2[[#This Row],[Ripple Current pk-pk]]/SQRT(12))</f>
        <v>5.1402335908649048</v>
      </c>
      <c r="AE97" s="354">
        <f>RCinEsr*Table2[[#This Row],[Irms Cin]]^2</f>
        <v>5.2844002737311824E-2</v>
      </c>
      <c r="AF97" s="549">
        <f>Table2[[#This Row],[Cin ESR Loss]]</f>
        <v>5.2844002737311824E-2</v>
      </c>
      <c r="AG97" s="354">
        <f>Table2[[#This Row],[Irms Lf]]</f>
        <v>10.609409787267726</v>
      </c>
      <c r="AH97" s="354">
        <f>Rdson1*Table2[[#This Row],[Irms BuCtrl]]^2</f>
        <v>0.47275021934352335</v>
      </c>
      <c r="AI97" s="354">
        <f>CHOOSE(Table2[[#This Row],[Mode Digit]], (Table2[[#This Row],[Vin]]*Table2[[#This Row],[Iout]]/2)*(Fsw)*(Tr_buck+Tf_buck), 0, (Table2[[#This Row],[Vin]]*Table2[[#This Row],[Avg IL]]/2)*(Fsw/1)*(Tr_buck+Tf_buck))</f>
        <v>2.4713173040210155</v>
      </c>
      <c r="AJ97">
        <f>IF(Table2[[#This Row],[Vin]]&gt;Vout, IF(Table2[[#This Row],[Iout]]&gt;Table2[[#This Row],[Ripple Current pk-pk]]/2,0,ABS(Table2[[#This Row],[Iout]]-Table2[[#This Row],[Ripple Current pk-pk]]/2)*Vsd_Q1*Deadtime*Fsw),0)</f>
        <v>0</v>
      </c>
      <c r="AK97" s="354">
        <f>(Table2[[#This Row],[Dead Time Loss BuCtrl]]+Table2[[#This Row],[Transition Loss BuCtrl]]+Table2[[#This Row],[RDS(on) Loss BuCtrl]]*(1+RdsonTopTc*Ta-RdsonTopTc*25))/(1-Table2[[#This Row],[RDS(on) Loss BuCtrl]]*RdsonTopTc*ThetaJA_Q1)</f>
        <v>3.3208515105717553</v>
      </c>
      <c r="AL97" s="354">
        <f>Table2[[#This Row],[Irms Lf]]</f>
        <v>10.609409787267726</v>
      </c>
      <c r="AM97" s="354">
        <f>Rdson2*Table2[[#This Row],[Irms BuSync]]^2</f>
        <v>0.47275021934352335</v>
      </c>
      <c r="AN9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0.50808685714285717</v>
      </c>
      <c r="AO97" s="354">
        <f>(Table2[[#This Row],[Deadtime Loss BuSync]]+Table2[[#This Row],[RDS(on) Loss BuSync]]*(1+RdsonBotTc*Ta-RdsonBotTc*25))/(1-Table2[[#This Row],[RDS(on) Loss BuSync]]*RdsonBotTc*ThetaJA_Q2)</f>
        <v>1.1063653469986219</v>
      </c>
      <c r="AP97" s="354">
        <f>Table2[[#This Row],[Irms Lf]]</f>
        <v>10.609409787267726</v>
      </c>
      <c r="AQ97" s="354">
        <f>Rdson4*Table2[[#This Row],[Irms BoCtlr]]^2</f>
        <v>0.47275021934352335</v>
      </c>
      <c r="AR97" s="354">
        <f>CHOOSE(Table2[[#This Row],[Mode Digit]], 0, (Vout*Table2[[#This Row],[Iin]]/2)*(Fsw)*(Tr_boost+Tf_boost), (Vout*Iout/2)*(Fsw/1)*(Tr_boost+Tf_boost))</f>
        <v>0</v>
      </c>
      <c r="AS97" s="354">
        <f>IF(Table2[[#This Row],[Vin]]&gt;Vout, 0, IF(Table2[[#This Row],[Iin]]&gt;Table2[[#This Row],[Ripple Current pk-pk]]/2,0,ABS(Table2[[#This Row],[Iin]]-Table2[[#This Row],[Ripple Current pk-pk]]/2)*Vsd_Q4*Deadtime*Fsw))</f>
        <v>0</v>
      </c>
      <c r="AT97" s="354">
        <f>(Table2[[#This Row],[Dead Time Loss BoCtlr]]+Table2[[#This Row],[Transition Loss BoCtlr]]+Table2[[#This Row],[RDS(on) Loss BoCtlr]]*(1+RdsonTopTc*Ta-RdsonTopTc*25))/(1-Table2[[#This Row],[RDS(on) Loss BoCtlr]]*RdsonTopTc*ThetaJA_Q4)</f>
        <v>0.53325314979050387</v>
      </c>
      <c r="AU97" s="354">
        <f>Table2[[#This Row],[Irms Lf]]</f>
        <v>10.609409787267726</v>
      </c>
      <c r="AV97" s="354">
        <f>Rdson3*Table2[[#This Row],[Irms BoSync]]^2</f>
        <v>0.47275021934352335</v>
      </c>
      <c r="AW9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7" s="354">
        <f>(Table2[[#This Row],[Deadtime Loss BoSync]]+Table2[[#This Row],[RDS(on) Loss BoSync]]*(1+RdsonBotTc*Ta-RdsonBotTc*25))/(1-Table2[[#This Row],[RDS(on) Loss BoSync]]*RdsonBotTc*ThetaJA_Q3)</f>
        <v>0.53325314979050387</v>
      </c>
      <c r="AY97" s="354">
        <f>CHOOSE(Table2[[#This Row],[Mode Digit]], Rdson3*Table2[[#This Row],[Irms Lf]]^2, Rdson1*Table2[[#This Row],[Irms Lf]]^2, 0)</f>
        <v>0.47275021934352335</v>
      </c>
      <c r="AZ97" s="354">
        <f>CHOOSE(Table2[[#This Row],[Mode Digit]], 2*Deadtime*Fsw*IF(VfdSky_Q2&gt;0,VfdSky_Q2,0)*Table2[[#This Row],[Iout]], 2*Deadtime*Fsw*IF(VfdSky_Q3&gt;0,VfdSky_Q3,0)*Table2[[#This Row],[Iin]], 2*Deadtime*Fsw*IF(VfdSky_Q2&gt;0,VfdSky_Q2,0)*Table2[[#This Row],[Iout]]+2*Deadtime*Fsw*IF(VfdSky_Q3&gt;0,VfdSky_Q3,0)*Table2[[#This Row],[Iin]])</f>
        <v>0</v>
      </c>
      <c r="BA9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0.24874764288000006</v>
      </c>
      <c r="BB9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0.24874764288000006</v>
      </c>
      <c r="BC97" s="354">
        <f>CHOOSE(Table2[[#This Row],[Mode Digit]], Rs*Table2[[#This Row],[Irms BuSync]]^2, Rs*Table2[[#This Row],[Irms BoCtlr]]^2, Rs*(Table2[[#This Row],[Irms BuSync]]^2+Table2[[#This Row],[Irms BoCtlr]]^2))</f>
        <v>0.28139894008543054</v>
      </c>
      <c r="BD97" s="354">
        <f t="shared" si="9"/>
        <v>1.44</v>
      </c>
      <c r="BE97" s="354">
        <f>IF(Vout&gt;8, Iq*Vout, Iq*Table2[[#This Row],[Vin]])</f>
        <v>4.3799999999999999E-2</v>
      </c>
      <c r="BF97" s="354">
        <f>CHOOSE(Table2[[#This Row],[Mode Digit]], (Qg_Q1+Qg_Q2)*Fsw, (Qg_Q3+Qg_Q4)*Fsw, (Qg_Q1+Qg_Q2+Qg_Q3+Qg_Q4)*Fsw)*IF(Vout&gt;8, Vout, Table2[[#This Row],[Vin]])</f>
        <v>0.47303999999999996</v>
      </c>
      <c r="BG97" s="354">
        <f t="shared" si="10"/>
        <v>0.57269042016806726</v>
      </c>
      <c r="BH97" s="354">
        <f>Table2[[#This Row],[IQ Loss]]+Table2[[#This Row],[Switching Current Loss]]</f>
        <v>0.51683999999999997</v>
      </c>
      <c r="BI9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9.5690221376067051</v>
      </c>
      <c r="BJ97">
        <f>Vout*Table2[[#This Row],[Iout]]</f>
        <v>154.17600000000002</v>
      </c>
      <c r="BK97" s="550">
        <f>Table2[[#This Row],[Pout]]/(Table2[[#This Row],[Pout]]+Table2[[#This Row],[Total Loss]])</f>
        <v>0.94156144710423517</v>
      </c>
      <c r="BL97" s="559">
        <f>IF(Table2[[#This Row],[Vin]]&gt;Vout,ThetaJA_Q1*(Table2[[#This Row],[Total Control Bu MOSFET Loss]]+Table2[[#This Row],[Reverse Recovery Loss MOSFET D BUCK]]),ThetaJA_Q4*(Table2[[#This Row],[Total Control Bo MOSFET Loss]]+Table2[[#This Row],[Reverse Recovery Loss MOSFET D BOOST]]))</f>
        <v>214.17594920710533</v>
      </c>
      <c r="BM97" s="559">
        <f>IF(Table2[[#This Row],[Vin]]&gt;Vout, Table2[[#This Row],[Total Sync Bu MOSFET Loss]]*ThetaJA_Q2, ThetaJA_Q3*Table2[[#This Row],[Total Sync Bo MOSFET Loss]])</f>
        <v>66.381920819917312</v>
      </c>
      <c r="BN97" s="9"/>
      <c r="BO97" s="4">
        <f>Table2[[#This Row],[EFF, h]]*100</f>
        <v>94.156144710423519</v>
      </c>
      <c r="BP97" s="354">
        <f>Table2[[#This Row],[Total Inductor Loss]]</f>
        <v>1.2814908717017168</v>
      </c>
      <c r="BQ97" s="354">
        <f>Table2[[#This Row],[Total Control Bu MOSFET Loss]]+Table2[[#This Row],[Total Sync Bu MOSFET Loss]]+Table2[[#This Row],[Total Control Bo MOSFET Loss]]+Table2[[#This Row],[Total Sync Bo MOSFET Loss]]+Table2[[#This Row],[Reverse Recovery Loss MOSFET D BUCK]]+Table2[[#This Row],[Reverse Recovery Loss MOSFET D BOOST]]</f>
        <v>5.9912184429113839</v>
      </c>
      <c r="BR97" s="354">
        <f xml:space="preserve"> Table2[[#This Row],[Total Control Bu MOSFET Loss]]+Table2[[#This Row],[Reverse Recovery Loss MOSFET D BUCK]]*0.66</f>
        <v>3.4850249548725554</v>
      </c>
      <c r="BS97" s="354">
        <f>Table2[[#This Row],[Total Sync Bu MOSFET Loss]]+Table2[[#This Row],[Reverse Recovery Loss MOSFET D BUCK]]*0.33</f>
        <v>1.1884520691490219</v>
      </c>
      <c r="BT97" s="354">
        <f xml:space="preserve"> Table2[[#This Row],[Total Control Bo MOSFET Loss]]+Table2[[#This Row],[Reverse Recovery Loss MOSFET D BOOST]]*0.66</f>
        <v>0.69742659409130392</v>
      </c>
      <c r="BU97" s="354">
        <f xml:space="preserve"> Table2[[#This Row],[Total Sync Bo MOSFET Loss]]+Table2[[#This Row],[Reverse Recovery Loss MOSFET D BOOST]]*0.33</f>
        <v>0.61533987194090389</v>
      </c>
      <c r="BV97" s="354">
        <f>Table2[[#This Row],[Isense Shunt Loss]]</f>
        <v>0.28139894008543054</v>
      </c>
      <c r="CB97" s="18"/>
      <c r="CC97" s="19"/>
    </row>
    <row r="98" spans="7:81" x14ac:dyDescent="0.2">
      <c r="G98">
        <v>89</v>
      </c>
      <c r="H98" s="555">
        <f t="shared" si="8"/>
        <v>23.6</v>
      </c>
      <c r="I98" s="4" t="str">
        <f>IF(Mode = 2,IF(Table2[[#This Row],[Vin]]&gt;Vout, "BUCK","BOOST"),IF(Table2[[#This Row],[Vin]]&gt;VIN_BB_to_buck, "BUCK", IF(Table2[[#This Row],[Vin]]&lt;=VIN_boost_to_BB,"BOOST","BUCK-BST")))</f>
        <v>BUCK</v>
      </c>
      <c r="J98">
        <f>IF(Table2[[#This Row],[Mode]]="BOOST",2, IF(Table2[[#This Row],[Mode]]="BUCK", 1,3))</f>
        <v>1</v>
      </c>
      <c r="K98" s="354">
        <f t="shared" si="11"/>
        <v>10.68</v>
      </c>
      <c r="L98" s="4">
        <f>Vout*Table2[[#This Row],[Iout]]/(Table2[[#This Row],[Vin]]*Efficiency)</f>
        <v>6.9548617305976803</v>
      </c>
      <c r="M98" s="711">
        <f>MIN(1/Fsw,CHOOSE(Table2[[#This Row],[Mode Digit]],(Vout+(Rdson2+Rs+Rdcr)*Table2[[#This Row],[Iout]])/(Table2[[#This Row],[Vin]]+(Rs+Rdson2-Rdson1)*Table2[[#This Row],[Iout]])/Fsw,(Vout+(Rdson3+Rdcr)*Table2[[#This Row],[Iin]]-Table2[[#This Row],[Vin]])/(Vout+(Rdson3-Rdson4-Rs)*Table2[[#This Row],[Iin]])/Fsw,t1_Ph_II))</f>
        <v>1.039325565285602E-6</v>
      </c>
      <c r="N98" s="602">
        <f>CHOOSE(Table2[[#This Row],[Mode Digit]],1/Fsw-Table2[[#This Row],[t1_Ph_II]],1/Fsw-Table2[[#This Row],[t1_Ph_II]],(Vout/Fsw-Table2[[#This Row],[Vin]]*t1_Ph_II)/(Table2[[#This Row],[Vin]]+Vout))</f>
        <v>6.2734110138106469E-7</v>
      </c>
      <c r="O98" s="602">
        <f>1/Fsw-(Table2[[#This Row],[t1_Ph_II]]+Table2[[#This Row],[t2_Ph_I]])</f>
        <v>0</v>
      </c>
      <c r="P9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8.9084223318995406</v>
      </c>
      <c r="Q98" s="4">
        <f>CHOOSE(Table2[[#This Row],[Mode Digit]],Table2[[#This Row],[I_0]]+1/Lf*(Table2[[#This Row],[Vin]]-Vout)*Table2[[#This Row],[t1_Ph_II]],Table2[[#This Row],[I_0]]+1/Lf*Table2[[#This Row],[Vin]]*Table2[[#This Row],[t1_Ph_II]],Table2[[#This Row],[I_0]]+(Table2[[#This Row],[Vin]]-Vout)/L*Table2[[#This Row],[t1_Ph_II]])</f>
        <v>12.451577668100457</v>
      </c>
      <c r="R98" s="4">
        <f>CHOOSE(Table2[[#This Row],[Mode Digit]],0,0,Table2[[#This Row],[I_1]]+Table2[[#This Row],[Vin]]/L*Table2[[#This Row],[t2_Ph_I]])</f>
        <v>0</v>
      </c>
      <c r="S98" s="409">
        <f>Fsw*(Table2[[#This Row],[I_0]]*Table2[[#This Row],[t1_Ph_II]]+Table2[[#This Row],[I_1]]*Table2[[#This Row],[t2_Ph_I]]+Table2[[#This Row],[I_2]]*Table2[[#This Row],[t3_Ph_III]])</f>
        <v>10.242082514485428</v>
      </c>
      <c r="T98" s="354">
        <f>MIN(1,CHOOSE(Table2[[#This Row],[Mode Digit]],(Vout+(Rdson2+Rs+Rdcr)*Table2[[#This Row],[Iout]])/(Table2[[#This Row],[Vin]]+(Rs+Rdson2-Rdson1)*Table2[[#This Row],[Iout]]),1,Fsw*Table2[[#This Row],[t2_Ph_I]]+Table2[[#This Row],[t1_Ph_II]]))</f>
        <v>0.62359533917136112</v>
      </c>
      <c r="U98" s="354">
        <f>MIN(1,CHOOSE(Table2[[#This Row],[Mode Digit]],0,(Vout+(Rdson3+Rdcr)*Table2[[#This Row],[Iin]]-Table2[[#This Row],[Vin]])/(Vout+(Rdson3-Rdson4-Rs)*Table2[[#This Row],[Iin]]),Fsw*Table2[[#This Row],[t1_Ph_II]]+Table2[[#This Row],[t3_Ph_III]]))</f>
        <v>0</v>
      </c>
      <c r="V98" s="4">
        <f>MAX(Table2[[#This Row],[I_0]:[I_2]])-MIN(Table2[[#This Row],[I_0]:[I_1]])</f>
        <v>3.5431553362009165</v>
      </c>
      <c r="W9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10.728865852364704</v>
      </c>
      <c r="X98" s="354">
        <f>(Table2[[#This Row],[Irms Lf]]^2*Rdcr*(1+Ltc*Ta-Ltc*25))/(1-Table2[[#This Row],[Irms Lf]]^2*Rdcr*Ltc*ThetaCa)</f>
        <v>0.70529999835443957</v>
      </c>
      <c r="Y98" s="354">
        <f>ABS(7.759*10^-3*Fsw^0.9458*(0.00787*Table2[[#This Row],[Ripple Current pk-pk]])^2.304)</f>
        <v>0.5927915330647</v>
      </c>
      <c r="Z98" s="354">
        <f>Table2[[#This Row],[DCR    Loss]]+Table2[[#This Row],[Core Loss]]</f>
        <v>1.2980915314191397</v>
      </c>
      <c r="AA98" s="4">
        <f>IF(Table2[[#This Row],[Vin]]&gt;Vout, Table2[[#This Row],[Ripple Current pk-pk]]/SQRT(12), SQRT(Table2[[#This Row],[Duty Cycle BOOST Leg]]/(1-Table2[[#This Row],[Duty Cycle BOOST Leg]]))*SQRT(Table2[[#This Row],[Iout]]^2+(Table2[[#This Row],[Ripple Current pk-pk]]^2)/12))</f>
        <v>1.0228208435681292</v>
      </c>
      <c r="AB98" s="354">
        <f>RCoutEsr*Table2[[#This Row],[Irms Cout]]^2</f>
        <v>5.2308123901870975E-3</v>
      </c>
      <c r="AC98" s="354">
        <f>Table2[[#This Row],[Cout ESR Loss]]</f>
        <v>5.2308123901870975E-3</v>
      </c>
      <c r="AD98" s="4">
        <f>IF(Table2[[#This Row],[Vin]]&gt;Vout, SQRT(Table2[[#This Row],[Duty Cycle BUCK Leg]]*(1-Table2[[#This Row],[Duty Cycle BUCK Leg]]))*SQRT(Table2[[#This Row],[Iout]]^2+(Table2[[#This Row],[Ripple Current pk-pk]]^2)/12), Table2[[#This Row],[Ripple Current pk-pk]]/SQRT(12))</f>
        <v>5.1979577081284409</v>
      </c>
      <c r="AE98" s="354">
        <f>RCinEsr*Table2[[#This Row],[Irms Cin]]^2</f>
        <v>5.4037528670983749E-2</v>
      </c>
      <c r="AF98" s="549">
        <f>Table2[[#This Row],[Cin ESR Loss]]</f>
        <v>5.4037528670983749E-2</v>
      </c>
      <c r="AG98" s="354">
        <f>Table2[[#This Row],[Irms Lf]]</f>
        <v>10.728865852364704</v>
      </c>
      <c r="AH98" s="354">
        <f>Rdson1*Table2[[#This Row],[Irms BuCtrl]]^2</f>
        <v>0.48345596240775718</v>
      </c>
      <c r="AI98" s="354">
        <f>CHOOSE(Table2[[#This Row],[Mode Digit]], (Table2[[#This Row],[Vin]]*Table2[[#This Row],[Iout]]/2)*(Fsw)*(Tr_buck+Tf_buck), 0, (Table2[[#This Row],[Vin]]*Table2[[#This Row],[Avg IL]]/2)*(Fsw/1)*(Tr_buck+Tf_buck))</f>
        <v>2.4994004552030717</v>
      </c>
      <c r="AJ98">
        <f>IF(Table2[[#This Row],[Vin]]&gt;Vout, IF(Table2[[#This Row],[Iout]]&gt;Table2[[#This Row],[Ripple Current pk-pk]]/2,0,ABS(Table2[[#This Row],[Iout]]-Table2[[#This Row],[Ripple Current pk-pk]]/2)*Vsd_Q1*Deadtime*Fsw),0)</f>
        <v>0</v>
      </c>
      <c r="AK98" s="354">
        <f>(Table2[[#This Row],[Dead Time Loss BuCtrl]]+Table2[[#This Row],[Transition Loss BuCtrl]]+Table2[[#This Row],[RDS(on) Loss BuCtrl]]*(1+RdsonTopTc*Ta-RdsonTopTc*25))/(1-Table2[[#This Row],[RDS(on) Loss BuCtrl]]*RdsonTopTc*ThetaJA_Q1)</f>
        <v>3.3743843088695931</v>
      </c>
      <c r="AL98" s="354">
        <f>Table2[[#This Row],[Irms Lf]]</f>
        <v>10.728865852364704</v>
      </c>
      <c r="AM98" s="354">
        <f>Rdson2*Table2[[#This Row],[Irms BuSync]]^2</f>
        <v>0.48345596240775718</v>
      </c>
      <c r="AN9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0.51386057142857144</v>
      </c>
      <c r="AO98" s="354">
        <f>(Table2[[#This Row],[Deadtime Loss BuSync]]+Table2[[#This Row],[RDS(on) Loss BuSync]]*(1+RdsonBotTc*Ta-RdsonBotTc*25))/(1-Table2[[#This Row],[RDS(on) Loss BuSync]]*RdsonBotTc*ThetaJA_Q2)</f>
        <v>1.128223686156854</v>
      </c>
      <c r="AP98" s="354">
        <f>Table2[[#This Row],[Irms Lf]]</f>
        <v>10.728865852364704</v>
      </c>
      <c r="AQ98" s="354">
        <f>Rdson4*Table2[[#This Row],[Irms BoCtlr]]^2</f>
        <v>0.48345596240775718</v>
      </c>
      <c r="AR98" s="354">
        <f>CHOOSE(Table2[[#This Row],[Mode Digit]], 0, (Vout*Table2[[#This Row],[Iin]]/2)*(Fsw)*(Tr_boost+Tf_boost), (Vout*Iout/2)*(Fsw/1)*(Tr_boost+Tf_boost))</f>
        <v>0</v>
      </c>
      <c r="AS98" s="354">
        <f>IF(Table2[[#This Row],[Vin]]&gt;Vout, 0, IF(Table2[[#This Row],[Iin]]&gt;Table2[[#This Row],[Ripple Current pk-pk]]/2,0,ABS(Table2[[#This Row],[Iin]]-Table2[[#This Row],[Ripple Current pk-pk]]/2)*Vsd_Q4*Deadtime*Fsw))</f>
        <v>0</v>
      </c>
      <c r="AT98" s="354">
        <f>(Table2[[#This Row],[Dead Time Loss BoCtlr]]+Table2[[#This Row],[Transition Loss BoCtlr]]+Table2[[#This Row],[RDS(on) Loss BoCtlr]]*(1+RdsonTopTc*Ta-RdsonTopTc*25))/(1-Table2[[#This Row],[RDS(on) Loss BoCtlr]]*RdsonTopTc*ThetaJA_Q4)</f>
        <v>0.54691409346644149</v>
      </c>
      <c r="AU98" s="354">
        <f>Table2[[#This Row],[Irms Lf]]</f>
        <v>10.728865852364704</v>
      </c>
      <c r="AV98" s="354">
        <f>Rdson3*Table2[[#This Row],[Irms BoSync]]^2</f>
        <v>0.48345596240775718</v>
      </c>
      <c r="AW9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8" s="354">
        <f>(Table2[[#This Row],[Deadtime Loss BoSync]]+Table2[[#This Row],[RDS(on) Loss BoSync]]*(1+RdsonBotTc*Ta-RdsonBotTc*25))/(1-Table2[[#This Row],[RDS(on) Loss BoSync]]*RdsonBotTc*ThetaJA_Q3)</f>
        <v>0.54691409346644149</v>
      </c>
      <c r="AY98" s="354">
        <f>CHOOSE(Table2[[#This Row],[Mode Digit]], Rdson3*Table2[[#This Row],[Irms Lf]]^2, Rdson1*Table2[[#This Row],[Irms Lf]]^2, 0)</f>
        <v>0.48345596240775718</v>
      </c>
      <c r="AZ98" s="354">
        <f>CHOOSE(Table2[[#This Row],[Mode Digit]], 2*Deadtime*Fsw*IF(VfdSky_Q2&gt;0,VfdSky_Q2,0)*Table2[[#This Row],[Iout]], 2*Deadtime*Fsw*IF(VfdSky_Q3&gt;0,VfdSky_Q3,0)*Table2[[#This Row],[Iin]], 2*Deadtime*Fsw*IF(VfdSky_Q2&gt;0,VfdSky_Q2,0)*Table2[[#This Row],[Iout]]+2*Deadtime*Fsw*IF(VfdSky_Q3&gt;0,VfdSky_Q3,0)*Table2[[#This Row],[Iin]])</f>
        <v>0</v>
      </c>
      <c r="BA9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0.25156893792000001</v>
      </c>
      <c r="BB9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0.25156893792000001</v>
      </c>
      <c r="BC98" s="354">
        <f>CHOOSE(Table2[[#This Row],[Mode Digit]], Rs*Table2[[#This Row],[Irms BuSync]]^2, Rs*Table2[[#This Row],[Irms BoCtlr]]^2, Rs*(Table2[[#This Row],[Irms BuSync]]^2+Table2[[#This Row],[Irms BoCtlr]]^2))</f>
        <v>0.28777140619509356</v>
      </c>
      <c r="BD98" s="354">
        <f t="shared" si="9"/>
        <v>1.44</v>
      </c>
      <c r="BE98" s="354">
        <f>IF(Vout&gt;8, Iq*Vout, Iq*Table2[[#This Row],[Vin]])</f>
        <v>4.3799999999999999E-2</v>
      </c>
      <c r="BF98" s="354">
        <f>CHOOSE(Table2[[#This Row],[Mode Digit]], (Qg_Q1+Qg_Q2)*Fsw, (Qg_Q3+Qg_Q4)*Fsw, (Qg_Q1+Qg_Q2+Qg_Q3+Qg_Q4)*Fsw)*IF(Vout&gt;8, Vout, Table2[[#This Row],[Vin]])</f>
        <v>0.47303999999999996</v>
      </c>
      <c r="BG98" s="354">
        <f t="shared" si="10"/>
        <v>0.57269042016806726</v>
      </c>
      <c r="BH98" s="354">
        <f>Table2[[#This Row],[IQ Loss]]+Table2[[#This Row],[Switching Current Loss]]</f>
        <v>0.51683999999999997</v>
      </c>
      <c r="BI9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9.7015453364747355</v>
      </c>
      <c r="BJ98">
        <f>Vout*Table2[[#This Row],[Iout]]</f>
        <v>155.928</v>
      </c>
      <c r="BK98" s="550">
        <f>Table2[[#This Row],[Pout]]/(Table2[[#This Row],[Pout]]+Table2[[#This Row],[Total Loss]])</f>
        <v>0.94142623940211789</v>
      </c>
      <c r="BL98" s="559">
        <f>IF(Table2[[#This Row],[Vin]]&gt;Vout,ThetaJA_Q1*(Table2[[#This Row],[Total Control Bu MOSFET Loss]]+Table2[[#This Row],[Reverse Recovery Loss MOSFET D BUCK]]),ThetaJA_Q4*(Table2[[#This Row],[Total Control Bo MOSFET Loss]]+Table2[[#This Row],[Reverse Recovery Loss MOSFET D BOOST]]))</f>
        <v>217.55719480737559</v>
      </c>
      <c r="BM98" s="559">
        <f>IF(Table2[[#This Row],[Vin]]&gt;Vout, Table2[[#This Row],[Total Sync Bu MOSFET Loss]]*ThetaJA_Q2, ThetaJA_Q3*Table2[[#This Row],[Total Sync Bo MOSFET Loss]])</f>
        <v>67.693421169411238</v>
      </c>
      <c r="BN98" s="9"/>
      <c r="BO98" s="4">
        <f>Table2[[#This Row],[EFF, h]]*100</f>
        <v>94.142623940211791</v>
      </c>
      <c r="BP98" s="354">
        <f>Table2[[#This Row],[Total Inductor Loss]]</f>
        <v>1.2980915314191397</v>
      </c>
      <c r="BQ98" s="354">
        <f>Table2[[#This Row],[Total Control Bu MOSFET Loss]]+Table2[[#This Row],[Total Sync Bu MOSFET Loss]]+Table2[[#This Row],[Total Control Bo MOSFET Loss]]+Table2[[#This Row],[Total Sync Bo MOSFET Loss]]+Table2[[#This Row],[Reverse Recovery Loss MOSFET D BUCK]]+Table2[[#This Row],[Reverse Recovery Loss MOSFET D BOOST]]</f>
        <v>6.0995740577993312</v>
      </c>
      <c r="BR98" s="354">
        <f xml:space="preserve"> Table2[[#This Row],[Total Control Bu MOSFET Loss]]+Table2[[#This Row],[Reverse Recovery Loss MOSFET D BUCK]]*0.66</f>
        <v>3.540419807896793</v>
      </c>
      <c r="BS98" s="354">
        <f>Table2[[#This Row],[Total Sync Bu MOSFET Loss]]+Table2[[#This Row],[Reverse Recovery Loss MOSFET D BUCK]]*0.33</f>
        <v>1.2112414356704539</v>
      </c>
      <c r="BT98" s="354">
        <f xml:space="preserve"> Table2[[#This Row],[Total Control Bo MOSFET Loss]]+Table2[[#This Row],[Reverse Recovery Loss MOSFET D BOOST]]*0.66</f>
        <v>0.71294959249364154</v>
      </c>
      <c r="BU98" s="354">
        <f xml:space="preserve"> Table2[[#This Row],[Total Sync Bo MOSFET Loss]]+Table2[[#This Row],[Reverse Recovery Loss MOSFET D BOOST]]*0.33</f>
        <v>0.62993184298004146</v>
      </c>
      <c r="BV98" s="354">
        <f>Table2[[#This Row],[Isense Shunt Loss]]</f>
        <v>0.28777140619509356</v>
      </c>
      <c r="CB98" s="18"/>
      <c r="CC98" s="19"/>
    </row>
    <row r="99" spans="7:81" x14ac:dyDescent="0.2">
      <c r="G99">
        <v>90</v>
      </c>
      <c r="H99" s="555">
        <f t="shared" si="8"/>
        <v>23.6</v>
      </c>
      <c r="I99" s="4" t="str">
        <f>IF(Mode = 2,IF(Table2[[#This Row],[Vin]]&gt;Vout, "BUCK","BOOST"),IF(Table2[[#This Row],[Vin]]&gt;VIN_BB_to_buck, "BUCK", IF(Table2[[#This Row],[Vin]]&lt;=VIN_boost_to_BB,"BOOST","BUCK-BST")))</f>
        <v>BUCK</v>
      </c>
      <c r="J99">
        <f>IF(Table2[[#This Row],[Mode]]="BOOST",2, IF(Table2[[#This Row],[Mode]]="BUCK", 1,3))</f>
        <v>1</v>
      </c>
      <c r="K99" s="354">
        <f t="shared" si="11"/>
        <v>10.8</v>
      </c>
      <c r="L99" s="4">
        <f>Vout*Table2[[#This Row],[Iout]]/(Table2[[#This Row],[Vin]]*Efficiency)</f>
        <v>7.0330062444246204</v>
      </c>
      <c r="M99" s="711">
        <f>MIN(1/Fsw,CHOOSE(Table2[[#This Row],[Mode Digit]],(Vout+(Rdson2+Rs+Rdcr)*Table2[[#This Row],[Iout]])/(Table2[[#This Row],[Vin]]+(Rs+Rdson2-Rdson1)*Table2[[#This Row],[Iout]])/Fsw,(Vout+(Rdson3+Rdcr)*Table2[[#This Row],[Iin]]-Table2[[#This Row],[Vin]])/(Vout+(Rdson3-Rdson4-Rs)*Table2[[#This Row],[Iin]])/Fsw,t1_Ph_II))</f>
        <v>1.0394181797660868E-6</v>
      </c>
      <c r="N99" s="602">
        <f>CHOOSE(Table2[[#This Row],[Mode Digit]],1/Fsw-Table2[[#This Row],[t1_Ph_II]],1/Fsw-Table2[[#This Row],[t1_Ph_II]],(Vout/Fsw-Table2[[#This Row],[Vin]]*t1_Ph_II)/(Table2[[#This Row],[Vin]]+Vout))</f>
        <v>6.2724848690057985E-7</v>
      </c>
      <c r="O99" s="602">
        <f>1/Fsw-(Table2[[#This Row],[t1_Ph_II]]+Table2[[#This Row],[t2_Ph_I]])</f>
        <v>0</v>
      </c>
      <c r="P9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9.0282644663078067</v>
      </c>
      <c r="Q99" s="4">
        <f>CHOOSE(Table2[[#This Row],[Mode Digit]],Table2[[#This Row],[I_0]]+1/Lf*(Table2[[#This Row],[Vin]]-Vout)*Table2[[#This Row],[t1_Ph_II]],Table2[[#This Row],[I_0]]+1/Lf*Table2[[#This Row],[Vin]]*Table2[[#This Row],[t1_Ph_II]],Table2[[#This Row],[I_0]]+(Table2[[#This Row],[Vin]]-Vout)/L*Table2[[#This Row],[t1_Ph_II]])</f>
        <v>12.571735533692195</v>
      </c>
      <c r="R99" s="4">
        <f>CHOOSE(Table2[[#This Row],[Mode Digit]],0,0,Table2[[#This Row],[I_1]]+Table2[[#This Row],[Vin]]/L*Table2[[#This Row],[t2_Ph_I]])</f>
        <v>0</v>
      </c>
      <c r="S99" s="409">
        <f>Fsw*(Table2[[#This Row],[I_0]]*Table2[[#This Row],[t1_Ph_II]]+Table2[[#This Row],[I_1]]*Table2[[#This Row],[t2_Ph_I]]+Table2[[#This Row],[I_2]]*Table2[[#This Row],[t3_Ph_III]])</f>
        <v>10.36184658554351</v>
      </c>
      <c r="T99" s="354">
        <f>MIN(1,CHOOSE(Table2[[#This Row],[Mode Digit]],(Vout+(Rdson2+Rs+Rdcr)*Table2[[#This Row],[Iout]])/(Table2[[#This Row],[Vin]]+(Rs+Rdson2-Rdson1)*Table2[[#This Row],[Iout]]),1,Fsw*Table2[[#This Row],[t2_Ph_I]]+Table2[[#This Row],[t1_Ph_II]]))</f>
        <v>0.62365090785965205</v>
      </c>
      <c r="U99" s="354">
        <f>MIN(1,CHOOSE(Table2[[#This Row],[Mode Digit]],0,(Vout+(Rdson3+Rdcr)*Table2[[#This Row],[Iin]]-Table2[[#This Row],[Vin]])/(Vout+(Rdson3-Rdson4-Rs)*Table2[[#This Row],[Iin]]),Fsw*Table2[[#This Row],[t1_Ph_II]]+Table2[[#This Row],[t3_Ph_III]]))</f>
        <v>0</v>
      </c>
      <c r="V99" s="4">
        <f>MAX(Table2[[#This Row],[I_0]:[I_2]])-MIN(Table2[[#This Row],[I_0]:[I_1]])</f>
        <v>3.5434710673843881</v>
      </c>
      <c r="W9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10.848333924330618</v>
      </c>
      <c r="X99" s="354">
        <f>(Table2[[#This Row],[Irms Lf]]^2*Rdcr*(1+Ltc*Ta-Ltc*25))/(1-Table2[[#This Row],[Irms Lf]]^2*Rdcr*Ltc*ThetaCa)</f>
        <v>0.72200707874478287</v>
      </c>
      <c r="Y99" s="354">
        <f>ABS(7.759*10^-3*Fsw^0.9458*(0.00787*Table2[[#This Row],[Ripple Current pk-pk]])^2.304)</f>
        <v>0.59291324606925166</v>
      </c>
      <c r="Z99" s="354">
        <f>Table2[[#This Row],[DCR    Loss]]+Table2[[#This Row],[Core Loss]]</f>
        <v>1.3149203248140346</v>
      </c>
      <c r="AA99" s="4">
        <f>IF(Table2[[#This Row],[Vin]]&gt;Vout, Table2[[#This Row],[Ripple Current pk-pk]]/SQRT(12), SQRT(Table2[[#This Row],[Duty Cycle BOOST Leg]]/(1-Table2[[#This Row],[Duty Cycle BOOST Leg]]))*SQRT(Table2[[#This Row],[Iout]]^2+(Table2[[#This Row],[Ripple Current pk-pk]]^2)/12))</f>
        <v>1.0229119873100136</v>
      </c>
      <c r="AB99" s="354">
        <f>RCoutEsr*Table2[[#This Row],[Irms Cout]]^2</f>
        <v>5.2317446689126084E-3</v>
      </c>
      <c r="AC99" s="354">
        <f>Table2[[#This Row],[Cout ESR Loss]]</f>
        <v>5.2317446689126084E-3</v>
      </c>
      <c r="AD99" s="4">
        <f>IF(Table2[[#This Row],[Vin]]&gt;Vout, SQRT(Table2[[#This Row],[Duty Cycle BUCK Leg]]*(1-Table2[[#This Row],[Duty Cycle BUCK Leg]]))*SQRT(Table2[[#This Row],[Iout]]^2+(Table2[[#This Row],[Ripple Current pk-pk]]^2)/12), Table2[[#This Row],[Ripple Current pk-pk]]/SQRT(12))</f>
        <v>5.2556841865218473</v>
      </c>
      <c r="AE99" s="354">
        <f>RCinEsr*Table2[[#This Row],[Irms Cin]]^2</f>
        <v>5.5244432536911622E-2</v>
      </c>
      <c r="AF99" s="549">
        <f>Table2[[#This Row],[Cin ESR Loss]]</f>
        <v>5.5244432536911622E-2</v>
      </c>
      <c r="AG99" s="354">
        <f>Table2[[#This Row],[Irms Lf]]</f>
        <v>10.848333924330618</v>
      </c>
      <c r="AH99" s="354">
        <f>Rdson1*Table2[[#This Row],[Irms BuCtrl]]^2</f>
        <v>0.49428266552188677</v>
      </c>
      <c r="AI99" s="354">
        <f>CHOOSE(Table2[[#This Row],[Mode Digit]], (Table2[[#This Row],[Vin]]*Table2[[#This Row],[Iout]]/2)*(Fsw)*(Tr_buck+Tf_buck), 0, (Table2[[#This Row],[Vin]]*Table2[[#This Row],[Avg IL]]/2)*(Fsw/1)*(Tr_buck+Tf_buck))</f>
        <v>2.5274836063851289</v>
      </c>
      <c r="AJ99">
        <f>IF(Table2[[#This Row],[Vin]]&gt;Vout, IF(Table2[[#This Row],[Iout]]&gt;Table2[[#This Row],[Ripple Current pk-pk]]/2,0,ABS(Table2[[#This Row],[Iout]]-Table2[[#This Row],[Ripple Current pk-pk]]/2)*Vsd_Q1*Deadtime*Fsw),0)</f>
        <v>0</v>
      </c>
      <c r="AK99" s="354">
        <f>(Table2[[#This Row],[Dead Time Loss BuCtrl]]+Table2[[#This Row],[Transition Loss BuCtrl]]+Table2[[#This Row],[RDS(on) Loss BuCtrl]]*(1+RdsonTopTc*Ta-RdsonTopTc*25))/(1-Table2[[#This Row],[RDS(on) Loss BuCtrl]]*RdsonTopTc*ThetaJA_Q1)</f>
        <v>3.428479373531665</v>
      </c>
      <c r="AL99" s="354">
        <f>Table2[[#This Row],[Irms Lf]]</f>
        <v>10.848333924330618</v>
      </c>
      <c r="AM99" s="354">
        <f>Rdson2*Table2[[#This Row],[Irms BuSync]]^2</f>
        <v>0.49428266552188677</v>
      </c>
      <c r="AN9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0.51963428571428572</v>
      </c>
      <c r="AO99" s="354">
        <f>(Table2[[#This Row],[Deadtime Loss BuSync]]+Table2[[#This Row],[RDS(on) Loss BuSync]]*(1+RdsonBotTc*Ta-RdsonBotTc*25))/(1-Table2[[#This Row],[RDS(on) Loss BuSync]]*RdsonBotTc*ThetaJA_Q2)</f>
        <v>1.1503845900012404</v>
      </c>
      <c r="AP99" s="354">
        <f>Table2[[#This Row],[Irms Lf]]</f>
        <v>10.848333924330618</v>
      </c>
      <c r="AQ99" s="354">
        <f>Rdson4*Table2[[#This Row],[Irms BoCtlr]]^2</f>
        <v>0.49428266552188677</v>
      </c>
      <c r="AR99" s="354">
        <f>CHOOSE(Table2[[#This Row],[Mode Digit]], 0, (Vout*Table2[[#This Row],[Iin]]/2)*(Fsw)*(Tr_boost+Tf_boost), (Vout*Iout/2)*(Fsw/1)*(Tr_boost+Tf_boost))</f>
        <v>0</v>
      </c>
      <c r="AS99" s="354">
        <f>IF(Table2[[#This Row],[Vin]]&gt;Vout, 0, IF(Table2[[#This Row],[Iin]]&gt;Table2[[#This Row],[Ripple Current pk-pk]]/2,0,ABS(Table2[[#This Row],[Iin]]-Table2[[#This Row],[Ripple Current pk-pk]]/2)*Vsd_Q4*Deadtime*Fsw))</f>
        <v>0</v>
      </c>
      <c r="AT99" s="354">
        <f>(Table2[[#This Row],[Dead Time Loss BoCtlr]]+Table2[[#This Row],[Transition Loss BoCtlr]]+Table2[[#This Row],[RDS(on) Loss BoCtlr]]*(1+RdsonTopTc*Ta-RdsonTopTc*25))/(1-Table2[[#This Row],[RDS(on) Loss BoCtlr]]*RdsonTopTc*ThetaJA_Q4)</f>
        <v>0.56081039066154037</v>
      </c>
      <c r="AU99" s="354">
        <f>Table2[[#This Row],[Irms Lf]]</f>
        <v>10.848333924330618</v>
      </c>
      <c r="AV99" s="354">
        <f>Rdson3*Table2[[#This Row],[Irms BoSync]]^2</f>
        <v>0.49428266552188677</v>
      </c>
      <c r="AW9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99" s="354">
        <f>(Table2[[#This Row],[Deadtime Loss BoSync]]+Table2[[#This Row],[RDS(on) Loss BoSync]]*(1+RdsonBotTc*Ta-RdsonBotTc*25))/(1-Table2[[#This Row],[RDS(on) Loss BoSync]]*RdsonBotTc*ThetaJA_Q3)</f>
        <v>0.56081039066154037</v>
      </c>
      <c r="AY99" s="354">
        <f>CHOOSE(Table2[[#This Row],[Mode Digit]], Rdson3*Table2[[#This Row],[Irms Lf]]^2, Rdson1*Table2[[#This Row],[Irms Lf]]^2, 0)</f>
        <v>0.49428266552188677</v>
      </c>
      <c r="AZ99" s="354">
        <f>CHOOSE(Table2[[#This Row],[Mode Digit]], 2*Deadtime*Fsw*IF(VfdSky_Q2&gt;0,VfdSky_Q2,0)*Table2[[#This Row],[Iout]], 2*Deadtime*Fsw*IF(VfdSky_Q3&gt;0,VfdSky_Q3,0)*Table2[[#This Row],[Iin]], 2*Deadtime*Fsw*IF(VfdSky_Q2&gt;0,VfdSky_Q2,0)*Table2[[#This Row],[Iout]]+2*Deadtime*Fsw*IF(VfdSky_Q3&gt;0,VfdSky_Q3,0)*Table2[[#This Row],[Iin]])</f>
        <v>0</v>
      </c>
      <c r="BA9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0.25439011200000006</v>
      </c>
      <c r="BB9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0.25439011200000006</v>
      </c>
      <c r="BC99" s="354">
        <f>CHOOSE(Table2[[#This Row],[Mode Digit]], Rs*Table2[[#This Row],[Irms BuSync]]^2, Rs*Table2[[#This Row],[Irms BoCtlr]]^2, Rs*(Table2[[#This Row],[Irms BuSync]]^2+Table2[[#This Row],[Irms BoCtlr]]^2))</f>
        <v>0.29421587233445634</v>
      </c>
      <c r="BD99" s="354">
        <f t="shared" si="9"/>
        <v>1.44</v>
      </c>
      <c r="BE99" s="354">
        <f>IF(Vout&gt;8, Iq*Vout, Iq*Table2[[#This Row],[Vin]])</f>
        <v>4.3799999999999999E-2</v>
      </c>
      <c r="BF99" s="354">
        <f>CHOOSE(Table2[[#This Row],[Mode Digit]], (Qg_Q1+Qg_Q2)*Fsw, (Qg_Q3+Qg_Q4)*Fsw, (Qg_Q1+Qg_Q2+Qg_Q3+Qg_Q4)*Fsw)*IF(Vout&gt;8, Vout, Table2[[#This Row],[Vin]])</f>
        <v>0.47303999999999996</v>
      </c>
      <c r="BG99" s="354">
        <f t="shared" si="10"/>
        <v>0.57269042016806726</v>
      </c>
      <c r="BH99" s="354">
        <f>Table2[[#This Row],[IQ Loss]]+Table2[[#This Row],[Switching Current Loss]]</f>
        <v>0.51683999999999997</v>
      </c>
      <c r="BI9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9.8357173432103018</v>
      </c>
      <c r="BJ99">
        <f>Vout*Table2[[#This Row],[Iout]]</f>
        <v>157.68</v>
      </c>
      <c r="BK99" s="550">
        <f>Table2[[#This Row],[Pout]]/(Table2[[#This Row],[Pout]]+Table2[[#This Row],[Total Loss]])</f>
        <v>0.94128480897670852</v>
      </c>
      <c r="BL99" s="559">
        <f>IF(Table2[[#This Row],[Vin]]&gt;Vout,ThetaJA_Q1*(Table2[[#This Row],[Total Control Bu MOSFET Loss]]+Table2[[#This Row],[Reverse Recovery Loss MOSFET D BUCK]]),ThetaJA_Q4*(Table2[[#This Row],[Total Control Bo MOSFET Loss]]+Table2[[#This Row],[Reverse Recovery Loss MOSFET D BOOST]]))</f>
        <v>220.97216913189988</v>
      </c>
      <c r="BM99" s="559">
        <f>IF(Table2[[#This Row],[Vin]]&gt;Vout, Table2[[#This Row],[Total Sync Bu MOSFET Loss]]*ThetaJA_Q2, ThetaJA_Q3*Table2[[#This Row],[Total Sync Bo MOSFET Loss]])</f>
        <v>69.023075400074418</v>
      </c>
      <c r="BN99" s="9"/>
      <c r="BO99" s="4">
        <f>Table2[[#This Row],[EFF, h]]*100</f>
        <v>94.128480897670855</v>
      </c>
      <c r="BP99" s="354">
        <f>Table2[[#This Row],[Total Inductor Loss]]</f>
        <v>1.3149203248140346</v>
      </c>
      <c r="BQ99" s="354">
        <f>Table2[[#This Row],[Total Control Bu MOSFET Loss]]+Table2[[#This Row],[Total Sync Bu MOSFET Loss]]+Table2[[#This Row],[Total Control Bo MOSFET Loss]]+Table2[[#This Row],[Total Sync Bo MOSFET Loss]]+Table2[[#This Row],[Reverse Recovery Loss MOSFET D BUCK]]+Table2[[#This Row],[Reverse Recovery Loss MOSFET D BOOST]]</f>
        <v>6.2092649688559867</v>
      </c>
      <c r="BR99" s="354">
        <f xml:space="preserve"> Table2[[#This Row],[Total Control Bu MOSFET Loss]]+Table2[[#This Row],[Reverse Recovery Loss MOSFET D BUCK]]*0.66</f>
        <v>3.5963768474516651</v>
      </c>
      <c r="BS99" s="354">
        <f>Table2[[#This Row],[Total Sync Bu MOSFET Loss]]+Table2[[#This Row],[Reverse Recovery Loss MOSFET D BUCK]]*0.33</f>
        <v>1.2343333269612404</v>
      </c>
      <c r="BT99" s="354">
        <f xml:space="preserve"> Table2[[#This Row],[Total Control Bo MOSFET Loss]]+Table2[[#This Row],[Reverse Recovery Loss MOSFET D BOOST]]*0.66</f>
        <v>0.72870786458154035</v>
      </c>
      <c r="BU99" s="354">
        <f xml:space="preserve"> Table2[[#This Row],[Total Sync Bo MOSFET Loss]]+Table2[[#This Row],[Reverse Recovery Loss MOSFET D BOOST]]*0.33</f>
        <v>0.64475912762154042</v>
      </c>
      <c r="BV99" s="354">
        <f>Table2[[#This Row],[Isense Shunt Loss]]</f>
        <v>0.29421587233445634</v>
      </c>
      <c r="CB99" s="18"/>
      <c r="CC99" s="19"/>
    </row>
    <row r="100" spans="7:81" x14ac:dyDescent="0.2">
      <c r="G100">
        <v>91</v>
      </c>
      <c r="H100" s="555">
        <f t="shared" si="8"/>
        <v>23.6</v>
      </c>
      <c r="I100" s="4" t="str">
        <f>IF(Mode = 2,IF(Table2[[#This Row],[Vin]]&gt;Vout, "BUCK","BOOST"),IF(Table2[[#This Row],[Vin]]&gt;VIN_BB_to_buck, "BUCK", IF(Table2[[#This Row],[Vin]]&lt;=VIN_boost_to_BB,"BOOST","BUCK-BST")))</f>
        <v>BUCK</v>
      </c>
      <c r="J100">
        <f>IF(Table2[[#This Row],[Mode]]="BOOST",2, IF(Table2[[#This Row],[Mode]]="BUCK", 1,3))</f>
        <v>1</v>
      </c>
      <c r="K100" s="354">
        <f t="shared" si="11"/>
        <v>10.92</v>
      </c>
      <c r="L100" s="4">
        <f>Vout*Table2[[#This Row],[Iout]]/(Table2[[#This Row],[Vin]]*Efficiency)</f>
        <v>7.1111507582515596</v>
      </c>
      <c r="M100" s="711">
        <f>MIN(1/Fsw,CHOOSE(Table2[[#This Row],[Mode Digit]],(Vout+(Rdson2+Rs+Rdcr)*Table2[[#This Row],[Iout]])/(Table2[[#This Row],[Vin]]+(Rs+Rdson2-Rdson1)*Table2[[#This Row],[Iout]])/Fsw,(Vout+(Rdson3+Rdcr)*Table2[[#This Row],[Iin]]-Table2[[#This Row],[Vin]])/(Vout+(Rdson3-Rdson4-Rs)*Table2[[#This Row],[Iin]])/Fsw,t1_Ph_II))</f>
        <v>1.0395107918946866E-6</v>
      </c>
      <c r="N100" s="602">
        <f>CHOOSE(Table2[[#This Row],[Mode Digit]],1/Fsw-Table2[[#This Row],[t1_Ph_II]],1/Fsw-Table2[[#This Row],[t1_Ph_II]],(Vout/Fsw-Table2[[#This Row],[Vin]]*t1_Ph_II)/(Table2[[#This Row],[Vin]]+Vout))</f>
        <v>6.2715587477198003E-7</v>
      </c>
      <c r="O100" s="602">
        <f>1/Fsw-(Table2[[#This Row],[t1_Ph_II]]+Table2[[#This Row],[t2_Ph_I]])</f>
        <v>0</v>
      </c>
      <c r="P100"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9.1481066047249655</v>
      </c>
      <c r="Q100" s="4">
        <f>CHOOSE(Table2[[#This Row],[Mode Digit]],Table2[[#This Row],[I_0]]+1/Lf*(Table2[[#This Row],[Vin]]-Vout)*Table2[[#This Row],[t1_Ph_II]],Table2[[#This Row],[I_0]]+1/Lf*Table2[[#This Row],[Vin]]*Table2[[#This Row],[t1_Ph_II]],Table2[[#This Row],[I_0]]+(Table2[[#This Row],[Vin]]-Vout)/L*Table2[[#This Row],[t1_Ph_II]])</f>
        <v>12.691893395275034</v>
      </c>
      <c r="R100" s="4">
        <f>CHOOSE(Table2[[#This Row],[Mode Digit]],0,0,Table2[[#This Row],[I_1]]+Table2[[#This Row],[Vin]]/L*Table2[[#This Row],[t2_Ph_I]])</f>
        <v>0</v>
      </c>
      <c r="S100" s="409">
        <f>Fsw*(Table2[[#This Row],[I_0]]*Table2[[#This Row],[t1_Ph_II]]+Table2[[#This Row],[I_1]]*Table2[[#This Row],[t2_Ph_I]]+Table2[[#This Row],[I_2]]*Table2[[#This Row],[t3_Ph_III]])</f>
        <v>10.481610627504654</v>
      </c>
      <c r="T100" s="354">
        <f>MIN(1,CHOOSE(Table2[[#This Row],[Mode Digit]],(Vout+(Rdson2+Rs+Rdcr)*Table2[[#This Row],[Iout]])/(Table2[[#This Row],[Vin]]+(Rs+Rdson2-Rdson1)*Table2[[#This Row],[Iout]]),1,Fsw*Table2[[#This Row],[t2_Ph_I]]+Table2[[#This Row],[t1_Ph_II]]))</f>
        <v>0.62370647513681199</v>
      </c>
      <c r="U100" s="354">
        <f>MIN(1,CHOOSE(Table2[[#This Row],[Mode Digit]],0,(Vout+(Rdson3+Rdcr)*Table2[[#This Row],[Iin]]-Table2[[#This Row],[Vin]])/(Vout+(Rdson3-Rdson4-Rs)*Table2[[#This Row],[Iin]]),Fsw*Table2[[#This Row],[t1_Ph_II]]+Table2[[#This Row],[t3_Ph_III]]))</f>
        <v>0</v>
      </c>
      <c r="V100" s="4">
        <f>MAX(Table2[[#This Row],[I_0]:[I_2]])-MIN(Table2[[#This Row],[I_0]:[I_1]])</f>
        <v>3.5437867905500688</v>
      </c>
      <c r="W100"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10.967813610807143</v>
      </c>
      <c r="X100" s="354">
        <f>(Table2[[#This Row],[Irms Lf]]^2*Rdcr*(1+Ltc*Ta-Ltc*25))/(1-Table2[[#This Row],[Irms Lf]]^2*Rdcr*Ltc*ThetaCa)</f>
        <v>0.73894385809326946</v>
      </c>
      <c r="Y100" s="354">
        <f>ABS(7.759*10^-3*Fsw^0.9458*(0.00787*Table2[[#This Row],[Ripple Current pk-pk]])^2.304)</f>
        <v>0.5930349701250115</v>
      </c>
      <c r="Z100" s="354">
        <f>Table2[[#This Row],[DCR    Loss]]+Table2[[#This Row],[Core Loss]]</f>
        <v>1.331978828218281</v>
      </c>
      <c r="AA100" s="4">
        <f>IF(Table2[[#This Row],[Vin]]&gt;Vout, Table2[[#This Row],[Ripple Current pk-pk]]/SQRT(12), SQRT(Table2[[#This Row],[Duty Cycle BOOST Leg]]/(1-Table2[[#This Row],[Duty Cycle BOOST Leg]]))*SQRT(Table2[[#This Row],[Iout]]^2+(Table2[[#This Row],[Ripple Current pk-pk]]^2)/12))</f>
        <v>1.0230031287373611</v>
      </c>
      <c r="AB100" s="354">
        <f>RCoutEsr*Table2[[#This Row],[Irms Cout]]^2</f>
        <v>5.2326770070321499E-3</v>
      </c>
      <c r="AC100" s="354">
        <f>Table2[[#This Row],[Cout ESR Loss]]</f>
        <v>5.2326770070321499E-3</v>
      </c>
      <c r="AD100" s="4">
        <f>IF(Table2[[#This Row],[Vin]]&gt;Vout, SQRT(Table2[[#This Row],[Duty Cycle BUCK Leg]]*(1-Table2[[#This Row],[Duty Cycle BUCK Leg]]))*SQRT(Table2[[#This Row],[Iout]]^2+(Table2[[#This Row],[Ripple Current pk-pk]]^2)/12), Table2[[#This Row],[Ripple Current pk-pk]]/SQRT(12))</f>
        <v>5.3134128331493766</v>
      </c>
      <c r="AE100" s="354">
        <f>RCinEsr*Table2[[#This Row],[Irms Cin]]^2</f>
        <v>5.646471187095297E-2</v>
      </c>
      <c r="AF100" s="549">
        <f>Table2[[#This Row],[Cin ESR Loss]]</f>
        <v>5.646471187095297E-2</v>
      </c>
      <c r="AG100" s="354">
        <f>Table2[[#This Row],[Irms Lf]]</f>
        <v>10.967813610807143</v>
      </c>
      <c r="AH100" s="354">
        <f>Rdson1*Table2[[#This Row],[Irms BuCtrl]]^2</f>
        <v>0.505230328685907</v>
      </c>
      <c r="AI100" s="354">
        <f>CHOOSE(Table2[[#This Row],[Mode Digit]], (Table2[[#This Row],[Vin]]*Table2[[#This Row],[Iout]]/2)*(Fsw)*(Tr_buck+Tf_buck), 0, (Table2[[#This Row],[Vin]]*Table2[[#This Row],[Avg IL]]/2)*(Fsw/1)*(Tr_buck+Tf_buck))</f>
        <v>2.5555667575671857</v>
      </c>
      <c r="AJ100">
        <f>IF(Table2[[#This Row],[Vin]]&gt;Vout, IF(Table2[[#This Row],[Iout]]&gt;Table2[[#This Row],[Ripple Current pk-pk]]/2,0,ABS(Table2[[#This Row],[Iout]]-Table2[[#This Row],[Ripple Current pk-pk]]/2)*Vsd_Q1*Deadtime*Fsw),0)</f>
        <v>0</v>
      </c>
      <c r="AK100" s="354">
        <f>(Table2[[#This Row],[Dead Time Loss BuCtrl]]+Table2[[#This Row],[Transition Loss BuCtrl]]+Table2[[#This Row],[RDS(on) Loss BuCtrl]]*(1+RdsonTopTc*Ta-RdsonTopTc*25))/(1-Table2[[#This Row],[RDS(on) Loss BuCtrl]]*RdsonTopTc*ThetaJA_Q1)</f>
        <v>3.4831470536381173</v>
      </c>
      <c r="AL100" s="354">
        <f>Table2[[#This Row],[Irms Lf]]</f>
        <v>10.967813610807143</v>
      </c>
      <c r="AM100" s="354">
        <f>Rdson2*Table2[[#This Row],[Irms BuSync]]^2</f>
        <v>0.505230328685907</v>
      </c>
      <c r="AN100"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0.52540799999999999</v>
      </c>
      <c r="AO100" s="354">
        <f>(Table2[[#This Row],[Deadtime Loss BuSync]]+Table2[[#This Row],[RDS(on) Loss BuSync]]*(1+RdsonBotTc*Ta-RdsonBotTc*25))/(1-Table2[[#This Row],[RDS(on) Loss BuSync]]*RdsonBotTc*ThetaJA_Q2)</f>
        <v>1.1728529388805065</v>
      </c>
      <c r="AP100" s="354">
        <f>Table2[[#This Row],[Irms Lf]]</f>
        <v>10.967813610807143</v>
      </c>
      <c r="AQ100" s="354">
        <f>Rdson4*Table2[[#This Row],[Irms BoCtlr]]^2</f>
        <v>0.505230328685907</v>
      </c>
      <c r="AR100" s="354">
        <f>CHOOSE(Table2[[#This Row],[Mode Digit]], 0, (Vout*Table2[[#This Row],[Iin]]/2)*(Fsw)*(Tr_boost+Tf_boost), (Vout*Iout/2)*(Fsw/1)*(Tr_boost+Tf_boost))</f>
        <v>0</v>
      </c>
      <c r="AS100" s="354">
        <f>IF(Table2[[#This Row],[Vin]]&gt;Vout, 0, IF(Table2[[#This Row],[Iin]]&gt;Table2[[#This Row],[Ripple Current pk-pk]]/2,0,ABS(Table2[[#This Row],[Iin]]-Table2[[#This Row],[Ripple Current pk-pk]]/2)*Vsd_Q4*Deadtime*Fsw))</f>
        <v>0</v>
      </c>
      <c r="AT100" s="354">
        <f>(Table2[[#This Row],[Dead Time Loss BoCtlr]]+Table2[[#This Row],[Transition Loss BoCtlr]]+Table2[[#This Row],[RDS(on) Loss BoCtlr]]*(1+RdsonTopTc*Ta-RdsonTopTc*25))/(1-Table2[[#This Row],[RDS(on) Loss BoCtlr]]*RdsonTopTc*ThetaJA_Q4)</f>
        <v>0.57494550640898645</v>
      </c>
      <c r="AU100" s="354">
        <f>Table2[[#This Row],[Irms Lf]]</f>
        <v>10.967813610807143</v>
      </c>
      <c r="AV100" s="354">
        <f>Rdson3*Table2[[#This Row],[Irms BoSync]]^2</f>
        <v>0.505230328685907</v>
      </c>
      <c r="AW100"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0" s="354">
        <f>(Table2[[#This Row],[Deadtime Loss BoSync]]+Table2[[#This Row],[RDS(on) Loss BoSync]]*(1+RdsonBotTc*Ta-RdsonBotTc*25))/(1-Table2[[#This Row],[RDS(on) Loss BoSync]]*RdsonBotTc*ThetaJA_Q3)</f>
        <v>0.57494550640898645</v>
      </c>
      <c r="AY100" s="354">
        <f>CHOOSE(Table2[[#This Row],[Mode Digit]], Rdson3*Table2[[#This Row],[Irms Lf]]^2, Rdson1*Table2[[#This Row],[Irms Lf]]^2, 0)</f>
        <v>0.505230328685907</v>
      </c>
      <c r="AZ100" s="354">
        <f>CHOOSE(Table2[[#This Row],[Mode Digit]], 2*Deadtime*Fsw*IF(VfdSky_Q2&gt;0,VfdSky_Q2,0)*Table2[[#This Row],[Iout]], 2*Deadtime*Fsw*IF(VfdSky_Q3&gt;0,VfdSky_Q3,0)*Table2[[#This Row],[Iin]], 2*Deadtime*Fsw*IF(VfdSky_Q2&gt;0,VfdSky_Q2,0)*Table2[[#This Row],[Iout]]+2*Deadtime*Fsw*IF(VfdSky_Q3&gt;0,VfdSky_Q3,0)*Table2[[#This Row],[Iin]])</f>
        <v>0</v>
      </c>
      <c r="BA10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0.25721116512000003</v>
      </c>
      <c r="BB100"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0.25721116512000003</v>
      </c>
      <c r="BC100" s="354">
        <f>CHOOSE(Table2[[#This Row],[Mode Digit]], Rs*Table2[[#This Row],[Irms BuSync]]^2, Rs*Table2[[#This Row],[Irms BoCtlr]]^2, Rs*(Table2[[#This Row],[Irms BuSync]]^2+Table2[[#This Row],[Irms BoCtlr]]^2))</f>
        <v>0.30073233850351605</v>
      </c>
      <c r="BD100" s="354">
        <f t="shared" si="9"/>
        <v>1.44</v>
      </c>
      <c r="BE100" s="354">
        <f>IF(Vout&gt;8, Iq*Vout, Iq*Table2[[#This Row],[Vin]])</f>
        <v>4.3799999999999999E-2</v>
      </c>
      <c r="BF100" s="354">
        <f>CHOOSE(Table2[[#This Row],[Mode Digit]], (Qg_Q1+Qg_Q2)*Fsw, (Qg_Q3+Qg_Q4)*Fsw, (Qg_Q1+Qg_Q2+Qg_Q3+Qg_Q4)*Fsw)*IF(Vout&gt;8, Vout, Table2[[#This Row],[Vin]])</f>
        <v>0.47303999999999996</v>
      </c>
      <c r="BG100" s="354">
        <f t="shared" si="10"/>
        <v>0.57269042016806726</v>
      </c>
      <c r="BH100" s="354">
        <f>Table2[[#This Row],[IQ Loss]]+Table2[[#This Row],[Switching Current Loss]]</f>
        <v>0.51683999999999997</v>
      </c>
      <c r="BI100"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9.9715618911763784</v>
      </c>
      <c r="BJ100">
        <f>Vout*Table2[[#This Row],[Iout]]</f>
        <v>159.43199999999999</v>
      </c>
      <c r="BK100" s="550">
        <f>Table2[[#This Row],[Pout]]/(Table2[[#This Row],[Pout]]+Table2[[#This Row],[Total Loss]])</f>
        <v>0.94113723595976073</v>
      </c>
      <c r="BL100" s="559">
        <f>IF(Table2[[#This Row],[Vin]]&gt;Vout,ThetaJA_Q1*(Table2[[#This Row],[Total Control Bu MOSFET Loss]]+Table2[[#This Row],[Reverse Recovery Loss MOSFET D BUCK]]),ThetaJA_Q4*(Table2[[#This Row],[Total Control Bo MOSFET Loss]]+Table2[[#This Row],[Reverse Recovery Loss MOSFET D BOOST]]))</f>
        <v>224.42149312548705</v>
      </c>
      <c r="BM100" s="559">
        <f>IF(Table2[[#This Row],[Vin]]&gt;Vout, Table2[[#This Row],[Total Sync Bu MOSFET Loss]]*ThetaJA_Q2, ThetaJA_Q3*Table2[[#This Row],[Total Sync Bo MOSFET Loss]])</f>
        <v>70.371176332830387</v>
      </c>
      <c r="BN100" s="9"/>
      <c r="BO100" s="4">
        <f>Table2[[#This Row],[EFF, h]]*100</f>
        <v>94.113723595976069</v>
      </c>
      <c r="BP100" s="354">
        <f>Table2[[#This Row],[Total Inductor Loss]]</f>
        <v>1.331978828218281</v>
      </c>
      <c r="BQ100" s="354">
        <f>Table2[[#This Row],[Total Control Bu MOSFET Loss]]+Table2[[#This Row],[Total Sync Bu MOSFET Loss]]+Table2[[#This Row],[Total Control Bo MOSFET Loss]]+Table2[[#This Row],[Total Sync Bo MOSFET Loss]]+Table2[[#This Row],[Reverse Recovery Loss MOSFET D BUCK]]+Table2[[#This Row],[Reverse Recovery Loss MOSFET D BOOST]]</f>
        <v>6.3203133355765964</v>
      </c>
      <c r="BR100" s="354">
        <f xml:space="preserve"> Table2[[#This Row],[Total Control Bu MOSFET Loss]]+Table2[[#This Row],[Reverse Recovery Loss MOSFET D BUCK]]*0.66</f>
        <v>3.6529064226173174</v>
      </c>
      <c r="BS100" s="354">
        <f>Table2[[#This Row],[Total Sync Bu MOSFET Loss]]+Table2[[#This Row],[Reverse Recovery Loss MOSFET D BUCK]]*0.33</f>
        <v>1.2577326233701065</v>
      </c>
      <c r="BT100" s="354">
        <f xml:space="preserve"> Table2[[#This Row],[Total Control Bo MOSFET Loss]]+Table2[[#This Row],[Reverse Recovery Loss MOSFET D BOOST]]*0.66</f>
        <v>0.74470487538818642</v>
      </c>
      <c r="BU100" s="354">
        <f xml:space="preserve"> Table2[[#This Row],[Total Sync Bo MOSFET Loss]]+Table2[[#This Row],[Reverse Recovery Loss MOSFET D BOOST]]*0.33</f>
        <v>0.65982519089858649</v>
      </c>
      <c r="BV100" s="354">
        <f>Table2[[#This Row],[Isense Shunt Loss]]</f>
        <v>0.30073233850351605</v>
      </c>
      <c r="CB100" s="18"/>
      <c r="CC100" s="19"/>
    </row>
    <row r="101" spans="7:81" x14ac:dyDescent="0.2">
      <c r="G101">
        <v>92</v>
      </c>
      <c r="H101" s="555">
        <f t="shared" si="8"/>
        <v>23.6</v>
      </c>
      <c r="I101" s="4" t="str">
        <f>IF(Mode = 2,IF(Table2[[#This Row],[Vin]]&gt;Vout, "BUCK","BOOST"),IF(Table2[[#This Row],[Vin]]&gt;VIN_BB_to_buck, "BUCK", IF(Table2[[#This Row],[Vin]]&lt;=VIN_boost_to_BB,"BOOST","BUCK-BST")))</f>
        <v>BUCK</v>
      </c>
      <c r="J101">
        <f>IF(Table2[[#This Row],[Mode]]="BOOST",2, IF(Table2[[#This Row],[Mode]]="BUCK", 1,3))</f>
        <v>1</v>
      </c>
      <c r="K101" s="354">
        <f t="shared" si="11"/>
        <v>11.04</v>
      </c>
      <c r="L101" s="4">
        <f>Vout*Table2[[#This Row],[Iout]]/(Table2[[#This Row],[Vin]]*Efficiency)</f>
        <v>7.1892952720785006</v>
      </c>
      <c r="M101" s="711">
        <f>MIN(1/Fsw,CHOOSE(Table2[[#This Row],[Mode Digit]],(Vout+(Rdson2+Rs+Rdcr)*Table2[[#This Row],[Iout]])/(Table2[[#This Row],[Vin]]+(Rs+Rdson2-Rdson1)*Table2[[#This Row],[Iout]])/Fsw,(Vout+(Rdson3+Rdcr)*Table2[[#This Row],[Iin]]-Table2[[#This Row],[Vin]])/(Vout+(Rdson3-Rdson4-Rs)*Table2[[#This Row],[Iin]])/Fsw,t1_Ph_II))</f>
        <v>1.0396034016714914E-6</v>
      </c>
      <c r="N101" s="602">
        <f>CHOOSE(Table2[[#This Row],[Mode Digit]],1/Fsw-Table2[[#This Row],[t1_Ph_II]],1/Fsw-Table2[[#This Row],[t1_Ph_II]],(Vout/Fsw-Table2[[#This Row],[Vin]]*t1_Ph_II)/(Table2[[#This Row],[Vin]]+Vout))</f>
        <v>6.2706326499517524E-7</v>
      </c>
      <c r="O101" s="602">
        <f>1/Fsw-(Table2[[#This Row],[t1_Ph_II]]+Table2[[#This Row],[t2_Ph_I]])</f>
        <v>0</v>
      </c>
      <c r="P101"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9.2679487471508661</v>
      </c>
      <c r="Q101" s="4">
        <f>CHOOSE(Table2[[#This Row],[Mode Digit]],Table2[[#This Row],[I_0]]+1/Lf*(Table2[[#This Row],[Vin]]-Vout)*Table2[[#This Row],[t1_Ph_II]],Table2[[#This Row],[I_0]]+1/Lf*Table2[[#This Row],[Vin]]*Table2[[#This Row],[t1_Ph_II]],Table2[[#This Row],[I_0]]+(Table2[[#This Row],[Vin]]-Vout)/L*Table2[[#This Row],[t1_Ph_II]])</f>
        <v>12.812051252849134</v>
      </c>
      <c r="R101" s="4">
        <f>CHOOSE(Table2[[#This Row],[Mode Digit]],0,0,Table2[[#This Row],[I_1]]+Table2[[#This Row],[Vin]]/L*Table2[[#This Row],[t2_Ph_I]])</f>
        <v>0</v>
      </c>
      <c r="S101" s="409">
        <f>Fsw*(Table2[[#This Row],[I_0]]*Table2[[#This Row],[t1_Ph_II]]+Table2[[#This Row],[I_1]]*Table2[[#This Row],[t2_Ph_I]]+Table2[[#This Row],[I_2]]*Table2[[#This Row],[t3_Ph_III]])</f>
        <v>10.601374640371308</v>
      </c>
      <c r="T101" s="354">
        <f>MIN(1,CHOOSE(Table2[[#This Row],[Mode Digit]],(Vout+(Rdson2+Rs+Rdcr)*Table2[[#This Row],[Iout]])/(Table2[[#This Row],[Vin]]+(Rs+Rdson2-Rdson1)*Table2[[#This Row],[Iout]]),1,Fsw*Table2[[#This Row],[t2_Ph_I]]+Table2[[#This Row],[t1_Ph_II]]))</f>
        <v>0.6237620410028949</v>
      </c>
      <c r="U101" s="354">
        <f>MIN(1,CHOOSE(Table2[[#This Row],[Mode Digit]],0,(Vout+(Rdson3+Rdcr)*Table2[[#This Row],[Iin]]-Table2[[#This Row],[Vin]])/(Vout+(Rdson3-Rdson4-Rs)*Table2[[#This Row],[Iin]]),Fsw*Table2[[#This Row],[t1_Ph_II]]+Table2[[#This Row],[t3_Ph_III]]))</f>
        <v>0</v>
      </c>
      <c r="V101" s="4">
        <f>MAX(Table2[[#This Row],[I_0]:[I_2]])-MIN(Table2[[#This Row],[I_0]:[I_1]])</f>
        <v>3.5441025056982678</v>
      </c>
      <c r="W101"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11.087304536311253</v>
      </c>
      <c r="X101" s="354">
        <f>(Table2[[#This Row],[Irms Lf]]^2*Rdcr*(1+Ltc*Ta-Ltc*25))/(1-Table2[[#This Row],[Irms Lf]]^2*Rdcr*Ltc*ThetaCa)</f>
        <v>0.75611194030610629</v>
      </c>
      <c r="Y101" s="354">
        <f>ABS(7.759*10^-3*Fsw^0.9458*(0.00787*Table2[[#This Row],[Ripple Current pk-pk]])^2.304)</f>
        <v>0.59315670523140585</v>
      </c>
      <c r="Z101" s="354">
        <f>Table2[[#This Row],[DCR    Loss]]+Table2[[#This Row],[Core Loss]]</f>
        <v>1.3492686455375122</v>
      </c>
      <c r="AA101" s="4">
        <f>IF(Table2[[#This Row],[Vin]]&gt;Vout, Table2[[#This Row],[Ripple Current pk-pk]]/SQRT(12), SQRT(Table2[[#This Row],[Duty Cycle BOOST Leg]]/(1-Table2[[#This Row],[Duty Cycle BOOST Leg]]))*SQRT(Table2[[#This Row],[Iout]]^2+(Table2[[#This Row],[Ripple Current pk-pk]]^2)/12))</f>
        <v>1.023094267850261</v>
      </c>
      <c r="AB101" s="354">
        <f>RCoutEsr*Table2[[#This Row],[Irms Cout]]^2</f>
        <v>5.2336094045403085E-3</v>
      </c>
      <c r="AC101" s="354">
        <f>Table2[[#This Row],[Cout ESR Loss]]</f>
        <v>5.2336094045403085E-3</v>
      </c>
      <c r="AD101" s="4">
        <f>IF(Table2[[#This Row],[Vin]]&gt;Vout, SQRT(Table2[[#This Row],[Duty Cycle BUCK Leg]]*(1-Table2[[#This Row],[Duty Cycle BUCK Leg]]))*SQRT(Table2[[#This Row],[Iout]]^2+(Table2[[#This Row],[Ripple Current pk-pk]]^2)/12), Table2[[#This Row],[Ripple Current pk-pk]]/SQRT(12))</f>
        <v>5.3711434633121282</v>
      </c>
      <c r="AE101" s="354">
        <f>RCinEsr*Table2[[#This Row],[Irms Cin]]^2</f>
        <v>5.7698364206961207E-2</v>
      </c>
      <c r="AF101" s="549">
        <f>Table2[[#This Row],[Cin ESR Loss]]</f>
        <v>5.7698364206961207E-2</v>
      </c>
      <c r="AG101" s="354">
        <f>Table2[[#This Row],[Irms Lf]]</f>
        <v>11.087304536311253</v>
      </c>
      <c r="AH101" s="354">
        <f>Rdson1*Table2[[#This Row],[Irms BuCtrl]]^2</f>
        <v>0.51629895189981401</v>
      </c>
      <c r="AI101" s="354">
        <f>CHOOSE(Table2[[#This Row],[Mode Digit]], (Table2[[#This Row],[Vin]]*Table2[[#This Row],[Iout]]/2)*(Fsw)*(Tr_buck+Tf_buck), 0, (Table2[[#This Row],[Vin]]*Table2[[#This Row],[Avg IL]]/2)*(Fsw/1)*(Tr_buck+Tf_buck))</f>
        <v>2.5836499087492428</v>
      </c>
      <c r="AJ101">
        <f>IF(Table2[[#This Row],[Vin]]&gt;Vout, IF(Table2[[#This Row],[Iout]]&gt;Table2[[#This Row],[Ripple Current pk-pk]]/2,0,ABS(Table2[[#This Row],[Iout]]-Table2[[#This Row],[Ripple Current pk-pk]]/2)*Vsd_Q1*Deadtime*Fsw),0)</f>
        <v>0</v>
      </c>
      <c r="AK101" s="354">
        <f>(Table2[[#This Row],[Dead Time Loss BuCtrl]]+Table2[[#This Row],[Transition Loss BuCtrl]]+Table2[[#This Row],[RDS(on) Loss BuCtrl]]*(1+RdsonTopTc*Ta-RdsonTopTc*25))/(1-Table2[[#This Row],[RDS(on) Loss BuCtrl]]*RdsonTopTc*ThetaJA_Q1)</f>
        <v>3.5383979355796775</v>
      </c>
      <c r="AL101" s="354">
        <f>Table2[[#This Row],[Irms Lf]]</f>
        <v>11.087304536311253</v>
      </c>
      <c r="AM101" s="354">
        <f>Rdson2*Table2[[#This Row],[Irms BuSync]]^2</f>
        <v>0.51629895189981401</v>
      </c>
      <c r="AN101"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0.53118171428571426</v>
      </c>
      <c r="AO101" s="354">
        <f>(Table2[[#This Row],[Deadtime Loss BuSync]]+Table2[[#This Row],[RDS(on) Loss BuSync]]*(1+RdsonBotTc*Ta-RdsonBotTc*25))/(1-Table2[[#This Row],[RDS(on) Loss BuSync]]*RdsonBotTc*ThetaJA_Q2)</f>
        <v>1.1956337324914657</v>
      </c>
      <c r="AP101" s="354">
        <f>Table2[[#This Row],[Irms Lf]]</f>
        <v>11.087304536311253</v>
      </c>
      <c r="AQ101" s="354">
        <f>Rdson4*Table2[[#This Row],[Irms BoCtlr]]^2</f>
        <v>0.51629895189981401</v>
      </c>
      <c r="AR101" s="354">
        <f>CHOOSE(Table2[[#This Row],[Mode Digit]], 0, (Vout*Table2[[#This Row],[Iin]]/2)*(Fsw)*(Tr_boost+Tf_boost), (Vout*Iout/2)*(Fsw/1)*(Tr_boost+Tf_boost))</f>
        <v>0</v>
      </c>
      <c r="AS101" s="354">
        <f>IF(Table2[[#This Row],[Vin]]&gt;Vout, 0, IF(Table2[[#This Row],[Iin]]&gt;Table2[[#This Row],[Ripple Current pk-pk]]/2,0,ABS(Table2[[#This Row],[Iin]]-Table2[[#This Row],[Ripple Current pk-pk]]/2)*Vsd_Q4*Deadtime*Fsw))</f>
        <v>0</v>
      </c>
      <c r="AT101" s="354">
        <f>(Table2[[#This Row],[Dead Time Loss BoCtlr]]+Table2[[#This Row],[Transition Loss BoCtlr]]+Table2[[#This Row],[RDS(on) Loss BoCtlr]]*(1+RdsonTopTc*Ta-RdsonTopTc*25))/(1-Table2[[#This Row],[RDS(on) Loss BoCtlr]]*RdsonTopTc*ThetaJA_Q4)</f>
        <v>0.58932299456119053</v>
      </c>
      <c r="AU101" s="354">
        <f>Table2[[#This Row],[Irms Lf]]</f>
        <v>11.087304536311253</v>
      </c>
      <c r="AV101" s="354">
        <f>Rdson3*Table2[[#This Row],[Irms BoSync]]^2</f>
        <v>0.51629895189981401</v>
      </c>
      <c r="AW101"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1" s="354">
        <f>(Table2[[#This Row],[Deadtime Loss BoSync]]+Table2[[#This Row],[RDS(on) Loss BoSync]]*(1+RdsonBotTc*Ta-RdsonBotTc*25))/(1-Table2[[#This Row],[RDS(on) Loss BoSync]]*RdsonBotTc*ThetaJA_Q3)</f>
        <v>0.58932299456119053</v>
      </c>
      <c r="AY101" s="354">
        <f>CHOOSE(Table2[[#This Row],[Mode Digit]], Rdson3*Table2[[#This Row],[Irms Lf]]^2, Rdson1*Table2[[#This Row],[Irms Lf]]^2, 0)</f>
        <v>0.51629895189981401</v>
      </c>
      <c r="AZ101" s="354">
        <f>CHOOSE(Table2[[#This Row],[Mode Digit]], 2*Deadtime*Fsw*IF(VfdSky_Q2&gt;0,VfdSky_Q2,0)*Table2[[#This Row],[Iout]], 2*Deadtime*Fsw*IF(VfdSky_Q3&gt;0,VfdSky_Q3,0)*Table2[[#This Row],[Iin]], 2*Deadtime*Fsw*IF(VfdSky_Q2&gt;0,VfdSky_Q2,0)*Table2[[#This Row],[Iout]]+2*Deadtime*Fsw*IF(VfdSky_Q3&gt;0,VfdSky_Q3,0)*Table2[[#This Row],[Iin]])</f>
        <v>0</v>
      </c>
      <c r="BA10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0.26003209727999999</v>
      </c>
      <c r="BB101"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0.26003209727999999</v>
      </c>
      <c r="BC101" s="354">
        <f>CHOOSE(Table2[[#This Row],[Mode Digit]], Rs*Table2[[#This Row],[Irms BuSync]]^2, Rs*Table2[[#This Row],[Irms BoCtlr]]^2, Rs*(Table2[[#This Row],[Irms BuSync]]^2+Table2[[#This Row],[Irms BoCtlr]]^2))</f>
        <v>0.30732080470227024</v>
      </c>
      <c r="BD101" s="354">
        <f t="shared" si="9"/>
        <v>1.44</v>
      </c>
      <c r="BE101" s="354">
        <f>IF(Vout&gt;8, Iq*Vout, Iq*Table2[[#This Row],[Vin]])</f>
        <v>4.3799999999999999E-2</v>
      </c>
      <c r="BF101" s="354">
        <f>CHOOSE(Table2[[#This Row],[Mode Digit]], (Qg_Q1+Qg_Q2)*Fsw, (Qg_Q3+Qg_Q4)*Fsw, (Qg_Q1+Qg_Q2+Qg_Q3+Qg_Q4)*Fsw)*IF(Vout&gt;8, Vout, Table2[[#This Row],[Vin]])</f>
        <v>0.47303999999999996</v>
      </c>
      <c r="BG101" s="354">
        <f t="shared" si="10"/>
        <v>0.57269042016806726</v>
      </c>
      <c r="BH101" s="354">
        <f>Table2[[#This Row],[IQ Loss]]+Table2[[#This Row],[Switching Current Loss]]</f>
        <v>0.51683999999999997</v>
      </c>
      <c r="BI101"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10.109103275604808</v>
      </c>
      <c r="BJ101">
        <f>Vout*Table2[[#This Row],[Iout]]</f>
        <v>161.184</v>
      </c>
      <c r="BK101" s="550">
        <f>Table2[[#This Row],[Pout]]/(Table2[[#This Row],[Pout]]+Table2[[#This Row],[Total Loss]])</f>
        <v>0.94098359430537259</v>
      </c>
      <c r="BL101" s="559">
        <f>IF(Table2[[#This Row],[Vin]]&gt;Vout,ThetaJA_Q1*(Table2[[#This Row],[Total Control Bu MOSFET Loss]]+Table2[[#This Row],[Reverse Recovery Loss MOSFET D BUCK]]),ThetaJA_Q4*(Table2[[#This Row],[Total Control Bo MOSFET Loss]]+Table2[[#This Row],[Reverse Recovery Loss MOSFET D BOOST]]))</f>
        <v>227.90580197158064</v>
      </c>
      <c r="BM101" s="559">
        <f>IF(Table2[[#This Row],[Vin]]&gt;Vout, Table2[[#This Row],[Total Sync Bu MOSFET Loss]]*ThetaJA_Q2, ThetaJA_Q3*Table2[[#This Row],[Total Sync Bo MOSFET Loss]])</f>
        <v>71.738023949487939</v>
      </c>
      <c r="BN101" s="9"/>
      <c r="BO101" s="4">
        <f>Table2[[#This Row],[EFF, h]]*100</f>
        <v>94.098359430537258</v>
      </c>
      <c r="BP101" s="354">
        <f>Table2[[#This Row],[Total Inductor Loss]]</f>
        <v>1.3492686455375122</v>
      </c>
      <c r="BQ101" s="354">
        <f>Table2[[#This Row],[Total Control Bu MOSFET Loss]]+Table2[[#This Row],[Total Sync Bu MOSFET Loss]]+Table2[[#This Row],[Total Control Bo MOSFET Loss]]+Table2[[#This Row],[Total Sync Bo MOSFET Loss]]+Table2[[#This Row],[Reverse Recovery Loss MOSFET D BUCK]]+Table2[[#This Row],[Reverse Recovery Loss MOSFET D BOOST]]</f>
        <v>6.4327418517535246</v>
      </c>
      <c r="BR101" s="354">
        <f xml:space="preserve"> Table2[[#This Row],[Total Control Bu MOSFET Loss]]+Table2[[#This Row],[Reverse Recovery Loss MOSFET D BUCK]]*0.66</f>
        <v>3.7100191197844774</v>
      </c>
      <c r="BS101" s="354">
        <f>Table2[[#This Row],[Total Sync Bu MOSFET Loss]]+Table2[[#This Row],[Reverse Recovery Loss MOSFET D BUCK]]*0.33</f>
        <v>1.2814443245938656</v>
      </c>
      <c r="BT101" s="354">
        <f xml:space="preserve"> Table2[[#This Row],[Total Control Bo MOSFET Loss]]+Table2[[#This Row],[Reverse Recovery Loss MOSFET D BOOST]]*0.66</f>
        <v>0.76094417876599052</v>
      </c>
      <c r="BU101" s="354">
        <f xml:space="preserve"> Table2[[#This Row],[Total Sync Bo MOSFET Loss]]+Table2[[#This Row],[Reverse Recovery Loss MOSFET D BOOST]]*0.33</f>
        <v>0.67513358666359058</v>
      </c>
      <c r="BV101" s="354">
        <f>Table2[[#This Row],[Isense Shunt Loss]]</f>
        <v>0.30732080470227024</v>
      </c>
      <c r="CB101" s="18"/>
      <c r="CC101" s="19"/>
    </row>
    <row r="102" spans="7:81" x14ac:dyDescent="0.2">
      <c r="G102">
        <v>93</v>
      </c>
      <c r="H102" s="555">
        <f t="shared" si="8"/>
        <v>23.6</v>
      </c>
      <c r="I102" s="4" t="str">
        <f>IF(Mode = 2,IF(Table2[[#This Row],[Vin]]&gt;Vout, "BUCK","BOOST"),IF(Table2[[#This Row],[Vin]]&gt;VIN_BB_to_buck, "BUCK", IF(Table2[[#This Row],[Vin]]&lt;=VIN_boost_to_BB,"BOOST","BUCK-BST")))</f>
        <v>BUCK</v>
      </c>
      <c r="J102">
        <f>IF(Table2[[#This Row],[Mode]]="BOOST",2, IF(Table2[[#This Row],[Mode]]="BUCK", 1,3))</f>
        <v>1</v>
      </c>
      <c r="K102" s="354">
        <f t="shared" si="11"/>
        <v>11.16</v>
      </c>
      <c r="L102" s="4">
        <f>Vout*Table2[[#This Row],[Iout]]/(Table2[[#This Row],[Vin]]*Efficiency)</f>
        <v>7.2674397859054416</v>
      </c>
      <c r="M102" s="711">
        <f>MIN(1/Fsw,CHOOSE(Table2[[#This Row],[Mode Digit]],(Vout+(Rdson2+Rs+Rdcr)*Table2[[#This Row],[Iout]])/(Table2[[#This Row],[Vin]]+(Rs+Rdson2-Rdson1)*Table2[[#This Row],[Iout]])/Fsw,(Vout+(Rdson3+Rdcr)*Table2[[#This Row],[Iin]]-Table2[[#This Row],[Vin]])/(Vout+(Rdson3-Rdson4-Rs)*Table2[[#This Row],[Iin]])/Fsw,t1_Ph_II))</f>
        <v>1.0396960090965906E-6</v>
      </c>
      <c r="N102" s="602">
        <f>CHOOSE(Table2[[#This Row],[Mode Digit]],1/Fsw-Table2[[#This Row],[t1_Ph_II]],1/Fsw-Table2[[#This Row],[t1_Ph_II]],(Vout/Fsw-Table2[[#This Row],[Vin]]*t1_Ph_II)/(Table2[[#This Row],[Vin]]+Vout))</f>
        <v>6.2697065757007611E-7</v>
      </c>
      <c r="O102" s="602">
        <f>1/Fsw-(Table2[[#This Row],[t1_Ph_II]]+Table2[[#This Row],[t2_Ph_I]])</f>
        <v>0</v>
      </c>
      <c r="P102"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9.3877908935853576</v>
      </c>
      <c r="Q102" s="4">
        <f>CHOOSE(Table2[[#This Row],[Mode Digit]],Table2[[#This Row],[I_0]]+1/Lf*(Table2[[#This Row],[Vin]]-Vout)*Table2[[#This Row],[t1_Ph_II]],Table2[[#This Row],[I_0]]+1/Lf*Table2[[#This Row],[Vin]]*Table2[[#This Row],[t1_Ph_II]],Table2[[#This Row],[I_0]]+(Table2[[#This Row],[Vin]]-Vout)/L*Table2[[#This Row],[t1_Ph_II]])</f>
        <v>12.932209106414644</v>
      </c>
      <c r="R102" s="4">
        <f>CHOOSE(Table2[[#This Row],[Mode Digit]],0,0,Table2[[#This Row],[I_1]]+Table2[[#This Row],[Vin]]/L*Table2[[#This Row],[t2_Ph_I]])</f>
        <v>0</v>
      </c>
      <c r="S102" s="409">
        <f>Fsw*(Table2[[#This Row],[I_0]]*Table2[[#This Row],[t1_Ph_II]]+Table2[[#This Row],[I_1]]*Table2[[#This Row],[t2_Ph_I]]+Table2[[#This Row],[I_2]]*Table2[[#This Row],[t3_Ph_III]])</f>
        <v>10.721138624145917</v>
      </c>
      <c r="T102" s="354">
        <f>MIN(1,CHOOSE(Table2[[#This Row],[Mode Digit]],(Vout+(Rdson2+Rs+Rdcr)*Table2[[#This Row],[Iout]])/(Table2[[#This Row],[Vin]]+(Rs+Rdson2-Rdson1)*Table2[[#This Row],[Iout]]),1,Fsw*Table2[[#This Row],[t2_Ph_I]]+Table2[[#This Row],[t1_Ph_II]]))</f>
        <v>0.62381760545795439</v>
      </c>
      <c r="U102" s="354">
        <f>MIN(1,CHOOSE(Table2[[#This Row],[Mode Digit]],0,(Vout+(Rdson3+Rdcr)*Table2[[#This Row],[Iin]]-Table2[[#This Row],[Vin]])/(Vout+(Rdson3-Rdson4-Rs)*Table2[[#This Row],[Iin]]),Fsw*Table2[[#This Row],[t1_Ph_II]]+Table2[[#This Row],[t3_Ph_III]]))</f>
        <v>0</v>
      </c>
      <c r="V102" s="4">
        <f>MAX(Table2[[#This Row],[I_0]:[I_2]])-MIN(Table2[[#This Row],[I_0]:[I_1]])</f>
        <v>3.5444182128292869</v>
      </c>
      <c r="W102"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11.20680634133946</v>
      </c>
      <c r="X102" s="354">
        <f>(Table2[[#This Row],[Irms Lf]]^2*Rdcr*(1+Ltc*Ta-Ltc*25))/(1-Table2[[#This Row],[Irms Lf]]^2*Rdcr*Ltc*ThetaCa)</f>
        <v>0.77351295726790881</v>
      </c>
      <c r="Y102" s="354">
        <f>ABS(7.759*10^-3*Fsw^0.9458*(0.00787*Table2[[#This Row],[Ripple Current pk-pk]])^2.304)</f>
        <v>0.59327845138785729</v>
      </c>
      <c r="Z102" s="354">
        <f>Table2[[#This Row],[DCR    Loss]]+Table2[[#This Row],[Core Loss]]</f>
        <v>1.3667914086557662</v>
      </c>
      <c r="AA102" s="4">
        <f>IF(Table2[[#This Row],[Vin]]&gt;Vout, Table2[[#This Row],[Ripple Current pk-pk]]/SQRT(12), SQRT(Table2[[#This Row],[Duty Cycle BOOST Leg]]/(1-Table2[[#This Row],[Duty Cycle BOOST Leg]]))*SQRT(Table2[[#This Row],[Iout]]^2+(Table2[[#This Row],[Ripple Current pk-pk]]^2)/12))</f>
        <v>1.0231854046488007</v>
      </c>
      <c r="AB102" s="354">
        <f>RCoutEsr*Table2[[#This Row],[Irms Cout]]^2</f>
        <v>5.2345418614316496E-3</v>
      </c>
      <c r="AC102" s="354">
        <f>Table2[[#This Row],[Cout ESR Loss]]</f>
        <v>5.2345418614316496E-3</v>
      </c>
      <c r="AD102" s="4">
        <f>IF(Table2[[#This Row],[Vin]]&gt;Vout, SQRT(Table2[[#This Row],[Duty Cycle BUCK Leg]]*(1-Table2[[#This Row],[Duty Cycle BUCK Leg]]))*SQRT(Table2[[#This Row],[Iout]]^2+(Table2[[#This Row],[Ripple Current pk-pk]]^2)/12), Table2[[#This Row],[Ripple Current pk-pk]]/SQRT(12))</f>
        <v>5.4288759000729501</v>
      </c>
      <c r="AE102" s="354">
        <f>RCinEsr*Table2[[#This Row],[Irms Cin]]^2</f>
        <v>5.8945387076785774E-2</v>
      </c>
      <c r="AF102" s="549">
        <f>Table2[[#This Row],[Cin ESR Loss]]</f>
        <v>5.8945387076785774E-2</v>
      </c>
      <c r="AG102" s="354">
        <f>Table2[[#This Row],[Irms Lf]]</f>
        <v>11.20680634133946</v>
      </c>
      <c r="AH102" s="354">
        <f>Rdson1*Table2[[#This Row],[Irms BuCtrl]]^2</f>
        <v>0.52748853516360272</v>
      </c>
      <c r="AI102" s="354">
        <f>CHOOSE(Table2[[#This Row],[Mode Digit]], (Table2[[#This Row],[Vin]]*Table2[[#This Row],[Iout]]/2)*(Fsw)*(Tr_buck+Tf_buck), 0, (Table2[[#This Row],[Vin]]*Table2[[#This Row],[Avg IL]]/2)*(Fsw/1)*(Tr_buck+Tf_buck))</f>
        <v>2.6117330599313</v>
      </c>
      <c r="AJ102">
        <f>IF(Table2[[#This Row],[Vin]]&gt;Vout, IF(Table2[[#This Row],[Iout]]&gt;Table2[[#This Row],[Ripple Current pk-pk]]/2,0,ABS(Table2[[#This Row],[Iout]]-Table2[[#This Row],[Ripple Current pk-pk]]/2)*Vsd_Q1*Deadtime*Fsw),0)</f>
        <v>0</v>
      </c>
      <c r="AK102" s="354">
        <f>(Table2[[#This Row],[Dead Time Loss BuCtrl]]+Table2[[#This Row],[Transition Loss BuCtrl]]+Table2[[#This Row],[RDS(on) Loss BuCtrl]]*(1+RdsonTopTc*Ta-RdsonTopTc*25))/(1-Table2[[#This Row],[RDS(on) Loss BuCtrl]]*RdsonTopTc*ThetaJA_Q1)</f>
        <v>3.5942428501458701</v>
      </c>
      <c r="AL102" s="354">
        <f>Table2[[#This Row],[Irms Lf]]</f>
        <v>11.20680634133946</v>
      </c>
      <c r="AM102" s="354">
        <f>Rdson2*Table2[[#This Row],[Irms BuSync]]^2</f>
        <v>0.52748853516360272</v>
      </c>
      <c r="AN102"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0.53695542857142853</v>
      </c>
      <c r="AO102" s="354">
        <f>(Table2[[#This Row],[Deadtime Loss BuSync]]+Table2[[#This Row],[RDS(on) Loss BuSync]]*(1+RdsonBotTc*Ta-RdsonBotTc*25))/(1-Table2[[#This Row],[RDS(on) Loss BuSync]]*RdsonBotTc*ThetaJA_Q2)</f>
        <v>1.2187320933359929</v>
      </c>
      <c r="AP102" s="354">
        <f>Table2[[#This Row],[Irms Lf]]</f>
        <v>11.20680634133946</v>
      </c>
      <c r="AQ102" s="354">
        <f>Rdson4*Table2[[#This Row],[Irms BoCtlr]]^2</f>
        <v>0.52748853516360272</v>
      </c>
      <c r="AR102" s="354">
        <f>CHOOSE(Table2[[#This Row],[Mode Digit]], 0, (Vout*Table2[[#This Row],[Iin]]/2)*(Fsw)*(Tr_boost+Tf_boost), (Vout*Iout/2)*(Fsw/1)*(Tr_boost+Tf_boost))</f>
        <v>0</v>
      </c>
      <c r="AS102" s="354">
        <f>IF(Table2[[#This Row],[Vin]]&gt;Vout, 0, IF(Table2[[#This Row],[Iin]]&gt;Table2[[#This Row],[Ripple Current pk-pk]]/2,0,ABS(Table2[[#This Row],[Iin]]-Table2[[#This Row],[Ripple Current pk-pk]]/2)*Vsd_Q4*Deadtime*Fsw))</f>
        <v>0</v>
      </c>
      <c r="AT102" s="354">
        <f>(Table2[[#This Row],[Dead Time Loss BoCtlr]]+Table2[[#This Row],[Transition Loss BoCtlr]]+Table2[[#This Row],[RDS(on) Loss BoCtlr]]*(1+RdsonTopTc*Ta-RdsonTopTc*25))/(1-Table2[[#This Row],[RDS(on) Loss BoCtlr]]*RdsonTopTc*ThetaJA_Q4)</f>
        <v>0.60394650030699137</v>
      </c>
      <c r="AU102" s="354">
        <f>Table2[[#This Row],[Irms Lf]]</f>
        <v>11.20680634133946</v>
      </c>
      <c r="AV102" s="354">
        <f>Rdson3*Table2[[#This Row],[Irms BoSync]]^2</f>
        <v>0.52748853516360272</v>
      </c>
      <c r="AW102"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2" s="354">
        <f>(Table2[[#This Row],[Deadtime Loss BoSync]]+Table2[[#This Row],[RDS(on) Loss BoSync]]*(1+RdsonBotTc*Ta-RdsonBotTc*25))/(1-Table2[[#This Row],[RDS(on) Loss BoSync]]*RdsonBotTc*ThetaJA_Q3)</f>
        <v>0.60394650030699137</v>
      </c>
      <c r="AY102" s="354">
        <f>CHOOSE(Table2[[#This Row],[Mode Digit]], Rdson3*Table2[[#This Row],[Irms Lf]]^2, Rdson1*Table2[[#This Row],[Irms Lf]]^2, 0)</f>
        <v>0.52748853516360272</v>
      </c>
      <c r="AZ102" s="354">
        <f>CHOOSE(Table2[[#This Row],[Mode Digit]], 2*Deadtime*Fsw*IF(VfdSky_Q2&gt;0,VfdSky_Q2,0)*Table2[[#This Row],[Iout]], 2*Deadtime*Fsw*IF(VfdSky_Q3&gt;0,VfdSky_Q3,0)*Table2[[#This Row],[Iin]], 2*Deadtime*Fsw*IF(VfdSky_Q2&gt;0,VfdSky_Q2,0)*Table2[[#This Row],[Iout]]+2*Deadtime*Fsw*IF(VfdSky_Q3&gt;0,VfdSky_Q3,0)*Table2[[#This Row],[Iin]])</f>
        <v>0</v>
      </c>
      <c r="BA10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0.26285290848000004</v>
      </c>
      <c r="BB102"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0.26285290848000004</v>
      </c>
      <c r="BC102" s="354">
        <f>CHOOSE(Table2[[#This Row],[Mode Digit]], Rs*Table2[[#This Row],[Irms BuSync]]^2, Rs*Table2[[#This Row],[Irms BoCtlr]]^2, Rs*(Table2[[#This Row],[Irms BuSync]]^2+Table2[[#This Row],[Irms BoCtlr]]^2))</f>
        <v>0.31398127093071582</v>
      </c>
      <c r="BD102" s="354">
        <f t="shared" si="9"/>
        <v>1.44</v>
      </c>
      <c r="BE102" s="354">
        <f>IF(Vout&gt;8, Iq*Vout, Iq*Table2[[#This Row],[Vin]])</f>
        <v>4.3799999999999999E-2</v>
      </c>
      <c r="BF102" s="354">
        <f>CHOOSE(Table2[[#This Row],[Mode Digit]], (Qg_Q1+Qg_Q2)*Fsw, (Qg_Q3+Qg_Q4)*Fsw, (Qg_Q1+Qg_Q2+Qg_Q3+Qg_Q4)*Fsw)*IF(Vout&gt;8, Vout, Table2[[#This Row],[Vin]])</f>
        <v>0.47303999999999996</v>
      </c>
      <c r="BG102" s="354">
        <f t="shared" si="10"/>
        <v>0.57269042016806726</v>
      </c>
      <c r="BH102" s="354">
        <f>Table2[[#This Row],[IQ Loss]]+Table2[[#This Row],[Switching Current Loss]]</f>
        <v>0.51683999999999997</v>
      </c>
      <c r="BI102"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10.248366369580545</v>
      </c>
      <c r="BJ102">
        <f>Vout*Table2[[#This Row],[Iout]]</f>
        <v>162.93600000000001</v>
      </c>
      <c r="BK102" s="550">
        <f>Table2[[#This Row],[Pout]]/(Table2[[#This Row],[Pout]]+Table2[[#This Row],[Total Loss]])</f>
        <v>0.94082395204362601</v>
      </c>
      <c r="BL102" s="559">
        <f>IF(Table2[[#This Row],[Vin]]&gt;Vout,ThetaJA_Q1*(Table2[[#This Row],[Total Control Bu MOSFET Loss]]+Table2[[#This Row],[Reverse Recovery Loss MOSFET D BUCK]]),ThetaJA_Q4*(Table2[[#This Row],[Total Control Bo MOSFET Loss]]+Table2[[#This Row],[Reverse Recovery Loss MOSFET D BOOST]]))</f>
        <v>231.42574551755223</v>
      </c>
      <c r="BM102" s="559">
        <f>IF(Table2[[#This Row],[Vin]]&gt;Vout, Table2[[#This Row],[Total Sync Bu MOSFET Loss]]*ThetaJA_Q2, ThetaJA_Q3*Table2[[#This Row],[Total Sync Bo MOSFET Loss]])</f>
        <v>73.123925600159566</v>
      </c>
      <c r="BN102" s="9"/>
      <c r="BO102" s="4">
        <f>Table2[[#This Row],[EFF, h]]*100</f>
        <v>94.082395204362598</v>
      </c>
      <c r="BP102" s="354">
        <f>Table2[[#This Row],[Total Inductor Loss]]</f>
        <v>1.3667914086557662</v>
      </c>
      <c r="BQ102" s="354">
        <f>Table2[[#This Row],[Total Control Bu MOSFET Loss]]+Table2[[#This Row],[Total Sync Bu MOSFET Loss]]+Table2[[#This Row],[Total Control Bo MOSFET Loss]]+Table2[[#This Row],[Total Sync Bo MOSFET Loss]]+Table2[[#This Row],[Reverse Recovery Loss MOSFET D BUCK]]+Table2[[#This Row],[Reverse Recovery Loss MOSFET D BOOST]]</f>
        <v>6.5465737610558454</v>
      </c>
      <c r="BR102" s="354">
        <f xml:space="preserve"> Table2[[#This Row],[Total Control Bu MOSFET Loss]]+Table2[[#This Row],[Reverse Recovery Loss MOSFET D BUCK]]*0.66</f>
        <v>3.76772576974267</v>
      </c>
      <c r="BS102" s="354">
        <f>Table2[[#This Row],[Total Sync Bu MOSFET Loss]]+Table2[[#This Row],[Reverse Recovery Loss MOSFET D BUCK]]*0.33</f>
        <v>1.3054735531343928</v>
      </c>
      <c r="BT102" s="354">
        <f xml:space="preserve"> Table2[[#This Row],[Total Control Bo MOSFET Loss]]+Table2[[#This Row],[Reverse Recovery Loss MOSFET D BOOST]]*0.66</f>
        <v>0.77742941990379144</v>
      </c>
      <c r="BU102" s="354">
        <f xml:space="preserve"> Table2[[#This Row],[Total Sync Bo MOSFET Loss]]+Table2[[#This Row],[Reverse Recovery Loss MOSFET D BOOST]]*0.33</f>
        <v>0.69068796010539135</v>
      </c>
      <c r="BV102" s="354">
        <f>Table2[[#This Row],[Isense Shunt Loss]]</f>
        <v>0.31398127093071582</v>
      </c>
      <c r="CB102" s="18"/>
      <c r="CC102" s="19"/>
    </row>
    <row r="103" spans="7:81" x14ac:dyDescent="0.2">
      <c r="G103">
        <v>94</v>
      </c>
      <c r="H103" s="555">
        <f t="shared" si="8"/>
        <v>23.6</v>
      </c>
      <c r="I103" s="4" t="str">
        <f>IF(Mode = 2,IF(Table2[[#This Row],[Vin]]&gt;Vout, "BUCK","BOOST"),IF(Table2[[#This Row],[Vin]]&gt;VIN_BB_to_buck, "BUCK", IF(Table2[[#This Row],[Vin]]&lt;=VIN_boost_to_BB,"BOOST","BUCK-BST")))</f>
        <v>BUCK</v>
      </c>
      <c r="J103">
        <f>IF(Table2[[#This Row],[Mode]]="BOOST",2, IF(Table2[[#This Row],[Mode]]="BUCK", 1,3))</f>
        <v>1</v>
      </c>
      <c r="K103" s="354">
        <f t="shared" si="11"/>
        <v>11.28</v>
      </c>
      <c r="L103" s="4">
        <f>Vout*Table2[[#This Row],[Iout]]/(Table2[[#This Row],[Vin]]*Efficiency)</f>
        <v>7.3455842997323808</v>
      </c>
      <c r="M103" s="711">
        <f>MIN(1/Fsw,CHOOSE(Table2[[#This Row],[Mode Digit]],(Vout+(Rdson2+Rs+Rdcr)*Table2[[#This Row],[Iout]])/(Table2[[#This Row],[Vin]]+(Rs+Rdson2-Rdson1)*Table2[[#This Row],[Iout]])/Fsw,(Vout+(Rdson3+Rdcr)*Table2[[#This Row],[Iin]]-Table2[[#This Row],[Vin]])/(Vout+(Rdson3-Rdson4-Rs)*Table2[[#This Row],[Iin]])/Fsw,t1_Ph_II))</f>
        <v>1.0397886141700736E-6</v>
      </c>
      <c r="N103" s="602">
        <f>CHOOSE(Table2[[#This Row],[Mode Digit]],1/Fsw-Table2[[#This Row],[t1_Ph_II]],1/Fsw-Table2[[#This Row],[t1_Ph_II]],(Vout/Fsw-Table2[[#This Row],[Vin]]*t1_Ph_II)/(Table2[[#This Row],[Vin]]+Vout))</f>
        <v>6.2687805249659306E-7</v>
      </c>
      <c r="O103" s="602">
        <f>1/Fsw-(Table2[[#This Row],[t1_Ph_II]]+Table2[[#This Row],[t2_Ph_I]])</f>
        <v>0</v>
      </c>
      <c r="P103"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9.5076330440282835</v>
      </c>
      <c r="Q103" s="4">
        <f>CHOOSE(Table2[[#This Row],[Mode Digit]],Table2[[#This Row],[I_0]]+1/Lf*(Table2[[#This Row],[Vin]]-Vout)*Table2[[#This Row],[t1_Ph_II]],Table2[[#This Row],[I_0]]+1/Lf*Table2[[#This Row],[Vin]]*Table2[[#This Row],[t1_Ph_II]],Table2[[#This Row],[I_0]]+(Table2[[#This Row],[Vin]]-Vout)/L*Table2[[#This Row],[t1_Ph_II]])</f>
        <v>13.052366955971717</v>
      </c>
      <c r="R103" s="4">
        <f>CHOOSE(Table2[[#This Row],[Mode Digit]],0,0,Table2[[#This Row],[I_1]]+Table2[[#This Row],[Vin]]/L*Table2[[#This Row],[t2_Ph_I]])</f>
        <v>0</v>
      </c>
      <c r="S103" s="409">
        <f>Fsw*(Table2[[#This Row],[I_0]]*Table2[[#This Row],[t1_Ph_II]]+Table2[[#This Row],[I_1]]*Table2[[#This Row],[t2_Ph_I]]+Table2[[#This Row],[I_2]]*Table2[[#This Row],[t3_Ph_III]])</f>
        <v>10.840902578830923</v>
      </c>
      <c r="T103" s="354">
        <f>MIN(1,CHOOSE(Table2[[#This Row],[Mode Digit]],(Vout+(Rdson2+Rs+Rdcr)*Table2[[#This Row],[Iout]])/(Table2[[#This Row],[Vin]]+(Rs+Rdson2-Rdson1)*Table2[[#This Row],[Iout]]),1,Fsw*Table2[[#This Row],[t2_Ph_I]]+Table2[[#This Row],[t1_Ph_II]]))</f>
        <v>0.62387316850204422</v>
      </c>
      <c r="U103" s="354">
        <f>MIN(1,CHOOSE(Table2[[#This Row],[Mode Digit]],0,(Vout+(Rdson3+Rdcr)*Table2[[#This Row],[Iin]]-Table2[[#This Row],[Vin]])/(Vout+(Rdson3-Rdson4-Rs)*Table2[[#This Row],[Iin]]),Fsw*Table2[[#This Row],[t1_Ph_II]]+Table2[[#This Row],[t3_Ph_III]]))</f>
        <v>0</v>
      </c>
      <c r="V103" s="4">
        <f>MAX(Table2[[#This Row],[I_0]:[I_2]])-MIN(Table2[[#This Row],[I_0]:[I_1]])</f>
        <v>3.5447339119434336</v>
      </c>
      <c r="W103"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11.32631868152844</v>
      </c>
      <c r="X103" s="354">
        <f>(Table2[[#This Row],[Irms Lf]]^2*Rdcr*(1+Ltc*Ta-Ltc*25))/(1-Table2[[#This Row],[Irms Lf]]^2*Rdcr*Ltc*ThetaCa)</f>
        <v>0.79114856925546695</v>
      </c>
      <c r="Y103" s="354">
        <f>ABS(7.759*10^-3*Fsw^0.9458*(0.00787*Table2[[#This Row],[Ripple Current pk-pk]])^2.304)</f>
        <v>0.59340020859378906</v>
      </c>
      <c r="Z103" s="354">
        <f>Table2[[#This Row],[DCR    Loss]]+Table2[[#This Row],[Core Loss]]</f>
        <v>1.384548777849256</v>
      </c>
      <c r="AA103" s="4">
        <f>IF(Table2[[#This Row],[Vin]]&gt;Vout, Table2[[#This Row],[Ripple Current pk-pk]]/SQRT(12), SQRT(Table2[[#This Row],[Duty Cycle BOOST Leg]]/(1-Table2[[#This Row],[Duty Cycle BOOST Leg]]))*SQRT(Table2[[#This Row],[Iout]]^2+(Table2[[#This Row],[Ripple Current pk-pk]]^2)/12))</f>
        <v>1.0232765391330683</v>
      </c>
      <c r="AB103" s="354">
        <f>RCoutEsr*Table2[[#This Row],[Irms Cout]]^2</f>
        <v>5.2354743777007487E-3</v>
      </c>
      <c r="AC103" s="354">
        <f>Table2[[#This Row],[Cout ESR Loss]]</f>
        <v>5.2354743777007487E-3</v>
      </c>
      <c r="AD103" s="4">
        <f>IF(Table2[[#This Row],[Vin]]&gt;Vout, SQRT(Table2[[#This Row],[Duty Cycle BUCK Leg]]*(1-Table2[[#This Row],[Duty Cycle BUCK Leg]]))*SQRT(Table2[[#This Row],[Iout]]^2+(Table2[[#This Row],[Ripple Current pk-pk]]^2)/12), Table2[[#This Row],[Ripple Current pk-pk]]/SQRT(12))</f>
        <v>5.4866099738487151</v>
      </c>
      <c r="AE103" s="354">
        <f>RCinEsr*Table2[[#This Row],[Irms Cin]]^2</f>
        <v>6.0205778010272396E-2</v>
      </c>
      <c r="AF103" s="549">
        <f>Table2[[#This Row],[Cin ESR Loss]]</f>
        <v>6.0205778010272396E-2</v>
      </c>
      <c r="AG103" s="354">
        <f>Table2[[#This Row],[Irms Lf]]</f>
        <v>11.32631868152844</v>
      </c>
      <c r="AH103" s="354">
        <f>Rdson1*Table2[[#This Row],[Irms BuCtrl]]^2</f>
        <v>0.53879907847726871</v>
      </c>
      <c r="AI103" s="354">
        <f>CHOOSE(Table2[[#This Row],[Mode Digit]], (Table2[[#This Row],[Vin]]*Table2[[#This Row],[Iout]]/2)*(Fsw)*(Tr_buck+Tf_buck), 0, (Table2[[#This Row],[Vin]]*Table2[[#This Row],[Avg IL]]/2)*(Fsw/1)*(Tr_buck+Tf_buck))</f>
        <v>2.6398162111133572</v>
      </c>
      <c r="AJ103">
        <f>IF(Table2[[#This Row],[Vin]]&gt;Vout, IF(Table2[[#This Row],[Iout]]&gt;Table2[[#This Row],[Ripple Current pk-pk]]/2,0,ABS(Table2[[#This Row],[Iout]]-Table2[[#This Row],[Ripple Current pk-pk]]/2)*Vsd_Q1*Deadtime*Fsw),0)</f>
        <v>0</v>
      </c>
      <c r="AK103" s="354">
        <f>(Table2[[#This Row],[Dead Time Loss BuCtrl]]+Table2[[#This Row],[Transition Loss BuCtrl]]+Table2[[#This Row],[RDS(on) Loss BuCtrl]]*(1+RdsonTopTc*Ta-RdsonTopTc*25))/(1-Table2[[#This Row],[RDS(on) Loss BuCtrl]]*RdsonTopTc*ThetaJA_Q1)</f>
        <v>3.6506928798645117</v>
      </c>
      <c r="AL103" s="354">
        <f>Table2[[#This Row],[Irms Lf]]</f>
        <v>11.32631868152844</v>
      </c>
      <c r="AM103" s="354">
        <f>Rdson2*Table2[[#This Row],[Irms BuSync]]^2</f>
        <v>0.53879907847726871</v>
      </c>
      <c r="AN103"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0.5427291428571428</v>
      </c>
      <c r="AO103" s="354">
        <f>(Table2[[#This Row],[Deadtime Loss BuSync]]+Table2[[#This Row],[RDS(on) Loss BuSync]]*(1+RdsonBotTc*Ta-RdsonBotTc*25))/(1-Table2[[#This Row],[RDS(on) Loss BuSync]]*RdsonBotTc*ThetaJA_Q2)</f>
        <v>1.2421532703023559</v>
      </c>
      <c r="AP103" s="354">
        <f>Table2[[#This Row],[Irms Lf]]</f>
        <v>11.32631868152844</v>
      </c>
      <c r="AQ103" s="354">
        <f>Rdson4*Table2[[#This Row],[Irms BoCtlr]]^2</f>
        <v>0.53879907847726871</v>
      </c>
      <c r="AR103" s="354">
        <f>CHOOSE(Table2[[#This Row],[Mode Digit]], 0, (Vout*Table2[[#This Row],[Iin]]/2)*(Fsw)*(Tr_boost+Tf_boost), (Vout*Iout/2)*(Fsw/1)*(Tr_boost+Tf_boost))</f>
        <v>0</v>
      </c>
      <c r="AS103" s="354">
        <f>IF(Table2[[#This Row],[Vin]]&gt;Vout, 0, IF(Table2[[#This Row],[Iin]]&gt;Table2[[#This Row],[Ripple Current pk-pk]]/2,0,ABS(Table2[[#This Row],[Iin]]-Table2[[#This Row],[Ripple Current pk-pk]]/2)*Vsd_Q4*Deadtime*Fsw))</f>
        <v>0</v>
      </c>
      <c r="AT103" s="354">
        <f>(Table2[[#This Row],[Dead Time Loss BoCtlr]]+Table2[[#This Row],[Transition Loss BoCtlr]]+Table2[[#This Row],[RDS(on) Loss BoCtlr]]*(1+RdsonTopTc*Ta-RdsonTopTc*25))/(1-Table2[[#This Row],[RDS(on) Loss BoCtlr]]*RdsonTopTc*ThetaJA_Q4)</f>
        <v>0.6188197627803691</v>
      </c>
      <c r="AU103" s="354">
        <f>Table2[[#This Row],[Irms Lf]]</f>
        <v>11.32631868152844</v>
      </c>
      <c r="AV103" s="354">
        <f>Rdson3*Table2[[#This Row],[Irms BoSync]]^2</f>
        <v>0.53879907847726871</v>
      </c>
      <c r="AW103"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3" s="354">
        <f>(Table2[[#This Row],[Deadtime Loss BoSync]]+Table2[[#This Row],[RDS(on) Loss BoSync]]*(1+RdsonBotTc*Ta-RdsonBotTc*25))/(1-Table2[[#This Row],[RDS(on) Loss BoSync]]*RdsonBotTc*ThetaJA_Q3)</f>
        <v>0.6188197627803691</v>
      </c>
      <c r="AY103" s="354">
        <f>CHOOSE(Table2[[#This Row],[Mode Digit]], Rdson3*Table2[[#This Row],[Irms Lf]]^2, Rdson1*Table2[[#This Row],[Irms Lf]]^2, 0)</f>
        <v>0.53879907847726871</v>
      </c>
      <c r="AZ103" s="354">
        <f>CHOOSE(Table2[[#This Row],[Mode Digit]], 2*Deadtime*Fsw*IF(VfdSky_Q2&gt;0,VfdSky_Q2,0)*Table2[[#This Row],[Iout]], 2*Deadtime*Fsw*IF(VfdSky_Q3&gt;0,VfdSky_Q3,0)*Table2[[#This Row],[Iin]], 2*Deadtime*Fsw*IF(VfdSky_Q2&gt;0,VfdSky_Q2,0)*Table2[[#This Row],[Iout]]+2*Deadtime*Fsw*IF(VfdSky_Q3&gt;0,VfdSky_Q3,0)*Table2[[#This Row],[Iin]])</f>
        <v>0</v>
      </c>
      <c r="BA10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0.26567359872000001</v>
      </c>
      <c r="BB103"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0.26567359872000001</v>
      </c>
      <c r="BC103" s="354">
        <f>CHOOSE(Table2[[#This Row],[Mode Digit]], Rs*Table2[[#This Row],[Irms BuSync]]^2, Rs*Table2[[#This Row],[Irms BoCtlr]]^2, Rs*(Table2[[#This Row],[Irms BuSync]]^2+Table2[[#This Row],[Irms BoCtlr]]^2))</f>
        <v>0.32071373718885038</v>
      </c>
      <c r="BD103" s="354">
        <f t="shared" si="9"/>
        <v>1.44</v>
      </c>
      <c r="BE103" s="354">
        <f>IF(Vout&gt;8, Iq*Vout, Iq*Table2[[#This Row],[Vin]])</f>
        <v>4.3799999999999999E-2</v>
      </c>
      <c r="BF103" s="354">
        <f>CHOOSE(Table2[[#This Row],[Mode Digit]], (Qg_Q1+Qg_Q2)*Fsw, (Qg_Q3+Qg_Q4)*Fsw, (Qg_Q1+Qg_Q2+Qg_Q3+Qg_Q4)*Fsw)*IF(Vout&gt;8, Vout, Table2[[#This Row],[Vin]])</f>
        <v>0.47303999999999996</v>
      </c>
      <c r="BG103" s="354">
        <f t="shared" si="10"/>
        <v>0.57269042016806726</v>
      </c>
      <c r="BH103" s="354">
        <f>Table2[[#This Row],[IQ Loss]]+Table2[[#This Row],[Switching Current Loss]]</f>
        <v>0.51683999999999997</v>
      </c>
      <c r="BI103"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10.389376640593683</v>
      </c>
      <c r="BJ103">
        <f>Vout*Table2[[#This Row],[Iout]]</f>
        <v>164.68799999999999</v>
      </c>
      <c r="BK103" s="550">
        <f>Table2[[#This Row],[Pout]]/(Table2[[#This Row],[Pout]]+Table2[[#This Row],[Total Loss]])</f>
        <v>0.94065837151580445</v>
      </c>
      <c r="BL103" s="559">
        <f>IF(Table2[[#This Row],[Vin]]&gt;Vout,ThetaJA_Q1*(Table2[[#This Row],[Total Control Bu MOSFET Loss]]+Table2[[#This Row],[Reverse Recovery Loss MOSFET D BUCK]]),ThetaJA_Q4*(Table2[[#This Row],[Total Control Bo MOSFET Loss]]+Table2[[#This Row],[Reverse Recovery Loss MOSFET D BOOST]]))</f>
        <v>234.98198871507068</v>
      </c>
      <c r="BM103" s="559">
        <f>IF(Table2[[#This Row],[Vin]]&gt;Vout, Table2[[#This Row],[Total Sync Bu MOSFET Loss]]*ThetaJA_Q2, ThetaJA_Q3*Table2[[#This Row],[Total Sync Bo MOSFET Loss]])</f>
        <v>74.529196218141351</v>
      </c>
      <c r="BN103" s="9"/>
      <c r="BO103" s="4">
        <f>Table2[[#This Row],[EFF, h]]*100</f>
        <v>94.065837151580439</v>
      </c>
      <c r="BP103" s="354">
        <f>Table2[[#This Row],[Total Inductor Loss]]</f>
        <v>1.384548777849256</v>
      </c>
      <c r="BQ103" s="354">
        <f>Table2[[#This Row],[Total Control Bu MOSFET Loss]]+Table2[[#This Row],[Total Sync Bu MOSFET Loss]]+Table2[[#This Row],[Total Control Bo MOSFET Loss]]+Table2[[#This Row],[Total Sync Bo MOSFET Loss]]+Table2[[#This Row],[Reverse Recovery Loss MOSFET D BUCK]]+Table2[[#This Row],[Reverse Recovery Loss MOSFET D BOOST]]</f>
        <v>6.6618328731676062</v>
      </c>
      <c r="BR103" s="354">
        <f xml:space="preserve"> Table2[[#This Row],[Total Control Bu MOSFET Loss]]+Table2[[#This Row],[Reverse Recovery Loss MOSFET D BUCK]]*0.66</f>
        <v>3.8260374550197116</v>
      </c>
      <c r="BS103" s="354">
        <f>Table2[[#This Row],[Total Sync Bu MOSFET Loss]]+Table2[[#This Row],[Reverse Recovery Loss MOSFET D BUCK]]*0.33</f>
        <v>1.3298255578799558</v>
      </c>
      <c r="BT103" s="354">
        <f xml:space="preserve"> Table2[[#This Row],[Total Control Bo MOSFET Loss]]+Table2[[#This Row],[Reverse Recovery Loss MOSFET D BOOST]]*0.66</f>
        <v>0.79416433793556918</v>
      </c>
      <c r="BU103" s="354">
        <f xml:space="preserve"> Table2[[#This Row],[Total Sync Bo MOSFET Loss]]+Table2[[#This Row],[Reverse Recovery Loss MOSFET D BOOST]]*0.33</f>
        <v>0.70649205035796914</v>
      </c>
      <c r="BV103" s="354">
        <f>Table2[[#This Row],[Isense Shunt Loss]]</f>
        <v>0.32071373718885038</v>
      </c>
      <c r="CB103" s="18"/>
      <c r="CC103" s="19"/>
    </row>
    <row r="104" spans="7:81" x14ac:dyDescent="0.2">
      <c r="G104">
        <v>95</v>
      </c>
      <c r="H104" s="555">
        <f t="shared" si="8"/>
        <v>23.6</v>
      </c>
      <c r="I104" s="4" t="str">
        <f>IF(Mode = 2,IF(Table2[[#This Row],[Vin]]&gt;Vout, "BUCK","BOOST"),IF(Table2[[#This Row],[Vin]]&gt;VIN_BB_to_buck, "BUCK", IF(Table2[[#This Row],[Vin]]&lt;=VIN_boost_to_BB,"BOOST","BUCK-BST")))</f>
        <v>BUCK</v>
      </c>
      <c r="J104">
        <f>IF(Table2[[#This Row],[Mode]]="BOOST",2, IF(Table2[[#This Row],[Mode]]="BUCK", 1,3))</f>
        <v>1</v>
      </c>
      <c r="K104" s="354">
        <f t="shared" si="11"/>
        <v>11.4</v>
      </c>
      <c r="L104" s="4">
        <f>Vout*Table2[[#This Row],[Iout]]/(Table2[[#This Row],[Vin]]*Efficiency)</f>
        <v>7.4237288135593218</v>
      </c>
      <c r="M104" s="711">
        <f>MIN(1/Fsw,CHOOSE(Table2[[#This Row],[Mode Digit]],(Vout+(Rdson2+Rs+Rdcr)*Table2[[#This Row],[Iout]])/(Table2[[#This Row],[Vin]]+(Rs+Rdson2-Rdson1)*Table2[[#This Row],[Iout]])/Fsw,(Vout+(Rdson3+Rdcr)*Table2[[#This Row],[Iin]]-Table2[[#This Row],[Vin]])/(Vout+(Rdson3-Rdson4-Rs)*Table2[[#This Row],[Iin]])/Fsw,t1_Ph_II))</f>
        <v>1.0398812168920299E-6</v>
      </c>
      <c r="N104" s="602">
        <f>CHOOSE(Table2[[#This Row],[Mode Digit]],1/Fsw-Table2[[#This Row],[t1_Ph_II]],1/Fsw-Table2[[#This Row],[t1_Ph_II]],(Vout/Fsw-Table2[[#This Row],[Vin]]*t1_Ph_II)/(Table2[[#This Row],[Vin]]+Vout))</f>
        <v>6.2678544977463675E-7</v>
      </c>
      <c r="O104" s="602">
        <f>1/Fsw-(Table2[[#This Row],[t1_Ph_II]]+Table2[[#This Row],[t2_Ph_I]])</f>
        <v>0</v>
      </c>
      <c r="P104"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9.6274751984794946</v>
      </c>
      <c r="Q104" s="4">
        <f>CHOOSE(Table2[[#This Row],[Mode Digit]],Table2[[#This Row],[I_0]]+1/Lf*(Table2[[#This Row],[Vin]]-Vout)*Table2[[#This Row],[t1_Ph_II]],Table2[[#This Row],[I_0]]+1/Lf*Table2[[#This Row],[Vin]]*Table2[[#This Row],[t1_Ph_II]],Table2[[#This Row],[I_0]]+(Table2[[#This Row],[Vin]]-Vout)/L*Table2[[#This Row],[t1_Ph_II]])</f>
        <v>13.172524801520506</v>
      </c>
      <c r="R104" s="4">
        <f>CHOOSE(Table2[[#This Row],[Mode Digit]],0,0,Table2[[#This Row],[I_1]]+Table2[[#This Row],[Vin]]/L*Table2[[#This Row],[t2_Ph_I]])</f>
        <v>0</v>
      </c>
      <c r="S104" s="409">
        <f>Fsw*(Table2[[#This Row],[I_0]]*Table2[[#This Row],[t1_Ph_II]]+Table2[[#This Row],[I_1]]*Table2[[#This Row],[t2_Ph_I]]+Table2[[#This Row],[I_2]]*Table2[[#This Row],[t3_Ph_III]])</f>
        <v>10.960666504428769</v>
      </c>
      <c r="T104" s="354">
        <f>MIN(1,CHOOSE(Table2[[#This Row],[Mode Digit]],(Vout+(Rdson2+Rs+Rdcr)*Table2[[#This Row],[Iout]])/(Table2[[#This Row],[Vin]]+(Rs+Rdson2-Rdson1)*Table2[[#This Row],[Iout]]),1,Fsw*Table2[[#This Row],[t2_Ph_I]]+Table2[[#This Row],[t1_Ph_II]]))</f>
        <v>0.62392873013521799</v>
      </c>
      <c r="U104" s="354">
        <f>MIN(1,CHOOSE(Table2[[#This Row],[Mode Digit]],0,(Vout+(Rdson3+Rdcr)*Table2[[#This Row],[Iin]]-Table2[[#This Row],[Vin]])/(Vout+(Rdson3-Rdson4-Rs)*Table2[[#This Row],[Iin]]),Fsw*Table2[[#This Row],[t1_Ph_II]]+Table2[[#This Row],[t3_Ph_III]]))</f>
        <v>0</v>
      </c>
      <c r="V104" s="4">
        <f>MAX(Table2[[#This Row],[I_0]:[I_2]])-MIN(Table2[[#This Row],[I_0]:[I_1]])</f>
        <v>3.5450496030410115</v>
      </c>
      <c r="W104"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11.445841226867882</v>
      </c>
      <c r="X104" s="354">
        <f>(Table2[[#This Row],[Irms Lf]]^2*Rdcr*(1+Ltc*Ta-Ltc*25))/(1-Table2[[#This Row],[Irms Lf]]^2*Rdcr*Ltc*ThetaCa)</f>
        <v>0.80902046536081607</v>
      </c>
      <c r="Y104" s="354">
        <f>ABS(7.759*10^-3*Fsw^0.9458*(0.00787*Table2[[#This Row],[Ripple Current pk-pk]])^2.304)</f>
        <v>0.59352197684862307</v>
      </c>
      <c r="Z104" s="354">
        <f>Table2[[#This Row],[DCR    Loss]]+Table2[[#This Row],[Core Loss]]</f>
        <v>1.4025424422094392</v>
      </c>
      <c r="AA104" s="4">
        <f>IF(Table2[[#This Row],[Vin]]&gt;Vout, Table2[[#This Row],[Ripple Current pk-pk]]/SQRT(12), SQRT(Table2[[#This Row],[Duty Cycle BOOST Leg]]/(1-Table2[[#This Row],[Duty Cycle BOOST Leg]]))*SQRT(Table2[[#This Row],[Iout]]^2+(Table2[[#This Row],[Ripple Current pk-pk]]^2)/12))</f>
        <v>1.0233676713031521</v>
      </c>
      <c r="AB104" s="354">
        <f>RCoutEsr*Table2[[#This Row],[Irms Cout]]^2</f>
        <v>5.236406953342182E-3</v>
      </c>
      <c r="AC104" s="354">
        <f>Table2[[#This Row],[Cout ESR Loss]]</f>
        <v>5.236406953342182E-3</v>
      </c>
      <c r="AD104" s="4">
        <f>IF(Table2[[#This Row],[Vin]]&gt;Vout, SQRT(Table2[[#This Row],[Duty Cycle BUCK Leg]]*(1-Table2[[#This Row],[Duty Cycle BUCK Leg]]))*SQRT(Table2[[#This Row],[Iout]]^2+(Table2[[#This Row],[Ripple Current pk-pk]]^2)/12), Table2[[#This Row],[Ripple Current pk-pk]]/SQRT(12))</f>
        <v>5.5443455220279816</v>
      </c>
      <c r="AE104" s="354">
        <f>RCinEsr*Table2[[#This Row],[Irms Cin]]^2</f>
        <v>6.1479534535263461E-2</v>
      </c>
      <c r="AF104" s="549">
        <f>Table2[[#This Row],[Cin ESR Loss]]</f>
        <v>6.1479534535263461E-2</v>
      </c>
      <c r="AG104" s="354">
        <f>Table2[[#This Row],[Irms Lf]]</f>
        <v>11.445841226867882</v>
      </c>
      <c r="AH104" s="354">
        <f>Rdson1*Table2[[#This Row],[Irms BuCtrl]]^2</f>
        <v>0.55023058184080775</v>
      </c>
      <c r="AI104" s="354">
        <f>CHOOSE(Table2[[#This Row],[Mode Digit]], (Table2[[#This Row],[Vin]]*Table2[[#This Row],[Iout]]/2)*(Fsw)*(Tr_buck+Tf_buck), 0, (Table2[[#This Row],[Vin]]*Table2[[#This Row],[Avg IL]]/2)*(Fsw/1)*(Tr_buck+Tf_buck))</f>
        <v>2.6678993622954135</v>
      </c>
      <c r="AJ104">
        <f>IF(Table2[[#This Row],[Vin]]&gt;Vout, IF(Table2[[#This Row],[Iout]]&gt;Table2[[#This Row],[Ripple Current pk-pk]]/2,0,ABS(Table2[[#This Row],[Iout]]-Table2[[#This Row],[Ripple Current pk-pk]]/2)*Vsd_Q1*Deadtime*Fsw),0)</f>
        <v>0</v>
      </c>
      <c r="AK104" s="354">
        <f>(Table2[[#This Row],[Dead Time Loss BuCtrl]]+Table2[[#This Row],[Transition Loss BuCtrl]]+Table2[[#This Row],[RDS(on) Loss BuCtrl]]*(1+RdsonTopTc*Ta-RdsonTopTc*25))/(1-Table2[[#This Row],[RDS(on) Loss BuCtrl]]*RdsonTopTc*ThetaJA_Q1)</f>
        <v>3.707759366603026</v>
      </c>
      <c r="AL104" s="354">
        <f>Table2[[#This Row],[Irms Lf]]</f>
        <v>11.445841226867882</v>
      </c>
      <c r="AM104" s="354">
        <f>Rdson2*Table2[[#This Row],[Irms BuSync]]^2</f>
        <v>0.55023058184080775</v>
      </c>
      <c r="AN104"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0.54850285714285718</v>
      </c>
      <c r="AO104" s="354">
        <f>(Table2[[#This Row],[Deadtime Loss BuSync]]+Table2[[#This Row],[RDS(on) Loss BuSync]]*(1+RdsonBotTc*Ta-RdsonBotTc*25))/(1-Table2[[#This Row],[RDS(on) Loss BuSync]]*RdsonBotTc*ThetaJA_Q2)</f>
        <v>1.2659026423760829</v>
      </c>
      <c r="AP104" s="354">
        <f>Table2[[#This Row],[Irms Lf]]</f>
        <v>11.445841226867882</v>
      </c>
      <c r="AQ104" s="354">
        <f>Rdson4*Table2[[#This Row],[Irms BoCtlr]]^2</f>
        <v>0.55023058184080775</v>
      </c>
      <c r="AR104" s="354">
        <f>CHOOSE(Table2[[#This Row],[Mode Digit]], 0, (Vout*Table2[[#This Row],[Iin]]/2)*(Fsw)*(Tr_boost+Tf_boost), (Vout*Iout/2)*(Fsw/1)*(Tr_boost+Tf_boost))</f>
        <v>0</v>
      </c>
      <c r="AS104" s="354">
        <f>IF(Table2[[#This Row],[Vin]]&gt;Vout, 0, IF(Table2[[#This Row],[Iin]]&gt;Table2[[#This Row],[Ripple Current pk-pk]]/2,0,ABS(Table2[[#This Row],[Iin]]-Table2[[#This Row],[Ripple Current pk-pk]]/2)*Vsd_Q4*Deadtime*Fsw))</f>
        <v>0</v>
      </c>
      <c r="AT104" s="354">
        <f>(Table2[[#This Row],[Dead Time Loss BoCtlr]]+Table2[[#This Row],[Transition Loss BoCtlr]]+Table2[[#This Row],[RDS(on) Loss BoCtlr]]*(1+RdsonTopTc*Ta-RdsonTopTc*25))/(1-Table2[[#This Row],[RDS(on) Loss BoCtlr]]*RdsonTopTc*ThetaJA_Q4)</f>
        <v>0.63394661776445993</v>
      </c>
      <c r="AU104" s="354">
        <f>Table2[[#This Row],[Irms Lf]]</f>
        <v>11.445841226867882</v>
      </c>
      <c r="AV104" s="354">
        <f>Rdson3*Table2[[#This Row],[Irms BoSync]]^2</f>
        <v>0.55023058184080775</v>
      </c>
      <c r="AW104"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4" s="354">
        <f>(Table2[[#This Row],[Deadtime Loss BoSync]]+Table2[[#This Row],[RDS(on) Loss BoSync]]*(1+RdsonBotTc*Ta-RdsonBotTc*25))/(1-Table2[[#This Row],[RDS(on) Loss BoSync]]*RdsonBotTc*ThetaJA_Q3)</f>
        <v>0.63394661776445993</v>
      </c>
      <c r="AY104" s="354">
        <f>CHOOSE(Table2[[#This Row],[Mode Digit]], Rdson3*Table2[[#This Row],[Irms Lf]]^2, Rdson1*Table2[[#This Row],[Irms Lf]]^2, 0)</f>
        <v>0.55023058184080775</v>
      </c>
      <c r="AZ104" s="354">
        <f>CHOOSE(Table2[[#This Row],[Mode Digit]], 2*Deadtime*Fsw*IF(VfdSky_Q2&gt;0,VfdSky_Q2,0)*Table2[[#This Row],[Iout]], 2*Deadtime*Fsw*IF(VfdSky_Q3&gt;0,VfdSky_Q3,0)*Table2[[#This Row],[Iin]], 2*Deadtime*Fsw*IF(VfdSky_Q2&gt;0,VfdSky_Q2,0)*Table2[[#This Row],[Iout]]+2*Deadtime*Fsw*IF(VfdSky_Q3&gt;0,VfdSky_Q3,0)*Table2[[#This Row],[Iin]])</f>
        <v>0</v>
      </c>
      <c r="BA10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0.26849416800000003</v>
      </c>
      <c r="BB104"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0.26849416800000003</v>
      </c>
      <c r="BC104" s="354">
        <f>CHOOSE(Table2[[#This Row],[Mode Digit]], Rs*Table2[[#This Row],[Irms BuSync]]^2, Rs*Table2[[#This Row],[Irms BoCtlr]]^2, Rs*(Table2[[#This Row],[Irms BuSync]]^2+Table2[[#This Row],[Irms BoCtlr]]^2))</f>
        <v>0.32751820347667121</v>
      </c>
      <c r="BD104" s="354">
        <f t="shared" si="9"/>
        <v>1.44</v>
      </c>
      <c r="BE104" s="354">
        <f>IF(Vout&gt;8, Iq*Vout, Iq*Table2[[#This Row],[Vin]])</f>
        <v>4.3799999999999999E-2</v>
      </c>
      <c r="BF104" s="354">
        <f>CHOOSE(Table2[[#This Row],[Mode Digit]], (Qg_Q1+Qg_Q2)*Fsw, (Qg_Q3+Qg_Q4)*Fsw, (Qg_Q1+Qg_Q2+Qg_Q3+Qg_Q4)*Fsw)*IF(Vout&gt;8, Vout, Table2[[#This Row],[Vin]])</f>
        <v>0.47303999999999996</v>
      </c>
      <c r="BG104" s="354">
        <f t="shared" si="10"/>
        <v>0.57269042016806726</v>
      </c>
      <c r="BH104" s="354">
        <f>Table2[[#This Row],[IQ Loss]]+Table2[[#This Row],[Switching Current Loss]]</f>
        <v>0.51683999999999997</v>
      </c>
      <c r="BI104"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10.532160167682743</v>
      </c>
      <c r="BJ104">
        <f>Vout*Table2[[#This Row],[Iout]]</f>
        <v>166.44</v>
      </c>
      <c r="BK104" s="550">
        <f>Table2[[#This Row],[Pout]]/(Table2[[#This Row],[Pout]]+Table2[[#This Row],[Total Loss]])</f>
        <v>0.94048690959242731</v>
      </c>
      <c r="BL104" s="559">
        <f>IF(Table2[[#This Row],[Vin]]&gt;Vout,ThetaJA_Q1*(Table2[[#This Row],[Total Control Bu MOSFET Loss]]+Table2[[#This Row],[Reverse Recovery Loss MOSFET D BUCK]]),ThetaJA_Q4*(Table2[[#This Row],[Total Control Bo MOSFET Loss]]+Table2[[#This Row],[Reverse Recovery Loss MOSFET D BOOST]]))</f>
        <v>238.57521207618157</v>
      </c>
      <c r="BM104" s="559">
        <f>IF(Table2[[#This Row],[Vin]]&gt;Vout, Table2[[#This Row],[Total Sync Bu MOSFET Loss]]*ThetaJA_Q2, ThetaJA_Q3*Table2[[#This Row],[Total Sync Bo MOSFET Loss]])</f>
        <v>75.954158542564969</v>
      </c>
      <c r="BN104" s="9"/>
      <c r="BO104" s="4">
        <f>Table2[[#This Row],[EFF, h]]*100</f>
        <v>94.048690959242734</v>
      </c>
      <c r="BP104" s="354">
        <f>Table2[[#This Row],[Total Inductor Loss]]</f>
        <v>1.4025424422094392</v>
      </c>
      <c r="BQ104" s="354">
        <f>Table2[[#This Row],[Total Control Bu MOSFET Loss]]+Table2[[#This Row],[Total Sync Bu MOSFET Loss]]+Table2[[#This Row],[Total Control Bo MOSFET Loss]]+Table2[[#This Row],[Total Sync Bo MOSFET Loss]]+Table2[[#This Row],[Reverse Recovery Loss MOSFET D BUCK]]+Table2[[#This Row],[Reverse Recovery Loss MOSFET D BOOST]]</f>
        <v>6.7785435805080292</v>
      </c>
      <c r="BR104" s="354">
        <f xml:space="preserve"> Table2[[#This Row],[Total Control Bu MOSFET Loss]]+Table2[[#This Row],[Reverse Recovery Loss MOSFET D BUCK]]*0.66</f>
        <v>3.884965517483026</v>
      </c>
      <c r="BS104" s="354">
        <f>Table2[[#This Row],[Total Sync Bu MOSFET Loss]]+Table2[[#This Row],[Reverse Recovery Loss MOSFET D BUCK]]*0.33</f>
        <v>1.3545057178160829</v>
      </c>
      <c r="BT104" s="354">
        <f xml:space="preserve"> Table2[[#This Row],[Total Control Bo MOSFET Loss]]+Table2[[#This Row],[Reverse Recovery Loss MOSFET D BOOST]]*0.66</f>
        <v>0.81115276864445995</v>
      </c>
      <c r="BU104" s="354">
        <f xml:space="preserve"> Table2[[#This Row],[Total Sync Bo MOSFET Loss]]+Table2[[#This Row],[Reverse Recovery Loss MOSFET D BOOST]]*0.33</f>
        <v>0.72254969320445994</v>
      </c>
      <c r="BV104" s="354">
        <f>Table2[[#This Row],[Isense Shunt Loss]]</f>
        <v>0.32751820347667121</v>
      </c>
      <c r="CB104" s="18"/>
      <c r="CC104" s="19"/>
    </row>
    <row r="105" spans="7:81" x14ac:dyDescent="0.2">
      <c r="G105">
        <v>96</v>
      </c>
      <c r="H105" s="555">
        <f t="shared" si="8"/>
        <v>23.6</v>
      </c>
      <c r="I105" s="4" t="str">
        <f>IF(Mode = 2,IF(Table2[[#This Row],[Vin]]&gt;Vout, "BUCK","BOOST"),IF(Table2[[#This Row],[Vin]]&gt;VIN_BB_to_buck, "BUCK", IF(Table2[[#This Row],[Vin]]&lt;=VIN_boost_to_BB,"BOOST","BUCK-BST")))</f>
        <v>BUCK</v>
      </c>
      <c r="J105">
        <f>IF(Table2[[#This Row],[Mode]]="BOOST",2, IF(Table2[[#This Row],[Mode]]="BUCK", 1,3))</f>
        <v>1</v>
      </c>
      <c r="K105" s="354">
        <f t="shared" si="11"/>
        <v>11.52</v>
      </c>
      <c r="L105" s="4">
        <f>Vout*Table2[[#This Row],[Iout]]/(Table2[[#This Row],[Vin]]*Efficiency)</f>
        <v>7.501873327386261</v>
      </c>
      <c r="M105" s="711">
        <f>MIN(1/Fsw,CHOOSE(Table2[[#This Row],[Mode Digit]],(Vout+(Rdson2+Rs+Rdcr)*Table2[[#This Row],[Iout]])/(Table2[[#This Row],[Vin]]+(Rs+Rdson2-Rdson1)*Table2[[#This Row],[Iout]])/Fsw,(Vout+(Rdson3+Rdcr)*Table2[[#This Row],[Iin]]-Table2[[#This Row],[Vin]])/(Vout+(Rdson3-Rdson4-Rs)*Table2[[#This Row],[Iin]])/Fsw,t1_Ph_II))</f>
        <v>1.0399738172625497E-6</v>
      </c>
      <c r="N105" s="602">
        <f>CHOOSE(Table2[[#This Row],[Mode Digit]],1/Fsw-Table2[[#This Row],[t1_Ph_II]],1/Fsw-Table2[[#This Row],[t1_Ph_II]],(Vout/Fsw-Table2[[#This Row],[Vin]]*t1_Ph_II)/(Table2[[#This Row],[Vin]]+Vout))</f>
        <v>6.2669284940411695E-7</v>
      </c>
      <c r="O105" s="602">
        <f>1/Fsw-(Table2[[#This Row],[t1_Ph_II]]+Table2[[#This Row],[t2_Ph_I]])</f>
        <v>0</v>
      </c>
      <c r="P105"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9.7473173569388347</v>
      </c>
      <c r="Q105" s="4">
        <f>CHOOSE(Table2[[#This Row],[Mode Digit]],Table2[[#This Row],[I_0]]+1/Lf*(Table2[[#This Row],[Vin]]-Vout)*Table2[[#This Row],[t1_Ph_II]],Table2[[#This Row],[I_0]]+1/Lf*Table2[[#This Row],[Vin]]*Table2[[#This Row],[t1_Ph_II]],Table2[[#This Row],[I_0]]+(Table2[[#This Row],[Vin]]-Vout)/L*Table2[[#This Row],[t1_Ph_II]])</f>
        <v>13.292682643061164</v>
      </c>
      <c r="R105" s="4">
        <f>CHOOSE(Table2[[#This Row],[Mode Digit]],0,0,Table2[[#This Row],[I_1]]+Table2[[#This Row],[Vin]]/L*Table2[[#This Row],[t2_Ph_I]])</f>
        <v>0</v>
      </c>
      <c r="S105" s="409">
        <f>Fsw*(Table2[[#This Row],[I_0]]*Table2[[#This Row],[t1_Ph_II]]+Table2[[#This Row],[I_1]]*Table2[[#This Row],[t2_Ph_I]]+Table2[[#This Row],[I_2]]*Table2[[#This Row],[t3_Ph_III]])</f>
        <v>11.080430400941903</v>
      </c>
      <c r="T105" s="354">
        <f>MIN(1,CHOOSE(Table2[[#This Row],[Mode Digit]],(Vout+(Rdson2+Rs+Rdcr)*Table2[[#This Row],[Iout]])/(Table2[[#This Row],[Vin]]+(Rs+Rdson2-Rdson1)*Table2[[#This Row],[Iout]]),1,Fsw*Table2[[#This Row],[t2_Ph_I]]+Table2[[#This Row],[t1_Ph_II]]))</f>
        <v>0.62398429035752978</v>
      </c>
      <c r="U105" s="354">
        <f>MIN(1,CHOOSE(Table2[[#This Row],[Mode Digit]],0,(Vout+(Rdson3+Rdcr)*Table2[[#This Row],[Iin]]-Table2[[#This Row],[Vin]])/(Vout+(Rdson3-Rdson4-Rs)*Table2[[#This Row],[Iin]]),Fsw*Table2[[#This Row],[t1_Ph_II]]+Table2[[#This Row],[t3_Ph_III]]))</f>
        <v>0</v>
      </c>
      <c r="V105" s="4">
        <f>MAX(Table2[[#This Row],[I_0]:[I_2]])-MIN(Table2[[#This Row],[I_0]:[I_1]])</f>
        <v>3.5453652861223297</v>
      </c>
      <c r="W105"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11.56537366096185</v>
      </c>
      <c r="X105" s="354">
        <f>(Table2[[#This Row],[Irms Lf]]^2*Rdcr*(1+Ltc*Ta-Ltc*25))/(1-Table2[[#This Row],[Irms Lf]]^2*Rdcr*Ltc*ThetaCa)</f>
        <v>0.82713036392383266</v>
      </c>
      <c r="Y105" s="354">
        <f>ABS(7.759*10^-3*Fsw^0.9458*(0.00787*Table2[[#This Row],[Ripple Current pk-pk]])^2.304)</f>
        <v>0.59364375615178533</v>
      </c>
      <c r="Z105" s="354">
        <f>Table2[[#This Row],[DCR    Loss]]+Table2[[#This Row],[Core Loss]]</f>
        <v>1.4207741200756181</v>
      </c>
      <c r="AA105" s="4">
        <f>IF(Table2[[#This Row],[Vin]]&gt;Vout, Table2[[#This Row],[Ripple Current pk-pk]]/SQRT(12), SQRT(Table2[[#This Row],[Duty Cycle BOOST Leg]]/(1-Table2[[#This Row],[Duty Cycle BOOST Leg]]))*SQRT(Table2[[#This Row],[Iout]]^2+(Table2[[#This Row],[Ripple Current pk-pk]]^2)/12))</f>
        <v>1.0234588011591408</v>
      </c>
      <c r="AB105" s="354">
        <f>RCoutEsr*Table2[[#This Row],[Irms Cout]]^2</f>
        <v>5.2373395883505277E-3</v>
      </c>
      <c r="AC105" s="354">
        <f>Table2[[#This Row],[Cout ESR Loss]]</f>
        <v>5.2373395883505277E-3</v>
      </c>
      <c r="AD105" s="4">
        <f>IF(Table2[[#This Row],[Vin]]&gt;Vout, SQRT(Table2[[#This Row],[Duty Cycle BUCK Leg]]*(1-Table2[[#This Row],[Duty Cycle BUCK Leg]]))*SQRT(Table2[[#This Row],[Iout]]^2+(Table2[[#This Row],[Ripple Current pk-pk]]^2)/12), Table2[[#This Row],[Ripple Current pk-pk]]/SQRT(12))</f>
        <v>5.602082388612204</v>
      </c>
      <c r="AE105" s="354">
        <f>RCinEsr*Table2[[#This Row],[Irms Cin]]^2</f>
        <v>6.2766654177598039E-2</v>
      </c>
      <c r="AF105" s="549">
        <f>Table2[[#This Row],[Cin ESR Loss]]</f>
        <v>6.2766654177598039E-2</v>
      </c>
      <c r="AG105" s="354">
        <f>Table2[[#This Row],[Irms Lf]]</f>
        <v>11.56537366096185</v>
      </c>
      <c r="AH105" s="354">
        <f>Rdson1*Table2[[#This Row],[Irms BuCtrl]]^2</f>
        <v>0.56178304525421452</v>
      </c>
      <c r="AI105" s="354">
        <f>CHOOSE(Table2[[#This Row],[Mode Digit]], (Table2[[#This Row],[Vin]]*Table2[[#This Row],[Iout]]/2)*(Fsw)*(Tr_buck+Tf_buck), 0, (Table2[[#This Row],[Vin]]*Table2[[#This Row],[Avg IL]]/2)*(Fsw/1)*(Tr_buck+Tf_buck))</f>
        <v>2.6959825134774706</v>
      </c>
      <c r="AJ105">
        <f>IF(Table2[[#This Row],[Vin]]&gt;Vout, IF(Table2[[#This Row],[Iout]]&gt;Table2[[#This Row],[Ripple Current pk-pk]]/2,0,ABS(Table2[[#This Row],[Iout]]-Table2[[#This Row],[Ripple Current pk-pk]]/2)*Vsd_Q1*Deadtime*Fsw),0)</f>
        <v>0</v>
      </c>
      <c r="AK105" s="354">
        <f>(Table2[[#This Row],[Dead Time Loss BuCtrl]]+Table2[[#This Row],[Transition Loss BuCtrl]]+Table2[[#This Row],[RDS(on) Loss BuCtrl]]*(1+RdsonTopTc*Ta-RdsonTopTc*25))/(1-Table2[[#This Row],[RDS(on) Loss BuCtrl]]*RdsonTopTc*ThetaJA_Q1)</f>
        <v>3.7654539194426189</v>
      </c>
      <c r="AL105" s="354">
        <f>Table2[[#This Row],[Irms Lf]]</f>
        <v>11.56537366096185</v>
      </c>
      <c r="AM105" s="354">
        <f>Rdson2*Table2[[#This Row],[Irms BuSync]]^2</f>
        <v>0.56178304525421452</v>
      </c>
      <c r="AN105"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0.55427657142857145</v>
      </c>
      <c r="AO105" s="354">
        <f>(Table2[[#This Row],[Deadtime Loss BuSync]]+Table2[[#This Row],[RDS(on) Loss BuSync]]*(1+RdsonBotTc*Ta-RdsonBotTc*25))/(1-Table2[[#This Row],[RDS(on) Loss BuSync]]*RdsonBotTc*ThetaJA_Q2)</f>
        <v>1.2899857224857922</v>
      </c>
      <c r="AP105" s="354">
        <f>Table2[[#This Row],[Irms Lf]]</f>
        <v>11.56537366096185</v>
      </c>
      <c r="AQ105" s="354">
        <f>Rdson4*Table2[[#This Row],[Irms BoCtlr]]^2</f>
        <v>0.56178304525421452</v>
      </c>
      <c r="AR105" s="354">
        <f>CHOOSE(Table2[[#This Row],[Mode Digit]], 0, (Vout*Table2[[#This Row],[Iin]]/2)*(Fsw)*(Tr_boost+Tf_boost), (Vout*Iout/2)*(Fsw/1)*(Tr_boost+Tf_boost))</f>
        <v>0</v>
      </c>
      <c r="AS105" s="354">
        <f>IF(Table2[[#This Row],[Vin]]&gt;Vout, 0, IF(Table2[[#This Row],[Iin]]&gt;Table2[[#This Row],[Ripple Current pk-pk]]/2,0,ABS(Table2[[#This Row],[Iin]]-Table2[[#This Row],[Ripple Current pk-pk]]/2)*Vsd_Q4*Deadtime*Fsw))</f>
        <v>0</v>
      </c>
      <c r="AT105" s="354">
        <f>(Table2[[#This Row],[Dead Time Loss BoCtlr]]+Table2[[#This Row],[Transition Loss BoCtlr]]+Table2[[#This Row],[RDS(on) Loss BoCtlr]]*(1+RdsonTopTc*Ta-RdsonTopTc*25))/(1-Table2[[#This Row],[RDS(on) Loss BoCtlr]]*RdsonTopTc*ThetaJA_Q4)</f>
        <v>0.64933100049484482</v>
      </c>
      <c r="AU105" s="354">
        <f>Table2[[#This Row],[Irms Lf]]</f>
        <v>11.56537366096185</v>
      </c>
      <c r="AV105" s="354">
        <f>Rdson3*Table2[[#This Row],[Irms BoSync]]^2</f>
        <v>0.56178304525421452</v>
      </c>
      <c r="AW105"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5" s="354">
        <f>(Table2[[#This Row],[Deadtime Loss BoSync]]+Table2[[#This Row],[RDS(on) Loss BoSync]]*(1+RdsonBotTc*Ta-RdsonBotTc*25))/(1-Table2[[#This Row],[RDS(on) Loss BoSync]]*RdsonBotTc*ThetaJA_Q3)</f>
        <v>0.64933100049484482</v>
      </c>
      <c r="AY105" s="354">
        <f>CHOOSE(Table2[[#This Row],[Mode Digit]], Rdson3*Table2[[#This Row],[Irms Lf]]^2, Rdson1*Table2[[#This Row],[Irms Lf]]^2, 0)</f>
        <v>0.56178304525421452</v>
      </c>
      <c r="AZ105" s="354">
        <f>CHOOSE(Table2[[#This Row],[Mode Digit]], 2*Deadtime*Fsw*IF(VfdSky_Q2&gt;0,VfdSky_Q2,0)*Table2[[#This Row],[Iout]], 2*Deadtime*Fsw*IF(VfdSky_Q3&gt;0,VfdSky_Q3,0)*Table2[[#This Row],[Iin]], 2*Deadtime*Fsw*IF(VfdSky_Q2&gt;0,VfdSky_Q2,0)*Table2[[#This Row],[Iout]]+2*Deadtime*Fsw*IF(VfdSky_Q3&gt;0,VfdSky_Q3,0)*Table2[[#This Row],[Iin]])</f>
        <v>0</v>
      </c>
      <c r="BA10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0.27131461632000003</v>
      </c>
      <c r="BB105"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0.27131461632000003</v>
      </c>
      <c r="BC105" s="354">
        <f>CHOOSE(Table2[[#This Row],[Mode Digit]], Rs*Table2[[#This Row],[Irms BuSync]]^2, Rs*Table2[[#This Row],[Irms BoCtlr]]^2, Rs*(Table2[[#This Row],[Irms BuSync]]^2+Table2[[#This Row],[Irms BoCtlr]]^2))</f>
        <v>0.33439466979417526</v>
      </c>
      <c r="BD105" s="354">
        <f t="shared" si="9"/>
        <v>1.44</v>
      </c>
      <c r="BE105" s="354">
        <f>IF(Vout&gt;8, Iq*Vout, Iq*Table2[[#This Row],[Vin]])</f>
        <v>4.3799999999999999E-2</v>
      </c>
      <c r="BF105" s="354">
        <f>CHOOSE(Table2[[#This Row],[Mode Digit]], (Qg_Q1+Qg_Q2)*Fsw, (Qg_Q3+Qg_Q4)*Fsw, (Qg_Q1+Qg_Q2+Qg_Q3+Qg_Q4)*Fsw)*IF(Vout&gt;8, Vout, Table2[[#This Row],[Vin]])</f>
        <v>0.47303999999999996</v>
      </c>
      <c r="BG105" s="354">
        <f t="shared" si="10"/>
        <v>0.57269042016806726</v>
      </c>
      <c r="BH105" s="354">
        <f>Table2[[#This Row],[IQ Loss]]+Table2[[#This Row],[Switching Current Loss]]</f>
        <v>0.51683999999999997</v>
      </c>
      <c r="BI105"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10.676743659193843</v>
      </c>
      <c r="BJ105">
        <f>Vout*Table2[[#This Row],[Iout]]</f>
        <v>168.19199999999998</v>
      </c>
      <c r="BK105" s="550">
        <f>Table2[[#This Row],[Pout]]/(Table2[[#This Row],[Pout]]+Table2[[#This Row],[Total Loss]])</f>
        <v>0.94030961787523537</v>
      </c>
      <c r="BL105" s="559">
        <f>IF(Table2[[#This Row],[Vin]]&gt;Vout,ThetaJA_Q1*(Table2[[#This Row],[Total Control Bu MOSFET Loss]]+Table2[[#This Row],[Reverse Recovery Loss MOSFET D BUCK]]),ThetaJA_Q4*(Table2[[#This Row],[Total Control Bo MOSFET Loss]]+Table2[[#This Row],[Reverse Recovery Loss MOSFET D BOOST]]))</f>
        <v>242.20611214575712</v>
      </c>
      <c r="BM105" s="559">
        <f>IF(Table2[[#This Row],[Vin]]&gt;Vout, Table2[[#This Row],[Total Sync Bu MOSFET Loss]]*ThetaJA_Q2, ThetaJA_Q3*Table2[[#This Row],[Total Sync Bo MOSFET Loss]])</f>
        <v>77.399143349147536</v>
      </c>
      <c r="BN105" s="9"/>
      <c r="BO105" s="4">
        <f>Table2[[#This Row],[EFF, h]]*100</f>
        <v>94.030961787523538</v>
      </c>
      <c r="BP105" s="354">
        <f>Table2[[#This Row],[Total Inductor Loss]]</f>
        <v>1.4207741200756181</v>
      </c>
      <c r="BQ105" s="354">
        <f>Table2[[#This Row],[Total Control Bu MOSFET Loss]]+Table2[[#This Row],[Total Sync Bu MOSFET Loss]]+Table2[[#This Row],[Total Control Bo MOSFET Loss]]+Table2[[#This Row],[Total Sync Bo MOSFET Loss]]+Table2[[#This Row],[Reverse Recovery Loss MOSFET D BUCK]]+Table2[[#This Row],[Reverse Recovery Loss MOSFET D BOOST]]</f>
        <v>6.8967308755581005</v>
      </c>
      <c r="BR105" s="354">
        <f xml:space="preserve"> Table2[[#This Row],[Total Control Bu MOSFET Loss]]+Table2[[#This Row],[Reverse Recovery Loss MOSFET D BUCK]]*0.66</f>
        <v>3.9445215662138189</v>
      </c>
      <c r="BS105" s="354">
        <f>Table2[[#This Row],[Total Sync Bu MOSFET Loss]]+Table2[[#This Row],[Reverse Recovery Loss MOSFET D BUCK]]*0.33</f>
        <v>1.3795195458713922</v>
      </c>
      <c r="BT105" s="354">
        <f xml:space="preserve"> Table2[[#This Row],[Total Control Bo MOSFET Loss]]+Table2[[#This Row],[Reverse Recovery Loss MOSFET D BOOST]]*0.66</f>
        <v>0.82839864726604484</v>
      </c>
      <c r="BU105" s="354">
        <f xml:space="preserve"> Table2[[#This Row],[Total Sync Bo MOSFET Loss]]+Table2[[#This Row],[Reverse Recovery Loss MOSFET D BOOST]]*0.33</f>
        <v>0.73886482388044483</v>
      </c>
      <c r="BV105" s="354">
        <f>Table2[[#This Row],[Isense Shunt Loss]]</f>
        <v>0.33439466979417526</v>
      </c>
      <c r="CB105" s="18"/>
      <c r="CC105" s="19"/>
    </row>
    <row r="106" spans="7:81" x14ac:dyDescent="0.2">
      <c r="G106">
        <v>97</v>
      </c>
      <c r="H106" s="555">
        <f t="shared" si="8"/>
        <v>23.6</v>
      </c>
      <c r="I106" s="4" t="str">
        <f>IF(Mode = 2,IF(Table2[[#This Row],[Vin]]&gt;Vout, "BUCK","BOOST"),IF(Table2[[#This Row],[Vin]]&gt;VIN_BB_to_buck, "BUCK", IF(Table2[[#This Row],[Vin]]&lt;=VIN_boost_to_BB,"BOOST","BUCK-BST")))</f>
        <v>BUCK</v>
      </c>
      <c r="J106">
        <f>IF(Table2[[#This Row],[Mode]]="BOOST",2, IF(Table2[[#This Row],[Mode]]="BUCK", 1,3))</f>
        <v>1</v>
      </c>
      <c r="K106" s="354">
        <f t="shared" si="11"/>
        <v>11.64</v>
      </c>
      <c r="L106" s="4">
        <f>Vout*Table2[[#This Row],[Iout]]/(Table2[[#This Row],[Vin]]*Efficiency)</f>
        <v>7.5800178412132029</v>
      </c>
      <c r="M106" s="711">
        <f>MIN(1/Fsw,CHOOSE(Table2[[#This Row],[Mode Digit]],(Vout+(Rdson2+Rs+Rdcr)*Table2[[#This Row],[Iout]])/(Table2[[#This Row],[Vin]]+(Rs+Rdson2-Rdson1)*Table2[[#This Row],[Iout]])/Fsw,(Vout+(Rdson3+Rdcr)*Table2[[#This Row],[Iin]]-Table2[[#This Row],[Vin]])/(Vout+(Rdson3-Rdson4-Rs)*Table2[[#This Row],[Iin]])/Fsw,t1_Ph_II))</f>
        <v>1.0400664152817219E-6</v>
      </c>
      <c r="N106" s="602">
        <f>CHOOSE(Table2[[#This Row],[Mode Digit]],1/Fsw-Table2[[#This Row],[t1_Ph_II]],1/Fsw-Table2[[#This Row],[t1_Ph_II]],(Vout/Fsw-Table2[[#This Row],[Vin]]*t1_Ph_II)/(Table2[[#This Row],[Vin]]+Vout))</f>
        <v>6.2660025138494473E-7</v>
      </c>
      <c r="O106" s="602">
        <f>1/Fsw-(Table2[[#This Row],[t1_Ph_II]]+Table2[[#This Row],[t2_Ph_I]])</f>
        <v>0</v>
      </c>
      <c r="P106"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9.8671595194061563</v>
      </c>
      <c r="Q106" s="4">
        <f>CHOOSE(Table2[[#This Row],[Mode Digit]],Table2[[#This Row],[I_0]]+1/Lf*(Table2[[#This Row],[Vin]]-Vout)*Table2[[#This Row],[t1_Ph_II]],Table2[[#This Row],[I_0]]+1/Lf*Table2[[#This Row],[Vin]]*Table2[[#This Row],[t1_Ph_II]],Table2[[#This Row],[I_0]]+(Table2[[#This Row],[Vin]]-Vout)/L*Table2[[#This Row],[t1_Ph_II]])</f>
        <v>13.412840480593845</v>
      </c>
      <c r="R106" s="4">
        <f>CHOOSE(Table2[[#This Row],[Mode Digit]],0,0,Table2[[#This Row],[I_1]]+Table2[[#This Row],[Vin]]/L*Table2[[#This Row],[t2_Ph_I]])</f>
        <v>0</v>
      </c>
      <c r="S106" s="409">
        <f>Fsw*(Table2[[#This Row],[I_0]]*Table2[[#This Row],[t1_Ph_II]]+Table2[[#This Row],[I_1]]*Table2[[#This Row],[t2_Ph_I]]+Table2[[#This Row],[I_2]]*Table2[[#This Row],[t3_Ph_III]])</f>
        <v>11.200194268372769</v>
      </c>
      <c r="T106" s="354">
        <f>MIN(1,CHOOSE(Table2[[#This Row],[Mode Digit]],(Vout+(Rdson2+Rs+Rdcr)*Table2[[#This Row],[Iout]])/(Table2[[#This Row],[Vin]]+(Rs+Rdson2-Rdson1)*Table2[[#This Row],[Iout]]),1,Fsw*Table2[[#This Row],[t2_Ph_I]]+Table2[[#This Row],[t1_Ph_II]]))</f>
        <v>0.6240398491690331</v>
      </c>
      <c r="U106" s="354">
        <f>MIN(1,CHOOSE(Table2[[#This Row],[Mode Digit]],0,(Vout+(Rdson3+Rdcr)*Table2[[#This Row],[Iin]]-Table2[[#This Row],[Vin]])/(Vout+(Rdson3-Rdson4-Rs)*Table2[[#This Row],[Iin]]),Fsw*Table2[[#This Row],[t1_Ph_II]]+Table2[[#This Row],[t3_Ph_III]]))</f>
        <v>0</v>
      </c>
      <c r="V106" s="4">
        <f>MAX(Table2[[#This Row],[I_0]:[I_2]])-MIN(Table2[[#This Row],[I_0]:[I_1]])</f>
        <v>3.5456809611876885</v>
      </c>
      <c r="W106"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11.684915680335228</v>
      </c>
      <c r="X106" s="354">
        <f>(Table2[[#This Row],[Irms Lf]]^2*Rdcr*(1+Ltc*Ta-Ltc*25))/(1-Table2[[#This Row],[Irms Lf]]^2*Rdcr*Ltc*ThetaCa)</f>
        <v>0.84548001297457198</v>
      </c>
      <c r="Y106" s="354">
        <f>ABS(7.759*10^-3*Fsw^0.9458*(0.00787*Table2[[#This Row],[Ripple Current pk-pk]])^2.304)</f>
        <v>0.59376554650269753</v>
      </c>
      <c r="Z106" s="354">
        <f>Table2[[#This Row],[DCR    Loss]]+Table2[[#This Row],[Core Loss]]</f>
        <v>1.4392455594772695</v>
      </c>
      <c r="AA106" s="4">
        <f>IF(Table2[[#This Row],[Vin]]&gt;Vout, Table2[[#This Row],[Ripple Current pk-pk]]/SQRT(12), SQRT(Table2[[#This Row],[Duty Cycle BOOST Leg]]/(1-Table2[[#This Row],[Duty Cycle BOOST Leg]]))*SQRT(Table2[[#This Row],[Iout]]^2+(Table2[[#This Row],[Ripple Current pk-pk]]^2)/12))</f>
        <v>1.0235499287011216</v>
      </c>
      <c r="AB106" s="354">
        <f>RCoutEsr*Table2[[#This Row],[Irms Cout]]^2</f>
        <v>5.2382722827203554E-3</v>
      </c>
      <c r="AC106" s="354">
        <f>Table2[[#This Row],[Cout ESR Loss]]</f>
        <v>5.2382722827203554E-3</v>
      </c>
      <c r="AD106" s="4">
        <f>IF(Table2[[#This Row],[Vin]]&gt;Vout, SQRT(Table2[[#This Row],[Duty Cycle BUCK Leg]]*(1-Table2[[#This Row],[Duty Cycle BUCK Leg]]))*SQRT(Table2[[#This Row],[Iout]]^2+(Table2[[#This Row],[Ripple Current pk-pk]]^2)/12), Table2[[#This Row],[Ripple Current pk-pk]]/SQRT(12))</f>
        <v>5.6598204238788563</v>
      </c>
      <c r="AE106" s="354">
        <f>RCinEsr*Table2[[#This Row],[Irms Cin]]^2</f>
        <v>6.4067134461112479E-2</v>
      </c>
      <c r="AF106" s="549">
        <f>Table2[[#This Row],[Cin ESR Loss]]</f>
        <v>6.4067134461112479E-2</v>
      </c>
      <c r="AG106" s="354">
        <f>Table2[[#This Row],[Irms Lf]]</f>
        <v>11.684915680335228</v>
      </c>
      <c r="AH106" s="354">
        <f>Rdson1*Table2[[#This Row],[Irms BuCtrl]]^2</f>
        <v>0.57345646871748535</v>
      </c>
      <c r="AI106" s="354">
        <f>CHOOSE(Table2[[#This Row],[Mode Digit]], (Table2[[#This Row],[Vin]]*Table2[[#This Row],[Iout]]/2)*(Fsw)*(Tr_buck+Tf_buck), 0, (Table2[[#This Row],[Vin]]*Table2[[#This Row],[Avg IL]]/2)*(Fsw/1)*(Tr_buck+Tf_buck))</f>
        <v>2.7240656646595278</v>
      </c>
      <c r="AJ106">
        <f>IF(Table2[[#This Row],[Vin]]&gt;Vout, IF(Table2[[#This Row],[Iout]]&gt;Table2[[#This Row],[Ripple Current pk-pk]]/2,0,ABS(Table2[[#This Row],[Iout]]-Table2[[#This Row],[Ripple Current pk-pk]]/2)*Vsd_Q1*Deadtime*Fsw),0)</f>
        <v>0</v>
      </c>
      <c r="AK106" s="354">
        <f>(Table2[[#This Row],[Dead Time Loss BuCtrl]]+Table2[[#This Row],[Transition Loss BuCtrl]]+Table2[[#This Row],[RDS(on) Loss BuCtrl]]*(1+RdsonTopTc*Ta-RdsonTopTc*25))/(1-Table2[[#This Row],[RDS(on) Loss BuCtrl]]*RdsonTopTc*ThetaJA_Q1)</f>
        <v>3.823788422836897</v>
      </c>
      <c r="AL106" s="354">
        <f>Table2[[#This Row],[Irms Lf]]</f>
        <v>11.684915680335228</v>
      </c>
      <c r="AM106" s="354">
        <f>Rdson2*Table2[[#This Row],[Irms BuSync]]^2</f>
        <v>0.57345646871748535</v>
      </c>
      <c r="AN106"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0.56005028571428572</v>
      </c>
      <c r="AO106" s="354">
        <f>(Table2[[#This Row],[Deadtime Loss BuSync]]+Table2[[#This Row],[RDS(on) Loss BuSync]]*(1+RdsonBotTc*Ta-RdsonBotTc*25))/(1-Table2[[#This Row],[RDS(on) Loss BuSync]]*RdsonBotTc*ThetaJA_Q2)</f>
        <v>1.3144081614896872</v>
      </c>
      <c r="AP106" s="354">
        <f>Table2[[#This Row],[Irms Lf]]</f>
        <v>11.684915680335228</v>
      </c>
      <c r="AQ106" s="354">
        <f>Rdson4*Table2[[#This Row],[Irms BoCtlr]]^2</f>
        <v>0.57345646871748535</v>
      </c>
      <c r="AR106" s="354">
        <f>CHOOSE(Table2[[#This Row],[Mode Digit]], 0, (Vout*Table2[[#This Row],[Iin]]/2)*(Fsw)*(Tr_boost+Tf_boost), (Vout*Iout/2)*(Fsw/1)*(Tr_boost+Tf_boost))</f>
        <v>0</v>
      </c>
      <c r="AS106" s="354">
        <f>IF(Table2[[#This Row],[Vin]]&gt;Vout, 0, IF(Table2[[#This Row],[Iin]]&gt;Table2[[#This Row],[Ripple Current pk-pk]]/2,0,ABS(Table2[[#This Row],[Iin]]-Table2[[#This Row],[Ripple Current pk-pk]]/2)*Vsd_Q4*Deadtime*Fsw))</f>
        <v>0</v>
      </c>
      <c r="AT106" s="354">
        <f>(Table2[[#This Row],[Dead Time Loss BoCtlr]]+Table2[[#This Row],[Transition Loss BoCtlr]]+Table2[[#This Row],[RDS(on) Loss BoCtlr]]*(1+RdsonTopTc*Ta-RdsonTopTc*25))/(1-Table2[[#This Row],[RDS(on) Loss BoCtlr]]*RdsonTopTc*ThetaJA_Q4)</f>
        <v>0.66497694856629019</v>
      </c>
      <c r="AU106" s="354">
        <f>Table2[[#This Row],[Irms Lf]]</f>
        <v>11.684915680335228</v>
      </c>
      <c r="AV106" s="354">
        <f>Rdson3*Table2[[#This Row],[Irms BoSync]]^2</f>
        <v>0.57345646871748535</v>
      </c>
      <c r="AW106"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6" s="354">
        <f>(Table2[[#This Row],[Deadtime Loss BoSync]]+Table2[[#This Row],[RDS(on) Loss BoSync]]*(1+RdsonBotTc*Ta-RdsonBotTc*25))/(1-Table2[[#This Row],[RDS(on) Loss BoSync]]*RdsonBotTc*ThetaJA_Q3)</f>
        <v>0.66497694856629019</v>
      </c>
      <c r="AY106" s="354">
        <f>CHOOSE(Table2[[#This Row],[Mode Digit]], Rdson3*Table2[[#This Row],[Irms Lf]]^2, Rdson1*Table2[[#This Row],[Irms Lf]]^2, 0)</f>
        <v>0.57345646871748535</v>
      </c>
      <c r="AZ106" s="354">
        <f>CHOOSE(Table2[[#This Row],[Mode Digit]], 2*Deadtime*Fsw*IF(VfdSky_Q2&gt;0,VfdSky_Q2,0)*Table2[[#This Row],[Iout]], 2*Deadtime*Fsw*IF(VfdSky_Q3&gt;0,VfdSky_Q3,0)*Table2[[#This Row],[Iin]], 2*Deadtime*Fsw*IF(VfdSky_Q2&gt;0,VfdSky_Q2,0)*Table2[[#This Row],[Iout]]+2*Deadtime*Fsw*IF(VfdSky_Q3&gt;0,VfdSky_Q3,0)*Table2[[#This Row],[Iin]])</f>
        <v>0</v>
      </c>
      <c r="BA10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0.27413494368000002</v>
      </c>
      <c r="BB106"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0.27413494368000002</v>
      </c>
      <c r="BC106" s="354">
        <f>CHOOSE(Table2[[#This Row],[Mode Digit]], Rs*Table2[[#This Row],[Irms BuSync]]^2, Rs*Table2[[#This Row],[Irms BoCtlr]]^2, Rs*(Table2[[#This Row],[Irms BuSync]]^2+Table2[[#This Row],[Irms BoCtlr]]^2))</f>
        <v>0.34134313614136025</v>
      </c>
      <c r="BD106" s="354">
        <f t="shared" si="9"/>
        <v>1.44</v>
      </c>
      <c r="BE106" s="354">
        <f>IF(Vout&gt;8, Iq*Vout, Iq*Table2[[#This Row],[Vin]])</f>
        <v>4.3799999999999999E-2</v>
      </c>
      <c r="BF106" s="354">
        <f>CHOOSE(Table2[[#This Row],[Mode Digit]], (Qg_Q1+Qg_Q2)*Fsw, (Qg_Q3+Qg_Q4)*Fsw, (Qg_Q1+Qg_Q2+Qg_Q3+Qg_Q4)*Fsw)*IF(Vout&gt;8, Vout, Table2[[#This Row],[Vin]])</f>
        <v>0.47303999999999996</v>
      </c>
      <c r="BG106" s="354">
        <f t="shared" si="10"/>
        <v>0.57269042016806726</v>
      </c>
      <c r="BH106" s="354">
        <f>Table2[[#This Row],[IQ Loss]]+Table2[[#This Row],[Switching Current Loss]]</f>
        <v>0.51683999999999997</v>
      </c>
      <c r="BI106"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10.823154471181626</v>
      </c>
      <c r="BJ106">
        <f>Vout*Table2[[#This Row],[Iout]]</f>
        <v>169.94400000000002</v>
      </c>
      <c r="BK106" s="550">
        <f>Table2[[#This Row],[Pout]]/(Table2[[#This Row],[Pout]]+Table2[[#This Row],[Total Loss]])</f>
        <v>0.94012654288416608</v>
      </c>
      <c r="BL106" s="559">
        <f>IF(Table2[[#This Row],[Vin]]&gt;Vout,ThetaJA_Q1*(Table2[[#This Row],[Total Control Bu MOSFET Loss]]+Table2[[#This Row],[Reverse Recovery Loss MOSFET D BUCK]]),ThetaJA_Q4*(Table2[[#This Row],[Total Control Bo MOSFET Loss]]+Table2[[#This Row],[Reverse Recovery Loss MOSFET D BOOST]]))</f>
        <v>245.8754019910138</v>
      </c>
      <c r="BM106" s="559">
        <f>IF(Table2[[#This Row],[Vin]]&gt;Vout, Table2[[#This Row],[Total Sync Bu MOSFET Loss]]*ThetaJA_Q2, ThetaJA_Q3*Table2[[#This Row],[Total Sync Bo MOSFET Loss]])</f>
        <v>78.86448968938123</v>
      </c>
      <c r="BN106" s="9"/>
      <c r="BO106" s="4">
        <f>Table2[[#This Row],[EFF, h]]*100</f>
        <v>94.012654288416613</v>
      </c>
      <c r="BP106" s="354">
        <f>Table2[[#This Row],[Total Inductor Loss]]</f>
        <v>1.4392455594772695</v>
      </c>
      <c r="BQ106" s="354">
        <f>Table2[[#This Row],[Total Control Bu MOSFET Loss]]+Table2[[#This Row],[Total Sync Bu MOSFET Loss]]+Table2[[#This Row],[Total Control Bo MOSFET Loss]]+Table2[[#This Row],[Total Sync Bo MOSFET Loss]]+Table2[[#This Row],[Reverse Recovery Loss MOSFET D BUCK]]+Table2[[#This Row],[Reverse Recovery Loss MOSFET D BOOST]]</f>
        <v>7.0164203688191638</v>
      </c>
      <c r="BR106" s="354">
        <f xml:space="preserve"> Table2[[#This Row],[Total Control Bu MOSFET Loss]]+Table2[[#This Row],[Reverse Recovery Loss MOSFET D BUCK]]*0.66</f>
        <v>4.0047174856656973</v>
      </c>
      <c r="BS106" s="354">
        <f>Table2[[#This Row],[Total Sync Bu MOSFET Loss]]+Table2[[#This Row],[Reverse Recovery Loss MOSFET D BUCK]]*0.33</f>
        <v>1.4048726929040871</v>
      </c>
      <c r="BT106" s="354">
        <f xml:space="preserve"> Table2[[#This Row],[Total Control Bo MOSFET Loss]]+Table2[[#This Row],[Reverse Recovery Loss MOSFET D BOOST]]*0.66</f>
        <v>0.84590601139509025</v>
      </c>
      <c r="BU106" s="354">
        <f xml:space="preserve"> Table2[[#This Row],[Total Sync Bo MOSFET Loss]]+Table2[[#This Row],[Reverse Recovery Loss MOSFET D BOOST]]*0.33</f>
        <v>0.75544147998069022</v>
      </c>
      <c r="BV106" s="354">
        <f>Table2[[#This Row],[Isense Shunt Loss]]</f>
        <v>0.34134313614136025</v>
      </c>
      <c r="CB106" s="18"/>
      <c r="CC106" s="19"/>
    </row>
    <row r="107" spans="7:81" x14ac:dyDescent="0.2">
      <c r="G107">
        <v>98</v>
      </c>
      <c r="H107" s="555">
        <f t="shared" si="8"/>
        <v>23.6</v>
      </c>
      <c r="I107" s="4" t="str">
        <f>IF(Mode = 2,IF(Table2[[#This Row],[Vin]]&gt;Vout, "BUCK","BOOST"),IF(Table2[[#This Row],[Vin]]&gt;VIN_BB_to_buck, "BUCK", IF(Table2[[#This Row],[Vin]]&lt;=VIN_boost_to_BB,"BOOST","BUCK-BST")))</f>
        <v>BUCK</v>
      </c>
      <c r="J107">
        <f>IF(Table2[[#This Row],[Mode]]="BOOST",2, IF(Table2[[#This Row],[Mode]]="BUCK", 1,3))</f>
        <v>1</v>
      </c>
      <c r="K107" s="354">
        <f t="shared" si="11"/>
        <v>11.76</v>
      </c>
      <c r="L107" s="4">
        <f>Vout*Table2[[#This Row],[Iout]]/(Table2[[#This Row],[Vin]]*Efficiency)</f>
        <v>7.6581623550401421</v>
      </c>
      <c r="M107" s="711">
        <f>MIN(1/Fsw,CHOOSE(Table2[[#This Row],[Mode Digit]],(Vout+(Rdson2+Rs+Rdcr)*Table2[[#This Row],[Iout]])/(Table2[[#This Row],[Vin]]+(Rs+Rdson2-Rdson1)*Table2[[#This Row],[Iout]])/Fsw,(Vout+(Rdson3+Rdcr)*Table2[[#This Row],[Iin]]-Table2[[#This Row],[Vin]])/(Vout+(Rdson3-Rdson4-Rs)*Table2[[#This Row],[Iin]])/Fsw,t1_Ph_II))</f>
        <v>1.0401590109496361E-6</v>
      </c>
      <c r="N107" s="602">
        <f>CHOOSE(Table2[[#This Row],[Mode Digit]],1/Fsw-Table2[[#This Row],[t1_Ph_II]],1/Fsw-Table2[[#This Row],[t1_Ph_II]],(Vout/Fsw-Table2[[#This Row],[Vin]]*t1_Ph_II)/(Table2[[#This Row],[Vin]]+Vout))</f>
        <v>6.2650765571703052E-7</v>
      </c>
      <c r="O107" s="602">
        <f>1/Fsw-(Table2[[#This Row],[t1_Ph_II]]+Table2[[#This Row],[t2_Ph_I]])</f>
        <v>0</v>
      </c>
      <c r="P107"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9.9870016858813013</v>
      </c>
      <c r="Q107" s="4">
        <f>CHOOSE(Table2[[#This Row],[Mode Digit]],Table2[[#This Row],[I_0]]+1/Lf*(Table2[[#This Row],[Vin]]-Vout)*Table2[[#This Row],[t1_Ph_II]],Table2[[#This Row],[I_0]]+1/Lf*Table2[[#This Row],[Vin]]*Table2[[#This Row],[t1_Ph_II]],Table2[[#This Row],[I_0]]+(Table2[[#This Row],[Vin]]-Vout)/L*Table2[[#This Row],[t1_Ph_II]])</f>
        <v>13.532998314118698</v>
      </c>
      <c r="R107" s="4">
        <f>CHOOSE(Table2[[#This Row],[Mode Digit]],0,0,Table2[[#This Row],[I_1]]+Table2[[#This Row],[Vin]]/L*Table2[[#This Row],[t2_Ph_I]])</f>
        <v>0</v>
      </c>
      <c r="S107" s="409">
        <f>Fsw*(Table2[[#This Row],[I_0]]*Table2[[#This Row],[t1_Ph_II]]+Table2[[#This Row],[I_1]]*Table2[[#This Row],[t2_Ph_I]]+Table2[[#This Row],[I_2]]*Table2[[#This Row],[t3_Ph_III]])</f>
        <v>11.319958106723805</v>
      </c>
      <c r="T107" s="354">
        <f>MIN(1,CHOOSE(Table2[[#This Row],[Mode Digit]],(Vout+(Rdson2+Rs+Rdcr)*Table2[[#This Row],[Iout]])/(Table2[[#This Row],[Vin]]+(Rs+Rdson2-Rdson1)*Table2[[#This Row],[Iout]]),1,Fsw*Table2[[#This Row],[t2_Ph_I]]+Table2[[#This Row],[t1_Ph_II]]))</f>
        <v>0.62409540656978169</v>
      </c>
      <c r="U107" s="354">
        <f>MIN(1,CHOOSE(Table2[[#This Row],[Mode Digit]],0,(Vout+(Rdson3+Rdcr)*Table2[[#This Row],[Iin]]-Table2[[#This Row],[Vin]])/(Vout+(Rdson3-Rdson4-Rs)*Table2[[#This Row],[Iin]]),Fsw*Table2[[#This Row],[t1_Ph_II]]+Table2[[#This Row],[t3_Ph_III]]))</f>
        <v>0</v>
      </c>
      <c r="V107" s="4">
        <f>MAX(Table2[[#This Row],[I_0]:[I_2]])-MIN(Table2[[#This Row],[I_0]:[I_1]])</f>
        <v>3.5459966282373969</v>
      </c>
      <c r="W107"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11.804466993782025</v>
      </c>
      <c r="X107" s="354">
        <f>(Table2[[#This Row],[Irms Lf]]^2*Rdcr*(1+Ltc*Ta-Ltc*25))/(1-Table2[[#This Row],[Irms Lf]]^2*Rdcr*Ltc*ThetaCa)</f>
        <v>0.86407119068556448</v>
      </c>
      <c r="Y107" s="354">
        <f>ABS(7.759*10^-3*Fsw^0.9458*(0.00787*Table2[[#This Row],[Ripple Current pk-pk]])^2.304)</f>
        <v>0.59388734790078312</v>
      </c>
      <c r="Z107" s="354">
        <f>Table2[[#This Row],[DCR    Loss]]+Table2[[#This Row],[Core Loss]]</f>
        <v>1.4579585385863476</v>
      </c>
      <c r="AA107" s="4">
        <f>IF(Table2[[#This Row],[Vin]]&gt;Vout, Table2[[#This Row],[Ripple Current pk-pk]]/SQRT(12), SQRT(Table2[[#This Row],[Duty Cycle BOOST Leg]]/(1-Table2[[#This Row],[Duty Cycle BOOST Leg]]))*SQRT(Table2[[#This Row],[Iout]]^2+(Table2[[#This Row],[Ripple Current pk-pk]]^2)/12))</f>
        <v>1.0236410539291834</v>
      </c>
      <c r="AB107" s="354">
        <f>RCoutEsr*Table2[[#This Row],[Irms Cout]]^2</f>
        <v>5.2392050364462464E-3</v>
      </c>
      <c r="AC107" s="354">
        <f>Table2[[#This Row],[Cout ESR Loss]]</f>
        <v>5.2392050364462464E-3</v>
      </c>
      <c r="AD107" s="4">
        <f>IF(Table2[[#This Row],[Vin]]&gt;Vout, SQRT(Table2[[#This Row],[Duty Cycle BUCK Leg]]*(1-Table2[[#This Row],[Duty Cycle BUCK Leg]]))*SQRT(Table2[[#This Row],[Iout]]^2+(Table2[[#This Row],[Ripple Current pk-pk]]^2)/12), Table2[[#This Row],[Ripple Current pk-pk]]/SQRT(12))</f>
        <v>5.7175594840648731</v>
      </c>
      <c r="AE107" s="354">
        <f>RCinEsr*Table2[[#This Row],[Irms Cin]]^2</f>
        <v>6.5380972907640361E-2</v>
      </c>
      <c r="AF107" s="549">
        <f>Table2[[#This Row],[Cin ESR Loss]]</f>
        <v>6.5380972907640361E-2</v>
      </c>
      <c r="AG107" s="354">
        <f>Table2[[#This Row],[Irms Lf]]</f>
        <v>11.804466993782025</v>
      </c>
      <c r="AH107" s="354">
        <f>Rdson1*Table2[[#This Row],[Irms BuCtrl]]^2</f>
        <v>0.5852508522306149</v>
      </c>
      <c r="AI107" s="354">
        <f>CHOOSE(Table2[[#This Row],[Mode Digit]], (Table2[[#This Row],[Vin]]*Table2[[#This Row],[Iout]]/2)*(Fsw)*(Tr_buck+Tf_buck), 0, (Table2[[#This Row],[Vin]]*Table2[[#This Row],[Avg IL]]/2)*(Fsw/1)*(Tr_buck+Tf_buck))</f>
        <v>2.7521488158415846</v>
      </c>
      <c r="AJ107">
        <f>IF(Table2[[#This Row],[Vin]]&gt;Vout, IF(Table2[[#This Row],[Iout]]&gt;Table2[[#This Row],[Ripple Current pk-pk]]/2,0,ABS(Table2[[#This Row],[Iout]]-Table2[[#This Row],[Ripple Current pk-pk]]/2)*Vsd_Q1*Deadtime*Fsw),0)</f>
        <v>0</v>
      </c>
      <c r="AK107" s="354">
        <f>(Table2[[#This Row],[Dead Time Loss BuCtrl]]+Table2[[#This Row],[Transition Loss BuCtrl]]+Table2[[#This Row],[RDS(on) Loss BuCtrl]]*(1+RdsonTopTc*Ta-RdsonTopTc*25))/(1-Table2[[#This Row],[RDS(on) Loss BuCtrl]]*RdsonTopTc*ThetaJA_Q1)</f>
        <v>3.8827750450670622</v>
      </c>
      <c r="AL107" s="354">
        <f>Table2[[#This Row],[Irms Lf]]</f>
        <v>11.804466993782025</v>
      </c>
      <c r="AM107" s="354">
        <f>Rdson2*Table2[[#This Row],[Irms BuSync]]^2</f>
        <v>0.5852508522306149</v>
      </c>
      <c r="AN107"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0.56582399999999999</v>
      </c>
      <c r="AO107" s="354">
        <f>(Table2[[#This Row],[Deadtime Loss BuSync]]+Table2[[#This Row],[RDS(on) Loss BuSync]]*(1+RdsonBotTc*Ta-RdsonBotTc*25))/(1-Table2[[#This Row],[RDS(on) Loss BuSync]]*RdsonBotTc*ThetaJA_Q2)</f>
        <v>1.3391757523086685</v>
      </c>
      <c r="AP107" s="354">
        <f>Table2[[#This Row],[Irms Lf]]</f>
        <v>11.804466993782025</v>
      </c>
      <c r="AQ107" s="354">
        <f>Rdson4*Table2[[#This Row],[Irms BoCtlr]]^2</f>
        <v>0.5852508522306149</v>
      </c>
      <c r="AR107" s="354">
        <f>CHOOSE(Table2[[#This Row],[Mode Digit]], 0, (Vout*Table2[[#This Row],[Iin]]/2)*(Fsw)*(Tr_boost+Tf_boost), (Vout*Iout/2)*(Fsw/1)*(Tr_boost+Tf_boost))</f>
        <v>0</v>
      </c>
      <c r="AS107" s="354">
        <f>IF(Table2[[#This Row],[Vin]]&gt;Vout, 0, IF(Table2[[#This Row],[Iin]]&gt;Table2[[#This Row],[Ripple Current pk-pk]]/2,0,ABS(Table2[[#This Row],[Iin]]-Table2[[#This Row],[Ripple Current pk-pk]]/2)*Vsd_Q4*Deadtime*Fsw))</f>
        <v>0</v>
      </c>
      <c r="AT107" s="354">
        <f>(Table2[[#This Row],[Dead Time Loss BoCtlr]]+Table2[[#This Row],[Transition Loss BoCtlr]]+Table2[[#This Row],[RDS(on) Loss BoCtlr]]*(1+RdsonTopTc*Ta-RdsonTopTc*25))/(1-Table2[[#This Row],[RDS(on) Loss BoCtlr]]*RdsonTopTc*ThetaJA_Q4)</f>
        <v>0.68088860494730019</v>
      </c>
      <c r="AU107" s="354">
        <f>Table2[[#This Row],[Irms Lf]]</f>
        <v>11.804466993782025</v>
      </c>
      <c r="AV107" s="354">
        <f>Rdson3*Table2[[#This Row],[Irms BoSync]]^2</f>
        <v>0.5852508522306149</v>
      </c>
      <c r="AW107"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7" s="354">
        <f>(Table2[[#This Row],[Deadtime Loss BoSync]]+Table2[[#This Row],[RDS(on) Loss BoSync]]*(1+RdsonBotTc*Ta-RdsonBotTc*25))/(1-Table2[[#This Row],[RDS(on) Loss BoSync]]*RdsonBotTc*ThetaJA_Q3)</f>
        <v>0.68088860494730019</v>
      </c>
      <c r="AY107" s="354">
        <f>CHOOSE(Table2[[#This Row],[Mode Digit]], Rdson3*Table2[[#This Row],[Irms Lf]]^2, Rdson1*Table2[[#This Row],[Irms Lf]]^2, 0)</f>
        <v>0.5852508522306149</v>
      </c>
      <c r="AZ107" s="354">
        <f>CHOOSE(Table2[[#This Row],[Mode Digit]], 2*Deadtime*Fsw*IF(VfdSky_Q2&gt;0,VfdSky_Q2,0)*Table2[[#This Row],[Iout]], 2*Deadtime*Fsw*IF(VfdSky_Q3&gt;0,VfdSky_Q3,0)*Table2[[#This Row],[Iin]], 2*Deadtime*Fsw*IF(VfdSky_Q2&gt;0,VfdSky_Q2,0)*Table2[[#This Row],[Iout]]+2*Deadtime*Fsw*IF(VfdSky_Q3&gt;0,VfdSky_Q3,0)*Table2[[#This Row],[Iin]])</f>
        <v>0</v>
      </c>
      <c r="BA10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0.27695515007999999</v>
      </c>
      <c r="BB107"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0.27695515007999999</v>
      </c>
      <c r="BC107" s="354">
        <f>CHOOSE(Table2[[#This Row],[Mode Digit]], Rs*Table2[[#This Row],[Irms BuSync]]^2, Rs*Table2[[#This Row],[Irms BoCtlr]]^2, Rs*(Table2[[#This Row],[Irms BuSync]]^2+Table2[[#This Row],[Irms BoCtlr]]^2))</f>
        <v>0.34836360251822313</v>
      </c>
      <c r="BD107" s="354">
        <f t="shared" si="9"/>
        <v>1.44</v>
      </c>
      <c r="BE107" s="354">
        <f>IF(Vout&gt;8, Iq*Vout, Iq*Table2[[#This Row],[Vin]])</f>
        <v>4.3799999999999999E-2</v>
      </c>
      <c r="BF107" s="354">
        <f>CHOOSE(Table2[[#This Row],[Mode Digit]], (Qg_Q1+Qg_Q2)*Fsw, (Qg_Q3+Qg_Q4)*Fsw, (Qg_Q1+Qg_Q2+Qg_Q3+Qg_Q4)*Fsw)*IF(Vout&gt;8, Vout, Table2[[#This Row],[Vin]])</f>
        <v>0.47303999999999996</v>
      </c>
      <c r="BG107" s="354">
        <f t="shared" si="10"/>
        <v>0.57269042016806726</v>
      </c>
      <c r="BH107" s="354">
        <f>Table2[[#This Row],[IQ Loss]]+Table2[[#This Row],[Switching Current Loss]]</f>
        <v>0.51683999999999997</v>
      </c>
      <c r="BI107"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10.971420626478986</v>
      </c>
      <c r="BJ107">
        <f>Vout*Table2[[#This Row],[Iout]]</f>
        <v>171.696</v>
      </c>
      <c r="BK107" s="550">
        <f>Table2[[#This Row],[Pout]]/(Table2[[#This Row],[Pout]]+Table2[[#This Row],[Total Loss]])</f>
        <v>0.93993772623026461</v>
      </c>
      <c r="BL107" s="559">
        <f>IF(Table2[[#This Row],[Vin]]&gt;Vout,ThetaJA_Q1*(Table2[[#This Row],[Total Control Bu MOSFET Loss]]+Table2[[#This Row],[Reverse Recovery Loss MOSFET D BUCK]]),ThetaJA_Q4*(Table2[[#This Row],[Total Control Bo MOSFET Loss]]+Table2[[#This Row],[Reverse Recovery Loss MOSFET D BOOST]]))</f>
        <v>249.5838117088237</v>
      </c>
      <c r="BM107" s="559">
        <f>IF(Table2[[#This Row],[Vin]]&gt;Vout, Table2[[#This Row],[Total Sync Bu MOSFET Loss]]*ThetaJA_Q2, ThetaJA_Q3*Table2[[#This Row],[Total Sync Bo MOSFET Loss]])</f>
        <v>80.350545138520104</v>
      </c>
      <c r="BN107" s="9"/>
      <c r="BO107" s="4">
        <f>Table2[[#This Row],[EFF, h]]*100</f>
        <v>93.993772623026459</v>
      </c>
      <c r="BP107" s="354">
        <f>Table2[[#This Row],[Total Inductor Loss]]</f>
        <v>1.4579585385863476</v>
      </c>
      <c r="BQ107" s="354">
        <f>Table2[[#This Row],[Total Control Bu MOSFET Loss]]+Table2[[#This Row],[Total Sync Bu MOSFET Loss]]+Table2[[#This Row],[Total Control Bo MOSFET Loss]]+Table2[[#This Row],[Total Sync Bo MOSFET Loss]]+Table2[[#This Row],[Reverse Recovery Loss MOSFET D BUCK]]+Table2[[#This Row],[Reverse Recovery Loss MOSFET D BOOST]]</f>
        <v>7.1376383074303309</v>
      </c>
      <c r="BR107" s="354">
        <f xml:space="preserve"> Table2[[#This Row],[Total Control Bu MOSFET Loss]]+Table2[[#This Row],[Reverse Recovery Loss MOSFET D BUCK]]*0.66</f>
        <v>4.0655654441198621</v>
      </c>
      <c r="BS107" s="354">
        <f>Table2[[#This Row],[Total Sync Bu MOSFET Loss]]+Table2[[#This Row],[Reverse Recovery Loss MOSFET D BUCK]]*0.33</f>
        <v>1.4305709518350684</v>
      </c>
      <c r="BT107" s="354">
        <f xml:space="preserve"> Table2[[#This Row],[Total Control Bo MOSFET Loss]]+Table2[[#This Row],[Reverse Recovery Loss MOSFET D BOOST]]*0.66</f>
        <v>0.86367900400010023</v>
      </c>
      <c r="BU107" s="354">
        <f xml:space="preserve"> Table2[[#This Row],[Total Sync Bo MOSFET Loss]]+Table2[[#This Row],[Reverse Recovery Loss MOSFET D BOOST]]*0.33</f>
        <v>0.77228380447370015</v>
      </c>
      <c r="BV107" s="354">
        <f>Table2[[#This Row],[Isense Shunt Loss]]</f>
        <v>0.34836360251822313</v>
      </c>
      <c r="CB107" s="18"/>
      <c r="CC107" s="19"/>
    </row>
    <row r="108" spans="7:81" x14ac:dyDescent="0.2">
      <c r="G108">
        <v>99</v>
      </c>
      <c r="H108" s="555">
        <f t="shared" si="8"/>
        <v>23.6</v>
      </c>
      <c r="I108" s="4" t="str">
        <f>IF(Mode = 2,IF(Table2[[#This Row],[Vin]]&gt;Vout, "BUCK","BOOST"),IF(Table2[[#This Row],[Vin]]&gt;VIN_BB_to_buck, "BUCK", IF(Table2[[#This Row],[Vin]]&lt;=VIN_boost_to_BB,"BOOST","BUCK-BST")))</f>
        <v>BUCK</v>
      </c>
      <c r="J108">
        <f>IF(Table2[[#This Row],[Mode]]="BOOST",2, IF(Table2[[#This Row],[Mode]]="BUCK", 1,3))</f>
        <v>1</v>
      </c>
      <c r="K108" s="354">
        <f t="shared" si="11"/>
        <v>11.88</v>
      </c>
      <c r="L108" s="4">
        <f>Vout*Table2[[#This Row],[Iout]]/(Table2[[#This Row],[Vin]]*Efficiency)</f>
        <v>7.7363068688670831</v>
      </c>
      <c r="M108" s="711">
        <f>MIN(1/Fsw,CHOOSE(Table2[[#This Row],[Mode Digit]],(Vout+(Rdson2+Rs+Rdcr)*Table2[[#This Row],[Iout]])/(Table2[[#This Row],[Vin]]+(Rs+Rdson2-Rdson1)*Table2[[#This Row],[Iout]])/Fsw,(Vout+(Rdson3+Rdcr)*Table2[[#This Row],[Iin]]-Table2[[#This Row],[Vin]])/(Vout+(Rdson3-Rdson4-Rs)*Table2[[#This Row],[Iin]])/Fsw,t1_Ph_II))</f>
        <v>1.0402516042663823E-6</v>
      </c>
      <c r="N108" s="602">
        <f>CHOOSE(Table2[[#This Row],[Mode Digit]],1/Fsw-Table2[[#This Row],[t1_Ph_II]],1/Fsw-Table2[[#This Row],[t1_Ph_II]],(Vout/Fsw-Table2[[#This Row],[Vin]]*t1_Ph_II)/(Table2[[#This Row],[Vin]]+Vout))</f>
        <v>6.2641506240028432E-7</v>
      </c>
      <c r="O108" s="602">
        <f>1/Fsw-(Table2[[#This Row],[t1_Ph_II]]+Table2[[#This Row],[t2_Ph_I]])</f>
        <v>0</v>
      </c>
      <c r="P108"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10.106843856364122</v>
      </c>
      <c r="Q108" s="4">
        <f>CHOOSE(Table2[[#This Row],[Mode Digit]],Table2[[#This Row],[I_0]]+1/Lf*(Table2[[#This Row],[Vin]]-Vout)*Table2[[#This Row],[t1_Ph_II]],Table2[[#This Row],[I_0]]+1/Lf*Table2[[#This Row],[Vin]]*Table2[[#This Row],[t1_Ph_II]],Table2[[#This Row],[I_0]]+(Table2[[#This Row],[Vin]]-Vout)/L*Table2[[#This Row],[t1_Ph_II]])</f>
        <v>13.653156143635881</v>
      </c>
      <c r="R108" s="4">
        <f>CHOOSE(Table2[[#This Row],[Mode Digit]],0,0,Table2[[#This Row],[I_1]]+Table2[[#This Row],[Vin]]/L*Table2[[#This Row],[t2_Ph_I]])</f>
        <v>0</v>
      </c>
      <c r="S108" s="409">
        <f>Fsw*(Table2[[#This Row],[I_0]]*Table2[[#This Row],[t1_Ph_II]]+Table2[[#This Row],[I_1]]*Table2[[#This Row],[t2_Ph_I]]+Table2[[#This Row],[I_2]]*Table2[[#This Row],[t3_Ph_III]])</f>
        <v>11.439721915997461</v>
      </c>
      <c r="T108" s="354">
        <f>MIN(1,CHOOSE(Table2[[#This Row],[Mode Digit]],(Vout+(Rdson2+Rs+Rdcr)*Table2[[#This Row],[Iout]])/(Table2[[#This Row],[Vin]]+(Rs+Rdson2-Rdson1)*Table2[[#This Row],[Iout]]),1,Fsw*Table2[[#This Row],[t2_Ph_I]]+Table2[[#This Row],[t1_Ph_II]]))</f>
        <v>0.62415096255982938</v>
      </c>
      <c r="U108" s="354">
        <f>MIN(1,CHOOSE(Table2[[#This Row],[Mode Digit]],0,(Vout+(Rdson3+Rdcr)*Table2[[#This Row],[Iin]]-Table2[[#This Row],[Vin]])/(Vout+(Rdson3-Rdson4-Rs)*Table2[[#This Row],[Iin]]),Fsw*Table2[[#This Row],[t1_Ph_II]]+Table2[[#This Row],[t3_Ph_III]]))</f>
        <v>0</v>
      </c>
      <c r="V108" s="4">
        <f>MAX(Table2[[#This Row],[I_0]:[I_2]])-MIN(Table2[[#This Row],[I_0]:[I_1]])</f>
        <v>3.5463122872717587</v>
      </c>
      <c r="W108"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11.924027321752689</v>
      </c>
      <c r="X108" s="354">
        <f>(Table2[[#This Row],[Irms Lf]]^2*Rdcr*(1+Ltc*Ta-Ltc*25))/(1-Table2[[#This Row],[Irms Lf]]^2*Rdcr*Ltc*ThetaCa)</f>
        <v>0.88290570583431793</v>
      </c>
      <c r="Y108" s="354">
        <f>ABS(7.759*10^-3*Fsw^0.9458*(0.00787*Table2[[#This Row],[Ripple Current pk-pk]])^2.304)</f>
        <v>0.59400916034546647</v>
      </c>
      <c r="Z108" s="354">
        <f>Table2[[#This Row],[DCR    Loss]]+Table2[[#This Row],[Core Loss]]</f>
        <v>1.4769148661797844</v>
      </c>
      <c r="AA108" s="4">
        <f>IF(Table2[[#This Row],[Vin]]&gt;Vout, Table2[[#This Row],[Ripple Current pk-pk]]/SQRT(12), SQRT(Table2[[#This Row],[Duty Cycle BOOST Leg]]/(1-Table2[[#This Row],[Duty Cycle BOOST Leg]]))*SQRT(Table2[[#This Row],[Iout]]^2+(Table2[[#This Row],[Ripple Current pk-pk]]^2)/12))</f>
        <v>1.0237321768434138</v>
      </c>
      <c r="AB108" s="354">
        <f>RCoutEsr*Table2[[#This Row],[Irms Cout]]^2</f>
        <v>5.2401378495227739E-3</v>
      </c>
      <c r="AC108" s="354">
        <f>Table2[[#This Row],[Cout ESR Loss]]</f>
        <v>5.2401378495227739E-3</v>
      </c>
      <c r="AD108" s="4">
        <f>IF(Table2[[#This Row],[Vin]]&gt;Vout, SQRT(Table2[[#This Row],[Duty Cycle BUCK Leg]]*(1-Table2[[#This Row],[Duty Cycle BUCK Leg]]))*SQRT(Table2[[#This Row],[Iout]]^2+(Table2[[#This Row],[Ripple Current pk-pk]]^2)/12), Table2[[#This Row],[Ripple Current pk-pk]]/SQRT(12))</f>
        <v>5.7752994310690493</v>
      </c>
      <c r="AE108" s="354">
        <f>RCinEsr*Table2[[#This Row],[Irms Cin]]^2</f>
        <v>6.6708167037012975E-2</v>
      </c>
      <c r="AF108" s="549">
        <f>Table2[[#This Row],[Cin ESR Loss]]</f>
        <v>6.6708167037012975E-2</v>
      </c>
      <c r="AG108" s="354">
        <f>Table2[[#This Row],[Irms Lf]]</f>
        <v>11.924027321752689</v>
      </c>
      <c r="AH108" s="354">
        <f>Rdson1*Table2[[#This Row],[Irms BuCtrl]]^2</f>
        <v>0.59716619579359942</v>
      </c>
      <c r="AI108" s="354">
        <f>CHOOSE(Table2[[#This Row],[Mode Digit]], (Table2[[#This Row],[Vin]]*Table2[[#This Row],[Iout]]/2)*(Fsw)*(Tr_buck+Tf_buck), 0, (Table2[[#This Row],[Vin]]*Table2[[#This Row],[Avg IL]]/2)*(Fsw/1)*(Tr_buck+Tf_buck))</f>
        <v>2.7802319670236422</v>
      </c>
      <c r="AJ108">
        <f>IF(Table2[[#This Row],[Vin]]&gt;Vout, IF(Table2[[#This Row],[Iout]]&gt;Table2[[#This Row],[Ripple Current pk-pk]]/2,0,ABS(Table2[[#This Row],[Iout]]-Table2[[#This Row],[Ripple Current pk-pk]]/2)*Vsd_Q1*Deadtime*Fsw),0)</f>
        <v>0</v>
      </c>
      <c r="AK108" s="354">
        <f>(Table2[[#This Row],[Dead Time Loss BuCtrl]]+Table2[[#This Row],[Transition Loss BuCtrl]]+Table2[[#This Row],[RDS(on) Loss BuCtrl]]*(1+RdsonTopTc*Ta-RdsonTopTc*25))/(1-Table2[[#This Row],[RDS(on) Loss BuCtrl]]*RdsonTopTc*ThetaJA_Q1)</f>
        <v>3.942426247006444</v>
      </c>
      <c r="AL108" s="354">
        <f>Table2[[#This Row],[Irms Lf]]</f>
        <v>11.924027321752689</v>
      </c>
      <c r="AM108" s="354">
        <f>Rdson2*Table2[[#This Row],[Irms BuSync]]^2</f>
        <v>0.59716619579359942</v>
      </c>
      <c r="AN108"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0.57159771428571426</v>
      </c>
      <c r="AO108" s="354">
        <f>(Table2[[#This Row],[Deadtime Loss BuSync]]+Table2[[#This Row],[RDS(on) Loss BuSync]]*(1+RdsonBotTc*Ta-RdsonBotTc*25))/(1-Table2[[#This Row],[RDS(on) Loss BuSync]]*RdsonBotTc*ThetaJA_Q2)</f>
        <v>1.364294434212346</v>
      </c>
      <c r="AP108" s="354">
        <f>Table2[[#This Row],[Irms Lf]]</f>
        <v>11.924027321752689</v>
      </c>
      <c r="AQ108" s="354">
        <f>Rdson4*Table2[[#This Row],[Irms BoCtlr]]^2</f>
        <v>0.59716619579359942</v>
      </c>
      <c r="AR108" s="354">
        <f>CHOOSE(Table2[[#This Row],[Mode Digit]], 0, (Vout*Table2[[#This Row],[Iin]]/2)*(Fsw)*(Tr_boost+Tf_boost), (Vout*Iout/2)*(Fsw/1)*(Tr_boost+Tf_boost))</f>
        <v>0</v>
      </c>
      <c r="AS108" s="354">
        <f>IF(Table2[[#This Row],[Vin]]&gt;Vout, 0, IF(Table2[[#This Row],[Iin]]&gt;Table2[[#This Row],[Ripple Current pk-pk]]/2,0,ABS(Table2[[#This Row],[Iin]]-Table2[[#This Row],[Ripple Current pk-pk]]/2)*Vsd_Q4*Deadtime*Fsw))</f>
        <v>0</v>
      </c>
      <c r="AT108" s="354">
        <f>(Table2[[#This Row],[Dead Time Loss BoCtlr]]+Table2[[#This Row],[Transition Loss BoCtlr]]+Table2[[#This Row],[RDS(on) Loss BoCtlr]]*(1+RdsonTopTc*Ta-RdsonTopTc*25))/(1-Table2[[#This Row],[RDS(on) Loss BoCtlr]]*RdsonTopTc*ThetaJA_Q4)</f>
        <v>0.69707022110708439</v>
      </c>
      <c r="AU108" s="354">
        <f>Table2[[#This Row],[Irms Lf]]</f>
        <v>11.924027321752689</v>
      </c>
      <c r="AV108" s="354">
        <f>Rdson3*Table2[[#This Row],[Irms BoSync]]^2</f>
        <v>0.59716619579359942</v>
      </c>
      <c r="AW108"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8" s="354">
        <f>(Table2[[#This Row],[Deadtime Loss BoSync]]+Table2[[#This Row],[RDS(on) Loss BoSync]]*(1+RdsonBotTc*Ta-RdsonBotTc*25))/(1-Table2[[#This Row],[RDS(on) Loss BoSync]]*RdsonBotTc*ThetaJA_Q3)</f>
        <v>0.69707022110708439</v>
      </c>
      <c r="AY108" s="354">
        <f>CHOOSE(Table2[[#This Row],[Mode Digit]], Rdson3*Table2[[#This Row],[Irms Lf]]^2, Rdson1*Table2[[#This Row],[Irms Lf]]^2, 0)</f>
        <v>0.59716619579359942</v>
      </c>
      <c r="AZ108" s="354">
        <f>CHOOSE(Table2[[#This Row],[Mode Digit]], 2*Deadtime*Fsw*IF(VfdSky_Q2&gt;0,VfdSky_Q2,0)*Table2[[#This Row],[Iout]], 2*Deadtime*Fsw*IF(VfdSky_Q3&gt;0,VfdSky_Q3,0)*Table2[[#This Row],[Iin]], 2*Deadtime*Fsw*IF(VfdSky_Q2&gt;0,VfdSky_Q2,0)*Table2[[#This Row],[Iout]]+2*Deadtime*Fsw*IF(VfdSky_Q3&gt;0,VfdSky_Q3,0)*Table2[[#This Row],[Iin]])</f>
        <v>0</v>
      </c>
      <c r="BA10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0.27977523552000005</v>
      </c>
      <c r="BB108"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0.27977523552000005</v>
      </c>
      <c r="BC108" s="354">
        <f>CHOOSE(Table2[[#This Row],[Mode Digit]], Rs*Table2[[#This Row],[Irms BuSync]]^2, Rs*Table2[[#This Row],[Irms BoCtlr]]^2, Rs*(Table2[[#This Row],[Irms BuSync]]^2+Table2[[#This Row],[Irms BoCtlr]]^2))</f>
        <v>0.3554560689247615</v>
      </c>
      <c r="BD108" s="354">
        <f t="shared" si="9"/>
        <v>1.44</v>
      </c>
      <c r="BE108" s="354">
        <f>IF(Vout&gt;8, Iq*Vout, Iq*Table2[[#This Row],[Vin]])</f>
        <v>4.3799999999999999E-2</v>
      </c>
      <c r="BF108" s="354">
        <f>CHOOSE(Table2[[#This Row],[Mode Digit]], (Qg_Q1+Qg_Q2)*Fsw, (Qg_Q3+Qg_Q4)*Fsw, (Qg_Q1+Qg_Q2+Qg_Q3+Qg_Q4)*Fsw)*IF(Vout&gt;8, Vout, Table2[[#This Row],[Vin]])</f>
        <v>0.47303999999999996</v>
      </c>
      <c r="BG108" s="354">
        <f t="shared" si="10"/>
        <v>0.57269042016806726</v>
      </c>
      <c r="BH108" s="354">
        <f>Table2[[#This Row],[IQ Loss]]+Table2[[#This Row],[Switching Current Loss]]</f>
        <v>0.51683999999999997</v>
      </c>
      <c r="BI108"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11.121570834464041</v>
      </c>
      <c r="BJ108">
        <f>Vout*Table2[[#This Row],[Iout]]</f>
        <v>173.44800000000001</v>
      </c>
      <c r="BK108" s="550">
        <f>Table2[[#This Row],[Pout]]/(Table2[[#This Row],[Pout]]+Table2[[#This Row],[Total Loss]])</f>
        <v>0.93974320477540296</v>
      </c>
      <c r="BL108" s="559">
        <f>IF(Table2[[#This Row],[Vin]]&gt;Vout,ThetaJA_Q1*(Table2[[#This Row],[Total Control Bu MOSFET Loss]]+Table2[[#This Row],[Reverse Recovery Loss MOSFET D BUCK]]),ThetaJA_Q4*(Table2[[#This Row],[Total Control Bo MOSFET Loss]]+Table2[[#This Row],[Reverse Recovery Loss MOSFET D BOOST]]))</f>
        <v>253.33208895158663</v>
      </c>
      <c r="BM108" s="559">
        <f>IF(Table2[[#This Row],[Vin]]&gt;Vout, Table2[[#This Row],[Total Sync Bu MOSFET Loss]]*ThetaJA_Q2, ThetaJA_Q3*Table2[[#This Row],[Total Sync Bo MOSFET Loss]])</f>
        <v>81.857666052740754</v>
      </c>
      <c r="BN108" s="9"/>
      <c r="BO108" s="4">
        <f>Table2[[#This Row],[EFF, h]]*100</f>
        <v>93.974320477540303</v>
      </c>
      <c r="BP108" s="354">
        <f>Table2[[#This Row],[Total Inductor Loss]]</f>
        <v>1.4769148661797844</v>
      </c>
      <c r="BQ108" s="354">
        <f>Table2[[#This Row],[Total Control Bu MOSFET Loss]]+Table2[[#This Row],[Total Sync Bu MOSFET Loss]]+Table2[[#This Row],[Total Control Bo MOSFET Loss]]+Table2[[#This Row],[Total Sync Bo MOSFET Loss]]+Table2[[#This Row],[Reverse Recovery Loss MOSFET D BUCK]]+Table2[[#This Row],[Reverse Recovery Loss MOSFET D BOOST]]</f>
        <v>7.2604115944729593</v>
      </c>
      <c r="BR108" s="354">
        <f xml:space="preserve"> Table2[[#This Row],[Total Control Bu MOSFET Loss]]+Table2[[#This Row],[Reverse Recovery Loss MOSFET D BUCK]]*0.66</f>
        <v>4.1270779024496438</v>
      </c>
      <c r="BS108" s="354">
        <f>Table2[[#This Row],[Total Sync Bu MOSFET Loss]]+Table2[[#This Row],[Reverse Recovery Loss MOSFET D BUCK]]*0.33</f>
        <v>1.4566202619339461</v>
      </c>
      <c r="BT108" s="354">
        <f xml:space="preserve"> Table2[[#This Row],[Total Control Bo MOSFET Loss]]+Table2[[#This Row],[Reverse Recovery Loss MOSFET D BOOST]]*0.66</f>
        <v>0.88172187655028444</v>
      </c>
      <c r="BU108" s="354">
        <f xml:space="preserve"> Table2[[#This Row],[Total Sync Bo MOSFET Loss]]+Table2[[#This Row],[Reverse Recovery Loss MOSFET D BOOST]]*0.33</f>
        <v>0.78939604882868442</v>
      </c>
      <c r="BV108" s="354">
        <f>Table2[[#This Row],[Isense Shunt Loss]]</f>
        <v>0.3554560689247615</v>
      </c>
      <c r="CB108" s="18"/>
      <c r="CC108" s="19"/>
    </row>
    <row r="109" spans="7:81" x14ac:dyDescent="0.2">
      <c r="G109">
        <v>100</v>
      </c>
      <c r="H109" s="555">
        <f t="shared" si="8"/>
        <v>23.6</v>
      </c>
      <c r="I109" s="4" t="str">
        <f>IF(Mode = 2,IF(Table2[[#This Row],[Vin]]&gt;Vout, "BUCK","BOOST"),IF(Table2[[#This Row],[Vin]]&gt;VIN_BB_to_buck, "BUCK", IF(Table2[[#This Row],[Vin]]&lt;=VIN_boost_to_BB,"BOOST","BUCK-BST")))</f>
        <v>BUCK</v>
      </c>
      <c r="J109">
        <f>IF(Table2[[#This Row],[Mode]]="BOOST",2, IF(Table2[[#This Row],[Mode]]="BUCK", 1,3))</f>
        <v>1</v>
      </c>
      <c r="K109" s="354">
        <f t="shared" si="11"/>
        <v>12</v>
      </c>
      <c r="L109" s="4">
        <f>Vout*Table2[[#This Row],[Iout]]/(Table2[[#This Row],[Vin]]*Efficiency)</f>
        <v>7.8144513826940223</v>
      </c>
      <c r="M109" s="711">
        <f>MIN(1/Fsw,CHOOSE(Table2[[#This Row],[Mode Digit]],(Vout+(Rdson2+Rs+Rdcr)*Table2[[#This Row],[Iout]])/(Table2[[#This Row],[Vin]]+(Rs+Rdson2-Rdson1)*Table2[[#This Row],[Iout]])/Fsw,(Vout+(Rdson3+Rdcr)*Table2[[#This Row],[Iin]]-Table2[[#This Row],[Vin]])/(Vout+(Rdson3-Rdson4-Rs)*Table2[[#This Row],[Iin]])/Fsw,t1_Ph_II))</f>
        <v>1.0403441952320495E-6</v>
      </c>
      <c r="N109" s="602">
        <f>CHOOSE(Table2[[#This Row],[Mode Digit]],1/Fsw-Table2[[#This Row],[t1_Ph_II]],1/Fsw-Table2[[#This Row],[t1_Ph_II]],(Vout/Fsw-Table2[[#This Row],[Vin]]*t1_Ph_II)/(Table2[[#This Row],[Vin]]+Vout))</f>
        <v>6.2632247143461719E-7</v>
      </c>
      <c r="O109" s="602">
        <f>1/Fsw-(Table2[[#This Row],[t1_Ph_II]]+Table2[[#This Row],[t2_Ph_I]])</f>
        <v>0</v>
      </c>
      <c r="P109" s="4">
        <f>CHOOSE(Table2[[#This Row],[Mode Digit]],Table2[[#This Row],[Iout]]-1/(2*Lf)*(Table2[[#This Row],[Vin]]-Vout)*Table2[[#This Row],[t1_Ph_II]],Table2[[#This Row],[Iin]]-1/(2*Lf)*Table2[[#This Row],[Vin]]*Table2[[#This Row],[t1_Ph_II]],1/(Table2[[#This Row],[t1_Ph_II]]+Table2[[#This Row],[t2_Ph_I]])*(Table2[[#This Row],[Iin]]/Fsw-(1/2*(Table2[[#This Row],[Vin]]-Vout)/Lf*Table2[[#This Row],[t1_Ph_II]]*Table2[[#This Row],[t1_Ph_II]]+(Table2[[#This Row],[Vin]]-Vout)/Lf*Table2[[#This Row],[t1_Ph_II]]*Table2[[#This Row],[t2_Ph_I]]+1/2*Table2[[#This Row],[Vin]]/L*Table2[[#This Row],[t2_Ph_I]]*Table2[[#This Row],[t2_Ph_I]])))</f>
        <v>10.226686030854461</v>
      </c>
      <c r="Q109" s="4">
        <f>CHOOSE(Table2[[#This Row],[Mode Digit]],Table2[[#This Row],[I_0]]+1/Lf*(Table2[[#This Row],[Vin]]-Vout)*Table2[[#This Row],[t1_Ph_II]],Table2[[#This Row],[I_0]]+1/Lf*Table2[[#This Row],[Vin]]*Table2[[#This Row],[t1_Ph_II]],Table2[[#This Row],[I_0]]+(Table2[[#This Row],[Vin]]-Vout)/L*Table2[[#This Row],[t1_Ph_II]])</f>
        <v>13.773313969145539</v>
      </c>
      <c r="R109" s="4">
        <f>CHOOSE(Table2[[#This Row],[Mode Digit]],0,0,Table2[[#This Row],[I_1]]+Table2[[#This Row],[Vin]]/L*Table2[[#This Row],[t2_Ph_I]])</f>
        <v>0</v>
      </c>
      <c r="S109" s="409">
        <f>Fsw*(Table2[[#This Row],[I_0]]*Table2[[#This Row],[t1_Ph_II]]+Table2[[#This Row],[I_1]]*Table2[[#This Row],[t2_Ph_I]]+Table2[[#This Row],[I_2]]*Table2[[#This Row],[t3_Ph_III]])</f>
        <v>11.559485696196177</v>
      </c>
      <c r="T109" s="354">
        <f>MIN(1,CHOOSE(Table2[[#This Row],[Mode Digit]],(Vout+(Rdson2+Rs+Rdcr)*Table2[[#This Row],[Iout]])/(Table2[[#This Row],[Vin]]+(Rs+Rdson2-Rdson1)*Table2[[#This Row],[Iout]]),1,Fsw*Table2[[#This Row],[t2_Ph_I]]+Table2[[#This Row],[t1_Ph_II]]))</f>
        <v>0.6242065171392297</v>
      </c>
      <c r="U109" s="354">
        <f>MIN(1,CHOOSE(Table2[[#This Row],[Mode Digit]],0,(Vout+(Rdson3+Rdcr)*Table2[[#This Row],[Iin]]-Table2[[#This Row],[Vin]])/(Vout+(Rdson3-Rdson4-Rs)*Table2[[#This Row],[Iin]]),Fsw*Table2[[#This Row],[t1_Ph_II]]+Table2[[#This Row],[t3_Ph_III]]))</f>
        <v>0</v>
      </c>
      <c r="V109" s="4">
        <f>MAX(Table2[[#This Row],[I_0]:[I_2]])-MIN(Table2[[#This Row],[I_0]:[I_1]])</f>
        <v>3.5466279382910777</v>
      </c>
      <c r="W109" s="354">
        <f>CHOOSE(Table2[[#This Row],[Mode Digit]],SQRT((Table2[[#This Row],[t1_Ph_II]]+Table2[[#This Row],[t2_Ph_I]])*Fsw*(Table2[[#This Row],[I_0]]*Table2[[#This Row],[I_1]]+((Table2[[#This Row],[I_0]]-Table2[[#This Row],[I_1]])^2)/3)),SQRT((Table2[[#This Row],[t1_Ph_II]]+Table2[[#This Row],[t2_Ph_I]])*Fsw*(Table2[[#This Row],[I_0]]*Table2[[#This Row],[I_1]]+((Table2[[#This Row],[I_0]]-Table2[[#This Row],[I_1]])^2)/3)),SQRT(Fsw*(Table2[[#This Row],[t1_Ph_II]]*(Table2[[#This Row],[I_0]]*Table2[[#This Row],[I_1]]+((Table2[[#This Row],[I_1]]-Table2[[#This Row],[I_0]])^2)/3)+Table2[[#This Row],[t2_Ph_I]]*(Table2[[#This Row],[I_1]]*Table2[[#This Row],[I_2]]+((Table2[[#This Row],[I_2]]-Table2[[#This Row],[I_1]])^2)/3)+Table2[[#This Row],[t3_Ph_III]]*(Table2[[#This Row],[I_2]]*Table2[[#This Row],[I_0]]+((Table2[[#This Row],[I_0]]-Table2[[#This Row],[I_2]])^2)/3))))</f>
        <v>12.043596395777671</v>
      </c>
      <c r="X109" s="354">
        <f>(Table2[[#This Row],[Irms Lf]]^2*Rdcr*(1+Ltc*Ta-Ltc*25))/(1-Table2[[#This Row],[Irms Lf]]^2*Rdcr*Ltc*ThetaCa)</f>
        <v>0.90198539827624369</v>
      </c>
      <c r="Y109" s="354">
        <f>ABS(7.759*10^-3*Fsw^0.9458*(0.00787*Table2[[#This Row],[Ripple Current pk-pk]])^2.304)</f>
        <v>0.5941309838361688</v>
      </c>
      <c r="Z109" s="354">
        <f>Table2[[#This Row],[DCR    Loss]]+Table2[[#This Row],[Core Loss]]</f>
        <v>1.4961163821124126</v>
      </c>
      <c r="AA109" s="4">
        <f>IF(Table2[[#This Row],[Vin]]&gt;Vout, Table2[[#This Row],[Ripple Current pk-pk]]/SQRT(12), SQRT(Table2[[#This Row],[Duty Cycle BOOST Leg]]/(1-Table2[[#This Row],[Duty Cycle BOOST Leg]]))*SQRT(Table2[[#This Row],[Iout]]^2+(Table2[[#This Row],[Ripple Current pk-pk]]^2)/12))</f>
        <v>1.0238232974439005</v>
      </c>
      <c r="AB109" s="354">
        <f>RCoutEsr*Table2[[#This Row],[Irms Cout]]^2</f>
        <v>5.241070721944509E-3</v>
      </c>
      <c r="AC109" s="354">
        <f>Table2[[#This Row],[Cout ESR Loss]]</f>
        <v>5.241070721944509E-3</v>
      </c>
      <c r="AD109" s="4">
        <f>IF(Table2[[#This Row],[Vin]]&gt;Vout, SQRT(Table2[[#This Row],[Duty Cycle BUCK Leg]]*(1-Table2[[#This Row],[Duty Cycle BUCK Leg]]))*SQRT(Table2[[#This Row],[Iout]]^2+(Table2[[#This Row],[Ripple Current pk-pk]]^2)/12), Table2[[#This Row],[Ripple Current pk-pk]]/SQRT(12))</f>
        <v>5.8330401321720498</v>
      </c>
      <c r="AE109" s="354">
        <f>RCinEsr*Table2[[#This Row],[Irms Cin]]^2</f>
        <v>6.8048714367059449E-2</v>
      </c>
      <c r="AF109" s="549">
        <f>Table2[[#This Row],[Cin ESR Loss]]</f>
        <v>6.8048714367059449E-2</v>
      </c>
      <c r="AG109" s="354">
        <f>Table2[[#This Row],[Irms Lf]]</f>
        <v>12.043596395777671</v>
      </c>
      <c r="AH109" s="354">
        <f>Rdson1*Table2[[#This Row],[Irms BuCtrl]]^2</f>
        <v>0.60920249940643345</v>
      </c>
      <c r="AI109" s="354">
        <f>CHOOSE(Table2[[#This Row],[Mode Digit]], (Table2[[#This Row],[Vin]]*Table2[[#This Row],[Iout]]/2)*(Fsw)*(Tr_buck+Tf_buck), 0, (Table2[[#This Row],[Vin]]*Table2[[#This Row],[Avg IL]]/2)*(Fsw/1)*(Tr_buck+Tf_buck))</f>
        <v>2.8083151182056989</v>
      </c>
      <c r="AJ109">
        <f>IF(Table2[[#This Row],[Vin]]&gt;Vout, IF(Table2[[#This Row],[Iout]]&gt;Table2[[#This Row],[Ripple Current pk-pk]]/2,0,ABS(Table2[[#This Row],[Iout]]-Table2[[#This Row],[Ripple Current pk-pk]]/2)*Vsd_Q1*Deadtime*Fsw),0)</f>
        <v>0</v>
      </c>
      <c r="AK109" s="354">
        <f>(Table2[[#This Row],[Dead Time Loss BuCtrl]]+Table2[[#This Row],[Transition Loss BuCtrl]]+Table2[[#This Row],[RDS(on) Loss BuCtrl]]*(1+RdsonTopTc*Ta-RdsonTopTc*25))/(1-Table2[[#This Row],[RDS(on) Loss BuCtrl]]*RdsonTopTc*ThetaJA_Q1)</f>
        <v>4.0027547912076837</v>
      </c>
      <c r="AL109" s="354">
        <f>Table2[[#This Row],[Irms Lf]]</f>
        <v>12.043596395777671</v>
      </c>
      <c r="AM109" s="354">
        <f>Rdson2*Table2[[#This Row],[Irms BuSync]]^2</f>
        <v>0.60920249940643345</v>
      </c>
      <c r="AN109" s="354">
        <f>CHOOSE(Table2[[#This Row],[Mode Digit]], IF(Table2[[#This Row],[Iout]]&lt;Table2[[#This Row],[Ripple Current pk-pk]]/2,Deadtime*Fsw*IF(VfdSky_Q2&gt;0,0,Vsd_Q2)*(Table2[[#This Row],[Iout]]+Table2[[#This Row],[Ripple Current pk-pk]]/2),2*Deadtime*Fsw*IF(VfdSky_Q2&gt;0,0,Vsd_Q2)*Table2[[#This Row],[Iout]]),0, IF(Table2[[#This Row],[Iout]]&lt;Table2[[#This Row],[Ripple Current pk-pk]]/2,Deadtime*Fsw*IF(VfdSky_Q2&gt;0,0,Vsd_Q2)*(Table2[[#This Row],[Iout]]+Table2[[#This Row],[Ripple Current pk-pk]]/2),2*Deadtime*Fsw*IF(VfdSky_Q2&gt;0,0,Vsd_Q2)*Table2[[#This Row],[Iout]]))</f>
        <v>0.57737142857142854</v>
      </c>
      <c r="AO109" s="354">
        <f>(Table2[[#This Row],[Deadtime Loss BuSync]]+Table2[[#This Row],[RDS(on) Loss BuSync]]*(1+RdsonBotTc*Ta-RdsonBotTc*25))/(1-Table2[[#This Row],[RDS(on) Loss BuSync]]*RdsonBotTc*ThetaJA_Q2)</f>
        <v>1.3897702972645085</v>
      </c>
      <c r="AP109" s="354">
        <f>Table2[[#This Row],[Irms Lf]]</f>
        <v>12.043596395777671</v>
      </c>
      <c r="AQ109" s="354">
        <f>Rdson4*Table2[[#This Row],[Irms BoCtlr]]^2</f>
        <v>0.60920249940643345</v>
      </c>
      <c r="AR109" s="354">
        <f>CHOOSE(Table2[[#This Row],[Mode Digit]], 0, (Vout*Table2[[#This Row],[Iin]]/2)*(Fsw)*(Tr_boost+Tf_boost), (Vout*Iout/2)*(Fsw/1)*(Tr_boost+Tf_boost))</f>
        <v>0</v>
      </c>
      <c r="AS109" s="354">
        <f>IF(Table2[[#This Row],[Vin]]&gt;Vout, 0, IF(Table2[[#This Row],[Iin]]&gt;Table2[[#This Row],[Ripple Current pk-pk]]/2,0,ABS(Table2[[#This Row],[Iin]]-Table2[[#This Row],[Ripple Current pk-pk]]/2)*Vsd_Q4*Deadtime*Fsw))</f>
        <v>0</v>
      </c>
      <c r="AT109" s="354">
        <f>(Table2[[#This Row],[Dead Time Loss BoCtlr]]+Table2[[#This Row],[Transition Loss BoCtlr]]+Table2[[#This Row],[RDS(on) Loss BoCtlr]]*(1+RdsonTopTc*Ta-RdsonTopTc*25))/(1-Table2[[#This Row],[RDS(on) Loss BoCtlr]]*RdsonTopTc*ThetaJA_Q4)</f>
        <v>0.71352616025973947</v>
      </c>
      <c r="AU109" s="354">
        <f>Table2[[#This Row],[Irms Lf]]</f>
        <v>12.043596395777671</v>
      </c>
      <c r="AV109" s="354">
        <f>Rdson3*Table2[[#This Row],[Irms BoSync]]^2</f>
        <v>0.60920249940643345</v>
      </c>
      <c r="AW109" s="354">
        <f>CHOOSE(Table2[[#This Row],[Mode Digit]], 0, IF(Table2[[#This Row],[Iin]]&lt;Table2[[#This Row],[Ripple Current pk-pk]]/2,Deadtime*Fsw*IF(VfdSky_Q3&gt;0,0,Vsd_Q3)*(Table2[[#This Row],[Iin]]+Table2[[#This Row],[Ripple Current pk-pk]]/2), 2*Deadtime*Fsw*IF(VfdSky_Q3&gt;0,0,Vsd_Q3)*Table2[[#This Row],[Iin]]), IF(Table2[[#This Row],[Iin]]&lt;Table2[[#This Row],[Ripple Current pk-pk]]/2,Deadtime*Fsw*IF(VfdSky_Q3&gt;0,0,Vsd_Q3)*(Table2[[#This Row],[Iin]]+Table2[[#This Row],[Ripple Current pk-pk]]/2), 2*Deadtime*Fsw*IF(VfdSky_Q3&gt;0,0,Vsd_Q3)*Table2[[#This Row],[Iin]]))</f>
        <v>0</v>
      </c>
      <c r="AX109" s="354">
        <f>(Table2[[#This Row],[Deadtime Loss BoSync]]+Table2[[#This Row],[RDS(on) Loss BoSync]]*(1+RdsonBotTc*Ta-RdsonBotTc*25))/(1-Table2[[#This Row],[RDS(on) Loss BoSync]]*RdsonBotTc*ThetaJA_Q3)</f>
        <v>0.71352616025973947</v>
      </c>
      <c r="AY109" s="354">
        <f>CHOOSE(Table2[[#This Row],[Mode Digit]], Rdson3*Table2[[#This Row],[Irms Lf]]^2, Rdson1*Table2[[#This Row],[Irms Lf]]^2, 0)</f>
        <v>0.60920249940643345</v>
      </c>
      <c r="AZ109" s="354">
        <f>CHOOSE(Table2[[#This Row],[Mode Digit]], 2*Deadtime*Fsw*IF(VfdSky_Q2&gt;0,VfdSky_Q2,0)*Table2[[#This Row],[Iout]], 2*Deadtime*Fsw*IF(VfdSky_Q3&gt;0,VfdSky_Q3,0)*Table2[[#This Row],[Iin]], 2*Deadtime*Fsw*IF(VfdSky_Q2&gt;0,VfdSky_Q2,0)*Table2[[#This Row],[Iout]]+2*Deadtime*Fsw*IF(VfdSky_Q3&gt;0,VfdSky_Q3,0)*Table2[[#This Row],[Iin]])</f>
        <v>0</v>
      </c>
      <c r="BA10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0.28259520000000005</v>
      </c>
      <c r="BB109" s="354">
        <f>CHOOSE(Table2[[#This Row],[Mode Digit]], IF(QrrSky_Q2&gt;0,QrrSky_Q2,Qrr_Q2*Table2[[#This Row],[Iout]]/Iout)*Fsw*(Table2[[#This Row],[Vin]]-Table2[[#This Row],[Iout]]*Rdson1), IF(QrrSky_Q3&gt;0,QrrSky_Q3,Qrr_Q3)*Fsw*Vout,  IF(QrrSky_Q2&gt;0,QrrSky_Q2,Qrr_Q2*Table2[[#This Row],[Iout]]/Iout)*Fsw*(Table2[[#This Row],[Vin]]-Table2[[#This Row],[Iout]]*Rdson1)+IF(QrrSky_Q3&gt;0,QrrSky_Q3,Qrr_Q3)*Fsw*Vout)</f>
        <v>0.28259520000000005</v>
      </c>
      <c r="BC109" s="354">
        <f>CHOOSE(Table2[[#This Row],[Mode Digit]], Rs*Table2[[#This Row],[Irms BuSync]]^2, Rs*Table2[[#This Row],[Irms BoCtlr]]^2, Rs*(Table2[[#This Row],[Irms BuSync]]^2+Table2[[#This Row],[Irms BoCtlr]]^2))</f>
        <v>0.36262053536097227</v>
      </c>
      <c r="BD109" s="354">
        <f t="shared" si="9"/>
        <v>1.44</v>
      </c>
      <c r="BE109" s="354">
        <f>IF(Vout&gt;8, Iq*Vout, Iq*Table2[[#This Row],[Vin]])</f>
        <v>4.3799999999999999E-2</v>
      </c>
      <c r="BF109" s="354">
        <f>CHOOSE(Table2[[#This Row],[Mode Digit]], (Qg_Q1+Qg_Q2)*Fsw, (Qg_Q3+Qg_Q4)*Fsw, (Qg_Q1+Qg_Q2+Qg_Q3+Qg_Q4)*Fsw)*IF(Vout&gt;8, Vout, Table2[[#This Row],[Vin]])</f>
        <v>0.47303999999999996</v>
      </c>
      <c r="BG109" s="354">
        <f t="shared" si="10"/>
        <v>0.57269042016806726</v>
      </c>
      <c r="BH109" s="354">
        <f>Table2[[#This Row],[IQ Loss]]+Table2[[#This Row],[Switching Current Loss]]</f>
        <v>0.51683999999999997</v>
      </c>
      <c r="BI109" s="354">
        <f>SUM(Table2[[#This Row],[Total Inductor Loss]],Table2[[#This Row],[Total Cout Loss]],Table2[[#This Row],[Total Cin Loss]],Table2[[#This Row],[Total Control Bu MOSFET Loss]],Table2[[#This Row],[Total Sync Bu MOSFET Loss]],Table2[[#This Row],[Total Control Bo MOSFET Loss]],Table2[[#This Row],[Total Sync Bo MOSFET Loss]], Table2[[#This Row],[Deadtime Loss ext D]],Table2[[#This Row],[Reverse Recovery Loss MOSFET D BUCK]],Table2[[#This Row],[Reverse Recovery Loss MOSFET D BOOST]],Table2[[#This Row],[Total IC Loss]],Table2[[#This Row],[Isense Shunt Loss]],Table2[[#This Row],[Iout Shunt Loss]])</f>
        <v>11.273634511554059</v>
      </c>
      <c r="BJ109">
        <f>Vout*Table2[[#This Row],[Iout]]</f>
        <v>175.2</v>
      </c>
      <c r="BK109" s="550">
        <f>Table2[[#This Row],[Pout]]/(Table2[[#This Row],[Pout]]+Table2[[#This Row],[Total Loss]])</f>
        <v>0.93954301077959879</v>
      </c>
      <c r="BL109" s="559">
        <f>IF(Table2[[#This Row],[Vin]]&gt;Vout,ThetaJA_Q1*(Table2[[#This Row],[Total Control Bu MOSFET Loss]]+Table2[[#This Row],[Reverse Recovery Loss MOSFET D BUCK]]),ThetaJA_Q4*(Table2[[#This Row],[Total Control Bo MOSFET Loss]]+Table2[[#This Row],[Reverse Recovery Loss MOSFET D BOOST]]))</f>
        <v>257.12099947246105</v>
      </c>
      <c r="BM109" s="559">
        <f>IF(Table2[[#This Row],[Vin]]&gt;Vout, Table2[[#This Row],[Total Sync Bu MOSFET Loss]]*ThetaJA_Q2, ThetaJA_Q3*Table2[[#This Row],[Total Sync Bo MOSFET Loss]])</f>
        <v>83.386217835870511</v>
      </c>
      <c r="BN109" s="9"/>
      <c r="BO109" s="4">
        <f>Table2[[#This Row],[EFF, h]]*100</f>
        <v>93.954301077959883</v>
      </c>
      <c r="BP109" s="354">
        <f>Table2[[#This Row],[Total Inductor Loss]]</f>
        <v>1.4961163821124126</v>
      </c>
      <c r="BQ109" s="354">
        <f>Table2[[#This Row],[Total Control Bu MOSFET Loss]]+Table2[[#This Row],[Total Sync Bu MOSFET Loss]]+Table2[[#This Row],[Total Control Bo MOSFET Loss]]+Table2[[#This Row],[Total Sync Bo MOSFET Loss]]+Table2[[#This Row],[Reverse Recovery Loss MOSFET D BUCK]]+Table2[[#This Row],[Reverse Recovery Loss MOSFET D BOOST]]</f>
        <v>7.384767808991672</v>
      </c>
      <c r="BR109" s="354">
        <f xml:space="preserve"> Table2[[#This Row],[Total Control Bu MOSFET Loss]]+Table2[[#This Row],[Reverse Recovery Loss MOSFET D BUCK]]*0.66</f>
        <v>4.1892676232076838</v>
      </c>
      <c r="BS109" s="354">
        <f>Table2[[#This Row],[Total Sync Bu MOSFET Loss]]+Table2[[#This Row],[Reverse Recovery Loss MOSFET D BUCK]]*0.33</f>
        <v>1.4830267132645085</v>
      </c>
      <c r="BT109" s="354">
        <f xml:space="preserve"> Table2[[#This Row],[Total Control Bo MOSFET Loss]]+Table2[[#This Row],[Reverse Recovery Loss MOSFET D BOOST]]*0.66</f>
        <v>0.90003899225973949</v>
      </c>
      <c r="BU109" s="354">
        <f xml:space="preserve"> Table2[[#This Row],[Total Sync Bo MOSFET Loss]]+Table2[[#This Row],[Reverse Recovery Loss MOSFET D BOOST]]*0.33</f>
        <v>0.80678257625973948</v>
      </c>
      <c r="BV109" s="354">
        <f>Table2[[#This Row],[Isense Shunt Loss]]</f>
        <v>0.36262053536097227</v>
      </c>
      <c r="CB109" s="18"/>
      <c r="CC109" s="19"/>
    </row>
    <row r="110" spans="7:81" x14ac:dyDescent="0.2">
      <c r="H110" s="555"/>
      <c r="I110" s="4"/>
      <c r="L110" s="4"/>
      <c r="M110" s="4"/>
      <c r="N110" s="4"/>
      <c r="O110" s="4"/>
      <c r="P110" s="4"/>
      <c r="Q110" s="4"/>
      <c r="R110" s="4"/>
      <c r="S110" s="4"/>
      <c r="W110" s="354"/>
      <c r="X110" s="354"/>
      <c r="Y110" s="354"/>
      <c r="Z110" s="354"/>
      <c r="AB110" s="354"/>
      <c r="AC110" s="354"/>
      <c r="AD110" s="354"/>
      <c r="AE110" s="354"/>
      <c r="AF110" s="549"/>
      <c r="AG110" s="354"/>
      <c r="AH110" s="354"/>
      <c r="AI110" s="354"/>
      <c r="AK110" s="354"/>
      <c r="AL110" s="354"/>
      <c r="AM110" s="354"/>
      <c r="AN110" s="354"/>
      <c r="AO110" s="354"/>
      <c r="AP110" s="354"/>
      <c r="AQ110" s="354"/>
      <c r="AR110" s="354"/>
      <c r="AT110" s="354"/>
      <c r="AU110" s="354"/>
      <c r="AV110" s="354"/>
      <c r="AW110" s="354"/>
      <c r="AX110" s="354"/>
      <c r="AY110" s="354"/>
      <c r="AZ110" s="354"/>
      <c r="BA110" s="354"/>
      <c r="BB110" s="354"/>
      <c r="BC110" s="354"/>
      <c r="BD110" s="354"/>
      <c r="BE110" s="354"/>
      <c r="BF110" s="354"/>
      <c r="BG110" s="354"/>
      <c r="BH110" s="354"/>
      <c r="BI110" s="354"/>
      <c r="BK110" s="550"/>
      <c r="BL110" s="559"/>
      <c r="BM110" s="559"/>
      <c r="BN110" s="9"/>
      <c r="BO110" s="48"/>
      <c r="BP110" s="354"/>
      <c r="BQ110" s="354"/>
      <c r="BR110" s="354"/>
      <c r="BS110" s="354"/>
      <c r="BT110" s="354"/>
      <c r="BU110" s="354"/>
      <c r="BV110" s="354"/>
    </row>
    <row r="111" spans="7:81" x14ac:dyDescent="0.2">
      <c r="H111" s="555"/>
      <c r="I111" s="4"/>
      <c r="L111" s="4"/>
      <c r="M111" s="4"/>
      <c r="N111" s="4"/>
      <c r="O111" s="4"/>
      <c r="P111" s="4"/>
      <c r="Q111" s="4"/>
      <c r="R111" s="4"/>
      <c r="S111" s="4"/>
      <c r="W111" s="354"/>
      <c r="X111" s="354"/>
      <c r="Y111" s="354"/>
      <c r="Z111" s="354"/>
      <c r="AB111" s="354"/>
      <c r="AC111" s="354"/>
      <c r="AD111" s="354"/>
      <c r="AE111" s="354"/>
      <c r="AF111" s="549"/>
      <c r="AG111" s="354"/>
      <c r="AH111" s="354"/>
      <c r="AI111" s="354"/>
      <c r="AK111" s="354"/>
      <c r="AL111" s="354"/>
      <c r="AM111" s="354"/>
      <c r="AN111" s="354"/>
      <c r="AO111" s="354"/>
      <c r="AP111" s="354"/>
      <c r="AQ111" s="354"/>
      <c r="AR111" s="354"/>
      <c r="AT111" s="354"/>
      <c r="AU111" s="354"/>
      <c r="AV111" s="354"/>
      <c r="AW111" s="354"/>
      <c r="AX111" s="354"/>
      <c r="AY111" s="354"/>
      <c r="AZ111" s="354"/>
      <c r="BA111" s="354"/>
      <c r="BB111" s="354"/>
      <c r="BC111" s="354"/>
      <c r="BD111" s="354"/>
      <c r="BE111" s="354"/>
      <c r="BF111" s="354"/>
      <c r="BG111" s="354"/>
      <c r="BH111" s="354"/>
      <c r="BI111" s="354"/>
      <c r="BK111" s="550"/>
      <c r="BL111" s="559"/>
      <c r="BM111" s="559"/>
      <c r="BN111" s="9"/>
      <c r="BO111" s="48"/>
      <c r="BP111" s="354"/>
      <c r="BQ111" s="354"/>
      <c r="BR111" s="354"/>
      <c r="BS111" s="354"/>
      <c r="BT111" s="354"/>
      <c r="BU111" s="354"/>
      <c r="BV111" s="354"/>
    </row>
    <row r="112" spans="7:81" x14ac:dyDescent="0.2">
      <c r="H112" s="555"/>
      <c r="I112" s="4"/>
      <c r="L112" s="4"/>
      <c r="M112" s="4"/>
      <c r="N112" s="4"/>
      <c r="O112" s="4"/>
      <c r="P112" s="4"/>
      <c r="Q112" s="4"/>
      <c r="R112" s="4"/>
      <c r="S112" s="4"/>
      <c r="W112" s="354"/>
      <c r="X112" s="354"/>
      <c r="Y112" s="354"/>
      <c r="Z112" s="354"/>
      <c r="AB112" s="354"/>
      <c r="AC112" s="354"/>
      <c r="AD112" s="354"/>
      <c r="AE112" s="354"/>
      <c r="AF112" s="549"/>
      <c r="AG112" s="354"/>
      <c r="AH112" s="354"/>
      <c r="AI112" s="354"/>
      <c r="AK112" s="354"/>
      <c r="AL112" s="354"/>
      <c r="AM112" s="354"/>
      <c r="AN112" s="354"/>
      <c r="AO112" s="354"/>
      <c r="AP112" s="354"/>
      <c r="AQ112" s="354"/>
      <c r="AR112" s="354"/>
      <c r="AT112" s="354"/>
      <c r="AU112" s="354"/>
      <c r="AV112" s="354"/>
      <c r="AW112" s="354"/>
      <c r="AX112" s="354"/>
      <c r="AY112" s="354"/>
      <c r="AZ112" s="354"/>
      <c r="BA112" s="354"/>
      <c r="BB112" s="354"/>
      <c r="BC112" s="354"/>
      <c r="BD112" s="354"/>
      <c r="BE112" s="354"/>
      <c r="BF112" s="354"/>
      <c r="BG112" s="354"/>
      <c r="BH112" s="354"/>
      <c r="BI112" s="354"/>
      <c r="BK112" s="550"/>
      <c r="BL112" s="559"/>
      <c r="BM112" s="559"/>
      <c r="BN112" s="9"/>
      <c r="BO112" s="48"/>
      <c r="BP112" s="354"/>
      <c r="BQ112" s="354"/>
      <c r="BR112" s="354"/>
      <c r="BS112" s="354"/>
      <c r="BT112" s="354"/>
      <c r="BU112" s="354"/>
      <c r="BV112" s="354"/>
    </row>
    <row r="113" spans="8:74" x14ac:dyDescent="0.2">
      <c r="H113" s="555"/>
      <c r="I113" s="4"/>
      <c r="L113" s="4"/>
      <c r="M113" s="4"/>
      <c r="N113" s="4"/>
      <c r="O113" s="4"/>
      <c r="P113" s="4"/>
      <c r="Q113" s="4"/>
      <c r="R113" s="4"/>
      <c r="S113" s="4"/>
      <c r="W113" s="354"/>
      <c r="X113" s="354"/>
      <c r="Y113" s="354"/>
      <c r="Z113" s="354"/>
      <c r="AB113" s="354"/>
      <c r="AC113" s="354"/>
      <c r="AD113" s="354"/>
      <c r="AE113" s="354"/>
      <c r="AF113" s="549"/>
      <c r="AG113" s="354"/>
      <c r="AH113" s="354"/>
      <c r="AI113" s="354"/>
      <c r="AK113" s="354"/>
      <c r="AL113" s="354"/>
      <c r="AM113" s="354"/>
      <c r="AN113" s="354"/>
      <c r="AO113" s="354"/>
      <c r="AP113" s="354"/>
      <c r="AQ113" s="354"/>
      <c r="AR113" s="354"/>
      <c r="AT113" s="354"/>
      <c r="AU113" s="354"/>
      <c r="AV113" s="354"/>
      <c r="AW113" s="354"/>
      <c r="AX113" s="354"/>
      <c r="AY113" s="354"/>
      <c r="AZ113" s="354"/>
      <c r="BA113" s="354"/>
      <c r="BB113" s="354"/>
      <c r="BC113" s="354"/>
      <c r="BD113" s="354"/>
      <c r="BE113" s="354"/>
      <c r="BF113" s="354"/>
      <c r="BG113" s="354"/>
      <c r="BH113" s="354"/>
      <c r="BI113" s="354"/>
      <c r="BK113" s="550"/>
      <c r="BL113" s="559"/>
      <c r="BM113" s="559"/>
      <c r="BN113" s="9"/>
      <c r="BO113" s="48"/>
      <c r="BP113" s="354"/>
      <c r="BQ113" s="354"/>
      <c r="BR113" s="354"/>
      <c r="BS113" s="354"/>
      <c r="BT113" s="354"/>
      <c r="BU113" s="354"/>
      <c r="BV113" s="354"/>
    </row>
    <row r="114" spans="8:74" x14ac:dyDescent="0.2">
      <c r="H114" s="555"/>
      <c r="I114" s="4"/>
      <c r="L114" s="4"/>
      <c r="M114" s="4"/>
      <c r="N114" s="4"/>
      <c r="O114" s="4"/>
      <c r="P114" s="4"/>
      <c r="Q114" s="4"/>
      <c r="R114" s="4"/>
      <c r="S114" s="4"/>
      <c r="W114" s="354"/>
      <c r="X114" s="354"/>
      <c r="Y114" s="354"/>
      <c r="Z114" s="354"/>
      <c r="AB114" s="354"/>
      <c r="AC114" s="354"/>
      <c r="AD114" s="354"/>
      <c r="AE114" s="354"/>
      <c r="AF114" s="549"/>
      <c r="AG114" s="354"/>
      <c r="AH114" s="354"/>
      <c r="AI114" s="354"/>
      <c r="AK114" s="354"/>
      <c r="AL114" s="354"/>
      <c r="AM114" s="354"/>
      <c r="AN114" s="354"/>
      <c r="AO114" s="354"/>
      <c r="AP114" s="354"/>
      <c r="AQ114" s="354"/>
      <c r="AR114" s="354"/>
      <c r="AT114" s="354"/>
      <c r="AU114" s="354"/>
      <c r="AV114" s="354"/>
      <c r="AW114" s="354"/>
      <c r="AX114" s="354"/>
      <c r="AY114" s="354"/>
      <c r="AZ114" s="354"/>
      <c r="BA114" s="354"/>
      <c r="BB114" s="354"/>
      <c r="BC114" s="354"/>
      <c r="BD114" s="354"/>
      <c r="BE114" s="354"/>
      <c r="BF114" s="354"/>
      <c r="BG114" s="354"/>
      <c r="BH114" s="354"/>
      <c r="BI114" s="354"/>
      <c r="BK114" s="550"/>
      <c r="BL114" s="559"/>
      <c r="BM114" s="559"/>
      <c r="BN114" s="9"/>
      <c r="BO114" s="48"/>
      <c r="BP114" s="354"/>
      <c r="BQ114" s="354"/>
      <c r="BR114" s="354"/>
      <c r="BS114" s="354"/>
      <c r="BT114" s="354"/>
      <c r="BU114" s="354"/>
      <c r="BV114" s="354"/>
    </row>
    <row r="115" spans="8:74" x14ac:dyDescent="0.2">
      <c r="H115" s="555"/>
      <c r="I115" s="4"/>
      <c r="L115" s="4"/>
      <c r="M115" s="4"/>
      <c r="N115" s="4"/>
      <c r="O115" s="4"/>
      <c r="P115" s="4"/>
      <c r="Q115" s="4"/>
      <c r="R115" s="4"/>
      <c r="S115" s="4"/>
      <c r="W115" s="354"/>
      <c r="X115" s="354"/>
      <c r="Y115" s="354"/>
      <c r="Z115" s="354"/>
      <c r="AB115" s="354"/>
      <c r="AC115" s="354"/>
      <c r="AD115" s="354"/>
      <c r="AE115" s="354"/>
      <c r="AF115" s="549"/>
      <c r="AG115" s="354"/>
      <c r="AH115" s="354"/>
      <c r="AI115" s="354"/>
      <c r="AK115" s="354"/>
      <c r="AL115" s="354"/>
      <c r="AM115" s="354"/>
      <c r="AN115" s="354"/>
      <c r="AO115" s="354"/>
      <c r="AP115" s="354"/>
      <c r="AQ115" s="354"/>
      <c r="AR115" s="354"/>
      <c r="AT115" s="354"/>
      <c r="AU115" s="354"/>
      <c r="AV115" s="354"/>
      <c r="AW115" s="354"/>
      <c r="AX115" s="354"/>
      <c r="AY115" s="354"/>
      <c r="AZ115" s="354"/>
      <c r="BA115" s="354"/>
      <c r="BB115" s="354"/>
      <c r="BC115" s="354"/>
      <c r="BD115" s="354"/>
      <c r="BE115" s="354"/>
      <c r="BF115" s="354"/>
      <c r="BG115" s="354"/>
      <c r="BH115" s="354"/>
      <c r="BI115" s="354"/>
      <c r="BK115" s="550"/>
      <c r="BL115" s="559"/>
      <c r="BM115" s="559"/>
      <c r="BN115" s="9"/>
      <c r="BO115" s="48"/>
      <c r="BP115" s="354"/>
      <c r="BQ115" s="354"/>
      <c r="BR115" s="354"/>
      <c r="BS115" s="354"/>
      <c r="BT115" s="354"/>
      <c r="BU115" s="354"/>
      <c r="BV115" s="354"/>
    </row>
    <row r="116" spans="8:74" x14ac:dyDescent="0.2">
      <c r="H116" s="555"/>
      <c r="I116" s="4"/>
      <c r="L116" s="4"/>
      <c r="M116" s="4"/>
      <c r="N116" s="4"/>
      <c r="O116" s="4"/>
      <c r="P116" s="4"/>
      <c r="Q116" s="4"/>
      <c r="R116" s="4"/>
      <c r="S116" s="4"/>
      <c r="W116" s="354"/>
      <c r="X116" s="354"/>
      <c r="Y116" s="354"/>
      <c r="Z116" s="354"/>
      <c r="AB116" s="354"/>
      <c r="AC116" s="354"/>
      <c r="AD116" s="354"/>
      <c r="AE116" s="354"/>
      <c r="AF116" s="549"/>
      <c r="AG116" s="354"/>
      <c r="AH116" s="354"/>
      <c r="AI116" s="354"/>
      <c r="AK116" s="354"/>
      <c r="AL116" s="354"/>
      <c r="AM116" s="354"/>
      <c r="AN116" s="354"/>
      <c r="AO116" s="354"/>
      <c r="AP116" s="354"/>
      <c r="AQ116" s="354"/>
      <c r="AR116" s="354"/>
      <c r="AT116" s="354"/>
      <c r="AU116" s="354"/>
      <c r="AV116" s="354"/>
      <c r="AW116" s="354"/>
      <c r="AX116" s="354"/>
      <c r="AY116" s="354"/>
      <c r="AZ116" s="354"/>
      <c r="BA116" s="354"/>
      <c r="BB116" s="354"/>
      <c r="BC116" s="354"/>
      <c r="BD116" s="354"/>
      <c r="BE116" s="354"/>
      <c r="BF116" s="354"/>
      <c r="BG116" s="354"/>
      <c r="BH116" s="354"/>
      <c r="BI116" s="354"/>
      <c r="BK116" s="550"/>
      <c r="BL116" s="559"/>
      <c r="BM116" s="559"/>
      <c r="BN116" s="9"/>
      <c r="BO116" s="48"/>
      <c r="BP116" s="354"/>
      <c r="BQ116" s="354"/>
      <c r="BR116" s="354"/>
      <c r="BS116" s="354"/>
      <c r="BT116" s="354"/>
      <c r="BU116" s="354"/>
      <c r="BV116" s="354"/>
    </row>
    <row r="117" spans="8:74" x14ac:dyDescent="0.2">
      <c r="H117" s="555"/>
      <c r="I117" s="4"/>
      <c r="L117" s="4"/>
      <c r="M117" s="4"/>
      <c r="N117" s="4"/>
      <c r="O117" s="4"/>
      <c r="P117" s="4"/>
      <c r="Q117" s="4"/>
      <c r="R117" s="4"/>
      <c r="S117" s="4"/>
      <c r="W117" s="354"/>
      <c r="X117" s="354"/>
      <c r="Y117" s="354"/>
      <c r="Z117" s="354"/>
      <c r="AB117" s="354"/>
      <c r="AC117" s="354"/>
      <c r="AD117" s="354"/>
      <c r="AE117" s="354"/>
      <c r="AF117" s="549"/>
      <c r="AG117" s="354"/>
      <c r="AH117" s="354"/>
      <c r="AI117" s="354"/>
      <c r="AK117" s="354"/>
      <c r="AL117" s="354"/>
      <c r="AM117" s="354"/>
      <c r="AN117" s="354"/>
      <c r="AO117" s="354"/>
      <c r="AP117" s="354"/>
      <c r="AQ117" s="354"/>
      <c r="AR117" s="354"/>
      <c r="AT117" s="354"/>
      <c r="AU117" s="354"/>
      <c r="AV117" s="354"/>
      <c r="AW117" s="354"/>
      <c r="AX117" s="354"/>
      <c r="AY117" s="354"/>
      <c r="AZ117" s="354"/>
      <c r="BA117" s="354"/>
      <c r="BB117" s="354"/>
      <c r="BC117" s="354"/>
      <c r="BD117" s="354"/>
      <c r="BE117" s="354"/>
      <c r="BF117" s="354"/>
      <c r="BG117" s="354"/>
      <c r="BH117" s="354"/>
      <c r="BI117" s="354"/>
      <c r="BK117" s="550"/>
      <c r="BL117" s="559"/>
      <c r="BM117" s="559"/>
      <c r="BN117" s="9"/>
      <c r="BO117" s="48"/>
      <c r="BP117" s="354"/>
      <c r="BQ117" s="354"/>
      <c r="BR117" s="354"/>
      <c r="BS117" s="354"/>
      <c r="BT117" s="354"/>
      <c r="BU117" s="354"/>
      <c r="BV117" s="354"/>
    </row>
    <row r="118" spans="8:74" x14ac:dyDescent="0.2">
      <c r="H118" s="555"/>
      <c r="I118" s="4"/>
      <c r="L118" s="4"/>
      <c r="M118" s="4"/>
      <c r="N118" s="4"/>
      <c r="O118" s="4"/>
      <c r="P118" s="4"/>
      <c r="Q118" s="4"/>
      <c r="R118" s="4"/>
      <c r="S118" s="4"/>
      <c r="W118" s="354"/>
      <c r="X118" s="354"/>
      <c r="Y118" s="354"/>
      <c r="Z118" s="354"/>
      <c r="AB118" s="354"/>
      <c r="AC118" s="354"/>
      <c r="AD118" s="354"/>
      <c r="AE118" s="354"/>
      <c r="AF118" s="549"/>
      <c r="AG118" s="354"/>
      <c r="AH118" s="354"/>
      <c r="AI118" s="354"/>
      <c r="AK118" s="354"/>
      <c r="AL118" s="354"/>
      <c r="AM118" s="354"/>
      <c r="AN118" s="354"/>
      <c r="AO118" s="354"/>
      <c r="AP118" s="354"/>
      <c r="AQ118" s="354"/>
      <c r="AR118" s="354"/>
      <c r="AT118" s="354"/>
      <c r="AU118" s="354"/>
      <c r="AV118" s="354"/>
      <c r="AW118" s="354"/>
      <c r="AX118" s="354"/>
      <c r="AY118" s="354"/>
      <c r="AZ118" s="354"/>
      <c r="BA118" s="354"/>
      <c r="BB118" s="354"/>
      <c r="BC118" s="354"/>
      <c r="BD118" s="354"/>
      <c r="BE118" s="354"/>
      <c r="BF118" s="354"/>
      <c r="BG118" s="354"/>
      <c r="BH118" s="354"/>
      <c r="BI118" s="354"/>
      <c r="BK118" s="550"/>
      <c r="BL118" s="559"/>
      <c r="BM118" s="559"/>
      <c r="BN118" s="9"/>
      <c r="BO118" s="48"/>
      <c r="BP118" s="354"/>
      <c r="BQ118" s="354"/>
      <c r="BR118" s="354"/>
      <c r="BS118" s="354"/>
      <c r="BT118" s="354"/>
      <c r="BU118" s="354"/>
      <c r="BV118" s="354"/>
    </row>
    <row r="119" spans="8:74" x14ac:dyDescent="0.2">
      <c r="H119" s="555"/>
      <c r="I119" s="4"/>
      <c r="L119" s="4"/>
      <c r="M119" s="4"/>
      <c r="N119" s="4"/>
      <c r="O119" s="4"/>
      <c r="P119" s="4"/>
      <c r="Q119" s="4"/>
      <c r="R119" s="4"/>
      <c r="S119" s="4"/>
      <c r="W119" s="354"/>
      <c r="X119" s="354"/>
      <c r="Y119" s="354"/>
      <c r="Z119" s="354"/>
      <c r="AB119" s="354"/>
      <c r="AC119" s="354"/>
      <c r="AD119" s="354"/>
      <c r="AE119" s="354"/>
      <c r="AF119" s="549"/>
      <c r="AG119" s="354"/>
      <c r="AH119" s="354"/>
      <c r="AI119" s="354"/>
      <c r="AK119" s="354"/>
      <c r="AL119" s="354"/>
      <c r="AM119" s="354"/>
      <c r="AN119" s="354"/>
      <c r="AO119" s="354"/>
      <c r="AP119" s="354"/>
      <c r="AQ119" s="354"/>
      <c r="AR119" s="354"/>
      <c r="AT119" s="354"/>
      <c r="AU119" s="354"/>
      <c r="AV119" s="354"/>
      <c r="AW119" s="354"/>
      <c r="AX119" s="354"/>
      <c r="AY119" s="354"/>
      <c r="AZ119" s="354"/>
      <c r="BA119" s="354"/>
      <c r="BB119" s="354"/>
      <c r="BC119" s="354"/>
      <c r="BD119" s="354"/>
      <c r="BE119" s="354"/>
      <c r="BF119" s="354"/>
      <c r="BG119" s="354"/>
      <c r="BH119" s="354"/>
      <c r="BI119" s="354"/>
      <c r="BK119" s="550"/>
      <c r="BL119" s="559"/>
      <c r="BM119" s="559"/>
      <c r="BN119" s="9"/>
      <c r="BO119" s="48"/>
      <c r="BP119" s="354"/>
      <c r="BQ119" s="354"/>
      <c r="BR119" s="354"/>
      <c r="BS119" s="354"/>
      <c r="BT119" s="354"/>
      <c r="BU119" s="354"/>
      <c r="BV119" s="354"/>
    </row>
    <row r="120" spans="8:74" x14ac:dyDescent="0.2">
      <c r="H120" s="555"/>
      <c r="I120" s="4"/>
      <c r="L120" s="4"/>
      <c r="M120" s="4"/>
      <c r="N120" s="4"/>
      <c r="O120" s="4"/>
      <c r="P120" s="4"/>
      <c r="Q120" s="4"/>
      <c r="R120" s="4"/>
      <c r="S120" s="4"/>
      <c r="W120" s="354"/>
      <c r="X120" s="354"/>
      <c r="Y120" s="354"/>
      <c r="Z120" s="354"/>
      <c r="AB120" s="354"/>
      <c r="AC120" s="354"/>
      <c r="AD120" s="354"/>
      <c r="AE120" s="354"/>
      <c r="AF120" s="549"/>
      <c r="AG120" s="354"/>
      <c r="AH120" s="354"/>
      <c r="AI120" s="354"/>
      <c r="AK120" s="354"/>
      <c r="AL120" s="354"/>
      <c r="AM120" s="354"/>
      <c r="AN120" s="354"/>
      <c r="AO120" s="354"/>
      <c r="AP120" s="354"/>
      <c r="AQ120" s="354"/>
      <c r="AR120" s="354"/>
      <c r="AT120" s="354"/>
      <c r="AU120" s="354"/>
      <c r="AV120" s="354"/>
      <c r="AW120" s="354"/>
      <c r="AX120" s="354"/>
      <c r="AY120" s="354"/>
      <c r="AZ120" s="354"/>
      <c r="BA120" s="354"/>
      <c r="BB120" s="354"/>
      <c r="BC120" s="354"/>
      <c r="BD120" s="354"/>
      <c r="BE120" s="354"/>
      <c r="BF120" s="354"/>
      <c r="BG120" s="354"/>
      <c r="BH120" s="354"/>
      <c r="BI120" s="354"/>
      <c r="BK120" s="550"/>
      <c r="BL120" s="559"/>
      <c r="BM120" s="559"/>
      <c r="BN120" s="9"/>
      <c r="BO120" s="48"/>
      <c r="BP120" s="354"/>
      <c r="BQ120" s="354"/>
      <c r="BR120" s="354"/>
      <c r="BS120" s="354"/>
      <c r="BT120" s="354"/>
      <c r="BU120" s="354"/>
      <c r="BV120" s="354"/>
    </row>
    <row r="121" spans="8:74" x14ac:dyDescent="0.2">
      <c r="H121" s="555"/>
      <c r="I121" s="4"/>
      <c r="L121" s="4"/>
      <c r="M121" s="4"/>
      <c r="N121" s="4"/>
      <c r="O121" s="4"/>
      <c r="P121" s="4"/>
      <c r="Q121" s="4"/>
      <c r="R121" s="4"/>
      <c r="S121" s="4"/>
      <c r="W121" s="354"/>
      <c r="X121" s="354"/>
      <c r="Y121" s="354"/>
      <c r="Z121" s="354"/>
      <c r="AB121" s="354"/>
      <c r="AC121" s="354"/>
      <c r="AD121" s="354"/>
      <c r="AE121" s="354"/>
      <c r="AF121" s="549"/>
      <c r="AG121" s="354"/>
      <c r="AH121" s="354"/>
      <c r="AI121" s="354"/>
      <c r="AK121" s="354"/>
      <c r="AL121" s="354"/>
      <c r="AM121" s="354"/>
      <c r="AN121" s="354"/>
      <c r="AO121" s="354"/>
      <c r="AP121" s="354"/>
      <c r="AQ121" s="354"/>
      <c r="AR121" s="354"/>
      <c r="AT121" s="354"/>
      <c r="AU121" s="354"/>
      <c r="AV121" s="354"/>
      <c r="AW121" s="354"/>
      <c r="AX121" s="354"/>
      <c r="AY121" s="354"/>
      <c r="AZ121" s="354"/>
      <c r="BA121" s="354"/>
      <c r="BB121" s="354"/>
      <c r="BC121" s="354"/>
      <c r="BD121" s="354"/>
      <c r="BE121" s="354"/>
      <c r="BF121" s="354"/>
      <c r="BG121" s="354"/>
      <c r="BH121" s="354"/>
      <c r="BI121" s="354"/>
      <c r="BK121" s="550"/>
      <c r="BL121" s="559"/>
      <c r="BM121" s="559"/>
      <c r="BN121" s="9"/>
      <c r="BO121" s="48"/>
      <c r="BP121" s="354"/>
      <c r="BQ121" s="354"/>
      <c r="BR121" s="354"/>
      <c r="BS121" s="354"/>
      <c r="BT121" s="354"/>
      <c r="BU121" s="354"/>
      <c r="BV121" s="354"/>
    </row>
    <row r="122" spans="8:74" x14ac:dyDescent="0.2">
      <c r="H122" s="555"/>
      <c r="I122" s="4"/>
      <c r="L122" s="4"/>
      <c r="M122" s="4"/>
      <c r="N122" s="4"/>
      <c r="O122" s="4"/>
      <c r="P122" s="4"/>
      <c r="Q122" s="4"/>
      <c r="R122" s="4"/>
      <c r="S122" s="4"/>
      <c r="W122" s="354"/>
      <c r="X122" s="354"/>
      <c r="Y122" s="354"/>
      <c r="Z122" s="354"/>
      <c r="AB122" s="354"/>
      <c r="AC122" s="354"/>
      <c r="AD122" s="354"/>
      <c r="AE122" s="354"/>
      <c r="AF122" s="549"/>
      <c r="AG122" s="354"/>
      <c r="AH122" s="354"/>
      <c r="AI122" s="354"/>
      <c r="AK122" s="354"/>
      <c r="AL122" s="354"/>
      <c r="AM122" s="354"/>
      <c r="AN122" s="354"/>
      <c r="AO122" s="354"/>
      <c r="AP122" s="354"/>
      <c r="AQ122" s="354"/>
      <c r="AR122" s="354"/>
      <c r="AT122" s="354"/>
      <c r="AU122" s="354"/>
      <c r="AV122" s="354"/>
      <c r="AW122" s="354"/>
      <c r="AX122" s="354"/>
      <c r="AY122" s="354"/>
      <c r="AZ122" s="354"/>
      <c r="BA122" s="354"/>
      <c r="BB122" s="354"/>
      <c r="BC122" s="354"/>
      <c r="BD122" s="354"/>
      <c r="BE122" s="354"/>
      <c r="BF122" s="354"/>
      <c r="BG122" s="354"/>
      <c r="BH122" s="354"/>
      <c r="BI122" s="354"/>
      <c r="BK122" s="550"/>
      <c r="BL122" s="559"/>
      <c r="BM122" s="559"/>
      <c r="BN122" s="9"/>
      <c r="BO122" s="48"/>
      <c r="BP122" s="354"/>
      <c r="BQ122" s="354"/>
      <c r="BR122" s="354"/>
      <c r="BS122" s="354"/>
      <c r="BT122" s="354"/>
      <c r="BU122" s="354"/>
      <c r="BV122" s="354"/>
    </row>
    <row r="123" spans="8:74" x14ac:dyDescent="0.2">
      <c r="H123" s="555"/>
      <c r="I123" s="4"/>
      <c r="L123" s="4"/>
      <c r="M123" s="4"/>
      <c r="N123" s="4"/>
      <c r="O123" s="4"/>
      <c r="P123" s="4"/>
      <c r="Q123" s="4"/>
      <c r="R123" s="4"/>
      <c r="S123" s="4"/>
      <c r="W123" s="354"/>
      <c r="X123" s="354"/>
      <c r="Y123" s="354"/>
      <c r="Z123" s="354"/>
      <c r="AB123" s="354"/>
      <c r="AC123" s="354"/>
      <c r="AD123" s="354"/>
      <c r="AE123" s="354"/>
      <c r="AF123" s="549"/>
      <c r="AG123" s="354"/>
      <c r="AH123" s="354"/>
      <c r="AI123" s="354"/>
      <c r="AK123" s="354"/>
      <c r="AL123" s="354"/>
      <c r="AM123" s="354"/>
      <c r="AN123" s="354"/>
      <c r="AO123" s="354"/>
      <c r="AP123" s="354"/>
      <c r="AQ123" s="354"/>
      <c r="AR123" s="354"/>
      <c r="AT123" s="354"/>
      <c r="AU123" s="354"/>
      <c r="AV123" s="354"/>
      <c r="AW123" s="354"/>
      <c r="AX123" s="354"/>
      <c r="AY123" s="354"/>
      <c r="AZ123" s="354"/>
      <c r="BA123" s="354"/>
      <c r="BB123" s="354"/>
      <c r="BC123" s="354"/>
      <c r="BD123" s="354"/>
      <c r="BE123" s="354"/>
      <c r="BF123" s="354"/>
      <c r="BG123" s="354"/>
      <c r="BH123" s="354"/>
      <c r="BI123" s="354"/>
      <c r="BK123" s="550"/>
      <c r="BL123" s="559"/>
      <c r="BM123" s="559"/>
      <c r="BN123" s="9"/>
      <c r="BO123" s="48"/>
      <c r="BP123" s="354"/>
      <c r="BQ123" s="354"/>
      <c r="BR123" s="354"/>
      <c r="BS123" s="354"/>
      <c r="BT123" s="354"/>
      <c r="BU123" s="354"/>
      <c r="BV123" s="354"/>
    </row>
    <row r="124" spans="8:74" x14ac:dyDescent="0.2">
      <c r="H124" s="555"/>
      <c r="I124" s="4"/>
      <c r="L124" s="4"/>
      <c r="M124" s="4"/>
      <c r="N124" s="4"/>
      <c r="O124" s="4"/>
      <c r="P124" s="4"/>
      <c r="Q124" s="4"/>
      <c r="R124" s="4"/>
      <c r="S124" s="4"/>
      <c r="W124" s="354"/>
      <c r="X124" s="354"/>
      <c r="Y124" s="354"/>
      <c r="Z124" s="354"/>
      <c r="AB124" s="354"/>
      <c r="AC124" s="354"/>
      <c r="AD124" s="354"/>
      <c r="AE124" s="354"/>
      <c r="AF124" s="549"/>
      <c r="AG124" s="354"/>
      <c r="AH124" s="354"/>
      <c r="AI124" s="354"/>
      <c r="AK124" s="354"/>
      <c r="AL124" s="354"/>
      <c r="AM124" s="354"/>
      <c r="AN124" s="354"/>
      <c r="AO124" s="354"/>
      <c r="AP124" s="354"/>
      <c r="AQ124" s="354"/>
      <c r="AR124" s="354"/>
      <c r="AT124" s="354"/>
      <c r="AU124" s="354"/>
      <c r="AV124" s="354"/>
      <c r="AW124" s="354"/>
      <c r="AX124" s="354"/>
      <c r="AY124" s="354"/>
      <c r="AZ124" s="354"/>
      <c r="BA124" s="354"/>
      <c r="BB124" s="354"/>
      <c r="BC124" s="354"/>
      <c r="BD124" s="354"/>
      <c r="BE124" s="354"/>
      <c r="BF124" s="354"/>
      <c r="BG124" s="354"/>
      <c r="BH124" s="354"/>
      <c r="BI124" s="354"/>
      <c r="BK124" s="550"/>
      <c r="BL124" s="559"/>
      <c r="BM124" s="559"/>
      <c r="BN124" s="9"/>
      <c r="BO124" s="48"/>
      <c r="BP124" s="354"/>
      <c r="BQ124" s="354"/>
      <c r="BR124" s="354"/>
      <c r="BS124" s="354"/>
      <c r="BT124" s="354"/>
      <c r="BU124" s="354"/>
      <c r="BV124" s="354"/>
    </row>
    <row r="125" spans="8:74" x14ac:dyDescent="0.2">
      <c r="H125" s="555"/>
      <c r="I125" s="4"/>
      <c r="L125" s="4"/>
      <c r="M125" s="4"/>
      <c r="N125" s="4"/>
      <c r="O125" s="4"/>
      <c r="P125" s="4"/>
      <c r="Q125" s="4"/>
      <c r="R125" s="4"/>
      <c r="S125" s="4"/>
      <c r="W125" s="354"/>
      <c r="X125" s="354"/>
      <c r="Y125" s="354"/>
      <c r="Z125" s="354"/>
      <c r="AB125" s="354"/>
      <c r="AC125" s="354"/>
      <c r="AD125" s="354"/>
      <c r="AE125" s="354"/>
      <c r="AF125" s="549"/>
      <c r="AG125" s="354"/>
      <c r="AH125" s="354"/>
      <c r="AI125" s="354"/>
      <c r="AK125" s="354"/>
      <c r="AL125" s="354"/>
      <c r="AM125" s="354"/>
      <c r="AN125" s="354"/>
      <c r="AO125" s="354"/>
      <c r="AP125" s="354"/>
      <c r="AQ125" s="354"/>
      <c r="AR125" s="354"/>
      <c r="AT125" s="354"/>
      <c r="AU125" s="354"/>
      <c r="AV125" s="354"/>
      <c r="AW125" s="354"/>
      <c r="AX125" s="354"/>
      <c r="AY125" s="354"/>
      <c r="AZ125" s="354"/>
      <c r="BA125" s="354"/>
      <c r="BB125" s="354"/>
      <c r="BC125" s="354"/>
      <c r="BD125" s="354"/>
      <c r="BE125" s="354"/>
      <c r="BF125" s="354"/>
      <c r="BG125" s="354"/>
      <c r="BH125" s="354"/>
      <c r="BI125" s="354"/>
      <c r="BK125" s="550"/>
      <c r="BL125" s="559"/>
      <c r="BM125" s="559"/>
      <c r="BN125" s="9"/>
      <c r="BO125" s="48"/>
      <c r="BP125" s="354"/>
      <c r="BQ125" s="354"/>
      <c r="BR125" s="354"/>
      <c r="BS125" s="354"/>
      <c r="BT125" s="354"/>
      <c r="BU125" s="354"/>
      <c r="BV125" s="354"/>
    </row>
    <row r="126" spans="8:74" x14ac:dyDescent="0.2">
      <c r="H126" s="555"/>
      <c r="I126" s="4"/>
      <c r="L126" s="4"/>
      <c r="M126" s="4"/>
      <c r="N126" s="4"/>
      <c r="O126" s="4"/>
      <c r="P126" s="4"/>
      <c r="Q126" s="4"/>
      <c r="R126" s="4"/>
      <c r="S126" s="4"/>
      <c r="W126" s="354"/>
      <c r="X126" s="354"/>
      <c r="Y126" s="354"/>
      <c r="Z126" s="354"/>
      <c r="AB126" s="354"/>
      <c r="AC126" s="354"/>
      <c r="AD126" s="354"/>
      <c r="AE126" s="354"/>
      <c r="AF126" s="549"/>
      <c r="AG126" s="354"/>
      <c r="AH126" s="354"/>
      <c r="AI126" s="354"/>
      <c r="AK126" s="354"/>
      <c r="AL126" s="354"/>
      <c r="AM126" s="354"/>
      <c r="AN126" s="354"/>
      <c r="AO126" s="354"/>
      <c r="AP126" s="354"/>
      <c r="AQ126" s="354"/>
      <c r="AR126" s="354"/>
      <c r="AT126" s="354"/>
      <c r="AU126" s="354"/>
      <c r="AV126" s="354"/>
      <c r="AW126" s="354"/>
      <c r="AX126" s="354"/>
      <c r="AY126" s="354"/>
      <c r="AZ126" s="354"/>
      <c r="BA126" s="354"/>
      <c r="BB126" s="354"/>
      <c r="BC126" s="354"/>
      <c r="BD126" s="354"/>
      <c r="BE126" s="354"/>
      <c r="BF126" s="354"/>
      <c r="BG126" s="354"/>
      <c r="BH126" s="354"/>
      <c r="BI126" s="354"/>
      <c r="BK126" s="550"/>
      <c r="BL126" s="559"/>
      <c r="BM126" s="559"/>
      <c r="BN126" s="9"/>
      <c r="BO126" s="48"/>
      <c r="BP126" s="354"/>
      <c r="BQ126" s="354"/>
      <c r="BR126" s="354"/>
      <c r="BS126" s="354"/>
      <c r="BT126" s="354"/>
      <c r="BU126" s="354"/>
      <c r="BV126" s="354"/>
    </row>
    <row r="127" spans="8:74" x14ac:dyDescent="0.2">
      <c r="H127" s="555"/>
      <c r="I127" s="4"/>
      <c r="L127" s="4"/>
      <c r="M127" s="4"/>
      <c r="N127" s="4"/>
      <c r="O127" s="4"/>
      <c r="P127" s="4"/>
      <c r="Q127" s="4"/>
      <c r="R127" s="4"/>
      <c r="S127" s="4"/>
      <c r="W127" s="354"/>
      <c r="X127" s="354"/>
      <c r="Y127" s="354"/>
      <c r="Z127" s="354"/>
      <c r="AB127" s="354"/>
      <c r="AC127" s="354"/>
      <c r="AD127" s="354"/>
      <c r="AE127" s="354"/>
      <c r="AF127" s="549"/>
      <c r="AG127" s="354"/>
      <c r="AH127" s="354"/>
      <c r="AI127" s="354"/>
      <c r="AK127" s="354"/>
      <c r="AL127" s="354"/>
      <c r="AM127" s="354"/>
      <c r="AN127" s="354"/>
      <c r="AO127" s="354"/>
      <c r="AP127" s="354"/>
      <c r="AQ127" s="354"/>
      <c r="AR127" s="354"/>
      <c r="AT127" s="354"/>
      <c r="AU127" s="354"/>
      <c r="AV127" s="354"/>
      <c r="AW127" s="354"/>
      <c r="AX127" s="354"/>
      <c r="AY127" s="354"/>
      <c r="AZ127" s="354"/>
      <c r="BA127" s="354"/>
      <c r="BB127" s="354"/>
      <c r="BC127" s="354"/>
      <c r="BD127" s="354"/>
      <c r="BE127" s="354"/>
      <c r="BF127" s="354"/>
      <c r="BG127" s="354"/>
      <c r="BH127" s="354"/>
      <c r="BI127" s="354"/>
      <c r="BK127" s="550"/>
      <c r="BL127" s="559"/>
      <c r="BM127" s="559"/>
      <c r="BN127" s="9"/>
      <c r="BO127" s="48"/>
      <c r="BP127" s="354"/>
      <c r="BQ127" s="354"/>
      <c r="BR127" s="354"/>
      <c r="BS127" s="354"/>
      <c r="BT127" s="354"/>
      <c r="BU127" s="354"/>
      <c r="BV127" s="354"/>
    </row>
    <row r="128" spans="8:74" x14ac:dyDescent="0.2">
      <c r="H128" s="555"/>
      <c r="I128" s="4"/>
      <c r="L128" s="4"/>
      <c r="M128" s="4"/>
      <c r="N128" s="4"/>
      <c r="O128" s="4"/>
      <c r="P128" s="4"/>
      <c r="Q128" s="4"/>
      <c r="R128" s="4"/>
      <c r="S128" s="4"/>
      <c r="W128" s="354"/>
      <c r="X128" s="354"/>
      <c r="Y128" s="354"/>
      <c r="Z128" s="354"/>
      <c r="AB128" s="354"/>
      <c r="AC128" s="354"/>
      <c r="AD128" s="354"/>
      <c r="AE128" s="354"/>
      <c r="AF128" s="549"/>
      <c r="AG128" s="354"/>
      <c r="AH128" s="354"/>
      <c r="AI128" s="354"/>
      <c r="AK128" s="354"/>
      <c r="AL128" s="354"/>
      <c r="AM128" s="354"/>
      <c r="AN128" s="354"/>
      <c r="AO128" s="354"/>
      <c r="AP128" s="354"/>
      <c r="AQ128" s="354"/>
      <c r="AR128" s="354"/>
      <c r="AT128" s="354"/>
      <c r="AU128" s="354"/>
      <c r="AV128" s="354"/>
      <c r="AW128" s="354"/>
      <c r="AX128" s="354"/>
      <c r="AY128" s="354"/>
      <c r="AZ128" s="354"/>
      <c r="BA128" s="354"/>
      <c r="BB128" s="354"/>
      <c r="BC128" s="354"/>
      <c r="BD128" s="354"/>
      <c r="BE128" s="354"/>
      <c r="BF128" s="354"/>
      <c r="BG128" s="354"/>
      <c r="BH128" s="354"/>
      <c r="BI128" s="354"/>
      <c r="BK128" s="550"/>
      <c r="BL128" s="559"/>
      <c r="BM128" s="559"/>
      <c r="BN128" s="9"/>
      <c r="BO128" s="48"/>
      <c r="BP128" s="354"/>
      <c r="BQ128" s="354"/>
      <c r="BR128" s="354"/>
      <c r="BS128" s="354"/>
      <c r="BT128" s="354"/>
      <c r="BU128" s="354"/>
      <c r="BV128" s="354"/>
    </row>
    <row r="129" spans="8:74" x14ac:dyDescent="0.2">
      <c r="H129" s="555"/>
      <c r="I129" s="4"/>
      <c r="L129" s="4"/>
      <c r="M129" s="4"/>
      <c r="N129" s="4"/>
      <c r="O129" s="4"/>
      <c r="P129" s="4"/>
      <c r="Q129" s="4"/>
      <c r="R129" s="4"/>
      <c r="S129" s="4"/>
      <c r="W129" s="354"/>
      <c r="X129" s="354"/>
      <c r="Y129" s="354"/>
      <c r="Z129" s="354"/>
      <c r="AB129" s="354"/>
      <c r="AC129" s="354"/>
      <c r="AD129" s="354"/>
      <c r="AE129" s="354"/>
      <c r="AF129" s="549"/>
      <c r="AG129" s="354"/>
      <c r="AH129" s="354"/>
      <c r="AI129" s="354"/>
      <c r="AK129" s="354"/>
      <c r="AL129" s="354"/>
      <c r="AM129" s="354"/>
      <c r="AN129" s="354"/>
      <c r="AO129" s="354"/>
      <c r="AP129" s="354"/>
      <c r="AQ129" s="354"/>
      <c r="AR129" s="354"/>
      <c r="AT129" s="354"/>
      <c r="AU129" s="354"/>
      <c r="AV129" s="354"/>
      <c r="AW129" s="354"/>
      <c r="AX129" s="354"/>
      <c r="AY129" s="354"/>
      <c r="AZ129" s="354"/>
      <c r="BA129" s="354"/>
      <c r="BB129" s="354"/>
      <c r="BC129" s="354"/>
      <c r="BD129" s="354"/>
      <c r="BE129" s="354"/>
      <c r="BF129" s="354"/>
      <c r="BG129" s="354"/>
      <c r="BH129" s="354"/>
      <c r="BI129" s="354"/>
      <c r="BK129" s="550"/>
      <c r="BL129" s="559"/>
      <c r="BM129" s="559"/>
      <c r="BN129" s="9"/>
      <c r="BO129" s="48"/>
      <c r="BP129" s="354"/>
      <c r="BQ129" s="354"/>
      <c r="BR129" s="354"/>
      <c r="BS129" s="354"/>
      <c r="BT129" s="354"/>
      <c r="BU129" s="354"/>
      <c r="BV129" s="354"/>
    </row>
    <row r="130" spans="8:74" x14ac:dyDescent="0.2">
      <c r="H130" s="555"/>
      <c r="I130" s="4"/>
      <c r="L130" s="4"/>
      <c r="M130" s="4"/>
      <c r="N130" s="4"/>
      <c r="O130" s="4"/>
      <c r="P130" s="4"/>
      <c r="Q130" s="4"/>
      <c r="R130" s="4"/>
      <c r="S130" s="4"/>
      <c r="W130" s="354"/>
      <c r="X130" s="354"/>
      <c r="Y130" s="354"/>
      <c r="Z130" s="354"/>
      <c r="AB130" s="354"/>
      <c r="AC130" s="354"/>
      <c r="AD130" s="354"/>
      <c r="AE130" s="354"/>
      <c r="AF130" s="549"/>
      <c r="AG130" s="354"/>
      <c r="AH130" s="354"/>
      <c r="AI130" s="354"/>
      <c r="AK130" s="354"/>
      <c r="AL130" s="354"/>
      <c r="AM130" s="354"/>
      <c r="AN130" s="354"/>
      <c r="AO130" s="354"/>
      <c r="AP130" s="354"/>
      <c r="AQ130" s="354"/>
      <c r="AR130" s="354"/>
      <c r="AT130" s="354"/>
      <c r="AU130" s="354"/>
      <c r="AV130" s="354"/>
      <c r="AW130" s="354"/>
      <c r="AX130" s="354"/>
      <c r="AY130" s="354"/>
      <c r="AZ130" s="354"/>
      <c r="BA130" s="354"/>
      <c r="BB130" s="354"/>
      <c r="BC130" s="354"/>
      <c r="BD130" s="354"/>
      <c r="BE130" s="354"/>
      <c r="BF130" s="354"/>
      <c r="BG130" s="354"/>
      <c r="BH130" s="354"/>
      <c r="BI130" s="354"/>
      <c r="BK130" s="550"/>
      <c r="BL130" s="559"/>
      <c r="BM130" s="559"/>
      <c r="BN130" s="9"/>
      <c r="BO130" s="48"/>
      <c r="BP130" s="354"/>
      <c r="BQ130" s="354"/>
      <c r="BR130" s="354"/>
      <c r="BS130" s="354"/>
      <c r="BT130" s="354"/>
      <c r="BU130" s="354"/>
      <c r="BV130" s="354"/>
    </row>
    <row r="131" spans="8:74" x14ac:dyDescent="0.2">
      <c r="H131" s="555"/>
      <c r="I131" s="4"/>
      <c r="L131" s="4"/>
      <c r="M131" s="4"/>
      <c r="N131" s="4"/>
      <c r="O131" s="4"/>
      <c r="P131" s="4"/>
      <c r="Q131" s="4"/>
      <c r="R131" s="4"/>
      <c r="S131" s="4"/>
      <c r="W131" s="354"/>
      <c r="X131" s="354"/>
      <c r="Y131" s="354"/>
      <c r="Z131" s="354"/>
      <c r="AB131" s="354"/>
      <c r="AC131" s="354"/>
      <c r="AD131" s="354"/>
      <c r="AE131" s="354"/>
      <c r="AF131" s="549"/>
      <c r="AG131" s="354"/>
      <c r="AH131" s="354"/>
      <c r="AI131" s="354"/>
      <c r="AK131" s="354"/>
      <c r="AL131" s="354"/>
      <c r="AM131" s="354"/>
      <c r="AN131" s="354"/>
      <c r="AO131" s="354"/>
      <c r="AP131" s="354"/>
      <c r="AQ131" s="354"/>
      <c r="AR131" s="354"/>
      <c r="AT131" s="354"/>
      <c r="AU131" s="354"/>
      <c r="AV131" s="354"/>
      <c r="AW131" s="354"/>
      <c r="AX131" s="354"/>
      <c r="AY131" s="354"/>
      <c r="AZ131" s="354"/>
      <c r="BA131" s="354"/>
      <c r="BB131" s="354"/>
      <c r="BC131" s="354"/>
      <c r="BD131" s="354"/>
      <c r="BE131" s="354"/>
      <c r="BF131" s="354"/>
      <c r="BG131" s="354"/>
      <c r="BH131" s="354"/>
      <c r="BI131" s="354"/>
      <c r="BK131" s="550"/>
      <c r="BL131" s="559"/>
      <c r="BM131" s="559"/>
      <c r="BN131" s="9"/>
      <c r="BO131" s="48"/>
      <c r="BP131" s="354"/>
      <c r="BQ131" s="354"/>
      <c r="BR131" s="354"/>
      <c r="BS131" s="354"/>
      <c r="BT131" s="354"/>
      <c r="BU131" s="354"/>
      <c r="BV131" s="354"/>
    </row>
    <row r="132" spans="8:74" x14ac:dyDescent="0.2">
      <c r="H132" s="555"/>
      <c r="I132" s="4"/>
      <c r="L132" s="4"/>
      <c r="M132" s="4"/>
      <c r="N132" s="4"/>
      <c r="O132" s="4"/>
      <c r="P132" s="4"/>
      <c r="Q132" s="4"/>
      <c r="R132" s="4"/>
      <c r="S132" s="4"/>
      <c r="W132" s="354"/>
      <c r="X132" s="354"/>
      <c r="Y132" s="354"/>
      <c r="Z132" s="354"/>
      <c r="AB132" s="354"/>
      <c r="AC132" s="354"/>
      <c r="AD132" s="354"/>
      <c r="AE132" s="354"/>
      <c r="AF132" s="549"/>
      <c r="AG132" s="354"/>
      <c r="AH132" s="354"/>
      <c r="AI132" s="354"/>
      <c r="AK132" s="354"/>
      <c r="AL132" s="354"/>
      <c r="AM132" s="354"/>
      <c r="AN132" s="354"/>
      <c r="AO132" s="354"/>
      <c r="AP132" s="354"/>
      <c r="AQ132" s="354"/>
      <c r="AR132" s="354"/>
      <c r="AT132" s="354"/>
      <c r="AU132" s="354"/>
      <c r="AV132" s="354"/>
      <c r="AW132" s="354"/>
      <c r="AX132" s="354"/>
      <c r="AY132" s="354"/>
      <c r="AZ132" s="354"/>
      <c r="BA132" s="354"/>
      <c r="BB132" s="354"/>
      <c r="BC132" s="354"/>
      <c r="BD132" s="354"/>
      <c r="BE132" s="354"/>
      <c r="BF132" s="354"/>
      <c r="BG132" s="354"/>
      <c r="BH132" s="354"/>
      <c r="BI132" s="354"/>
      <c r="BK132" s="550"/>
      <c r="BL132" s="559"/>
      <c r="BM132" s="559"/>
      <c r="BN132" s="9"/>
      <c r="BO132" s="48"/>
      <c r="BP132" s="354"/>
      <c r="BQ132" s="354"/>
      <c r="BR132" s="354"/>
      <c r="BS132" s="354"/>
      <c r="BT132" s="354"/>
      <c r="BU132" s="354"/>
      <c r="BV132" s="354"/>
    </row>
    <row r="133" spans="8:74" x14ac:dyDescent="0.2">
      <c r="H133" s="555"/>
      <c r="I133" s="4"/>
      <c r="L133" s="4"/>
      <c r="M133" s="4"/>
      <c r="N133" s="4"/>
      <c r="O133" s="4"/>
      <c r="P133" s="4"/>
      <c r="Q133" s="4"/>
      <c r="R133" s="4"/>
      <c r="S133" s="4"/>
      <c r="W133" s="354"/>
      <c r="X133" s="354"/>
      <c r="Y133" s="354"/>
      <c r="Z133" s="354"/>
      <c r="AB133" s="354"/>
      <c r="AC133" s="354"/>
      <c r="AD133" s="354"/>
      <c r="AE133" s="354"/>
      <c r="AF133" s="549"/>
      <c r="AG133" s="354"/>
      <c r="AH133" s="354"/>
      <c r="AI133" s="354"/>
      <c r="AK133" s="354"/>
      <c r="AL133" s="354"/>
      <c r="AM133" s="354"/>
      <c r="AN133" s="354"/>
      <c r="AO133" s="354"/>
      <c r="AP133" s="354"/>
      <c r="AQ133" s="354"/>
      <c r="AR133" s="354"/>
      <c r="AT133" s="354"/>
      <c r="AU133" s="354"/>
      <c r="AV133" s="354"/>
      <c r="AW133" s="354"/>
      <c r="AX133" s="354"/>
      <c r="AY133" s="354"/>
      <c r="AZ133" s="354"/>
      <c r="BA133" s="354"/>
      <c r="BB133" s="354"/>
      <c r="BC133" s="354"/>
      <c r="BD133" s="354"/>
      <c r="BE133" s="354"/>
      <c r="BF133" s="354"/>
      <c r="BG133" s="354"/>
      <c r="BH133" s="354"/>
      <c r="BI133" s="354"/>
      <c r="BK133" s="550"/>
      <c r="BL133" s="559"/>
      <c r="BM133" s="559"/>
      <c r="BN133" s="9"/>
      <c r="BO133" s="48"/>
      <c r="BP133" s="354"/>
      <c r="BQ133" s="354"/>
      <c r="BR133" s="354"/>
      <c r="BS133" s="354"/>
      <c r="BT133" s="354"/>
      <c r="BU133" s="354"/>
      <c r="BV133" s="354"/>
    </row>
    <row r="134" spans="8:74" x14ac:dyDescent="0.2">
      <c r="H134" s="555"/>
      <c r="I134" s="4"/>
      <c r="L134" s="4"/>
      <c r="M134" s="4"/>
      <c r="N134" s="4"/>
      <c r="O134" s="4"/>
      <c r="P134" s="4"/>
      <c r="Q134" s="4"/>
      <c r="R134" s="4"/>
      <c r="S134" s="4"/>
      <c r="W134" s="354"/>
      <c r="X134" s="354"/>
      <c r="Y134" s="354"/>
      <c r="Z134" s="354"/>
      <c r="AB134" s="354"/>
      <c r="AC134" s="354"/>
      <c r="AD134" s="354"/>
      <c r="AE134" s="354"/>
      <c r="AF134" s="549"/>
      <c r="AG134" s="354"/>
      <c r="AH134" s="354"/>
      <c r="AI134" s="354"/>
      <c r="AK134" s="354"/>
      <c r="AL134" s="354"/>
      <c r="AM134" s="354"/>
      <c r="AN134" s="354"/>
      <c r="AO134" s="354"/>
      <c r="AP134" s="354"/>
      <c r="AQ134" s="354"/>
      <c r="AR134" s="354"/>
      <c r="AT134" s="354"/>
      <c r="AU134" s="354"/>
      <c r="AV134" s="354"/>
      <c r="AW134" s="354"/>
      <c r="AX134" s="354"/>
      <c r="AY134" s="354"/>
      <c r="AZ134" s="354"/>
      <c r="BA134" s="354"/>
      <c r="BB134" s="354"/>
      <c r="BC134" s="354"/>
      <c r="BD134" s="354"/>
      <c r="BE134" s="354"/>
      <c r="BF134" s="354"/>
      <c r="BG134" s="354"/>
      <c r="BH134" s="354"/>
      <c r="BI134" s="354"/>
      <c r="BK134" s="550"/>
      <c r="BL134" s="559"/>
      <c r="BM134" s="559"/>
      <c r="BN134" s="9"/>
      <c r="BO134" s="48"/>
      <c r="BP134" s="354"/>
      <c r="BQ134" s="354"/>
      <c r="BR134" s="354"/>
      <c r="BS134" s="354"/>
      <c r="BT134" s="354"/>
      <c r="BU134" s="354"/>
      <c r="BV134" s="354"/>
    </row>
    <row r="135" spans="8:74" x14ac:dyDescent="0.2">
      <c r="H135" s="555"/>
      <c r="I135" s="4"/>
      <c r="L135" s="4"/>
      <c r="M135" s="4"/>
      <c r="N135" s="4"/>
      <c r="O135" s="4"/>
      <c r="P135" s="4"/>
      <c r="Q135" s="4"/>
      <c r="R135" s="4"/>
      <c r="S135" s="4"/>
      <c r="W135" s="354"/>
      <c r="X135" s="354"/>
      <c r="Y135" s="354"/>
      <c r="Z135" s="354"/>
      <c r="AB135" s="354"/>
      <c r="AC135" s="354"/>
      <c r="AD135" s="354"/>
      <c r="AE135" s="354"/>
      <c r="AF135" s="549"/>
      <c r="AG135" s="354"/>
      <c r="AH135" s="354"/>
      <c r="AI135" s="354"/>
      <c r="AK135" s="354"/>
      <c r="AL135" s="354"/>
      <c r="AM135" s="354"/>
      <c r="AN135" s="354"/>
      <c r="AO135" s="354"/>
      <c r="AP135" s="354"/>
      <c r="AQ135" s="354"/>
      <c r="AR135" s="354"/>
      <c r="AT135" s="354"/>
      <c r="AU135" s="354"/>
      <c r="AV135" s="354"/>
      <c r="AW135" s="354"/>
      <c r="AX135" s="354"/>
      <c r="AY135" s="354"/>
      <c r="AZ135" s="354"/>
      <c r="BA135" s="354"/>
      <c r="BB135" s="354"/>
      <c r="BC135" s="354"/>
      <c r="BD135" s="354"/>
      <c r="BE135" s="354"/>
      <c r="BF135" s="354"/>
      <c r="BG135" s="354"/>
      <c r="BH135" s="354"/>
      <c r="BI135" s="354"/>
      <c r="BK135" s="550"/>
      <c r="BL135" s="559"/>
      <c r="BM135" s="559"/>
      <c r="BN135" s="9"/>
      <c r="BO135" s="48"/>
      <c r="BP135" s="354"/>
      <c r="BQ135" s="354"/>
      <c r="BR135" s="354"/>
      <c r="BS135" s="354"/>
      <c r="BT135" s="354"/>
      <c r="BU135" s="354"/>
      <c r="BV135" s="354"/>
    </row>
    <row r="136" spans="8:74" x14ac:dyDescent="0.2">
      <c r="H136" s="555"/>
      <c r="I136" s="4"/>
      <c r="L136" s="4"/>
      <c r="M136" s="4"/>
      <c r="N136" s="4"/>
      <c r="O136" s="4"/>
      <c r="P136" s="4"/>
      <c r="Q136" s="4"/>
      <c r="R136" s="4"/>
      <c r="S136" s="4"/>
      <c r="W136" s="354"/>
      <c r="X136" s="354"/>
      <c r="Y136" s="354"/>
      <c r="Z136" s="354"/>
      <c r="AB136" s="354"/>
      <c r="AC136" s="354"/>
      <c r="AD136" s="354"/>
      <c r="AE136" s="354"/>
      <c r="AF136" s="549"/>
      <c r="AG136" s="354"/>
      <c r="AH136" s="354"/>
      <c r="AI136" s="354"/>
      <c r="AK136" s="354"/>
      <c r="AL136" s="354"/>
      <c r="AM136" s="354"/>
      <c r="AN136" s="354"/>
      <c r="AO136" s="354"/>
      <c r="AP136" s="354"/>
      <c r="AQ136" s="354"/>
      <c r="AR136" s="354"/>
      <c r="AT136" s="354"/>
      <c r="AU136" s="354"/>
      <c r="AV136" s="354"/>
      <c r="AW136" s="354"/>
      <c r="AX136" s="354"/>
      <c r="AY136" s="354"/>
      <c r="AZ136" s="354"/>
      <c r="BA136" s="354"/>
      <c r="BB136" s="354"/>
      <c r="BC136" s="354"/>
      <c r="BD136" s="354"/>
      <c r="BE136" s="354"/>
      <c r="BF136" s="354"/>
      <c r="BG136" s="354"/>
      <c r="BH136" s="354"/>
      <c r="BI136" s="354"/>
      <c r="BK136" s="550"/>
      <c r="BL136" s="559"/>
      <c r="BM136" s="559"/>
      <c r="BN136" s="9"/>
      <c r="BO136" s="48"/>
      <c r="BP136" s="354"/>
      <c r="BQ136" s="354"/>
      <c r="BR136" s="354"/>
      <c r="BS136" s="354"/>
      <c r="BT136" s="354"/>
      <c r="BU136" s="354"/>
      <c r="BV136" s="354"/>
    </row>
    <row r="137" spans="8:74" x14ac:dyDescent="0.2">
      <c r="H137" s="555"/>
      <c r="I137" s="4"/>
      <c r="L137" s="4"/>
      <c r="M137" s="4"/>
      <c r="N137" s="4"/>
      <c r="O137" s="4"/>
      <c r="P137" s="4"/>
      <c r="Q137" s="4"/>
      <c r="R137" s="4"/>
      <c r="S137" s="4"/>
      <c r="W137" s="354"/>
      <c r="X137" s="354"/>
      <c r="Y137" s="354"/>
      <c r="Z137" s="354"/>
      <c r="AB137" s="354"/>
      <c r="AC137" s="354"/>
      <c r="AD137" s="354"/>
      <c r="AE137" s="354"/>
      <c r="AF137" s="549"/>
      <c r="AG137" s="354"/>
      <c r="AH137" s="354"/>
      <c r="AI137" s="354"/>
      <c r="AK137" s="354"/>
      <c r="AL137" s="354"/>
      <c r="AM137" s="354"/>
      <c r="AN137" s="354"/>
      <c r="AO137" s="354"/>
      <c r="AP137" s="354"/>
      <c r="AQ137" s="354"/>
      <c r="AR137" s="354"/>
      <c r="AT137" s="354"/>
      <c r="AU137" s="354"/>
      <c r="AV137" s="354"/>
      <c r="AW137" s="354"/>
      <c r="AX137" s="354"/>
      <c r="AY137" s="354"/>
      <c r="AZ137" s="354"/>
      <c r="BA137" s="354"/>
      <c r="BB137" s="354"/>
      <c r="BC137" s="354"/>
      <c r="BD137" s="354"/>
      <c r="BE137" s="354"/>
      <c r="BF137" s="354"/>
      <c r="BG137" s="354"/>
      <c r="BH137" s="354"/>
      <c r="BI137" s="354"/>
      <c r="BK137" s="550"/>
      <c r="BL137" s="559"/>
      <c r="BM137" s="559"/>
      <c r="BN137" s="9"/>
      <c r="BO137" s="48"/>
      <c r="BP137" s="354"/>
      <c r="BQ137" s="354"/>
      <c r="BR137" s="354"/>
      <c r="BS137" s="354"/>
      <c r="BT137" s="354"/>
      <c r="BU137" s="354"/>
      <c r="BV137" s="354"/>
    </row>
    <row r="138" spans="8:74" x14ac:dyDescent="0.2">
      <c r="H138" s="555"/>
      <c r="I138" s="4"/>
      <c r="L138" s="4"/>
      <c r="M138" s="4"/>
      <c r="N138" s="4"/>
      <c r="O138" s="4"/>
      <c r="P138" s="4"/>
      <c r="Q138" s="4"/>
      <c r="R138" s="4"/>
      <c r="S138" s="4"/>
      <c r="W138" s="354"/>
      <c r="X138" s="354"/>
      <c r="Y138" s="354"/>
      <c r="Z138" s="354"/>
      <c r="AB138" s="354"/>
      <c r="AC138" s="354"/>
      <c r="AD138" s="354"/>
      <c r="AE138" s="354"/>
      <c r="AF138" s="549"/>
      <c r="AG138" s="354"/>
      <c r="AH138" s="354"/>
      <c r="AI138" s="354"/>
      <c r="AK138" s="354"/>
      <c r="AL138" s="354"/>
      <c r="AM138" s="354"/>
      <c r="AN138" s="354"/>
      <c r="AO138" s="354"/>
      <c r="AP138" s="354"/>
      <c r="AQ138" s="354"/>
      <c r="AR138" s="354"/>
      <c r="AT138" s="354"/>
      <c r="AU138" s="354"/>
      <c r="AV138" s="354"/>
      <c r="AW138" s="354"/>
      <c r="AX138" s="354"/>
      <c r="AY138" s="354"/>
      <c r="AZ138" s="354"/>
      <c r="BA138" s="354"/>
      <c r="BB138" s="354"/>
      <c r="BC138" s="354"/>
      <c r="BD138" s="354"/>
      <c r="BE138" s="354"/>
      <c r="BF138" s="354"/>
      <c r="BG138" s="354"/>
      <c r="BH138" s="354"/>
      <c r="BI138" s="354"/>
      <c r="BK138" s="550"/>
      <c r="BL138" s="559"/>
      <c r="BM138" s="559"/>
      <c r="BN138" s="9"/>
      <c r="BO138" s="48"/>
      <c r="BP138" s="354"/>
      <c r="BQ138" s="354"/>
      <c r="BR138" s="354"/>
      <c r="BS138" s="354"/>
      <c r="BT138" s="354"/>
      <c r="BU138" s="354"/>
      <c r="BV138" s="354"/>
    </row>
    <row r="139" spans="8:74" x14ac:dyDescent="0.2">
      <c r="H139" s="555"/>
      <c r="I139" s="4"/>
      <c r="L139" s="4"/>
      <c r="M139" s="4"/>
      <c r="N139" s="4"/>
      <c r="O139" s="4"/>
      <c r="P139" s="4"/>
      <c r="Q139" s="4"/>
      <c r="R139" s="4"/>
      <c r="S139" s="4"/>
      <c r="W139" s="354"/>
      <c r="X139" s="354"/>
      <c r="Y139" s="354"/>
      <c r="Z139" s="354"/>
      <c r="AB139" s="354"/>
      <c r="AC139" s="354"/>
      <c r="AD139" s="354"/>
      <c r="AE139" s="354"/>
      <c r="AF139" s="549"/>
      <c r="AG139" s="354"/>
      <c r="AH139" s="354"/>
      <c r="AI139" s="354"/>
      <c r="AK139" s="354"/>
      <c r="AL139" s="354"/>
      <c r="AM139" s="354"/>
      <c r="AN139" s="354"/>
      <c r="AO139" s="354"/>
      <c r="AP139" s="354"/>
      <c r="AQ139" s="354"/>
      <c r="AR139" s="354"/>
      <c r="AT139" s="354"/>
      <c r="AU139" s="354"/>
      <c r="AV139" s="354"/>
      <c r="AW139" s="354"/>
      <c r="AX139" s="354"/>
      <c r="AY139" s="354"/>
      <c r="AZ139" s="354"/>
      <c r="BA139" s="354"/>
      <c r="BB139" s="354"/>
      <c r="BC139" s="354"/>
      <c r="BD139" s="354"/>
      <c r="BE139" s="354"/>
      <c r="BF139" s="354"/>
      <c r="BG139" s="354"/>
      <c r="BH139" s="354"/>
      <c r="BI139" s="354"/>
      <c r="BK139" s="550"/>
      <c r="BL139" s="559"/>
      <c r="BM139" s="559"/>
      <c r="BN139" s="9"/>
      <c r="BO139" s="48"/>
      <c r="BP139" s="354"/>
      <c r="BQ139" s="354"/>
      <c r="BR139" s="354"/>
      <c r="BS139" s="354"/>
      <c r="BT139" s="354"/>
      <c r="BU139" s="354"/>
      <c r="BV139" s="354"/>
    </row>
    <row r="140" spans="8:74" x14ac:dyDescent="0.2">
      <c r="H140" s="555"/>
      <c r="I140" s="4"/>
      <c r="L140" s="4"/>
      <c r="M140" s="4"/>
      <c r="N140" s="4"/>
      <c r="O140" s="4"/>
      <c r="P140" s="4"/>
      <c r="Q140" s="4"/>
      <c r="R140" s="4"/>
      <c r="S140" s="4"/>
      <c r="W140" s="354"/>
      <c r="X140" s="354"/>
      <c r="Y140" s="354"/>
      <c r="Z140" s="354"/>
      <c r="AB140" s="354"/>
      <c r="AC140" s="354"/>
      <c r="AD140" s="354"/>
      <c r="AE140" s="354"/>
      <c r="AF140" s="549"/>
      <c r="AG140" s="354"/>
      <c r="AH140" s="354"/>
      <c r="AI140" s="354"/>
      <c r="AK140" s="354"/>
      <c r="AL140" s="354"/>
      <c r="AM140" s="354"/>
      <c r="AN140" s="354"/>
      <c r="AO140" s="354"/>
      <c r="AP140" s="354"/>
      <c r="AQ140" s="354"/>
      <c r="AR140" s="354"/>
      <c r="AT140" s="354"/>
      <c r="AU140" s="354"/>
      <c r="AV140" s="354"/>
      <c r="AW140" s="354"/>
      <c r="AX140" s="354"/>
      <c r="AY140" s="354"/>
      <c r="AZ140" s="354"/>
      <c r="BA140" s="354"/>
      <c r="BB140" s="354"/>
      <c r="BC140" s="354"/>
      <c r="BD140" s="354"/>
      <c r="BE140" s="354"/>
      <c r="BF140" s="354"/>
      <c r="BG140" s="354"/>
      <c r="BH140" s="354"/>
      <c r="BI140" s="354"/>
      <c r="BK140" s="550"/>
      <c r="BL140" s="559"/>
      <c r="BM140" s="559"/>
      <c r="BN140" s="9"/>
      <c r="BO140" s="48"/>
      <c r="BP140" s="354"/>
      <c r="BQ140" s="354"/>
      <c r="BR140" s="354"/>
      <c r="BS140" s="354"/>
      <c r="BT140" s="354"/>
      <c r="BU140" s="354"/>
      <c r="BV140" s="354"/>
    </row>
    <row r="141" spans="8:74" x14ac:dyDescent="0.2">
      <c r="H141" s="555"/>
      <c r="I141" s="4"/>
      <c r="L141" s="4"/>
      <c r="M141" s="4"/>
      <c r="N141" s="4"/>
      <c r="O141" s="4"/>
      <c r="P141" s="4"/>
      <c r="Q141" s="4"/>
      <c r="R141" s="4"/>
      <c r="S141" s="4"/>
      <c r="W141" s="354"/>
      <c r="X141" s="354"/>
      <c r="Y141" s="354"/>
      <c r="Z141" s="354"/>
      <c r="AB141" s="354"/>
      <c r="AC141" s="354"/>
      <c r="AD141" s="354"/>
      <c r="AE141" s="354"/>
      <c r="AF141" s="549"/>
      <c r="AG141" s="354"/>
      <c r="AH141" s="354"/>
      <c r="AI141" s="354"/>
      <c r="AK141" s="354"/>
      <c r="AL141" s="354"/>
      <c r="AM141" s="354"/>
      <c r="AN141" s="354"/>
      <c r="AO141" s="354"/>
      <c r="AP141" s="354"/>
      <c r="AQ141" s="354"/>
      <c r="AR141" s="354"/>
      <c r="AT141" s="354"/>
      <c r="AU141" s="354"/>
      <c r="AV141" s="354"/>
      <c r="AW141" s="354"/>
      <c r="AX141" s="354"/>
      <c r="AY141" s="354"/>
      <c r="AZ141" s="354"/>
      <c r="BA141" s="354"/>
      <c r="BB141" s="354"/>
      <c r="BC141" s="354"/>
      <c r="BD141" s="354"/>
      <c r="BE141" s="354"/>
      <c r="BF141" s="354"/>
      <c r="BG141" s="354"/>
      <c r="BH141" s="354"/>
      <c r="BI141" s="354"/>
      <c r="BK141" s="550"/>
      <c r="BL141" s="559"/>
      <c r="BM141" s="559"/>
      <c r="BN141" s="9"/>
      <c r="BO141" s="48"/>
      <c r="BP141" s="354"/>
      <c r="BQ141" s="354"/>
      <c r="BR141" s="354"/>
      <c r="BS141" s="354"/>
      <c r="BT141" s="354"/>
      <c r="BU141" s="354"/>
      <c r="BV141" s="354"/>
    </row>
    <row r="142" spans="8:74" x14ac:dyDescent="0.2">
      <c r="H142" s="555"/>
      <c r="I142" s="4"/>
      <c r="L142" s="4"/>
      <c r="M142" s="4"/>
      <c r="N142" s="4"/>
      <c r="O142" s="4"/>
      <c r="P142" s="4"/>
      <c r="Q142" s="4"/>
      <c r="R142" s="4"/>
      <c r="S142" s="4"/>
      <c r="W142" s="354"/>
      <c r="X142" s="354"/>
      <c r="Y142" s="354"/>
      <c r="Z142" s="354"/>
      <c r="AB142" s="354"/>
      <c r="AC142" s="354"/>
      <c r="AD142" s="354"/>
      <c r="AE142" s="354"/>
      <c r="AF142" s="549"/>
      <c r="AG142" s="354"/>
      <c r="AH142" s="354"/>
      <c r="AI142" s="354"/>
      <c r="AK142" s="354"/>
      <c r="AL142" s="354"/>
      <c r="AM142" s="354"/>
      <c r="AN142" s="354"/>
      <c r="AO142" s="354"/>
      <c r="AP142" s="354"/>
      <c r="AQ142" s="354"/>
      <c r="AR142" s="354"/>
      <c r="AT142" s="354"/>
      <c r="AU142" s="354"/>
      <c r="AV142" s="354"/>
      <c r="AW142" s="354"/>
      <c r="AX142" s="354"/>
      <c r="AY142" s="354"/>
      <c r="AZ142" s="354"/>
      <c r="BA142" s="354"/>
      <c r="BB142" s="354"/>
      <c r="BC142" s="354"/>
      <c r="BD142" s="354"/>
      <c r="BE142" s="354"/>
      <c r="BF142" s="354"/>
      <c r="BG142" s="354"/>
      <c r="BH142" s="354"/>
      <c r="BI142" s="354"/>
      <c r="BK142" s="550"/>
      <c r="BL142" s="559"/>
      <c r="BM142" s="559"/>
      <c r="BN142" s="9"/>
      <c r="BO142" s="48"/>
      <c r="BP142" s="354"/>
      <c r="BQ142" s="354"/>
      <c r="BR142" s="354"/>
      <c r="BS142" s="354"/>
      <c r="BT142" s="354"/>
      <c r="BU142" s="354"/>
      <c r="BV142" s="354"/>
    </row>
    <row r="143" spans="8:74" x14ac:dyDescent="0.2">
      <c r="H143" s="555"/>
      <c r="I143" s="4"/>
      <c r="L143" s="4"/>
      <c r="M143" s="4"/>
      <c r="N143" s="4"/>
      <c r="O143" s="4"/>
      <c r="P143" s="4"/>
      <c r="Q143" s="4"/>
      <c r="R143" s="4"/>
      <c r="S143" s="4"/>
      <c r="W143" s="354"/>
      <c r="X143" s="354"/>
      <c r="Y143" s="354"/>
      <c r="Z143" s="354"/>
      <c r="AB143" s="354"/>
      <c r="AC143" s="354"/>
      <c r="AD143" s="354"/>
      <c r="AE143" s="354"/>
      <c r="AF143" s="549"/>
      <c r="AG143" s="354"/>
      <c r="AH143" s="354"/>
      <c r="AI143" s="354"/>
      <c r="AK143" s="354"/>
      <c r="AL143" s="354"/>
      <c r="AM143" s="354"/>
      <c r="AN143" s="354"/>
      <c r="AO143" s="354"/>
      <c r="AP143" s="354"/>
      <c r="AQ143" s="354"/>
      <c r="AR143" s="354"/>
      <c r="AT143" s="354"/>
      <c r="AU143" s="354"/>
      <c r="AV143" s="354"/>
      <c r="AW143" s="354"/>
      <c r="AX143" s="354"/>
      <c r="AY143" s="354"/>
      <c r="AZ143" s="354"/>
      <c r="BA143" s="354"/>
      <c r="BB143" s="354"/>
      <c r="BC143" s="354"/>
      <c r="BD143" s="354"/>
      <c r="BE143" s="354"/>
      <c r="BF143" s="354"/>
      <c r="BG143" s="354"/>
      <c r="BH143" s="354"/>
      <c r="BI143" s="354"/>
      <c r="BK143" s="550"/>
      <c r="BL143" s="559"/>
      <c r="BM143" s="559"/>
      <c r="BN143" s="9"/>
      <c r="BO143" s="48"/>
      <c r="BP143" s="354"/>
      <c r="BQ143" s="354"/>
      <c r="BR143" s="354"/>
      <c r="BS143" s="354"/>
      <c r="BT143" s="354"/>
      <c r="BU143" s="354"/>
      <c r="BV143" s="354"/>
    </row>
    <row r="144" spans="8:74" x14ac:dyDescent="0.2">
      <c r="H144" s="555"/>
      <c r="I144" s="4"/>
      <c r="L144" s="4"/>
      <c r="M144" s="4"/>
      <c r="N144" s="4"/>
      <c r="O144" s="4"/>
      <c r="P144" s="4"/>
      <c r="Q144" s="4"/>
      <c r="R144" s="4"/>
      <c r="S144" s="4"/>
      <c r="W144" s="354"/>
      <c r="X144" s="354"/>
      <c r="Y144" s="354"/>
      <c r="Z144" s="354"/>
      <c r="AB144" s="354"/>
      <c r="AC144" s="354"/>
      <c r="AD144" s="354"/>
      <c r="AE144" s="354"/>
      <c r="AF144" s="549"/>
      <c r="AG144" s="354"/>
      <c r="AH144" s="354"/>
      <c r="AI144" s="354"/>
      <c r="AK144" s="354"/>
      <c r="AL144" s="354"/>
      <c r="AM144" s="354"/>
      <c r="AN144" s="354"/>
      <c r="AO144" s="354"/>
      <c r="AP144" s="354"/>
      <c r="AQ144" s="354"/>
      <c r="AR144" s="354"/>
      <c r="AT144" s="354"/>
      <c r="AU144" s="354"/>
      <c r="AV144" s="354"/>
      <c r="AW144" s="354"/>
      <c r="AX144" s="354"/>
      <c r="AY144" s="354"/>
      <c r="AZ144" s="354"/>
      <c r="BA144" s="354"/>
      <c r="BB144" s="354"/>
      <c r="BC144" s="354"/>
      <c r="BD144" s="354"/>
      <c r="BE144" s="354"/>
      <c r="BF144" s="354"/>
      <c r="BG144" s="354"/>
      <c r="BH144" s="354"/>
      <c r="BI144" s="354"/>
      <c r="BK144" s="550"/>
      <c r="BL144" s="559"/>
      <c r="BM144" s="559"/>
      <c r="BN144" s="9"/>
      <c r="BO144" s="48"/>
      <c r="BP144" s="354"/>
      <c r="BQ144" s="354"/>
      <c r="BR144" s="354"/>
      <c r="BS144" s="354"/>
      <c r="BT144" s="354"/>
      <c r="BU144" s="354"/>
      <c r="BV144" s="354"/>
    </row>
    <row r="145" spans="8:74" x14ac:dyDescent="0.2">
      <c r="H145" s="555"/>
      <c r="I145" s="4"/>
      <c r="L145" s="4"/>
      <c r="M145" s="4"/>
      <c r="N145" s="4"/>
      <c r="O145" s="4"/>
      <c r="P145" s="4"/>
      <c r="Q145" s="4"/>
      <c r="R145" s="4"/>
      <c r="S145" s="4"/>
      <c r="W145" s="354"/>
      <c r="X145" s="354"/>
      <c r="Y145" s="354"/>
      <c r="Z145" s="354"/>
      <c r="AB145" s="354"/>
      <c r="AC145" s="354"/>
      <c r="AD145" s="354"/>
      <c r="AE145" s="354"/>
      <c r="AF145" s="549"/>
      <c r="AG145" s="354"/>
      <c r="AH145" s="354"/>
      <c r="AI145" s="354"/>
      <c r="AK145" s="354"/>
      <c r="AL145" s="354"/>
      <c r="AM145" s="354"/>
      <c r="AN145" s="354"/>
      <c r="AO145" s="354"/>
      <c r="AP145" s="354"/>
      <c r="AQ145" s="354"/>
      <c r="AR145" s="354"/>
      <c r="AT145" s="354"/>
      <c r="AU145" s="354"/>
      <c r="AV145" s="354"/>
      <c r="AW145" s="354"/>
      <c r="AX145" s="354"/>
      <c r="AY145" s="354"/>
      <c r="AZ145" s="354"/>
      <c r="BA145" s="354"/>
      <c r="BB145" s="354"/>
      <c r="BC145" s="354"/>
      <c r="BD145" s="354"/>
      <c r="BE145" s="354"/>
      <c r="BF145" s="354"/>
      <c r="BG145" s="354"/>
      <c r="BH145" s="354"/>
      <c r="BI145" s="354"/>
      <c r="BK145" s="550"/>
      <c r="BL145" s="559"/>
      <c r="BM145" s="559"/>
      <c r="BN145" s="9"/>
      <c r="BO145" s="48"/>
      <c r="BP145" s="354"/>
      <c r="BQ145" s="354"/>
      <c r="BR145" s="354"/>
      <c r="BS145" s="354"/>
      <c r="BT145" s="354"/>
      <c r="BU145" s="354"/>
      <c r="BV145" s="354"/>
    </row>
    <row r="146" spans="8:74" x14ac:dyDescent="0.2">
      <c r="H146" s="555"/>
      <c r="I146" s="4"/>
      <c r="L146" s="4"/>
      <c r="M146" s="4"/>
      <c r="N146" s="4"/>
      <c r="O146" s="4"/>
      <c r="P146" s="4"/>
      <c r="Q146" s="4"/>
      <c r="R146" s="4"/>
      <c r="S146" s="4"/>
      <c r="W146" s="354"/>
      <c r="X146" s="354"/>
      <c r="Y146" s="354"/>
      <c r="Z146" s="354"/>
      <c r="AB146" s="354"/>
      <c r="AC146" s="354"/>
      <c r="AD146" s="354"/>
      <c r="AE146" s="354"/>
      <c r="AF146" s="549"/>
      <c r="AG146" s="354"/>
      <c r="AH146" s="354"/>
      <c r="AI146" s="354"/>
      <c r="AK146" s="354"/>
      <c r="AL146" s="354"/>
      <c r="AM146" s="354"/>
      <c r="AN146" s="354"/>
      <c r="AO146" s="354"/>
      <c r="AP146" s="354"/>
      <c r="AQ146" s="354"/>
      <c r="AR146" s="354"/>
      <c r="AT146" s="354"/>
      <c r="AU146" s="354"/>
      <c r="AV146" s="354"/>
      <c r="AW146" s="354"/>
      <c r="AX146" s="354"/>
      <c r="AY146" s="354"/>
      <c r="AZ146" s="354"/>
      <c r="BA146" s="354"/>
      <c r="BB146" s="354"/>
      <c r="BC146" s="354"/>
      <c r="BD146" s="354"/>
      <c r="BE146" s="354"/>
      <c r="BF146" s="354"/>
      <c r="BG146" s="354"/>
      <c r="BH146" s="354"/>
      <c r="BI146" s="354"/>
      <c r="BK146" s="550"/>
      <c r="BL146" s="559"/>
      <c r="BM146" s="559"/>
      <c r="BN146" s="9"/>
      <c r="BO146" s="48"/>
      <c r="BP146" s="354"/>
      <c r="BQ146" s="354"/>
      <c r="BR146" s="354"/>
      <c r="BS146" s="354"/>
      <c r="BT146" s="354"/>
      <c r="BU146" s="354"/>
      <c r="BV146" s="354"/>
    </row>
    <row r="147" spans="8:74" x14ac:dyDescent="0.2">
      <c r="H147" s="555"/>
      <c r="I147" s="4"/>
      <c r="L147" s="4"/>
      <c r="M147" s="4"/>
      <c r="N147" s="4"/>
      <c r="O147" s="4"/>
      <c r="P147" s="4"/>
      <c r="Q147" s="4"/>
      <c r="R147" s="4"/>
      <c r="S147" s="4"/>
      <c r="W147" s="354"/>
      <c r="X147" s="354"/>
      <c r="Y147" s="354"/>
      <c r="Z147" s="354"/>
      <c r="AB147" s="354"/>
      <c r="AC147" s="354"/>
      <c r="AD147" s="354"/>
      <c r="AE147" s="354"/>
      <c r="AF147" s="549"/>
      <c r="AG147" s="354"/>
      <c r="AH147" s="354"/>
      <c r="AI147" s="354"/>
      <c r="AK147" s="354"/>
      <c r="AL147" s="354"/>
      <c r="AM147" s="354"/>
      <c r="AN147" s="354"/>
      <c r="AO147" s="354"/>
      <c r="AP147" s="354"/>
      <c r="AQ147" s="354"/>
      <c r="AR147" s="354"/>
      <c r="AT147" s="354"/>
      <c r="AU147" s="354"/>
      <c r="AV147" s="354"/>
      <c r="AW147" s="354"/>
      <c r="AX147" s="354"/>
      <c r="AY147" s="354"/>
      <c r="AZ147" s="354"/>
      <c r="BA147" s="354"/>
      <c r="BB147" s="354"/>
      <c r="BC147" s="354"/>
      <c r="BD147" s="354"/>
      <c r="BE147" s="354"/>
      <c r="BF147" s="354"/>
      <c r="BG147" s="354"/>
      <c r="BH147" s="354"/>
      <c r="BI147" s="354"/>
      <c r="BK147" s="550"/>
      <c r="BL147" s="559"/>
      <c r="BM147" s="559"/>
      <c r="BN147" s="9"/>
      <c r="BO147" s="48"/>
      <c r="BP147" s="354"/>
      <c r="BQ147" s="354"/>
      <c r="BR147" s="354"/>
      <c r="BS147" s="354"/>
      <c r="BT147" s="354"/>
      <c r="BU147" s="354"/>
      <c r="BV147" s="354"/>
    </row>
    <row r="148" spans="8:74" x14ac:dyDescent="0.2">
      <c r="H148" s="555"/>
      <c r="I148" s="4"/>
      <c r="L148" s="4"/>
      <c r="M148" s="4"/>
      <c r="N148" s="4"/>
      <c r="O148" s="4"/>
      <c r="P148" s="4"/>
      <c r="Q148" s="4"/>
      <c r="R148" s="4"/>
      <c r="S148" s="4"/>
      <c r="W148" s="354"/>
      <c r="X148" s="354"/>
      <c r="Y148" s="354"/>
      <c r="Z148" s="354"/>
      <c r="AB148" s="354"/>
      <c r="AC148" s="354"/>
      <c r="AD148" s="354"/>
      <c r="AE148" s="354"/>
      <c r="AF148" s="549"/>
      <c r="AG148" s="354"/>
      <c r="AH148" s="354"/>
      <c r="AI148" s="354"/>
      <c r="AK148" s="354"/>
      <c r="AL148" s="354"/>
      <c r="AM148" s="354"/>
      <c r="AN148" s="354"/>
      <c r="AO148" s="354"/>
      <c r="AP148" s="354"/>
      <c r="AQ148" s="354"/>
      <c r="AR148" s="354"/>
      <c r="AT148" s="354"/>
      <c r="AU148" s="354"/>
      <c r="AV148" s="354"/>
      <c r="AW148" s="354"/>
      <c r="AX148" s="354"/>
      <c r="AY148" s="354"/>
      <c r="AZ148" s="354"/>
      <c r="BA148" s="354"/>
      <c r="BB148" s="354"/>
      <c r="BC148" s="354"/>
      <c r="BD148" s="354"/>
      <c r="BE148" s="354"/>
      <c r="BF148" s="354"/>
      <c r="BG148" s="354"/>
      <c r="BH148" s="354"/>
      <c r="BI148" s="354"/>
      <c r="BK148" s="550"/>
      <c r="BL148" s="559"/>
      <c r="BM148" s="559"/>
      <c r="BN148" s="9"/>
      <c r="BO148" s="48"/>
      <c r="BP148" s="354"/>
      <c r="BQ148" s="354"/>
      <c r="BR148" s="354"/>
      <c r="BS148" s="354"/>
      <c r="BT148" s="354"/>
      <c r="BU148" s="354"/>
      <c r="BV148" s="354"/>
    </row>
    <row r="149" spans="8:74" x14ac:dyDescent="0.2">
      <c r="H149" s="555"/>
      <c r="I149" s="4"/>
      <c r="L149" s="4"/>
      <c r="M149" s="4"/>
      <c r="N149" s="4"/>
      <c r="O149" s="4"/>
      <c r="P149" s="4"/>
      <c r="Q149" s="4"/>
      <c r="R149" s="4"/>
      <c r="S149" s="4"/>
      <c r="W149" s="354"/>
      <c r="X149" s="354"/>
      <c r="Y149" s="354"/>
      <c r="Z149" s="354"/>
      <c r="AB149" s="354"/>
      <c r="AC149" s="354"/>
      <c r="AD149" s="354"/>
      <c r="AE149" s="354"/>
      <c r="AF149" s="549"/>
      <c r="AG149" s="354"/>
      <c r="AH149" s="354"/>
      <c r="AI149" s="354"/>
      <c r="AK149" s="354"/>
      <c r="AL149" s="354"/>
      <c r="AM149" s="354"/>
      <c r="AN149" s="354"/>
      <c r="AO149" s="354"/>
      <c r="AP149" s="354"/>
      <c r="AQ149" s="354"/>
      <c r="AR149" s="354"/>
      <c r="AT149" s="354"/>
      <c r="AU149" s="354"/>
      <c r="AV149" s="354"/>
      <c r="AW149" s="354"/>
      <c r="AX149" s="354"/>
      <c r="AY149" s="354"/>
      <c r="AZ149" s="354"/>
      <c r="BA149" s="354"/>
      <c r="BB149" s="354"/>
      <c r="BC149" s="354"/>
      <c r="BD149" s="354"/>
      <c r="BE149" s="354"/>
      <c r="BF149" s="354"/>
      <c r="BG149" s="354"/>
      <c r="BH149" s="354"/>
      <c r="BI149" s="354"/>
      <c r="BK149" s="550"/>
      <c r="BL149" s="559"/>
      <c r="BM149" s="559"/>
      <c r="BN149" s="9"/>
      <c r="BO149" s="48"/>
      <c r="BP149" s="354"/>
      <c r="BQ149" s="354"/>
      <c r="BR149" s="354"/>
      <c r="BS149" s="354"/>
      <c r="BT149" s="354"/>
      <c r="BU149" s="354"/>
      <c r="BV149" s="354"/>
    </row>
    <row r="150" spans="8:74" x14ac:dyDescent="0.2">
      <c r="H150" s="555"/>
      <c r="I150" s="4"/>
      <c r="L150" s="4"/>
      <c r="M150" s="4"/>
      <c r="N150" s="4"/>
      <c r="O150" s="4"/>
      <c r="P150" s="4"/>
      <c r="Q150" s="4"/>
      <c r="R150" s="4"/>
      <c r="S150" s="4"/>
      <c r="W150" s="354"/>
      <c r="X150" s="354"/>
      <c r="Y150" s="354"/>
      <c r="Z150" s="354"/>
      <c r="AB150" s="354"/>
      <c r="AC150" s="354"/>
      <c r="AD150" s="354"/>
      <c r="AE150" s="354"/>
      <c r="AF150" s="549"/>
      <c r="AG150" s="354"/>
      <c r="AH150" s="354"/>
      <c r="AI150" s="354"/>
      <c r="AK150" s="354"/>
      <c r="AL150" s="354"/>
      <c r="AM150" s="354"/>
      <c r="AN150" s="354"/>
      <c r="AO150" s="354"/>
      <c r="AP150" s="354"/>
      <c r="AQ150" s="354"/>
      <c r="AR150" s="354"/>
      <c r="AT150" s="354"/>
      <c r="AU150" s="354"/>
      <c r="AV150" s="354"/>
      <c r="AW150" s="354"/>
      <c r="AX150" s="354"/>
      <c r="AY150" s="354"/>
      <c r="AZ150" s="354"/>
      <c r="BA150" s="354"/>
      <c r="BB150" s="354"/>
      <c r="BC150" s="354"/>
      <c r="BD150" s="354"/>
      <c r="BE150" s="354"/>
      <c r="BF150" s="354"/>
      <c r="BG150" s="354"/>
      <c r="BH150" s="354"/>
      <c r="BI150" s="354"/>
      <c r="BK150" s="550"/>
      <c r="BL150" s="559"/>
      <c r="BM150" s="559"/>
      <c r="BN150" s="9"/>
      <c r="BO150" s="48"/>
      <c r="BP150" s="354"/>
      <c r="BQ150" s="354"/>
      <c r="BR150" s="354"/>
      <c r="BS150" s="354"/>
      <c r="BT150" s="354"/>
      <c r="BU150" s="354"/>
      <c r="BV150" s="354"/>
    </row>
    <row r="151" spans="8:74" x14ac:dyDescent="0.2">
      <c r="H151" s="555"/>
      <c r="I151" s="4"/>
      <c r="L151" s="4"/>
      <c r="M151" s="4"/>
      <c r="N151" s="4"/>
      <c r="O151" s="4"/>
      <c r="P151" s="4"/>
      <c r="Q151" s="4"/>
      <c r="R151" s="4"/>
      <c r="S151" s="4"/>
      <c r="W151" s="354"/>
      <c r="X151" s="354"/>
      <c r="Y151" s="354"/>
      <c r="Z151" s="354"/>
      <c r="AB151" s="354"/>
      <c r="AC151" s="354"/>
      <c r="AD151" s="354"/>
      <c r="AE151" s="354"/>
      <c r="AF151" s="549"/>
      <c r="AG151" s="354"/>
      <c r="AH151" s="354"/>
      <c r="AI151" s="354"/>
      <c r="AK151" s="354"/>
      <c r="AL151" s="354"/>
      <c r="AM151" s="354"/>
      <c r="AN151" s="354"/>
      <c r="AO151" s="354"/>
      <c r="AP151" s="354"/>
      <c r="AQ151" s="354"/>
      <c r="AR151" s="354"/>
      <c r="AT151" s="354"/>
      <c r="AU151" s="354"/>
      <c r="AV151" s="354"/>
      <c r="AW151" s="354"/>
      <c r="AX151" s="354"/>
      <c r="AY151" s="354"/>
      <c r="AZ151" s="354"/>
      <c r="BA151" s="354"/>
      <c r="BB151" s="354"/>
      <c r="BC151" s="354"/>
      <c r="BD151" s="354"/>
      <c r="BE151" s="354"/>
      <c r="BF151" s="354"/>
      <c r="BG151" s="354"/>
      <c r="BH151" s="354"/>
      <c r="BI151" s="354"/>
      <c r="BK151" s="550"/>
      <c r="BL151" s="559"/>
      <c r="BM151" s="559"/>
      <c r="BN151" s="9"/>
      <c r="BO151" s="48"/>
      <c r="BP151" s="354"/>
      <c r="BQ151" s="354"/>
      <c r="BR151" s="354"/>
      <c r="BS151" s="354"/>
      <c r="BT151" s="354"/>
      <c r="BU151" s="354"/>
      <c r="BV151" s="354"/>
    </row>
    <row r="152" spans="8:74" x14ac:dyDescent="0.2">
      <c r="H152" s="555"/>
      <c r="I152" s="4"/>
      <c r="L152" s="4"/>
      <c r="M152" s="4"/>
      <c r="N152" s="4"/>
      <c r="O152" s="4"/>
      <c r="P152" s="4"/>
      <c r="Q152" s="4"/>
      <c r="R152" s="4"/>
      <c r="S152" s="4"/>
      <c r="W152" s="354"/>
      <c r="X152" s="354"/>
      <c r="Y152" s="354"/>
      <c r="Z152" s="354"/>
      <c r="AB152" s="354"/>
      <c r="AC152" s="354"/>
      <c r="AD152" s="354"/>
      <c r="AE152" s="354"/>
      <c r="AF152" s="549"/>
      <c r="AG152" s="354"/>
      <c r="AH152" s="354"/>
      <c r="AI152" s="354"/>
      <c r="AK152" s="354"/>
      <c r="AL152" s="354"/>
      <c r="AM152" s="354"/>
      <c r="AN152" s="354"/>
      <c r="AO152" s="354"/>
      <c r="AP152" s="354"/>
      <c r="AQ152" s="354"/>
      <c r="AR152" s="354"/>
      <c r="AT152" s="354"/>
      <c r="AU152" s="354"/>
      <c r="AV152" s="354"/>
      <c r="AW152" s="354"/>
      <c r="AX152" s="354"/>
      <c r="AY152" s="354"/>
      <c r="AZ152" s="354"/>
      <c r="BA152" s="354"/>
      <c r="BB152" s="354"/>
      <c r="BC152" s="354"/>
      <c r="BD152" s="354"/>
      <c r="BE152" s="354"/>
      <c r="BF152" s="354"/>
      <c r="BG152" s="354"/>
      <c r="BH152" s="354"/>
      <c r="BI152" s="354"/>
      <c r="BK152" s="550"/>
      <c r="BL152" s="559"/>
      <c r="BM152" s="559"/>
      <c r="BN152" s="9"/>
      <c r="BO152" s="48"/>
      <c r="BP152" s="354"/>
      <c r="BQ152" s="354"/>
      <c r="BR152" s="354"/>
      <c r="BS152" s="354"/>
      <c r="BT152" s="354"/>
      <c r="BU152" s="354"/>
      <c r="BV152" s="354"/>
    </row>
    <row r="153" spans="8:74" x14ac:dyDescent="0.2">
      <c r="H153" s="555"/>
      <c r="I153" s="4"/>
      <c r="L153" s="4"/>
      <c r="M153" s="4"/>
      <c r="N153" s="4"/>
      <c r="O153" s="4"/>
      <c r="P153" s="4"/>
      <c r="Q153" s="4"/>
      <c r="R153" s="4"/>
      <c r="S153" s="4"/>
      <c r="W153" s="354"/>
      <c r="X153" s="354"/>
      <c r="Y153" s="354"/>
      <c r="Z153" s="354"/>
      <c r="AB153" s="354"/>
      <c r="AC153" s="354"/>
      <c r="AD153" s="354"/>
      <c r="AE153" s="354"/>
      <c r="AF153" s="549"/>
      <c r="AG153" s="354"/>
      <c r="AH153" s="354"/>
      <c r="AI153" s="354"/>
      <c r="AK153" s="354"/>
      <c r="AL153" s="354"/>
      <c r="AM153" s="354"/>
      <c r="AN153" s="354"/>
      <c r="AO153" s="354"/>
      <c r="AP153" s="354"/>
      <c r="AQ153" s="354"/>
      <c r="AR153" s="354"/>
      <c r="AT153" s="354"/>
      <c r="AU153" s="354"/>
      <c r="AV153" s="354"/>
      <c r="AW153" s="354"/>
      <c r="AX153" s="354"/>
      <c r="AY153" s="354"/>
      <c r="AZ153" s="354"/>
      <c r="BA153" s="354"/>
      <c r="BB153" s="354"/>
      <c r="BC153" s="354"/>
      <c r="BD153" s="354"/>
      <c r="BE153" s="354"/>
      <c r="BF153" s="354"/>
      <c r="BG153" s="354"/>
      <c r="BH153" s="354"/>
      <c r="BI153" s="354"/>
      <c r="BK153" s="550"/>
      <c r="BL153" s="559"/>
      <c r="BM153" s="559"/>
      <c r="BN153" s="9"/>
      <c r="BO153" s="48"/>
      <c r="BP153" s="354"/>
      <c r="BQ153" s="354"/>
      <c r="BR153" s="354"/>
      <c r="BS153" s="354"/>
      <c r="BT153" s="354"/>
      <c r="BU153" s="354"/>
      <c r="BV153" s="354"/>
    </row>
    <row r="154" spans="8:74" x14ac:dyDescent="0.2">
      <c r="H154" s="555"/>
      <c r="I154" s="4"/>
      <c r="L154" s="4"/>
      <c r="M154" s="4"/>
      <c r="N154" s="4"/>
      <c r="O154" s="4"/>
      <c r="P154" s="4"/>
      <c r="Q154" s="4"/>
      <c r="R154" s="4"/>
      <c r="S154" s="4"/>
      <c r="W154" s="354"/>
      <c r="X154" s="354"/>
      <c r="Y154" s="354"/>
      <c r="Z154" s="354"/>
      <c r="AB154" s="354"/>
      <c r="AC154" s="354"/>
      <c r="AD154" s="354"/>
      <c r="AE154" s="354"/>
      <c r="AF154" s="549"/>
      <c r="AG154" s="354"/>
      <c r="AH154" s="354"/>
      <c r="AI154" s="354"/>
      <c r="AK154" s="354"/>
      <c r="AL154" s="354"/>
      <c r="AM154" s="354"/>
      <c r="AN154" s="354"/>
      <c r="AO154" s="354"/>
      <c r="AP154" s="354"/>
      <c r="AQ154" s="354"/>
      <c r="AR154" s="354"/>
      <c r="AT154" s="354"/>
      <c r="AU154" s="354"/>
      <c r="AV154" s="354"/>
      <c r="AW154" s="354"/>
      <c r="AX154" s="354"/>
      <c r="AY154" s="354"/>
      <c r="AZ154" s="354"/>
      <c r="BA154" s="354"/>
      <c r="BB154" s="354"/>
      <c r="BC154" s="354"/>
      <c r="BD154" s="354"/>
      <c r="BE154" s="354"/>
      <c r="BF154" s="354"/>
      <c r="BG154" s="354"/>
      <c r="BH154" s="354"/>
      <c r="BI154" s="354"/>
      <c r="BK154" s="550"/>
      <c r="BL154" s="559"/>
      <c r="BM154" s="559"/>
      <c r="BN154" s="9"/>
      <c r="BO154" s="48"/>
      <c r="BP154" s="354"/>
      <c r="BQ154" s="354"/>
      <c r="BR154" s="354"/>
      <c r="BS154" s="354"/>
      <c r="BT154" s="354"/>
      <c r="BU154" s="354"/>
      <c r="BV154" s="354"/>
    </row>
    <row r="155" spans="8:74" x14ac:dyDescent="0.2">
      <c r="H155" s="555"/>
      <c r="I155" s="4"/>
      <c r="L155" s="4"/>
      <c r="M155" s="4"/>
      <c r="N155" s="4"/>
      <c r="O155" s="4"/>
      <c r="P155" s="4"/>
      <c r="Q155" s="4"/>
      <c r="R155" s="4"/>
      <c r="S155" s="4"/>
      <c r="W155" s="354"/>
      <c r="X155" s="354"/>
      <c r="Y155" s="354"/>
      <c r="Z155" s="354"/>
      <c r="AB155" s="354"/>
      <c r="AC155" s="354"/>
      <c r="AD155" s="354"/>
      <c r="AE155" s="354"/>
      <c r="AF155" s="549"/>
      <c r="AG155" s="354"/>
      <c r="AH155" s="354"/>
      <c r="AI155" s="354"/>
      <c r="AK155" s="354"/>
      <c r="AL155" s="354"/>
      <c r="AM155" s="354"/>
      <c r="AN155" s="354"/>
      <c r="AO155" s="354"/>
      <c r="AP155" s="354"/>
      <c r="AQ155" s="354"/>
      <c r="AR155" s="354"/>
      <c r="AT155" s="354"/>
      <c r="AU155" s="354"/>
      <c r="AV155" s="354"/>
      <c r="AW155" s="354"/>
      <c r="AX155" s="354"/>
      <c r="AY155" s="354"/>
      <c r="AZ155" s="354"/>
      <c r="BA155" s="354"/>
      <c r="BB155" s="354"/>
      <c r="BC155" s="354"/>
      <c r="BD155" s="354"/>
      <c r="BE155" s="354"/>
      <c r="BF155" s="354"/>
      <c r="BG155" s="354"/>
      <c r="BH155" s="354"/>
      <c r="BI155" s="354"/>
      <c r="BK155" s="550"/>
      <c r="BL155" s="559"/>
      <c r="BM155" s="559"/>
      <c r="BN155" s="9"/>
      <c r="BO155" s="48"/>
      <c r="BP155" s="354"/>
      <c r="BQ155" s="354"/>
      <c r="BR155" s="354"/>
      <c r="BS155" s="354"/>
      <c r="BT155" s="354"/>
      <c r="BU155" s="354"/>
      <c r="BV155" s="354"/>
    </row>
    <row r="156" spans="8:74" x14ac:dyDescent="0.2">
      <c r="H156" s="555"/>
      <c r="I156" s="4"/>
      <c r="L156" s="4"/>
      <c r="M156" s="4"/>
      <c r="N156" s="4"/>
      <c r="O156" s="4"/>
      <c r="P156" s="4"/>
      <c r="Q156" s="4"/>
      <c r="R156" s="4"/>
      <c r="S156" s="4"/>
      <c r="W156" s="354"/>
      <c r="X156" s="354"/>
      <c r="Y156" s="354"/>
      <c r="Z156" s="354"/>
      <c r="AB156" s="354"/>
      <c r="AC156" s="354"/>
      <c r="AD156" s="354"/>
      <c r="AE156" s="354"/>
      <c r="AF156" s="549"/>
      <c r="AG156" s="354"/>
      <c r="AH156" s="354"/>
      <c r="AI156" s="354"/>
      <c r="AK156" s="354"/>
      <c r="AL156" s="354"/>
      <c r="AM156" s="354"/>
      <c r="AN156" s="354"/>
      <c r="AO156" s="354"/>
      <c r="AP156" s="354"/>
      <c r="AQ156" s="354"/>
      <c r="AR156" s="354"/>
      <c r="AT156" s="354"/>
      <c r="AU156" s="354"/>
      <c r="AV156" s="354"/>
      <c r="AW156" s="354"/>
      <c r="AX156" s="354"/>
      <c r="AY156" s="354"/>
      <c r="AZ156" s="354"/>
      <c r="BA156" s="354"/>
      <c r="BB156" s="354"/>
      <c r="BC156" s="354"/>
      <c r="BD156" s="354"/>
      <c r="BE156" s="354"/>
      <c r="BF156" s="354"/>
      <c r="BG156" s="354"/>
      <c r="BH156" s="354"/>
      <c r="BI156" s="354"/>
      <c r="BK156" s="550"/>
      <c r="BL156" s="559"/>
      <c r="BM156" s="559"/>
      <c r="BN156" s="9"/>
      <c r="BO156" s="48"/>
      <c r="BP156" s="354"/>
      <c r="BQ156" s="354"/>
      <c r="BR156" s="354"/>
      <c r="BS156" s="354"/>
      <c r="BT156" s="354"/>
      <c r="BU156" s="354"/>
      <c r="BV156" s="354"/>
    </row>
    <row r="157" spans="8:74" x14ac:dyDescent="0.2">
      <c r="H157" s="555"/>
      <c r="I157" s="4"/>
      <c r="L157" s="4"/>
      <c r="M157" s="4"/>
      <c r="N157" s="4"/>
      <c r="O157" s="4"/>
      <c r="P157" s="4"/>
      <c r="Q157" s="4"/>
      <c r="R157" s="4"/>
      <c r="S157" s="4"/>
      <c r="W157" s="354"/>
      <c r="X157" s="354"/>
      <c r="Y157" s="354"/>
      <c r="Z157" s="354"/>
      <c r="AB157" s="354"/>
      <c r="AC157" s="354"/>
      <c r="AD157" s="354"/>
      <c r="AE157" s="354"/>
      <c r="AF157" s="549"/>
      <c r="AG157" s="354"/>
      <c r="AH157" s="354"/>
      <c r="AI157" s="354"/>
      <c r="AK157" s="354"/>
      <c r="AL157" s="354"/>
      <c r="AM157" s="354"/>
      <c r="AN157" s="354"/>
      <c r="AO157" s="354"/>
      <c r="AP157" s="354"/>
      <c r="AQ157" s="354"/>
      <c r="AR157" s="354"/>
      <c r="AT157" s="354"/>
      <c r="AU157" s="354"/>
      <c r="AV157" s="354"/>
      <c r="AW157" s="354"/>
      <c r="AX157" s="354"/>
      <c r="AY157" s="354"/>
      <c r="AZ157" s="354"/>
      <c r="BA157" s="354"/>
      <c r="BB157" s="354"/>
      <c r="BC157" s="354"/>
      <c r="BD157" s="354"/>
      <c r="BE157" s="354"/>
      <c r="BF157" s="354"/>
      <c r="BG157" s="354"/>
      <c r="BH157" s="354"/>
      <c r="BI157" s="354"/>
      <c r="BK157" s="550"/>
      <c r="BL157" s="559"/>
      <c r="BM157" s="559"/>
      <c r="BN157" s="9"/>
      <c r="BO157" s="48"/>
      <c r="BP157" s="354"/>
      <c r="BQ157" s="354"/>
      <c r="BR157" s="354"/>
      <c r="BS157" s="354"/>
      <c r="BT157" s="354"/>
      <c r="BU157" s="354"/>
      <c r="BV157" s="354"/>
    </row>
    <row r="158" spans="8:74" x14ac:dyDescent="0.2">
      <c r="H158" s="555"/>
      <c r="I158" s="4"/>
      <c r="L158" s="4"/>
      <c r="M158" s="4"/>
      <c r="N158" s="4"/>
      <c r="O158" s="4"/>
      <c r="P158" s="4"/>
      <c r="Q158" s="4"/>
      <c r="R158" s="4"/>
      <c r="S158" s="4"/>
      <c r="W158" s="354"/>
      <c r="X158" s="354"/>
      <c r="Y158" s="354"/>
      <c r="Z158" s="354"/>
      <c r="AB158" s="354"/>
      <c r="AC158" s="354"/>
      <c r="AD158" s="354"/>
      <c r="AE158" s="354"/>
      <c r="AF158" s="549"/>
      <c r="AG158" s="354"/>
      <c r="AH158" s="354"/>
      <c r="AI158" s="354"/>
      <c r="AK158" s="354"/>
      <c r="AL158" s="354"/>
      <c r="AM158" s="354"/>
      <c r="AN158" s="354"/>
      <c r="AO158" s="354"/>
      <c r="AP158" s="354"/>
      <c r="AQ158" s="354"/>
      <c r="AR158" s="354"/>
      <c r="AT158" s="354"/>
      <c r="AU158" s="354"/>
      <c r="AV158" s="354"/>
      <c r="AW158" s="354"/>
      <c r="AX158" s="354"/>
      <c r="AY158" s="354"/>
      <c r="AZ158" s="354"/>
      <c r="BA158" s="354"/>
      <c r="BB158" s="354"/>
      <c r="BC158" s="354"/>
      <c r="BD158" s="354"/>
      <c r="BE158" s="354"/>
      <c r="BF158" s="354"/>
      <c r="BG158" s="354"/>
      <c r="BH158" s="354"/>
      <c r="BI158" s="354"/>
      <c r="BK158" s="550"/>
      <c r="BL158" s="559"/>
      <c r="BM158" s="559"/>
      <c r="BN158" s="9"/>
      <c r="BO158" s="48"/>
      <c r="BP158" s="354"/>
      <c r="BQ158" s="354"/>
      <c r="BR158" s="354"/>
      <c r="BS158" s="354"/>
      <c r="BT158" s="354"/>
      <c r="BU158" s="354"/>
      <c r="BV158" s="354"/>
    </row>
    <row r="159" spans="8:74" x14ac:dyDescent="0.2">
      <c r="H159" s="555"/>
      <c r="I159" s="4"/>
      <c r="L159" s="4"/>
      <c r="M159" s="4"/>
      <c r="N159" s="4"/>
      <c r="O159" s="4"/>
      <c r="P159" s="4"/>
      <c r="Q159" s="4"/>
      <c r="R159" s="4"/>
      <c r="S159" s="4"/>
      <c r="W159" s="354"/>
      <c r="X159" s="354"/>
      <c r="Y159" s="354"/>
      <c r="Z159" s="354"/>
      <c r="AB159" s="354"/>
      <c r="AC159" s="354"/>
      <c r="AD159" s="354"/>
      <c r="AE159" s="354"/>
      <c r="AF159" s="549"/>
      <c r="AG159" s="354"/>
      <c r="AH159" s="354"/>
      <c r="AI159" s="354"/>
      <c r="AK159" s="354"/>
      <c r="AL159" s="354"/>
      <c r="AM159" s="354"/>
      <c r="AN159" s="354"/>
      <c r="AO159" s="354"/>
      <c r="AP159" s="354"/>
      <c r="AQ159" s="354"/>
      <c r="AR159" s="354"/>
      <c r="AT159" s="354"/>
      <c r="AU159" s="354"/>
      <c r="AV159" s="354"/>
      <c r="AW159" s="354"/>
      <c r="AX159" s="354"/>
      <c r="AY159" s="354"/>
      <c r="AZ159" s="354"/>
      <c r="BA159" s="354"/>
      <c r="BB159" s="354"/>
      <c r="BC159" s="354"/>
      <c r="BD159" s="354"/>
      <c r="BE159" s="354"/>
      <c r="BF159" s="354"/>
      <c r="BG159" s="354"/>
      <c r="BH159" s="354"/>
      <c r="BI159" s="354"/>
      <c r="BK159" s="550"/>
      <c r="BL159" s="559"/>
      <c r="BM159" s="559"/>
      <c r="BN159" s="9"/>
      <c r="BO159" s="48"/>
      <c r="BP159" s="354"/>
      <c r="BQ159" s="354"/>
      <c r="BR159" s="354"/>
      <c r="BS159" s="354"/>
      <c r="BT159" s="354"/>
      <c r="BU159" s="354"/>
      <c r="BV159" s="354"/>
    </row>
    <row r="160" spans="8:74" x14ac:dyDescent="0.2">
      <c r="H160" s="555"/>
      <c r="I160" s="4"/>
      <c r="L160" s="4"/>
      <c r="M160" s="4"/>
      <c r="N160" s="4"/>
      <c r="O160" s="4"/>
      <c r="P160" s="4"/>
      <c r="Q160" s="4"/>
      <c r="R160" s="4"/>
      <c r="S160" s="4"/>
      <c r="W160" s="354"/>
      <c r="X160" s="354"/>
      <c r="Y160" s="354"/>
      <c r="Z160" s="354"/>
      <c r="AB160" s="354"/>
      <c r="AC160" s="354"/>
      <c r="AD160" s="354"/>
      <c r="AE160" s="354"/>
      <c r="AF160" s="549"/>
      <c r="AG160" s="354"/>
      <c r="AH160" s="354"/>
      <c r="AI160" s="354"/>
      <c r="AK160" s="354"/>
      <c r="AL160" s="354"/>
      <c r="AM160" s="354"/>
      <c r="AN160" s="354"/>
      <c r="AO160" s="354"/>
      <c r="AP160" s="354"/>
      <c r="AQ160" s="354"/>
      <c r="AR160" s="354"/>
      <c r="AT160" s="354"/>
      <c r="AU160" s="354"/>
      <c r="AV160" s="354"/>
      <c r="AW160" s="354"/>
      <c r="AX160" s="354"/>
      <c r="AY160" s="354"/>
      <c r="AZ160" s="354"/>
      <c r="BA160" s="354"/>
      <c r="BB160" s="354"/>
      <c r="BC160" s="354"/>
      <c r="BD160" s="354"/>
      <c r="BE160" s="354"/>
      <c r="BF160" s="354"/>
      <c r="BG160" s="354"/>
      <c r="BH160" s="354"/>
      <c r="BI160" s="354"/>
      <c r="BK160" s="550"/>
      <c r="BL160" s="559"/>
      <c r="BM160" s="559"/>
      <c r="BN160" s="9"/>
      <c r="BO160" s="48"/>
      <c r="BP160" s="354"/>
      <c r="BQ160" s="354"/>
      <c r="BR160" s="354"/>
      <c r="BS160" s="354"/>
      <c r="BT160" s="354"/>
      <c r="BU160" s="354"/>
      <c r="BV160" s="354"/>
    </row>
    <row r="161" spans="8:74" x14ac:dyDescent="0.2">
      <c r="H161" s="555"/>
      <c r="I161" s="4"/>
      <c r="L161" s="4"/>
      <c r="M161" s="4"/>
      <c r="N161" s="4"/>
      <c r="O161" s="4"/>
      <c r="P161" s="4"/>
      <c r="Q161" s="4"/>
      <c r="R161" s="4"/>
      <c r="S161" s="4"/>
      <c r="W161" s="354"/>
      <c r="X161" s="354"/>
      <c r="Y161" s="354"/>
      <c r="Z161" s="354"/>
      <c r="AB161" s="354"/>
      <c r="AC161" s="354"/>
      <c r="AD161" s="354"/>
      <c r="AE161" s="354"/>
      <c r="AF161" s="549"/>
      <c r="AG161" s="354"/>
      <c r="AH161" s="354"/>
      <c r="AI161" s="354"/>
      <c r="AK161" s="354"/>
      <c r="AL161" s="354"/>
      <c r="AM161" s="354"/>
      <c r="AN161" s="354"/>
      <c r="AO161" s="354"/>
      <c r="AP161" s="354"/>
      <c r="AQ161" s="354"/>
      <c r="AR161" s="354"/>
      <c r="AT161" s="354"/>
      <c r="AU161" s="354"/>
      <c r="AV161" s="354"/>
      <c r="AW161" s="354"/>
      <c r="AX161" s="354"/>
      <c r="AY161" s="354"/>
      <c r="AZ161" s="354"/>
      <c r="BA161" s="354"/>
      <c r="BB161" s="354"/>
      <c r="BC161" s="354"/>
      <c r="BD161" s="354"/>
      <c r="BE161" s="354"/>
      <c r="BF161" s="354"/>
      <c r="BG161" s="354"/>
      <c r="BH161" s="354"/>
      <c r="BI161" s="354"/>
      <c r="BK161" s="550"/>
      <c r="BL161" s="559"/>
      <c r="BM161" s="559"/>
      <c r="BN161" s="9"/>
      <c r="BO161" s="48"/>
      <c r="BP161" s="354"/>
      <c r="BQ161" s="354"/>
      <c r="BR161" s="354"/>
      <c r="BS161" s="354"/>
      <c r="BT161" s="354"/>
      <c r="BU161" s="354"/>
      <c r="BV161" s="354"/>
    </row>
    <row r="162" spans="8:74" x14ac:dyDescent="0.2">
      <c r="H162" s="555"/>
      <c r="I162" s="4"/>
      <c r="L162" s="4"/>
      <c r="M162" s="4"/>
      <c r="N162" s="4"/>
      <c r="O162" s="4"/>
      <c r="P162" s="4"/>
      <c r="Q162" s="4"/>
      <c r="R162" s="4"/>
      <c r="S162" s="4"/>
      <c r="W162" s="354"/>
      <c r="X162" s="354"/>
      <c r="Y162" s="354"/>
      <c r="Z162" s="354"/>
      <c r="AB162" s="354"/>
      <c r="AC162" s="354"/>
      <c r="AD162" s="354"/>
      <c r="AE162" s="354"/>
      <c r="AF162" s="549"/>
      <c r="AG162" s="354"/>
      <c r="AH162" s="354"/>
      <c r="AI162" s="354"/>
      <c r="AK162" s="354"/>
      <c r="AL162" s="354"/>
      <c r="AM162" s="354"/>
      <c r="AN162" s="354"/>
      <c r="AO162" s="354"/>
      <c r="AP162" s="354"/>
      <c r="AQ162" s="354"/>
      <c r="AR162" s="354"/>
      <c r="AT162" s="354"/>
      <c r="AU162" s="354"/>
      <c r="AV162" s="354"/>
      <c r="AW162" s="354"/>
      <c r="AX162" s="354"/>
      <c r="AY162" s="354"/>
      <c r="AZ162" s="354"/>
      <c r="BA162" s="354"/>
      <c r="BB162" s="354"/>
      <c r="BC162" s="354"/>
      <c r="BD162" s="354"/>
      <c r="BE162" s="354"/>
      <c r="BF162" s="354"/>
      <c r="BG162" s="354"/>
      <c r="BH162" s="354"/>
      <c r="BI162" s="354"/>
      <c r="BK162" s="550"/>
      <c r="BL162" s="559"/>
      <c r="BM162" s="559"/>
      <c r="BN162" s="9"/>
      <c r="BO162" s="48"/>
      <c r="BP162" s="354"/>
      <c r="BQ162" s="354"/>
      <c r="BR162" s="354"/>
      <c r="BS162" s="354"/>
      <c r="BT162" s="354"/>
      <c r="BU162" s="354"/>
      <c r="BV162" s="354"/>
    </row>
    <row r="163" spans="8:74" x14ac:dyDescent="0.2">
      <c r="H163" s="555"/>
      <c r="I163" s="4"/>
      <c r="L163" s="4"/>
      <c r="M163" s="4"/>
      <c r="N163" s="4"/>
      <c r="O163" s="4"/>
      <c r="P163" s="4"/>
      <c r="Q163" s="4"/>
      <c r="R163" s="4"/>
      <c r="S163" s="4"/>
      <c r="W163" s="354"/>
      <c r="X163" s="354"/>
      <c r="Y163" s="354"/>
      <c r="Z163" s="354"/>
      <c r="AB163" s="354"/>
      <c r="AC163" s="354"/>
      <c r="AD163" s="354"/>
      <c r="AE163" s="354"/>
      <c r="AF163" s="549"/>
      <c r="AG163" s="354"/>
      <c r="AH163" s="354"/>
      <c r="AI163" s="354"/>
      <c r="AK163" s="354"/>
      <c r="AL163" s="354"/>
      <c r="AM163" s="354"/>
      <c r="AN163" s="354"/>
      <c r="AO163" s="354"/>
      <c r="AP163" s="354"/>
      <c r="AQ163" s="354"/>
      <c r="AR163" s="354"/>
      <c r="AT163" s="354"/>
      <c r="AU163" s="354"/>
      <c r="AV163" s="354"/>
      <c r="AW163" s="354"/>
      <c r="AX163" s="354"/>
      <c r="AY163" s="354"/>
      <c r="AZ163" s="354"/>
      <c r="BA163" s="354"/>
      <c r="BB163" s="354"/>
      <c r="BC163" s="354"/>
      <c r="BD163" s="354"/>
      <c r="BE163" s="354"/>
      <c r="BF163" s="354"/>
      <c r="BG163" s="354"/>
      <c r="BH163" s="354"/>
      <c r="BI163" s="354"/>
      <c r="BK163" s="550"/>
      <c r="BL163" s="559"/>
      <c r="BM163" s="559"/>
      <c r="BN163" s="9"/>
      <c r="BO163" s="48"/>
      <c r="BP163" s="354"/>
      <c r="BQ163" s="354"/>
      <c r="BR163" s="354"/>
      <c r="BS163" s="354"/>
      <c r="BT163" s="354"/>
      <c r="BU163" s="354"/>
      <c r="BV163" s="354"/>
    </row>
    <row r="164" spans="8:74" x14ac:dyDescent="0.2">
      <c r="H164" s="555"/>
      <c r="I164" s="4"/>
      <c r="L164" s="4"/>
      <c r="M164" s="4"/>
      <c r="N164" s="4"/>
      <c r="O164" s="4"/>
      <c r="P164" s="4"/>
      <c r="Q164" s="4"/>
      <c r="R164" s="4"/>
      <c r="S164" s="4"/>
      <c r="W164" s="354"/>
      <c r="X164" s="354"/>
      <c r="Y164" s="354"/>
      <c r="Z164" s="354"/>
      <c r="AB164" s="354"/>
      <c r="AC164" s="354"/>
      <c r="AD164" s="354"/>
      <c r="AE164" s="354"/>
      <c r="AF164" s="549"/>
      <c r="AG164" s="354"/>
      <c r="AH164" s="354"/>
      <c r="AI164" s="354"/>
      <c r="AK164" s="354"/>
      <c r="AL164" s="354"/>
      <c r="AM164" s="354"/>
      <c r="AN164" s="354"/>
      <c r="AO164" s="354"/>
      <c r="AP164" s="354"/>
      <c r="AQ164" s="354"/>
      <c r="AR164" s="354"/>
      <c r="AT164" s="354"/>
      <c r="AU164" s="354"/>
      <c r="AV164" s="354"/>
      <c r="AW164" s="354"/>
      <c r="AX164" s="354"/>
      <c r="AY164" s="354"/>
      <c r="AZ164" s="354"/>
      <c r="BA164" s="354"/>
      <c r="BB164" s="354"/>
      <c r="BC164" s="354"/>
      <c r="BD164" s="354"/>
      <c r="BE164" s="354"/>
      <c r="BF164" s="354"/>
      <c r="BG164" s="354"/>
      <c r="BH164" s="354"/>
      <c r="BI164" s="354"/>
      <c r="BK164" s="550"/>
      <c r="BL164" s="559"/>
      <c r="BM164" s="559"/>
      <c r="BN164" s="9"/>
      <c r="BO164" s="48"/>
      <c r="BP164" s="354"/>
      <c r="BQ164" s="354"/>
      <c r="BR164" s="354"/>
      <c r="BS164" s="354"/>
      <c r="BT164" s="354"/>
      <c r="BU164" s="354"/>
      <c r="BV164" s="354"/>
    </row>
    <row r="165" spans="8:74" x14ac:dyDescent="0.2">
      <c r="H165" s="555"/>
      <c r="I165" s="4"/>
      <c r="L165" s="4"/>
      <c r="M165" s="4"/>
      <c r="N165" s="4"/>
      <c r="O165" s="4"/>
      <c r="P165" s="4"/>
      <c r="Q165" s="4"/>
      <c r="R165" s="4"/>
      <c r="S165" s="4"/>
      <c r="W165" s="354"/>
      <c r="X165" s="354"/>
      <c r="Y165" s="354"/>
      <c r="Z165" s="354"/>
      <c r="AB165" s="354"/>
      <c r="AC165" s="354"/>
      <c r="AD165" s="354"/>
      <c r="AE165" s="354"/>
      <c r="AF165" s="549"/>
      <c r="AG165" s="354"/>
      <c r="AH165" s="354"/>
      <c r="AI165" s="354"/>
      <c r="AK165" s="354"/>
      <c r="AL165" s="354"/>
      <c r="AM165" s="354"/>
      <c r="AN165" s="354"/>
      <c r="AO165" s="354"/>
      <c r="AP165" s="354"/>
      <c r="AQ165" s="354"/>
      <c r="AR165" s="354"/>
      <c r="AT165" s="354"/>
      <c r="AU165" s="354"/>
      <c r="AV165" s="354"/>
      <c r="AW165" s="354"/>
      <c r="AX165" s="354"/>
      <c r="AY165" s="354"/>
      <c r="AZ165" s="354"/>
      <c r="BA165" s="354"/>
      <c r="BB165" s="354"/>
      <c r="BC165" s="354"/>
      <c r="BD165" s="354"/>
      <c r="BE165" s="354"/>
      <c r="BF165" s="354"/>
      <c r="BG165" s="354"/>
      <c r="BH165" s="354"/>
      <c r="BI165" s="354"/>
      <c r="BK165" s="550"/>
      <c r="BL165" s="559"/>
      <c r="BM165" s="559"/>
      <c r="BN165" s="9"/>
      <c r="BO165" s="48"/>
      <c r="BP165" s="354"/>
      <c r="BQ165" s="354"/>
      <c r="BR165" s="354"/>
      <c r="BS165" s="354"/>
      <c r="BT165" s="354"/>
      <c r="BU165" s="354"/>
      <c r="BV165" s="354"/>
    </row>
    <row r="166" spans="8:74" x14ac:dyDescent="0.2">
      <c r="H166" s="555"/>
      <c r="I166" s="4"/>
      <c r="L166" s="4"/>
      <c r="M166" s="4"/>
      <c r="N166" s="4"/>
      <c r="O166" s="4"/>
      <c r="P166" s="4"/>
      <c r="Q166" s="4"/>
      <c r="R166" s="4"/>
      <c r="S166" s="4"/>
      <c r="W166" s="354"/>
      <c r="X166" s="354"/>
      <c r="Y166" s="354"/>
      <c r="Z166" s="354"/>
      <c r="AB166" s="354"/>
      <c r="AC166" s="354"/>
      <c r="AD166" s="354"/>
      <c r="AE166" s="354"/>
      <c r="AF166" s="549"/>
      <c r="AG166" s="354"/>
      <c r="AH166" s="354"/>
      <c r="AI166" s="354"/>
      <c r="AK166" s="354"/>
      <c r="AL166" s="354"/>
      <c r="AM166" s="354"/>
      <c r="AN166" s="354"/>
      <c r="AO166" s="354"/>
      <c r="AP166" s="354"/>
      <c r="AQ166" s="354"/>
      <c r="AR166" s="354"/>
      <c r="AT166" s="354"/>
      <c r="AU166" s="354"/>
      <c r="AV166" s="354"/>
      <c r="AW166" s="354"/>
      <c r="AX166" s="354"/>
      <c r="AY166" s="354"/>
      <c r="AZ166" s="354"/>
      <c r="BA166" s="354"/>
      <c r="BB166" s="354"/>
      <c r="BC166" s="354"/>
      <c r="BD166" s="354"/>
      <c r="BE166" s="354"/>
      <c r="BF166" s="354"/>
      <c r="BG166" s="354"/>
      <c r="BH166" s="354"/>
      <c r="BI166" s="354"/>
      <c r="BK166" s="550"/>
      <c r="BL166" s="559"/>
      <c r="BM166" s="559"/>
      <c r="BN166" s="9"/>
      <c r="BO166" s="48"/>
      <c r="BP166" s="354"/>
      <c r="BQ166" s="354"/>
      <c r="BR166" s="354"/>
      <c r="BS166" s="354"/>
      <c r="BT166" s="354"/>
      <c r="BU166" s="354"/>
      <c r="BV166" s="354"/>
    </row>
    <row r="167" spans="8:74" x14ac:dyDescent="0.2">
      <c r="H167" s="555"/>
      <c r="I167" s="4"/>
      <c r="L167" s="4"/>
      <c r="M167" s="4"/>
      <c r="N167" s="4"/>
      <c r="O167" s="4"/>
      <c r="P167" s="4"/>
      <c r="Q167" s="4"/>
      <c r="R167" s="4"/>
      <c r="S167" s="4"/>
      <c r="W167" s="354"/>
      <c r="X167" s="354"/>
      <c r="Y167" s="354"/>
      <c r="Z167" s="354"/>
      <c r="AB167" s="354"/>
      <c r="AC167" s="354"/>
      <c r="AD167" s="354"/>
      <c r="AE167" s="354"/>
      <c r="AF167" s="549"/>
      <c r="AG167" s="354"/>
      <c r="AH167" s="354"/>
      <c r="AI167" s="354"/>
      <c r="AK167" s="354"/>
      <c r="AL167" s="354"/>
      <c r="AM167" s="354"/>
      <c r="AN167" s="354"/>
      <c r="AO167" s="354"/>
      <c r="AP167" s="354"/>
      <c r="AQ167" s="354"/>
      <c r="AR167" s="354"/>
      <c r="AT167" s="354"/>
      <c r="AU167" s="354"/>
      <c r="AV167" s="354"/>
      <c r="AW167" s="354"/>
      <c r="AX167" s="354"/>
      <c r="AY167" s="354"/>
      <c r="AZ167" s="354"/>
      <c r="BA167" s="354"/>
      <c r="BB167" s="354"/>
      <c r="BC167" s="354"/>
      <c r="BD167" s="354"/>
      <c r="BE167" s="354"/>
      <c r="BF167" s="354"/>
      <c r="BG167" s="354"/>
      <c r="BH167" s="354"/>
      <c r="BI167" s="354"/>
      <c r="BK167" s="550"/>
      <c r="BL167" s="559"/>
      <c r="BM167" s="559"/>
      <c r="BN167" s="9"/>
      <c r="BO167" s="48"/>
      <c r="BP167" s="354"/>
      <c r="BQ167" s="354"/>
      <c r="BR167" s="354"/>
      <c r="BS167" s="354"/>
      <c r="BT167" s="354"/>
      <c r="BU167" s="354"/>
      <c r="BV167" s="354"/>
    </row>
    <row r="168" spans="8:74" x14ac:dyDescent="0.2">
      <c r="H168" s="555"/>
      <c r="I168" s="4"/>
      <c r="L168" s="4"/>
      <c r="M168" s="4"/>
      <c r="N168" s="4"/>
      <c r="O168" s="4"/>
      <c r="P168" s="4"/>
      <c r="Q168" s="4"/>
      <c r="R168" s="4"/>
      <c r="S168" s="4"/>
      <c r="W168" s="354"/>
      <c r="X168" s="354"/>
      <c r="Y168" s="354"/>
      <c r="Z168" s="354"/>
      <c r="AB168" s="354"/>
      <c r="AC168" s="354"/>
      <c r="AD168" s="354"/>
      <c r="AE168" s="354"/>
      <c r="AF168" s="549"/>
      <c r="AG168" s="354"/>
      <c r="AH168" s="354"/>
      <c r="AI168" s="354"/>
      <c r="AK168" s="354"/>
      <c r="AL168" s="354"/>
      <c r="AM168" s="354"/>
      <c r="AN168" s="354"/>
      <c r="AO168" s="354"/>
      <c r="AP168" s="354"/>
      <c r="AQ168" s="354"/>
      <c r="AR168" s="354"/>
      <c r="AT168" s="354"/>
      <c r="AU168" s="354"/>
      <c r="AV168" s="354"/>
      <c r="AW168" s="354"/>
      <c r="AX168" s="354"/>
      <c r="AY168" s="354"/>
      <c r="AZ168" s="354"/>
      <c r="BA168" s="354"/>
      <c r="BB168" s="354"/>
      <c r="BC168" s="354"/>
      <c r="BD168" s="354"/>
      <c r="BE168" s="354"/>
      <c r="BF168" s="354"/>
      <c r="BG168" s="354"/>
      <c r="BH168" s="354"/>
      <c r="BI168" s="354"/>
      <c r="BK168" s="550"/>
      <c r="BL168" s="559"/>
      <c r="BM168" s="559"/>
      <c r="BN168" s="9"/>
      <c r="BO168" s="48"/>
      <c r="BP168" s="354"/>
      <c r="BQ168" s="354"/>
      <c r="BR168" s="354"/>
      <c r="BS168" s="354"/>
      <c r="BT168" s="354"/>
      <c r="BU168" s="354"/>
      <c r="BV168" s="354"/>
    </row>
    <row r="169" spans="8:74" x14ac:dyDescent="0.2">
      <c r="H169" s="555"/>
      <c r="I169" s="4"/>
      <c r="L169" s="4"/>
      <c r="M169" s="4"/>
      <c r="N169" s="4"/>
      <c r="O169" s="4"/>
      <c r="P169" s="4"/>
      <c r="Q169" s="4"/>
      <c r="R169" s="4"/>
      <c r="S169" s="4"/>
      <c r="W169" s="354"/>
      <c r="X169" s="354"/>
      <c r="Y169" s="354"/>
      <c r="Z169" s="354"/>
      <c r="AB169" s="354"/>
      <c r="AC169" s="354"/>
      <c r="AD169" s="354"/>
      <c r="AE169" s="354"/>
      <c r="AF169" s="549"/>
      <c r="AG169" s="354"/>
      <c r="AH169" s="354"/>
      <c r="AI169" s="354"/>
      <c r="AK169" s="354"/>
      <c r="AL169" s="354"/>
      <c r="AM169" s="354"/>
      <c r="AN169" s="354"/>
      <c r="AO169" s="354"/>
      <c r="AP169" s="354"/>
      <c r="AQ169" s="354"/>
      <c r="AR169" s="354"/>
      <c r="AT169" s="354"/>
      <c r="AU169" s="354"/>
      <c r="AV169" s="354"/>
      <c r="AW169" s="354"/>
      <c r="AX169" s="354"/>
      <c r="AY169" s="354"/>
      <c r="AZ169" s="354"/>
      <c r="BA169" s="354"/>
      <c r="BB169" s="354"/>
      <c r="BC169" s="354"/>
      <c r="BD169" s="354"/>
      <c r="BE169" s="354"/>
      <c r="BF169" s="354"/>
      <c r="BG169" s="354"/>
      <c r="BH169" s="354"/>
      <c r="BI169" s="354"/>
      <c r="BK169" s="550"/>
      <c r="BL169" s="559"/>
      <c r="BM169" s="559"/>
      <c r="BN169" s="9"/>
      <c r="BO169" s="48"/>
      <c r="BP169" s="354"/>
      <c r="BQ169" s="354"/>
      <c r="BR169" s="354"/>
      <c r="BS169" s="354"/>
      <c r="BT169" s="354"/>
      <c r="BU169" s="354"/>
      <c r="BV169" s="354"/>
    </row>
    <row r="170" spans="8:74" x14ac:dyDescent="0.2">
      <c r="H170" s="555"/>
      <c r="I170" s="4"/>
      <c r="L170" s="4"/>
      <c r="M170" s="4"/>
      <c r="N170" s="4"/>
      <c r="O170" s="4"/>
      <c r="P170" s="4"/>
      <c r="Q170" s="4"/>
      <c r="R170" s="4"/>
      <c r="S170" s="4"/>
      <c r="W170" s="354"/>
      <c r="X170" s="354"/>
      <c r="Y170" s="354"/>
      <c r="Z170" s="354"/>
      <c r="AB170" s="354"/>
      <c r="AC170" s="354"/>
      <c r="AD170" s="354"/>
      <c r="AE170" s="354"/>
      <c r="AF170" s="549"/>
      <c r="AG170" s="354"/>
      <c r="AH170" s="354"/>
      <c r="AI170" s="354"/>
      <c r="AK170" s="354"/>
      <c r="AL170" s="354"/>
      <c r="AM170" s="354"/>
      <c r="AN170" s="354"/>
      <c r="AO170" s="354"/>
      <c r="AP170" s="354"/>
      <c r="AQ170" s="354"/>
      <c r="AR170" s="354"/>
      <c r="AT170" s="354"/>
      <c r="AU170" s="354"/>
      <c r="AV170" s="354"/>
      <c r="AW170" s="354"/>
      <c r="AX170" s="354"/>
      <c r="AY170" s="354"/>
      <c r="AZ170" s="354"/>
      <c r="BA170" s="354"/>
      <c r="BB170" s="354"/>
      <c r="BC170" s="354"/>
      <c r="BD170" s="354"/>
      <c r="BE170" s="354"/>
      <c r="BF170" s="354"/>
      <c r="BG170" s="354"/>
      <c r="BH170" s="354"/>
      <c r="BI170" s="354"/>
      <c r="BK170" s="550"/>
      <c r="BL170" s="559"/>
      <c r="BM170" s="559"/>
      <c r="BN170" s="9"/>
      <c r="BO170" s="48"/>
      <c r="BP170" s="354"/>
      <c r="BQ170" s="354"/>
      <c r="BR170" s="354"/>
      <c r="BS170" s="354"/>
      <c r="BT170" s="354"/>
      <c r="BU170" s="354"/>
      <c r="BV170" s="354"/>
    </row>
    <row r="171" spans="8:74" x14ac:dyDescent="0.2">
      <c r="H171" s="555"/>
      <c r="I171" s="4"/>
      <c r="L171" s="4"/>
      <c r="M171" s="4"/>
      <c r="N171" s="4"/>
      <c r="O171" s="4"/>
      <c r="P171" s="4"/>
      <c r="Q171" s="4"/>
      <c r="R171" s="4"/>
      <c r="S171" s="4"/>
      <c r="W171" s="354"/>
      <c r="X171" s="354"/>
      <c r="Y171" s="354"/>
      <c r="Z171" s="354"/>
      <c r="AB171" s="354"/>
      <c r="AC171" s="354"/>
      <c r="AD171" s="354"/>
      <c r="AE171" s="354"/>
      <c r="AF171" s="549"/>
      <c r="AG171" s="354"/>
      <c r="AH171" s="354"/>
      <c r="AI171" s="354"/>
      <c r="AK171" s="354"/>
      <c r="AL171" s="354"/>
      <c r="AM171" s="354"/>
      <c r="AN171" s="354"/>
      <c r="AO171" s="354"/>
      <c r="AP171" s="354"/>
      <c r="AQ171" s="354"/>
      <c r="AR171" s="354"/>
      <c r="AT171" s="354"/>
      <c r="AU171" s="354"/>
      <c r="AV171" s="354"/>
      <c r="AW171" s="354"/>
      <c r="AX171" s="354"/>
      <c r="AY171" s="354"/>
      <c r="AZ171" s="354"/>
      <c r="BA171" s="354"/>
      <c r="BB171" s="354"/>
      <c r="BC171" s="354"/>
      <c r="BD171" s="354"/>
      <c r="BE171" s="354"/>
      <c r="BF171" s="354"/>
      <c r="BG171" s="354"/>
      <c r="BH171" s="354"/>
      <c r="BI171" s="354"/>
      <c r="BK171" s="550"/>
      <c r="BL171" s="559"/>
      <c r="BM171" s="559"/>
      <c r="BN171" s="9"/>
      <c r="BO171" s="48"/>
      <c r="BP171" s="354"/>
      <c r="BQ171" s="354"/>
      <c r="BR171" s="354"/>
      <c r="BS171" s="354"/>
      <c r="BT171" s="354"/>
      <c r="BU171" s="354"/>
      <c r="BV171" s="354"/>
    </row>
    <row r="172" spans="8:74" x14ac:dyDescent="0.2">
      <c r="H172" s="555"/>
      <c r="I172" s="4"/>
      <c r="L172" s="4"/>
      <c r="M172" s="4"/>
      <c r="N172" s="4"/>
      <c r="O172" s="4"/>
      <c r="P172" s="4"/>
      <c r="Q172" s="4"/>
      <c r="R172" s="4"/>
      <c r="S172" s="4"/>
      <c r="W172" s="354"/>
      <c r="X172" s="354"/>
      <c r="Y172" s="354"/>
      <c r="Z172" s="354"/>
      <c r="AB172" s="354"/>
      <c r="AC172" s="354"/>
      <c r="AD172" s="354"/>
      <c r="AE172" s="354"/>
      <c r="AF172" s="549"/>
      <c r="AG172" s="354"/>
      <c r="AH172" s="354"/>
      <c r="AI172" s="354"/>
      <c r="AK172" s="354"/>
      <c r="AL172" s="354"/>
      <c r="AM172" s="354"/>
      <c r="AN172" s="354"/>
      <c r="AO172" s="354"/>
      <c r="AP172" s="354"/>
      <c r="AQ172" s="354"/>
      <c r="AR172" s="354"/>
      <c r="AT172" s="354"/>
      <c r="AU172" s="354"/>
      <c r="AV172" s="354"/>
      <c r="AW172" s="354"/>
      <c r="AX172" s="354"/>
      <c r="AY172" s="354"/>
      <c r="AZ172" s="354"/>
      <c r="BA172" s="354"/>
      <c r="BB172" s="354"/>
      <c r="BC172" s="354"/>
      <c r="BD172" s="354"/>
      <c r="BE172" s="354"/>
      <c r="BF172" s="354"/>
      <c r="BG172" s="354"/>
      <c r="BH172" s="354"/>
      <c r="BI172" s="354"/>
      <c r="BK172" s="550"/>
      <c r="BL172" s="559"/>
      <c r="BM172" s="559"/>
      <c r="BN172" s="9"/>
      <c r="BO172" s="48"/>
      <c r="BP172" s="354"/>
      <c r="BQ172" s="354"/>
      <c r="BR172" s="354"/>
      <c r="BS172" s="354"/>
      <c r="BT172" s="354"/>
      <c r="BU172" s="354"/>
      <c r="BV172" s="354"/>
    </row>
    <row r="173" spans="8:74" x14ac:dyDescent="0.2">
      <c r="H173" s="555"/>
      <c r="I173" s="4"/>
      <c r="L173" s="4"/>
      <c r="M173" s="4"/>
      <c r="N173" s="4"/>
      <c r="O173" s="4"/>
      <c r="P173" s="4"/>
      <c r="Q173" s="4"/>
      <c r="R173" s="4"/>
      <c r="S173" s="4"/>
      <c r="W173" s="354"/>
      <c r="X173" s="354"/>
      <c r="Y173" s="354"/>
      <c r="Z173" s="354"/>
      <c r="AB173" s="354"/>
      <c r="AC173" s="354"/>
      <c r="AD173" s="354"/>
      <c r="AE173" s="354"/>
      <c r="AF173" s="549"/>
      <c r="AG173" s="354"/>
      <c r="AH173" s="354"/>
      <c r="AI173" s="354"/>
      <c r="AK173" s="354"/>
      <c r="AL173" s="354"/>
      <c r="AM173" s="354"/>
      <c r="AN173" s="354"/>
      <c r="AO173" s="354"/>
      <c r="AP173" s="354"/>
      <c r="AQ173" s="354"/>
      <c r="AR173" s="354"/>
      <c r="AT173" s="354"/>
      <c r="AU173" s="354"/>
      <c r="AV173" s="354"/>
      <c r="AW173" s="354"/>
      <c r="AX173" s="354"/>
      <c r="AY173" s="354"/>
      <c r="AZ173" s="354"/>
      <c r="BA173" s="354"/>
      <c r="BB173" s="354"/>
      <c r="BC173" s="354"/>
      <c r="BD173" s="354"/>
      <c r="BE173" s="354"/>
      <c r="BF173" s="354"/>
      <c r="BG173" s="354"/>
      <c r="BH173" s="354"/>
      <c r="BI173" s="354"/>
      <c r="BK173" s="550"/>
      <c r="BL173" s="559"/>
      <c r="BM173" s="559"/>
      <c r="BN173" s="9"/>
      <c r="BO173" s="48"/>
      <c r="BP173" s="354"/>
      <c r="BQ173" s="354"/>
      <c r="BR173" s="354"/>
      <c r="BS173" s="354"/>
      <c r="BT173" s="354"/>
      <c r="BU173" s="354"/>
      <c r="BV173" s="354"/>
    </row>
    <row r="174" spans="8:74" x14ac:dyDescent="0.2">
      <c r="H174" s="555"/>
      <c r="I174" s="4"/>
      <c r="L174" s="4"/>
      <c r="M174" s="4"/>
      <c r="N174" s="4"/>
      <c r="O174" s="4"/>
      <c r="P174" s="4"/>
      <c r="Q174" s="4"/>
      <c r="R174" s="4"/>
      <c r="S174" s="4"/>
      <c r="W174" s="354"/>
      <c r="X174" s="354"/>
      <c r="Y174" s="354"/>
      <c r="Z174" s="354"/>
      <c r="AB174" s="354"/>
      <c r="AC174" s="354"/>
      <c r="AD174" s="354"/>
      <c r="AE174" s="354"/>
      <c r="AF174" s="549"/>
      <c r="AG174" s="354"/>
      <c r="AH174" s="354"/>
      <c r="AI174" s="354"/>
      <c r="AK174" s="354"/>
      <c r="AL174" s="354"/>
      <c r="AM174" s="354"/>
      <c r="AN174" s="354"/>
      <c r="AO174" s="354"/>
      <c r="AP174" s="354"/>
      <c r="AQ174" s="354"/>
      <c r="AR174" s="354"/>
      <c r="AT174" s="354"/>
      <c r="AU174" s="354"/>
      <c r="AV174" s="354"/>
      <c r="AW174" s="354"/>
      <c r="AX174" s="354"/>
      <c r="AY174" s="354"/>
      <c r="AZ174" s="354"/>
      <c r="BA174" s="354"/>
      <c r="BB174" s="354"/>
      <c r="BC174" s="354"/>
      <c r="BD174" s="354"/>
      <c r="BE174" s="354"/>
      <c r="BF174" s="354"/>
      <c r="BG174" s="354"/>
      <c r="BH174" s="354"/>
      <c r="BI174" s="354"/>
      <c r="BK174" s="550"/>
      <c r="BL174" s="559"/>
      <c r="BM174" s="559"/>
      <c r="BN174" s="9"/>
      <c r="BO174" s="48"/>
      <c r="BP174" s="354"/>
      <c r="BQ174" s="354"/>
      <c r="BR174" s="354"/>
      <c r="BS174" s="354"/>
      <c r="BT174" s="354"/>
      <c r="BU174" s="354"/>
      <c r="BV174" s="354"/>
    </row>
    <row r="175" spans="8:74" x14ac:dyDescent="0.2">
      <c r="H175" s="555"/>
      <c r="I175" s="4"/>
      <c r="L175" s="4"/>
      <c r="M175" s="4"/>
      <c r="N175" s="4"/>
      <c r="O175" s="4"/>
      <c r="P175" s="4"/>
      <c r="Q175" s="4"/>
      <c r="R175" s="4"/>
      <c r="S175" s="4"/>
      <c r="W175" s="354"/>
      <c r="X175" s="354"/>
      <c r="Y175" s="354"/>
      <c r="Z175" s="354"/>
      <c r="AB175" s="354"/>
      <c r="AC175" s="354"/>
      <c r="AD175" s="354"/>
      <c r="AE175" s="354"/>
      <c r="AF175" s="549"/>
      <c r="AG175" s="354"/>
      <c r="AH175" s="354"/>
      <c r="AI175" s="354"/>
      <c r="AK175" s="354"/>
      <c r="AL175" s="354"/>
      <c r="AM175" s="354"/>
      <c r="AN175" s="354"/>
      <c r="AO175" s="354"/>
      <c r="AP175" s="354"/>
      <c r="AQ175" s="354"/>
      <c r="AR175" s="354"/>
      <c r="AT175" s="354"/>
      <c r="AU175" s="354"/>
      <c r="AV175" s="354"/>
      <c r="AW175" s="354"/>
      <c r="AX175" s="354"/>
      <c r="AY175" s="354"/>
      <c r="AZ175" s="354"/>
      <c r="BA175" s="354"/>
      <c r="BB175" s="354"/>
      <c r="BC175" s="354"/>
      <c r="BD175" s="354"/>
      <c r="BE175" s="354"/>
      <c r="BF175" s="354"/>
      <c r="BG175" s="354"/>
      <c r="BH175" s="354"/>
      <c r="BI175" s="354"/>
      <c r="BK175" s="550"/>
      <c r="BL175" s="559"/>
      <c r="BM175" s="559"/>
      <c r="BN175" s="9"/>
      <c r="BO175" s="48"/>
      <c r="BP175" s="354"/>
      <c r="BQ175" s="354"/>
      <c r="BR175" s="354"/>
      <c r="BS175" s="354"/>
      <c r="BT175" s="354"/>
      <c r="BU175" s="354"/>
      <c r="BV175" s="354"/>
    </row>
    <row r="176" spans="8:74" x14ac:dyDescent="0.2">
      <c r="H176" s="555"/>
      <c r="I176" s="4"/>
      <c r="L176" s="4"/>
      <c r="M176" s="4"/>
      <c r="N176" s="4"/>
      <c r="O176" s="4"/>
      <c r="P176" s="4"/>
      <c r="Q176" s="4"/>
      <c r="R176" s="4"/>
      <c r="S176" s="4"/>
      <c r="W176" s="354"/>
      <c r="X176" s="354"/>
      <c r="Y176" s="354"/>
      <c r="Z176" s="354"/>
      <c r="AB176" s="354"/>
      <c r="AC176" s="354"/>
      <c r="AD176" s="354"/>
      <c r="AE176" s="354"/>
      <c r="AF176" s="549"/>
      <c r="AG176" s="354"/>
      <c r="AH176" s="354"/>
      <c r="AI176" s="354"/>
      <c r="AK176" s="354"/>
      <c r="AL176" s="354"/>
      <c r="AM176" s="354"/>
      <c r="AN176" s="354"/>
      <c r="AO176" s="354"/>
      <c r="AP176" s="354"/>
      <c r="AQ176" s="354"/>
      <c r="AR176" s="354"/>
      <c r="AT176" s="354"/>
      <c r="AU176" s="354"/>
      <c r="AV176" s="354"/>
      <c r="AW176" s="354"/>
      <c r="AX176" s="354"/>
      <c r="AY176" s="354"/>
      <c r="AZ176" s="354"/>
      <c r="BA176" s="354"/>
      <c r="BB176" s="354"/>
      <c r="BC176" s="354"/>
      <c r="BD176" s="354"/>
      <c r="BE176" s="354"/>
      <c r="BF176" s="354"/>
      <c r="BG176" s="354"/>
      <c r="BH176" s="354"/>
      <c r="BI176" s="354"/>
      <c r="BK176" s="550"/>
      <c r="BL176" s="559"/>
      <c r="BM176" s="559"/>
      <c r="BN176" s="9"/>
      <c r="BO176" s="48"/>
      <c r="BP176" s="354"/>
      <c r="BQ176" s="354"/>
      <c r="BR176" s="354"/>
      <c r="BS176" s="354"/>
      <c r="BT176" s="354"/>
      <c r="BU176" s="354"/>
      <c r="BV176" s="354"/>
    </row>
    <row r="177" spans="8:74" x14ac:dyDescent="0.2">
      <c r="H177" s="555"/>
      <c r="I177" s="4"/>
      <c r="L177" s="4"/>
      <c r="M177" s="4"/>
      <c r="N177" s="4"/>
      <c r="O177" s="4"/>
      <c r="P177" s="4"/>
      <c r="Q177" s="4"/>
      <c r="R177" s="4"/>
      <c r="S177" s="4"/>
      <c r="W177" s="354"/>
      <c r="X177" s="354"/>
      <c r="Y177" s="354"/>
      <c r="Z177" s="354"/>
      <c r="AB177" s="354"/>
      <c r="AC177" s="354"/>
      <c r="AD177" s="354"/>
      <c r="AE177" s="354"/>
      <c r="AF177" s="549"/>
      <c r="AG177" s="354"/>
      <c r="AH177" s="354"/>
      <c r="AI177" s="354"/>
      <c r="AK177" s="354"/>
      <c r="AL177" s="354"/>
      <c r="AM177" s="354"/>
      <c r="AN177" s="354"/>
      <c r="AO177" s="354"/>
      <c r="AP177" s="354"/>
      <c r="AQ177" s="354"/>
      <c r="AR177" s="354"/>
      <c r="AT177" s="354"/>
      <c r="AU177" s="354"/>
      <c r="AV177" s="354"/>
      <c r="AW177" s="354"/>
      <c r="AX177" s="354"/>
      <c r="AY177" s="354"/>
      <c r="AZ177" s="354"/>
      <c r="BA177" s="354"/>
      <c r="BB177" s="354"/>
      <c r="BC177" s="354"/>
      <c r="BD177" s="354"/>
      <c r="BE177" s="354"/>
      <c r="BF177" s="354"/>
      <c r="BG177" s="354"/>
      <c r="BH177" s="354"/>
      <c r="BI177" s="354"/>
      <c r="BK177" s="550"/>
      <c r="BL177" s="559"/>
      <c r="BM177" s="559"/>
      <c r="BN177" s="9"/>
      <c r="BO177" s="48"/>
      <c r="BP177" s="354"/>
      <c r="BQ177" s="354"/>
      <c r="BR177" s="354"/>
      <c r="BS177" s="354"/>
      <c r="BT177" s="354"/>
      <c r="BU177" s="354"/>
      <c r="BV177" s="354"/>
    </row>
    <row r="178" spans="8:74" x14ac:dyDescent="0.2">
      <c r="H178" s="555"/>
      <c r="I178" s="4"/>
      <c r="L178" s="4"/>
      <c r="M178" s="4"/>
      <c r="N178" s="4"/>
      <c r="O178" s="4"/>
      <c r="P178" s="4"/>
      <c r="Q178" s="4"/>
      <c r="R178" s="4"/>
      <c r="S178" s="4"/>
      <c r="W178" s="354"/>
      <c r="X178" s="354"/>
      <c r="Y178" s="354"/>
      <c r="Z178" s="354"/>
      <c r="AB178" s="354"/>
      <c r="AC178" s="354"/>
      <c r="AD178" s="354"/>
      <c r="AE178" s="354"/>
      <c r="AF178" s="549"/>
      <c r="AG178" s="354"/>
      <c r="AH178" s="354"/>
      <c r="AI178" s="354"/>
      <c r="AK178" s="354"/>
      <c r="AL178" s="354"/>
      <c r="AM178" s="354"/>
      <c r="AN178" s="354"/>
      <c r="AO178" s="354"/>
      <c r="AP178" s="354"/>
      <c r="AQ178" s="354"/>
      <c r="AR178" s="354"/>
      <c r="AT178" s="354"/>
      <c r="AU178" s="354"/>
      <c r="AV178" s="354"/>
      <c r="AW178" s="354"/>
      <c r="AX178" s="354"/>
      <c r="AY178" s="354"/>
      <c r="AZ178" s="354"/>
      <c r="BA178" s="354"/>
      <c r="BB178" s="354"/>
      <c r="BC178" s="354"/>
      <c r="BD178" s="354"/>
      <c r="BE178" s="354"/>
      <c r="BF178" s="354"/>
      <c r="BG178" s="354"/>
      <c r="BH178" s="354"/>
      <c r="BI178" s="354"/>
      <c r="BK178" s="550"/>
      <c r="BL178" s="559"/>
      <c r="BM178" s="559"/>
      <c r="BN178" s="9"/>
      <c r="BO178" s="48"/>
      <c r="BP178" s="354"/>
      <c r="BQ178" s="354"/>
      <c r="BR178" s="354"/>
      <c r="BS178" s="354"/>
      <c r="BT178" s="354"/>
      <c r="BU178" s="354"/>
      <c r="BV178" s="354"/>
    </row>
    <row r="179" spans="8:74" x14ac:dyDescent="0.2">
      <c r="H179" s="555"/>
      <c r="I179" s="4"/>
      <c r="L179" s="4"/>
      <c r="M179" s="4"/>
      <c r="N179" s="4"/>
      <c r="O179" s="4"/>
      <c r="P179" s="4"/>
      <c r="Q179" s="4"/>
      <c r="R179" s="4"/>
      <c r="S179" s="4"/>
      <c r="W179" s="354"/>
      <c r="X179" s="354"/>
      <c r="Y179" s="354"/>
      <c r="Z179" s="354"/>
      <c r="AB179" s="354"/>
      <c r="AC179" s="354"/>
      <c r="AD179" s="354"/>
      <c r="AE179" s="354"/>
      <c r="AF179" s="549"/>
      <c r="AG179" s="354"/>
      <c r="AH179" s="354"/>
      <c r="AI179" s="354"/>
      <c r="AK179" s="354"/>
      <c r="AL179" s="354"/>
      <c r="AM179" s="354"/>
      <c r="AN179" s="354"/>
      <c r="AO179" s="354"/>
      <c r="AP179" s="354"/>
      <c r="AQ179" s="354"/>
      <c r="AR179" s="354"/>
      <c r="AT179" s="354"/>
      <c r="AU179" s="354"/>
      <c r="AV179" s="354"/>
      <c r="AW179" s="354"/>
      <c r="AX179" s="354"/>
      <c r="AY179" s="354"/>
      <c r="AZ179" s="354"/>
      <c r="BA179" s="354"/>
      <c r="BB179" s="354"/>
      <c r="BC179" s="354"/>
      <c r="BD179" s="354"/>
      <c r="BE179" s="354"/>
      <c r="BF179" s="354"/>
      <c r="BG179" s="354"/>
      <c r="BH179" s="354"/>
      <c r="BI179" s="354"/>
      <c r="BK179" s="550"/>
      <c r="BL179" s="559"/>
      <c r="BM179" s="559"/>
      <c r="BN179" s="9"/>
      <c r="BO179" s="48"/>
      <c r="BP179" s="354"/>
      <c r="BQ179" s="354"/>
      <c r="BR179" s="354"/>
      <c r="BS179" s="354"/>
      <c r="BT179" s="354"/>
      <c r="BU179" s="354"/>
      <c r="BV179" s="354"/>
    </row>
    <row r="180" spans="8:74" x14ac:dyDescent="0.2">
      <c r="H180" s="555"/>
      <c r="I180" s="4"/>
      <c r="L180" s="4"/>
      <c r="M180" s="4"/>
      <c r="N180" s="4"/>
      <c r="O180" s="4"/>
      <c r="P180" s="4"/>
      <c r="Q180" s="4"/>
      <c r="R180" s="4"/>
      <c r="S180" s="4"/>
      <c r="W180" s="354"/>
      <c r="X180" s="354"/>
      <c r="Y180" s="354"/>
      <c r="Z180" s="354"/>
      <c r="AB180" s="354"/>
      <c r="AC180" s="354"/>
      <c r="AD180" s="354"/>
      <c r="AE180" s="354"/>
      <c r="AF180" s="549"/>
      <c r="AG180" s="354"/>
      <c r="AH180" s="354"/>
      <c r="AI180" s="354"/>
      <c r="AK180" s="354"/>
      <c r="AL180" s="354"/>
      <c r="AM180" s="354"/>
      <c r="AN180" s="354"/>
      <c r="AO180" s="354"/>
      <c r="AP180" s="354"/>
      <c r="AQ180" s="354"/>
      <c r="AR180" s="354"/>
      <c r="AT180" s="354"/>
      <c r="AU180" s="354"/>
      <c r="AV180" s="354"/>
      <c r="AW180" s="354"/>
      <c r="AX180" s="354"/>
      <c r="AY180" s="354"/>
      <c r="AZ180" s="354"/>
      <c r="BA180" s="354"/>
      <c r="BB180" s="354"/>
      <c r="BC180" s="354"/>
      <c r="BD180" s="354"/>
      <c r="BE180" s="354"/>
      <c r="BF180" s="354"/>
      <c r="BG180" s="354"/>
      <c r="BH180" s="354"/>
      <c r="BI180" s="354"/>
      <c r="BK180" s="550"/>
      <c r="BL180" s="559"/>
      <c r="BM180" s="559"/>
      <c r="BN180" s="9"/>
      <c r="BO180" s="48"/>
      <c r="BP180" s="354"/>
      <c r="BQ180" s="354"/>
      <c r="BR180" s="354"/>
      <c r="BS180" s="354"/>
      <c r="BT180" s="354"/>
      <c r="BU180" s="354"/>
      <c r="BV180" s="354"/>
    </row>
    <row r="181" spans="8:74" x14ac:dyDescent="0.2">
      <c r="H181" s="555"/>
      <c r="I181" s="4"/>
      <c r="L181" s="4"/>
      <c r="M181" s="4"/>
      <c r="N181" s="4"/>
      <c r="O181" s="4"/>
      <c r="P181" s="4"/>
      <c r="Q181" s="4"/>
      <c r="R181" s="4"/>
      <c r="S181" s="4"/>
      <c r="W181" s="354"/>
      <c r="X181" s="354"/>
      <c r="Y181" s="354"/>
      <c r="Z181" s="354"/>
      <c r="AB181" s="354"/>
      <c r="AC181" s="354"/>
      <c r="AD181" s="354"/>
      <c r="AE181" s="354"/>
      <c r="AF181" s="549"/>
      <c r="AG181" s="354"/>
      <c r="AH181" s="354"/>
      <c r="AI181" s="354"/>
      <c r="AK181" s="354"/>
      <c r="AL181" s="354"/>
      <c r="AM181" s="354"/>
      <c r="AN181" s="354"/>
      <c r="AO181" s="354"/>
      <c r="AP181" s="354"/>
      <c r="AQ181" s="354"/>
      <c r="AR181" s="354"/>
      <c r="AT181" s="354"/>
      <c r="AU181" s="354"/>
      <c r="AV181" s="354"/>
      <c r="AW181" s="354"/>
      <c r="AX181" s="354"/>
      <c r="AY181" s="354"/>
      <c r="AZ181" s="354"/>
      <c r="BA181" s="354"/>
      <c r="BB181" s="354"/>
      <c r="BC181" s="354"/>
      <c r="BD181" s="354"/>
      <c r="BE181" s="354"/>
      <c r="BF181" s="354"/>
      <c r="BG181" s="354"/>
      <c r="BH181" s="354"/>
      <c r="BI181" s="354"/>
      <c r="BK181" s="550"/>
      <c r="BL181" s="559"/>
      <c r="BM181" s="559"/>
      <c r="BN181" s="9"/>
      <c r="BO181" s="48"/>
      <c r="BP181" s="354"/>
      <c r="BQ181" s="354"/>
      <c r="BR181" s="354"/>
      <c r="BS181" s="354"/>
      <c r="BT181" s="354"/>
      <c r="BU181" s="354"/>
      <c r="BV181" s="354"/>
    </row>
    <row r="182" spans="8:74" x14ac:dyDescent="0.2">
      <c r="H182" s="555"/>
      <c r="I182" s="4"/>
      <c r="L182" s="4"/>
      <c r="M182" s="4"/>
      <c r="N182" s="4"/>
      <c r="O182" s="4"/>
      <c r="P182" s="4"/>
      <c r="Q182" s="4"/>
      <c r="R182" s="4"/>
      <c r="S182" s="4"/>
      <c r="W182" s="354"/>
      <c r="X182" s="354"/>
      <c r="Y182" s="354"/>
      <c r="Z182" s="354"/>
      <c r="AB182" s="354"/>
      <c r="AC182" s="354"/>
      <c r="AD182" s="354"/>
      <c r="AE182" s="354"/>
      <c r="AF182" s="549"/>
      <c r="AG182" s="354"/>
      <c r="AH182" s="354"/>
      <c r="AI182" s="354"/>
      <c r="AK182" s="354"/>
      <c r="AL182" s="354"/>
      <c r="AM182" s="354"/>
      <c r="AN182" s="354"/>
      <c r="AO182" s="354"/>
      <c r="AP182" s="354"/>
      <c r="AQ182" s="354"/>
      <c r="AR182" s="354"/>
      <c r="AT182" s="354"/>
      <c r="AU182" s="354"/>
      <c r="AV182" s="354"/>
      <c r="AW182" s="354"/>
      <c r="AX182" s="354"/>
      <c r="AY182" s="354"/>
      <c r="AZ182" s="354"/>
      <c r="BA182" s="354"/>
      <c r="BB182" s="354"/>
      <c r="BC182" s="354"/>
      <c r="BD182" s="354"/>
      <c r="BE182" s="354"/>
      <c r="BF182" s="354"/>
      <c r="BG182" s="354"/>
      <c r="BH182" s="354"/>
      <c r="BI182" s="354"/>
      <c r="BK182" s="550"/>
      <c r="BL182" s="559"/>
      <c r="BM182" s="559"/>
      <c r="BN182" s="9"/>
      <c r="BO182" s="48"/>
      <c r="BP182" s="354"/>
      <c r="BQ182" s="354"/>
      <c r="BR182" s="354"/>
      <c r="BS182" s="354"/>
      <c r="BT182" s="354"/>
      <c r="BU182" s="354"/>
      <c r="BV182" s="354"/>
    </row>
    <row r="183" spans="8:74" x14ac:dyDescent="0.2">
      <c r="H183" s="555"/>
      <c r="I183" s="4"/>
      <c r="L183" s="4"/>
      <c r="M183" s="4"/>
      <c r="N183" s="4"/>
      <c r="O183" s="4"/>
      <c r="P183" s="4"/>
      <c r="Q183" s="4"/>
      <c r="R183" s="4"/>
      <c r="S183" s="4"/>
      <c r="W183" s="354"/>
      <c r="X183" s="354"/>
      <c r="Y183" s="354"/>
      <c r="Z183" s="354"/>
      <c r="AB183" s="354"/>
      <c r="AC183" s="354"/>
      <c r="AD183" s="354"/>
      <c r="AE183" s="354"/>
      <c r="AF183" s="549"/>
      <c r="AG183" s="354"/>
      <c r="AH183" s="354"/>
      <c r="AI183" s="354"/>
      <c r="AK183" s="354"/>
      <c r="AL183" s="354"/>
      <c r="AM183" s="354"/>
      <c r="AN183" s="354"/>
      <c r="AO183" s="354"/>
      <c r="AP183" s="354"/>
      <c r="AQ183" s="354"/>
      <c r="AR183" s="354"/>
      <c r="AT183" s="354"/>
      <c r="AU183" s="354"/>
      <c r="AV183" s="354"/>
      <c r="AW183" s="354"/>
      <c r="AX183" s="354"/>
      <c r="AY183" s="354"/>
      <c r="AZ183" s="354"/>
      <c r="BA183" s="354"/>
      <c r="BB183" s="354"/>
      <c r="BC183" s="354"/>
      <c r="BD183" s="354"/>
      <c r="BE183" s="354"/>
      <c r="BF183" s="354"/>
      <c r="BG183" s="354"/>
      <c r="BH183" s="354"/>
      <c r="BI183" s="354"/>
      <c r="BK183" s="550"/>
      <c r="BL183" s="559"/>
      <c r="BM183" s="559"/>
      <c r="BN183" s="9"/>
      <c r="BO183" s="48"/>
      <c r="BP183" s="354"/>
      <c r="BQ183" s="354"/>
      <c r="BR183" s="354"/>
      <c r="BS183" s="354"/>
      <c r="BT183" s="354"/>
      <c r="BU183" s="354"/>
      <c r="BV183" s="354"/>
    </row>
    <row r="184" spans="8:74" x14ac:dyDescent="0.2">
      <c r="H184" s="555"/>
      <c r="I184" s="4"/>
      <c r="L184" s="4"/>
      <c r="M184" s="4"/>
      <c r="N184" s="4"/>
      <c r="O184" s="4"/>
      <c r="P184" s="4"/>
      <c r="Q184" s="4"/>
      <c r="R184" s="4"/>
      <c r="S184" s="4"/>
      <c r="W184" s="354"/>
      <c r="X184" s="354"/>
      <c r="Y184" s="354"/>
      <c r="Z184" s="354"/>
      <c r="AB184" s="354"/>
      <c r="AC184" s="354"/>
      <c r="AD184" s="354"/>
      <c r="AE184" s="354"/>
      <c r="AF184" s="549"/>
      <c r="AG184" s="354"/>
      <c r="AH184" s="354"/>
      <c r="AI184" s="354"/>
      <c r="AK184" s="354"/>
      <c r="AL184" s="354"/>
      <c r="AM184" s="354"/>
      <c r="AN184" s="354"/>
      <c r="AO184" s="354"/>
      <c r="AP184" s="354"/>
      <c r="AQ184" s="354"/>
      <c r="AR184" s="354"/>
      <c r="AT184" s="354"/>
      <c r="AU184" s="354"/>
      <c r="AV184" s="354"/>
      <c r="AW184" s="354"/>
      <c r="AX184" s="354"/>
      <c r="AY184" s="354"/>
      <c r="AZ184" s="354"/>
      <c r="BA184" s="354"/>
      <c r="BB184" s="354"/>
      <c r="BC184" s="354"/>
      <c r="BD184" s="354"/>
      <c r="BE184" s="354"/>
      <c r="BF184" s="354"/>
      <c r="BG184" s="354"/>
      <c r="BH184" s="354"/>
      <c r="BI184" s="354"/>
      <c r="BK184" s="550"/>
      <c r="BL184" s="559"/>
      <c r="BM184" s="559"/>
      <c r="BN184" s="9"/>
      <c r="BO184" s="48"/>
      <c r="BP184" s="354"/>
      <c r="BQ184" s="354"/>
      <c r="BR184" s="354"/>
      <c r="BS184" s="354"/>
      <c r="BT184" s="354"/>
      <c r="BU184" s="354"/>
      <c r="BV184" s="354"/>
    </row>
    <row r="185" spans="8:74" x14ac:dyDescent="0.2">
      <c r="H185" s="555"/>
      <c r="I185" s="4"/>
      <c r="L185" s="4"/>
      <c r="M185" s="4"/>
      <c r="N185" s="4"/>
      <c r="O185" s="4"/>
      <c r="P185" s="4"/>
      <c r="Q185" s="4"/>
      <c r="R185" s="4"/>
      <c r="S185" s="4"/>
      <c r="W185" s="354"/>
      <c r="X185" s="354"/>
      <c r="Y185" s="354"/>
      <c r="Z185" s="354"/>
      <c r="AB185" s="354"/>
      <c r="AC185" s="354"/>
      <c r="AD185" s="354"/>
      <c r="AE185" s="354"/>
      <c r="AF185" s="549"/>
      <c r="AG185" s="354"/>
      <c r="AH185" s="354"/>
      <c r="AI185" s="354"/>
      <c r="AK185" s="354"/>
      <c r="AL185" s="354"/>
      <c r="AM185" s="354"/>
      <c r="AN185" s="354"/>
      <c r="AO185" s="354"/>
      <c r="AP185" s="354"/>
      <c r="AQ185" s="354"/>
      <c r="AR185" s="354"/>
      <c r="AT185" s="354"/>
      <c r="AU185" s="354"/>
      <c r="AV185" s="354"/>
      <c r="AW185" s="354"/>
      <c r="AX185" s="354"/>
      <c r="AY185" s="354"/>
      <c r="AZ185" s="354"/>
      <c r="BA185" s="354"/>
      <c r="BB185" s="354"/>
      <c r="BC185" s="354"/>
      <c r="BD185" s="354"/>
      <c r="BE185" s="354"/>
      <c r="BF185" s="354"/>
      <c r="BG185" s="354"/>
      <c r="BH185" s="354"/>
      <c r="BI185" s="354"/>
      <c r="BK185" s="550"/>
      <c r="BL185" s="559"/>
      <c r="BM185" s="559"/>
      <c r="BN185" s="9"/>
      <c r="BO185" s="48"/>
      <c r="BP185" s="354"/>
      <c r="BQ185" s="354"/>
      <c r="BR185" s="354"/>
      <c r="BS185" s="354"/>
      <c r="BT185" s="354"/>
      <c r="BU185" s="354"/>
      <c r="BV185" s="354"/>
    </row>
    <row r="186" spans="8:74" x14ac:dyDescent="0.2">
      <c r="H186" s="555"/>
      <c r="I186" s="4"/>
      <c r="L186" s="4"/>
      <c r="M186" s="4"/>
      <c r="N186" s="4"/>
      <c r="O186" s="4"/>
      <c r="P186" s="4"/>
      <c r="Q186" s="4"/>
      <c r="R186" s="4"/>
      <c r="S186" s="4"/>
      <c r="W186" s="354"/>
      <c r="X186" s="354"/>
      <c r="Y186" s="354"/>
      <c r="Z186" s="354"/>
      <c r="AB186" s="354"/>
      <c r="AC186" s="354"/>
      <c r="AD186" s="354"/>
      <c r="AE186" s="354"/>
      <c r="AF186" s="549"/>
      <c r="AG186" s="354"/>
      <c r="AH186" s="354"/>
      <c r="AI186" s="354"/>
      <c r="AK186" s="354"/>
      <c r="AL186" s="354"/>
      <c r="AM186" s="354"/>
      <c r="AN186" s="354"/>
      <c r="AO186" s="354"/>
      <c r="AP186" s="354"/>
      <c r="AQ186" s="354"/>
      <c r="AR186" s="354"/>
      <c r="AT186" s="354"/>
      <c r="AU186" s="354"/>
      <c r="AV186" s="354"/>
      <c r="AW186" s="354"/>
      <c r="AX186" s="354"/>
      <c r="AY186" s="354"/>
      <c r="AZ186" s="354"/>
      <c r="BA186" s="354"/>
      <c r="BB186" s="354"/>
      <c r="BC186" s="354"/>
      <c r="BD186" s="354"/>
      <c r="BE186" s="354"/>
      <c r="BF186" s="354"/>
      <c r="BG186" s="354"/>
      <c r="BH186" s="354"/>
      <c r="BI186" s="354"/>
      <c r="BK186" s="550"/>
      <c r="BL186" s="559"/>
      <c r="BM186" s="559"/>
      <c r="BN186" s="9"/>
      <c r="BO186" s="48"/>
      <c r="BP186" s="354"/>
      <c r="BQ186" s="354"/>
      <c r="BR186" s="354"/>
      <c r="BS186" s="354"/>
      <c r="BT186" s="354"/>
      <c r="BU186" s="354"/>
      <c r="BV186" s="354"/>
    </row>
    <row r="187" spans="8:74" x14ac:dyDescent="0.2">
      <c r="H187" s="555"/>
      <c r="I187" s="4"/>
      <c r="L187" s="4"/>
      <c r="M187" s="4"/>
      <c r="N187" s="4"/>
      <c r="O187" s="4"/>
      <c r="P187" s="4"/>
      <c r="Q187" s="4"/>
      <c r="R187" s="4"/>
      <c r="S187" s="4"/>
      <c r="W187" s="354"/>
      <c r="X187" s="354"/>
      <c r="Y187" s="354"/>
      <c r="Z187" s="354"/>
      <c r="AB187" s="354"/>
      <c r="AC187" s="354"/>
      <c r="AD187" s="354"/>
      <c r="AE187" s="354"/>
      <c r="AF187" s="549"/>
      <c r="AG187" s="354"/>
      <c r="AH187" s="354"/>
      <c r="AI187" s="354"/>
      <c r="AK187" s="354"/>
      <c r="AL187" s="354"/>
      <c r="AM187" s="354"/>
      <c r="AN187" s="354"/>
      <c r="AO187" s="354"/>
      <c r="AP187" s="354"/>
      <c r="AQ187" s="354"/>
      <c r="AR187" s="354"/>
      <c r="AT187" s="354"/>
      <c r="AU187" s="354"/>
      <c r="AV187" s="354"/>
      <c r="AW187" s="354"/>
      <c r="AX187" s="354"/>
      <c r="AY187" s="354"/>
      <c r="AZ187" s="354"/>
      <c r="BA187" s="354"/>
      <c r="BB187" s="354"/>
      <c r="BC187" s="354"/>
      <c r="BD187" s="354"/>
      <c r="BE187" s="354"/>
      <c r="BF187" s="354"/>
      <c r="BG187" s="354"/>
      <c r="BH187" s="354"/>
      <c r="BI187" s="354"/>
      <c r="BK187" s="550"/>
      <c r="BL187" s="559"/>
      <c r="BM187" s="559"/>
      <c r="BN187" s="9"/>
      <c r="BO187" s="48"/>
      <c r="BP187" s="354"/>
      <c r="BQ187" s="354"/>
      <c r="BR187" s="354"/>
      <c r="BS187" s="354"/>
      <c r="BT187" s="354"/>
      <c r="BU187" s="354"/>
      <c r="BV187" s="354"/>
    </row>
    <row r="188" spans="8:74" x14ac:dyDescent="0.2">
      <c r="H188" s="555"/>
      <c r="I188" s="4"/>
      <c r="L188" s="4"/>
      <c r="M188" s="4"/>
      <c r="N188" s="4"/>
      <c r="O188" s="4"/>
      <c r="P188" s="4"/>
      <c r="Q188" s="4"/>
      <c r="R188" s="4"/>
      <c r="S188" s="4"/>
      <c r="W188" s="354"/>
      <c r="X188" s="354"/>
      <c r="Y188" s="354"/>
      <c r="Z188" s="354"/>
      <c r="AB188" s="354"/>
      <c r="AC188" s="354"/>
      <c r="AD188" s="354"/>
      <c r="AE188" s="354"/>
      <c r="AF188" s="549"/>
      <c r="AG188" s="354"/>
      <c r="AH188" s="354"/>
      <c r="AI188" s="354"/>
      <c r="AK188" s="354"/>
      <c r="AL188" s="354"/>
      <c r="AM188" s="354"/>
      <c r="AN188" s="354"/>
      <c r="AO188" s="354"/>
      <c r="AP188" s="354"/>
      <c r="AQ188" s="354"/>
      <c r="AR188" s="354"/>
      <c r="AT188" s="354"/>
      <c r="AU188" s="354"/>
      <c r="AV188" s="354"/>
      <c r="AW188" s="354"/>
      <c r="AX188" s="354"/>
      <c r="AY188" s="354"/>
      <c r="AZ188" s="354"/>
      <c r="BA188" s="354"/>
      <c r="BB188" s="354"/>
      <c r="BC188" s="354"/>
      <c r="BD188" s="354"/>
      <c r="BE188" s="354"/>
      <c r="BF188" s="354"/>
      <c r="BG188" s="354"/>
      <c r="BH188" s="354"/>
      <c r="BI188" s="354"/>
      <c r="BK188" s="550"/>
      <c r="BL188" s="559"/>
      <c r="BM188" s="559"/>
      <c r="BN188" s="9"/>
      <c r="BO188" s="48"/>
      <c r="BP188" s="354"/>
      <c r="BQ188" s="354"/>
      <c r="BR188" s="354"/>
      <c r="BS188" s="354"/>
      <c r="BT188" s="354"/>
      <c r="BU188" s="354"/>
      <c r="BV188" s="354"/>
    </row>
    <row r="189" spans="8:74" x14ac:dyDescent="0.2">
      <c r="H189" s="555"/>
      <c r="I189" s="4"/>
      <c r="L189" s="4"/>
      <c r="M189" s="4"/>
      <c r="N189" s="4"/>
      <c r="O189" s="4"/>
      <c r="P189" s="4"/>
      <c r="Q189" s="4"/>
      <c r="R189" s="4"/>
      <c r="S189" s="4"/>
      <c r="W189" s="354"/>
      <c r="X189" s="354"/>
      <c r="Y189" s="354"/>
      <c r="Z189" s="354"/>
      <c r="AB189" s="354"/>
      <c r="AC189" s="354"/>
      <c r="AD189" s="354"/>
      <c r="AE189" s="354"/>
      <c r="AF189" s="549"/>
      <c r="AG189" s="354"/>
      <c r="AH189" s="354"/>
      <c r="AI189" s="354"/>
      <c r="AK189" s="354"/>
      <c r="AL189" s="354"/>
      <c r="AM189" s="354"/>
      <c r="AN189" s="354"/>
      <c r="AO189" s="354"/>
      <c r="AP189" s="354"/>
      <c r="AQ189" s="354"/>
      <c r="AR189" s="354"/>
      <c r="AT189" s="354"/>
      <c r="AU189" s="354"/>
      <c r="AV189" s="354"/>
      <c r="AW189" s="354"/>
      <c r="AX189" s="354"/>
      <c r="AY189" s="354"/>
      <c r="AZ189" s="354"/>
      <c r="BA189" s="354"/>
      <c r="BB189" s="354"/>
      <c r="BC189" s="354"/>
      <c r="BD189" s="354"/>
      <c r="BE189" s="354"/>
      <c r="BF189" s="354"/>
      <c r="BG189" s="354"/>
      <c r="BH189" s="354"/>
      <c r="BI189" s="354"/>
      <c r="BK189" s="550"/>
      <c r="BL189" s="559"/>
      <c r="BM189" s="559"/>
      <c r="BN189" s="9"/>
      <c r="BO189" s="48"/>
      <c r="BP189" s="354"/>
      <c r="BQ189" s="354"/>
      <c r="BR189" s="354"/>
      <c r="BS189" s="354"/>
      <c r="BT189" s="354"/>
      <c r="BU189" s="354"/>
      <c r="BV189" s="354"/>
    </row>
    <row r="190" spans="8:74" x14ac:dyDescent="0.2">
      <c r="H190" s="555"/>
      <c r="I190" s="4"/>
      <c r="L190" s="4"/>
      <c r="M190" s="4"/>
      <c r="N190" s="4"/>
      <c r="O190" s="4"/>
      <c r="P190" s="4"/>
      <c r="Q190" s="4"/>
      <c r="R190" s="4"/>
      <c r="S190" s="4"/>
      <c r="W190" s="354"/>
      <c r="X190" s="354"/>
      <c r="Y190" s="354"/>
      <c r="Z190" s="354"/>
      <c r="AB190" s="354"/>
      <c r="AC190" s="354"/>
      <c r="AD190" s="354"/>
      <c r="AE190" s="354"/>
      <c r="AF190" s="549"/>
      <c r="AG190" s="354"/>
      <c r="AH190" s="354"/>
      <c r="AI190" s="354"/>
      <c r="AK190" s="354"/>
      <c r="AL190" s="354"/>
      <c r="AM190" s="354"/>
      <c r="AN190" s="354"/>
      <c r="AO190" s="354"/>
      <c r="AP190" s="354"/>
      <c r="AQ190" s="354"/>
      <c r="AR190" s="354"/>
      <c r="AT190" s="354"/>
      <c r="AU190" s="354"/>
      <c r="AV190" s="354"/>
      <c r="AW190" s="354"/>
      <c r="AX190" s="354"/>
      <c r="AY190" s="354"/>
      <c r="AZ190" s="354"/>
      <c r="BA190" s="354"/>
      <c r="BB190" s="354"/>
      <c r="BC190" s="354"/>
      <c r="BD190" s="354"/>
      <c r="BE190" s="354"/>
      <c r="BF190" s="354"/>
      <c r="BG190" s="354"/>
      <c r="BH190" s="354"/>
      <c r="BI190" s="354"/>
      <c r="BK190" s="550"/>
      <c r="BL190" s="559"/>
      <c r="BM190" s="559"/>
      <c r="BN190" s="9"/>
      <c r="BO190" s="48"/>
      <c r="BP190" s="354"/>
      <c r="BQ190" s="354"/>
      <c r="BR190" s="354"/>
      <c r="BS190" s="354"/>
      <c r="BT190" s="354"/>
      <c r="BU190" s="354"/>
      <c r="BV190" s="354"/>
    </row>
    <row r="191" spans="8:74" x14ac:dyDescent="0.2">
      <c r="H191" s="555"/>
      <c r="I191" s="4"/>
      <c r="L191" s="4"/>
      <c r="M191" s="4"/>
      <c r="N191" s="4"/>
      <c r="O191" s="4"/>
      <c r="P191" s="4"/>
      <c r="Q191" s="4"/>
      <c r="R191" s="4"/>
      <c r="S191" s="4"/>
      <c r="W191" s="354"/>
      <c r="X191" s="354"/>
      <c r="Y191" s="354"/>
      <c r="Z191" s="354"/>
      <c r="AB191" s="354"/>
      <c r="AC191" s="354"/>
      <c r="AD191" s="354"/>
      <c r="AE191" s="354"/>
      <c r="AF191" s="549"/>
      <c r="AG191" s="354"/>
      <c r="AH191" s="354"/>
      <c r="AI191" s="354"/>
      <c r="AK191" s="354"/>
      <c r="AL191" s="354"/>
      <c r="AM191" s="354"/>
      <c r="AN191" s="354"/>
      <c r="AO191" s="354"/>
      <c r="AP191" s="354"/>
      <c r="AQ191" s="354"/>
      <c r="AR191" s="354"/>
      <c r="AT191" s="354"/>
      <c r="AU191" s="354"/>
      <c r="AV191" s="354"/>
      <c r="AW191" s="354"/>
      <c r="AX191" s="354"/>
      <c r="AY191" s="354"/>
      <c r="AZ191" s="354"/>
      <c r="BA191" s="354"/>
      <c r="BB191" s="354"/>
      <c r="BC191" s="354"/>
      <c r="BD191" s="354"/>
      <c r="BE191" s="354"/>
      <c r="BF191" s="354"/>
      <c r="BG191" s="354"/>
      <c r="BH191" s="354"/>
      <c r="BI191" s="354"/>
      <c r="BK191" s="550"/>
      <c r="BL191" s="559"/>
      <c r="BM191" s="559"/>
      <c r="BN191" s="9"/>
      <c r="BO191" s="48"/>
      <c r="BP191" s="354"/>
      <c r="BQ191" s="354"/>
      <c r="BR191" s="354"/>
      <c r="BS191" s="354"/>
      <c r="BT191" s="354"/>
      <c r="BU191" s="354"/>
      <c r="BV191" s="354"/>
    </row>
    <row r="192" spans="8:74" x14ac:dyDescent="0.2">
      <c r="H192" s="555"/>
      <c r="I192" s="4"/>
      <c r="L192" s="4"/>
      <c r="M192" s="4"/>
      <c r="N192" s="4"/>
      <c r="O192" s="4"/>
      <c r="P192" s="4"/>
      <c r="Q192" s="4"/>
      <c r="R192" s="4"/>
      <c r="S192" s="4"/>
      <c r="W192" s="354"/>
      <c r="X192" s="354"/>
      <c r="Y192" s="354"/>
      <c r="Z192" s="354"/>
      <c r="AB192" s="354"/>
      <c r="AC192" s="354"/>
      <c r="AD192" s="354"/>
      <c r="AE192" s="354"/>
      <c r="AF192" s="549"/>
      <c r="AG192" s="354"/>
      <c r="AH192" s="354"/>
      <c r="AI192" s="354"/>
      <c r="AK192" s="354"/>
      <c r="AL192" s="354"/>
      <c r="AM192" s="354"/>
      <c r="AN192" s="354"/>
      <c r="AO192" s="354"/>
      <c r="AP192" s="354"/>
      <c r="AQ192" s="354"/>
      <c r="AR192" s="354"/>
      <c r="AT192" s="354"/>
      <c r="AU192" s="354"/>
      <c r="AV192" s="354"/>
      <c r="AW192" s="354"/>
      <c r="AX192" s="354"/>
      <c r="AY192" s="354"/>
      <c r="AZ192" s="354"/>
      <c r="BA192" s="354"/>
      <c r="BB192" s="354"/>
      <c r="BC192" s="354"/>
      <c r="BD192" s="354"/>
      <c r="BE192" s="354"/>
      <c r="BF192" s="354"/>
      <c r="BG192" s="354"/>
      <c r="BH192" s="354"/>
      <c r="BI192" s="354"/>
      <c r="BK192" s="550"/>
      <c r="BL192" s="559"/>
      <c r="BM192" s="559"/>
      <c r="BN192" s="9"/>
      <c r="BO192" s="48"/>
      <c r="BP192" s="354"/>
      <c r="BQ192" s="354"/>
      <c r="BR192" s="354"/>
      <c r="BS192" s="354"/>
      <c r="BT192" s="354"/>
      <c r="BU192" s="354"/>
      <c r="BV192" s="354"/>
    </row>
    <row r="193" spans="8:74" x14ac:dyDescent="0.2">
      <c r="H193" s="555"/>
      <c r="I193" s="4"/>
      <c r="L193" s="4"/>
      <c r="M193" s="4"/>
      <c r="N193" s="4"/>
      <c r="O193" s="4"/>
      <c r="P193" s="4"/>
      <c r="Q193" s="4"/>
      <c r="R193" s="4"/>
      <c r="S193" s="4"/>
      <c r="W193" s="354"/>
      <c r="X193" s="354"/>
      <c r="Y193" s="354"/>
      <c r="Z193" s="354"/>
      <c r="AB193" s="354"/>
      <c r="AC193" s="354"/>
      <c r="AD193" s="354"/>
      <c r="AE193" s="354"/>
      <c r="AF193" s="549"/>
      <c r="AG193" s="354"/>
      <c r="AH193" s="354"/>
      <c r="AI193" s="354"/>
      <c r="AK193" s="354"/>
      <c r="AL193" s="354"/>
      <c r="AM193" s="354"/>
      <c r="AN193" s="354"/>
      <c r="AO193" s="354"/>
      <c r="AP193" s="354"/>
      <c r="AQ193" s="354"/>
      <c r="AR193" s="354"/>
      <c r="AT193" s="354"/>
      <c r="AU193" s="354"/>
      <c r="AV193" s="354"/>
      <c r="AW193" s="354"/>
      <c r="AX193" s="354"/>
      <c r="AY193" s="354"/>
      <c r="AZ193" s="354"/>
      <c r="BA193" s="354"/>
      <c r="BB193" s="354"/>
      <c r="BC193" s="354"/>
      <c r="BD193" s="354"/>
      <c r="BE193" s="354"/>
      <c r="BF193" s="354"/>
      <c r="BG193" s="354"/>
      <c r="BH193" s="354"/>
      <c r="BI193" s="354"/>
      <c r="BK193" s="550"/>
      <c r="BL193" s="559"/>
      <c r="BM193" s="559"/>
      <c r="BN193" s="9"/>
      <c r="BO193" s="48"/>
      <c r="BP193" s="354"/>
      <c r="BQ193" s="354"/>
      <c r="BR193" s="354"/>
      <c r="BS193" s="354"/>
      <c r="BT193" s="354"/>
      <c r="BU193" s="354"/>
      <c r="BV193" s="354"/>
    </row>
    <row r="194" spans="8:74" x14ac:dyDescent="0.2">
      <c r="H194" s="555"/>
      <c r="I194" s="4"/>
      <c r="L194" s="4"/>
      <c r="M194" s="4"/>
      <c r="N194" s="4"/>
      <c r="O194" s="4"/>
      <c r="P194" s="4"/>
      <c r="Q194" s="4"/>
      <c r="R194" s="4"/>
      <c r="S194" s="4"/>
      <c r="W194" s="354"/>
      <c r="X194" s="354"/>
      <c r="Y194" s="354"/>
      <c r="Z194" s="354"/>
      <c r="AB194" s="354"/>
      <c r="AC194" s="354"/>
      <c r="AD194" s="354"/>
      <c r="AE194" s="354"/>
      <c r="AF194" s="549"/>
      <c r="AG194" s="354"/>
      <c r="AH194" s="354"/>
      <c r="AI194" s="354"/>
      <c r="AK194" s="354"/>
      <c r="AL194" s="354"/>
      <c r="AM194" s="354"/>
      <c r="AN194" s="354"/>
      <c r="AO194" s="354"/>
      <c r="AP194" s="354"/>
      <c r="AQ194" s="354"/>
      <c r="AR194" s="354"/>
      <c r="AT194" s="354"/>
      <c r="AU194" s="354"/>
      <c r="AV194" s="354"/>
      <c r="AW194" s="354"/>
      <c r="AX194" s="354"/>
      <c r="AY194" s="354"/>
      <c r="AZ194" s="354"/>
      <c r="BA194" s="354"/>
      <c r="BB194" s="354"/>
      <c r="BC194" s="354"/>
      <c r="BD194" s="354"/>
      <c r="BE194" s="354"/>
      <c r="BF194" s="354"/>
      <c r="BG194" s="354"/>
      <c r="BH194" s="354"/>
      <c r="BI194" s="354"/>
      <c r="BK194" s="550"/>
      <c r="BL194" s="559"/>
      <c r="BM194" s="559"/>
      <c r="BN194" s="9"/>
      <c r="BO194" s="48"/>
      <c r="BP194" s="354"/>
      <c r="BQ194" s="354"/>
      <c r="BR194" s="354"/>
      <c r="BS194" s="354"/>
      <c r="BT194" s="354"/>
      <c r="BU194" s="354"/>
      <c r="BV194" s="354"/>
    </row>
    <row r="195" spans="8:74" x14ac:dyDescent="0.2">
      <c r="H195" s="555"/>
      <c r="I195" s="4"/>
      <c r="L195" s="4"/>
      <c r="M195" s="4"/>
      <c r="N195" s="4"/>
      <c r="O195" s="4"/>
      <c r="P195" s="4"/>
      <c r="Q195" s="4"/>
      <c r="R195" s="4"/>
      <c r="S195" s="4"/>
      <c r="W195" s="354"/>
      <c r="X195" s="354"/>
      <c r="Y195" s="354"/>
      <c r="Z195" s="354"/>
      <c r="AB195" s="354"/>
      <c r="AC195" s="354"/>
      <c r="AD195" s="354"/>
      <c r="AE195" s="354"/>
      <c r="AF195" s="549"/>
      <c r="AG195" s="354"/>
      <c r="AH195" s="354"/>
      <c r="AI195" s="354"/>
      <c r="AK195" s="354"/>
      <c r="AL195" s="354"/>
      <c r="AM195" s="354"/>
      <c r="AN195" s="354"/>
      <c r="AO195" s="354"/>
      <c r="AP195" s="354"/>
      <c r="AQ195" s="354"/>
      <c r="AR195" s="354"/>
      <c r="AT195" s="354"/>
      <c r="AU195" s="354"/>
      <c r="AV195" s="354"/>
      <c r="AW195" s="354"/>
      <c r="AX195" s="354"/>
      <c r="AY195" s="354"/>
      <c r="AZ195" s="354"/>
      <c r="BA195" s="354"/>
      <c r="BB195" s="354"/>
      <c r="BC195" s="354"/>
      <c r="BD195" s="354"/>
      <c r="BE195" s="354"/>
      <c r="BF195" s="354"/>
      <c r="BG195" s="354"/>
      <c r="BH195" s="354"/>
      <c r="BI195" s="354"/>
      <c r="BK195" s="550"/>
      <c r="BL195" s="559"/>
      <c r="BM195" s="559"/>
      <c r="BN195" s="9"/>
      <c r="BO195" s="48"/>
      <c r="BP195" s="354"/>
      <c r="BQ195" s="354"/>
      <c r="BR195" s="354"/>
      <c r="BS195" s="354"/>
      <c r="BT195" s="354"/>
      <c r="BU195" s="354"/>
      <c r="BV195" s="354"/>
    </row>
    <row r="196" spans="8:74" x14ac:dyDescent="0.2">
      <c r="H196" s="555"/>
      <c r="I196" s="4"/>
      <c r="L196" s="4"/>
      <c r="M196" s="4"/>
      <c r="N196" s="4"/>
      <c r="O196" s="4"/>
      <c r="P196" s="4"/>
      <c r="Q196" s="4"/>
      <c r="R196" s="4"/>
      <c r="S196" s="4"/>
      <c r="W196" s="354"/>
      <c r="X196" s="354"/>
      <c r="Y196" s="354"/>
      <c r="Z196" s="354"/>
      <c r="AB196" s="354"/>
      <c r="AC196" s="354"/>
      <c r="AD196" s="354"/>
      <c r="AE196" s="354"/>
      <c r="AF196" s="549"/>
      <c r="AG196" s="354"/>
      <c r="AH196" s="354"/>
      <c r="AI196" s="354"/>
      <c r="AK196" s="354"/>
      <c r="AL196" s="354"/>
      <c r="AM196" s="354"/>
      <c r="AN196" s="354"/>
      <c r="AO196" s="354"/>
      <c r="AP196" s="354"/>
      <c r="AQ196" s="354"/>
      <c r="AR196" s="354"/>
      <c r="AT196" s="354"/>
      <c r="AU196" s="354"/>
      <c r="AV196" s="354"/>
      <c r="AW196" s="354"/>
      <c r="AX196" s="354"/>
      <c r="AY196" s="354"/>
      <c r="AZ196" s="354"/>
      <c r="BA196" s="354"/>
      <c r="BB196" s="354"/>
      <c r="BC196" s="354"/>
      <c r="BD196" s="354"/>
      <c r="BE196" s="354"/>
      <c r="BF196" s="354"/>
      <c r="BG196" s="354"/>
      <c r="BH196" s="354"/>
      <c r="BI196" s="354"/>
      <c r="BK196" s="550"/>
      <c r="BL196" s="559"/>
      <c r="BM196" s="559"/>
      <c r="BN196" s="9"/>
      <c r="BO196" s="48"/>
      <c r="BP196" s="354"/>
      <c r="BQ196" s="354"/>
      <c r="BR196" s="354"/>
      <c r="BS196" s="354"/>
      <c r="BT196" s="354"/>
      <c r="BU196" s="354"/>
      <c r="BV196" s="354"/>
    </row>
    <row r="197" spans="8:74" x14ac:dyDescent="0.2">
      <c r="H197" s="555"/>
      <c r="I197" s="4"/>
      <c r="L197" s="4"/>
      <c r="M197" s="4"/>
      <c r="N197" s="4"/>
      <c r="O197" s="4"/>
      <c r="P197" s="4"/>
      <c r="Q197" s="4"/>
      <c r="R197" s="4"/>
      <c r="S197" s="4"/>
      <c r="W197" s="354"/>
      <c r="X197" s="354"/>
      <c r="Y197" s="354"/>
      <c r="Z197" s="354"/>
      <c r="AB197" s="354"/>
      <c r="AC197" s="354"/>
      <c r="AD197" s="354"/>
      <c r="AE197" s="354"/>
      <c r="AF197" s="549"/>
      <c r="AG197" s="354"/>
      <c r="AH197" s="354"/>
      <c r="AI197" s="354"/>
      <c r="AK197" s="354"/>
      <c r="AL197" s="354"/>
      <c r="AM197" s="354"/>
      <c r="AN197" s="354"/>
      <c r="AO197" s="354"/>
      <c r="AP197" s="354"/>
      <c r="AQ197" s="354"/>
      <c r="AR197" s="354"/>
      <c r="AT197" s="354"/>
      <c r="AU197" s="354"/>
      <c r="AV197" s="354"/>
      <c r="AW197" s="354"/>
      <c r="AX197" s="354"/>
      <c r="AY197" s="354"/>
      <c r="AZ197" s="354"/>
      <c r="BA197" s="354"/>
      <c r="BB197" s="354"/>
      <c r="BC197" s="354"/>
      <c r="BD197" s="354"/>
      <c r="BE197" s="354"/>
      <c r="BF197" s="354"/>
      <c r="BG197" s="354"/>
      <c r="BH197" s="354"/>
      <c r="BI197" s="354"/>
      <c r="BK197" s="550"/>
      <c r="BL197" s="559"/>
      <c r="BM197" s="559"/>
      <c r="BN197" s="9"/>
      <c r="BO197" s="48"/>
      <c r="BP197" s="354"/>
      <c r="BQ197" s="354"/>
      <c r="BR197" s="354"/>
      <c r="BS197" s="354"/>
      <c r="BT197" s="354"/>
      <c r="BU197" s="354"/>
      <c r="BV197" s="354"/>
    </row>
    <row r="198" spans="8:74" x14ac:dyDescent="0.2">
      <c r="H198" s="555"/>
      <c r="I198" s="4"/>
      <c r="L198" s="4"/>
      <c r="M198" s="4"/>
      <c r="N198" s="4"/>
      <c r="O198" s="4"/>
      <c r="P198" s="4"/>
      <c r="Q198" s="4"/>
      <c r="R198" s="4"/>
      <c r="S198" s="4"/>
      <c r="W198" s="354"/>
      <c r="X198" s="354"/>
      <c r="Y198" s="354"/>
      <c r="Z198" s="354"/>
      <c r="AB198" s="354"/>
      <c r="AC198" s="354"/>
      <c r="AD198" s="354"/>
      <c r="AE198" s="354"/>
      <c r="AF198" s="549"/>
      <c r="AG198" s="354"/>
      <c r="AH198" s="354"/>
      <c r="AI198" s="354"/>
      <c r="AK198" s="354"/>
      <c r="AL198" s="354"/>
      <c r="AM198" s="354"/>
      <c r="AN198" s="354"/>
      <c r="AO198" s="354"/>
      <c r="AP198" s="354"/>
      <c r="AQ198" s="354"/>
      <c r="AR198" s="354"/>
      <c r="AT198" s="354"/>
      <c r="AU198" s="354"/>
      <c r="AV198" s="354"/>
      <c r="AW198" s="354"/>
      <c r="AX198" s="354"/>
      <c r="AY198" s="354"/>
      <c r="AZ198" s="354"/>
      <c r="BA198" s="354"/>
      <c r="BB198" s="354"/>
      <c r="BC198" s="354"/>
      <c r="BD198" s="354"/>
      <c r="BE198" s="354"/>
      <c r="BF198" s="354"/>
      <c r="BG198" s="354"/>
      <c r="BH198" s="354"/>
      <c r="BI198" s="354"/>
      <c r="BK198" s="550"/>
      <c r="BL198" s="559"/>
      <c r="BM198" s="559"/>
      <c r="BN198" s="9"/>
      <c r="BO198" s="48"/>
      <c r="BP198" s="354"/>
      <c r="BQ198" s="354"/>
      <c r="BR198" s="354"/>
      <c r="BS198" s="354"/>
      <c r="BT198" s="354"/>
      <c r="BU198" s="354"/>
      <c r="BV198" s="354"/>
    </row>
    <row r="199" spans="8:74" x14ac:dyDescent="0.2">
      <c r="H199" s="555"/>
      <c r="I199" s="4"/>
      <c r="L199" s="4"/>
      <c r="M199" s="4"/>
      <c r="N199" s="4"/>
      <c r="O199" s="4"/>
      <c r="P199" s="4"/>
      <c r="Q199" s="4"/>
      <c r="R199" s="4"/>
      <c r="S199" s="4"/>
      <c r="W199" s="354"/>
      <c r="X199" s="354"/>
      <c r="Y199" s="354"/>
      <c r="Z199" s="354"/>
      <c r="AB199" s="354"/>
      <c r="AC199" s="354"/>
      <c r="AD199" s="354"/>
      <c r="AE199" s="354"/>
      <c r="AF199" s="549"/>
      <c r="AG199" s="354"/>
      <c r="AH199" s="354"/>
      <c r="AI199" s="354"/>
      <c r="AK199" s="354"/>
      <c r="AL199" s="354"/>
      <c r="AM199" s="354"/>
      <c r="AN199" s="354"/>
      <c r="AO199" s="354"/>
      <c r="AP199" s="354"/>
      <c r="AQ199" s="354"/>
      <c r="AR199" s="354"/>
      <c r="AT199" s="354"/>
      <c r="AU199" s="354"/>
      <c r="AV199" s="354"/>
      <c r="AW199" s="354"/>
      <c r="AX199" s="354"/>
      <c r="AY199" s="354"/>
      <c r="AZ199" s="354"/>
      <c r="BA199" s="354"/>
      <c r="BB199" s="354"/>
      <c r="BC199" s="354"/>
      <c r="BD199" s="354"/>
      <c r="BE199" s="354"/>
      <c r="BF199" s="354"/>
      <c r="BG199" s="354"/>
      <c r="BH199" s="354"/>
      <c r="BI199" s="354"/>
      <c r="BK199" s="550"/>
      <c r="BL199" s="559"/>
      <c r="BM199" s="559"/>
      <c r="BN199" s="9"/>
      <c r="BO199" s="48"/>
      <c r="BP199" s="354"/>
      <c r="BQ199" s="354"/>
      <c r="BR199" s="354"/>
      <c r="BS199" s="354"/>
      <c r="BT199" s="354"/>
      <c r="BU199" s="354"/>
      <c r="BV199" s="354"/>
    </row>
    <row r="200" spans="8:74" x14ac:dyDescent="0.2">
      <c r="H200" s="555"/>
      <c r="I200" s="4"/>
      <c r="L200" s="4"/>
      <c r="M200" s="4"/>
      <c r="N200" s="4"/>
      <c r="O200" s="4"/>
      <c r="P200" s="4"/>
      <c r="Q200" s="4"/>
      <c r="R200" s="4"/>
      <c r="S200" s="4"/>
      <c r="W200" s="354"/>
      <c r="X200" s="354"/>
      <c r="Y200" s="354"/>
      <c r="Z200" s="354"/>
      <c r="AB200" s="354"/>
      <c r="AC200" s="354"/>
      <c r="AD200" s="354"/>
      <c r="AE200" s="354"/>
      <c r="AF200" s="549"/>
      <c r="AG200" s="354"/>
      <c r="AH200" s="354"/>
      <c r="AI200" s="354"/>
      <c r="AK200" s="354"/>
      <c r="AL200" s="354"/>
      <c r="AM200" s="354"/>
      <c r="AN200" s="354"/>
      <c r="AO200" s="354"/>
      <c r="AP200" s="354"/>
      <c r="AQ200" s="354"/>
      <c r="AR200" s="354"/>
      <c r="AT200" s="354"/>
      <c r="AU200" s="354"/>
      <c r="AV200" s="354"/>
      <c r="AW200" s="354"/>
      <c r="AX200" s="354"/>
      <c r="AY200" s="354"/>
      <c r="AZ200" s="354"/>
      <c r="BA200" s="354"/>
      <c r="BB200" s="354"/>
      <c r="BC200" s="354"/>
      <c r="BD200" s="354"/>
      <c r="BE200" s="354"/>
      <c r="BF200" s="354"/>
      <c r="BG200" s="354"/>
      <c r="BH200" s="354"/>
      <c r="BI200" s="354"/>
      <c r="BK200" s="550"/>
      <c r="BL200" s="559"/>
      <c r="BM200" s="559"/>
      <c r="BN200" s="9"/>
      <c r="BO200" s="48"/>
      <c r="BP200" s="354"/>
      <c r="BQ200" s="354"/>
      <c r="BR200" s="354"/>
      <c r="BS200" s="354"/>
      <c r="BT200" s="354"/>
      <c r="BU200" s="354"/>
      <c r="BV200" s="354"/>
    </row>
    <row r="201" spans="8:74" x14ac:dyDescent="0.2">
      <c r="H201" s="555"/>
      <c r="I201" s="4"/>
      <c r="L201" s="4"/>
      <c r="M201" s="4"/>
      <c r="N201" s="4"/>
      <c r="O201" s="4"/>
      <c r="P201" s="4"/>
      <c r="Q201" s="4"/>
      <c r="R201" s="4"/>
      <c r="S201" s="4"/>
      <c r="W201" s="354"/>
      <c r="X201" s="354"/>
      <c r="Y201" s="354"/>
      <c r="Z201" s="354"/>
      <c r="AB201" s="354"/>
      <c r="AC201" s="354"/>
      <c r="AD201" s="354"/>
      <c r="AE201" s="354"/>
      <c r="AF201" s="549"/>
      <c r="AG201" s="354"/>
      <c r="AH201" s="354"/>
      <c r="AI201" s="354"/>
      <c r="AK201" s="354"/>
      <c r="AL201" s="354"/>
      <c r="AM201" s="354"/>
      <c r="AN201" s="354"/>
      <c r="AO201" s="354"/>
      <c r="AP201" s="354"/>
      <c r="AQ201" s="354"/>
      <c r="AR201" s="354"/>
      <c r="AT201" s="354"/>
      <c r="AU201" s="354"/>
      <c r="AV201" s="354"/>
      <c r="AW201" s="354"/>
      <c r="AX201" s="354"/>
      <c r="AY201" s="354"/>
      <c r="AZ201" s="354"/>
      <c r="BA201" s="354"/>
      <c r="BB201" s="354"/>
      <c r="BC201" s="354"/>
      <c r="BD201" s="354"/>
      <c r="BE201" s="354"/>
      <c r="BF201" s="354"/>
      <c r="BG201" s="354"/>
      <c r="BH201" s="354"/>
      <c r="BI201" s="354"/>
      <c r="BK201" s="550"/>
      <c r="BL201" s="559"/>
      <c r="BM201" s="559"/>
      <c r="BN201" s="9"/>
      <c r="BO201" s="48"/>
      <c r="BP201" s="354"/>
      <c r="BQ201" s="354"/>
      <c r="BR201" s="354"/>
      <c r="BS201" s="354"/>
      <c r="BT201" s="354"/>
      <c r="BU201" s="354"/>
      <c r="BV201" s="354"/>
    </row>
    <row r="202" spans="8:74" x14ac:dyDescent="0.2">
      <c r="H202" s="555"/>
      <c r="I202" s="4"/>
      <c r="L202" s="4"/>
      <c r="M202" s="4"/>
      <c r="N202" s="4"/>
      <c r="O202" s="4"/>
      <c r="P202" s="4"/>
      <c r="Q202" s="4"/>
      <c r="R202" s="4"/>
      <c r="S202" s="4"/>
      <c r="W202" s="354"/>
      <c r="X202" s="354"/>
      <c r="Y202" s="354"/>
      <c r="Z202" s="354"/>
      <c r="AB202" s="354"/>
      <c r="AC202" s="354"/>
      <c r="AD202" s="354"/>
      <c r="AE202" s="354"/>
      <c r="AF202" s="549"/>
      <c r="AG202" s="354"/>
      <c r="AH202" s="354"/>
      <c r="AI202" s="354"/>
      <c r="AK202" s="354"/>
      <c r="AL202" s="354"/>
      <c r="AM202" s="354"/>
      <c r="AN202" s="354"/>
      <c r="AO202" s="354"/>
      <c r="AP202" s="354"/>
      <c r="AQ202" s="354"/>
      <c r="AR202" s="354"/>
      <c r="AT202" s="354"/>
      <c r="AU202" s="354"/>
      <c r="AV202" s="354"/>
      <c r="AW202" s="354"/>
      <c r="AX202" s="354"/>
      <c r="AY202" s="354"/>
      <c r="AZ202" s="354"/>
      <c r="BA202" s="354"/>
      <c r="BB202" s="354"/>
      <c r="BC202" s="354"/>
      <c r="BD202" s="354"/>
      <c r="BE202" s="354"/>
      <c r="BF202" s="354"/>
      <c r="BG202" s="354"/>
      <c r="BH202" s="354"/>
      <c r="BI202" s="354"/>
      <c r="BK202" s="550"/>
      <c r="BL202" s="559"/>
      <c r="BM202" s="559"/>
      <c r="BN202" s="9"/>
      <c r="BO202" s="48"/>
      <c r="BP202" s="354"/>
      <c r="BQ202" s="354"/>
      <c r="BR202" s="354"/>
      <c r="BS202" s="354"/>
      <c r="BT202" s="354"/>
      <c r="BU202" s="354"/>
      <c r="BV202" s="354"/>
    </row>
    <row r="203" spans="8:74" x14ac:dyDescent="0.2">
      <c r="H203" s="555"/>
      <c r="I203" s="4"/>
      <c r="L203" s="4"/>
      <c r="M203" s="4"/>
      <c r="N203" s="4"/>
      <c r="O203" s="4"/>
      <c r="P203" s="4"/>
      <c r="Q203" s="4"/>
      <c r="R203" s="4"/>
      <c r="S203" s="4"/>
      <c r="W203" s="354"/>
      <c r="X203" s="354"/>
      <c r="Y203" s="354"/>
      <c r="Z203" s="354"/>
      <c r="AB203" s="354"/>
      <c r="AC203" s="354"/>
      <c r="AD203" s="354"/>
      <c r="AE203" s="354"/>
      <c r="AF203" s="549"/>
      <c r="AG203" s="354"/>
      <c r="AH203" s="354"/>
      <c r="AI203" s="354"/>
      <c r="AK203" s="354"/>
      <c r="AL203" s="354"/>
      <c r="AM203" s="354"/>
      <c r="AN203" s="354"/>
      <c r="AO203" s="354"/>
      <c r="AP203" s="354"/>
      <c r="AQ203" s="354"/>
      <c r="AR203" s="354"/>
      <c r="AT203" s="354"/>
      <c r="AU203" s="354"/>
      <c r="AV203" s="354"/>
      <c r="AW203" s="354"/>
      <c r="AX203" s="354"/>
      <c r="AY203" s="354"/>
      <c r="AZ203" s="354"/>
      <c r="BA203" s="354"/>
      <c r="BB203" s="354"/>
      <c r="BC203" s="354"/>
      <c r="BD203" s="354"/>
      <c r="BE203" s="354"/>
      <c r="BF203" s="354"/>
      <c r="BG203" s="354"/>
      <c r="BH203" s="354"/>
      <c r="BI203" s="354"/>
      <c r="BK203" s="550"/>
      <c r="BL203" s="559"/>
      <c r="BM203" s="559"/>
      <c r="BN203" s="9"/>
      <c r="BO203" s="48"/>
      <c r="BP203" s="354"/>
      <c r="BQ203" s="354"/>
      <c r="BR203" s="354"/>
      <c r="BS203" s="354"/>
      <c r="BT203" s="354"/>
      <c r="BU203" s="354"/>
      <c r="BV203" s="354"/>
    </row>
    <row r="204" spans="8:74" x14ac:dyDescent="0.2">
      <c r="H204" s="555"/>
      <c r="I204" s="4"/>
      <c r="L204" s="4"/>
      <c r="M204" s="4"/>
      <c r="N204" s="4"/>
      <c r="O204" s="4"/>
      <c r="P204" s="4"/>
      <c r="Q204" s="4"/>
      <c r="R204" s="4"/>
      <c r="S204" s="4"/>
      <c r="W204" s="354"/>
      <c r="X204" s="354"/>
      <c r="Y204" s="354"/>
      <c r="Z204" s="354"/>
      <c r="AB204" s="354"/>
      <c r="AC204" s="354"/>
      <c r="AD204" s="354"/>
      <c r="AE204" s="354"/>
      <c r="AF204" s="549"/>
      <c r="AG204" s="354"/>
      <c r="AH204" s="354"/>
      <c r="AI204" s="354"/>
      <c r="AK204" s="354"/>
      <c r="AL204" s="354"/>
      <c r="AM204" s="354"/>
      <c r="AN204" s="354"/>
      <c r="AO204" s="354"/>
      <c r="AP204" s="354"/>
      <c r="AQ204" s="354"/>
      <c r="AR204" s="354"/>
      <c r="AT204" s="354"/>
      <c r="AU204" s="354"/>
      <c r="AV204" s="354"/>
      <c r="AW204" s="354"/>
      <c r="AX204" s="354"/>
      <c r="AY204" s="354"/>
      <c r="AZ204" s="354"/>
      <c r="BA204" s="354"/>
      <c r="BB204" s="354"/>
      <c r="BC204" s="354"/>
      <c r="BD204" s="354"/>
      <c r="BE204" s="354"/>
      <c r="BF204" s="354"/>
      <c r="BG204" s="354"/>
      <c r="BH204" s="354"/>
      <c r="BI204" s="354"/>
      <c r="BK204" s="550"/>
      <c r="BL204" s="559"/>
      <c r="BM204" s="559"/>
      <c r="BN204" s="9"/>
      <c r="BO204" s="48"/>
      <c r="BP204" s="354"/>
      <c r="BQ204" s="354"/>
      <c r="BR204" s="354"/>
      <c r="BS204" s="354"/>
      <c r="BT204" s="354"/>
      <c r="BU204" s="354"/>
      <c r="BV204" s="354"/>
    </row>
    <row r="205" spans="8:74" x14ac:dyDescent="0.2">
      <c r="H205" s="555"/>
      <c r="I205" s="4"/>
      <c r="L205" s="4"/>
      <c r="M205" s="4"/>
      <c r="N205" s="4"/>
      <c r="O205" s="4"/>
      <c r="P205" s="4"/>
      <c r="Q205" s="4"/>
      <c r="R205" s="4"/>
      <c r="S205" s="4"/>
      <c r="W205" s="354"/>
      <c r="X205" s="354"/>
      <c r="Y205" s="354"/>
      <c r="Z205" s="354"/>
      <c r="AB205" s="354"/>
      <c r="AC205" s="354"/>
      <c r="AD205" s="354"/>
      <c r="AE205" s="354"/>
      <c r="AF205" s="549"/>
      <c r="AG205" s="354"/>
      <c r="AH205" s="354"/>
      <c r="AI205" s="354"/>
      <c r="AK205" s="354"/>
      <c r="AL205" s="354"/>
      <c r="AM205" s="354"/>
      <c r="AN205" s="354"/>
      <c r="AO205" s="354"/>
      <c r="AP205" s="354"/>
      <c r="AQ205" s="354"/>
      <c r="AR205" s="354"/>
      <c r="AT205" s="354"/>
      <c r="AU205" s="354"/>
      <c r="AV205" s="354"/>
      <c r="AW205" s="354"/>
      <c r="AX205" s="354"/>
      <c r="AY205" s="354"/>
      <c r="AZ205" s="354"/>
      <c r="BA205" s="354"/>
      <c r="BB205" s="354"/>
      <c r="BC205" s="354"/>
      <c r="BD205" s="354"/>
      <c r="BE205" s="354"/>
      <c r="BF205" s="354"/>
      <c r="BG205" s="354"/>
      <c r="BH205" s="354"/>
      <c r="BI205" s="354"/>
      <c r="BK205" s="550"/>
      <c r="BL205" s="559"/>
      <c r="BM205" s="559"/>
      <c r="BN205" s="9"/>
      <c r="BO205" s="48"/>
      <c r="BP205" s="354"/>
      <c r="BQ205" s="354"/>
      <c r="BR205" s="354"/>
      <c r="BS205" s="354"/>
      <c r="BT205" s="354"/>
      <c r="BU205" s="354"/>
      <c r="BV205" s="354"/>
    </row>
    <row r="206" spans="8:74" x14ac:dyDescent="0.2">
      <c r="H206" s="555"/>
      <c r="I206" s="4"/>
      <c r="L206" s="4"/>
      <c r="M206" s="4"/>
      <c r="N206" s="4"/>
      <c r="O206" s="4"/>
      <c r="P206" s="4"/>
      <c r="Q206" s="4"/>
      <c r="R206" s="4"/>
      <c r="S206" s="4"/>
      <c r="W206" s="354"/>
      <c r="X206" s="354"/>
      <c r="Y206" s="354"/>
      <c r="Z206" s="354"/>
      <c r="AB206" s="354"/>
      <c r="AC206" s="354"/>
      <c r="AD206" s="354"/>
      <c r="AE206" s="354"/>
      <c r="AF206" s="549"/>
      <c r="AG206" s="354"/>
      <c r="AH206" s="354"/>
      <c r="AI206" s="354"/>
      <c r="AK206" s="354"/>
      <c r="AL206" s="354"/>
      <c r="AM206" s="354"/>
      <c r="AN206" s="354"/>
      <c r="AO206" s="354"/>
      <c r="AP206" s="354"/>
      <c r="AQ206" s="354"/>
      <c r="AR206" s="354"/>
      <c r="AT206" s="354"/>
      <c r="AU206" s="354"/>
      <c r="AV206" s="354"/>
      <c r="AW206" s="354"/>
      <c r="AX206" s="354"/>
      <c r="AY206" s="354"/>
      <c r="AZ206" s="354"/>
      <c r="BA206" s="354"/>
      <c r="BB206" s="354"/>
      <c r="BC206" s="354"/>
      <c r="BD206" s="354"/>
      <c r="BE206" s="354"/>
      <c r="BF206" s="354"/>
      <c r="BG206" s="354"/>
      <c r="BH206" s="354"/>
      <c r="BI206" s="354"/>
      <c r="BK206" s="550"/>
      <c r="BL206" s="559"/>
      <c r="BM206" s="559"/>
      <c r="BN206" s="9"/>
      <c r="BO206" s="48"/>
      <c r="BP206" s="354"/>
      <c r="BQ206" s="354"/>
      <c r="BR206" s="354"/>
      <c r="BS206" s="354"/>
      <c r="BT206" s="354"/>
      <c r="BU206" s="354"/>
      <c r="BV206" s="354"/>
    </row>
    <row r="207" spans="8:74" x14ac:dyDescent="0.2">
      <c r="H207" s="555"/>
      <c r="I207" s="4"/>
      <c r="L207" s="4"/>
      <c r="M207" s="4"/>
      <c r="N207" s="4"/>
      <c r="O207" s="4"/>
      <c r="P207" s="4"/>
      <c r="Q207" s="4"/>
      <c r="R207" s="4"/>
      <c r="S207" s="4"/>
      <c r="W207" s="354"/>
      <c r="X207" s="354"/>
      <c r="Y207" s="354"/>
      <c r="Z207" s="354"/>
      <c r="AB207" s="354"/>
      <c r="AC207" s="354"/>
      <c r="AD207" s="354"/>
      <c r="AE207" s="354"/>
      <c r="AF207" s="549"/>
      <c r="AG207" s="354"/>
      <c r="AH207" s="354"/>
      <c r="AI207" s="354"/>
      <c r="AK207" s="354"/>
      <c r="AL207" s="354"/>
      <c r="AM207" s="354"/>
      <c r="AN207" s="354"/>
      <c r="AO207" s="354"/>
      <c r="AP207" s="354"/>
      <c r="AQ207" s="354"/>
      <c r="AR207" s="354"/>
      <c r="AT207" s="354"/>
      <c r="AU207" s="354"/>
      <c r="AV207" s="354"/>
      <c r="AW207" s="354"/>
      <c r="AX207" s="354"/>
      <c r="AY207" s="354"/>
      <c r="AZ207" s="354"/>
      <c r="BA207" s="354"/>
      <c r="BB207" s="354"/>
      <c r="BC207" s="354"/>
      <c r="BD207" s="354"/>
      <c r="BE207" s="354"/>
      <c r="BF207" s="354"/>
      <c r="BG207" s="354"/>
      <c r="BH207" s="354"/>
      <c r="BI207" s="354"/>
      <c r="BK207" s="550"/>
      <c r="BL207" s="559"/>
      <c r="BM207" s="559"/>
      <c r="BN207" s="9"/>
      <c r="BO207" s="48"/>
      <c r="BP207" s="354"/>
      <c r="BQ207" s="354"/>
      <c r="BR207" s="354"/>
      <c r="BS207" s="354"/>
      <c r="BT207" s="354"/>
      <c r="BU207" s="354"/>
      <c r="BV207" s="354"/>
    </row>
    <row r="208" spans="8:74" x14ac:dyDescent="0.2">
      <c r="H208" s="555"/>
      <c r="I208" s="4"/>
      <c r="L208" s="4"/>
      <c r="M208" s="4"/>
      <c r="N208" s="4"/>
      <c r="O208" s="4"/>
      <c r="P208" s="4"/>
      <c r="Q208" s="4"/>
      <c r="R208" s="4"/>
      <c r="S208" s="4"/>
      <c r="W208" s="354"/>
      <c r="X208" s="354"/>
      <c r="Y208" s="354"/>
      <c r="Z208" s="354"/>
      <c r="AB208" s="354"/>
      <c r="AC208" s="354"/>
      <c r="AD208" s="354"/>
      <c r="AE208" s="354"/>
      <c r="AF208" s="549"/>
      <c r="AG208" s="354"/>
      <c r="AH208" s="354"/>
      <c r="AI208" s="354"/>
      <c r="AK208" s="354"/>
      <c r="AL208" s="354"/>
      <c r="AM208" s="354"/>
      <c r="AN208" s="354"/>
      <c r="AO208" s="354"/>
      <c r="AP208" s="354"/>
      <c r="AQ208" s="354"/>
      <c r="AR208" s="354"/>
      <c r="AT208" s="354"/>
      <c r="AU208" s="354"/>
      <c r="AV208" s="354"/>
      <c r="AW208" s="354"/>
      <c r="AX208" s="354"/>
      <c r="AY208" s="354"/>
      <c r="AZ208" s="354"/>
      <c r="BA208" s="354"/>
      <c r="BB208" s="354"/>
      <c r="BC208" s="354"/>
      <c r="BD208" s="354"/>
      <c r="BE208" s="354"/>
      <c r="BF208" s="354"/>
      <c r="BG208" s="354"/>
      <c r="BH208" s="354"/>
      <c r="BI208" s="354"/>
      <c r="BK208" s="550"/>
      <c r="BL208" s="559"/>
      <c r="BM208" s="559"/>
      <c r="BN208" s="9"/>
      <c r="BO208" s="48"/>
      <c r="BP208" s="354"/>
      <c r="BQ208" s="354"/>
      <c r="BR208" s="354"/>
      <c r="BS208" s="354"/>
      <c r="BT208" s="354"/>
      <c r="BU208" s="354"/>
      <c r="BV208" s="354"/>
    </row>
    <row r="209" spans="8:74" x14ac:dyDescent="0.2">
      <c r="H209" s="555"/>
      <c r="I209" s="4"/>
      <c r="L209" s="4"/>
      <c r="M209" s="4"/>
      <c r="N209" s="4"/>
      <c r="O209" s="4"/>
      <c r="P209" s="4"/>
      <c r="Q209" s="4"/>
      <c r="R209" s="4"/>
      <c r="S209" s="4"/>
      <c r="W209" s="354"/>
      <c r="X209" s="354"/>
      <c r="Y209" s="354"/>
      <c r="Z209" s="354"/>
      <c r="AB209" s="354"/>
      <c r="AC209" s="354"/>
      <c r="AD209" s="354"/>
      <c r="AE209" s="354"/>
      <c r="AF209" s="549"/>
      <c r="AG209" s="354"/>
      <c r="AH209" s="354"/>
      <c r="AI209" s="354"/>
      <c r="AK209" s="354"/>
      <c r="AL209" s="354"/>
      <c r="AM209" s="354"/>
      <c r="AN209" s="354"/>
      <c r="AO209" s="354"/>
      <c r="AP209" s="354"/>
      <c r="AQ209" s="354"/>
      <c r="AR209" s="354"/>
      <c r="AT209" s="354"/>
      <c r="AU209" s="354"/>
      <c r="AV209" s="354"/>
      <c r="AW209" s="354"/>
      <c r="AX209" s="354"/>
      <c r="AY209" s="354"/>
      <c r="AZ209" s="354"/>
      <c r="BA209" s="354"/>
      <c r="BB209" s="354"/>
      <c r="BC209" s="354"/>
      <c r="BD209" s="354"/>
      <c r="BE209" s="354"/>
      <c r="BF209" s="354"/>
      <c r="BG209" s="354"/>
      <c r="BH209" s="354"/>
      <c r="BI209" s="354"/>
      <c r="BK209" s="550"/>
      <c r="BL209" s="559"/>
      <c r="BM209" s="559"/>
      <c r="BN209" s="9"/>
      <c r="BO209" s="48"/>
      <c r="BP209" s="354"/>
      <c r="BQ209" s="354"/>
      <c r="BR209" s="354"/>
      <c r="BS209" s="354"/>
      <c r="BT209" s="354"/>
      <c r="BU209" s="354"/>
      <c r="BV209" s="354"/>
    </row>
  </sheetData>
  <sheetProtection selectLockedCells="1"/>
  <mergeCells count="13">
    <mergeCell ref="BO7:BV7"/>
    <mergeCell ref="AG7:AK7"/>
    <mergeCell ref="AL7:AO7"/>
    <mergeCell ref="AP7:AT7"/>
    <mergeCell ref="AU7:AX7"/>
    <mergeCell ref="BE7:BH7"/>
    <mergeCell ref="BI7:BM7"/>
    <mergeCell ref="AD7:AF7"/>
    <mergeCell ref="A1:D4"/>
    <mergeCell ref="A6:D7"/>
    <mergeCell ref="G7:V7"/>
    <mergeCell ref="W7:Z7"/>
    <mergeCell ref="AA7:AC7"/>
  </mergeCells>
  <pageMargins left="0.75" right="0.75" top="1" bottom="1" header="0.5" footer="0.5"/>
  <pageSetup orientation="portrait" r:id="rId1"/>
  <headerFooter alignWithMargins="0"/>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2:S159"/>
  <sheetViews>
    <sheetView topLeftCell="B1" workbookViewId="0">
      <selection activeCell="Q16" sqref="Q16"/>
    </sheetView>
  </sheetViews>
  <sheetFormatPr defaultRowHeight="12.75" x14ac:dyDescent="0.2"/>
  <cols>
    <col min="1" max="1" width="17.28515625" customWidth="1"/>
    <col min="2" max="2" width="12" bestFit="1" customWidth="1"/>
    <col min="3" max="6" width="12.42578125" bestFit="1" customWidth="1"/>
    <col min="9" max="10" width="12.42578125" bestFit="1" customWidth="1"/>
    <col min="11" max="11" width="12.7109375" bestFit="1" customWidth="1"/>
    <col min="13" max="13" width="12.42578125" bestFit="1" customWidth="1"/>
    <col min="16" max="16" width="12.140625" customWidth="1"/>
    <col min="17" max="17" width="12.42578125" bestFit="1" customWidth="1"/>
    <col min="18" max="18" width="15.42578125" customWidth="1"/>
  </cols>
  <sheetData>
    <row r="2" spans="1:19" x14ac:dyDescent="0.2">
      <c r="A2" t="s">
        <v>190</v>
      </c>
      <c r="B2" t="s">
        <v>181</v>
      </c>
      <c r="C2" t="s">
        <v>33</v>
      </c>
      <c r="D2" t="s">
        <v>34</v>
      </c>
      <c r="E2" s="114" t="s">
        <v>1241</v>
      </c>
      <c r="F2" s="114" t="s">
        <v>1242</v>
      </c>
      <c r="G2" t="s">
        <v>27</v>
      </c>
      <c r="H2" t="s">
        <v>61</v>
      </c>
      <c r="I2" s="3" t="s">
        <v>1091</v>
      </c>
      <c r="J2" s="114" t="str">
        <f>P19</f>
        <v>C_limitcomp</v>
      </c>
      <c r="K2" s="114" t="s">
        <v>1113</v>
      </c>
      <c r="L2" t="s">
        <v>201</v>
      </c>
      <c r="M2" s="114" t="s">
        <v>1261</v>
      </c>
    </row>
    <row r="3" spans="1:19" x14ac:dyDescent="0.2">
      <c r="A3" t="s">
        <v>193</v>
      </c>
      <c r="B3" s="602">
        <f>Css</f>
        <v>2.5000000000000002E-6</v>
      </c>
      <c r="C3" s="602">
        <f>Cc1ea</f>
        <v>1.6323583906861055E-8</v>
      </c>
      <c r="D3" s="602">
        <f>Cc2ea</f>
        <v>2.3903807122263175E-10</v>
      </c>
      <c r="E3" s="602">
        <f>Q32</f>
        <v>2.213900953212189E-8</v>
      </c>
      <c r="F3" s="602">
        <f>Q33</f>
        <v>1.8196446190785114E-7</v>
      </c>
      <c r="G3" s="602">
        <f>Cout</f>
        <v>1E-4</v>
      </c>
      <c r="H3" s="602">
        <f>Cin</f>
        <v>1E-4</v>
      </c>
      <c r="I3" s="602">
        <f>C_ILimit_HF</f>
        <v>1.061032953945969E-10</v>
      </c>
      <c r="J3" s="602">
        <f>Q19</f>
        <v>7.2542111095194297E-10</v>
      </c>
      <c r="K3" s="602">
        <f>C_CS</f>
        <v>1.802387831771561E-10</v>
      </c>
      <c r="L3">
        <f>Csby</f>
        <v>0</v>
      </c>
      <c r="M3">
        <f>Co2_</f>
        <v>4.0793426885377071E-5</v>
      </c>
      <c r="P3" t="s">
        <v>195</v>
      </c>
      <c r="Q3" t="s">
        <v>196</v>
      </c>
      <c r="R3" s="2" t="s">
        <v>192</v>
      </c>
    </row>
    <row r="4" spans="1:19" x14ac:dyDescent="0.2">
      <c r="A4" s="7" t="s">
        <v>192</v>
      </c>
      <c r="B4" s="750">
        <f t="shared" ref="B4:I4" si="0">SUM(B6:B158)/1000000000000</f>
        <v>2.7E-6</v>
      </c>
      <c r="C4" s="750">
        <f t="shared" si="0"/>
        <v>1.4999999999999999E-8</v>
      </c>
      <c r="D4" s="750">
        <f t="shared" si="0"/>
        <v>2.1999999999999999E-10</v>
      </c>
      <c r="E4" s="750">
        <f t="shared" si="0"/>
        <v>2.1999999999999998E-8</v>
      </c>
      <c r="F4" s="750">
        <f t="shared" si="0"/>
        <v>1.8E-7</v>
      </c>
      <c r="G4" s="750">
        <f t="shared" si="0"/>
        <v>1E-4</v>
      </c>
      <c r="H4" s="750">
        <f t="shared" si="0"/>
        <v>1E-4</v>
      </c>
      <c r="I4" s="750">
        <f t="shared" si="0"/>
        <v>1E-10</v>
      </c>
      <c r="J4" s="750">
        <f>IF(J3="OPEN","OPEN",SUM(J6:J158)/1000000000000)</f>
        <v>6.8000000000000003E-10</v>
      </c>
      <c r="K4" s="750">
        <f>IF(K3="OPEN","OPEN",SUM(K6:K158)/1000000000000)</f>
        <v>1.8E-10</v>
      </c>
      <c r="L4" s="7">
        <f>IF(L3="OPEN","OPEN",SUM(L6:L158)/1000000000000)</f>
        <v>0</v>
      </c>
      <c r="M4" s="750">
        <f>IF(M3="OPEN","OPEN",SUM(M6:M158)/1000000000000)</f>
        <v>3.8999999999999999E-5</v>
      </c>
      <c r="P4" s="114" t="s">
        <v>351</v>
      </c>
      <c r="Q4">
        <f>Rfadj</f>
        <v>52083.333333333336</v>
      </c>
      <c r="R4" s="2">
        <f t="shared" ref="R4:R9" si="1">IF(Q4&gt;(INT(0.5+100*POWER(10,IF(96*(LOG(Q4)-INT(LOG(Q4)))-ROUND(96*(LOG(Q4)-INT(LOG(Q4))),0)&lt;0,ROUND(96*(LOG(Q4)-INT(LOG(Q4))),0)-1,ROUND(96*(LOG(Q4)-INT(LOG(Q4))),0))/96))*POWER(10,INT(LOG(Q4))-2)+INT(0.5+100*POWER(10,(IF(96*(LOG(Q4)-INT(LOG(Q4)))-ROUND(96*(LOG(Q4)-INT(LOG(Q4))),0)&lt;0,ROUND(96*(LOG(Q4)-INT(LOG(Q4))),0)-1,ROUND(96*(LOG(Q4)-INT(LOG(Q4))),0))+1)/96))*POWER(10,INT(LOG(Q4))-2))/2,INT(0.5+100*POWER(10,(IF(96*(LOG(Q4)-INT(LOG(Q4)))-ROUND(96*(LOG(Q4)-INT(LOG(Q4))),0)&lt;0,ROUND(96*(LOG(Q4)-INT(LOG(Q4))),0)-1,ROUND(96*(LOG(Q4)-INT(LOG(Q4))),0))+1)/96))*POWER(10,INT(LOG(Q4))-2),INT(0.5+100*POWER(10,IF(96*(LOG(Q4)-INT(LOG(Q4)))-ROUND(96*(LOG(Q4)-INT(LOG(Q4))),0)&lt;0,ROUND(96*(LOG(Q4)-INT(LOG(Q4))),0)-1,ROUND(96*(LOG(Q4)-INT(LOG(Q4))),0))/96))*POWER(10,INT(LOG(Q4))-2))</f>
        <v>52300</v>
      </c>
      <c r="S4" s="45" t="s">
        <v>339</v>
      </c>
    </row>
    <row r="5" spans="1:19" x14ac:dyDescent="0.2">
      <c r="A5" t="s">
        <v>191</v>
      </c>
      <c r="R5" s="2"/>
      <c r="S5" s="45"/>
    </row>
    <row r="6" spans="1:19" x14ac:dyDescent="0.2">
      <c r="A6">
        <v>0.47</v>
      </c>
      <c r="B6">
        <f t="shared" ref="B6:M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K6">
        <f t="shared" si="2"/>
        <v>0</v>
      </c>
      <c r="L6">
        <f t="shared" si="2"/>
        <v>0</v>
      </c>
      <c r="M6">
        <f t="shared" si="2"/>
        <v>0</v>
      </c>
      <c r="P6" s="114" t="s">
        <v>431</v>
      </c>
      <c r="Q6" s="53">
        <f>Rshunt</f>
        <v>10</v>
      </c>
      <c r="R6" s="2">
        <f t="shared" si="1"/>
        <v>10</v>
      </c>
      <c r="S6" s="45" t="s">
        <v>339</v>
      </c>
    </row>
    <row r="7" spans="1:19" x14ac:dyDescent="0.2">
      <c r="A7">
        <v>0.56000000000000005</v>
      </c>
      <c r="B7">
        <f t="shared" ref="B7:B70" si="3">IF(IF((B$3*10^12-$A8)*(B$3*10^12-$A7)*-1&lt;0,0,1)*IF(ABS(B$3*10^12-$A8)&gt;(B$3*10^12-$A7),$A7,$A8)=B8,0,IF((B$3*10^12-$A8)*(B$3*10^12-$A7)*-1&lt;0,0,1)*IF(ABS(B$3*10^12-$A8)&gt;(B$3*10^12-$A7),$A7,$A8))</f>
        <v>0</v>
      </c>
      <c r="C7">
        <f t="shared" ref="C7:E38" si="4">IF(IF((C$3*10^12-$A8)*(C$3*10^12-$A7)*-1&lt;0,0,1)*IF(ABS(C$3*10^12-$A8)&gt;(C$3*10^12-$A7),$A7,$A8)=C8,0,IF((C$3*10^12-$A8)*(C$3*10^12-$A7)*-1&lt;0,0,1)*IF(ABS(C$3*10^12-$A8)&gt;(C$3*10^12-$A7),$A7,$A8))</f>
        <v>0</v>
      </c>
      <c r="D7">
        <f t="shared" ref="D7:F69" si="5">IF(IF((D$3*10^12-$A8)*(D$3*10^12-$A7)*-1&lt;0,0,1)*IF(ABS(D$3*10^12-$A8)&gt;(D$3*10^12-$A7),$A7,$A8)=D8,0,IF((D$3*10^12-$A8)*(D$3*10^12-$A7)*-1&lt;0,0,1)*IF(ABS(D$3*10^12-$A8)&gt;(D$3*10^12-$A7),$A7,$A8))</f>
        <v>0</v>
      </c>
      <c r="E7">
        <f t="shared" si="4"/>
        <v>0</v>
      </c>
      <c r="F7">
        <f t="shared" si="5"/>
        <v>0</v>
      </c>
      <c r="G7">
        <f t="shared" ref="G7:G69" si="6">IF(IF((G$3*10^12-$A8)*(G$3*10^12-$A7)*-1&lt;0,0,1)*IF(ABS(G$3*10^12-$A8)&gt;(G$3*10^12-$A7),$A7,$A8)=G8,0,IF((G$3*10^12-$A8)*(G$3*10^12-$A7)*-1&lt;0,0,1)*IF(ABS(G$3*10^12-$A8)&gt;(G$3*10^12-$A7),$A7,$A8))</f>
        <v>0</v>
      </c>
      <c r="H7">
        <f t="shared" ref="H7:H69" si="7">IF(IF((H$3*10^12-$A8)*(H$3*10^12-$A7)*-1&lt;0,0,1)*IF(ABS(H$3*10^12-$A8)&gt;(H$3*10^12-$A7),$A7,$A8)=H8,0,IF((H$3*10^12-$A8)*(H$3*10^12-$A7)*-1&lt;0,0,1)*IF(ABS(H$3*10^12-$A8)&gt;(H$3*10^12-$A7),$A7,$A8))</f>
        <v>0</v>
      </c>
      <c r="I7">
        <f t="shared" ref="I7:M69" si="8">IF(IF((I$3*10^12-$A8)*(I$3*10^12-$A7)*-1&lt;0,0,1)*IF(ABS(I$3*10^12-$A8)&gt;(I$3*10^12-$A7),$A7,$A8)=I8,0,IF((I$3*10^12-$A8)*(I$3*10^12-$A7)*-1&lt;0,0,1)*IF(ABS(I$3*10^12-$A8)&gt;(I$3*10^12-$A7),$A7,$A8))</f>
        <v>0</v>
      </c>
      <c r="J7">
        <f t="shared" si="8"/>
        <v>0</v>
      </c>
      <c r="K7">
        <f t="shared" si="8"/>
        <v>0</v>
      </c>
      <c r="L7">
        <f t="shared" si="8"/>
        <v>0</v>
      </c>
      <c r="M7">
        <f t="shared" si="8"/>
        <v>0</v>
      </c>
      <c r="P7" t="s">
        <v>212</v>
      </c>
      <c r="Q7">
        <f>Rcea1</f>
        <v>4968.952380427857</v>
      </c>
      <c r="R7" s="2">
        <f t="shared" si="1"/>
        <v>4990</v>
      </c>
      <c r="S7" s="45" t="s">
        <v>339</v>
      </c>
    </row>
    <row r="8" spans="1:19" x14ac:dyDescent="0.2">
      <c r="A8">
        <v>0.68</v>
      </c>
      <c r="B8">
        <f t="shared" si="3"/>
        <v>0</v>
      </c>
      <c r="C8">
        <f t="shared" si="4"/>
        <v>0</v>
      </c>
      <c r="D8">
        <f t="shared" si="5"/>
        <v>0</v>
      </c>
      <c r="E8">
        <f t="shared" si="4"/>
        <v>0</v>
      </c>
      <c r="F8">
        <f t="shared" si="5"/>
        <v>0</v>
      </c>
      <c r="G8">
        <f t="shared" si="6"/>
        <v>0</v>
      </c>
      <c r="H8">
        <f t="shared" si="7"/>
        <v>0</v>
      </c>
      <c r="I8">
        <f t="shared" si="8"/>
        <v>0</v>
      </c>
      <c r="J8">
        <f t="shared" si="8"/>
        <v>0</v>
      </c>
      <c r="K8">
        <f t="shared" si="8"/>
        <v>0</v>
      </c>
      <c r="L8">
        <f t="shared" si="8"/>
        <v>0</v>
      </c>
      <c r="M8">
        <f t="shared" si="8"/>
        <v>0</v>
      </c>
      <c r="R8" s="2"/>
      <c r="S8" s="45"/>
    </row>
    <row r="9" spans="1:19" x14ac:dyDescent="0.2">
      <c r="A9">
        <v>0.82</v>
      </c>
      <c r="B9">
        <f t="shared" si="3"/>
        <v>0</v>
      </c>
      <c r="C9">
        <f t="shared" si="4"/>
        <v>0</v>
      </c>
      <c r="D9">
        <f t="shared" si="5"/>
        <v>0</v>
      </c>
      <c r="E9">
        <f t="shared" si="4"/>
        <v>0</v>
      </c>
      <c r="F9">
        <f t="shared" si="5"/>
        <v>0</v>
      </c>
      <c r="G9">
        <f t="shared" si="6"/>
        <v>0</v>
      </c>
      <c r="H9">
        <f t="shared" si="7"/>
        <v>0</v>
      </c>
      <c r="I9">
        <f t="shared" si="8"/>
        <v>0</v>
      </c>
      <c r="J9">
        <f t="shared" si="8"/>
        <v>0</v>
      </c>
      <c r="K9">
        <f t="shared" si="8"/>
        <v>0</v>
      </c>
      <c r="L9">
        <f t="shared" si="8"/>
        <v>0</v>
      </c>
      <c r="M9">
        <f t="shared" si="8"/>
        <v>0</v>
      </c>
      <c r="P9" t="s">
        <v>31</v>
      </c>
      <c r="Q9">
        <f>Rfb1_</f>
        <v>82000</v>
      </c>
      <c r="R9" s="2">
        <f t="shared" si="1"/>
        <v>82500</v>
      </c>
      <c r="S9" s="45" t="s">
        <v>339</v>
      </c>
    </row>
    <row r="10" spans="1:19" x14ac:dyDescent="0.2">
      <c r="A10">
        <v>1</v>
      </c>
      <c r="B10">
        <f t="shared" si="3"/>
        <v>0</v>
      </c>
      <c r="C10">
        <f t="shared" si="4"/>
        <v>0</v>
      </c>
      <c r="D10">
        <f t="shared" si="5"/>
        <v>0</v>
      </c>
      <c r="E10">
        <f t="shared" si="4"/>
        <v>0</v>
      </c>
      <c r="F10">
        <f t="shared" si="5"/>
        <v>0</v>
      </c>
      <c r="G10">
        <f t="shared" si="6"/>
        <v>0</v>
      </c>
      <c r="H10">
        <f t="shared" si="7"/>
        <v>0</v>
      </c>
      <c r="I10">
        <f t="shared" si="8"/>
        <v>0</v>
      </c>
      <c r="J10">
        <f t="shared" si="8"/>
        <v>0</v>
      </c>
      <c r="K10">
        <f t="shared" si="8"/>
        <v>0</v>
      </c>
      <c r="L10">
        <f t="shared" si="8"/>
        <v>0</v>
      </c>
      <c r="M10">
        <f t="shared" si="8"/>
        <v>0</v>
      </c>
      <c r="P10" t="s">
        <v>43</v>
      </c>
      <c r="Q10">
        <f>Rfb2_</f>
        <v>6029.4117647058829</v>
      </c>
      <c r="R10" s="2">
        <f>IF(Q10="OPEN","OPEN",IF(Q10&gt;(INT(0.5+100*POWER(10,IF(96*(LOG(Q10)-INT(LOG(Q10)))-ROUND(96*(LOG(Q10)-INT(LOG(Q10))),0)&lt;0,ROUND(96*(LOG(Q10)-INT(LOG(Q10))),0)-1,ROUND(96*(LOG(Q10)-INT(LOG(Q10))),0))/96))*POWER(10,INT(LOG(Q10))-2)+INT(0.5+100*POWER(10,(IF(96*(LOG(Q10)-INT(LOG(Q10)))-ROUND(96*(LOG(Q10)-INT(LOG(Q10))),0)&lt;0,ROUND(96*(LOG(Q10)-INT(LOG(Q10))),0)-1,ROUND(96*(LOG(Q10)-INT(LOG(Q10))),0))+1)/96))*POWER(10,INT(LOG(Q10))-2))/2,INT(0.5+100*POWER(10,(IF(96*(LOG(Q10)-INT(LOG(Q10)))-ROUND(96*(LOG(Q10)-INT(LOG(Q10))),0)&lt;0,ROUND(96*(LOG(Q10)-INT(LOG(Q10))),0)-1,ROUND(96*(LOG(Q10)-INT(LOG(Q10))),0))+1)/96))*POWER(10,INT(LOG(Q10))-2),INT(0.5+100*POWER(10,IF(96*(LOG(Q10)-INT(LOG(Q10)))-ROUND(96*(LOG(Q10)-INT(LOG(Q10))),0)&lt;0,ROUND(96*(LOG(Q10)-INT(LOG(Q10))),0)-1,ROUND(96*(LOG(Q10)-INT(LOG(Q10))),0))/96))*POWER(10,INT(LOG(Q10))-2)))</f>
        <v>6040</v>
      </c>
      <c r="S10" s="45" t="s">
        <v>339</v>
      </c>
    </row>
    <row r="11" spans="1:19" x14ac:dyDescent="0.2">
      <c r="A11">
        <v>1.2</v>
      </c>
      <c r="B11">
        <f t="shared" si="3"/>
        <v>0</v>
      </c>
      <c r="C11">
        <f t="shared" si="4"/>
        <v>0</v>
      </c>
      <c r="D11">
        <f t="shared" si="5"/>
        <v>0</v>
      </c>
      <c r="E11">
        <f t="shared" si="4"/>
        <v>0</v>
      </c>
      <c r="F11">
        <f t="shared" si="5"/>
        <v>0</v>
      </c>
      <c r="G11">
        <f t="shared" si="6"/>
        <v>0</v>
      </c>
      <c r="H11">
        <f t="shared" si="7"/>
        <v>0</v>
      </c>
      <c r="I11">
        <f t="shared" si="8"/>
        <v>0</v>
      </c>
      <c r="J11">
        <f t="shared" si="8"/>
        <v>0</v>
      </c>
      <c r="K11">
        <f t="shared" si="8"/>
        <v>0</v>
      </c>
      <c r="L11">
        <f t="shared" si="8"/>
        <v>0</v>
      </c>
      <c r="M11">
        <f t="shared" si="8"/>
        <v>0</v>
      </c>
      <c r="R11" s="2"/>
    </row>
    <row r="12" spans="1:19" x14ac:dyDescent="0.2">
      <c r="A12">
        <v>1.5</v>
      </c>
      <c r="B12">
        <f t="shared" si="3"/>
        <v>0</v>
      </c>
      <c r="C12">
        <f t="shared" si="4"/>
        <v>0</v>
      </c>
      <c r="D12">
        <f t="shared" si="5"/>
        <v>0</v>
      </c>
      <c r="E12">
        <f t="shared" si="4"/>
        <v>0</v>
      </c>
      <c r="F12">
        <f t="shared" si="5"/>
        <v>0</v>
      </c>
      <c r="G12">
        <f t="shared" si="6"/>
        <v>0</v>
      </c>
      <c r="H12">
        <f t="shared" si="7"/>
        <v>0</v>
      </c>
      <c r="I12">
        <f t="shared" si="8"/>
        <v>0</v>
      </c>
      <c r="J12">
        <f t="shared" si="8"/>
        <v>0</v>
      </c>
      <c r="K12">
        <f t="shared" si="8"/>
        <v>0</v>
      </c>
      <c r="L12">
        <f t="shared" si="8"/>
        <v>0</v>
      </c>
      <c r="M12">
        <f t="shared" si="8"/>
        <v>0</v>
      </c>
      <c r="R12" s="2"/>
    </row>
    <row r="13" spans="1:19" x14ac:dyDescent="0.2">
      <c r="A13">
        <v>1.8</v>
      </c>
      <c r="B13">
        <f t="shared" si="3"/>
        <v>0</v>
      </c>
      <c r="C13">
        <f t="shared" si="4"/>
        <v>0</v>
      </c>
      <c r="D13">
        <f t="shared" si="5"/>
        <v>0</v>
      </c>
      <c r="E13">
        <f t="shared" si="4"/>
        <v>0</v>
      </c>
      <c r="F13">
        <f t="shared" si="5"/>
        <v>0</v>
      </c>
      <c r="G13">
        <f t="shared" si="6"/>
        <v>0</v>
      </c>
      <c r="H13">
        <f t="shared" si="7"/>
        <v>0</v>
      </c>
      <c r="I13">
        <f t="shared" si="8"/>
        <v>0</v>
      </c>
      <c r="J13">
        <f t="shared" si="8"/>
        <v>0</v>
      </c>
      <c r="K13">
        <f t="shared" si="8"/>
        <v>0</v>
      </c>
      <c r="L13">
        <f t="shared" si="8"/>
        <v>0</v>
      </c>
      <c r="M13">
        <f t="shared" si="8"/>
        <v>0</v>
      </c>
      <c r="P13" s="114" t="s">
        <v>197</v>
      </c>
      <c r="Q13">
        <f>Rs_ideal*1000</f>
        <v>2.7274492907670065</v>
      </c>
      <c r="R13" s="2">
        <f>IF(Q13=0,0,IF(Q13&gt;(INT(0.5+100*POWER(10,IF(96*(LOG(Q13)-INT(LOG(Q13)))-ROUND(96*(LOG(Q13)-INT(LOG(Q13))),0)&lt;0,ROUND(96*(LOG(Q13)-INT(LOG(Q13))),0)-1,ROUND(96*(LOG(Q13)-INT(LOG(Q13))),0))/96))*POWER(10,INT(LOG(Q13))-2)+INT(0.5+100*POWER(10,(IF(96*(LOG(Q13)-INT(LOG(Q13)))-ROUND(96*(LOG(Q13)-INT(LOG(Q13))),0)&lt;0,ROUND(96*(LOG(Q13)-INT(LOG(Q13))),0)-1,ROUND(96*(LOG(Q13)-INT(LOG(Q13))),0))+1)/96))*POWER(10,INT(LOG(Q13))-2))/2,INT(0.5+100*POWER(10,(IF(96*(LOG(Q13)-INT(LOG(Q13)))-ROUND(96*(LOG(Q13)-INT(LOG(Q13))),0)&lt;0,ROUND(96*(LOG(Q13)-INT(LOG(Q13))),0)-1,ROUND(96*(LOG(Q13)-INT(LOG(Q13))),0))+1)/96))*POWER(10,INT(LOG(Q13))-2),INT(0.5+100*POWER(10,IF(96*(LOG(Q13)-INT(LOG(Q13)))-ROUND(96*(LOG(Q13)-INT(LOG(Q13))),0)&lt;0,ROUND(96*(LOG(Q13)-INT(LOG(Q13))),0)-1,ROUND(96*(LOG(Q13)-INT(LOG(Q13))),0))/96))*POWER(10,INT(LOG(Q13))-2)))</f>
        <v>2.74</v>
      </c>
      <c r="S13" s="45" t="s">
        <v>418</v>
      </c>
    </row>
    <row r="14" spans="1:19" x14ac:dyDescent="0.2">
      <c r="A14">
        <v>2.2000000000000002</v>
      </c>
      <c r="B14">
        <f t="shared" ref="B14:M14" si="9">IF(IF((B$3*10^12-$A15)*(B$3*10^12-$A14)*-1&lt;0,0,1)*IF(ABS(B$3*10^12-$A15)&gt;(B$3*10^12-$A14),$A14,$A15)=B15,0,IF((B$3*10^12-$A15)*(B$3*10^12-$A14)*-1&lt;0,0,1)*IF(ABS(B$3*10^12-$A15)&gt;(B$3*10^12-$A14),$A14,$A15))</f>
        <v>0</v>
      </c>
      <c r="C14">
        <f t="shared" si="9"/>
        <v>0</v>
      </c>
      <c r="D14">
        <f t="shared" si="9"/>
        <v>0</v>
      </c>
      <c r="E14">
        <f t="shared" si="9"/>
        <v>0</v>
      </c>
      <c r="F14">
        <f t="shared" si="9"/>
        <v>0</v>
      </c>
      <c r="G14">
        <f t="shared" si="9"/>
        <v>0</v>
      </c>
      <c r="H14">
        <f t="shared" si="9"/>
        <v>0</v>
      </c>
      <c r="I14">
        <f t="shared" si="9"/>
        <v>0</v>
      </c>
      <c r="J14">
        <f t="shared" si="9"/>
        <v>0</v>
      </c>
      <c r="K14">
        <f t="shared" si="9"/>
        <v>0</v>
      </c>
      <c r="L14">
        <f t="shared" si="9"/>
        <v>0</v>
      </c>
      <c r="M14">
        <f t="shared" si="9"/>
        <v>0</v>
      </c>
      <c r="P14" s="114" t="s">
        <v>417</v>
      </c>
      <c r="S14" s="114" t="s">
        <v>32</v>
      </c>
    </row>
    <row r="15" spans="1:19" x14ac:dyDescent="0.2">
      <c r="A15">
        <v>2.7</v>
      </c>
      <c r="B15">
        <f t="shared" si="3"/>
        <v>0</v>
      </c>
      <c r="C15">
        <f t="shared" si="4"/>
        <v>0</v>
      </c>
      <c r="D15">
        <f t="shared" si="5"/>
        <v>0</v>
      </c>
      <c r="E15">
        <f t="shared" si="4"/>
        <v>0</v>
      </c>
      <c r="F15">
        <f t="shared" si="5"/>
        <v>0</v>
      </c>
      <c r="G15">
        <f t="shared" si="6"/>
        <v>0</v>
      </c>
      <c r="H15">
        <f t="shared" si="7"/>
        <v>0</v>
      </c>
      <c r="I15">
        <f t="shared" si="8"/>
        <v>0</v>
      </c>
      <c r="J15">
        <f t="shared" si="8"/>
        <v>0</v>
      </c>
      <c r="K15">
        <f t="shared" si="8"/>
        <v>0</v>
      </c>
      <c r="L15">
        <f t="shared" si="8"/>
        <v>0</v>
      </c>
      <c r="M15">
        <f t="shared" si="8"/>
        <v>0</v>
      </c>
      <c r="P15" s="114" t="s">
        <v>874</v>
      </c>
      <c r="Q15" t="e">
        <f>Rslope_ideal</f>
        <v>#NAME?</v>
      </c>
      <c r="R15" s="2" t="e">
        <f>IF(Q15&gt;(INT(0.5+100*POWER(10,IF(96*(LOG(Q15)-INT(LOG(Q15)))-ROUND(96*(LOG(Q15)-INT(LOG(Q15))),0)&lt;0,ROUND(96*(LOG(Q15)-INT(LOG(Q15))),0)-1,ROUND(96*(LOG(Q15)-INT(LOG(Q15))),0))/96))*POWER(10,INT(LOG(Q15))-2)+INT(0.5+100*POWER(10,(IF(96*(LOG(Q15)-INT(LOG(Q15)))-ROUND(96*(LOG(Q15)-INT(LOG(Q15))),0)&lt;0,ROUND(96*(LOG(Q15)-INT(LOG(Q15))),0)-1,ROUND(96*(LOG(Q15)-INT(LOG(Q15))),0))+1)/96))*POWER(10,INT(LOG(Q15))-2))/2,INT(0.5+100*POWER(10,(IF(96*(LOG(Q15)-INT(LOG(Q15)))-ROUND(96*(LOG(Q15)-INT(LOG(Q15))),0)&lt;0,ROUND(96*(LOG(Q15)-INT(LOG(Q15))),0)-1,ROUND(96*(LOG(Q15)-INT(LOG(Q15))),0))+1)/96))*POWER(10,INT(LOG(Q15))-2),INT(0.5+100*POWER(10,IF(96*(LOG(Q15)-INT(LOG(Q15)))-ROUND(96*(LOG(Q15)-INT(LOG(Q15))),0)&lt;0,ROUND(96*(LOG(Q15)-INT(LOG(Q15))),0)-1,ROUND(96*(LOG(Q15)-INT(LOG(Q15))),0))/96))*POWER(10,INT(LOG(Q15))-2))</f>
        <v>#NAME?</v>
      </c>
      <c r="S15" s="45" t="s">
        <v>339</v>
      </c>
    </row>
    <row r="16" spans="1:19" x14ac:dyDescent="0.2">
      <c r="A16">
        <v>3.3</v>
      </c>
      <c r="B16">
        <f t="shared" si="3"/>
        <v>0</v>
      </c>
      <c r="C16">
        <f t="shared" si="4"/>
        <v>0</v>
      </c>
      <c r="D16">
        <f t="shared" si="5"/>
        <v>0</v>
      </c>
      <c r="E16">
        <f t="shared" si="4"/>
        <v>0</v>
      </c>
      <c r="F16">
        <f t="shared" si="5"/>
        <v>0</v>
      </c>
      <c r="G16">
        <f t="shared" si="6"/>
        <v>0</v>
      </c>
      <c r="H16">
        <f t="shared" si="7"/>
        <v>0</v>
      </c>
      <c r="I16">
        <f t="shared" si="8"/>
        <v>0</v>
      </c>
      <c r="J16">
        <f t="shared" si="8"/>
        <v>0</v>
      </c>
      <c r="K16">
        <f t="shared" si="8"/>
        <v>0</v>
      </c>
      <c r="L16">
        <f t="shared" si="8"/>
        <v>0</v>
      </c>
      <c r="M16">
        <f t="shared" ref="M16:M68" si="10">IF(IF((M$3*10^12-$A17)*(M$3*10^12-$A16)*-1&lt;0,0,1)*IF(ABS(M$3*10^12-$A17)&gt;(M$3*10^12-$A16),$A16,$A17)=M17,0,IF((M$3*10^12-$A17)*(M$3*10^12-$A16)*-1&lt;0,0,1)*IF(ABS(M$3*10^12-$A17)&gt;(M$3*10^12-$A16),$A16,$A17))</f>
        <v>0</v>
      </c>
      <c r="P16" s="114" t="s">
        <v>332</v>
      </c>
      <c r="Q16">
        <f>Ruvlo1</f>
        <v>-41.144067796610322</v>
      </c>
      <c r="R16" s="2" t="e">
        <f>IF(Q16="OPEN","OPEN",IF(Q16&gt;(INT(0.5+100*POWER(10,IF(96*(LOG(Q16)-INT(LOG(Q16)))-ROUND(96*(LOG(Q16)-INT(LOG(Q16))),0)&lt;0,ROUND(96*(LOG(Q16)-INT(LOG(Q16))),0)-1,ROUND(96*(LOG(Q16)-INT(LOG(Q16))),0))/96))*POWER(10,INT(LOG(Q16))-2)+INT(0.5+100*POWER(10,(IF(96*(LOG(Q16)-INT(LOG(Q16)))-ROUND(96*(LOG(Q16)-INT(LOG(Q16))),0)&lt;0,ROUND(96*(LOG(Q16)-INT(LOG(Q16))),0)-1,ROUND(96*(LOG(Q16)-INT(LOG(Q16))),0))+1)/96))*POWER(10,INT(LOG(Q16))-2))/2,INT(0.5+100*POWER(10,(IF(96*(LOG(Q16)-INT(LOG(Q16)))-ROUND(96*(LOG(Q16)-INT(LOG(Q16))),0)&lt;0,ROUND(96*(LOG(Q16)-INT(LOG(Q16))),0)-1,ROUND(96*(LOG(Q16)-INT(LOG(Q16))),0))+1)/96))*POWER(10,INT(LOG(Q16))-2),INT(0.5+100*POWER(10,IF(96*(LOG(Q16)-INT(LOG(Q16)))-ROUND(96*(LOG(Q16)-INT(LOG(Q16))),0)&lt;0,ROUND(96*(LOG(Q16)-INT(LOG(Q16))),0)-1,ROUND(96*(LOG(Q16)-INT(LOG(Q16))),0))/96))*POWER(10,INT(LOG(Q16))-2)))</f>
        <v>#NUM!</v>
      </c>
      <c r="S16" s="45" t="s">
        <v>301</v>
      </c>
    </row>
    <row r="17" spans="1:19" x14ac:dyDescent="0.2">
      <c r="A17">
        <v>3.9</v>
      </c>
      <c r="B17">
        <f t="shared" si="3"/>
        <v>0</v>
      </c>
      <c r="C17">
        <f t="shared" si="4"/>
        <v>0</v>
      </c>
      <c r="D17">
        <f t="shared" si="5"/>
        <v>0</v>
      </c>
      <c r="E17">
        <f t="shared" si="4"/>
        <v>0</v>
      </c>
      <c r="F17">
        <f t="shared" si="5"/>
        <v>0</v>
      </c>
      <c r="G17">
        <f t="shared" si="6"/>
        <v>0</v>
      </c>
      <c r="H17">
        <f t="shared" si="7"/>
        <v>0</v>
      </c>
      <c r="I17">
        <f t="shared" si="8"/>
        <v>0</v>
      </c>
      <c r="J17">
        <f t="shared" si="8"/>
        <v>0</v>
      </c>
      <c r="K17">
        <f t="shared" si="8"/>
        <v>0</v>
      </c>
      <c r="L17">
        <f t="shared" si="8"/>
        <v>0</v>
      </c>
      <c r="M17">
        <f t="shared" si="10"/>
        <v>0</v>
      </c>
      <c r="P17" s="114" t="s">
        <v>333</v>
      </c>
      <c r="Q17">
        <f>Ruvlo2</f>
        <v>-10.09355509355513</v>
      </c>
      <c r="R17" s="2" t="e">
        <f>IF(Q17="OPEN","OPEN",IF(Q17&gt;(INT(0.5+100*POWER(10,IF(96*(LOG(Q17)-INT(LOG(Q17)))-ROUND(96*(LOG(Q17)-INT(LOG(Q17))),0)&lt;0,ROUND(96*(LOG(Q17)-INT(LOG(Q17))),0)-1,ROUND(96*(LOG(Q17)-INT(LOG(Q17))),0))/96))*POWER(10,INT(LOG(Q17))-2)+INT(0.5+100*POWER(10,(IF(96*(LOG(Q17)-INT(LOG(Q17)))-ROUND(96*(LOG(Q17)-INT(LOG(Q17))),0)&lt;0,ROUND(96*(LOG(Q17)-INT(LOG(Q17))),0)-1,ROUND(96*(LOG(Q17)-INT(LOG(Q17))),0))+1)/96))*POWER(10,INT(LOG(Q17))-2))/2,INT(0.5+100*POWER(10,(IF(96*(LOG(Q17)-INT(LOG(Q17)))-ROUND(96*(LOG(Q17)-INT(LOG(Q17))),0)&lt;0,ROUND(96*(LOG(Q17)-INT(LOG(Q17))),0)-1,ROUND(96*(LOG(Q17)-INT(LOG(Q17))),0))+1)/96))*POWER(10,INT(LOG(Q17))-2),INT(0.5+100*POWER(10,IF(96*(LOG(Q17)-INT(LOG(Q17)))-ROUND(96*(LOG(Q17)-INT(LOG(Q17))),0)&lt;0,ROUND(96*(LOG(Q17)-INT(LOG(Q17))),0)-1,ROUND(96*(LOG(Q17)-INT(LOG(Q17))),0))/96))*POWER(10,INT(LOG(Q17))-2)))</f>
        <v>#NUM!</v>
      </c>
      <c r="S17" s="45" t="s">
        <v>301</v>
      </c>
    </row>
    <row r="18" spans="1:19" x14ac:dyDescent="0.2">
      <c r="A18">
        <v>4.7</v>
      </c>
      <c r="B18">
        <f t="shared" si="3"/>
        <v>0</v>
      </c>
      <c r="C18">
        <f t="shared" si="4"/>
        <v>0</v>
      </c>
      <c r="D18">
        <f t="shared" si="5"/>
        <v>0</v>
      </c>
      <c r="E18">
        <f t="shared" si="4"/>
        <v>0</v>
      </c>
      <c r="F18">
        <f t="shared" si="5"/>
        <v>0</v>
      </c>
      <c r="G18">
        <f t="shared" si="6"/>
        <v>0</v>
      </c>
      <c r="H18">
        <f t="shared" si="7"/>
        <v>0</v>
      </c>
      <c r="I18">
        <f t="shared" si="8"/>
        <v>0</v>
      </c>
      <c r="J18">
        <f t="shared" si="8"/>
        <v>0</v>
      </c>
      <c r="K18">
        <f t="shared" si="8"/>
        <v>0</v>
      </c>
      <c r="L18">
        <f t="shared" si="8"/>
        <v>0</v>
      </c>
      <c r="M18">
        <f t="shared" si="10"/>
        <v>0</v>
      </c>
      <c r="R18" s="2"/>
    </row>
    <row r="19" spans="1:19" x14ac:dyDescent="0.2">
      <c r="A19">
        <v>5.6</v>
      </c>
      <c r="B19">
        <f t="shared" si="3"/>
        <v>0</v>
      </c>
      <c r="C19">
        <f t="shared" si="4"/>
        <v>0</v>
      </c>
      <c r="D19">
        <f t="shared" si="5"/>
        <v>0</v>
      </c>
      <c r="E19">
        <f t="shared" si="4"/>
        <v>0</v>
      </c>
      <c r="F19">
        <f t="shared" si="5"/>
        <v>0</v>
      </c>
      <c r="G19">
        <f t="shared" si="6"/>
        <v>0</v>
      </c>
      <c r="H19">
        <f t="shared" si="7"/>
        <v>0</v>
      </c>
      <c r="I19">
        <f t="shared" si="8"/>
        <v>0</v>
      </c>
      <c r="J19">
        <f t="shared" si="8"/>
        <v>0</v>
      </c>
      <c r="K19">
        <f t="shared" si="8"/>
        <v>0</v>
      </c>
      <c r="L19">
        <f t="shared" si="8"/>
        <v>0</v>
      </c>
      <c r="M19">
        <f t="shared" si="10"/>
        <v>0</v>
      </c>
      <c r="P19" s="114" t="s">
        <v>1070</v>
      </c>
      <c r="Q19">
        <f>C_limitcomp</f>
        <v>7.2542111095194297E-10</v>
      </c>
      <c r="R19" s="2">
        <f>J4</f>
        <v>6.8000000000000003E-10</v>
      </c>
      <c r="S19" s="45" t="s">
        <v>26</v>
      </c>
    </row>
    <row r="20" spans="1:19" x14ac:dyDescent="0.2">
      <c r="A20">
        <v>6.8</v>
      </c>
      <c r="B20">
        <f t="shared" si="3"/>
        <v>0</v>
      </c>
      <c r="C20">
        <f t="shared" si="4"/>
        <v>0</v>
      </c>
      <c r="D20">
        <f t="shared" si="5"/>
        <v>0</v>
      </c>
      <c r="E20">
        <f t="shared" si="4"/>
        <v>0</v>
      </c>
      <c r="F20">
        <f t="shared" si="5"/>
        <v>0</v>
      </c>
      <c r="G20">
        <f t="shared" si="6"/>
        <v>0</v>
      </c>
      <c r="H20">
        <f t="shared" si="7"/>
        <v>0</v>
      </c>
      <c r="I20">
        <f t="shared" si="8"/>
        <v>0</v>
      </c>
      <c r="J20">
        <f t="shared" si="8"/>
        <v>0</v>
      </c>
      <c r="K20">
        <f t="shared" si="8"/>
        <v>0</v>
      </c>
      <c r="L20">
        <f t="shared" si="8"/>
        <v>0</v>
      </c>
      <c r="M20">
        <f t="shared" si="10"/>
        <v>0</v>
      </c>
      <c r="R20" s="2"/>
    </row>
    <row r="21" spans="1:19" x14ac:dyDescent="0.2">
      <c r="A21">
        <v>8.1999999999999993</v>
      </c>
      <c r="B21">
        <f t="shared" si="3"/>
        <v>0</v>
      </c>
      <c r="C21">
        <f t="shared" si="4"/>
        <v>0</v>
      </c>
      <c r="D21">
        <f t="shared" si="5"/>
        <v>0</v>
      </c>
      <c r="E21">
        <f t="shared" si="4"/>
        <v>0</v>
      </c>
      <c r="F21">
        <f t="shared" si="5"/>
        <v>0</v>
      </c>
      <c r="G21">
        <f t="shared" si="6"/>
        <v>0</v>
      </c>
      <c r="H21">
        <f t="shared" si="7"/>
        <v>0</v>
      </c>
      <c r="I21">
        <f t="shared" si="8"/>
        <v>0</v>
      </c>
      <c r="J21">
        <f t="shared" si="8"/>
        <v>0</v>
      </c>
      <c r="K21">
        <f t="shared" si="8"/>
        <v>0</v>
      </c>
      <c r="L21">
        <f t="shared" si="8"/>
        <v>0</v>
      </c>
      <c r="M21">
        <f t="shared" si="10"/>
        <v>0</v>
      </c>
      <c r="P21" s="114" t="s">
        <v>431</v>
      </c>
      <c r="Q21" s="311">
        <f>Rshunt</f>
        <v>10</v>
      </c>
      <c r="R21" s="2">
        <f>IF(Q21=0,0,IF(Q21&gt;(INT(0.5+100*POWER(10,IF(96*(LOG(Q21)-INT(LOG(Q21)))-ROUND(96*(LOG(Q21)-INT(LOG(Q21))),0)&lt;0,ROUND(96*(LOG(Q21)-INT(LOG(Q21))),0)-1,ROUND(96*(LOG(Q21)-INT(LOG(Q21))),0))/96))*POWER(10,INT(LOG(Q21))-2)+INT(0.5+100*POWER(10,(IF(96*(LOG(Q21)-INT(LOG(Q21)))-ROUND(96*(LOG(Q21)-INT(LOG(Q21))),0)&lt;0,ROUND(96*(LOG(Q21)-INT(LOG(Q21))),0)-1,ROUND(96*(LOG(Q21)-INT(LOG(Q21))),0))+1)/96))*POWER(10,INT(LOG(Q21))-2))/2,INT(0.5+100*POWER(10,(IF(96*(LOG(Q21)-INT(LOG(Q21)))-ROUND(96*(LOG(Q21)-INT(LOG(Q21))),0)&lt;0,ROUND(96*(LOG(Q21)-INT(LOG(Q21))),0)-1,ROUND(96*(LOG(Q21)-INT(LOG(Q21))),0))+1)/96))*POWER(10,INT(LOG(Q21))-2),INT(0.5+100*POWER(10,IF(96*(LOG(Q21)-INT(LOG(Q21)))-ROUND(96*(LOG(Q21)-INT(LOG(Q21))),0)&lt;0,ROUND(96*(LOG(Q21)-INT(LOG(Q21))),0)-1,ROUND(96*(LOG(Q21)-INT(LOG(Q21))),0))/96))*POWER(10,INT(LOG(Q21))-2)))</f>
        <v>10</v>
      </c>
      <c r="S21" s="45" t="s">
        <v>418</v>
      </c>
    </row>
    <row r="22" spans="1:19" x14ac:dyDescent="0.2">
      <c r="A22">
        <v>10</v>
      </c>
      <c r="B22">
        <f t="shared" si="3"/>
        <v>0</v>
      </c>
      <c r="C22">
        <f t="shared" si="4"/>
        <v>0</v>
      </c>
      <c r="D22">
        <f t="shared" si="5"/>
        <v>0</v>
      </c>
      <c r="E22">
        <f t="shared" si="4"/>
        <v>0</v>
      </c>
      <c r="F22">
        <f t="shared" si="5"/>
        <v>0</v>
      </c>
      <c r="G22">
        <f t="shared" si="6"/>
        <v>0</v>
      </c>
      <c r="H22">
        <f t="shared" si="7"/>
        <v>0</v>
      </c>
      <c r="I22">
        <f t="shared" si="8"/>
        <v>0</v>
      </c>
      <c r="J22">
        <f t="shared" si="8"/>
        <v>0</v>
      </c>
      <c r="K22">
        <f t="shared" si="8"/>
        <v>0</v>
      </c>
      <c r="L22">
        <f t="shared" si="8"/>
        <v>0</v>
      </c>
      <c r="M22">
        <f t="shared" si="10"/>
        <v>0</v>
      </c>
    </row>
    <row r="23" spans="1:19" x14ac:dyDescent="0.2">
      <c r="A23">
        <v>12</v>
      </c>
      <c r="B23">
        <f t="shared" si="3"/>
        <v>0</v>
      </c>
      <c r="C23">
        <f t="shared" si="4"/>
        <v>0</v>
      </c>
      <c r="D23">
        <f t="shared" si="5"/>
        <v>0</v>
      </c>
      <c r="E23">
        <f t="shared" si="4"/>
        <v>0</v>
      </c>
      <c r="F23">
        <f t="shared" si="5"/>
        <v>0</v>
      </c>
      <c r="G23">
        <f t="shared" si="6"/>
        <v>0</v>
      </c>
      <c r="H23">
        <f t="shared" si="7"/>
        <v>0</v>
      </c>
      <c r="I23">
        <f t="shared" si="8"/>
        <v>0</v>
      </c>
      <c r="J23">
        <f t="shared" si="8"/>
        <v>0</v>
      </c>
      <c r="K23">
        <f t="shared" si="8"/>
        <v>0</v>
      </c>
      <c r="L23">
        <f t="shared" si="8"/>
        <v>0</v>
      </c>
      <c r="M23">
        <f t="shared" si="10"/>
        <v>0</v>
      </c>
      <c r="P23" s="114" t="s">
        <v>1113</v>
      </c>
      <c r="Q23">
        <f>K3</f>
        <v>1.802387831771561E-10</v>
      </c>
      <c r="R23" s="2">
        <f>K4</f>
        <v>1.8E-10</v>
      </c>
    </row>
    <row r="24" spans="1:19" x14ac:dyDescent="0.2">
      <c r="A24">
        <v>15</v>
      </c>
      <c r="B24">
        <f t="shared" si="3"/>
        <v>0</v>
      </c>
      <c r="C24">
        <f t="shared" si="4"/>
        <v>0</v>
      </c>
      <c r="D24">
        <f t="shared" si="5"/>
        <v>0</v>
      </c>
      <c r="E24">
        <f t="shared" si="4"/>
        <v>0</v>
      </c>
      <c r="F24">
        <f t="shared" si="5"/>
        <v>0</v>
      </c>
      <c r="G24">
        <f t="shared" si="6"/>
        <v>0</v>
      </c>
      <c r="H24">
        <f t="shared" si="7"/>
        <v>0</v>
      </c>
      <c r="I24">
        <f t="shared" si="8"/>
        <v>0</v>
      </c>
      <c r="J24">
        <f t="shared" si="8"/>
        <v>0</v>
      </c>
      <c r="K24">
        <f t="shared" si="8"/>
        <v>0</v>
      </c>
      <c r="L24">
        <f t="shared" si="8"/>
        <v>0</v>
      </c>
      <c r="M24">
        <f t="shared" si="10"/>
        <v>0</v>
      </c>
      <c r="P24" s="114"/>
      <c r="R24" s="2"/>
      <c r="S24" s="45"/>
    </row>
    <row r="25" spans="1:19" x14ac:dyDescent="0.2">
      <c r="A25">
        <v>18</v>
      </c>
      <c r="B25">
        <f t="shared" si="3"/>
        <v>0</v>
      </c>
      <c r="C25">
        <f t="shared" si="4"/>
        <v>0</v>
      </c>
      <c r="D25">
        <f t="shared" si="5"/>
        <v>0</v>
      </c>
      <c r="E25">
        <f t="shared" si="4"/>
        <v>0</v>
      </c>
      <c r="F25">
        <f t="shared" si="5"/>
        <v>0</v>
      </c>
      <c r="G25">
        <f t="shared" si="6"/>
        <v>0</v>
      </c>
      <c r="H25">
        <f t="shared" si="7"/>
        <v>0</v>
      </c>
      <c r="I25">
        <f t="shared" si="8"/>
        <v>0</v>
      </c>
      <c r="J25">
        <f t="shared" si="8"/>
        <v>0</v>
      </c>
      <c r="K25">
        <f t="shared" si="8"/>
        <v>0</v>
      </c>
      <c r="L25">
        <f t="shared" si="8"/>
        <v>0</v>
      </c>
      <c r="M25">
        <f t="shared" si="10"/>
        <v>0</v>
      </c>
    </row>
    <row r="26" spans="1:19" x14ac:dyDescent="0.2">
      <c r="A26">
        <v>22</v>
      </c>
      <c r="B26">
        <f t="shared" si="3"/>
        <v>0</v>
      </c>
      <c r="C26">
        <f t="shared" si="4"/>
        <v>0</v>
      </c>
      <c r="D26">
        <f t="shared" si="5"/>
        <v>0</v>
      </c>
      <c r="E26">
        <f t="shared" si="4"/>
        <v>0</v>
      </c>
      <c r="F26">
        <f t="shared" si="5"/>
        <v>0</v>
      </c>
      <c r="G26">
        <f t="shared" si="6"/>
        <v>0</v>
      </c>
      <c r="H26">
        <f t="shared" si="7"/>
        <v>0</v>
      </c>
      <c r="I26">
        <f t="shared" si="8"/>
        <v>0</v>
      </c>
      <c r="J26">
        <f t="shared" si="8"/>
        <v>0</v>
      </c>
      <c r="K26">
        <f t="shared" si="8"/>
        <v>0</v>
      </c>
      <c r="L26">
        <f t="shared" si="8"/>
        <v>0</v>
      </c>
      <c r="M26">
        <f t="shared" si="10"/>
        <v>0</v>
      </c>
    </row>
    <row r="27" spans="1:19" x14ac:dyDescent="0.2">
      <c r="A27">
        <v>27</v>
      </c>
      <c r="B27">
        <f t="shared" si="3"/>
        <v>0</v>
      </c>
      <c r="C27">
        <f t="shared" si="4"/>
        <v>0</v>
      </c>
      <c r="D27">
        <f t="shared" si="5"/>
        <v>0</v>
      </c>
      <c r="E27">
        <f t="shared" si="4"/>
        <v>0</v>
      </c>
      <c r="F27">
        <f t="shared" si="5"/>
        <v>0</v>
      </c>
      <c r="G27">
        <f t="shared" si="6"/>
        <v>0</v>
      </c>
      <c r="H27">
        <f t="shared" si="7"/>
        <v>0</v>
      </c>
      <c r="I27">
        <f t="shared" si="8"/>
        <v>0</v>
      </c>
      <c r="J27">
        <f t="shared" si="8"/>
        <v>0</v>
      </c>
      <c r="K27">
        <f t="shared" si="8"/>
        <v>0</v>
      </c>
      <c r="L27">
        <f t="shared" si="8"/>
        <v>0</v>
      </c>
      <c r="M27">
        <f t="shared" si="10"/>
        <v>0</v>
      </c>
      <c r="P27" s="3" t="s">
        <v>202</v>
      </c>
      <c r="Q27" t="str">
        <f>R7/1000&amp;" kΩ"</f>
        <v>4.99 kΩ</v>
      </c>
      <c r="R27">
        <f>R7/1000</f>
        <v>4.99</v>
      </c>
      <c r="S27" s="45" t="s">
        <v>301</v>
      </c>
    </row>
    <row r="28" spans="1:19" x14ac:dyDescent="0.2">
      <c r="A28">
        <v>33</v>
      </c>
      <c r="B28">
        <f t="shared" si="3"/>
        <v>0</v>
      </c>
      <c r="C28">
        <f t="shared" si="4"/>
        <v>0</v>
      </c>
      <c r="D28">
        <f t="shared" si="5"/>
        <v>0</v>
      </c>
      <c r="E28">
        <f t="shared" si="4"/>
        <v>0</v>
      </c>
      <c r="F28">
        <f t="shared" si="5"/>
        <v>0</v>
      </c>
      <c r="G28">
        <f t="shared" si="6"/>
        <v>0</v>
      </c>
      <c r="H28">
        <f t="shared" si="7"/>
        <v>0</v>
      </c>
      <c r="I28">
        <f t="shared" si="8"/>
        <v>0</v>
      </c>
      <c r="J28">
        <f t="shared" si="8"/>
        <v>0</v>
      </c>
      <c r="K28">
        <f t="shared" si="8"/>
        <v>0</v>
      </c>
      <c r="L28">
        <f t="shared" si="8"/>
        <v>0</v>
      </c>
      <c r="M28">
        <f t="shared" si="10"/>
        <v>0</v>
      </c>
      <c r="P28" s="3" t="s">
        <v>199</v>
      </c>
      <c r="Q28" t="str">
        <f>C4*1000000000&amp;" nF"</f>
        <v>15 nF</v>
      </c>
      <c r="R28" s="602">
        <f>C4*1000000000</f>
        <v>14.999999999999998</v>
      </c>
      <c r="S28" s="114" t="s">
        <v>170</v>
      </c>
    </row>
    <row r="29" spans="1:19" x14ac:dyDescent="0.2">
      <c r="A29">
        <v>39</v>
      </c>
      <c r="B29">
        <f t="shared" si="3"/>
        <v>0</v>
      </c>
      <c r="C29">
        <f t="shared" si="4"/>
        <v>0</v>
      </c>
      <c r="D29">
        <f t="shared" si="5"/>
        <v>0</v>
      </c>
      <c r="E29">
        <f t="shared" si="4"/>
        <v>0</v>
      </c>
      <c r="F29">
        <f t="shared" si="5"/>
        <v>0</v>
      </c>
      <c r="G29">
        <f t="shared" si="6"/>
        <v>0</v>
      </c>
      <c r="H29">
        <f t="shared" si="7"/>
        <v>0</v>
      </c>
      <c r="I29">
        <f t="shared" si="8"/>
        <v>0</v>
      </c>
      <c r="J29">
        <f t="shared" si="8"/>
        <v>0</v>
      </c>
      <c r="K29">
        <f t="shared" si="8"/>
        <v>0</v>
      </c>
      <c r="L29">
        <f t="shared" si="8"/>
        <v>0</v>
      </c>
      <c r="M29">
        <f t="shared" si="10"/>
        <v>0</v>
      </c>
      <c r="P29" s="3" t="s">
        <v>200</v>
      </c>
      <c r="Q29" t="str">
        <f>D4*1000000000000&amp;" pF"</f>
        <v>220 pF</v>
      </c>
      <c r="R29">
        <f>D4*1000000000000</f>
        <v>220</v>
      </c>
      <c r="S29" s="114" t="s">
        <v>32</v>
      </c>
    </row>
    <row r="30" spans="1:19" x14ac:dyDescent="0.2">
      <c r="A30">
        <v>47</v>
      </c>
      <c r="B30">
        <f t="shared" si="3"/>
        <v>0</v>
      </c>
      <c r="C30">
        <f t="shared" si="4"/>
        <v>0</v>
      </c>
      <c r="D30">
        <f t="shared" si="5"/>
        <v>0</v>
      </c>
      <c r="E30">
        <f t="shared" si="4"/>
        <v>0</v>
      </c>
      <c r="F30">
        <f t="shared" si="5"/>
        <v>0</v>
      </c>
      <c r="G30">
        <f t="shared" si="6"/>
        <v>0</v>
      </c>
      <c r="H30">
        <f t="shared" si="7"/>
        <v>0</v>
      </c>
      <c r="I30">
        <f t="shared" si="8"/>
        <v>0</v>
      </c>
      <c r="J30">
        <f t="shared" si="8"/>
        <v>0</v>
      </c>
      <c r="K30">
        <f t="shared" si="8"/>
        <v>0</v>
      </c>
      <c r="L30">
        <f t="shared" si="8"/>
        <v>0</v>
      </c>
      <c r="M30">
        <f t="shared" si="10"/>
        <v>0</v>
      </c>
      <c r="P30" s="3"/>
      <c r="S30" s="45"/>
    </row>
    <row r="31" spans="1:19" x14ac:dyDescent="0.2">
      <c r="A31">
        <v>56</v>
      </c>
      <c r="B31">
        <f t="shared" si="3"/>
        <v>0</v>
      </c>
      <c r="C31">
        <f t="shared" si="4"/>
        <v>0</v>
      </c>
      <c r="D31">
        <f t="shared" si="5"/>
        <v>0</v>
      </c>
      <c r="E31">
        <f t="shared" si="4"/>
        <v>0</v>
      </c>
      <c r="F31">
        <f t="shared" si="5"/>
        <v>0</v>
      </c>
      <c r="G31">
        <f t="shared" si="6"/>
        <v>0</v>
      </c>
      <c r="H31">
        <f t="shared" si="7"/>
        <v>0</v>
      </c>
      <c r="I31">
        <f t="shared" si="8"/>
        <v>0</v>
      </c>
      <c r="J31">
        <f t="shared" si="8"/>
        <v>0</v>
      </c>
      <c r="K31">
        <f t="shared" si="8"/>
        <v>0</v>
      </c>
      <c r="L31">
        <f t="shared" si="8"/>
        <v>0</v>
      </c>
      <c r="M31">
        <f t="shared" si="10"/>
        <v>0</v>
      </c>
      <c r="P31" s="114" t="s">
        <v>1243</v>
      </c>
      <c r="Q31" s="602">
        <f>'Variable Management'!E275</f>
        <v>54955.785844953134</v>
      </c>
      <c r="R31" s="2">
        <f t="shared" ref="R31" si="11">IF(Q31&gt;(INT(0.5+100*POWER(10,IF(96*(LOG(Q31)-INT(LOG(Q31)))-ROUND(96*(LOG(Q31)-INT(LOG(Q31))),0)&lt;0,ROUND(96*(LOG(Q31)-INT(LOG(Q31))),0)-1,ROUND(96*(LOG(Q31)-INT(LOG(Q31))),0))/96))*POWER(10,INT(LOG(Q31))-2)+INT(0.5+100*POWER(10,(IF(96*(LOG(Q31)-INT(LOG(Q31)))-ROUND(96*(LOG(Q31)-INT(LOG(Q31))),0)&lt;0,ROUND(96*(LOG(Q31)-INT(LOG(Q31))),0)-1,ROUND(96*(LOG(Q31)-INT(LOG(Q31))),0))+1)/96))*POWER(10,INT(LOG(Q31))-2))/2,INT(0.5+100*POWER(10,(IF(96*(LOG(Q31)-INT(LOG(Q31)))-ROUND(96*(LOG(Q31)-INT(LOG(Q31))),0)&lt;0,ROUND(96*(LOG(Q31)-INT(LOG(Q31))),0)-1,ROUND(96*(LOG(Q31)-INT(LOG(Q31))),0))+1)/96))*POWER(10,INT(LOG(Q31))-2),INT(0.5+100*POWER(10,IF(96*(LOG(Q31)-INT(LOG(Q31)))-ROUND(96*(LOG(Q31)-INT(LOG(Q31))),0)&lt;0,ROUND(96*(LOG(Q31)-INT(LOG(Q31))),0)-1,ROUND(96*(LOG(Q31)-INT(LOG(Q31))),0))/96))*POWER(10,INT(LOG(Q31))-2))</f>
        <v>54900</v>
      </c>
      <c r="S31" s="45" t="s">
        <v>339</v>
      </c>
    </row>
    <row r="32" spans="1:19" x14ac:dyDescent="0.2">
      <c r="A32">
        <v>68</v>
      </c>
      <c r="B32">
        <f t="shared" si="3"/>
        <v>0</v>
      </c>
      <c r="C32">
        <f t="shared" si="4"/>
        <v>0</v>
      </c>
      <c r="D32">
        <f t="shared" si="5"/>
        <v>0</v>
      </c>
      <c r="E32">
        <f t="shared" si="4"/>
        <v>0</v>
      </c>
      <c r="F32">
        <f t="shared" si="5"/>
        <v>0</v>
      </c>
      <c r="G32">
        <f t="shared" si="6"/>
        <v>0</v>
      </c>
      <c r="H32">
        <f t="shared" si="7"/>
        <v>0</v>
      </c>
      <c r="I32">
        <f t="shared" si="8"/>
        <v>0</v>
      </c>
      <c r="J32">
        <f t="shared" si="8"/>
        <v>0</v>
      </c>
      <c r="K32">
        <f t="shared" si="8"/>
        <v>0</v>
      </c>
      <c r="L32">
        <f t="shared" si="8"/>
        <v>0</v>
      </c>
      <c r="M32">
        <f t="shared" si="10"/>
        <v>0</v>
      </c>
      <c r="P32" s="114" t="s">
        <v>1241</v>
      </c>
      <c r="Q32" s="602">
        <f>'Variable Management'!E276</f>
        <v>2.213900953212189E-8</v>
      </c>
      <c r="R32" s="602">
        <f>E4</f>
        <v>2.1999999999999998E-8</v>
      </c>
      <c r="S32" s="114" t="s">
        <v>26</v>
      </c>
    </row>
    <row r="33" spans="1:19" x14ac:dyDescent="0.2">
      <c r="A33">
        <v>82</v>
      </c>
      <c r="B33">
        <f t="shared" si="3"/>
        <v>0</v>
      </c>
      <c r="C33">
        <f t="shared" si="4"/>
        <v>0</v>
      </c>
      <c r="D33">
        <f t="shared" si="5"/>
        <v>0</v>
      </c>
      <c r="E33">
        <f t="shared" si="4"/>
        <v>0</v>
      </c>
      <c r="F33">
        <f t="shared" si="5"/>
        <v>0</v>
      </c>
      <c r="G33">
        <f t="shared" si="6"/>
        <v>0</v>
      </c>
      <c r="H33">
        <f t="shared" si="7"/>
        <v>0</v>
      </c>
      <c r="I33">
        <f t="shared" si="8"/>
        <v>0</v>
      </c>
      <c r="J33">
        <f t="shared" si="8"/>
        <v>0</v>
      </c>
      <c r="K33">
        <f t="shared" si="8"/>
        <v>0</v>
      </c>
      <c r="L33">
        <f t="shared" si="8"/>
        <v>0</v>
      </c>
      <c r="M33">
        <f t="shared" si="10"/>
        <v>0</v>
      </c>
      <c r="P33" s="114" t="s">
        <v>1242</v>
      </c>
      <c r="Q33" s="602">
        <f>'Variable Management'!E277</f>
        <v>1.8196446190785114E-7</v>
      </c>
      <c r="R33" s="602">
        <f>F4</f>
        <v>1.8E-7</v>
      </c>
      <c r="S33" s="114" t="s">
        <v>26</v>
      </c>
    </row>
    <row r="34" spans="1:19" x14ac:dyDescent="0.2">
      <c r="A34">
        <f>A22*10</f>
        <v>100</v>
      </c>
      <c r="B34">
        <f t="shared" si="3"/>
        <v>0</v>
      </c>
      <c r="C34">
        <f t="shared" si="4"/>
        <v>0</v>
      </c>
      <c r="D34">
        <f t="shared" si="5"/>
        <v>0</v>
      </c>
      <c r="E34">
        <f t="shared" si="4"/>
        <v>0</v>
      </c>
      <c r="F34">
        <f t="shared" si="5"/>
        <v>0</v>
      </c>
      <c r="G34">
        <f t="shared" si="6"/>
        <v>0</v>
      </c>
      <c r="H34">
        <f t="shared" si="7"/>
        <v>0</v>
      </c>
      <c r="I34">
        <f t="shared" si="8"/>
        <v>100</v>
      </c>
      <c r="J34">
        <f t="shared" si="8"/>
        <v>0</v>
      </c>
      <c r="K34">
        <f t="shared" si="8"/>
        <v>0</v>
      </c>
      <c r="L34">
        <f t="shared" si="8"/>
        <v>0</v>
      </c>
      <c r="M34">
        <f t="shared" si="10"/>
        <v>0</v>
      </c>
      <c r="P34" s="114"/>
    </row>
    <row r="35" spans="1:19" x14ac:dyDescent="0.2">
      <c r="A35">
        <f t="shared" ref="A35:A98" si="12">A23*10</f>
        <v>120</v>
      </c>
      <c r="B35">
        <f t="shared" si="3"/>
        <v>0</v>
      </c>
      <c r="C35">
        <f t="shared" si="4"/>
        <v>0</v>
      </c>
      <c r="D35">
        <f t="shared" si="5"/>
        <v>0</v>
      </c>
      <c r="E35">
        <f t="shared" si="4"/>
        <v>0</v>
      </c>
      <c r="F35">
        <f t="shared" si="5"/>
        <v>0</v>
      </c>
      <c r="G35">
        <f t="shared" si="6"/>
        <v>0</v>
      </c>
      <c r="H35">
        <f t="shared" si="7"/>
        <v>0</v>
      </c>
      <c r="I35">
        <f t="shared" si="8"/>
        <v>0</v>
      </c>
      <c r="J35">
        <f t="shared" si="8"/>
        <v>0</v>
      </c>
      <c r="K35">
        <f t="shared" si="8"/>
        <v>0</v>
      </c>
      <c r="L35">
        <f t="shared" si="8"/>
        <v>0</v>
      </c>
      <c r="M35">
        <f t="shared" si="10"/>
        <v>0</v>
      </c>
      <c r="P35" s="114"/>
    </row>
    <row r="36" spans="1:19" x14ac:dyDescent="0.2">
      <c r="A36">
        <f t="shared" si="12"/>
        <v>150</v>
      </c>
      <c r="B36">
        <f t="shared" si="3"/>
        <v>0</v>
      </c>
      <c r="C36">
        <f t="shared" si="4"/>
        <v>0</v>
      </c>
      <c r="D36">
        <f t="shared" si="5"/>
        <v>0</v>
      </c>
      <c r="E36">
        <f t="shared" si="4"/>
        <v>0</v>
      </c>
      <c r="F36">
        <f t="shared" si="5"/>
        <v>0</v>
      </c>
      <c r="G36">
        <f t="shared" si="6"/>
        <v>0</v>
      </c>
      <c r="H36">
        <f t="shared" si="7"/>
        <v>0</v>
      </c>
      <c r="I36">
        <f t="shared" si="8"/>
        <v>0</v>
      </c>
      <c r="J36">
        <f t="shared" si="8"/>
        <v>0</v>
      </c>
      <c r="K36">
        <f t="shared" si="8"/>
        <v>0</v>
      </c>
      <c r="L36">
        <f t="shared" si="8"/>
        <v>0</v>
      </c>
      <c r="M36">
        <f t="shared" si="10"/>
        <v>0</v>
      </c>
      <c r="P36" s="3" t="s">
        <v>1091</v>
      </c>
      <c r="Q36" s="602">
        <f>C_ILimit_HF</f>
        <v>1.061032953945969E-10</v>
      </c>
      <c r="R36" s="602">
        <f>I4</f>
        <v>1E-10</v>
      </c>
      <c r="S36" s="114" t="s">
        <v>26</v>
      </c>
    </row>
    <row r="37" spans="1:19" x14ac:dyDescent="0.2">
      <c r="A37">
        <f t="shared" si="12"/>
        <v>180</v>
      </c>
      <c r="B37">
        <f t="shared" si="3"/>
        <v>0</v>
      </c>
      <c r="C37">
        <f t="shared" si="4"/>
        <v>0</v>
      </c>
      <c r="D37">
        <f t="shared" si="5"/>
        <v>0</v>
      </c>
      <c r="E37">
        <f t="shared" si="4"/>
        <v>0</v>
      </c>
      <c r="F37">
        <f t="shared" si="5"/>
        <v>0</v>
      </c>
      <c r="G37">
        <f t="shared" si="6"/>
        <v>0</v>
      </c>
      <c r="H37">
        <f t="shared" si="7"/>
        <v>0</v>
      </c>
      <c r="I37">
        <f t="shared" si="8"/>
        <v>0</v>
      </c>
      <c r="J37">
        <f t="shared" si="8"/>
        <v>0</v>
      </c>
      <c r="K37">
        <f t="shared" si="8"/>
        <v>180</v>
      </c>
      <c r="L37">
        <f t="shared" si="8"/>
        <v>0</v>
      </c>
      <c r="M37">
        <f t="shared" si="10"/>
        <v>0</v>
      </c>
    </row>
    <row r="38" spans="1:19" x14ac:dyDescent="0.2">
      <c r="A38">
        <f t="shared" si="12"/>
        <v>220</v>
      </c>
      <c r="B38">
        <f t="shared" si="3"/>
        <v>0</v>
      </c>
      <c r="C38">
        <f t="shared" si="4"/>
        <v>0</v>
      </c>
      <c r="D38">
        <f t="shared" si="5"/>
        <v>220</v>
      </c>
      <c r="E38">
        <f t="shared" si="4"/>
        <v>0</v>
      </c>
      <c r="F38">
        <f t="shared" si="5"/>
        <v>0</v>
      </c>
      <c r="G38">
        <f t="shared" si="6"/>
        <v>0</v>
      </c>
      <c r="H38">
        <f t="shared" si="7"/>
        <v>0</v>
      </c>
      <c r="I38">
        <f t="shared" si="8"/>
        <v>0</v>
      </c>
      <c r="J38">
        <f t="shared" si="8"/>
        <v>0</v>
      </c>
      <c r="K38">
        <f t="shared" si="8"/>
        <v>0</v>
      </c>
      <c r="L38">
        <f t="shared" si="8"/>
        <v>0</v>
      </c>
      <c r="M38">
        <f t="shared" si="10"/>
        <v>0</v>
      </c>
    </row>
    <row r="39" spans="1:19" x14ac:dyDescent="0.2">
      <c r="A39">
        <f t="shared" si="12"/>
        <v>270</v>
      </c>
      <c r="B39">
        <f t="shared" si="3"/>
        <v>0</v>
      </c>
      <c r="C39">
        <f t="shared" ref="C39:E70" si="13">IF(IF((C$3*10^12-$A40)*(C$3*10^12-$A39)*-1&lt;0,0,1)*IF(ABS(C$3*10^12-$A40)&gt;(C$3*10^12-$A39),$A39,$A40)=C40,0,IF((C$3*10^12-$A40)*(C$3*10^12-$A39)*-1&lt;0,0,1)*IF(ABS(C$3*10^12-$A40)&gt;(C$3*10^12-$A39),$A39,$A40))</f>
        <v>0</v>
      </c>
      <c r="D39">
        <f t="shared" si="5"/>
        <v>0</v>
      </c>
      <c r="E39">
        <f t="shared" si="13"/>
        <v>0</v>
      </c>
      <c r="F39">
        <f t="shared" si="5"/>
        <v>0</v>
      </c>
      <c r="G39">
        <f t="shared" si="6"/>
        <v>0</v>
      </c>
      <c r="H39">
        <f t="shared" si="7"/>
        <v>0</v>
      </c>
      <c r="I39">
        <f t="shared" si="8"/>
        <v>0</v>
      </c>
      <c r="J39">
        <f t="shared" si="8"/>
        <v>0</v>
      </c>
      <c r="K39">
        <f t="shared" si="8"/>
        <v>0</v>
      </c>
      <c r="L39">
        <f t="shared" si="8"/>
        <v>0</v>
      </c>
      <c r="M39">
        <f t="shared" si="10"/>
        <v>0</v>
      </c>
    </row>
    <row r="40" spans="1:19" x14ac:dyDescent="0.2">
      <c r="A40">
        <f t="shared" si="12"/>
        <v>330</v>
      </c>
      <c r="B40">
        <f t="shared" si="3"/>
        <v>0</v>
      </c>
      <c r="C40">
        <f t="shared" si="13"/>
        <v>0</v>
      </c>
      <c r="D40">
        <f t="shared" si="5"/>
        <v>0</v>
      </c>
      <c r="E40">
        <f t="shared" si="13"/>
        <v>0</v>
      </c>
      <c r="F40">
        <f t="shared" si="5"/>
        <v>0</v>
      </c>
      <c r="G40">
        <f t="shared" si="6"/>
        <v>0</v>
      </c>
      <c r="H40">
        <f t="shared" si="7"/>
        <v>0</v>
      </c>
      <c r="I40">
        <f t="shared" si="8"/>
        <v>0</v>
      </c>
      <c r="J40">
        <f t="shared" si="8"/>
        <v>0</v>
      </c>
      <c r="K40">
        <f t="shared" si="8"/>
        <v>0</v>
      </c>
      <c r="L40">
        <f t="shared" si="8"/>
        <v>0</v>
      </c>
      <c r="M40">
        <f t="shared" si="10"/>
        <v>0</v>
      </c>
    </row>
    <row r="41" spans="1:19" x14ac:dyDescent="0.2">
      <c r="A41">
        <f t="shared" si="12"/>
        <v>390</v>
      </c>
      <c r="B41">
        <f t="shared" si="3"/>
        <v>0</v>
      </c>
      <c r="C41">
        <f t="shared" si="13"/>
        <v>0</v>
      </c>
      <c r="D41">
        <f t="shared" si="5"/>
        <v>0</v>
      </c>
      <c r="E41">
        <f t="shared" si="13"/>
        <v>0</v>
      </c>
      <c r="F41">
        <f t="shared" si="5"/>
        <v>0</v>
      </c>
      <c r="G41">
        <f t="shared" si="6"/>
        <v>0</v>
      </c>
      <c r="H41">
        <f t="shared" si="7"/>
        <v>0</v>
      </c>
      <c r="I41">
        <f t="shared" si="8"/>
        <v>0</v>
      </c>
      <c r="J41">
        <f t="shared" si="8"/>
        <v>0</v>
      </c>
      <c r="K41">
        <f t="shared" si="8"/>
        <v>0</v>
      </c>
      <c r="L41">
        <f t="shared" si="8"/>
        <v>0</v>
      </c>
      <c r="M41">
        <f t="shared" si="10"/>
        <v>0</v>
      </c>
    </row>
    <row r="42" spans="1:19" x14ac:dyDescent="0.2">
      <c r="A42">
        <f t="shared" si="12"/>
        <v>470</v>
      </c>
      <c r="B42">
        <f t="shared" si="3"/>
        <v>0</v>
      </c>
      <c r="C42">
        <f t="shared" si="13"/>
        <v>0</v>
      </c>
      <c r="D42">
        <f t="shared" si="5"/>
        <v>0</v>
      </c>
      <c r="E42">
        <f t="shared" si="13"/>
        <v>0</v>
      </c>
      <c r="F42">
        <f t="shared" si="5"/>
        <v>0</v>
      </c>
      <c r="G42">
        <f t="shared" si="6"/>
        <v>0</v>
      </c>
      <c r="H42">
        <f t="shared" si="7"/>
        <v>0</v>
      </c>
      <c r="I42">
        <f t="shared" si="8"/>
        <v>0</v>
      </c>
      <c r="J42">
        <f t="shared" si="8"/>
        <v>0</v>
      </c>
      <c r="K42">
        <f t="shared" si="8"/>
        <v>0</v>
      </c>
      <c r="L42">
        <f t="shared" si="8"/>
        <v>0</v>
      </c>
      <c r="M42">
        <f t="shared" si="10"/>
        <v>0</v>
      </c>
    </row>
    <row r="43" spans="1:19" x14ac:dyDescent="0.2">
      <c r="A43">
        <f t="shared" si="12"/>
        <v>560</v>
      </c>
      <c r="B43">
        <f t="shared" si="3"/>
        <v>0</v>
      </c>
      <c r="C43">
        <f t="shared" si="13"/>
        <v>0</v>
      </c>
      <c r="D43">
        <f t="shared" si="5"/>
        <v>0</v>
      </c>
      <c r="E43">
        <f t="shared" si="13"/>
        <v>0</v>
      </c>
      <c r="F43">
        <f t="shared" si="5"/>
        <v>0</v>
      </c>
      <c r="G43">
        <f t="shared" si="6"/>
        <v>0</v>
      </c>
      <c r="H43">
        <f t="shared" si="7"/>
        <v>0</v>
      </c>
      <c r="I43">
        <f t="shared" si="8"/>
        <v>0</v>
      </c>
      <c r="J43">
        <f t="shared" si="8"/>
        <v>0</v>
      </c>
      <c r="K43">
        <f t="shared" si="8"/>
        <v>0</v>
      </c>
      <c r="L43">
        <f t="shared" si="8"/>
        <v>0</v>
      </c>
      <c r="M43">
        <f t="shared" si="10"/>
        <v>0</v>
      </c>
    </row>
    <row r="44" spans="1:19" x14ac:dyDescent="0.2">
      <c r="A44">
        <f t="shared" si="12"/>
        <v>680</v>
      </c>
      <c r="B44">
        <f t="shared" si="3"/>
        <v>0</v>
      </c>
      <c r="C44">
        <f t="shared" si="13"/>
        <v>0</v>
      </c>
      <c r="D44">
        <f t="shared" si="5"/>
        <v>0</v>
      </c>
      <c r="E44">
        <f t="shared" si="13"/>
        <v>0</v>
      </c>
      <c r="F44">
        <f t="shared" si="5"/>
        <v>0</v>
      </c>
      <c r="G44">
        <f t="shared" si="6"/>
        <v>0</v>
      </c>
      <c r="H44">
        <f t="shared" si="7"/>
        <v>0</v>
      </c>
      <c r="I44">
        <f t="shared" si="8"/>
        <v>0</v>
      </c>
      <c r="J44">
        <f t="shared" si="8"/>
        <v>680</v>
      </c>
      <c r="K44">
        <f t="shared" si="8"/>
        <v>0</v>
      </c>
      <c r="L44">
        <f t="shared" si="8"/>
        <v>0</v>
      </c>
      <c r="M44">
        <f t="shared" si="10"/>
        <v>0</v>
      </c>
    </row>
    <row r="45" spans="1:19" x14ac:dyDescent="0.2">
      <c r="A45">
        <f>A33*10</f>
        <v>820</v>
      </c>
      <c r="B45">
        <f t="shared" si="3"/>
        <v>0</v>
      </c>
      <c r="C45">
        <f t="shared" si="13"/>
        <v>0</v>
      </c>
      <c r="D45">
        <f t="shared" si="5"/>
        <v>0</v>
      </c>
      <c r="E45">
        <f t="shared" si="13"/>
        <v>0</v>
      </c>
      <c r="F45">
        <f t="shared" si="5"/>
        <v>0</v>
      </c>
      <c r="G45">
        <f t="shared" si="6"/>
        <v>0</v>
      </c>
      <c r="H45">
        <f t="shared" si="7"/>
        <v>0</v>
      </c>
      <c r="I45">
        <f t="shared" si="8"/>
        <v>0</v>
      </c>
      <c r="J45">
        <f t="shared" si="8"/>
        <v>0</v>
      </c>
      <c r="K45">
        <f t="shared" si="8"/>
        <v>0</v>
      </c>
      <c r="L45">
        <f t="shared" si="8"/>
        <v>0</v>
      </c>
      <c r="M45">
        <f t="shared" si="10"/>
        <v>0</v>
      </c>
    </row>
    <row r="46" spans="1:19" x14ac:dyDescent="0.2">
      <c r="A46">
        <f t="shared" si="12"/>
        <v>1000</v>
      </c>
      <c r="B46">
        <f t="shared" si="3"/>
        <v>0</v>
      </c>
      <c r="C46">
        <f t="shared" si="13"/>
        <v>0</v>
      </c>
      <c r="D46">
        <f t="shared" si="5"/>
        <v>0</v>
      </c>
      <c r="E46">
        <f t="shared" si="13"/>
        <v>0</v>
      </c>
      <c r="F46">
        <f t="shared" si="5"/>
        <v>0</v>
      </c>
      <c r="G46">
        <f t="shared" si="6"/>
        <v>0</v>
      </c>
      <c r="H46">
        <f t="shared" si="7"/>
        <v>0</v>
      </c>
      <c r="I46">
        <f t="shared" si="8"/>
        <v>0</v>
      </c>
      <c r="J46">
        <f t="shared" si="8"/>
        <v>0</v>
      </c>
      <c r="K46">
        <f t="shared" si="8"/>
        <v>0</v>
      </c>
      <c r="L46">
        <f t="shared" si="8"/>
        <v>0</v>
      </c>
      <c r="M46">
        <f t="shared" si="10"/>
        <v>0</v>
      </c>
    </row>
    <row r="47" spans="1:19" x14ac:dyDescent="0.2">
      <c r="A47">
        <f t="shared" si="12"/>
        <v>1200</v>
      </c>
      <c r="B47">
        <f t="shared" si="3"/>
        <v>0</v>
      </c>
      <c r="C47">
        <f t="shared" si="13"/>
        <v>0</v>
      </c>
      <c r="D47">
        <f t="shared" si="5"/>
        <v>0</v>
      </c>
      <c r="E47">
        <f t="shared" si="13"/>
        <v>0</v>
      </c>
      <c r="F47">
        <f t="shared" si="5"/>
        <v>0</v>
      </c>
      <c r="G47">
        <f t="shared" si="6"/>
        <v>0</v>
      </c>
      <c r="H47">
        <f t="shared" si="7"/>
        <v>0</v>
      </c>
      <c r="I47">
        <f t="shared" si="8"/>
        <v>0</v>
      </c>
      <c r="J47">
        <f t="shared" si="8"/>
        <v>0</v>
      </c>
      <c r="K47">
        <f t="shared" si="8"/>
        <v>0</v>
      </c>
      <c r="L47">
        <f t="shared" si="8"/>
        <v>0</v>
      </c>
      <c r="M47">
        <f t="shared" si="10"/>
        <v>0</v>
      </c>
    </row>
    <row r="48" spans="1:19" x14ac:dyDescent="0.2">
      <c r="A48">
        <f t="shared" si="12"/>
        <v>1500</v>
      </c>
      <c r="B48">
        <f t="shared" si="3"/>
        <v>0</v>
      </c>
      <c r="C48">
        <f t="shared" si="13"/>
        <v>0</v>
      </c>
      <c r="D48">
        <f t="shared" si="5"/>
        <v>0</v>
      </c>
      <c r="E48">
        <f t="shared" si="13"/>
        <v>0</v>
      </c>
      <c r="F48">
        <f t="shared" si="5"/>
        <v>0</v>
      </c>
      <c r="G48">
        <f t="shared" si="6"/>
        <v>0</v>
      </c>
      <c r="H48">
        <f t="shared" si="7"/>
        <v>0</v>
      </c>
      <c r="I48">
        <f t="shared" si="8"/>
        <v>0</v>
      </c>
      <c r="J48">
        <f t="shared" si="8"/>
        <v>0</v>
      </c>
      <c r="K48">
        <f t="shared" si="8"/>
        <v>0</v>
      </c>
      <c r="L48">
        <f t="shared" si="8"/>
        <v>0</v>
      </c>
      <c r="M48">
        <f t="shared" si="10"/>
        <v>0</v>
      </c>
    </row>
    <row r="49" spans="1:13" x14ac:dyDescent="0.2">
      <c r="A49">
        <f t="shared" si="12"/>
        <v>1800</v>
      </c>
      <c r="B49">
        <f t="shared" si="3"/>
        <v>0</v>
      </c>
      <c r="C49">
        <f t="shared" si="13"/>
        <v>0</v>
      </c>
      <c r="D49">
        <f t="shared" si="5"/>
        <v>0</v>
      </c>
      <c r="E49">
        <f t="shared" si="13"/>
        <v>0</v>
      </c>
      <c r="F49">
        <f t="shared" si="5"/>
        <v>0</v>
      </c>
      <c r="G49">
        <f t="shared" si="6"/>
        <v>0</v>
      </c>
      <c r="H49">
        <f t="shared" si="7"/>
        <v>0</v>
      </c>
      <c r="I49">
        <f t="shared" si="8"/>
        <v>0</v>
      </c>
      <c r="J49">
        <f t="shared" si="8"/>
        <v>0</v>
      </c>
      <c r="K49">
        <f t="shared" si="8"/>
        <v>0</v>
      </c>
      <c r="L49">
        <f t="shared" si="8"/>
        <v>0</v>
      </c>
      <c r="M49">
        <f t="shared" si="10"/>
        <v>0</v>
      </c>
    </row>
    <row r="50" spans="1:13" x14ac:dyDescent="0.2">
      <c r="A50">
        <f t="shared" si="12"/>
        <v>2200</v>
      </c>
      <c r="B50">
        <f t="shared" si="3"/>
        <v>0</v>
      </c>
      <c r="C50">
        <f t="shared" si="13"/>
        <v>0</v>
      </c>
      <c r="D50">
        <f t="shared" si="5"/>
        <v>0</v>
      </c>
      <c r="E50">
        <f t="shared" si="13"/>
        <v>0</v>
      </c>
      <c r="F50">
        <f t="shared" si="5"/>
        <v>0</v>
      </c>
      <c r="G50">
        <f t="shared" si="6"/>
        <v>0</v>
      </c>
      <c r="H50">
        <f t="shared" si="7"/>
        <v>0</v>
      </c>
      <c r="I50">
        <f t="shared" si="8"/>
        <v>0</v>
      </c>
      <c r="J50">
        <f t="shared" si="8"/>
        <v>0</v>
      </c>
      <c r="K50">
        <f t="shared" si="8"/>
        <v>0</v>
      </c>
      <c r="L50">
        <f t="shared" si="8"/>
        <v>0</v>
      </c>
      <c r="M50">
        <f t="shared" si="10"/>
        <v>0</v>
      </c>
    </row>
    <row r="51" spans="1:13" x14ac:dyDescent="0.2">
      <c r="A51">
        <f t="shared" si="12"/>
        <v>2700</v>
      </c>
      <c r="B51">
        <f t="shared" si="3"/>
        <v>0</v>
      </c>
      <c r="C51">
        <f t="shared" si="13"/>
        <v>0</v>
      </c>
      <c r="D51">
        <f t="shared" si="5"/>
        <v>0</v>
      </c>
      <c r="E51">
        <f t="shared" si="13"/>
        <v>0</v>
      </c>
      <c r="F51">
        <f t="shared" si="5"/>
        <v>0</v>
      </c>
      <c r="G51">
        <f t="shared" si="6"/>
        <v>0</v>
      </c>
      <c r="H51">
        <f t="shared" si="7"/>
        <v>0</v>
      </c>
      <c r="I51">
        <f t="shared" si="8"/>
        <v>0</v>
      </c>
      <c r="J51">
        <f t="shared" si="8"/>
        <v>0</v>
      </c>
      <c r="K51">
        <f t="shared" si="8"/>
        <v>0</v>
      </c>
      <c r="L51">
        <f t="shared" si="8"/>
        <v>0</v>
      </c>
      <c r="M51">
        <f t="shared" si="10"/>
        <v>0</v>
      </c>
    </row>
    <row r="52" spans="1:13" x14ac:dyDescent="0.2">
      <c r="A52">
        <f t="shared" si="12"/>
        <v>3300</v>
      </c>
      <c r="B52">
        <f t="shared" si="3"/>
        <v>0</v>
      </c>
      <c r="C52">
        <f t="shared" si="13"/>
        <v>0</v>
      </c>
      <c r="D52">
        <f t="shared" si="5"/>
        <v>0</v>
      </c>
      <c r="E52">
        <f t="shared" si="13"/>
        <v>0</v>
      </c>
      <c r="F52">
        <f t="shared" si="5"/>
        <v>0</v>
      </c>
      <c r="G52">
        <f t="shared" si="6"/>
        <v>0</v>
      </c>
      <c r="H52">
        <f t="shared" si="7"/>
        <v>0</v>
      </c>
      <c r="I52">
        <f t="shared" si="8"/>
        <v>0</v>
      </c>
      <c r="J52">
        <f t="shared" si="8"/>
        <v>0</v>
      </c>
      <c r="K52">
        <f t="shared" si="8"/>
        <v>0</v>
      </c>
      <c r="L52">
        <f t="shared" si="8"/>
        <v>0</v>
      </c>
      <c r="M52">
        <f t="shared" si="10"/>
        <v>0</v>
      </c>
    </row>
    <row r="53" spans="1:13" x14ac:dyDescent="0.2">
      <c r="A53">
        <f t="shared" si="12"/>
        <v>3900</v>
      </c>
      <c r="B53">
        <f t="shared" si="3"/>
        <v>0</v>
      </c>
      <c r="C53">
        <f t="shared" si="13"/>
        <v>0</v>
      </c>
      <c r="D53">
        <f t="shared" si="5"/>
        <v>0</v>
      </c>
      <c r="E53">
        <f t="shared" si="13"/>
        <v>0</v>
      </c>
      <c r="F53">
        <f t="shared" si="5"/>
        <v>0</v>
      </c>
      <c r="G53">
        <f t="shared" si="6"/>
        <v>0</v>
      </c>
      <c r="H53">
        <f t="shared" si="7"/>
        <v>0</v>
      </c>
      <c r="I53">
        <f t="shared" si="8"/>
        <v>0</v>
      </c>
      <c r="J53">
        <f t="shared" si="8"/>
        <v>0</v>
      </c>
      <c r="K53">
        <f t="shared" si="8"/>
        <v>0</v>
      </c>
      <c r="L53">
        <f t="shared" si="8"/>
        <v>0</v>
      </c>
      <c r="M53">
        <f t="shared" si="10"/>
        <v>0</v>
      </c>
    </row>
    <row r="54" spans="1:13" x14ac:dyDescent="0.2">
      <c r="A54">
        <f t="shared" si="12"/>
        <v>4700</v>
      </c>
      <c r="B54">
        <f t="shared" si="3"/>
        <v>0</v>
      </c>
      <c r="C54">
        <f t="shared" si="13"/>
        <v>0</v>
      </c>
      <c r="D54">
        <f t="shared" si="5"/>
        <v>0</v>
      </c>
      <c r="E54">
        <f t="shared" si="13"/>
        <v>0</v>
      </c>
      <c r="F54">
        <f t="shared" si="5"/>
        <v>0</v>
      </c>
      <c r="G54">
        <f t="shared" si="6"/>
        <v>0</v>
      </c>
      <c r="H54">
        <f t="shared" si="7"/>
        <v>0</v>
      </c>
      <c r="I54">
        <f t="shared" si="8"/>
        <v>0</v>
      </c>
      <c r="J54">
        <f t="shared" si="8"/>
        <v>0</v>
      </c>
      <c r="K54">
        <f t="shared" si="8"/>
        <v>0</v>
      </c>
      <c r="L54">
        <f t="shared" si="8"/>
        <v>0</v>
      </c>
      <c r="M54">
        <f t="shared" si="10"/>
        <v>0</v>
      </c>
    </row>
    <row r="55" spans="1:13" x14ac:dyDescent="0.2">
      <c r="A55">
        <f t="shared" si="12"/>
        <v>5600</v>
      </c>
      <c r="B55">
        <f t="shared" si="3"/>
        <v>0</v>
      </c>
      <c r="C55">
        <f t="shared" si="13"/>
        <v>0</v>
      </c>
      <c r="D55">
        <f t="shared" si="5"/>
        <v>0</v>
      </c>
      <c r="E55">
        <f t="shared" si="13"/>
        <v>0</v>
      </c>
      <c r="F55">
        <f t="shared" si="5"/>
        <v>0</v>
      </c>
      <c r="G55">
        <f t="shared" si="6"/>
        <v>0</v>
      </c>
      <c r="H55">
        <f t="shared" si="7"/>
        <v>0</v>
      </c>
      <c r="I55">
        <f t="shared" si="8"/>
        <v>0</v>
      </c>
      <c r="J55">
        <f t="shared" si="8"/>
        <v>0</v>
      </c>
      <c r="K55">
        <f t="shared" si="8"/>
        <v>0</v>
      </c>
      <c r="L55">
        <f t="shared" si="8"/>
        <v>0</v>
      </c>
      <c r="M55">
        <f t="shared" si="10"/>
        <v>0</v>
      </c>
    </row>
    <row r="56" spans="1:13" x14ac:dyDescent="0.2">
      <c r="A56">
        <f t="shared" si="12"/>
        <v>6800</v>
      </c>
      <c r="B56">
        <f t="shared" si="3"/>
        <v>0</v>
      </c>
      <c r="C56">
        <f t="shared" si="13"/>
        <v>0</v>
      </c>
      <c r="D56">
        <f t="shared" si="5"/>
        <v>0</v>
      </c>
      <c r="E56">
        <f t="shared" si="13"/>
        <v>0</v>
      </c>
      <c r="F56">
        <f t="shared" si="5"/>
        <v>0</v>
      </c>
      <c r="G56">
        <f t="shared" si="6"/>
        <v>0</v>
      </c>
      <c r="H56">
        <f t="shared" si="7"/>
        <v>0</v>
      </c>
      <c r="I56">
        <f t="shared" si="8"/>
        <v>0</v>
      </c>
      <c r="J56">
        <f t="shared" si="8"/>
        <v>0</v>
      </c>
      <c r="K56">
        <f t="shared" si="8"/>
        <v>0</v>
      </c>
      <c r="L56">
        <f t="shared" si="8"/>
        <v>0</v>
      </c>
      <c r="M56">
        <f t="shared" si="10"/>
        <v>0</v>
      </c>
    </row>
    <row r="57" spans="1:13" x14ac:dyDescent="0.2">
      <c r="A57">
        <f t="shared" si="12"/>
        <v>8200</v>
      </c>
      <c r="B57">
        <f t="shared" si="3"/>
        <v>0</v>
      </c>
      <c r="C57">
        <f t="shared" si="13"/>
        <v>0</v>
      </c>
      <c r="D57">
        <f t="shared" si="5"/>
        <v>0</v>
      </c>
      <c r="E57">
        <f t="shared" si="13"/>
        <v>0</v>
      </c>
      <c r="F57">
        <f t="shared" si="5"/>
        <v>0</v>
      </c>
      <c r="G57">
        <f t="shared" si="6"/>
        <v>0</v>
      </c>
      <c r="H57">
        <f t="shared" si="7"/>
        <v>0</v>
      </c>
      <c r="I57">
        <f t="shared" si="8"/>
        <v>0</v>
      </c>
      <c r="J57">
        <f t="shared" si="8"/>
        <v>0</v>
      </c>
      <c r="K57">
        <f t="shared" si="8"/>
        <v>0</v>
      </c>
      <c r="L57">
        <f t="shared" si="8"/>
        <v>0</v>
      </c>
      <c r="M57">
        <f t="shared" si="10"/>
        <v>0</v>
      </c>
    </row>
    <row r="58" spans="1:13" x14ac:dyDescent="0.2">
      <c r="A58">
        <f t="shared" si="12"/>
        <v>10000</v>
      </c>
      <c r="B58">
        <f t="shared" si="3"/>
        <v>0</v>
      </c>
      <c r="C58">
        <f t="shared" si="13"/>
        <v>0</v>
      </c>
      <c r="D58">
        <f t="shared" si="5"/>
        <v>0</v>
      </c>
      <c r="E58">
        <f t="shared" si="13"/>
        <v>0</v>
      </c>
      <c r="F58">
        <f t="shared" si="5"/>
        <v>0</v>
      </c>
      <c r="G58">
        <f t="shared" si="6"/>
        <v>0</v>
      </c>
      <c r="H58">
        <f t="shared" si="7"/>
        <v>0</v>
      </c>
      <c r="I58">
        <f t="shared" si="8"/>
        <v>0</v>
      </c>
      <c r="J58">
        <f t="shared" si="8"/>
        <v>0</v>
      </c>
      <c r="K58">
        <f t="shared" si="8"/>
        <v>0</v>
      </c>
      <c r="L58">
        <f t="shared" si="8"/>
        <v>0</v>
      </c>
      <c r="M58">
        <f t="shared" si="10"/>
        <v>0</v>
      </c>
    </row>
    <row r="59" spans="1:13" x14ac:dyDescent="0.2">
      <c r="A59">
        <f t="shared" si="12"/>
        <v>12000</v>
      </c>
      <c r="B59">
        <f t="shared" si="3"/>
        <v>0</v>
      </c>
      <c r="C59">
        <f t="shared" si="13"/>
        <v>0</v>
      </c>
      <c r="D59">
        <f t="shared" si="5"/>
        <v>0</v>
      </c>
      <c r="E59">
        <f t="shared" si="13"/>
        <v>0</v>
      </c>
      <c r="F59">
        <f t="shared" si="5"/>
        <v>0</v>
      </c>
      <c r="G59">
        <f t="shared" si="6"/>
        <v>0</v>
      </c>
      <c r="H59">
        <f t="shared" si="7"/>
        <v>0</v>
      </c>
      <c r="I59">
        <f t="shared" si="8"/>
        <v>0</v>
      </c>
      <c r="J59">
        <f t="shared" si="8"/>
        <v>0</v>
      </c>
      <c r="K59">
        <f t="shared" si="8"/>
        <v>0</v>
      </c>
      <c r="L59">
        <f t="shared" si="8"/>
        <v>0</v>
      </c>
      <c r="M59">
        <f t="shared" si="10"/>
        <v>0</v>
      </c>
    </row>
    <row r="60" spans="1:13" x14ac:dyDescent="0.2">
      <c r="A60">
        <f t="shared" si="12"/>
        <v>15000</v>
      </c>
      <c r="B60">
        <f t="shared" si="3"/>
        <v>0</v>
      </c>
      <c r="C60">
        <f t="shared" si="13"/>
        <v>15000</v>
      </c>
      <c r="D60">
        <f t="shared" si="5"/>
        <v>0</v>
      </c>
      <c r="E60">
        <f t="shared" si="13"/>
        <v>0</v>
      </c>
      <c r="F60">
        <f t="shared" si="5"/>
        <v>0</v>
      </c>
      <c r="G60">
        <f t="shared" si="6"/>
        <v>0</v>
      </c>
      <c r="H60">
        <f t="shared" si="7"/>
        <v>0</v>
      </c>
      <c r="I60">
        <f t="shared" si="8"/>
        <v>0</v>
      </c>
      <c r="J60">
        <f t="shared" si="8"/>
        <v>0</v>
      </c>
      <c r="K60">
        <f t="shared" si="8"/>
        <v>0</v>
      </c>
      <c r="L60">
        <f t="shared" si="8"/>
        <v>0</v>
      </c>
      <c r="M60">
        <f t="shared" si="10"/>
        <v>0</v>
      </c>
    </row>
    <row r="61" spans="1:13" x14ac:dyDescent="0.2">
      <c r="A61">
        <f t="shared" si="12"/>
        <v>18000</v>
      </c>
      <c r="B61">
        <f t="shared" si="3"/>
        <v>0</v>
      </c>
      <c r="C61">
        <f t="shared" si="13"/>
        <v>0</v>
      </c>
      <c r="D61">
        <f t="shared" si="5"/>
        <v>0</v>
      </c>
      <c r="E61">
        <f t="shared" si="13"/>
        <v>0</v>
      </c>
      <c r="F61">
        <f t="shared" si="5"/>
        <v>0</v>
      </c>
      <c r="G61">
        <f t="shared" si="6"/>
        <v>0</v>
      </c>
      <c r="H61">
        <f t="shared" si="7"/>
        <v>0</v>
      </c>
      <c r="I61">
        <f t="shared" si="8"/>
        <v>0</v>
      </c>
      <c r="J61">
        <f t="shared" si="8"/>
        <v>0</v>
      </c>
      <c r="K61">
        <f t="shared" si="8"/>
        <v>0</v>
      </c>
      <c r="L61">
        <f t="shared" si="8"/>
        <v>0</v>
      </c>
      <c r="M61">
        <f t="shared" si="10"/>
        <v>0</v>
      </c>
    </row>
    <row r="62" spans="1:13" x14ac:dyDescent="0.2">
      <c r="A62">
        <f t="shared" si="12"/>
        <v>22000</v>
      </c>
      <c r="B62">
        <f t="shared" si="3"/>
        <v>0</v>
      </c>
      <c r="C62">
        <f t="shared" si="13"/>
        <v>0</v>
      </c>
      <c r="D62">
        <f t="shared" si="5"/>
        <v>0</v>
      </c>
      <c r="E62">
        <f t="shared" si="13"/>
        <v>22000</v>
      </c>
      <c r="F62">
        <f t="shared" si="5"/>
        <v>0</v>
      </c>
      <c r="G62">
        <f t="shared" si="6"/>
        <v>0</v>
      </c>
      <c r="H62">
        <f t="shared" si="7"/>
        <v>0</v>
      </c>
      <c r="I62">
        <f t="shared" si="8"/>
        <v>0</v>
      </c>
      <c r="J62">
        <f t="shared" si="8"/>
        <v>0</v>
      </c>
      <c r="K62">
        <f t="shared" si="8"/>
        <v>0</v>
      </c>
      <c r="L62">
        <f t="shared" si="8"/>
        <v>0</v>
      </c>
      <c r="M62">
        <f t="shared" si="10"/>
        <v>0</v>
      </c>
    </row>
    <row r="63" spans="1:13" x14ac:dyDescent="0.2">
      <c r="A63">
        <f t="shared" si="12"/>
        <v>27000</v>
      </c>
      <c r="B63">
        <f t="shared" si="3"/>
        <v>0</v>
      </c>
      <c r="C63">
        <f t="shared" si="13"/>
        <v>0</v>
      </c>
      <c r="D63">
        <f t="shared" si="5"/>
        <v>0</v>
      </c>
      <c r="E63">
        <f t="shared" si="13"/>
        <v>0</v>
      </c>
      <c r="F63">
        <f t="shared" si="5"/>
        <v>0</v>
      </c>
      <c r="G63">
        <f t="shared" si="6"/>
        <v>0</v>
      </c>
      <c r="H63">
        <f t="shared" si="7"/>
        <v>0</v>
      </c>
      <c r="I63">
        <f t="shared" si="8"/>
        <v>0</v>
      </c>
      <c r="J63">
        <f t="shared" si="8"/>
        <v>0</v>
      </c>
      <c r="K63">
        <f t="shared" si="8"/>
        <v>0</v>
      </c>
      <c r="L63">
        <f t="shared" si="8"/>
        <v>0</v>
      </c>
      <c r="M63">
        <f t="shared" si="10"/>
        <v>0</v>
      </c>
    </row>
    <row r="64" spans="1:13" x14ac:dyDescent="0.2">
      <c r="A64">
        <f t="shared" si="12"/>
        <v>33000</v>
      </c>
      <c r="B64">
        <f t="shared" si="3"/>
        <v>0</v>
      </c>
      <c r="C64">
        <f t="shared" si="13"/>
        <v>0</v>
      </c>
      <c r="D64">
        <f t="shared" si="5"/>
        <v>0</v>
      </c>
      <c r="E64">
        <f t="shared" si="13"/>
        <v>0</v>
      </c>
      <c r="F64">
        <f t="shared" si="5"/>
        <v>0</v>
      </c>
      <c r="G64">
        <f t="shared" si="6"/>
        <v>0</v>
      </c>
      <c r="H64">
        <f t="shared" si="7"/>
        <v>0</v>
      </c>
      <c r="I64">
        <f t="shared" si="8"/>
        <v>0</v>
      </c>
      <c r="J64">
        <f t="shared" si="8"/>
        <v>0</v>
      </c>
      <c r="K64">
        <f t="shared" si="8"/>
        <v>0</v>
      </c>
      <c r="L64">
        <f t="shared" si="8"/>
        <v>0</v>
      </c>
      <c r="M64">
        <f t="shared" si="10"/>
        <v>0</v>
      </c>
    </row>
    <row r="65" spans="1:13" x14ac:dyDescent="0.2">
      <c r="A65">
        <f t="shared" si="12"/>
        <v>39000</v>
      </c>
      <c r="B65">
        <f t="shared" si="3"/>
        <v>0</v>
      </c>
      <c r="C65">
        <f t="shared" si="13"/>
        <v>0</v>
      </c>
      <c r="D65">
        <f t="shared" si="5"/>
        <v>0</v>
      </c>
      <c r="E65">
        <f t="shared" si="13"/>
        <v>0</v>
      </c>
      <c r="F65">
        <f t="shared" si="5"/>
        <v>0</v>
      </c>
      <c r="G65">
        <f t="shared" si="6"/>
        <v>0</v>
      </c>
      <c r="H65">
        <f t="shared" si="7"/>
        <v>0</v>
      </c>
      <c r="I65">
        <f t="shared" si="8"/>
        <v>0</v>
      </c>
      <c r="J65">
        <f t="shared" si="8"/>
        <v>0</v>
      </c>
      <c r="K65">
        <f t="shared" si="8"/>
        <v>0</v>
      </c>
      <c r="L65">
        <f t="shared" si="8"/>
        <v>0</v>
      </c>
      <c r="M65">
        <f t="shared" si="10"/>
        <v>0</v>
      </c>
    </row>
    <row r="66" spans="1:13" x14ac:dyDescent="0.2">
      <c r="A66">
        <f t="shared" si="12"/>
        <v>47000</v>
      </c>
      <c r="B66">
        <f t="shared" si="3"/>
        <v>0</v>
      </c>
      <c r="C66">
        <f t="shared" si="13"/>
        <v>0</v>
      </c>
      <c r="D66">
        <f t="shared" si="5"/>
        <v>0</v>
      </c>
      <c r="E66">
        <f t="shared" si="13"/>
        <v>0</v>
      </c>
      <c r="F66">
        <f t="shared" si="5"/>
        <v>0</v>
      </c>
      <c r="G66">
        <f t="shared" si="6"/>
        <v>0</v>
      </c>
      <c r="H66">
        <f t="shared" si="7"/>
        <v>0</v>
      </c>
      <c r="I66">
        <f t="shared" si="8"/>
        <v>0</v>
      </c>
      <c r="J66">
        <f t="shared" si="8"/>
        <v>0</v>
      </c>
      <c r="K66">
        <f t="shared" si="8"/>
        <v>0</v>
      </c>
      <c r="L66">
        <f t="shared" si="8"/>
        <v>0</v>
      </c>
      <c r="M66">
        <f t="shared" si="10"/>
        <v>0</v>
      </c>
    </row>
    <row r="67" spans="1:13" x14ac:dyDescent="0.2">
      <c r="A67">
        <f t="shared" si="12"/>
        <v>56000</v>
      </c>
      <c r="B67">
        <f t="shared" si="3"/>
        <v>0</v>
      </c>
      <c r="C67">
        <f t="shared" si="13"/>
        <v>0</v>
      </c>
      <c r="D67">
        <f t="shared" si="5"/>
        <v>0</v>
      </c>
      <c r="E67">
        <f t="shared" si="13"/>
        <v>0</v>
      </c>
      <c r="F67">
        <f t="shared" si="5"/>
        <v>0</v>
      </c>
      <c r="G67">
        <f t="shared" si="6"/>
        <v>0</v>
      </c>
      <c r="H67">
        <f t="shared" si="7"/>
        <v>0</v>
      </c>
      <c r="I67">
        <f t="shared" si="8"/>
        <v>0</v>
      </c>
      <c r="J67">
        <f t="shared" si="8"/>
        <v>0</v>
      </c>
      <c r="K67">
        <f t="shared" si="8"/>
        <v>0</v>
      </c>
      <c r="L67">
        <f t="shared" si="8"/>
        <v>0</v>
      </c>
      <c r="M67">
        <f t="shared" si="10"/>
        <v>0</v>
      </c>
    </row>
    <row r="68" spans="1:13" x14ac:dyDescent="0.2">
      <c r="A68">
        <f t="shared" si="12"/>
        <v>68000</v>
      </c>
      <c r="B68">
        <f t="shared" si="3"/>
        <v>0</v>
      </c>
      <c r="C68">
        <f t="shared" si="13"/>
        <v>0</v>
      </c>
      <c r="D68">
        <f t="shared" si="5"/>
        <v>0</v>
      </c>
      <c r="E68">
        <f t="shared" si="13"/>
        <v>0</v>
      </c>
      <c r="F68">
        <f t="shared" si="5"/>
        <v>0</v>
      </c>
      <c r="G68">
        <f t="shared" si="6"/>
        <v>0</v>
      </c>
      <c r="H68">
        <f t="shared" si="7"/>
        <v>0</v>
      </c>
      <c r="I68">
        <f t="shared" si="8"/>
        <v>0</v>
      </c>
      <c r="J68">
        <f t="shared" si="8"/>
        <v>0</v>
      </c>
      <c r="K68">
        <f t="shared" si="8"/>
        <v>0</v>
      </c>
      <c r="L68">
        <f t="shared" si="8"/>
        <v>0</v>
      </c>
      <c r="M68">
        <f t="shared" si="10"/>
        <v>0</v>
      </c>
    </row>
    <row r="69" spans="1:13" x14ac:dyDescent="0.2">
      <c r="A69">
        <f t="shared" si="12"/>
        <v>82000</v>
      </c>
      <c r="B69">
        <f t="shared" si="3"/>
        <v>0</v>
      </c>
      <c r="C69">
        <f t="shared" si="13"/>
        <v>0</v>
      </c>
      <c r="D69">
        <f t="shared" si="5"/>
        <v>0</v>
      </c>
      <c r="E69">
        <f t="shared" si="13"/>
        <v>0</v>
      </c>
      <c r="F69">
        <f t="shared" si="5"/>
        <v>0</v>
      </c>
      <c r="G69">
        <f t="shared" si="6"/>
        <v>0</v>
      </c>
      <c r="H69">
        <f t="shared" si="7"/>
        <v>0</v>
      </c>
      <c r="I69">
        <f t="shared" si="8"/>
        <v>0</v>
      </c>
      <c r="J69">
        <f t="shared" si="8"/>
        <v>0</v>
      </c>
      <c r="K69">
        <f t="shared" si="8"/>
        <v>0</v>
      </c>
      <c r="L69">
        <f t="shared" ref="L69:M132" si="14">IF(IF((L$3*10^12-$A70)*(L$3*10^12-$A69)*-1&lt;0,0,1)*IF(ABS(L$3*10^12-$A70)&gt;(L$3*10^12-$A69),$A69,$A70)=L70,0,IF((L$3*10^12-$A70)*(L$3*10^12-$A69)*-1&lt;0,0,1)*IF(ABS(L$3*10^12-$A70)&gt;(L$3*10^12-$A69),$A69,$A70))</f>
        <v>0</v>
      </c>
      <c r="M69">
        <f t="shared" si="14"/>
        <v>0</v>
      </c>
    </row>
    <row r="70" spans="1:13" x14ac:dyDescent="0.2">
      <c r="A70">
        <f t="shared" si="12"/>
        <v>100000</v>
      </c>
      <c r="B70">
        <f t="shared" si="3"/>
        <v>0</v>
      </c>
      <c r="C70">
        <f t="shared" si="13"/>
        <v>0</v>
      </c>
      <c r="D70">
        <f t="shared" ref="D70:K70" si="15">IF(IF((D$3*10^12-$A71)*(D$3*10^12-$A70)*-1&lt;0,0,1)*IF(ABS(D$3*10^12-$A71)&gt;(D$3*10^12-$A70),$A70,$A71)=D71,0,IF((D$3*10^12-$A71)*(D$3*10^12-$A70)*-1&lt;0,0,1)*IF(ABS(D$3*10^12-$A71)&gt;(D$3*10^12-$A70),$A70,$A71))</f>
        <v>0</v>
      </c>
      <c r="E70">
        <f t="shared" si="13"/>
        <v>0</v>
      </c>
      <c r="F70">
        <f t="shared" si="15"/>
        <v>0</v>
      </c>
      <c r="G70">
        <f t="shared" si="15"/>
        <v>0</v>
      </c>
      <c r="H70">
        <f t="shared" si="15"/>
        <v>0</v>
      </c>
      <c r="I70">
        <f t="shared" si="15"/>
        <v>0</v>
      </c>
      <c r="J70">
        <f t="shared" si="15"/>
        <v>0</v>
      </c>
      <c r="K70">
        <f t="shared" si="15"/>
        <v>0</v>
      </c>
      <c r="L70">
        <f t="shared" si="14"/>
        <v>0</v>
      </c>
      <c r="M70">
        <f t="shared" si="14"/>
        <v>0</v>
      </c>
    </row>
    <row r="71" spans="1:13" x14ac:dyDescent="0.2">
      <c r="A71">
        <f t="shared" si="12"/>
        <v>120000</v>
      </c>
      <c r="B71">
        <f t="shared" ref="B71:B134" si="16">IF(IF((B$3*10^12-$A72)*(B$3*10^12-$A71)*-1&lt;0,0,1)*IF(ABS(B$3*10^12-$A72)&gt;(B$3*10^12-$A71),$A71,$A72)=B72,0,IF((B$3*10^12-$A72)*(B$3*10^12-$A71)*-1&lt;0,0,1)*IF(ABS(B$3*10^12-$A72)&gt;(B$3*10^12-$A71),$A71,$A72))</f>
        <v>0</v>
      </c>
      <c r="C71">
        <f t="shared" ref="C71:G134" si="17">IF(IF((C$3*10^12-$A72)*(C$3*10^12-$A71)*-1&lt;0,0,1)*IF(ABS(C$3*10^12-$A72)&gt;(C$3*10^12-$A71),$A71,$A72)=C72,0,IF((C$3*10^12-$A72)*(C$3*10^12-$A71)*-1&lt;0,0,1)*IF(ABS(C$3*10^12-$A72)&gt;(C$3*10^12-$A71),$A71,$A72))</f>
        <v>0</v>
      </c>
      <c r="D71">
        <f t="shared" si="17"/>
        <v>0</v>
      </c>
      <c r="E71">
        <f t="shared" si="17"/>
        <v>0</v>
      </c>
      <c r="F71">
        <f t="shared" si="17"/>
        <v>0</v>
      </c>
      <c r="G71">
        <f t="shared" si="17"/>
        <v>0</v>
      </c>
      <c r="H71">
        <f t="shared" ref="H71:H102" si="18">IF(IF((H$3*10^12-$A72)*(H$3*10^12-$A71)*-1&lt;0,0,1)*IF(ABS(H$3*10^12-$A72)&gt;(H$3*10^12-$A71),$A71,$A72)=H72,0,IF((H$3*10^12-$A72)*(H$3*10^12-$A71)*-1&lt;0,0,1)*IF(ABS(H$3*10^12-$A72)&gt;(H$3*10^12-$A71),$A71,$A72))</f>
        <v>0</v>
      </c>
      <c r="I71">
        <f t="shared" ref="I71:I102" si="19">IF(IF((I$3*10^12-$A72)*(I$3*10^12-$A71)*-1&lt;0,0,1)*IF(ABS(I$3*10^12-$A72)&gt;(I$3*10^12-$A71),$A71,$A72)=I72,0,IF((I$3*10^12-$A72)*(I$3*10^12-$A71)*-1&lt;0,0,1)*IF(ABS(I$3*10^12-$A72)&gt;(I$3*10^12-$A71),$A71,$A72))</f>
        <v>0</v>
      </c>
      <c r="J71">
        <f t="shared" ref="J71:J102" si="20">IF(IF((J$3*10^12-$A72)*(J$3*10^12-$A71)*-1&lt;0,0,1)*IF(ABS(J$3*10^12-$A72)&gt;(J$3*10^12-$A71),$A71,$A72)=J72,0,IF((J$3*10^12-$A72)*(J$3*10^12-$A71)*-1&lt;0,0,1)*IF(ABS(J$3*10^12-$A72)&gt;(J$3*10^12-$A71),$A71,$A72))</f>
        <v>0</v>
      </c>
      <c r="K71">
        <f t="shared" ref="K71:K102" si="21">IF(IF((K$3*10^12-$A72)*(K$3*10^12-$A71)*-1&lt;0,0,1)*IF(ABS(K$3*10^12-$A72)&gt;(K$3*10^12-$A71),$A71,$A72)=K72,0,IF((K$3*10^12-$A72)*(K$3*10^12-$A71)*-1&lt;0,0,1)*IF(ABS(K$3*10^12-$A72)&gt;(K$3*10^12-$A71),$A71,$A72))</f>
        <v>0</v>
      </c>
      <c r="L71">
        <f t="shared" si="14"/>
        <v>0</v>
      </c>
      <c r="M71">
        <f t="shared" si="14"/>
        <v>0</v>
      </c>
    </row>
    <row r="72" spans="1:13" x14ac:dyDescent="0.2">
      <c r="A72">
        <f t="shared" si="12"/>
        <v>150000</v>
      </c>
      <c r="B72">
        <f t="shared" si="16"/>
        <v>0</v>
      </c>
      <c r="C72">
        <f t="shared" si="17"/>
        <v>0</v>
      </c>
      <c r="D72">
        <f t="shared" si="17"/>
        <v>0</v>
      </c>
      <c r="E72">
        <f t="shared" si="17"/>
        <v>0</v>
      </c>
      <c r="F72">
        <f t="shared" si="17"/>
        <v>0</v>
      </c>
      <c r="G72">
        <f t="shared" si="17"/>
        <v>0</v>
      </c>
      <c r="H72">
        <f t="shared" si="18"/>
        <v>0</v>
      </c>
      <c r="I72">
        <f t="shared" si="19"/>
        <v>0</v>
      </c>
      <c r="J72">
        <f t="shared" si="20"/>
        <v>0</v>
      </c>
      <c r="K72">
        <f t="shared" si="21"/>
        <v>0</v>
      </c>
      <c r="L72">
        <f t="shared" si="14"/>
        <v>0</v>
      </c>
      <c r="M72">
        <f t="shared" si="14"/>
        <v>0</v>
      </c>
    </row>
    <row r="73" spans="1:13" x14ac:dyDescent="0.2">
      <c r="A73">
        <f t="shared" si="12"/>
        <v>180000</v>
      </c>
      <c r="B73">
        <f t="shared" si="16"/>
        <v>0</v>
      </c>
      <c r="C73">
        <f t="shared" si="17"/>
        <v>0</v>
      </c>
      <c r="D73">
        <f t="shared" si="17"/>
        <v>0</v>
      </c>
      <c r="E73">
        <f t="shared" si="17"/>
        <v>0</v>
      </c>
      <c r="F73">
        <f t="shared" si="17"/>
        <v>180000</v>
      </c>
      <c r="G73">
        <f t="shared" si="17"/>
        <v>0</v>
      </c>
      <c r="H73">
        <f t="shared" si="18"/>
        <v>0</v>
      </c>
      <c r="I73">
        <f t="shared" si="19"/>
        <v>0</v>
      </c>
      <c r="J73">
        <f t="shared" si="20"/>
        <v>0</v>
      </c>
      <c r="K73">
        <f t="shared" si="21"/>
        <v>0</v>
      </c>
      <c r="L73">
        <f t="shared" si="14"/>
        <v>0</v>
      </c>
      <c r="M73">
        <f t="shared" si="14"/>
        <v>0</v>
      </c>
    </row>
    <row r="74" spans="1:13" x14ac:dyDescent="0.2">
      <c r="A74">
        <f t="shared" si="12"/>
        <v>220000</v>
      </c>
      <c r="B74">
        <f t="shared" si="16"/>
        <v>0</v>
      </c>
      <c r="C74">
        <f t="shared" si="17"/>
        <v>0</v>
      </c>
      <c r="D74">
        <f t="shared" si="17"/>
        <v>0</v>
      </c>
      <c r="E74">
        <f t="shared" si="17"/>
        <v>0</v>
      </c>
      <c r="F74">
        <f t="shared" si="17"/>
        <v>0</v>
      </c>
      <c r="G74">
        <f t="shared" si="17"/>
        <v>0</v>
      </c>
      <c r="H74">
        <f t="shared" si="18"/>
        <v>0</v>
      </c>
      <c r="I74">
        <f t="shared" si="19"/>
        <v>0</v>
      </c>
      <c r="J74">
        <f t="shared" si="20"/>
        <v>0</v>
      </c>
      <c r="K74">
        <f t="shared" si="21"/>
        <v>0</v>
      </c>
      <c r="L74">
        <f t="shared" si="14"/>
        <v>0</v>
      </c>
      <c r="M74">
        <f t="shared" si="14"/>
        <v>0</v>
      </c>
    </row>
    <row r="75" spans="1:13" x14ac:dyDescent="0.2">
      <c r="A75">
        <f t="shared" si="12"/>
        <v>270000</v>
      </c>
      <c r="B75">
        <f t="shared" si="16"/>
        <v>0</v>
      </c>
      <c r="C75">
        <f t="shared" si="17"/>
        <v>0</v>
      </c>
      <c r="D75">
        <f t="shared" si="17"/>
        <v>0</v>
      </c>
      <c r="E75">
        <f t="shared" si="17"/>
        <v>0</v>
      </c>
      <c r="F75">
        <f t="shared" si="17"/>
        <v>0</v>
      </c>
      <c r="G75">
        <f t="shared" si="17"/>
        <v>0</v>
      </c>
      <c r="H75">
        <f t="shared" si="18"/>
        <v>0</v>
      </c>
      <c r="I75">
        <f t="shared" si="19"/>
        <v>0</v>
      </c>
      <c r="J75">
        <f t="shared" si="20"/>
        <v>0</v>
      </c>
      <c r="K75">
        <f t="shared" si="21"/>
        <v>0</v>
      </c>
      <c r="L75">
        <f t="shared" si="14"/>
        <v>0</v>
      </c>
      <c r="M75">
        <f t="shared" si="14"/>
        <v>0</v>
      </c>
    </row>
    <row r="76" spans="1:13" x14ac:dyDescent="0.2">
      <c r="A76">
        <f t="shared" si="12"/>
        <v>330000</v>
      </c>
      <c r="B76">
        <f t="shared" si="16"/>
        <v>0</v>
      </c>
      <c r="C76">
        <f t="shared" si="17"/>
        <v>0</v>
      </c>
      <c r="D76">
        <f t="shared" si="17"/>
        <v>0</v>
      </c>
      <c r="E76">
        <f t="shared" si="17"/>
        <v>0</v>
      </c>
      <c r="F76">
        <f t="shared" si="17"/>
        <v>0</v>
      </c>
      <c r="G76">
        <f t="shared" si="17"/>
        <v>0</v>
      </c>
      <c r="H76">
        <f t="shared" si="18"/>
        <v>0</v>
      </c>
      <c r="I76">
        <f t="shared" si="19"/>
        <v>0</v>
      </c>
      <c r="J76">
        <f t="shared" si="20"/>
        <v>0</v>
      </c>
      <c r="K76">
        <f t="shared" si="21"/>
        <v>0</v>
      </c>
      <c r="L76">
        <f t="shared" si="14"/>
        <v>0</v>
      </c>
      <c r="M76">
        <f t="shared" si="14"/>
        <v>0</v>
      </c>
    </row>
    <row r="77" spans="1:13" x14ac:dyDescent="0.2">
      <c r="A77">
        <f t="shared" si="12"/>
        <v>390000</v>
      </c>
      <c r="B77">
        <f t="shared" si="16"/>
        <v>0</v>
      </c>
      <c r="C77">
        <f t="shared" si="17"/>
        <v>0</v>
      </c>
      <c r="D77">
        <f t="shared" si="17"/>
        <v>0</v>
      </c>
      <c r="E77">
        <f t="shared" si="17"/>
        <v>0</v>
      </c>
      <c r="F77">
        <f t="shared" si="17"/>
        <v>0</v>
      </c>
      <c r="G77">
        <f t="shared" si="17"/>
        <v>0</v>
      </c>
      <c r="H77">
        <f t="shared" si="18"/>
        <v>0</v>
      </c>
      <c r="I77">
        <f t="shared" si="19"/>
        <v>0</v>
      </c>
      <c r="J77">
        <f t="shared" si="20"/>
        <v>0</v>
      </c>
      <c r="K77">
        <f t="shared" si="21"/>
        <v>0</v>
      </c>
      <c r="L77">
        <f t="shared" si="14"/>
        <v>0</v>
      </c>
      <c r="M77">
        <f t="shared" si="14"/>
        <v>0</v>
      </c>
    </row>
    <row r="78" spans="1:13" x14ac:dyDescent="0.2">
      <c r="A78">
        <f t="shared" si="12"/>
        <v>470000</v>
      </c>
      <c r="B78">
        <f t="shared" si="16"/>
        <v>0</v>
      </c>
      <c r="C78">
        <f t="shared" si="17"/>
        <v>0</v>
      </c>
      <c r="D78">
        <f t="shared" si="17"/>
        <v>0</v>
      </c>
      <c r="E78">
        <f t="shared" si="17"/>
        <v>0</v>
      </c>
      <c r="F78">
        <f t="shared" si="17"/>
        <v>0</v>
      </c>
      <c r="G78">
        <f t="shared" si="17"/>
        <v>0</v>
      </c>
      <c r="H78">
        <f t="shared" si="18"/>
        <v>0</v>
      </c>
      <c r="I78">
        <f t="shared" si="19"/>
        <v>0</v>
      </c>
      <c r="J78">
        <f t="shared" si="20"/>
        <v>0</v>
      </c>
      <c r="K78">
        <f t="shared" si="21"/>
        <v>0</v>
      </c>
      <c r="L78">
        <f t="shared" si="14"/>
        <v>0</v>
      </c>
      <c r="M78">
        <f t="shared" si="14"/>
        <v>0</v>
      </c>
    </row>
    <row r="79" spans="1:13" x14ac:dyDescent="0.2">
      <c r="A79">
        <f t="shared" si="12"/>
        <v>560000</v>
      </c>
      <c r="B79">
        <f t="shared" si="16"/>
        <v>0</v>
      </c>
      <c r="C79">
        <f t="shared" si="17"/>
        <v>0</v>
      </c>
      <c r="D79">
        <f t="shared" si="17"/>
        <v>0</v>
      </c>
      <c r="E79">
        <f t="shared" si="17"/>
        <v>0</v>
      </c>
      <c r="F79">
        <f t="shared" si="17"/>
        <v>0</v>
      </c>
      <c r="G79">
        <f t="shared" si="17"/>
        <v>0</v>
      </c>
      <c r="H79">
        <f t="shared" si="18"/>
        <v>0</v>
      </c>
      <c r="I79">
        <f t="shared" si="19"/>
        <v>0</v>
      </c>
      <c r="J79">
        <f t="shared" si="20"/>
        <v>0</v>
      </c>
      <c r="K79">
        <f t="shared" si="21"/>
        <v>0</v>
      </c>
      <c r="L79">
        <f t="shared" si="14"/>
        <v>0</v>
      </c>
      <c r="M79">
        <f t="shared" si="14"/>
        <v>0</v>
      </c>
    </row>
    <row r="80" spans="1:13" x14ac:dyDescent="0.2">
      <c r="A80">
        <f t="shared" si="12"/>
        <v>680000</v>
      </c>
      <c r="B80">
        <f t="shared" si="16"/>
        <v>0</v>
      </c>
      <c r="C80">
        <f t="shared" si="17"/>
        <v>0</v>
      </c>
      <c r="D80">
        <f t="shared" si="17"/>
        <v>0</v>
      </c>
      <c r="E80">
        <f t="shared" si="17"/>
        <v>0</v>
      </c>
      <c r="F80">
        <f t="shared" si="17"/>
        <v>0</v>
      </c>
      <c r="G80">
        <f t="shared" si="17"/>
        <v>0</v>
      </c>
      <c r="H80">
        <f t="shared" si="18"/>
        <v>0</v>
      </c>
      <c r="I80">
        <f t="shared" si="19"/>
        <v>0</v>
      </c>
      <c r="J80">
        <f t="shared" si="20"/>
        <v>0</v>
      </c>
      <c r="K80">
        <f t="shared" si="21"/>
        <v>0</v>
      </c>
      <c r="L80">
        <f t="shared" si="14"/>
        <v>0</v>
      </c>
      <c r="M80">
        <f t="shared" si="14"/>
        <v>0</v>
      </c>
    </row>
    <row r="81" spans="1:13" x14ac:dyDescent="0.2">
      <c r="A81">
        <f t="shared" si="12"/>
        <v>820000</v>
      </c>
      <c r="B81">
        <f t="shared" si="16"/>
        <v>0</v>
      </c>
      <c r="C81">
        <f t="shared" si="17"/>
        <v>0</v>
      </c>
      <c r="D81">
        <f t="shared" si="17"/>
        <v>0</v>
      </c>
      <c r="E81">
        <f t="shared" si="17"/>
        <v>0</v>
      </c>
      <c r="F81">
        <f t="shared" si="17"/>
        <v>0</v>
      </c>
      <c r="G81">
        <f t="shared" si="17"/>
        <v>0</v>
      </c>
      <c r="H81">
        <f t="shared" si="18"/>
        <v>0</v>
      </c>
      <c r="I81">
        <f t="shared" si="19"/>
        <v>0</v>
      </c>
      <c r="J81">
        <f t="shared" si="20"/>
        <v>0</v>
      </c>
      <c r="K81">
        <f t="shared" si="21"/>
        <v>0</v>
      </c>
      <c r="L81">
        <f t="shared" si="14"/>
        <v>0</v>
      </c>
      <c r="M81">
        <f t="shared" si="14"/>
        <v>0</v>
      </c>
    </row>
    <row r="82" spans="1:13" x14ac:dyDescent="0.2">
      <c r="A82">
        <f t="shared" si="12"/>
        <v>1000000</v>
      </c>
      <c r="B82">
        <f t="shared" si="16"/>
        <v>0</v>
      </c>
      <c r="C82">
        <f t="shared" si="17"/>
        <v>0</v>
      </c>
      <c r="D82">
        <f t="shared" si="17"/>
        <v>0</v>
      </c>
      <c r="E82">
        <f t="shared" si="17"/>
        <v>0</v>
      </c>
      <c r="F82">
        <f t="shared" si="17"/>
        <v>0</v>
      </c>
      <c r="G82">
        <f t="shared" si="17"/>
        <v>0</v>
      </c>
      <c r="H82">
        <f t="shared" si="18"/>
        <v>0</v>
      </c>
      <c r="I82">
        <f t="shared" si="19"/>
        <v>0</v>
      </c>
      <c r="J82">
        <f t="shared" si="20"/>
        <v>0</v>
      </c>
      <c r="K82">
        <f t="shared" si="21"/>
        <v>0</v>
      </c>
      <c r="L82">
        <f t="shared" si="14"/>
        <v>0</v>
      </c>
      <c r="M82">
        <f t="shared" si="14"/>
        <v>0</v>
      </c>
    </row>
    <row r="83" spans="1:13" x14ac:dyDescent="0.2">
      <c r="A83">
        <f t="shared" si="12"/>
        <v>1200000</v>
      </c>
      <c r="B83">
        <f t="shared" si="16"/>
        <v>0</v>
      </c>
      <c r="C83">
        <f t="shared" si="17"/>
        <v>0</v>
      </c>
      <c r="D83">
        <f t="shared" si="17"/>
        <v>0</v>
      </c>
      <c r="E83">
        <f t="shared" si="17"/>
        <v>0</v>
      </c>
      <c r="F83">
        <f t="shared" si="17"/>
        <v>0</v>
      </c>
      <c r="G83">
        <f t="shared" si="17"/>
        <v>0</v>
      </c>
      <c r="H83">
        <f t="shared" si="18"/>
        <v>0</v>
      </c>
      <c r="I83">
        <f t="shared" si="19"/>
        <v>0</v>
      </c>
      <c r="J83">
        <f t="shared" si="20"/>
        <v>0</v>
      </c>
      <c r="K83">
        <f t="shared" si="21"/>
        <v>0</v>
      </c>
      <c r="L83">
        <f t="shared" si="14"/>
        <v>0</v>
      </c>
      <c r="M83">
        <f t="shared" si="14"/>
        <v>0</v>
      </c>
    </row>
    <row r="84" spans="1:13" x14ac:dyDescent="0.2">
      <c r="A84">
        <f t="shared" si="12"/>
        <v>1500000</v>
      </c>
      <c r="B84">
        <f t="shared" si="16"/>
        <v>0</v>
      </c>
      <c r="C84">
        <f t="shared" si="17"/>
        <v>0</v>
      </c>
      <c r="D84">
        <f t="shared" si="17"/>
        <v>0</v>
      </c>
      <c r="E84">
        <f t="shared" si="17"/>
        <v>0</v>
      </c>
      <c r="F84">
        <f t="shared" si="17"/>
        <v>0</v>
      </c>
      <c r="G84">
        <f t="shared" si="17"/>
        <v>0</v>
      </c>
      <c r="H84">
        <f t="shared" si="18"/>
        <v>0</v>
      </c>
      <c r="I84">
        <f t="shared" si="19"/>
        <v>0</v>
      </c>
      <c r="J84">
        <f t="shared" si="20"/>
        <v>0</v>
      </c>
      <c r="K84">
        <f t="shared" si="21"/>
        <v>0</v>
      </c>
      <c r="L84">
        <f t="shared" si="14"/>
        <v>0</v>
      </c>
      <c r="M84">
        <f t="shared" si="14"/>
        <v>0</v>
      </c>
    </row>
    <row r="85" spans="1:13" x14ac:dyDescent="0.2">
      <c r="A85">
        <f t="shared" si="12"/>
        <v>1800000</v>
      </c>
      <c r="B85">
        <f t="shared" si="16"/>
        <v>0</v>
      </c>
      <c r="C85">
        <f t="shared" si="17"/>
        <v>0</v>
      </c>
      <c r="D85">
        <f t="shared" si="17"/>
        <v>0</v>
      </c>
      <c r="E85">
        <f t="shared" si="17"/>
        <v>0</v>
      </c>
      <c r="F85">
        <f t="shared" si="17"/>
        <v>0</v>
      </c>
      <c r="G85">
        <f t="shared" si="17"/>
        <v>0</v>
      </c>
      <c r="H85">
        <f t="shared" si="18"/>
        <v>0</v>
      </c>
      <c r="I85">
        <f t="shared" si="19"/>
        <v>0</v>
      </c>
      <c r="J85">
        <f t="shared" si="20"/>
        <v>0</v>
      </c>
      <c r="K85">
        <f t="shared" si="21"/>
        <v>0</v>
      </c>
      <c r="L85">
        <f t="shared" si="14"/>
        <v>0</v>
      </c>
      <c r="M85">
        <f t="shared" si="14"/>
        <v>0</v>
      </c>
    </row>
    <row r="86" spans="1:13" x14ac:dyDescent="0.2">
      <c r="A86">
        <f t="shared" si="12"/>
        <v>2200000</v>
      </c>
      <c r="B86">
        <f t="shared" si="16"/>
        <v>2700000</v>
      </c>
      <c r="C86">
        <f t="shared" si="17"/>
        <v>0</v>
      </c>
      <c r="D86">
        <f t="shared" si="17"/>
        <v>0</v>
      </c>
      <c r="E86">
        <f t="shared" si="17"/>
        <v>0</v>
      </c>
      <c r="F86">
        <f t="shared" si="17"/>
        <v>0</v>
      </c>
      <c r="G86">
        <f t="shared" si="17"/>
        <v>0</v>
      </c>
      <c r="H86">
        <f t="shared" si="18"/>
        <v>0</v>
      </c>
      <c r="I86">
        <f t="shared" si="19"/>
        <v>0</v>
      </c>
      <c r="J86">
        <f t="shared" si="20"/>
        <v>0</v>
      </c>
      <c r="K86">
        <f t="shared" si="21"/>
        <v>0</v>
      </c>
      <c r="L86">
        <f t="shared" si="14"/>
        <v>0</v>
      </c>
      <c r="M86">
        <f t="shared" si="14"/>
        <v>0</v>
      </c>
    </row>
    <row r="87" spans="1:13" x14ac:dyDescent="0.2">
      <c r="A87">
        <f t="shared" si="12"/>
        <v>2700000</v>
      </c>
      <c r="B87">
        <f t="shared" si="16"/>
        <v>0</v>
      </c>
      <c r="C87">
        <f t="shared" si="17"/>
        <v>0</v>
      </c>
      <c r="D87">
        <f t="shared" si="17"/>
        <v>0</v>
      </c>
      <c r="E87">
        <f t="shared" si="17"/>
        <v>0</v>
      </c>
      <c r="F87">
        <f t="shared" si="17"/>
        <v>0</v>
      </c>
      <c r="G87">
        <f t="shared" si="17"/>
        <v>0</v>
      </c>
      <c r="H87">
        <f t="shared" si="18"/>
        <v>0</v>
      </c>
      <c r="I87">
        <f t="shared" si="19"/>
        <v>0</v>
      </c>
      <c r="J87">
        <f t="shared" si="20"/>
        <v>0</v>
      </c>
      <c r="K87">
        <f t="shared" si="21"/>
        <v>0</v>
      </c>
      <c r="L87">
        <f t="shared" si="14"/>
        <v>0</v>
      </c>
      <c r="M87">
        <f t="shared" si="14"/>
        <v>0</v>
      </c>
    </row>
    <row r="88" spans="1:13" x14ac:dyDescent="0.2">
      <c r="A88">
        <f t="shared" si="12"/>
        <v>3300000</v>
      </c>
      <c r="B88">
        <f t="shared" si="16"/>
        <v>0</v>
      </c>
      <c r="C88">
        <f t="shared" si="17"/>
        <v>0</v>
      </c>
      <c r="D88">
        <f t="shared" si="17"/>
        <v>0</v>
      </c>
      <c r="E88">
        <f t="shared" si="17"/>
        <v>0</v>
      </c>
      <c r="F88">
        <f t="shared" si="17"/>
        <v>0</v>
      </c>
      <c r="G88">
        <f t="shared" si="17"/>
        <v>0</v>
      </c>
      <c r="H88">
        <f t="shared" si="18"/>
        <v>0</v>
      </c>
      <c r="I88">
        <f t="shared" si="19"/>
        <v>0</v>
      </c>
      <c r="J88">
        <f t="shared" si="20"/>
        <v>0</v>
      </c>
      <c r="K88">
        <f t="shared" si="21"/>
        <v>0</v>
      </c>
      <c r="L88">
        <f t="shared" si="14"/>
        <v>0</v>
      </c>
      <c r="M88">
        <f t="shared" si="14"/>
        <v>0</v>
      </c>
    </row>
    <row r="89" spans="1:13" x14ac:dyDescent="0.2">
      <c r="A89">
        <f t="shared" si="12"/>
        <v>3900000</v>
      </c>
      <c r="B89">
        <f t="shared" si="16"/>
        <v>0</v>
      </c>
      <c r="C89">
        <f t="shared" si="17"/>
        <v>0</v>
      </c>
      <c r="D89">
        <f t="shared" si="17"/>
        <v>0</v>
      </c>
      <c r="E89">
        <f t="shared" si="17"/>
        <v>0</v>
      </c>
      <c r="F89">
        <f t="shared" si="17"/>
        <v>0</v>
      </c>
      <c r="G89">
        <f t="shared" si="17"/>
        <v>0</v>
      </c>
      <c r="H89">
        <f t="shared" si="18"/>
        <v>0</v>
      </c>
      <c r="I89">
        <f t="shared" si="19"/>
        <v>0</v>
      </c>
      <c r="J89">
        <f t="shared" si="20"/>
        <v>0</v>
      </c>
      <c r="K89">
        <f t="shared" si="21"/>
        <v>0</v>
      </c>
      <c r="L89">
        <f t="shared" si="14"/>
        <v>0</v>
      </c>
      <c r="M89">
        <f t="shared" si="14"/>
        <v>0</v>
      </c>
    </row>
    <row r="90" spans="1:13" x14ac:dyDescent="0.2">
      <c r="A90">
        <f t="shared" si="12"/>
        <v>4700000</v>
      </c>
      <c r="B90">
        <f t="shared" si="16"/>
        <v>0</v>
      </c>
      <c r="C90">
        <f t="shared" si="17"/>
        <v>0</v>
      </c>
      <c r="D90">
        <f t="shared" si="17"/>
        <v>0</v>
      </c>
      <c r="E90">
        <f t="shared" si="17"/>
        <v>0</v>
      </c>
      <c r="F90">
        <f t="shared" si="17"/>
        <v>0</v>
      </c>
      <c r="G90">
        <f t="shared" si="17"/>
        <v>0</v>
      </c>
      <c r="H90">
        <f t="shared" si="18"/>
        <v>0</v>
      </c>
      <c r="I90">
        <f t="shared" si="19"/>
        <v>0</v>
      </c>
      <c r="J90">
        <f t="shared" si="20"/>
        <v>0</v>
      </c>
      <c r="K90">
        <f t="shared" si="21"/>
        <v>0</v>
      </c>
      <c r="L90">
        <f t="shared" si="14"/>
        <v>0</v>
      </c>
      <c r="M90">
        <f t="shared" si="14"/>
        <v>0</v>
      </c>
    </row>
    <row r="91" spans="1:13" x14ac:dyDescent="0.2">
      <c r="A91">
        <f t="shared" si="12"/>
        <v>5600000</v>
      </c>
      <c r="B91">
        <f t="shared" si="16"/>
        <v>0</v>
      </c>
      <c r="C91">
        <f t="shared" si="17"/>
        <v>0</v>
      </c>
      <c r="D91">
        <f t="shared" si="17"/>
        <v>0</v>
      </c>
      <c r="E91">
        <f t="shared" si="17"/>
        <v>0</v>
      </c>
      <c r="F91">
        <f t="shared" si="17"/>
        <v>0</v>
      </c>
      <c r="G91">
        <f t="shared" si="17"/>
        <v>0</v>
      </c>
      <c r="H91">
        <f t="shared" si="18"/>
        <v>0</v>
      </c>
      <c r="I91">
        <f t="shared" si="19"/>
        <v>0</v>
      </c>
      <c r="J91">
        <f t="shared" si="20"/>
        <v>0</v>
      </c>
      <c r="K91">
        <f t="shared" si="21"/>
        <v>0</v>
      </c>
      <c r="L91">
        <f t="shared" si="14"/>
        <v>0</v>
      </c>
      <c r="M91">
        <f t="shared" si="14"/>
        <v>0</v>
      </c>
    </row>
    <row r="92" spans="1:13" x14ac:dyDescent="0.2">
      <c r="A92">
        <f t="shared" si="12"/>
        <v>6800000</v>
      </c>
      <c r="B92">
        <f t="shared" si="16"/>
        <v>0</v>
      </c>
      <c r="C92">
        <f t="shared" si="17"/>
        <v>0</v>
      </c>
      <c r="D92">
        <f t="shared" si="17"/>
        <v>0</v>
      </c>
      <c r="E92">
        <f t="shared" si="17"/>
        <v>0</v>
      </c>
      <c r="F92">
        <f t="shared" si="17"/>
        <v>0</v>
      </c>
      <c r="G92">
        <f t="shared" si="17"/>
        <v>0</v>
      </c>
      <c r="H92">
        <f t="shared" si="18"/>
        <v>0</v>
      </c>
      <c r="I92">
        <f t="shared" si="19"/>
        <v>0</v>
      </c>
      <c r="J92">
        <f t="shared" si="20"/>
        <v>0</v>
      </c>
      <c r="K92">
        <f t="shared" si="21"/>
        <v>0</v>
      </c>
      <c r="L92">
        <f t="shared" si="14"/>
        <v>0</v>
      </c>
      <c r="M92">
        <f t="shared" si="14"/>
        <v>0</v>
      </c>
    </row>
    <row r="93" spans="1:13" x14ac:dyDescent="0.2">
      <c r="A93">
        <f t="shared" si="12"/>
        <v>8200000</v>
      </c>
      <c r="B93">
        <f t="shared" si="16"/>
        <v>0</v>
      </c>
      <c r="C93">
        <f t="shared" si="17"/>
        <v>0</v>
      </c>
      <c r="D93">
        <f t="shared" si="17"/>
        <v>0</v>
      </c>
      <c r="E93">
        <f t="shared" si="17"/>
        <v>0</v>
      </c>
      <c r="F93">
        <f t="shared" si="17"/>
        <v>0</v>
      </c>
      <c r="G93">
        <f t="shared" si="17"/>
        <v>0</v>
      </c>
      <c r="H93">
        <f t="shared" si="18"/>
        <v>0</v>
      </c>
      <c r="I93">
        <f t="shared" si="19"/>
        <v>0</v>
      </c>
      <c r="J93">
        <f t="shared" si="20"/>
        <v>0</v>
      </c>
      <c r="K93">
        <f t="shared" si="21"/>
        <v>0</v>
      </c>
      <c r="L93">
        <f t="shared" si="14"/>
        <v>0</v>
      </c>
      <c r="M93">
        <f t="shared" si="14"/>
        <v>0</v>
      </c>
    </row>
    <row r="94" spans="1:13" x14ac:dyDescent="0.2">
      <c r="A94">
        <f t="shared" si="12"/>
        <v>10000000</v>
      </c>
      <c r="B94">
        <f t="shared" si="16"/>
        <v>0</v>
      </c>
      <c r="C94">
        <f t="shared" si="17"/>
        <v>0</v>
      </c>
      <c r="D94">
        <f t="shared" si="17"/>
        <v>0</v>
      </c>
      <c r="E94">
        <f t="shared" si="17"/>
        <v>0</v>
      </c>
      <c r="F94">
        <f t="shared" si="17"/>
        <v>0</v>
      </c>
      <c r="G94">
        <f t="shared" si="17"/>
        <v>0</v>
      </c>
      <c r="H94">
        <f t="shared" si="18"/>
        <v>0</v>
      </c>
      <c r="I94">
        <f t="shared" si="19"/>
        <v>0</v>
      </c>
      <c r="J94">
        <f t="shared" si="20"/>
        <v>0</v>
      </c>
      <c r="K94">
        <f t="shared" si="21"/>
        <v>0</v>
      </c>
      <c r="L94">
        <f t="shared" si="14"/>
        <v>0</v>
      </c>
      <c r="M94">
        <f t="shared" si="14"/>
        <v>0</v>
      </c>
    </row>
    <row r="95" spans="1:13" x14ac:dyDescent="0.2">
      <c r="A95">
        <f t="shared" si="12"/>
        <v>12000000</v>
      </c>
      <c r="B95">
        <f t="shared" si="16"/>
        <v>0</v>
      </c>
      <c r="C95">
        <f t="shared" si="17"/>
        <v>0</v>
      </c>
      <c r="D95">
        <f t="shared" si="17"/>
        <v>0</v>
      </c>
      <c r="E95">
        <f t="shared" si="17"/>
        <v>0</v>
      </c>
      <c r="F95">
        <f t="shared" si="17"/>
        <v>0</v>
      </c>
      <c r="G95">
        <f t="shared" si="17"/>
        <v>0</v>
      </c>
      <c r="H95">
        <f t="shared" si="18"/>
        <v>0</v>
      </c>
      <c r="I95">
        <f t="shared" si="19"/>
        <v>0</v>
      </c>
      <c r="J95">
        <f t="shared" si="20"/>
        <v>0</v>
      </c>
      <c r="K95">
        <f t="shared" si="21"/>
        <v>0</v>
      </c>
      <c r="L95">
        <f t="shared" si="14"/>
        <v>0</v>
      </c>
      <c r="M95">
        <f t="shared" si="14"/>
        <v>0</v>
      </c>
    </row>
    <row r="96" spans="1:13" x14ac:dyDescent="0.2">
      <c r="A96">
        <f t="shared" si="12"/>
        <v>15000000</v>
      </c>
      <c r="B96">
        <f t="shared" si="16"/>
        <v>0</v>
      </c>
      <c r="C96">
        <f t="shared" si="17"/>
        <v>0</v>
      </c>
      <c r="D96">
        <f t="shared" si="17"/>
        <v>0</v>
      </c>
      <c r="E96">
        <f t="shared" si="17"/>
        <v>0</v>
      </c>
      <c r="F96">
        <f t="shared" si="17"/>
        <v>0</v>
      </c>
      <c r="G96">
        <f t="shared" si="17"/>
        <v>0</v>
      </c>
      <c r="H96">
        <f t="shared" si="18"/>
        <v>0</v>
      </c>
      <c r="I96">
        <f t="shared" si="19"/>
        <v>0</v>
      </c>
      <c r="J96">
        <f t="shared" si="20"/>
        <v>0</v>
      </c>
      <c r="K96">
        <f t="shared" si="21"/>
        <v>0</v>
      </c>
      <c r="L96">
        <f t="shared" si="14"/>
        <v>0</v>
      </c>
      <c r="M96">
        <f t="shared" si="14"/>
        <v>0</v>
      </c>
    </row>
    <row r="97" spans="1:13" x14ac:dyDescent="0.2">
      <c r="A97">
        <f t="shared" si="12"/>
        <v>18000000</v>
      </c>
      <c r="B97">
        <f t="shared" si="16"/>
        <v>0</v>
      </c>
      <c r="C97">
        <f t="shared" si="17"/>
        <v>0</v>
      </c>
      <c r="D97">
        <f t="shared" si="17"/>
        <v>0</v>
      </c>
      <c r="E97">
        <f t="shared" si="17"/>
        <v>0</v>
      </c>
      <c r="F97">
        <f t="shared" si="17"/>
        <v>0</v>
      </c>
      <c r="G97">
        <f t="shared" si="17"/>
        <v>0</v>
      </c>
      <c r="H97">
        <f t="shared" si="18"/>
        <v>0</v>
      </c>
      <c r="I97">
        <f t="shared" si="19"/>
        <v>0</v>
      </c>
      <c r="J97">
        <f t="shared" si="20"/>
        <v>0</v>
      </c>
      <c r="K97">
        <f t="shared" si="21"/>
        <v>0</v>
      </c>
      <c r="L97">
        <f t="shared" si="14"/>
        <v>0</v>
      </c>
      <c r="M97">
        <f t="shared" si="14"/>
        <v>0</v>
      </c>
    </row>
    <row r="98" spans="1:13" x14ac:dyDescent="0.2">
      <c r="A98">
        <f t="shared" si="12"/>
        <v>22000000</v>
      </c>
      <c r="B98">
        <f t="shared" si="16"/>
        <v>0</v>
      </c>
      <c r="C98">
        <f t="shared" si="17"/>
        <v>0</v>
      </c>
      <c r="D98">
        <f t="shared" si="17"/>
        <v>0</v>
      </c>
      <c r="E98">
        <f t="shared" si="17"/>
        <v>0</v>
      </c>
      <c r="F98">
        <f t="shared" si="17"/>
        <v>0</v>
      </c>
      <c r="G98">
        <f t="shared" si="17"/>
        <v>0</v>
      </c>
      <c r="H98">
        <f t="shared" si="18"/>
        <v>0</v>
      </c>
      <c r="I98">
        <f t="shared" si="19"/>
        <v>0</v>
      </c>
      <c r="J98">
        <f t="shared" si="20"/>
        <v>0</v>
      </c>
      <c r="K98">
        <f t="shared" si="21"/>
        <v>0</v>
      </c>
      <c r="L98">
        <f t="shared" si="14"/>
        <v>0</v>
      </c>
      <c r="M98">
        <f t="shared" si="14"/>
        <v>0</v>
      </c>
    </row>
    <row r="99" spans="1:13" x14ac:dyDescent="0.2">
      <c r="A99">
        <f t="shared" ref="A99:A159" si="22">A87*10</f>
        <v>27000000</v>
      </c>
      <c r="B99">
        <f t="shared" si="16"/>
        <v>0</v>
      </c>
      <c r="C99">
        <f t="shared" si="17"/>
        <v>0</v>
      </c>
      <c r="D99">
        <f t="shared" si="17"/>
        <v>0</v>
      </c>
      <c r="E99">
        <f t="shared" si="17"/>
        <v>0</v>
      </c>
      <c r="F99">
        <f t="shared" si="17"/>
        <v>0</v>
      </c>
      <c r="G99">
        <f t="shared" si="17"/>
        <v>0</v>
      </c>
      <c r="H99">
        <f t="shared" si="18"/>
        <v>0</v>
      </c>
      <c r="I99">
        <f t="shared" si="19"/>
        <v>0</v>
      </c>
      <c r="J99">
        <f t="shared" si="20"/>
        <v>0</v>
      </c>
      <c r="K99">
        <f t="shared" si="21"/>
        <v>0</v>
      </c>
      <c r="L99">
        <f t="shared" si="14"/>
        <v>0</v>
      </c>
      <c r="M99">
        <f t="shared" si="14"/>
        <v>0</v>
      </c>
    </row>
    <row r="100" spans="1:13" x14ac:dyDescent="0.2">
      <c r="A100">
        <f t="shared" si="22"/>
        <v>33000000</v>
      </c>
      <c r="B100">
        <f t="shared" si="16"/>
        <v>0</v>
      </c>
      <c r="C100">
        <f t="shared" si="17"/>
        <v>0</v>
      </c>
      <c r="D100">
        <f t="shared" si="17"/>
        <v>0</v>
      </c>
      <c r="E100">
        <f t="shared" si="17"/>
        <v>0</v>
      </c>
      <c r="F100">
        <f t="shared" si="17"/>
        <v>0</v>
      </c>
      <c r="G100">
        <f t="shared" si="17"/>
        <v>0</v>
      </c>
      <c r="H100">
        <f t="shared" si="18"/>
        <v>0</v>
      </c>
      <c r="I100">
        <f t="shared" si="19"/>
        <v>0</v>
      </c>
      <c r="J100">
        <f t="shared" si="20"/>
        <v>0</v>
      </c>
      <c r="K100">
        <f t="shared" si="21"/>
        <v>0</v>
      </c>
      <c r="L100">
        <f t="shared" si="14"/>
        <v>0</v>
      </c>
      <c r="M100">
        <f t="shared" si="14"/>
        <v>0</v>
      </c>
    </row>
    <row r="101" spans="1:13" x14ac:dyDescent="0.2">
      <c r="A101">
        <f t="shared" si="22"/>
        <v>39000000</v>
      </c>
      <c r="B101">
        <f t="shared" si="16"/>
        <v>0</v>
      </c>
      <c r="C101">
        <f t="shared" si="17"/>
        <v>0</v>
      </c>
      <c r="D101">
        <f t="shared" si="17"/>
        <v>0</v>
      </c>
      <c r="E101">
        <f t="shared" si="17"/>
        <v>0</v>
      </c>
      <c r="F101">
        <f t="shared" si="17"/>
        <v>0</v>
      </c>
      <c r="G101">
        <f t="shared" si="17"/>
        <v>0</v>
      </c>
      <c r="H101">
        <f t="shared" si="18"/>
        <v>0</v>
      </c>
      <c r="I101">
        <f t="shared" si="19"/>
        <v>0</v>
      </c>
      <c r="J101">
        <f t="shared" si="20"/>
        <v>0</v>
      </c>
      <c r="K101">
        <f t="shared" si="21"/>
        <v>0</v>
      </c>
      <c r="L101">
        <f t="shared" si="14"/>
        <v>0</v>
      </c>
      <c r="M101">
        <f t="shared" si="14"/>
        <v>39000000</v>
      </c>
    </row>
    <row r="102" spans="1:13" x14ac:dyDescent="0.2">
      <c r="A102">
        <f t="shared" si="22"/>
        <v>47000000</v>
      </c>
      <c r="B102">
        <f t="shared" si="16"/>
        <v>0</v>
      </c>
      <c r="C102">
        <f t="shared" si="17"/>
        <v>0</v>
      </c>
      <c r="D102">
        <f t="shared" si="17"/>
        <v>0</v>
      </c>
      <c r="E102">
        <f t="shared" si="17"/>
        <v>0</v>
      </c>
      <c r="F102">
        <f t="shared" si="17"/>
        <v>0</v>
      </c>
      <c r="G102">
        <f t="shared" si="17"/>
        <v>0</v>
      </c>
      <c r="H102">
        <f t="shared" si="18"/>
        <v>0</v>
      </c>
      <c r="I102">
        <f t="shared" si="19"/>
        <v>0</v>
      </c>
      <c r="J102">
        <f t="shared" si="20"/>
        <v>0</v>
      </c>
      <c r="K102">
        <f t="shared" si="21"/>
        <v>0</v>
      </c>
      <c r="L102">
        <f t="shared" si="14"/>
        <v>0</v>
      </c>
      <c r="M102">
        <f t="shared" si="14"/>
        <v>0</v>
      </c>
    </row>
    <row r="103" spans="1:13" x14ac:dyDescent="0.2">
      <c r="A103">
        <f t="shared" si="22"/>
        <v>56000000</v>
      </c>
      <c r="B103">
        <f t="shared" si="16"/>
        <v>0</v>
      </c>
      <c r="C103">
        <f t="shared" si="17"/>
        <v>0</v>
      </c>
      <c r="D103">
        <f t="shared" si="17"/>
        <v>0</v>
      </c>
      <c r="E103">
        <f t="shared" ref="E103:F134" si="23">IF(IF((E$3*10^12-$A104)*(E$3*10^12-$A103)*-1&lt;0,0,1)*IF(ABS(E$3*10^12-$A104)&gt;(E$3*10^12-$A103),$A103,$A104)=E104,0,IF((E$3*10^12-$A104)*(E$3*10^12-$A103)*-1&lt;0,0,1)*IF(ABS(E$3*10^12-$A104)&gt;(E$3*10^12-$A103),$A103,$A104))</f>
        <v>0</v>
      </c>
      <c r="F103">
        <f t="shared" si="23"/>
        <v>0</v>
      </c>
      <c r="G103">
        <f t="shared" si="17"/>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ref="J103:J134" si="26">IF(IF((J$3*10^12-$A104)*(J$3*10^12-$A103)*-1&lt;0,0,1)*IF(ABS(J$3*10^12-$A104)&gt;(J$3*10^12-$A103),$A103,$A104)=J104,0,IF((J$3*10^12-$A104)*(J$3*10^12-$A103)*-1&lt;0,0,1)*IF(ABS(J$3*10^12-$A104)&gt;(J$3*10^12-$A103),$A103,$A104))</f>
        <v>0</v>
      </c>
      <c r="K103">
        <f t="shared" ref="K103:K134" si="27">IF(IF((K$3*10^12-$A104)*(K$3*10^12-$A103)*-1&lt;0,0,1)*IF(ABS(K$3*10^12-$A104)&gt;(K$3*10^12-$A103),$A103,$A104)=K104,0,IF((K$3*10^12-$A104)*(K$3*10^12-$A103)*-1&lt;0,0,1)*IF(ABS(K$3*10^12-$A104)&gt;(K$3*10^12-$A103),$A103,$A104))</f>
        <v>0</v>
      </c>
      <c r="L103">
        <f t="shared" si="14"/>
        <v>0</v>
      </c>
      <c r="M103">
        <f t="shared" si="14"/>
        <v>0</v>
      </c>
    </row>
    <row r="104" spans="1:13" x14ac:dyDescent="0.2">
      <c r="A104">
        <f t="shared" si="22"/>
        <v>68000000</v>
      </c>
      <c r="B104">
        <f t="shared" si="16"/>
        <v>0</v>
      </c>
      <c r="C104">
        <f t="shared" si="17"/>
        <v>0</v>
      </c>
      <c r="D104">
        <f t="shared" si="17"/>
        <v>0</v>
      </c>
      <c r="E104">
        <f t="shared" si="23"/>
        <v>0</v>
      </c>
      <c r="F104">
        <f t="shared" si="23"/>
        <v>0</v>
      </c>
      <c r="G104">
        <f t="shared" si="17"/>
        <v>0</v>
      </c>
      <c r="H104">
        <f t="shared" si="24"/>
        <v>0</v>
      </c>
      <c r="I104">
        <f t="shared" si="25"/>
        <v>0</v>
      </c>
      <c r="J104">
        <f t="shared" si="26"/>
        <v>0</v>
      </c>
      <c r="K104">
        <f t="shared" si="27"/>
        <v>0</v>
      </c>
      <c r="L104">
        <f t="shared" si="14"/>
        <v>0</v>
      </c>
      <c r="M104">
        <f t="shared" si="14"/>
        <v>0</v>
      </c>
    </row>
    <row r="105" spans="1:13" x14ac:dyDescent="0.2">
      <c r="A105">
        <f t="shared" si="22"/>
        <v>82000000</v>
      </c>
      <c r="B105">
        <f t="shared" si="16"/>
        <v>0</v>
      </c>
      <c r="C105">
        <f t="shared" si="17"/>
        <v>0</v>
      </c>
      <c r="D105">
        <f t="shared" si="17"/>
        <v>0</v>
      </c>
      <c r="E105">
        <f t="shared" si="23"/>
        <v>0</v>
      </c>
      <c r="F105">
        <f t="shared" si="23"/>
        <v>0</v>
      </c>
      <c r="G105">
        <f t="shared" si="17"/>
        <v>0</v>
      </c>
      <c r="H105">
        <f t="shared" si="24"/>
        <v>0</v>
      </c>
      <c r="I105">
        <f t="shared" si="25"/>
        <v>0</v>
      </c>
      <c r="J105">
        <f t="shared" si="26"/>
        <v>0</v>
      </c>
      <c r="K105">
        <f t="shared" si="27"/>
        <v>0</v>
      </c>
      <c r="L105">
        <f t="shared" si="14"/>
        <v>0</v>
      </c>
      <c r="M105">
        <f t="shared" si="14"/>
        <v>0</v>
      </c>
    </row>
    <row r="106" spans="1:13" x14ac:dyDescent="0.2">
      <c r="A106">
        <f t="shared" si="22"/>
        <v>100000000</v>
      </c>
      <c r="B106">
        <f t="shared" si="16"/>
        <v>0</v>
      </c>
      <c r="C106">
        <f t="shared" si="17"/>
        <v>0</v>
      </c>
      <c r="D106">
        <f t="shared" si="17"/>
        <v>0</v>
      </c>
      <c r="E106">
        <f t="shared" si="23"/>
        <v>0</v>
      </c>
      <c r="F106">
        <f t="shared" si="23"/>
        <v>0</v>
      </c>
      <c r="G106">
        <f t="shared" si="17"/>
        <v>100000000</v>
      </c>
      <c r="H106">
        <f t="shared" si="24"/>
        <v>100000000</v>
      </c>
      <c r="I106">
        <f t="shared" si="25"/>
        <v>0</v>
      </c>
      <c r="J106">
        <f t="shared" si="26"/>
        <v>0</v>
      </c>
      <c r="K106">
        <f t="shared" si="27"/>
        <v>0</v>
      </c>
      <c r="L106">
        <f t="shared" si="14"/>
        <v>0</v>
      </c>
      <c r="M106">
        <f t="shared" si="14"/>
        <v>0</v>
      </c>
    </row>
    <row r="107" spans="1:13" x14ac:dyDescent="0.2">
      <c r="A107">
        <f t="shared" si="22"/>
        <v>120000000</v>
      </c>
      <c r="B107">
        <f t="shared" si="16"/>
        <v>0</v>
      </c>
      <c r="C107">
        <f t="shared" si="17"/>
        <v>0</v>
      </c>
      <c r="D107">
        <f t="shared" si="17"/>
        <v>0</v>
      </c>
      <c r="E107">
        <f t="shared" si="23"/>
        <v>0</v>
      </c>
      <c r="F107">
        <f t="shared" si="23"/>
        <v>0</v>
      </c>
      <c r="G107">
        <f t="shared" si="17"/>
        <v>0</v>
      </c>
      <c r="H107">
        <f t="shared" si="24"/>
        <v>0</v>
      </c>
      <c r="I107">
        <f t="shared" si="25"/>
        <v>0</v>
      </c>
      <c r="J107">
        <f t="shared" si="26"/>
        <v>0</v>
      </c>
      <c r="K107">
        <f t="shared" si="27"/>
        <v>0</v>
      </c>
      <c r="L107">
        <f t="shared" si="14"/>
        <v>0</v>
      </c>
      <c r="M107">
        <f t="shared" si="14"/>
        <v>0</v>
      </c>
    </row>
    <row r="108" spans="1:13" x14ac:dyDescent="0.2">
      <c r="A108">
        <f t="shared" si="22"/>
        <v>150000000</v>
      </c>
      <c r="B108">
        <f t="shared" si="16"/>
        <v>0</v>
      </c>
      <c r="C108">
        <f t="shared" si="17"/>
        <v>0</v>
      </c>
      <c r="D108">
        <f t="shared" si="17"/>
        <v>0</v>
      </c>
      <c r="E108">
        <f t="shared" si="23"/>
        <v>0</v>
      </c>
      <c r="F108">
        <f t="shared" si="23"/>
        <v>0</v>
      </c>
      <c r="G108">
        <f t="shared" si="17"/>
        <v>0</v>
      </c>
      <c r="H108">
        <f t="shared" si="24"/>
        <v>0</v>
      </c>
      <c r="I108">
        <f t="shared" si="25"/>
        <v>0</v>
      </c>
      <c r="J108">
        <f t="shared" si="26"/>
        <v>0</v>
      </c>
      <c r="K108">
        <f t="shared" si="27"/>
        <v>0</v>
      </c>
      <c r="L108">
        <f t="shared" si="14"/>
        <v>0</v>
      </c>
      <c r="M108">
        <f t="shared" si="14"/>
        <v>0</v>
      </c>
    </row>
    <row r="109" spans="1:13" x14ac:dyDescent="0.2">
      <c r="A109">
        <f t="shared" si="22"/>
        <v>180000000</v>
      </c>
      <c r="B109">
        <f t="shared" si="16"/>
        <v>0</v>
      </c>
      <c r="C109">
        <f t="shared" si="17"/>
        <v>0</v>
      </c>
      <c r="D109">
        <f t="shared" si="17"/>
        <v>0</v>
      </c>
      <c r="E109">
        <f t="shared" si="23"/>
        <v>0</v>
      </c>
      <c r="F109">
        <f t="shared" si="23"/>
        <v>0</v>
      </c>
      <c r="G109">
        <f t="shared" si="17"/>
        <v>0</v>
      </c>
      <c r="H109">
        <f t="shared" si="24"/>
        <v>0</v>
      </c>
      <c r="I109">
        <f t="shared" si="25"/>
        <v>0</v>
      </c>
      <c r="J109">
        <f t="shared" si="26"/>
        <v>0</v>
      </c>
      <c r="K109">
        <f t="shared" si="27"/>
        <v>0</v>
      </c>
      <c r="L109">
        <f t="shared" si="14"/>
        <v>0</v>
      </c>
      <c r="M109">
        <f t="shared" si="14"/>
        <v>0</v>
      </c>
    </row>
    <row r="110" spans="1:13" x14ac:dyDescent="0.2">
      <c r="A110">
        <f t="shared" si="22"/>
        <v>220000000</v>
      </c>
      <c r="B110">
        <f t="shared" si="16"/>
        <v>0</v>
      </c>
      <c r="C110">
        <f t="shared" si="17"/>
        <v>0</v>
      </c>
      <c r="D110">
        <f t="shared" si="17"/>
        <v>0</v>
      </c>
      <c r="E110">
        <f t="shared" si="23"/>
        <v>0</v>
      </c>
      <c r="F110">
        <f t="shared" si="23"/>
        <v>0</v>
      </c>
      <c r="G110">
        <f t="shared" si="17"/>
        <v>0</v>
      </c>
      <c r="H110">
        <f t="shared" si="24"/>
        <v>0</v>
      </c>
      <c r="I110">
        <f t="shared" si="25"/>
        <v>0</v>
      </c>
      <c r="J110">
        <f t="shared" si="26"/>
        <v>0</v>
      </c>
      <c r="K110">
        <f t="shared" si="27"/>
        <v>0</v>
      </c>
      <c r="L110">
        <f t="shared" si="14"/>
        <v>0</v>
      </c>
      <c r="M110">
        <f t="shared" si="14"/>
        <v>0</v>
      </c>
    </row>
    <row r="111" spans="1:13" x14ac:dyDescent="0.2">
      <c r="A111">
        <f t="shared" si="22"/>
        <v>270000000</v>
      </c>
      <c r="B111">
        <f t="shared" si="16"/>
        <v>0</v>
      </c>
      <c r="C111">
        <f t="shared" si="17"/>
        <v>0</v>
      </c>
      <c r="D111">
        <f t="shared" si="17"/>
        <v>0</v>
      </c>
      <c r="E111">
        <f t="shared" si="23"/>
        <v>0</v>
      </c>
      <c r="F111">
        <f t="shared" si="23"/>
        <v>0</v>
      </c>
      <c r="G111">
        <f t="shared" si="17"/>
        <v>0</v>
      </c>
      <c r="H111">
        <f t="shared" si="24"/>
        <v>0</v>
      </c>
      <c r="I111">
        <f t="shared" si="25"/>
        <v>0</v>
      </c>
      <c r="J111">
        <f t="shared" si="26"/>
        <v>0</v>
      </c>
      <c r="K111">
        <f t="shared" si="27"/>
        <v>0</v>
      </c>
      <c r="L111">
        <f t="shared" si="14"/>
        <v>0</v>
      </c>
      <c r="M111">
        <f t="shared" si="14"/>
        <v>0</v>
      </c>
    </row>
    <row r="112" spans="1:13" x14ac:dyDescent="0.2">
      <c r="A112">
        <f t="shared" si="22"/>
        <v>330000000</v>
      </c>
      <c r="B112">
        <f t="shared" si="16"/>
        <v>0</v>
      </c>
      <c r="C112">
        <f t="shared" si="17"/>
        <v>0</v>
      </c>
      <c r="D112">
        <f t="shared" si="17"/>
        <v>0</v>
      </c>
      <c r="E112">
        <f t="shared" si="23"/>
        <v>0</v>
      </c>
      <c r="F112">
        <f t="shared" si="23"/>
        <v>0</v>
      </c>
      <c r="G112">
        <f t="shared" si="17"/>
        <v>0</v>
      </c>
      <c r="H112">
        <f t="shared" si="24"/>
        <v>0</v>
      </c>
      <c r="I112">
        <f t="shared" si="25"/>
        <v>0</v>
      </c>
      <c r="J112">
        <f t="shared" si="26"/>
        <v>0</v>
      </c>
      <c r="K112">
        <f t="shared" si="27"/>
        <v>0</v>
      </c>
      <c r="L112">
        <f t="shared" si="14"/>
        <v>0</v>
      </c>
      <c r="M112">
        <f t="shared" si="14"/>
        <v>0</v>
      </c>
    </row>
    <row r="113" spans="1:13" x14ac:dyDescent="0.2">
      <c r="A113">
        <f t="shared" si="22"/>
        <v>390000000</v>
      </c>
      <c r="B113">
        <f t="shared" si="16"/>
        <v>0</v>
      </c>
      <c r="C113">
        <f t="shared" si="17"/>
        <v>0</v>
      </c>
      <c r="D113">
        <f t="shared" si="17"/>
        <v>0</v>
      </c>
      <c r="E113">
        <f t="shared" si="23"/>
        <v>0</v>
      </c>
      <c r="F113">
        <f t="shared" si="23"/>
        <v>0</v>
      </c>
      <c r="G113">
        <f t="shared" si="17"/>
        <v>0</v>
      </c>
      <c r="H113">
        <f t="shared" si="24"/>
        <v>0</v>
      </c>
      <c r="I113">
        <f t="shared" si="25"/>
        <v>0</v>
      </c>
      <c r="J113">
        <f t="shared" si="26"/>
        <v>0</v>
      </c>
      <c r="K113">
        <f t="shared" si="27"/>
        <v>0</v>
      </c>
      <c r="L113">
        <f t="shared" si="14"/>
        <v>0</v>
      </c>
      <c r="M113">
        <f t="shared" si="14"/>
        <v>0</v>
      </c>
    </row>
    <row r="114" spans="1:13" x14ac:dyDescent="0.2">
      <c r="A114">
        <f t="shared" si="22"/>
        <v>470000000</v>
      </c>
      <c r="B114">
        <f t="shared" si="16"/>
        <v>0</v>
      </c>
      <c r="C114">
        <f t="shared" si="17"/>
        <v>0</v>
      </c>
      <c r="D114">
        <f t="shared" si="17"/>
        <v>0</v>
      </c>
      <c r="E114">
        <f t="shared" si="23"/>
        <v>0</v>
      </c>
      <c r="F114">
        <f t="shared" si="23"/>
        <v>0</v>
      </c>
      <c r="G114">
        <f t="shared" si="17"/>
        <v>0</v>
      </c>
      <c r="H114">
        <f t="shared" si="24"/>
        <v>0</v>
      </c>
      <c r="I114">
        <f t="shared" si="25"/>
        <v>0</v>
      </c>
      <c r="J114">
        <f t="shared" si="26"/>
        <v>0</v>
      </c>
      <c r="K114">
        <f t="shared" si="27"/>
        <v>0</v>
      </c>
      <c r="L114">
        <f t="shared" si="14"/>
        <v>0</v>
      </c>
      <c r="M114">
        <f t="shared" si="14"/>
        <v>0</v>
      </c>
    </row>
    <row r="115" spans="1:13" x14ac:dyDescent="0.2">
      <c r="A115">
        <f t="shared" si="22"/>
        <v>560000000</v>
      </c>
      <c r="B115">
        <f t="shared" si="16"/>
        <v>0</v>
      </c>
      <c r="C115">
        <f t="shared" si="17"/>
        <v>0</v>
      </c>
      <c r="D115">
        <f t="shared" si="17"/>
        <v>0</v>
      </c>
      <c r="E115">
        <f t="shared" si="23"/>
        <v>0</v>
      </c>
      <c r="F115">
        <f t="shared" si="23"/>
        <v>0</v>
      </c>
      <c r="G115">
        <f t="shared" si="17"/>
        <v>0</v>
      </c>
      <c r="H115">
        <f t="shared" si="24"/>
        <v>0</v>
      </c>
      <c r="I115">
        <f t="shared" si="25"/>
        <v>0</v>
      </c>
      <c r="J115">
        <f t="shared" si="26"/>
        <v>0</v>
      </c>
      <c r="K115">
        <f t="shared" si="27"/>
        <v>0</v>
      </c>
      <c r="L115">
        <f t="shared" si="14"/>
        <v>0</v>
      </c>
      <c r="M115">
        <f t="shared" si="14"/>
        <v>0</v>
      </c>
    </row>
    <row r="116" spans="1:13" x14ac:dyDescent="0.2">
      <c r="A116">
        <f t="shared" si="22"/>
        <v>680000000</v>
      </c>
      <c r="B116">
        <f t="shared" si="16"/>
        <v>0</v>
      </c>
      <c r="C116">
        <f t="shared" si="17"/>
        <v>0</v>
      </c>
      <c r="D116">
        <f t="shared" si="17"/>
        <v>0</v>
      </c>
      <c r="E116">
        <f t="shared" si="23"/>
        <v>0</v>
      </c>
      <c r="F116">
        <f t="shared" si="23"/>
        <v>0</v>
      </c>
      <c r="G116">
        <f t="shared" si="17"/>
        <v>0</v>
      </c>
      <c r="H116">
        <f t="shared" si="24"/>
        <v>0</v>
      </c>
      <c r="I116">
        <f t="shared" si="25"/>
        <v>0</v>
      </c>
      <c r="J116">
        <f t="shared" si="26"/>
        <v>0</v>
      </c>
      <c r="K116">
        <f t="shared" si="27"/>
        <v>0</v>
      </c>
      <c r="L116">
        <f t="shared" si="14"/>
        <v>0</v>
      </c>
      <c r="M116">
        <f t="shared" si="14"/>
        <v>0</v>
      </c>
    </row>
    <row r="117" spans="1:13" x14ac:dyDescent="0.2">
      <c r="A117">
        <f t="shared" si="22"/>
        <v>820000000</v>
      </c>
      <c r="B117">
        <f t="shared" si="16"/>
        <v>0</v>
      </c>
      <c r="C117">
        <f t="shared" si="17"/>
        <v>0</v>
      </c>
      <c r="D117">
        <f t="shared" si="17"/>
        <v>0</v>
      </c>
      <c r="E117">
        <f t="shared" si="23"/>
        <v>0</v>
      </c>
      <c r="F117">
        <f t="shared" si="23"/>
        <v>0</v>
      </c>
      <c r="G117">
        <f t="shared" si="17"/>
        <v>0</v>
      </c>
      <c r="H117">
        <f t="shared" si="24"/>
        <v>0</v>
      </c>
      <c r="I117">
        <f t="shared" si="25"/>
        <v>0</v>
      </c>
      <c r="J117">
        <f t="shared" si="26"/>
        <v>0</v>
      </c>
      <c r="K117">
        <f t="shared" si="27"/>
        <v>0</v>
      </c>
      <c r="L117">
        <f t="shared" si="14"/>
        <v>0</v>
      </c>
      <c r="M117">
        <f t="shared" si="14"/>
        <v>0</v>
      </c>
    </row>
    <row r="118" spans="1:13" x14ac:dyDescent="0.2">
      <c r="A118">
        <f t="shared" si="22"/>
        <v>1000000000</v>
      </c>
      <c r="B118">
        <f t="shared" si="16"/>
        <v>0</v>
      </c>
      <c r="C118">
        <f t="shared" si="17"/>
        <v>0</v>
      </c>
      <c r="D118">
        <f t="shared" si="17"/>
        <v>0</v>
      </c>
      <c r="E118">
        <f t="shared" si="23"/>
        <v>0</v>
      </c>
      <c r="F118">
        <f t="shared" si="23"/>
        <v>0</v>
      </c>
      <c r="G118">
        <f t="shared" si="17"/>
        <v>0</v>
      </c>
      <c r="H118">
        <f t="shared" si="24"/>
        <v>0</v>
      </c>
      <c r="I118">
        <f t="shared" si="25"/>
        <v>0</v>
      </c>
      <c r="J118">
        <f t="shared" si="26"/>
        <v>0</v>
      </c>
      <c r="K118">
        <f t="shared" si="27"/>
        <v>0</v>
      </c>
      <c r="L118">
        <f t="shared" si="14"/>
        <v>0</v>
      </c>
      <c r="M118">
        <f t="shared" si="14"/>
        <v>0</v>
      </c>
    </row>
    <row r="119" spans="1:13" x14ac:dyDescent="0.2">
      <c r="A119">
        <f t="shared" si="22"/>
        <v>1200000000</v>
      </c>
      <c r="B119">
        <f t="shared" si="16"/>
        <v>0</v>
      </c>
      <c r="C119">
        <f t="shared" si="17"/>
        <v>0</v>
      </c>
      <c r="D119">
        <f t="shared" si="17"/>
        <v>0</v>
      </c>
      <c r="E119">
        <f t="shared" si="23"/>
        <v>0</v>
      </c>
      <c r="F119">
        <f t="shared" si="23"/>
        <v>0</v>
      </c>
      <c r="G119">
        <f t="shared" si="17"/>
        <v>0</v>
      </c>
      <c r="H119">
        <f t="shared" si="24"/>
        <v>0</v>
      </c>
      <c r="I119">
        <f t="shared" si="25"/>
        <v>0</v>
      </c>
      <c r="J119">
        <f t="shared" si="26"/>
        <v>0</v>
      </c>
      <c r="K119">
        <f t="shared" si="27"/>
        <v>0</v>
      </c>
      <c r="L119">
        <f t="shared" si="14"/>
        <v>0</v>
      </c>
      <c r="M119">
        <f t="shared" si="14"/>
        <v>0</v>
      </c>
    </row>
    <row r="120" spans="1:13" x14ac:dyDescent="0.2">
      <c r="A120">
        <f t="shared" si="22"/>
        <v>1500000000</v>
      </c>
      <c r="B120">
        <f t="shared" si="16"/>
        <v>0</v>
      </c>
      <c r="C120">
        <f t="shared" si="17"/>
        <v>0</v>
      </c>
      <c r="D120">
        <f t="shared" si="17"/>
        <v>0</v>
      </c>
      <c r="E120">
        <f t="shared" si="23"/>
        <v>0</v>
      </c>
      <c r="F120">
        <f t="shared" si="23"/>
        <v>0</v>
      </c>
      <c r="G120">
        <f t="shared" si="17"/>
        <v>0</v>
      </c>
      <c r="H120">
        <f t="shared" si="24"/>
        <v>0</v>
      </c>
      <c r="I120">
        <f t="shared" si="25"/>
        <v>0</v>
      </c>
      <c r="J120">
        <f t="shared" si="26"/>
        <v>0</v>
      </c>
      <c r="K120">
        <f t="shared" si="27"/>
        <v>0</v>
      </c>
      <c r="L120">
        <f t="shared" si="14"/>
        <v>0</v>
      </c>
      <c r="M120">
        <f t="shared" si="14"/>
        <v>0</v>
      </c>
    </row>
    <row r="121" spans="1:13" x14ac:dyDescent="0.2">
      <c r="A121">
        <f t="shared" si="22"/>
        <v>1800000000</v>
      </c>
      <c r="B121">
        <f t="shared" si="16"/>
        <v>0</v>
      </c>
      <c r="C121">
        <f t="shared" si="17"/>
        <v>0</v>
      </c>
      <c r="D121">
        <f t="shared" si="17"/>
        <v>0</v>
      </c>
      <c r="E121">
        <f t="shared" si="23"/>
        <v>0</v>
      </c>
      <c r="F121">
        <f t="shared" si="23"/>
        <v>0</v>
      </c>
      <c r="G121">
        <f t="shared" si="17"/>
        <v>0</v>
      </c>
      <c r="H121">
        <f t="shared" si="24"/>
        <v>0</v>
      </c>
      <c r="I121">
        <f t="shared" si="25"/>
        <v>0</v>
      </c>
      <c r="J121">
        <f t="shared" si="26"/>
        <v>0</v>
      </c>
      <c r="K121">
        <f t="shared" si="27"/>
        <v>0</v>
      </c>
      <c r="L121">
        <f t="shared" si="14"/>
        <v>0</v>
      </c>
      <c r="M121">
        <f t="shared" si="14"/>
        <v>0</v>
      </c>
    </row>
    <row r="122" spans="1:13" x14ac:dyDescent="0.2">
      <c r="A122">
        <f t="shared" si="22"/>
        <v>2200000000</v>
      </c>
      <c r="B122">
        <f t="shared" si="16"/>
        <v>0</v>
      </c>
      <c r="C122">
        <f t="shared" si="17"/>
        <v>0</v>
      </c>
      <c r="D122">
        <f t="shared" si="17"/>
        <v>0</v>
      </c>
      <c r="E122">
        <f t="shared" si="23"/>
        <v>0</v>
      </c>
      <c r="F122">
        <f t="shared" si="23"/>
        <v>0</v>
      </c>
      <c r="G122">
        <f t="shared" si="17"/>
        <v>0</v>
      </c>
      <c r="H122">
        <f t="shared" si="24"/>
        <v>0</v>
      </c>
      <c r="I122">
        <f t="shared" si="25"/>
        <v>0</v>
      </c>
      <c r="J122">
        <f t="shared" si="26"/>
        <v>0</v>
      </c>
      <c r="K122">
        <f t="shared" si="27"/>
        <v>0</v>
      </c>
      <c r="L122">
        <f t="shared" si="14"/>
        <v>0</v>
      </c>
      <c r="M122">
        <f t="shared" si="14"/>
        <v>0</v>
      </c>
    </row>
    <row r="123" spans="1:13" x14ac:dyDescent="0.2">
      <c r="A123">
        <f t="shared" si="22"/>
        <v>2700000000</v>
      </c>
      <c r="B123">
        <f t="shared" si="16"/>
        <v>0</v>
      </c>
      <c r="C123">
        <f t="shared" si="17"/>
        <v>0</v>
      </c>
      <c r="D123">
        <f t="shared" si="17"/>
        <v>0</v>
      </c>
      <c r="E123">
        <f t="shared" si="23"/>
        <v>0</v>
      </c>
      <c r="F123">
        <f t="shared" si="23"/>
        <v>0</v>
      </c>
      <c r="G123">
        <f t="shared" si="17"/>
        <v>0</v>
      </c>
      <c r="H123">
        <f t="shared" si="24"/>
        <v>0</v>
      </c>
      <c r="I123">
        <f t="shared" si="25"/>
        <v>0</v>
      </c>
      <c r="J123">
        <f t="shared" si="26"/>
        <v>0</v>
      </c>
      <c r="K123">
        <f t="shared" si="27"/>
        <v>0</v>
      </c>
      <c r="L123">
        <f t="shared" si="14"/>
        <v>0</v>
      </c>
      <c r="M123">
        <f t="shared" si="14"/>
        <v>0</v>
      </c>
    </row>
    <row r="124" spans="1:13" x14ac:dyDescent="0.2">
      <c r="A124">
        <f t="shared" si="22"/>
        <v>3300000000</v>
      </c>
      <c r="B124">
        <f t="shared" si="16"/>
        <v>0</v>
      </c>
      <c r="C124">
        <f t="shared" si="17"/>
        <v>0</v>
      </c>
      <c r="D124">
        <f t="shared" si="17"/>
        <v>0</v>
      </c>
      <c r="E124">
        <f t="shared" si="23"/>
        <v>0</v>
      </c>
      <c r="F124">
        <f t="shared" si="23"/>
        <v>0</v>
      </c>
      <c r="G124">
        <f t="shared" si="17"/>
        <v>0</v>
      </c>
      <c r="H124">
        <f t="shared" si="24"/>
        <v>0</v>
      </c>
      <c r="I124">
        <f t="shared" si="25"/>
        <v>0</v>
      </c>
      <c r="J124">
        <f t="shared" si="26"/>
        <v>0</v>
      </c>
      <c r="K124">
        <f t="shared" si="27"/>
        <v>0</v>
      </c>
      <c r="L124">
        <f t="shared" si="14"/>
        <v>0</v>
      </c>
      <c r="M124">
        <f t="shared" si="14"/>
        <v>0</v>
      </c>
    </row>
    <row r="125" spans="1:13" x14ac:dyDescent="0.2">
      <c r="A125">
        <f t="shared" si="22"/>
        <v>3900000000</v>
      </c>
      <c r="B125">
        <f t="shared" si="16"/>
        <v>0</v>
      </c>
      <c r="C125">
        <f t="shared" si="17"/>
        <v>0</v>
      </c>
      <c r="D125">
        <f t="shared" si="17"/>
        <v>0</v>
      </c>
      <c r="E125">
        <f t="shared" si="23"/>
        <v>0</v>
      </c>
      <c r="F125">
        <f t="shared" si="23"/>
        <v>0</v>
      </c>
      <c r="G125">
        <f t="shared" si="17"/>
        <v>0</v>
      </c>
      <c r="H125">
        <f t="shared" si="24"/>
        <v>0</v>
      </c>
      <c r="I125">
        <f t="shared" si="25"/>
        <v>0</v>
      </c>
      <c r="J125">
        <f t="shared" si="26"/>
        <v>0</v>
      </c>
      <c r="K125">
        <f t="shared" si="27"/>
        <v>0</v>
      </c>
      <c r="L125">
        <f t="shared" si="14"/>
        <v>0</v>
      </c>
      <c r="M125">
        <f t="shared" si="14"/>
        <v>0</v>
      </c>
    </row>
    <row r="126" spans="1:13" x14ac:dyDescent="0.2">
      <c r="A126">
        <f t="shared" si="22"/>
        <v>4700000000</v>
      </c>
      <c r="B126">
        <f t="shared" si="16"/>
        <v>0</v>
      </c>
      <c r="C126">
        <f t="shared" si="17"/>
        <v>0</v>
      </c>
      <c r="D126">
        <f t="shared" si="17"/>
        <v>0</v>
      </c>
      <c r="E126">
        <f t="shared" si="23"/>
        <v>0</v>
      </c>
      <c r="F126">
        <f t="shared" si="23"/>
        <v>0</v>
      </c>
      <c r="G126">
        <f t="shared" si="17"/>
        <v>0</v>
      </c>
      <c r="H126">
        <f t="shared" si="24"/>
        <v>0</v>
      </c>
      <c r="I126">
        <f t="shared" si="25"/>
        <v>0</v>
      </c>
      <c r="J126">
        <f t="shared" si="26"/>
        <v>0</v>
      </c>
      <c r="K126">
        <f t="shared" si="27"/>
        <v>0</v>
      </c>
      <c r="L126">
        <f t="shared" si="14"/>
        <v>0</v>
      </c>
      <c r="M126">
        <f t="shared" si="14"/>
        <v>0</v>
      </c>
    </row>
    <row r="127" spans="1:13" x14ac:dyDescent="0.2">
      <c r="A127">
        <f t="shared" si="22"/>
        <v>5600000000</v>
      </c>
      <c r="B127">
        <f t="shared" si="16"/>
        <v>0</v>
      </c>
      <c r="C127">
        <f t="shared" si="17"/>
        <v>0</v>
      </c>
      <c r="D127">
        <f t="shared" si="17"/>
        <v>0</v>
      </c>
      <c r="E127">
        <f t="shared" si="23"/>
        <v>0</v>
      </c>
      <c r="F127">
        <f t="shared" si="23"/>
        <v>0</v>
      </c>
      <c r="G127">
        <f t="shared" si="17"/>
        <v>0</v>
      </c>
      <c r="H127">
        <f t="shared" si="24"/>
        <v>0</v>
      </c>
      <c r="I127">
        <f t="shared" si="25"/>
        <v>0</v>
      </c>
      <c r="J127">
        <f t="shared" si="26"/>
        <v>0</v>
      </c>
      <c r="K127">
        <f t="shared" si="27"/>
        <v>0</v>
      </c>
      <c r="L127">
        <f t="shared" si="14"/>
        <v>0</v>
      </c>
      <c r="M127">
        <f t="shared" si="14"/>
        <v>0</v>
      </c>
    </row>
    <row r="128" spans="1:13" x14ac:dyDescent="0.2">
      <c r="A128">
        <f t="shared" si="22"/>
        <v>6800000000</v>
      </c>
      <c r="B128">
        <f t="shared" si="16"/>
        <v>0</v>
      </c>
      <c r="C128">
        <f t="shared" si="17"/>
        <v>0</v>
      </c>
      <c r="D128">
        <f t="shared" si="17"/>
        <v>0</v>
      </c>
      <c r="E128">
        <f t="shared" si="23"/>
        <v>0</v>
      </c>
      <c r="F128">
        <f t="shared" si="23"/>
        <v>0</v>
      </c>
      <c r="G128">
        <f t="shared" si="17"/>
        <v>0</v>
      </c>
      <c r="H128">
        <f t="shared" si="24"/>
        <v>0</v>
      </c>
      <c r="I128">
        <f t="shared" si="25"/>
        <v>0</v>
      </c>
      <c r="J128">
        <f t="shared" si="26"/>
        <v>0</v>
      </c>
      <c r="K128">
        <f t="shared" si="27"/>
        <v>0</v>
      </c>
      <c r="L128">
        <f t="shared" si="14"/>
        <v>0</v>
      </c>
      <c r="M128">
        <f t="shared" si="14"/>
        <v>0</v>
      </c>
    </row>
    <row r="129" spans="1:13" x14ac:dyDescent="0.2">
      <c r="A129">
        <f t="shared" si="22"/>
        <v>8200000000</v>
      </c>
      <c r="B129">
        <f t="shared" si="16"/>
        <v>0</v>
      </c>
      <c r="C129">
        <f t="shared" si="17"/>
        <v>0</v>
      </c>
      <c r="D129">
        <f t="shared" si="17"/>
        <v>0</v>
      </c>
      <c r="E129">
        <f t="shared" si="23"/>
        <v>0</v>
      </c>
      <c r="F129">
        <f t="shared" si="23"/>
        <v>0</v>
      </c>
      <c r="G129">
        <f t="shared" si="17"/>
        <v>0</v>
      </c>
      <c r="H129">
        <f t="shared" si="24"/>
        <v>0</v>
      </c>
      <c r="I129">
        <f t="shared" si="25"/>
        <v>0</v>
      </c>
      <c r="J129">
        <f t="shared" si="26"/>
        <v>0</v>
      </c>
      <c r="K129">
        <f t="shared" si="27"/>
        <v>0</v>
      </c>
      <c r="L129">
        <f t="shared" si="14"/>
        <v>0</v>
      </c>
      <c r="M129">
        <f t="shared" si="14"/>
        <v>0</v>
      </c>
    </row>
    <row r="130" spans="1:13" x14ac:dyDescent="0.2">
      <c r="A130">
        <f t="shared" si="22"/>
        <v>10000000000</v>
      </c>
      <c r="B130">
        <f t="shared" si="16"/>
        <v>0</v>
      </c>
      <c r="C130">
        <f t="shared" si="17"/>
        <v>0</v>
      </c>
      <c r="D130">
        <f t="shared" si="17"/>
        <v>0</v>
      </c>
      <c r="E130">
        <f t="shared" si="23"/>
        <v>0</v>
      </c>
      <c r="F130">
        <f t="shared" si="23"/>
        <v>0</v>
      </c>
      <c r="G130">
        <f t="shared" si="17"/>
        <v>0</v>
      </c>
      <c r="H130">
        <f t="shared" si="24"/>
        <v>0</v>
      </c>
      <c r="I130">
        <f t="shared" si="25"/>
        <v>0</v>
      </c>
      <c r="J130">
        <f t="shared" si="26"/>
        <v>0</v>
      </c>
      <c r="K130">
        <f t="shared" si="27"/>
        <v>0</v>
      </c>
      <c r="L130">
        <f t="shared" si="14"/>
        <v>0</v>
      </c>
      <c r="M130">
        <f t="shared" si="14"/>
        <v>0</v>
      </c>
    </row>
    <row r="131" spans="1:13" x14ac:dyDescent="0.2">
      <c r="A131">
        <f t="shared" si="22"/>
        <v>12000000000</v>
      </c>
      <c r="B131">
        <f t="shared" si="16"/>
        <v>0</v>
      </c>
      <c r="C131">
        <f t="shared" si="17"/>
        <v>0</v>
      </c>
      <c r="D131">
        <f t="shared" si="17"/>
        <v>0</v>
      </c>
      <c r="E131">
        <f t="shared" si="23"/>
        <v>0</v>
      </c>
      <c r="F131">
        <f t="shared" si="23"/>
        <v>0</v>
      </c>
      <c r="G131">
        <f t="shared" si="17"/>
        <v>0</v>
      </c>
      <c r="H131">
        <f t="shared" si="24"/>
        <v>0</v>
      </c>
      <c r="I131">
        <f t="shared" si="25"/>
        <v>0</v>
      </c>
      <c r="J131">
        <f t="shared" si="26"/>
        <v>0</v>
      </c>
      <c r="K131">
        <f t="shared" si="27"/>
        <v>0</v>
      </c>
      <c r="L131">
        <f t="shared" si="14"/>
        <v>0</v>
      </c>
      <c r="M131">
        <f t="shared" si="14"/>
        <v>0</v>
      </c>
    </row>
    <row r="132" spans="1:13" x14ac:dyDescent="0.2">
      <c r="A132">
        <f t="shared" si="22"/>
        <v>15000000000</v>
      </c>
      <c r="B132">
        <f t="shared" si="16"/>
        <v>0</v>
      </c>
      <c r="C132">
        <f t="shared" si="17"/>
        <v>0</v>
      </c>
      <c r="D132">
        <f t="shared" si="17"/>
        <v>0</v>
      </c>
      <c r="E132">
        <f t="shared" si="23"/>
        <v>0</v>
      </c>
      <c r="F132">
        <f t="shared" si="23"/>
        <v>0</v>
      </c>
      <c r="G132">
        <f t="shared" si="17"/>
        <v>0</v>
      </c>
      <c r="H132">
        <f t="shared" si="24"/>
        <v>0</v>
      </c>
      <c r="I132">
        <f t="shared" si="25"/>
        <v>0</v>
      </c>
      <c r="J132">
        <f t="shared" si="26"/>
        <v>0</v>
      </c>
      <c r="K132">
        <f t="shared" si="27"/>
        <v>0</v>
      </c>
      <c r="L132">
        <f t="shared" si="14"/>
        <v>0</v>
      </c>
      <c r="M132">
        <f t="shared" si="14"/>
        <v>0</v>
      </c>
    </row>
    <row r="133" spans="1:13" x14ac:dyDescent="0.2">
      <c r="A133">
        <f t="shared" si="22"/>
        <v>18000000000</v>
      </c>
      <c r="B133">
        <f t="shared" si="16"/>
        <v>0</v>
      </c>
      <c r="C133">
        <f t="shared" si="17"/>
        <v>0</v>
      </c>
      <c r="D133">
        <f t="shared" si="17"/>
        <v>0</v>
      </c>
      <c r="E133">
        <f t="shared" si="23"/>
        <v>0</v>
      </c>
      <c r="F133">
        <f t="shared" si="23"/>
        <v>0</v>
      </c>
      <c r="G133">
        <f t="shared" si="17"/>
        <v>0</v>
      </c>
      <c r="H133">
        <f t="shared" si="24"/>
        <v>0</v>
      </c>
      <c r="I133">
        <f t="shared" si="25"/>
        <v>0</v>
      </c>
      <c r="J133">
        <f t="shared" si="26"/>
        <v>0</v>
      </c>
      <c r="K133">
        <f t="shared" si="27"/>
        <v>0</v>
      </c>
      <c r="L133">
        <f>IF(IF((L$3*10^12-$A134)*(L$3*10^12-$A133)*-1&lt;0,0,1)*IF(ABS(L$3*10^12-$A134)&gt;(L$3*10^12-$A133),$A133,$A134)=L134,0,IF((L$3*10^12-$A134)*(L$3*10^12-$A133)*-1&lt;0,0,1)*IF(ABS(L$3*10^12-$A134)&gt;(L$3*10^12-$A133),$A133,$A134))</f>
        <v>0</v>
      </c>
      <c r="M133">
        <f>IF(IF((M$3*10^12-$A134)*(M$3*10^12-$A133)*-1&lt;0,0,1)*IF(ABS(M$3*10^12-$A134)&gt;(M$3*10^12-$A133),$A133,$A134)=M134,0,IF((M$3*10^12-$A134)*(M$3*10^12-$A133)*-1&lt;0,0,1)*IF(ABS(M$3*10^12-$A134)&gt;(M$3*10^12-$A133),$A133,$A134))</f>
        <v>0</v>
      </c>
    </row>
    <row r="134" spans="1:13" x14ac:dyDescent="0.2">
      <c r="A134">
        <f t="shared" si="22"/>
        <v>22000000000</v>
      </c>
      <c r="B134">
        <f t="shared" si="16"/>
        <v>0</v>
      </c>
      <c r="C134">
        <f t="shared" si="17"/>
        <v>0</v>
      </c>
      <c r="D134">
        <f t="shared" si="17"/>
        <v>0</v>
      </c>
      <c r="E134">
        <f t="shared" si="23"/>
        <v>0</v>
      </c>
      <c r="F134">
        <f t="shared" si="23"/>
        <v>0</v>
      </c>
      <c r="G134">
        <f t="shared" ref="G134:M159" si="28">IF(IF((G$3*10^12-$A135)*(G$3*10^12-$A134)*-1&lt;0,0,1)*IF(ABS(G$3*10^12-$A135)&gt;(G$3*10^12-$A134),$A134,$A135)=G135,0,IF((G$3*10^12-$A135)*(G$3*10^12-$A134)*-1&lt;0,0,1)*IF(ABS(G$3*10^12-$A135)&gt;(G$3*10^12-$A134),$A134,$A135))</f>
        <v>0</v>
      </c>
      <c r="H134">
        <f t="shared" si="24"/>
        <v>0</v>
      </c>
      <c r="I134">
        <f t="shared" si="25"/>
        <v>0</v>
      </c>
      <c r="J134">
        <f t="shared" si="26"/>
        <v>0</v>
      </c>
      <c r="K134">
        <f t="shared" si="27"/>
        <v>0</v>
      </c>
      <c r="L134">
        <f>IF(IF((L$3*10^12-$A135)*(L$3*10^12-$A134)*-1&lt;0,0,1)*IF(ABS(L$3*10^12-$A135)&gt;(L$3*10^12-$A134),$A134,$A135)=L135,0,IF((L$3*10^12-$A135)*(L$3*10^12-$A134)*-1&lt;0,0,1)*IF(ABS(L$3*10^12-$A135)&gt;(L$3*10^12-$A134),$A134,$A135))</f>
        <v>0</v>
      </c>
      <c r="M134">
        <f>IF(IF((M$3*10^12-$A135)*(M$3*10^12-$A134)*-1&lt;0,0,1)*IF(ABS(M$3*10^12-$A135)&gt;(M$3*10^12-$A134),$A134,$A135)=M135,0,IF((M$3*10^12-$A135)*(M$3*10^12-$A134)*-1&lt;0,0,1)*IF(ABS(M$3*10^12-$A135)&gt;(M$3*10^12-$A134),$A134,$A135))</f>
        <v>0</v>
      </c>
    </row>
    <row r="135" spans="1:13" x14ac:dyDescent="0.2">
      <c r="A135">
        <f t="shared" si="22"/>
        <v>27000000000</v>
      </c>
      <c r="B135">
        <f t="shared" ref="B135:B159" si="29">IF(IF((B$3*10^12-$A136)*(B$3*10^12-$A135)*-1&lt;0,0,1)*IF(ABS(B$3*10^12-$A136)&gt;(B$3*10^12-$A135),$A135,$A136)=B136,0,IF((B$3*10^12-$A136)*(B$3*10^12-$A135)*-1&lt;0,0,1)*IF(ABS(B$3*10^12-$A136)&gt;(B$3*10^12-$A135),$A135,$A136))</f>
        <v>0</v>
      </c>
      <c r="C135">
        <f t="shared" ref="C135:F159" si="30">IF(IF((C$3*10^12-$A136)*(C$3*10^12-$A135)*-1&lt;0,0,1)*IF(ABS(C$3*10^12-$A136)&gt;(C$3*10^12-$A135),$A135,$A136)=C136,0,IF((C$3*10^12-$A136)*(C$3*10^12-$A135)*-1&lt;0,0,1)*IF(ABS(C$3*10^12-$A136)&gt;(C$3*10^12-$A135),$A135,$A136))</f>
        <v>0</v>
      </c>
      <c r="D135">
        <f t="shared" si="30"/>
        <v>0</v>
      </c>
      <c r="E135">
        <f t="shared" si="30"/>
        <v>0</v>
      </c>
      <c r="F135">
        <f t="shared" si="30"/>
        <v>0</v>
      </c>
      <c r="G135">
        <f t="shared" si="28"/>
        <v>0</v>
      </c>
      <c r="H135">
        <f t="shared" si="28"/>
        <v>0</v>
      </c>
      <c r="I135">
        <f t="shared" si="28"/>
        <v>0</v>
      </c>
      <c r="J135">
        <f t="shared" si="28"/>
        <v>0</v>
      </c>
      <c r="K135">
        <f t="shared" si="28"/>
        <v>0</v>
      </c>
      <c r="L135">
        <f t="shared" si="28"/>
        <v>0</v>
      </c>
      <c r="M135">
        <f t="shared" si="28"/>
        <v>0</v>
      </c>
    </row>
    <row r="136" spans="1:13" x14ac:dyDescent="0.2">
      <c r="A136">
        <f t="shared" si="22"/>
        <v>33000000000</v>
      </c>
      <c r="B136">
        <f t="shared" si="29"/>
        <v>0</v>
      </c>
      <c r="C136">
        <f t="shared" si="30"/>
        <v>0</v>
      </c>
      <c r="D136">
        <f t="shared" si="30"/>
        <v>0</v>
      </c>
      <c r="E136">
        <f t="shared" si="30"/>
        <v>0</v>
      </c>
      <c r="F136">
        <f t="shared" si="30"/>
        <v>0</v>
      </c>
      <c r="G136">
        <f t="shared" si="28"/>
        <v>0</v>
      </c>
      <c r="H136">
        <f t="shared" si="28"/>
        <v>0</v>
      </c>
      <c r="I136">
        <f t="shared" si="28"/>
        <v>0</v>
      </c>
      <c r="J136">
        <f t="shared" si="28"/>
        <v>0</v>
      </c>
      <c r="K136">
        <f t="shared" si="28"/>
        <v>0</v>
      </c>
      <c r="L136">
        <f t="shared" si="28"/>
        <v>0</v>
      </c>
      <c r="M136">
        <f t="shared" si="28"/>
        <v>0</v>
      </c>
    </row>
    <row r="137" spans="1:13" x14ac:dyDescent="0.2">
      <c r="A137">
        <f t="shared" si="22"/>
        <v>39000000000</v>
      </c>
      <c r="B137">
        <f t="shared" si="29"/>
        <v>0</v>
      </c>
      <c r="C137">
        <f t="shared" si="30"/>
        <v>0</v>
      </c>
      <c r="D137">
        <f t="shared" si="30"/>
        <v>0</v>
      </c>
      <c r="E137">
        <f t="shared" si="30"/>
        <v>0</v>
      </c>
      <c r="F137">
        <f t="shared" si="30"/>
        <v>0</v>
      </c>
      <c r="G137">
        <f t="shared" si="28"/>
        <v>0</v>
      </c>
      <c r="H137">
        <f t="shared" si="28"/>
        <v>0</v>
      </c>
      <c r="I137">
        <f t="shared" si="28"/>
        <v>0</v>
      </c>
      <c r="J137">
        <f t="shared" si="28"/>
        <v>0</v>
      </c>
      <c r="K137">
        <f t="shared" si="28"/>
        <v>0</v>
      </c>
      <c r="L137">
        <f t="shared" si="28"/>
        <v>0</v>
      </c>
      <c r="M137">
        <f t="shared" si="28"/>
        <v>0</v>
      </c>
    </row>
    <row r="138" spans="1:13" x14ac:dyDescent="0.2">
      <c r="A138">
        <f t="shared" si="22"/>
        <v>47000000000</v>
      </c>
      <c r="B138">
        <f t="shared" si="29"/>
        <v>0</v>
      </c>
      <c r="C138">
        <f t="shared" si="30"/>
        <v>0</v>
      </c>
      <c r="D138">
        <f t="shared" si="30"/>
        <v>0</v>
      </c>
      <c r="E138">
        <f t="shared" si="30"/>
        <v>0</v>
      </c>
      <c r="F138">
        <f t="shared" si="30"/>
        <v>0</v>
      </c>
      <c r="G138">
        <f t="shared" si="28"/>
        <v>0</v>
      </c>
      <c r="H138">
        <f t="shared" si="28"/>
        <v>0</v>
      </c>
      <c r="I138">
        <f t="shared" si="28"/>
        <v>0</v>
      </c>
      <c r="J138">
        <f t="shared" si="28"/>
        <v>0</v>
      </c>
      <c r="K138">
        <f t="shared" si="28"/>
        <v>0</v>
      </c>
      <c r="L138">
        <f t="shared" si="28"/>
        <v>0</v>
      </c>
      <c r="M138">
        <f t="shared" si="28"/>
        <v>0</v>
      </c>
    </row>
    <row r="139" spans="1:13" x14ac:dyDescent="0.2">
      <c r="A139">
        <f t="shared" si="22"/>
        <v>56000000000</v>
      </c>
      <c r="B139">
        <f t="shared" si="29"/>
        <v>0</v>
      </c>
      <c r="C139">
        <f t="shared" si="30"/>
        <v>0</v>
      </c>
      <c r="D139">
        <f t="shared" si="30"/>
        <v>0</v>
      </c>
      <c r="E139">
        <f t="shared" si="30"/>
        <v>0</v>
      </c>
      <c r="F139">
        <f t="shared" si="30"/>
        <v>0</v>
      </c>
      <c r="G139">
        <f t="shared" si="28"/>
        <v>0</v>
      </c>
      <c r="H139">
        <f t="shared" si="28"/>
        <v>0</v>
      </c>
      <c r="I139">
        <f t="shared" si="28"/>
        <v>0</v>
      </c>
      <c r="J139">
        <f t="shared" si="28"/>
        <v>0</v>
      </c>
      <c r="K139">
        <f t="shared" si="28"/>
        <v>0</v>
      </c>
      <c r="L139">
        <f t="shared" si="28"/>
        <v>0</v>
      </c>
      <c r="M139">
        <f t="shared" si="28"/>
        <v>0</v>
      </c>
    </row>
    <row r="140" spans="1:13" x14ac:dyDescent="0.2">
      <c r="A140">
        <f t="shared" si="22"/>
        <v>68000000000</v>
      </c>
      <c r="B140">
        <f t="shared" si="29"/>
        <v>0</v>
      </c>
      <c r="C140">
        <f t="shared" si="30"/>
        <v>0</v>
      </c>
      <c r="D140">
        <f t="shared" si="30"/>
        <v>0</v>
      </c>
      <c r="E140">
        <f t="shared" si="30"/>
        <v>0</v>
      </c>
      <c r="F140">
        <f t="shared" si="30"/>
        <v>0</v>
      </c>
      <c r="G140">
        <f t="shared" si="28"/>
        <v>0</v>
      </c>
      <c r="H140">
        <f t="shared" si="28"/>
        <v>0</v>
      </c>
      <c r="I140">
        <f t="shared" si="28"/>
        <v>0</v>
      </c>
      <c r="J140">
        <f t="shared" si="28"/>
        <v>0</v>
      </c>
      <c r="K140">
        <f t="shared" si="28"/>
        <v>0</v>
      </c>
      <c r="L140">
        <f t="shared" si="28"/>
        <v>0</v>
      </c>
      <c r="M140">
        <f t="shared" si="28"/>
        <v>0</v>
      </c>
    </row>
    <row r="141" spans="1:13" x14ac:dyDescent="0.2">
      <c r="A141">
        <f t="shared" si="22"/>
        <v>82000000000</v>
      </c>
      <c r="B141">
        <f t="shared" si="29"/>
        <v>0</v>
      </c>
      <c r="C141">
        <f t="shared" si="30"/>
        <v>0</v>
      </c>
      <c r="D141">
        <f t="shared" si="30"/>
        <v>0</v>
      </c>
      <c r="E141">
        <f t="shared" si="30"/>
        <v>0</v>
      </c>
      <c r="F141">
        <f t="shared" si="30"/>
        <v>0</v>
      </c>
      <c r="G141">
        <f t="shared" si="28"/>
        <v>0</v>
      </c>
      <c r="H141">
        <f t="shared" si="28"/>
        <v>0</v>
      </c>
      <c r="I141">
        <f t="shared" si="28"/>
        <v>0</v>
      </c>
      <c r="J141">
        <f t="shared" si="28"/>
        <v>0</v>
      </c>
      <c r="K141">
        <f t="shared" si="28"/>
        <v>0</v>
      </c>
      <c r="L141">
        <f t="shared" si="28"/>
        <v>0</v>
      </c>
      <c r="M141">
        <f t="shared" si="28"/>
        <v>0</v>
      </c>
    </row>
    <row r="142" spans="1:13" x14ac:dyDescent="0.2">
      <c r="A142">
        <f t="shared" si="22"/>
        <v>100000000000</v>
      </c>
      <c r="B142">
        <f t="shared" si="29"/>
        <v>0</v>
      </c>
      <c r="C142">
        <f t="shared" si="30"/>
        <v>0</v>
      </c>
      <c r="D142">
        <f t="shared" si="30"/>
        <v>0</v>
      </c>
      <c r="E142">
        <f t="shared" si="30"/>
        <v>0</v>
      </c>
      <c r="F142">
        <f t="shared" si="30"/>
        <v>0</v>
      </c>
      <c r="G142">
        <f t="shared" si="28"/>
        <v>0</v>
      </c>
      <c r="H142">
        <f t="shared" si="28"/>
        <v>0</v>
      </c>
      <c r="I142">
        <f t="shared" si="28"/>
        <v>0</v>
      </c>
      <c r="J142">
        <f t="shared" si="28"/>
        <v>0</v>
      </c>
      <c r="K142">
        <f t="shared" si="28"/>
        <v>0</v>
      </c>
      <c r="L142">
        <f t="shared" si="28"/>
        <v>0</v>
      </c>
      <c r="M142">
        <f t="shared" si="28"/>
        <v>0</v>
      </c>
    </row>
    <row r="143" spans="1:13" x14ac:dyDescent="0.2">
      <c r="A143">
        <f t="shared" si="22"/>
        <v>120000000000</v>
      </c>
      <c r="B143">
        <f t="shared" si="29"/>
        <v>0</v>
      </c>
      <c r="C143">
        <f t="shared" si="30"/>
        <v>0</v>
      </c>
      <c r="D143">
        <f t="shared" si="30"/>
        <v>0</v>
      </c>
      <c r="E143">
        <f t="shared" si="30"/>
        <v>0</v>
      </c>
      <c r="F143">
        <f t="shared" si="30"/>
        <v>0</v>
      </c>
      <c r="G143">
        <f t="shared" si="28"/>
        <v>0</v>
      </c>
      <c r="H143">
        <f t="shared" si="28"/>
        <v>0</v>
      </c>
      <c r="I143">
        <f t="shared" si="28"/>
        <v>0</v>
      </c>
      <c r="J143">
        <f t="shared" si="28"/>
        <v>0</v>
      </c>
      <c r="K143">
        <f t="shared" si="28"/>
        <v>0</v>
      </c>
      <c r="L143">
        <f t="shared" si="28"/>
        <v>0</v>
      </c>
      <c r="M143">
        <f t="shared" si="28"/>
        <v>0</v>
      </c>
    </row>
    <row r="144" spans="1:13" x14ac:dyDescent="0.2">
      <c r="A144">
        <f t="shared" si="22"/>
        <v>150000000000</v>
      </c>
      <c r="B144">
        <f t="shared" si="29"/>
        <v>0</v>
      </c>
      <c r="C144">
        <f t="shared" si="30"/>
        <v>0</v>
      </c>
      <c r="D144">
        <f t="shared" si="30"/>
        <v>0</v>
      </c>
      <c r="E144">
        <f t="shared" si="30"/>
        <v>0</v>
      </c>
      <c r="F144">
        <f t="shared" si="30"/>
        <v>0</v>
      </c>
      <c r="G144">
        <f t="shared" si="28"/>
        <v>0</v>
      </c>
      <c r="H144">
        <f t="shared" si="28"/>
        <v>0</v>
      </c>
      <c r="I144">
        <f t="shared" si="28"/>
        <v>0</v>
      </c>
      <c r="J144">
        <f t="shared" si="28"/>
        <v>0</v>
      </c>
      <c r="K144">
        <f t="shared" si="28"/>
        <v>0</v>
      </c>
      <c r="L144">
        <f t="shared" si="28"/>
        <v>0</v>
      </c>
      <c r="M144">
        <f t="shared" si="28"/>
        <v>0</v>
      </c>
    </row>
    <row r="145" spans="1:13" x14ac:dyDescent="0.2">
      <c r="A145">
        <f t="shared" si="22"/>
        <v>180000000000</v>
      </c>
      <c r="B145">
        <f t="shared" si="29"/>
        <v>0</v>
      </c>
      <c r="C145">
        <f t="shared" si="30"/>
        <v>0</v>
      </c>
      <c r="D145">
        <f t="shared" si="30"/>
        <v>0</v>
      </c>
      <c r="E145">
        <f t="shared" si="30"/>
        <v>0</v>
      </c>
      <c r="F145">
        <f t="shared" si="30"/>
        <v>0</v>
      </c>
      <c r="G145">
        <f t="shared" si="28"/>
        <v>0</v>
      </c>
      <c r="H145">
        <f t="shared" si="28"/>
        <v>0</v>
      </c>
      <c r="I145">
        <f t="shared" si="28"/>
        <v>0</v>
      </c>
      <c r="J145">
        <f t="shared" si="28"/>
        <v>0</v>
      </c>
      <c r="K145">
        <f t="shared" si="28"/>
        <v>0</v>
      </c>
      <c r="L145">
        <f t="shared" si="28"/>
        <v>0</v>
      </c>
      <c r="M145">
        <f t="shared" si="28"/>
        <v>0</v>
      </c>
    </row>
    <row r="146" spans="1:13" x14ac:dyDescent="0.2">
      <c r="A146">
        <f t="shared" si="22"/>
        <v>220000000000</v>
      </c>
      <c r="B146">
        <f t="shared" si="29"/>
        <v>0</v>
      </c>
      <c r="C146">
        <f t="shared" si="30"/>
        <v>0</v>
      </c>
      <c r="D146">
        <f t="shared" si="30"/>
        <v>0</v>
      </c>
      <c r="E146">
        <f t="shared" si="30"/>
        <v>0</v>
      </c>
      <c r="F146">
        <f t="shared" si="30"/>
        <v>0</v>
      </c>
      <c r="G146">
        <f t="shared" si="28"/>
        <v>0</v>
      </c>
      <c r="H146">
        <f t="shared" si="28"/>
        <v>0</v>
      </c>
      <c r="I146">
        <f t="shared" si="28"/>
        <v>0</v>
      </c>
      <c r="J146">
        <f t="shared" si="28"/>
        <v>0</v>
      </c>
      <c r="K146">
        <f t="shared" si="28"/>
        <v>0</v>
      </c>
      <c r="L146">
        <f t="shared" si="28"/>
        <v>0</v>
      </c>
      <c r="M146">
        <f t="shared" si="28"/>
        <v>0</v>
      </c>
    </row>
    <row r="147" spans="1:13" x14ac:dyDescent="0.2">
      <c r="A147">
        <f t="shared" si="22"/>
        <v>270000000000</v>
      </c>
      <c r="B147">
        <f t="shared" si="29"/>
        <v>0</v>
      </c>
      <c r="C147">
        <f t="shared" si="30"/>
        <v>0</v>
      </c>
      <c r="D147">
        <f t="shared" si="30"/>
        <v>0</v>
      </c>
      <c r="E147">
        <f t="shared" si="30"/>
        <v>0</v>
      </c>
      <c r="F147">
        <f t="shared" si="30"/>
        <v>0</v>
      </c>
      <c r="G147">
        <f t="shared" si="28"/>
        <v>0</v>
      </c>
      <c r="H147">
        <f t="shared" si="28"/>
        <v>0</v>
      </c>
      <c r="I147">
        <f t="shared" si="28"/>
        <v>0</v>
      </c>
      <c r="J147">
        <f t="shared" si="28"/>
        <v>0</v>
      </c>
      <c r="K147">
        <f t="shared" si="28"/>
        <v>0</v>
      </c>
      <c r="L147">
        <f t="shared" si="28"/>
        <v>0</v>
      </c>
      <c r="M147">
        <f t="shared" si="28"/>
        <v>0</v>
      </c>
    </row>
    <row r="148" spans="1:13" x14ac:dyDescent="0.2">
      <c r="A148">
        <f t="shared" si="22"/>
        <v>330000000000</v>
      </c>
      <c r="B148">
        <f t="shared" si="29"/>
        <v>0</v>
      </c>
      <c r="C148">
        <f t="shared" si="30"/>
        <v>0</v>
      </c>
      <c r="D148">
        <f t="shared" si="30"/>
        <v>0</v>
      </c>
      <c r="E148">
        <f t="shared" si="30"/>
        <v>0</v>
      </c>
      <c r="F148">
        <f t="shared" si="30"/>
        <v>0</v>
      </c>
      <c r="G148">
        <f t="shared" si="28"/>
        <v>0</v>
      </c>
      <c r="H148">
        <f t="shared" si="28"/>
        <v>0</v>
      </c>
      <c r="I148">
        <f t="shared" si="28"/>
        <v>0</v>
      </c>
      <c r="J148">
        <f t="shared" si="28"/>
        <v>0</v>
      </c>
      <c r="K148">
        <f t="shared" si="28"/>
        <v>0</v>
      </c>
      <c r="L148">
        <f t="shared" si="28"/>
        <v>0</v>
      </c>
      <c r="M148">
        <f t="shared" si="28"/>
        <v>0</v>
      </c>
    </row>
    <row r="149" spans="1:13" x14ac:dyDescent="0.2">
      <c r="A149">
        <f t="shared" si="22"/>
        <v>390000000000</v>
      </c>
      <c r="B149">
        <f t="shared" si="29"/>
        <v>0</v>
      </c>
      <c r="C149">
        <f t="shared" si="30"/>
        <v>0</v>
      </c>
      <c r="D149">
        <f t="shared" si="30"/>
        <v>0</v>
      </c>
      <c r="E149">
        <f t="shared" si="30"/>
        <v>0</v>
      </c>
      <c r="F149">
        <f t="shared" si="30"/>
        <v>0</v>
      </c>
      <c r="G149">
        <f t="shared" si="28"/>
        <v>0</v>
      </c>
      <c r="H149">
        <f t="shared" si="28"/>
        <v>0</v>
      </c>
      <c r="I149">
        <f t="shared" si="28"/>
        <v>0</v>
      </c>
      <c r="J149">
        <f t="shared" si="28"/>
        <v>0</v>
      </c>
      <c r="K149">
        <f t="shared" si="28"/>
        <v>0</v>
      </c>
      <c r="L149">
        <f t="shared" si="28"/>
        <v>0</v>
      </c>
      <c r="M149">
        <f t="shared" si="28"/>
        <v>0</v>
      </c>
    </row>
    <row r="150" spans="1:13" x14ac:dyDescent="0.2">
      <c r="A150">
        <f t="shared" si="22"/>
        <v>470000000000</v>
      </c>
      <c r="B150">
        <f t="shared" si="29"/>
        <v>0</v>
      </c>
      <c r="C150">
        <f t="shared" si="30"/>
        <v>0</v>
      </c>
      <c r="D150">
        <f t="shared" si="30"/>
        <v>0</v>
      </c>
      <c r="E150">
        <f t="shared" si="30"/>
        <v>0</v>
      </c>
      <c r="F150">
        <f t="shared" si="30"/>
        <v>0</v>
      </c>
      <c r="G150">
        <f t="shared" si="28"/>
        <v>0</v>
      </c>
      <c r="H150">
        <f t="shared" si="28"/>
        <v>0</v>
      </c>
      <c r="I150">
        <f t="shared" si="28"/>
        <v>0</v>
      </c>
      <c r="J150">
        <f t="shared" si="28"/>
        <v>0</v>
      </c>
      <c r="K150">
        <f t="shared" si="28"/>
        <v>0</v>
      </c>
      <c r="L150">
        <f t="shared" si="28"/>
        <v>0</v>
      </c>
      <c r="M150">
        <f t="shared" si="28"/>
        <v>0</v>
      </c>
    </row>
    <row r="151" spans="1:13" x14ac:dyDescent="0.2">
      <c r="A151">
        <f t="shared" si="22"/>
        <v>560000000000</v>
      </c>
      <c r="B151">
        <f t="shared" si="29"/>
        <v>0</v>
      </c>
      <c r="C151">
        <f t="shared" si="30"/>
        <v>0</v>
      </c>
      <c r="D151">
        <f t="shared" si="30"/>
        <v>0</v>
      </c>
      <c r="E151">
        <f t="shared" si="30"/>
        <v>0</v>
      </c>
      <c r="F151">
        <f t="shared" si="30"/>
        <v>0</v>
      </c>
      <c r="G151">
        <f t="shared" si="28"/>
        <v>0</v>
      </c>
      <c r="H151">
        <f t="shared" si="28"/>
        <v>0</v>
      </c>
      <c r="I151">
        <f t="shared" si="28"/>
        <v>0</v>
      </c>
      <c r="J151">
        <f t="shared" si="28"/>
        <v>0</v>
      </c>
      <c r="K151">
        <f t="shared" si="28"/>
        <v>0</v>
      </c>
      <c r="L151">
        <f t="shared" si="28"/>
        <v>0</v>
      </c>
      <c r="M151">
        <f t="shared" si="28"/>
        <v>0</v>
      </c>
    </row>
    <row r="152" spans="1:13" x14ac:dyDescent="0.2">
      <c r="A152">
        <f t="shared" si="22"/>
        <v>680000000000</v>
      </c>
      <c r="B152">
        <f t="shared" si="29"/>
        <v>0</v>
      </c>
      <c r="C152">
        <f t="shared" si="30"/>
        <v>0</v>
      </c>
      <c r="D152">
        <f t="shared" si="30"/>
        <v>0</v>
      </c>
      <c r="E152">
        <f t="shared" si="30"/>
        <v>0</v>
      </c>
      <c r="F152">
        <f t="shared" si="30"/>
        <v>0</v>
      </c>
      <c r="G152">
        <f t="shared" si="28"/>
        <v>0</v>
      </c>
      <c r="H152">
        <f t="shared" si="28"/>
        <v>0</v>
      </c>
      <c r="I152">
        <f t="shared" si="28"/>
        <v>0</v>
      </c>
      <c r="J152">
        <f t="shared" si="28"/>
        <v>0</v>
      </c>
      <c r="K152">
        <f t="shared" si="28"/>
        <v>0</v>
      </c>
      <c r="L152">
        <f t="shared" si="28"/>
        <v>0</v>
      </c>
      <c r="M152">
        <f t="shared" si="28"/>
        <v>0</v>
      </c>
    </row>
    <row r="153" spans="1:13" x14ac:dyDescent="0.2">
      <c r="A153">
        <f t="shared" si="22"/>
        <v>820000000000</v>
      </c>
      <c r="B153">
        <f t="shared" si="29"/>
        <v>0</v>
      </c>
      <c r="C153">
        <f t="shared" si="30"/>
        <v>0</v>
      </c>
      <c r="D153">
        <f t="shared" si="30"/>
        <v>0</v>
      </c>
      <c r="E153">
        <f t="shared" si="30"/>
        <v>0</v>
      </c>
      <c r="F153">
        <f t="shared" si="30"/>
        <v>0</v>
      </c>
      <c r="G153">
        <f t="shared" si="28"/>
        <v>0</v>
      </c>
      <c r="H153">
        <f t="shared" si="28"/>
        <v>0</v>
      </c>
      <c r="I153">
        <f t="shared" si="28"/>
        <v>0</v>
      </c>
      <c r="J153">
        <f t="shared" si="28"/>
        <v>0</v>
      </c>
      <c r="K153">
        <f t="shared" si="28"/>
        <v>0</v>
      </c>
      <c r="L153">
        <f t="shared" si="28"/>
        <v>0</v>
      </c>
      <c r="M153">
        <f t="shared" si="28"/>
        <v>0</v>
      </c>
    </row>
    <row r="154" spans="1:13" x14ac:dyDescent="0.2">
      <c r="A154">
        <f t="shared" si="22"/>
        <v>1000000000000</v>
      </c>
      <c r="B154">
        <f t="shared" si="29"/>
        <v>0</v>
      </c>
      <c r="C154">
        <f t="shared" si="30"/>
        <v>0</v>
      </c>
      <c r="D154">
        <f t="shared" si="30"/>
        <v>0</v>
      </c>
      <c r="E154">
        <f t="shared" si="30"/>
        <v>0</v>
      </c>
      <c r="F154">
        <f t="shared" si="30"/>
        <v>0</v>
      </c>
      <c r="G154">
        <f t="shared" si="28"/>
        <v>0</v>
      </c>
      <c r="H154">
        <f t="shared" si="28"/>
        <v>0</v>
      </c>
      <c r="I154">
        <f t="shared" si="28"/>
        <v>0</v>
      </c>
      <c r="J154">
        <f t="shared" si="28"/>
        <v>0</v>
      </c>
      <c r="K154">
        <f t="shared" si="28"/>
        <v>0</v>
      </c>
      <c r="L154">
        <f t="shared" si="28"/>
        <v>0</v>
      </c>
      <c r="M154">
        <f t="shared" si="28"/>
        <v>0</v>
      </c>
    </row>
    <row r="155" spans="1:13" x14ac:dyDescent="0.2">
      <c r="A155">
        <f t="shared" si="22"/>
        <v>1200000000000</v>
      </c>
      <c r="B155">
        <f t="shared" si="29"/>
        <v>0</v>
      </c>
      <c r="C155">
        <f t="shared" si="30"/>
        <v>0</v>
      </c>
      <c r="D155">
        <f t="shared" si="30"/>
        <v>0</v>
      </c>
      <c r="E155">
        <f t="shared" si="30"/>
        <v>0</v>
      </c>
      <c r="F155">
        <f t="shared" si="30"/>
        <v>0</v>
      </c>
      <c r="G155">
        <f t="shared" si="28"/>
        <v>0</v>
      </c>
      <c r="H155">
        <f t="shared" si="28"/>
        <v>0</v>
      </c>
      <c r="I155">
        <f t="shared" si="28"/>
        <v>0</v>
      </c>
      <c r="J155">
        <f t="shared" si="28"/>
        <v>0</v>
      </c>
      <c r="K155">
        <f t="shared" si="28"/>
        <v>0</v>
      </c>
      <c r="L155">
        <f t="shared" si="28"/>
        <v>0</v>
      </c>
      <c r="M155">
        <f t="shared" si="28"/>
        <v>0</v>
      </c>
    </row>
    <row r="156" spans="1:13" x14ac:dyDescent="0.2">
      <c r="A156">
        <f t="shared" si="22"/>
        <v>1500000000000</v>
      </c>
      <c r="B156">
        <f t="shared" si="29"/>
        <v>0</v>
      </c>
      <c r="C156">
        <f t="shared" si="30"/>
        <v>0</v>
      </c>
      <c r="D156">
        <f t="shared" si="30"/>
        <v>0</v>
      </c>
      <c r="E156">
        <f t="shared" si="30"/>
        <v>0</v>
      </c>
      <c r="F156">
        <f t="shared" si="30"/>
        <v>0</v>
      </c>
      <c r="G156">
        <f t="shared" si="28"/>
        <v>0</v>
      </c>
      <c r="H156">
        <f t="shared" si="28"/>
        <v>0</v>
      </c>
      <c r="I156">
        <f t="shared" si="28"/>
        <v>0</v>
      </c>
      <c r="J156">
        <f t="shared" si="28"/>
        <v>0</v>
      </c>
      <c r="K156">
        <f t="shared" si="28"/>
        <v>0</v>
      </c>
      <c r="L156">
        <f t="shared" si="28"/>
        <v>0</v>
      </c>
      <c r="M156">
        <f t="shared" si="28"/>
        <v>0</v>
      </c>
    </row>
    <row r="157" spans="1:13" x14ac:dyDescent="0.2">
      <c r="A157">
        <f t="shared" si="22"/>
        <v>1800000000000</v>
      </c>
      <c r="B157">
        <f t="shared" si="29"/>
        <v>0</v>
      </c>
      <c r="C157">
        <f t="shared" si="30"/>
        <v>0</v>
      </c>
      <c r="D157">
        <f t="shared" si="30"/>
        <v>0</v>
      </c>
      <c r="E157">
        <f t="shared" si="30"/>
        <v>0</v>
      </c>
      <c r="F157">
        <f t="shared" si="30"/>
        <v>0</v>
      </c>
      <c r="G157">
        <f t="shared" si="28"/>
        <v>0</v>
      </c>
      <c r="H157">
        <f t="shared" si="28"/>
        <v>0</v>
      </c>
      <c r="I157">
        <f t="shared" si="28"/>
        <v>0</v>
      </c>
      <c r="J157">
        <f t="shared" si="28"/>
        <v>0</v>
      </c>
      <c r="K157">
        <f t="shared" si="28"/>
        <v>0</v>
      </c>
      <c r="L157">
        <f t="shared" si="28"/>
        <v>0</v>
      </c>
      <c r="M157">
        <f t="shared" si="28"/>
        <v>0</v>
      </c>
    </row>
    <row r="158" spans="1:13" x14ac:dyDescent="0.2">
      <c r="A158">
        <f t="shared" si="22"/>
        <v>2200000000000</v>
      </c>
      <c r="B158">
        <f t="shared" si="29"/>
        <v>0</v>
      </c>
      <c r="C158">
        <f t="shared" si="30"/>
        <v>0</v>
      </c>
      <c r="D158">
        <f t="shared" si="30"/>
        <v>0</v>
      </c>
      <c r="E158">
        <f t="shared" si="30"/>
        <v>0</v>
      </c>
      <c r="F158">
        <f t="shared" si="30"/>
        <v>0</v>
      </c>
      <c r="G158">
        <f t="shared" si="28"/>
        <v>0</v>
      </c>
      <c r="H158">
        <f t="shared" si="28"/>
        <v>0</v>
      </c>
      <c r="I158">
        <f t="shared" si="28"/>
        <v>0</v>
      </c>
      <c r="J158">
        <f t="shared" si="28"/>
        <v>0</v>
      </c>
      <c r="K158">
        <f t="shared" si="28"/>
        <v>0</v>
      </c>
      <c r="L158">
        <f t="shared" si="28"/>
        <v>0</v>
      </c>
      <c r="M158">
        <f t="shared" si="28"/>
        <v>0</v>
      </c>
    </row>
    <row r="159" spans="1:13" x14ac:dyDescent="0.2">
      <c r="A159" s="43">
        <f t="shared" si="22"/>
        <v>2700000000000</v>
      </c>
      <c r="B159">
        <f t="shared" si="29"/>
        <v>2700000000000</v>
      </c>
      <c r="C159">
        <f t="shared" si="30"/>
        <v>2700000000000</v>
      </c>
      <c r="D159">
        <f t="shared" si="30"/>
        <v>2700000000000</v>
      </c>
      <c r="E159">
        <f t="shared" si="30"/>
        <v>2700000000000</v>
      </c>
      <c r="F159">
        <f t="shared" si="30"/>
        <v>2700000000000</v>
      </c>
      <c r="G159">
        <f t="shared" si="28"/>
        <v>2700000000000</v>
      </c>
      <c r="H159">
        <f t="shared" si="28"/>
        <v>2700000000000</v>
      </c>
      <c r="I159">
        <f t="shared" si="28"/>
        <v>2700000000000</v>
      </c>
      <c r="J159">
        <f t="shared" si="28"/>
        <v>2700000000000</v>
      </c>
      <c r="K159">
        <f t="shared" si="28"/>
        <v>2700000000000</v>
      </c>
      <c r="L159">
        <f t="shared" si="28"/>
        <v>2700000000000</v>
      </c>
      <c r="M159">
        <f t="shared" si="28"/>
        <v>2700000000000</v>
      </c>
    </row>
  </sheetData>
  <phoneticPr fontId="1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216</v>
      </c>
      <c r="D1" t="s">
        <v>215</v>
      </c>
    </row>
    <row r="2" spans="1:5" x14ac:dyDescent="0.2">
      <c r="A2" t="s">
        <v>213</v>
      </c>
      <c r="B2" s="47">
        <v>85</v>
      </c>
      <c r="C2" t="s">
        <v>214</v>
      </c>
      <c r="D2">
        <f>B2*1000000</f>
        <v>85000000</v>
      </c>
      <c r="E2" t="s">
        <v>10</v>
      </c>
    </row>
    <row r="3" spans="1:5" x14ac:dyDescent="0.2">
      <c r="A3" t="s">
        <v>217</v>
      </c>
      <c r="B3" s="47">
        <v>3000</v>
      </c>
      <c r="C3" t="s">
        <v>32</v>
      </c>
      <c r="D3">
        <f>B3*0.000000000001</f>
        <v>3E-9</v>
      </c>
      <c r="E3" t="s">
        <v>26</v>
      </c>
    </row>
    <row r="4" spans="1:5" x14ac:dyDescent="0.2">
      <c r="A4" t="s">
        <v>219</v>
      </c>
      <c r="B4" s="48">
        <f>1000000000*1/((D2*2*3.14159)^2*D3)</f>
        <v>1.1686430773614742</v>
      </c>
      <c r="C4" t="s">
        <v>220</v>
      </c>
      <c r="D4">
        <f>B4/1000000000</f>
        <v>1.1686430773614743E-9</v>
      </c>
      <c r="E4" t="s">
        <v>20</v>
      </c>
    </row>
    <row r="5" spans="1:5" x14ac:dyDescent="0.2">
      <c r="A5" t="s">
        <v>218</v>
      </c>
      <c r="B5">
        <f>4*B3</f>
        <v>12000</v>
      </c>
      <c r="C5" t="s">
        <v>32</v>
      </c>
      <c r="D5">
        <f>B5*0.000000000001</f>
        <v>1.2E-8</v>
      </c>
      <c r="E5" t="s">
        <v>26</v>
      </c>
    </row>
    <row r="6" spans="1:5" x14ac:dyDescent="0.2">
      <c r="A6" t="s">
        <v>221</v>
      </c>
      <c r="B6" s="4">
        <f>SQRT(D4/D3)</f>
        <v>0.62413755891936573</v>
      </c>
      <c r="C6" s="4" t="s">
        <v>167</v>
      </c>
      <c r="D6" s="4">
        <f>B6</f>
        <v>0.62413755891936573</v>
      </c>
      <c r="E6" t="s">
        <v>167</v>
      </c>
    </row>
    <row r="7" spans="1:5" x14ac:dyDescent="0.2">
      <c r="B7" s="4"/>
      <c r="C7" s="4"/>
      <c r="D7" s="4"/>
    </row>
  </sheetData>
  <phoneticPr fontId="10"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3:E16"/>
  <sheetViews>
    <sheetView workbookViewId="0">
      <selection activeCell="B3" sqref="B3"/>
    </sheetView>
  </sheetViews>
  <sheetFormatPr defaultRowHeight="12.75" x14ac:dyDescent="0.2"/>
  <sheetData>
    <row r="3" spans="1:5" x14ac:dyDescent="0.2">
      <c r="A3" t="s">
        <v>184</v>
      </c>
      <c r="B3" t="e">
        <f>Iripple1</f>
        <v>#NAME?</v>
      </c>
    </row>
    <row r="4" spans="1:5" x14ac:dyDescent="0.2">
      <c r="A4" t="s">
        <v>7</v>
      </c>
      <c r="B4">
        <f>Fsw</f>
        <v>600000</v>
      </c>
    </row>
    <row r="6" spans="1:5" x14ac:dyDescent="0.2">
      <c r="A6" t="s">
        <v>171</v>
      </c>
      <c r="B6" s="41">
        <v>0.5</v>
      </c>
      <c r="C6" t="s">
        <v>67</v>
      </c>
      <c r="D6">
        <f>B6/1000</f>
        <v>5.0000000000000001E-4</v>
      </c>
      <c r="E6" t="s">
        <v>21</v>
      </c>
    </row>
    <row r="7" spans="1:5" x14ac:dyDescent="0.2">
      <c r="A7" t="s">
        <v>182</v>
      </c>
      <c r="B7" s="41">
        <v>20</v>
      </c>
      <c r="C7" t="s">
        <v>25</v>
      </c>
      <c r="D7">
        <f>B7/1000000</f>
        <v>2.0000000000000002E-5</v>
      </c>
      <c r="E7" t="s">
        <v>26</v>
      </c>
    </row>
    <row r="9" spans="1:5" x14ac:dyDescent="0.2">
      <c r="A9" t="s">
        <v>172</v>
      </c>
      <c r="B9" s="41">
        <v>20</v>
      </c>
      <c r="C9" t="s">
        <v>67</v>
      </c>
      <c r="D9">
        <f>B9/1000</f>
        <v>0.02</v>
      </c>
      <c r="E9" t="s">
        <v>21</v>
      </c>
    </row>
    <row r="10" spans="1:5" x14ac:dyDescent="0.2">
      <c r="A10" t="s">
        <v>183</v>
      </c>
      <c r="B10" s="41">
        <v>68</v>
      </c>
      <c r="C10" t="s">
        <v>25</v>
      </c>
      <c r="D10">
        <f>B10/1000000</f>
        <v>6.7999999999999999E-5</v>
      </c>
      <c r="E10" t="s">
        <v>26</v>
      </c>
    </row>
    <row r="12" spans="1:5" x14ac:dyDescent="0.2">
      <c r="A12" t="s">
        <v>186</v>
      </c>
      <c r="B12">
        <f>(D7/(D7+D10))*SQRT((D9*D10*B4)^2+1)/SQRT((((D6+D9)*D7*D10/(D10+D7))*B4)^2+1)</f>
        <v>0.28817610934128135</v>
      </c>
      <c r="C12" t="s">
        <v>185</v>
      </c>
    </row>
    <row r="13" spans="1:5" x14ac:dyDescent="0.2">
      <c r="A13" t="s">
        <v>187</v>
      </c>
      <c r="B13">
        <f>1-B12</f>
        <v>0.71182389065871865</v>
      </c>
      <c r="C13" t="s">
        <v>185</v>
      </c>
    </row>
    <row r="15" spans="1:5" x14ac:dyDescent="0.2">
      <c r="A15" t="s">
        <v>186</v>
      </c>
      <c r="B15" t="e">
        <f>B12*(Iripple1/(2*SQRT(3)))</f>
        <v>#NAME?</v>
      </c>
      <c r="C15" t="s">
        <v>2</v>
      </c>
    </row>
    <row r="16" spans="1:5" x14ac:dyDescent="0.2">
      <c r="A16" t="s">
        <v>187</v>
      </c>
      <c r="B16" t="e">
        <f>B13*(Iripple1/(2*SQRT(3)))</f>
        <v>#NAME?</v>
      </c>
      <c r="C16" t="s">
        <v>2</v>
      </c>
    </row>
  </sheetData>
  <phoneticPr fontId="1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361</vt:i4>
      </vt:variant>
    </vt:vector>
  </HeadingPairs>
  <TitlesOfParts>
    <vt:vector size="382" baseType="lpstr">
      <vt:lpstr>Design Converter</vt:lpstr>
      <vt:lpstr>Extended Calculations</vt:lpstr>
      <vt:lpstr>Licenses</vt:lpstr>
      <vt:lpstr>BOM &amp; Schematic</vt:lpstr>
      <vt:lpstr>EVMs</vt:lpstr>
      <vt:lpstr>MOSFET LOSS</vt:lpstr>
      <vt:lpstr>Efficiency Plot Details</vt:lpstr>
      <vt:lpstr>DeviceParameter</vt:lpstr>
      <vt:lpstr>Variable Management</vt:lpstr>
      <vt:lpstr>Inductor Current</vt:lpstr>
      <vt:lpstr>Timings</vt:lpstr>
      <vt:lpstr>CFG Setting</vt:lpstr>
      <vt:lpstr>Schematic Management</vt:lpstr>
      <vt:lpstr>Stability Calculations</vt:lpstr>
      <vt:lpstr>IL Stability Calculations</vt:lpstr>
      <vt:lpstr>Efficiency Plot Management</vt:lpstr>
      <vt:lpstr>Efficiency vs VIN Calculations</vt:lpstr>
      <vt:lpstr>Efficiency vs Load Calculations</vt:lpstr>
      <vt:lpstr>Standard Value Calculator</vt:lpstr>
      <vt:lpstr>Snubber</vt:lpstr>
      <vt:lpstr>Parallel Output Caps</vt:lpstr>
      <vt:lpstr>_2Phase_Mode</vt:lpstr>
      <vt:lpstr>_Don1</vt:lpstr>
      <vt:lpstr>_Don2</vt:lpstr>
      <vt:lpstr>Acs</vt:lpstr>
      <vt:lpstr>'IL Stability Calculations'!Adc</vt:lpstr>
      <vt:lpstr>'Stability Calculations'!Adc</vt:lpstr>
      <vt:lpstr>Adc_IL</vt:lpstr>
      <vt:lpstr>AEA</vt:lpstr>
      <vt:lpstr>Afb</vt:lpstr>
      <vt:lpstr>'IL Stability Calculations'!AIL</vt:lpstr>
      <vt:lpstr>'Stability Calculations'!AIL</vt:lpstr>
      <vt:lpstr>Am</vt:lpstr>
      <vt:lpstr>Am_boost</vt:lpstr>
      <vt:lpstr>Am_buck</vt:lpstr>
      <vt:lpstr>Am_IL</vt:lpstr>
      <vt:lpstr>BodePlot</vt:lpstr>
      <vt:lpstr>BodePlot_ILim</vt:lpstr>
      <vt:lpstr>BODEPLOT_TYPE</vt:lpstr>
      <vt:lpstr>Boost_CS_Threshold</vt:lpstr>
      <vt:lpstr>Boost_CS_Threshold_max</vt:lpstr>
      <vt:lpstr>Boost_CS_Threshold_min</vt:lpstr>
      <vt:lpstr>Buck_CS_threshold</vt:lpstr>
      <vt:lpstr>Buck_CS_threshold_max</vt:lpstr>
      <vt:lpstr>Buck_CS_threshold_min</vt:lpstr>
      <vt:lpstr>C_CS</vt:lpstr>
      <vt:lpstr>C_CS_ideal</vt:lpstr>
      <vt:lpstr>C_ILimit_HF</vt:lpstr>
      <vt:lpstr>C_ILimit_HF_STD</vt:lpstr>
      <vt:lpstr>C_limitcomp</vt:lpstr>
      <vt:lpstr>C_limitcomp_STD</vt:lpstr>
      <vt:lpstr>Cb</vt:lpstr>
      <vt:lpstr>Cbw</vt:lpstr>
      <vt:lpstr>Cbw_IL</vt:lpstr>
      <vt:lpstr>Cby</vt:lpstr>
      <vt:lpstr>Cc1ea</vt:lpstr>
      <vt:lpstr>Cc1ea_u</vt:lpstr>
      <vt:lpstr>Cc1IL</vt:lpstr>
      <vt:lpstr>Cc2ea</vt:lpstr>
      <vt:lpstr>Cc2ea_u</vt:lpstr>
      <vt:lpstr>Cc2IL</vt:lpstr>
      <vt:lpstr>CcIL</vt:lpstr>
      <vt:lpstr>CDC_enabled</vt:lpstr>
      <vt:lpstr>CDC_Threshold</vt:lpstr>
      <vt:lpstr>Cdither</vt:lpstr>
      <vt:lpstr>CFG</vt:lpstr>
      <vt:lpstr>Cin</vt:lpstr>
      <vt:lpstr>CinEsrMax</vt:lpstr>
      <vt:lpstr>Cinmin</vt:lpstr>
      <vt:lpstr>CISET</vt:lpstr>
      <vt:lpstr>Co2_</vt:lpstr>
      <vt:lpstr>Co2_u</vt:lpstr>
      <vt:lpstr>Const_DT</vt:lpstr>
      <vt:lpstr>Constant_Current_Loop_Setpoint</vt:lpstr>
      <vt:lpstr>Cout</vt:lpstr>
      <vt:lpstr>CoutEsr</vt:lpstr>
      <vt:lpstr>CoutEsrMax</vt:lpstr>
      <vt:lpstr>Coutmin</vt:lpstr>
      <vt:lpstr>CSAmp_gain</vt:lpstr>
      <vt:lpstr>Csb</vt:lpstr>
      <vt:lpstr>Csby</vt:lpstr>
      <vt:lpstr>Cslope</vt:lpstr>
      <vt:lpstr>Css</vt:lpstr>
      <vt:lpstr>Css_u</vt:lpstr>
      <vt:lpstr>D_max_buck_enterBB</vt:lpstr>
      <vt:lpstr>D_max_exitBB_to_buck</vt:lpstr>
      <vt:lpstr>D_min_boost_exitBB_to_buck</vt:lpstr>
      <vt:lpstr>DC_CC</vt:lpstr>
      <vt:lpstr>DC_CHF</vt:lpstr>
      <vt:lpstr>DC_RC</vt:lpstr>
      <vt:lpstr>Deadtime</vt:lpstr>
      <vt:lpstr>Device</vt:lpstr>
      <vt:lpstr>dI1_</vt:lpstr>
      <vt:lpstr>dI2_</vt:lpstr>
      <vt:lpstr>dI3_</vt:lpstr>
      <vt:lpstr>Doff1</vt:lpstr>
      <vt:lpstr>Doff2</vt:lpstr>
      <vt:lpstr>Don_Vinmax</vt:lpstr>
      <vt:lpstr>Don_Vinmax_2</vt:lpstr>
      <vt:lpstr>Don_Vinmin</vt:lpstr>
      <vt:lpstr>Don_Vinmin_2</vt:lpstr>
      <vt:lpstr>Don_Vinnom</vt:lpstr>
      <vt:lpstr>Don_Vinnom_2</vt:lpstr>
      <vt:lpstr>'Stability Calculations'!EA_Pole1</vt:lpstr>
      <vt:lpstr>'Stability Calculations'!EA_Pole2</vt:lpstr>
      <vt:lpstr>'Stability Calculations'!EA_Zero1</vt:lpstr>
      <vt:lpstr>eff</vt:lpstr>
      <vt:lpstr>EFF_IOUT</vt:lpstr>
      <vt:lpstr>EFF_VIN</vt:lpstr>
      <vt:lpstr>Efficiency</vt:lpstr>
      <vt:lpstr>f_bwilim</vt:lpstr>
      <vt:lpstr>f_p</vt:lpstr>
      <vt:lpstr>Fcross</vt:lpstr>
      <vt:lpstr>Fdither</vt:lpstr>
      <vt:lpstr>Fesr</vt:lpstr>
      <vt:lpstr>Fload_boost</vt:lpstr>
      <vt:lpstr>Fload_buck</vt:lpstr>
      <vt:lpstr>Fload_u</vt:lpstr>
      <vt:lpstr>Fp_dominant</vt:lpstr>
      <vt:lpstr>Fp1_u</vt:lpstr>
      <vt:lpstr>Fp2_u</vt:lpstr>
      <vt:lpstr>Frhp</vt:lpstr>
      <vt:lpstr>Frhp_Vinmin</vt:lpstr>
      <vt:lpstr>Fsw</vt:lpstr>
      <vt:lpstr>Fz1_u</vt:lpstr>
      <vt:lpstr>GBW</vt:lpstr>
      <vt:lpstr>GBW_IL</vt:lpstr>
      <vt:lpstr>Gfs_Q1</vt:lpstr>
      <vt:lpstr>Gfs_Q2</vt:lpstr>
      <vt:lpstr>Gfs_Q3</vt:lpstr>
      <vt:lpstr>Gfs_Q4</vt:lpstr>
      <vt:lpstr>gm</vt:lpstr>
      <vt:lpstr>gm_CDC</vt:lpstr>
      <vt:lpstr>gm_IL</vt:lpstr>
      <vt:lpstr>gm_IL_DAC</vt:lpstr>
      <vt:lpstr>gm_monitor</vt:lpstr>
      <vt:lpstr>gm_slopecomp</vt:lpstr>
      <vt:lpstr>I_0</vt:lpstr>
      <vt:lpstr>I_1</vt:lpstr>
      <vt:lpstr>I_2</vt:lpstr>
      <vt:lpstr>I_PP</vt:lpstr>
      <vt:lpstr>i_rms</vt:lpstr>
      <vt:lpstr>iavg</vt:lpstr>
      <vt:lpstr>Icoutrms</vt:lpstr>
      <vt:lpstr>Ifb</vt:lpstr>
      <vt:lpstr>Iin</vt:lpstr>
      <vt:lpstr>Iin_Vinmax</vt:lpstr>
      <vt:lpstr>Iin_Vinmin</vt:lpstr>
      <vt:lpstr>Iin_Vinnom</vt:lpstr>
      <vt:lpstr>IL_peak_OCP</vt:lpstr>
      <vt:lpstr>'IL Stability Calculations'!IL_Pole1</vt:lpstr>
      <vt:lpstr>IL_Pole1</vt:lpstr>
      <vt:lpstr>'IL Stability Calculations'!IL_Pole2</vt:lpstr>
      <vt:lpstr>IL_Pole2</vt:lpstr>
      <vt:lpstr>'IL Stability Calculations'!IL_Zero1</vt:lpstr>
      <vt:lpstr>IL_Zero1</vt:lpstr>
      <vt:lpstr>ILIM_Threshold</vt:lpstr>
      <vt:lpstr>Ilimit_Margin</vt:lpstr>
      <vt:lpstr>ILpeak_OCP_Vinmax</vt:lpstr>
      <vt:lpstr>ILpeak_OCP_Vinmin</vt:lpstr>
      <vt:lpstr>ILpeak_OCP_Vinnom</vt:lpstr>
      <vt:lpstr>IMON_Threshold</vt:lpstr>
      <vt:lpstr>IMONLIM_select</vt:lpstr>
      <vt:lpstr>Internal_FB_enabled</vt:lpstr>
      <vt:lpstr>Iout</vt:lpstr>
      <vt:lpstr>Iout_OCP_Vinmax</vt:lpstr>
      <vt:lpstr>Iout_OCP_Vinmin</vt:lpstr>
      <vt:lpstr>Iout_OCP_Vinnom</vt:lpstr>
      <vt:lpstr>Iout_threshold</vt:lpstr>
      <vt:lpstr>Ipeak_inductor_buckboost</vt:lpstr>
      <vt:lpstr>Ipeak_inductor_max</vt:lpstr>
      <vt:lpstr>Ipeak_inductor_max_margin</vt:lpstr>
      <vt:lpstr>Ipeak_inductor_Vinmax</vt:lpstr>
      <vt:lpstr>Ipeak_inductor_Vinmin</vt:lpstr>
      <vt:lpstr>Ipeak_inductor_Vinnom</vt:lpstr>
      <vt:lpstr>Iq</vt:lpstr>
      <vt:lpstr>Ireverse</vt:lpstr>
      <vt:lpstr>Iripple_Vinmax</vt:lpstr>
      <vt:lpstr>Iripple_Vinmin</vt:lpstr>
      <vt:lpstr>Iripple_Vinnom</vt:lpstr>
      <vt:lpstr>Isc_const</vt:lpstr>
      <vt:lpstr>Islope_fixed</vt:lpstr>
      <vt:lpstr>Iss</vt:lpstr>
      <vt:lpstr>Iuvlo_hys</vt:lpstr>
      <vt:lpstr>Iuvlo1</vt:lpstr>
      <vt:lpstr>Iuvlo2</vt:lpstr>
      <vt:lpstr>k</vt:lpstr>
      <vt:lpstr>K_1</vt:lpstr>
      <vt:lpstr>k_boost</vt:lpstr>
      <vt:lpstr>k_buck</vt:lpstr>
      <vt:lpstr>K_SL</vt:lpstr>
      <vt:lpstr>KD</vt:lpstr>
      <vt:lpstr>KM</vt:lpstr>
      <vt:lpstr>L</vt:lpstr>
      <vt:lpstr>Labsmax</vt:lpstr>
      <vt:lpstr>Labsmin</vt:lpstr>
      <vt:lpstr>Lf</vt:lpstr>
      <vt:lpstr>Lmax</vt:lpstr>
      <vt:lpstr>Lmin</vt:lpstr>
      <vt:lpstr>Lopt</vt:lpstr>
      <vt:lpstr>Lopt_Limit</vt:lpstr>
      <vt:lpstr>Ltc</vt:lpstr>
      <vt:lpstr>mc</vt:lpstr>
      <vt:lpstr>mc_boost</vt:lpstr>
      <vt:lpstr>mc_buck</vt:lpstr>
      <vt:lpstr>Mode</vt:lpstr>
      <vt:lpstr>Pi</vt:lpstr>
      <vt:lpstr>Pin</vt:lpstr>
      <vt:lpstr>PLOT_TYPE</vt:lpstr>
      <vt:lpstr>Pout</vt:lpstr>
      <vt:lpstr>'BOM &amp; Schematic'!Print_Area</vt:lpstr>
      <vt:lpstr>'Design Converter'!Print_Area</vt:lpstr>
      <vt:lpstr>PS_IL_Pole1</vt:lpstr>
      <vt:lpstr>PS_IL_Pole2</vt:lpstr>
      <vt:lpstr>PS_IL_RHPZ</vt:lpstr>
      <vt:lpstr>PS_IL_Zero1</vt:lpstr>
      <vt:lpstr>'IL Stability Calculations'!PS_Pole1</vt:lpstr>
      <vt:lpstr>'Stability Calculations'!PS_Pole1</vt:lpstr>
      <vt:lpstr>'IL Stability Calculations'!PS_Pole2</vt:lpstr>
      <vt:lpstr>'Stability Calculations'!PS_Pole2</vt:lpstr>
      <vt:lpstr>'IL Stability Calculations'!PS_RHPZ</vt:lpstr>
      <vt:lpstr>'Stability Calculations'!PS_RHPZ</vt:lpstr>
      <vt:lpstr>'IL Stability Calculations'!PS_Zero1</vt:lpstr>
      <vt:lpstr>'Stability Calculations'!PS_Zero1</vt:lpstr>
      <vt:lpstr>'IL Stability Calculations'!pterm1</vt:lpstr>
      <vt:lpstr>'Stability Calculations'!pterm1</vt:lpstr>
      <vt:lpstr>pterm1_IL</vt:lpstr>
      <vt:lpstr>'IL Stability Calculations'!pterm2</vt:lpstr>
      <vt:lpstr>'Stability Calculations'!pterm2</vt:lpstr>
      <vt:lpstr>pterm2_IL</vt:lpstr>
      <vt:lpstr>Q</vt:lpstr>
      <vt:lpstr>Qg_Q1</vt:lpstr>
      <vt:lpstr>Qg_Q2</vt:lpstr>
      <vt:lpstr>Qg_Q3</vt:lpstr>
      <vt:lpstr>Qg_Q4</vt:lpstr>
      <vt:lpstr>Qgd_Q1</vt:lpstr>
      <vt:lpstr>Qgd_Q2</vt:lpstr>
      <vt:lpstr>Qgd_Q3</vt:lpstr>
      <vt:lpstr>Qgd_Q4</vt:lpstr>
      <vt:lpstr>Qgs_Q1</vt:lpstr>
      <vt:lpstr>Qgs_Q2</vt:lpstr>
      <vt:lpstr>Qgs_Q3</vt:lpstr>
      <vt:lpstr>Qgs_Q4</vt:lpstr>
      <vt:lpstr>Qrr_Q1</vt:lpstr>
      <vt:lpstr>Qrr_Q2</vt:lpstr>
      <vt:lpstr>Qrr_Q3</vt:lpstr>
      <vt:lpstr>Qrr_Q4</vt:lpstr>
      <vt:lpstr>QrrSky_Q2</vt:lpstr>
      <vt:lpstr>QrrSky_Q3</vt:lpstr>
      <vt:lpstr>R_CS</vt:lpstr>
      <vt:lpstr>'IL Stability Calculations'!radconv</vt:lpstr>
      <vt:lpstr>'Stability Calculations'!radconv</vt:lpstr>
      <vt:lpstr>radconv_IL</vt:lpstr>
      <vt:lpstr>Rcea1</vt:lpstr>
      <vt:lpstr>Rcea1_u</vt:lpstr>
      <vt:lpstr>RcIL</vt:lpstr>
      <vt:lpstr>RCinEsr</vt:lpstr>
      <vt:lpstr>RCoutEsr</vt:lpstr>
      <vt:lpstr>Rdcr</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Rfets</vt:lpstr>
      <vt:lpstr>Rgate1</vt:lpstr>
      <vt:lpstr>Rgate2</vt:lpstr>
      <vt:lpstr>Rgate3</vt:lpstr>
      <vt:lpstr>Rgate4</vt:lpstr>
      <vt:lpstr>Ri</vt:lpstr>
      <vt:lpstr>RiLim</vt:lpstr>
      <vt:lpstr>RISET</vt:lpstr>
      <vt:lpstr>Ro</vt:lpstr>
      <vt:lpstr>RoEA</vt:lpstr>
      <vt:lpstr>RoEA_IL</vt:lpstr>
      <vt:lpstr>Rout</vt:lpstr>
      <vt:lpstr>Rpg</vt:lpstr>
      <vt:lpstr>Rs</vt:lpstr>
      <vt:lpstr>Rs_ideal</vt:lpstr>
      <vt:lpstr>Rsb</vt:lpstr>
      <vt:lpstr>Rshunt</vt:lpstr>
      <vt:lpstr>Rshunt_std</vt:lpstr>
      <vt:lpstr>Rslope</vt:lpstr>
      <vt:lpstr>Rsns_Selected</vt:lpstr>
      <vt:lpstr>RUV1_STD</vt:lpstr>
      <vt:lpstr>RUV2_STD</vt:lpstr>
      <vt:lpstr>Ruvlo1</vt:lpstr>
      <vt:lpstr>Ruvlo2</vt:lpstr>
      <vt:lpstr>Scale_DT</vt:lpstr>
      <vt:lpstr>SCH_NO_RCS</vt:lpstr>
      <vt:lpstr>SCH_RCS_LIM</vt:lpstr>
      <vt:lpstr>SCH_RCS_LIM_NEG</vt:lpstr>
      <vt:lpstr>SCH_RCS_MON</vt:lpstr>
      <vt:lpstr>SCH772_NO_RCS</vt:lpstr>
      <vt:lpstr>SCH772_NO_RCS_NO_CDC</vt:lpstr>
      <vt:lpstr>SCH772_RCS_LIM</vt:lpstr>
      <vt:lpstr>SCH772_RCS_LIM_DAC</vt:lpstr>
      <vt:lpstr>SCH772_RCS_LIM_DAC_NO_CDC</vt:lpstr>
      <vt:lpstr>SCH772_RCS_LIM_DACplus</vt:lpstr>
      <vt:lpstr>SCH772_RCS_LIM_DACplus_NO_CDC</vt:lpstr>
      <vt:lpstr>SCH772_RCS_LIM_NO_CDC</vt:lpstr>
      <vt:lpstr>Se</vt:lpstr>
      <vt:lpstr>Se_ext</vt:lpstr>
      <vt:lpstr>Se_fixed</vt:lpstr>
      <vt:lpstr>Se_proportional</vt:lpstr>
      <vt:lpstr>Sf</vt:lpstr>
      <vt:lpstr>Sn</vt:lpstr>
      <vt:lpstr>t1_Ph_II</vt:lpstr>
      <vt:lpstr>t2_Ph_I</vt:lpstr>
      <vt:lpstr>t3_Ph_III</vt:lpstr>
      <vt:lpstr>Ta</vt:lpstr>
      <vt:lpstr>Tf_boost</vt:lpstr>
      <vt:lpstr>Tf_buck</vt:lpstr>
      <vt:lpstr>ThetaCa</vt:lpstr>
      <vt:lpstr>ThetaJA_Q1</vt:lpstr>
      <vt:lpstr>ThetaJA_Q2</vt:lpstr>
      <vt:lpstr>ThetaJA_Q3</vt:lpstr>
      <vt:lpstr>ThetaJA_Q4</vt:lpstr>
      <vt:lpstr>ThetaJaCtrl</vt:lpstr>
      <vt:lpstr>TL</vt:lpstr>
      <vt:lpstr>Toff_min_buck</vt:lpstr>
      <vt:lpstr>Toff_Vinmax</vt:lpstr>
      <vt:lpstr>Ton_Vinmin</vt:lpstr>
      <vt:lpstr>Tr_boost</vt:lpstr>
      <vt:lpstr>Tr_buck</vt:lpstr>
      <vt:lpstr>Trr_Q1</vt:lpstr>
      <vt:lpstr>Trr_Q2</vt:lpstr>
      <vt:lpstr>Trr_Q3</vt:lpstr>
      <vt:lpstr>Trr_Q4</vt:lpstr>
      <vt:lpstr>Ts</vt:lpstr>
      <vt:lpstr>Tss</vt:lpstr>
      <vt:lpstr>useI2C</vt:lpstr>
      <vt:lpstr>V_ILIM</vt:lpstr>
      <vt:lpstr>V_Ilimit</vt:lpstr>
      <vt:lpstr>V_sc_fixed</vt:lpstr>
      <vt:lpstr>V_sc_proportional</vt:lpstr>
      <vt:lpstr>V_sc_total</vt:lpstr>
      <vt:lpstr>Vdd</vt:lpstr>
      <vt:lpstr>VfdSky_Q2</vt:lpstr>
      <vt:lpstr>VfdSky_Q3</vt:lpstr>
      <vt:lpstr>Vin</vt:lpstr>
      <vt:lpstr>VIN_BB_to_boost</vt:lpstr>
      <vt:lpstr>VIN_BB_to_buck</vt:lpstr>
      <vt:lpstr>VIN_boost_to_BB</vt:lpstr>
      <vt:lpstr>VIN_edgebuckboost</vt:lpstr>
      <vt:lpstr>VIN_max</vt:lpstr>
      <vt:lpstr>VIN_min</vt:lpstr>
      <vt:lpstr>VIN_nom</vt:lpstr>
      <vt:lpstr>Vinripple1</vt:lpstr>
      <vt:lpstr>Vinripple2</vt:lpstr>
      <vt:lpstr>VINuvlo_off</vt:lpstr>
      <vt:lpstr>VINuvlo_on</vt:lpstr>
      <vt:lpstr>Vout</vt:lpstr>
      <vt:lpstr>Vref</vt:lpstr>
      <vt:lpstr>Vripple1</vt:lpstr>
      <vt:lpstr>Vripple2</vt:lpstr>
      <vt:lpstr>Vsd_Q1</vt:lpstr>
      <vt:lpstr>Vsd_Q2</vt:lpstr>
      <vt:lpstr>Vsd_Q3</vt:lpstr>
      <vt:lpstr>Vsd_Q4</vt:lpstr>
      <vt:lpstr>Vsp_Q1</vt:lpstr>
      <vt:lpstr>Vsp_Q2</vt:lpstr>
      <vt:lpstr>Vsp_Q3</vt:lpstr>
      <vt:lpstr>Vsp_Q4</vt:lpstr>
      <vt:lpstr>Vth_Q1</vt:lpstr>
      <vt:lpstr>Vth_Q2</vt:lpstr>
      <vt:lpstr>Vth_Q3</vt:lpstr>
      <vt:lpstr>Vth_Q4</vt:lpstr>
      <vt:lpstr>Vuvlo_hys</vt:lpstr>
      <vt:lpstr>Vuvlo_off</vt:lpstr>
      <vt:lpstr>Vuvlo_on</vt:lpstr>
      <vt:lpstr>With_CDC</vt:lpstr>
      <vt:lpstr>With_RCS</vt:lpstr>
    </vt:vector>
  </TitlesOfParts>
  <Company>Texas Instruments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LM5176 Quickstart Tool</dc:title>
  <dc:creator>Vijay Choudhary</dc:creator>
  <cp:keywords>LM5176, PWM controller, current mode, PCB layout</cp:keywords>
  <cp:lastModifiedBy>Phillip Forche</cp:lastModifiedBy>
  <cp:lastPrinted>2014-12-22T00:10:27Z</cp:lastPrinted>
  <dcterms:created xsi:type="dcterms:W3CDTF">1996-10-14T23:33:28Z</dcterms:created>
  <dcterms:modified xsi:type="dcterms:W3CDTF">2026-09-17T10:14:51Z</dcterms:modified>
</cp:coreProperties>
</file>